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ingDataAnalysis\Transfer Entropy\EyeHeadDirc\"/>
    </mc:Choice>
  </mc:AlternateContent>
  <xr:revisionPtr revIDLastSave="0" documentId="8_{7F2A507E-7F06-495E-8635-0FF80A81EE42}" xr6:coauthVersionLast="45" xr6:coauthVersionMax="45" xr10:uidLastSave="{00000000-0000-0000-0000-000000000000}"/>
  <bookViews>
    <workbookView xWindow="1305" yWindow="1305" windowWidth="17280" windowHeight="8970"/>
  </bookViews>
  <sheets>
    <sheet name="TxtToExcel_Tem_Tx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A3008" i="1"/>
  <c r="B3008" i="1"/>
  <c r="A3009" i="1"/>
  <c r="B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3102" i="1"/>
  <c r="B3102" i="1"/>
  <c r="A3103" i="1"/>
  <c r="B3103" i="1"/>
  <c r="A3104" i="1"/>
  <c r="B3104" i="1"/>
  <c r="A3105" i="1"/>
  <c r="B3105" i="1"/>
  <c r="A3106" i="1"/>
  <c r="B3106" i="1"/>
  <c r="A3107" i="1"/>
  <c r="B3107" i="1"/>
  <c r="A3108" i="1"/>
  <c r="B3108" i="1"/>
  <c r="A3109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B3121" i="1"/>
  <c r="A3122" i="1"/>
  <c r="B3122" i="1"/>
  <c r="A3123" i="1"/>
  <c r="B3123" i="1"/>
  <c r="A3124" i="1"/>
  <c r="B3124" i="1"/>
  <c r="A3125" i="1"/>
  <c r="B3125" i="1"/>
  <c r="A3126" i="1"/>
  <c r="B3126" i="1"/>
  <c r="A3127" i="1"/>
  <c r="B3127" i="1"/>
  <c r="A3128" i="1"/>
  <c r="B3128" i="1"/>
  <c r="A3129" i="1"/>
  <c r="B3129" i="1"/>
  <c r="A3130" i="1"/>
  <c r="B3130" i="1"/>
  <c r="A3131" i="1"/>
  <c r="B3131" i="1"/>
  <c r="A3132" i="1"/>
  <c r="B3132" i="1"/>
  <c r="A3133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A3149" i="1"/>
  <c r="B3149" i="1"/>
  <c r="A3150" i="1"/>
  <c r="B3150" i="1"/>
  <c r="A3151" i="1"/>
  <c r="B3151" i="1"/>
  <c r="A3152" i="1"/>
  <c r="B3152" i="1"/>
  <c r="A3153" i="1"/>
  <c r="B3153" i="1"/>
  <c r="A3154" i="1"/>
  <c r="B3154" i="1"/>
  <c r="A3155" i="1"/>
  <c r="B3155" i="1"/>
  <c r="A3156" i="1"/>
  <c r="B3156" i="1"/>
  <c r="A3157" i="1"/>
  <c r="B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A3173" i="1"/>
  <c r="B3173" i="1"/>
  <c r="A3174" i="1"/>
  <c r="B3174" i="1"/>
  <c r="A3175" i="1"/>
  <c r="B3175" i="1"/>
  <c r="A3176" i="1"/>
  <c r="B3176" i="1"/>
  <c r="A3177" i="1"/>
  <c r="B3177" i="1"/>
  <c r="A3178" i="1"/>
  <c r="B3178" i="1"/>
  <c r="A3179" i="1"/>
  <c r="B3179" i="1"/>
  <c r="A3180" i="1"/>
  <c r="B3180" i="1"/>
  <c r="A3181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A3197" i="1"/>
  <c r="B3197" i="1"/>
  <c r="A3198" i="1"/>
  <c r="B3198" i="1"/>
  <c r="A3199" i="1"/>
  <c r="B3199" i="1"/>
  <c r="A3200" i="1"/>
  <c r="B3200" i="1"/>
  <c r="A3201" i="1"/>
  <c r="B3201" i="1"/>
  <c r="A3202" i="1"/>
  <c r="B3202" i="1"/>
  <c r="A3203" i="1"/>
  <c r="B3203" i="1"/>
  <c r="A3204" i="1"/>
  <c r="B3204" i="1"/>
  <c r="A3205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A3221" i="1"/>
  <c r="B3221" i="1"/>
  <c r="A3222" i="1"/>
  <c r="B3222" i="1"/>
  <c r="A3223" i="1"/>
  <c r="B3223" i="1"/>
  <c r="A3224" i="1"/>
  <c r="B3224" i="1"/>
  <c r="A3225" i="1"/>
  <c r="B3225" i="1"/>
  <c r="A3226" i="1"/>
  <c r="B3226" i="1"/>
  <c r="A3227" i="1"/>
  <c r="B3227" i="1"/>
  <c r="A3228" i="1"/>
  <c r="B3228" i="1"/>
  <c r="A3229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B3241" i="1"/>
  <c r="A3242" i="1"/>
  <c r="B3242" i="1"/>
  <c r="A3243" i="1"/>
  <c r="B3243" i="1"/>
  <c r="A3244" i="1"/>
  <c r="B3244" i="1"/>
  <c r="A3245" i="1"/>
  <c r="B3245" i="1"/>
  <c r="A3246" i="1"/>
  <c r="B3246" i="1"/>
  <c r="A3247" i="1"/>
  <c r="B3247" i="1"/>
  <c r="A3248" i="1"/>
  <c r="B3248" i="1"/>
  <c r="A3249" i="1"/>
  <c r="B3249" i="1"/>
  <c r="A3250" i="1"/>
  <c r="B3250" i="1"/>
  <c r="A3251" i="1"/>
  <c r="B3251" i="1"/>
  <c r="A3252" i="1"/>
  <c r="B3252" i="1"/>
  <c r="A3253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A3265" i="1"/>
  <c r="B3265" i="1"/>
  <c r="A3266" i="1"/>
  <c r="B3266" i="1"/>
  <c r="A3267" i="1"/>
  <c r="B3267" i="1"/>
  <c r="A3268" i="1"/>
  <c r="B3268" i="1"/>
  <c r="A3269" i="1"/>
  <c r="B3269" i="1"/>
  <c r="A3270" i="1"/>
  <c r="B3270" i="1"/>
  <c r="A3271" i="1"/>
  <c r="B3271" i="1"/>
  <c r="A3272" i="1"/>
  <c r="B3272" i="1"/>
  <c r="A3273" i="1"/>
  <c r="B3273" i="1"/>
  <c r="A3274" i="1"/>
  <c r="B3274" i="1"/>
  <c r="A3275" i="1"/>
  <c r="B3275" i="1"/>
  <c r="A3276" i="1"/>
  <c r="B3276" i="1"/>
  <c r="A3277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B3289" i="1"/>
  <c r="A3290" i="1"/>
  <c r="B3290" i="1"/>
  <c r="A3291" i="1"/>
  <c r="B3291" i="1"/>
  <c r="A3292" i="1"/>
  <c r="B3292" i="1"/>
  <c r="A3293" i="1"/>
  <c r="B3293" i="1"/>
  <c r="A3294" i="1"/>
  <c r="B3294" i="1"/>
  <c r="A3295" i="1"/>
  <c r="B3295" i="1"/>
  <c r="A3296" i="1"/>
  <c r="B3296" i="1"/>
  <c r="A3297" i="1"/>
  <c r="B3297" i="1"/>
  <c r="A3298" i="1"/>
  <c r="B3298" i="1"/>
  <c r="A3299" i="1"/>
  <c r="B3299" i="1"/>
  <c r="A3300" i="1"/>
  <c r="B3300" i="1"/>
  <c r="A3301" i="1"/>
  <c r="B3301" i="1"/>
  <c r="A3302" i="1"/>
  <c r="B3302" i="1"/>
  <c r="A3303" i="1"/>
  <c r="B3303" i="1"/>
  <c r="A3304" i="1"/>
  <c r="B3304" i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A3313" i="1"/>
  <c r="B3313" i="1"/>
  <c r="A3314" i="1"/>
  <c r="B3314" i="1"/>
  <c r="A3315" i="1"/>
  <c r="B3315" i="1"/>
  <c r="A3316" i="1"/>
  <c r="B3316" i="1"/>
  <c r="A3317" i="1"/>
  <c r="B3317" i="1"/>
  <c r="A3318" i="1"/>
  <c r="B3318" i="1"/>
  <c r="A3319" i="1"/>
  <c r="B3319" i="1"/>
  <c r="A3320" i="1"/>
  <c r="B3320" i="1"/>
  <c r="A3321" i="1"/>
  <c r="B3321" i="1"/>
  <c r="A3322" i="1"/>
  <c r="B3322" i="1"/>
  <c r="A3323" i="1"/>
  <c r="B3323" i="1"/>
  <c r="A3324" i="1"/>
  <c r="B3324" i="1"/>
  <c r="A3325" i="1"/>
  <c r="B3325" i="1"/>
  <c r="A3326" i="1"/>
  <c r="B3326" i="1"/>
  <c r="A3327" i="1"/>
  <c r="B3327" i="1"/>
  <c r="A3328" i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B3334" i="1"/>
  <c r="A3335" i="1"/>
  <c r="B3335" i="1"/>
  <c r="A3336" i="1"/>
  <c r="B3336" i="1"/>
  <c r="A3337" i="1"/>
  <c r="B3337" i="1"/>
  <c r="A3338" i="1"/>
  <c r="B3338" i="1"/>
  <c r="A3339" i="1"/>
  <c r="B3339" i="1"/>
  <c r="A3340" i="1"/>
  <c r="B3340" i="1"/>
  <c r="A3341" i="1"/>
  <c r="B3341" i="1"/>
  <c r="A3342" i="1"/>
  <c r="B3342" i="1"/>
  <c r="A3343" i="1"/>
  <c r="B3343" i="1"/>
  <c r="A3344" i="1"/>
  <c r="B3344" i="1"/>
  <c r="A3345" i="1"/>
  <c r="B3345" i="1"/>
  <c r="A3346" i="1"/>
  <c r="B3346" i="1"/>
  <c r="A3347" i="1"/>
  <c r="B3347" i="1"/>
  <c r="A3348" i="1"/>
  <c r="B3348" i="1"/>
  <c r="A3349" i="1"/>
  <c r="B3349" i="1"/>
  <c r="A3350" i="1"/>
  <c r="B3350" i="1"/>
  <c r="A3351" i="1"/>
  <c r="B3351" i="1"/>
  <c r="A3352" i="1"/>
  <c r="B3352" i="1"/>
  <c r="A3353" i="1"/>
  <c r="B3353" i="1"/>
  <c r="A3354" i="1"/>
  <c r="B3354" i="1"/>
  <c r="A3355" i="1"/>
  <c r="B3355" i="1"/>
  <c r="A3356" i="1"/>
  <c r="B3356" i="1"/>
  <c r="A3357" i="1"/>
  <c r="B3357" i="1"/>
  <c r="A3358" i="1"/>
  <c r="B3358" i="1"/>
  <c r="A3359" i="1"/>
  <c r="B3359" i="1"/>
  <c r="A3360" i="1"/>
  <c r="B3360" i="1"/>
  <c r="A3361" i="1"/>
  <c r="B3361" i="1"/>
  <c r="A3362" i="1"/>
  <c r="B3362" i="1"/>
  <c r="A3363" i="1"/>
  <c r="B3363" i="1"/>
  <c r="A3364" i="1"/>
  <c r="B3364" i="1"/>
  <c r="A3365" i="1"/>
  <c r="B3365" i="1"/>
  <c r="A3366" i="1"/>
  <c r="B3366" i="1"/>
  <c r="A3367" i="1"/>
  <c r="B3367" i="1"/>
  <c r="A3368" i="1"/>
  <c r="B3368" i="1"/>
  <c r="A3369" i="1"/>
  <c r="B3369" i="1"/>
  <c r="A3370" i="1"/>
  <c r="B3370" i="1"/>
  <c r="A3371" i="1"/>
  <c r="B3371" i="1"/>
  <c r="A3372" i="1"/>
  <c r="B3372" i="1"/>
  <c r="A3373" i="1"/>
  <c r="B3373" i="1"/>
  <c r="A3374" i="1"/>
  <c r="B3374" i="1"/>
  <c r="A3375" i="1"/>
  <c r="B3375" i="1"/>
  <c r="A3376" i="1"/>
  <c r="B3376" i="1"/>
  <c r="A3377" i="1"/>
  <c r="B3377" i="1"/>
  <c r="A3378" i="1"/>
  <c r="B3378" i="1"/>
  <c r="A3379" i="1"/>
  <c r="B3379" i="1"/>
  <c r="A3380" i="1"/>
  <c r="B3380" i="1"/>
  <c r="A3381" i="1"/>
  <c r="B3381" i="1"/>
  <c r="A3382" i="1"/>
  <c r="B3382" i="1"/>
  <c r="A3383" i="1"/>
  <c r="B3383" i="1"/>
  <c r="A3384" i="1"/>
  <c r="B3384" i="1"/>
  <c r="A3385" i="1"/>
  <c r="B3385" i="1"/>
  <c r="A3386" i="1"/>
  <c r="B3386" i="1"/>
  <c r="A3387" i="1"/>
  <c r="B3387" i="1"/>
  <c r="A3388" i="1"/>
  <c r="B3388" i="1"/>
  <c r="A3389" i="1"/>
  <c r="B3389" i="1"/>
  <c r="A3390" i="1"/>
  <c r="B3390" i="1"/>
  <c r="A3391" i="1"/>
  <c r="B3391" i="1"/>
  <c r="A3392" i="1"/>
  <c r="B3392" i="1"/>
  <c r="A3393" i="1"/>
  <c r="B3393" i="1"/>
  <c r="A3394" i="1"/>
  <c r="B3394" i="1"/>
  <c r="A3395" i="1"/>
  <c r="B3395" i="1"/>
  <c r="A3396" i="1"/>
  <c r="B3396" i="1"/>
  <c r="A3397" i="1"/>
  <c r="B3397" i="1"/>
  <c r="A3398" i="1"/>
  <c r="B3398" i="1"/>
  <c r="A3399" i="1"/>
  <c r="B3399" i="1"/>
  <c r="A3400" i="1"/>
  <c r="B3400" i="1"/>
  <c r="A3401" i="1"/>
  <c r="B3401" i="1"/>
  <c r="A3402" i="1"/>
  <c r="B3402" i="1"/>
  <c r="A3403" i="1"/>
  <c r="B3403" i="1"/>
  <c r="A3404" i="1"/>
  <c r="B3404" i="1"/>
  <c r="A3405" i="1"/>
  <c r="B3405" i="1"/>
  <c r="A3406" i="1"/>
  <c r="B3406" i="1"/>
  <c r="A3407" i="1"/>
  <c r="B3407" i="1"/>
  <c r="A3408" i="1"/>
  <c r="B3408" i="1"/>
  <c r="A3409" i="1"/>
  <c r="B3409" i="1"/>
  <c r="A3410" i="1"/>
  <c r="B3410" i="1"/>
  <c r="A3411" i="1"/>
  <c r="B3411" i="1"/>
  <c r="A3412" i="1"/>
  <c r="B3412" i="1"/>
  <c r="A3413" i="1"/>
  <c r="B3413" i="1"/>
  <c r="A3414" i="1"/>
  <c r="B3414" i="1"/>
  <c r="A3415" i="1"/>
  <c r="B3415" i="1"/>
  <c r="A3416" i="1"/>
  <c r="B3416" i="1"/>
  <c r="A3417" i="1"/>
  <c r="B3417" i="1"/>
  <c r="A3418" i="1"/>
  <c r="B3418" i="1"/>
  <c r="A3419" i="1"/>
  <c r="B3419" i="1"/>
  <c r="A3420" i="1"/>
  <c r="B3420" i="1"/>
  <c r="A3421" i="1"/>
  <c r="B3421" i="1"/>
  <c r="A3422" i="1"/>
  <c r="B3422" i="1"/>
  <c r="A3423" i="1"/>
  <c r="B3423" i="1"/>
  <c r="A3424" i="1"/>
  <c r="B3424" i="1"/>
  <c r="A3425" i="1"/>
  <c r="B3425" i="1"/>
  <c r="A3426" i="1"/>
  <c r="B3426" i="1"/>
  <c r="A3427" i="1"/>
  <c r="B3427" i="1"/>
  <c r="A3428" i="1"/>
  <c r="B3428" i="1"/>
  <c r="A3429" i="1"/>
  <c r="B3429" i="1"/>
  <c r="A3430" i="1"/>
  <c r="B3430" i="1"/>
  <c r="A3431" i="1"/>
  <c r="B3431" i="1"/>
  <c r="A3432" i="1"/>
  <c r="B3432" i="1"/>
  <c r="A3433" i="1"/>
  <c r="B3433" i="1"/>
  <c r="A3434" i="1"/>
  <c r="B3434" i="1"/>
  <c r="A3435" i="1"/>
  <c r="B3435" i="1"/>
  <c r="A3436" i="1"/>
  <c r="B3436" i="1"/>
  <c r="A3437" i="1"/>
  <c r="B3437" i="1"/>
  <c r="A3438" i="1"/>
  <c r="B3438" i="1"/>
  <c r="A3439" i="1"/>
  <c r="B3439" i="1"/>
  <c r="A3440" i="1"/>
  <c r="B3440" i="1"/>
  <c r="A3441" i="1"/>
  <c r="B3441" i="1"/>
  <c r="A3442" i="1"/>
  <c r="B3442" i="1"/>
  <c r="A3443" i="1"/>
  <c r="B3443" i="1"/>
  <c r="A3444" i="1"/>
  <c r="B3444" i="1"/>
  <c r="A3445" i="1"/>
  <c r="B3445" i="1"/>
  <c r="A3446" i="1"/>
  <c r="B3446" i="1"/>
  <c r="A3447" i="1"/>
  <c r="B3447" i="1"/>
  <c r="A3448" i="1"/>
  <c r="B3448" i="1"/>
  <c r="A3449" i="1"/>
  <c r="B3449" i="1"/>
  <c r="A3450" i="1"/>
  <c r="B3450" i="1"/>
  <c r="A3451" i="1"/>
  <c r="B3451" i="1"/>
  <c r="A3452" i="1"/>
  <c r="B3452" i="1"/>
  <c r="A3453" i="1"/>
  <c r="B3453" i="1"/>
  <c r="A3454" i="1"/>
  <c r="B3454" i="1"/>
  <c r="A3455" i="1"/>
  <c r="B3455" i="1"/>
  <c r="A3456" i="1"/>
  <c r="B3456" i="1"/>
  <c r="A3457" i="1"/>
  <c r="B3457" i="1"/>
  <c r="A3458" i="1"/>
  <c r="B3458" i="1"/>
  <c r="A3459" i="1"/>
  <c r="B3459" i="1"/>
  <c r="A3460" i="1"/>
  <c r="B3460" i="1"/>
  <c r="A3461" i="1"/>
  <c r="B3461" i="1"/>
  <c r="A3462" i="1"/>
  <c r="B3462" i="1"/>
  <c r="A3463" i="1"/>
  <c r="B3463" i="1"/>
  <c r="A3464" i="1"/>
  <c r="B3464" i="1"/>
  <c r="A3465" i="1"/>
  <c r="B3465" i="1"/>
  <c r="A3466" i="1"/>
  <c r="B3466" i="1"/>
  <c r="A3467" i="1"/>
  <c r="B3467" i="1"/>
  <c r="A3468" i="1"/>
  <c r="B3468" i="1"/>
  <c r="A3469" i="1"/>
  <c r="B3469" i="1"/>
  <c r="A3470" i="1"/>
  <c r="B3470" i="1"/>
  <c r="A3471" i="1"/>
  <c r="B3471" i="1"/>
  <c r="A3472" i="1"/>
  <c r="B3472" i="1"/>
  <c r="A3473" i="1"/>
  <c r="B3473" i="1"/>
  <c r="A3474" i="1"/>
  <c r="B3474" i="1"/>
  <c r="A3475" i="1"/>
  <c r="B3475" i="1"/>
  <c r="A3476" i="1"/>
  <c r="B3476" i="1"/>
  <c r="A3477" i="1"/>
  <c r="B3477" i="1"/>
  <c r="A3478" i="1"/>
  <c r="B3478" i="1"/>
  <c r="A3479" i="1"/>
  <c r="B3479" i="1"/>
  <c r="A3480" i="1"/>
  <c r="B3480" i="1"/>
  <c r="A3481" i="1"/>
  <c r="B3481" i="1"/>
  <c r="A3482" i="1"/>
  <c r="B3482" i="1"/>
  <c r="A3483" i="1"/>
  <c r="B3483" i="1"/>
  <c r="A3484" i="1"/>
  <c r="B3484" i="1"/>
  <c r="A3485" i="1"/>
  <c r="B3485" i="1"/>
  <c r="A3486" i="1"/>
  <c r="B3486" i="1"/>
  <c r="A3487" i="1"/>
  <c r="B3487" i="1"/>
  <c r="A3488" i="1"/>
  <c r="B3488" i="1"/>
  <c r="A3489" i="1"/>
  <c r="B3489" i="1"/>
  <c r="A3490" i="1"/>
  <c r="B3490" i="1"/>
  <c r="A3491" i="1"/>
  <c r="B3491" i="1"/>
  <c r="A3492" i="1"/>
  <c r="B3492" i="1"/>
  <c r="A3493" i="1"/>
  <c r="B3493" i="1"/>
  <c r="A3494" i="1"/>
  <c r="B3494" i="1"/>
  <c r="A3495" i="1"/>
  <c r="B3495" i="1"/>
  <c r="A3496" i="1"/>
  <c r="B3496" i="1"/>
  <c r="A3497" i="1"/>
  <c r="B3497" i="1"/>
  <c r="A3498" i="1"/>
  <c r="B3498" i="1"/>
  <c r="A3499" i="1"/>
  <c r="B3499" i="1"/>
  <c r="A3500" i="1"/>
  <c r="B3500" i="1"/>
  <c r="A3501" i="1"/>
  <c r="B3501" i="1"/>
  <c r="A3502" i="1"/>
  <c r="B3502" i="1"/>
  <c r="A3503" i="1"/>
  <c r="B3503" i="1"/>
  <c r="A3504" i="1"/>
  <c r="B3504" i="1"/>
  <c r="A3505" i="1"/>
  <c r="B3505" i="1"/>
  <c r="A3506" i="1"/>
  <c r="B3506" i="1"/>
  <c r="A3507" i="1"/>
  <c r="B3507" i="1"/>
  <c r="A3508" i="1"/>
  <c r="B3508" i="1"/>
  <c r="A3509" i="1"/>
  <c r="B3509" i="1"/>
  <c r="A3510" i="1"/>
  <c r="B3510" i="1"/>
  <c r="A3511" i="1"/>
  <c r="B3511" i="1"/>
  <c r="A3512" i="1"/>
  <c r="B3512" i="1"/>
  <c r="A3513" i="1"/>
  <c r="B3513" i="1"/>
  <c r="A3514" i="1"/>
  <c r="B3514" i="1"/>
  <c r="A3515" i="1"/>
  <c r="B3515" i="1"/>
  <c r="A3516" i="1"/>
  <c r="B3516" i="1"/>
  <c r="A3517" i="1"/>
  <c r="B3517" i="1"/>
  <c r="A3518" i="1"/>
  <c r="B3518" i="1"/>
  <c r="A3519" i="1"/>
  <c r="B3519" i="1"/>
  <c r="A3520" i="1"/>
  <c r="B3520" i="1"/>
  <c r="A3521" i="1"/>
  <c r="B3521" i="1"/>
  <c r="A3522" i="1"/>
  <c r="B3522" i="1"/>
  <c r="A3523" i="1"/>
  <c r="B3523" i="1"/>
  <c r="A3524" i="1"/>
  <c r="B3524" i="1"/>
  <c r="A3525" i="1"/>
  <c r="B3525" i="1"/>
  <c r="A3526" i="1"/>
  <c r="B3526" i="1"/>
  <c r="A3527" i="1"/>
  <c r="B3527" i="1"/>
  <c r="A3528" i="1"/>
  <c r="B3528" i="1"/>
  <c r="A3529" i="1"/>
  <c r="B3529" i="1"/>
  <c r="A3530" i="1"/>
  <c r="B3530" i="1"/>
  <c r="A3531" i="1"/>
  <c r="B3531" i="1"/>
  <c r="A3532" i="1"/>
  <c r="B3532" i="1"/>
  <c r="A3533" i="1"/>
  <c r="B3533" i="1"/>
  <c r="A3534" i="1"/>
  <c r="B3534" i="1"/>
  <c r="A3535" i="1"/>
  <c r="B3535" i="1"/>
  <c r="A3536" i="1"/>
  <c r="B3536" i="1"/>
  <c r="A3537" i="1"/>
  <c r="B3537" i="1"/>
  <c r="A3538" i="1"/>
  <c r="B3538" i="1"/>
  <c r="A3539" i="1"/>
  <c r="B3539" i="1"/>
  <c r="A3540" i="1"/>
  <c r="B3540" i="1"/>
  <c r="A3541" i="1"/>
  <c r="B3541" i="1"/>
  <c r="A3542" i="1"/>
  <c r="B3542" i="1"/>
  <c r="A3543" i="1"/>
  <c r="B3543" i="1"/>
  <c r="A3544" i="1"/>
  <c r="B3544" i="1"/>
  <c r="A3545" i="1"/>
  <c r="B3545" i="1"/>
  <c r="A3546" i="1"/>
  <c r="B3546" i="1"/>
  <c r="A3547" i="1"/>
  <c r="B3547" i="1"/>
  <c r="A3548" i="1"/>
  <c r="B3548" i="1"/>
  <c r="A3549" i="1"/>
  <c r="B3549" i="1"/>
  <c r="A3550" i="1"/>
  <c r="B3550" i="1"/>
  <c r="A3551" i="1"/>
  <c r="B3551" i="1"/>
  <c r="A3552" i="1"/>
  <c r="B3552" i="1"/>
  <c r="A3553" i="1"/>
  <c r="B3553" i="1"/>
  <c r="A3554" i="1"/>
  <c r="B3554" i="1"/>
  <c r="A3555" i="1"/>
  <c r="B3555" i="1"/>
  <c r="A3556" i="1"/>
  <c r="B3556" i="1"/>
  <c r="A3557" i="1"/>
  <c r="B3557" i="1"/>
  <c r="A3558" i="1"/>
  <c r="B3558" i="1"/>
  <c r="A3559" i="1"/>
  <c r="B3559" i="1"/>
  <c r="A3560" i="1"/>
  <c r="B3560" i="1"/>
  <c r="A3561" i="1"/>
  <c r="B3561" i="1"/>
  <c r="A3562" i="1"/>
  <c r="B3562" i="1"/>
  <c r="A3563" i="1"/>
  <c r="B3563" i="1"/>
  <c r="A3564" i="1"/>
  <c r="B3564" i="1"/>
  <c r="A3565" i="1"/>
  <c r="B3565" i="1"/>
  <c r="A3566" i="1"/>
  <c r="B3566" i="1"/>
  <c r="A3567" i="1"/>
  <c r="B3567" i="1"/>
  <c r="A3568" i="1"/>
  <c r="B3568" i="1"/>
  <c r="A3569" i="1"/>
  <c r="B3569" i="1"/>
  <c r="A3570" i="1"/>
  <c r="B3570" i="1"/>
  <c r="A3571" i="1"/>
  <c r="B3571" i="1"/>
  <c r="A3572" i="1"/>
  <c r="B3572" i="1"/>
  <c r="A3573" i="1"/>
  <c r="B3573" i="1"/>
  <c r="A3574" i="1"/>
  <c r="B3574" i="1"/>
  <c r="A3575" i="1"/>
  <c r="B3575" i="1"/>
  <c r="A3576" i="1"/>
  <c r="B3576" i="1"/>
  <c r="A3577" i="1"/>
  <c r="B3577" i="1"/>
  <c r="A3578" i="1"/>
  <c r="B3578" i="1"/>
  <c r="A3579" i="1"/>
  <c r="B3579" i="1"/>
  <c r="A3580" i="1"/>
  <c r="B3580" i="1"/>
  <c r="A3581" i="1"/>
  <c r="B3581" i="1"/>
  <c r="A3582" i="1"/>
  <c r="B3582" i="1"/>
  <c r="A3583" i="1"/>
  <c r="B3583" i="1"/>
  <c r="A3584" i="1"/>
  <c r="B3584" i="1"/>
  <c r="A3585" i="1"/>
  <c r="B3585" i="1"/>
  <c r="A3586" i="1"/>
  <c r="B3586" i="1"/>
  <c r="A3587" i="1"/>
  <c r="B3587" i="1"/>
  <c r="A3588" i="1"/>
  <c r="B3588" i="1"/>
  <c r="A3589" i="1"/>
  <c r="B3589" i="1"/>
  <c r="A3590" i="1"/>
  <c r="B3590" i="1"/>
  <c r="A3591" i="1"/>
  <c r="B3591" i="1"/>
  <c r="A3592" i="1"/>
  <c r="B3592" i="1"/>
  <c r="A3593" i="1"/>
  <c r="B3593" i="1"/>
  <c r="A3594" i="1"/>
  <c r="B3594" i="1"/>
  <c r="A3595" i="1"/>
  <c r="B3595" i="1"/>
  <c r="A3596" i="1"/>
  <c r="B3596" i="1"/>
  <c r="A3597" i="1"/>
  <c r="B3597" i="1"/>
  <c r="A3598" i="1"/>
  <c r="B3598" i="1"/>
  <c r="A3599" i="1"/>
  <c r="B3599" i="1"/>
  <c r="A3600" i="1"/>
  <c r="B3600" i="1"/>
  <c r="A3601" i="1"/>
  <c r="B3601" i="1"/>
  <c r="A3602" i="1"/>
  <c r="B3602" i="1"/>
  <c r="A3603" i="1"/>
  <c r="B3603" i="1"/>
  <c r="A3604" i="1"/>
  <c r="B3604" i="1"/>
  <c r="A3605" i="1"/>
  <c r="B3605" i="1"/>
  <c r="A3606" i="1"/>
  <c r="B3606" i="1"/>
  <c r="A3607" i="1"/>
  <c r="B3607" i="1"/>
  <c r="A3608" i="1"/>
  <c r="B3608" i="1"/>
  <c r="A3609" i="1"/>
  <c r="B3609" i="1"/>
  <c r="A3610" i="1"/>
  <c r="B3610" i="1"/>
  <c r="A3611" i="1"/>
  <c r="B3611" i="1"/>
  <c r="A3612" i="1"/>
  <c r="B3612" i="1"/>
  <c r="A3613" i="1"/>
  <c r="B3613" i="1"/>
  <c r="A3614" i="1"/>
  <c r="B3614" i="1"/>
  <c r="A3615" i="1"/>
  <c r="B3615" i="1"/>
  <c r="A3616" i="1"/>
  <c r="B3616" i="1"/>
  <c r="A3617" i="1"/>
  <c r="B3617" i="1"/>
  <c r="A3618" i="1"/>
  <c r="B3618" i="1"/>
  <c r="A3619" i="1"/>
  <c r="B3619" i="1"/>
  <c r="A3620" i="1"/>
  <c r="B3620" i="1"/>
  <c r="A3621" i="1"/>
  <c r="B3621" i="1"/>
  <c r="A3622" i="1"/>
  <c r="B3622" i="1"/>
  <c r="A3623" i="1"/>
  <c r="B3623" i="1"/>
  <c r="A3624" i="1"/>
  <c r="B3624" i="1"/>
  <c r="A3625" i="1"/>
  <c r="B3625" i="1"/>
  <c r="A3626" i="1"/>
  <c r="B3626" i="1"/>
  <c r="A3627" i="1"/>
  <c r="B3627" i="1"/>
  <c r="A3628" i="1"/>
  <c r="B3628" i="1"/>
  <c r="A3629" i="1"/>
  <c r="B3629" i="1"/>
  <c r="A3630" i="1"/>
  <c r="B3630" i="1"/>
  <c r="A3631" i="1"/>
  <c r="B3631" i="1"/>
  <c r="A3632" i="1"/>
  <c r="B3632" i="1"/>
  <c r="A3633" i="1"/>
  <c r="B3633" i="1"/>
  <c r="A3634" i="1"/>
  <c r="B3634" i="1"/>
  <c r="A3635" i="1"/>
  <c r="B3635" i="1"/>
  <c r="A3636" i="1"/>
  <c r="B3636" i="1"/>
  <c r="A3637" i="1"/>
  <c r="B3637" i="1"/>
  <c r="A3638" i="1"/>
  <c r="B3638" i="1"/>
  <c r="A3639" i="1"/>
  <c r="B3639" i="1"/>
  <c r="A3640" i="1"/>
  <c r="B3640" i="1"/>
  <c r="A3641" i="1"/>
  <c r="B3641" i="1"/>
  <c r="A3642" i="1"/>
  <c r="B3642" i="1"/>
  <c r="A3643" i="1"/>
  <c r="B3643" i="1"/>
  <c r="A3644" i="1"/>
  <c r="B3644" i="1"/>
  <c r="A3645" i="1"/>
  <c r="B3645" i="1"/>
  <c r="A3646" i="1"/>
  <c r="B3646" i="1"/>
  <c r="A3647" i="1"/>
  <c r="B3647" i="1"/>
  <c r="A3648" i="1"/>
  <c r="B3648" i="1"/>
  <c r="A3649" i="1"/>
  <c r="B3649" i="1"/>
  <c r="A3650" i="1"/>
  <c r="B3650" i="1"/>
  <c r="A3651" i="1"/>
  <c r="B3651" i="1"/>
  <c r="A3652" i="1"/>
  <c r="B3652" i="1"/>
  <c r="A3653" i="1"/>
  <c r="B3653" i="1"/>
  <c r="A3654" i="1"/>
  <c r="B3654" i="1"/>
  <c r="A3655" i="1"/>
  <c r="B3655" i="1"/>
  <c r="A3656" i="1"/>
  <c r="B3656" i="1"/>
  <c r="A3657" i="1"/>
  <c r="B3657" i="1"/>
  <c r="A3658" i="1"/>
  <c r="B3658" i="1"/>
  <c r="A3659" i="1"/>
  <c r="B3659" i="1"/>
  <c r="A3660" i="1"/>
  <c r="B3660" i="1"/>
  <c r="A3661" i="1"/>
  <c r="B3661" i="1"/>
  <c r="A3662" i="1"/>
  <c r="B3662" i="1"/>
  <c r="A3663" i="1"/>
  <c r="B3663" i="1"/>
  <c r="A3664" i="1"/>
  <c r="B3664" i="1"/>
  <c r="A3665" i="1"/>
  <c r="B3665" i="1"/>
  <c r="A3666" i="1"/>
  <c r="B3666" i="1"/>
  <c r="A3667" i="1"/>
  <c r="B3667" i="1"/>
  <c r="A3668" i="1"/>
  <c r="B3668" i="1"/>
  <c r="A3669" i="1"/>
  <c r="B3669" i="1"/>
  <c r="A3670" i="1"/>
  <c r="B3670" i="1"/>
  <c r="A3671" i="1"/>
  <c r="B3671" i="1"/>
  <c r="A3672" i="1"/>
  <c r="B3672" i="1"/>
  <c r="A3673" i="1"/>
  <c r="B3673" i="1"/>
  <c r="A3674" i="1"/>
  <c r="B3674" i="1"/>
  <c r="A3675" i="1"/>
  <c r="B3675" i="1"/>
  <c r="A3676" i="1"/>
  <c r="B3676" i="1"/>
  <c r="A3677" i="1"/>
  <c r="B3677" i="1"/>
  <c r="A3678" i="1"/>
  <c r="B3678" i="1"/>
  <c r="A3679" i="1"/>
  <c r="B3679" i="1"/>
  <c r="A3680" i="1"/>
  <c r="B3680" i="1"/>
  <c r="A3681" i="1"/>
  <c r="B3681" i="1"/>
  <c r="A3682" i="1"/>
  <c r="B3682" i="1"/>
  <c r="A3683" i="1"/>
  <c r="B3683" i="1"/>
  <c r="A3684" i="1"/>
  <c r="B3684" i="1"/>
  <c r="A3685" i="1"/>
  <c r="B3685" i="1"/>
  <c r="A3686" i="1"/>
  <c r="B3686" i="1"/>
  <c r="A3687" i="1"/>
  <c r="B3687" i="1"/>
  <c r="A3688" i="1"/>
  <c r="B3688" i="1"/>
  <c r="A3689" i="1"/>
  <c r="B3689" i="1"/>
  <c r="A3690" i="1"/>
  <c r="B3690" i="1"/>
  <c r="A3691" i="1"/>
  <c r="B3691" i="1"/>
  <c r="A3692" i="1"/>
  <c r="B3692" i="1"/>
  <c r="A3693" i="1"/>
  <c r="B3693" i="1"/>
  <c r="A3694" i="1"/>
  <c r="B3694" i="1"/>
  <c r="A3695" i="1"/>
  <c r="B3695" i="1"/>
  <c r="A3696" i="1"/>
  <c r="B3696" i="1"/>
  <c r="A3697" i="1"/>
  <c r="B3697" i="1"/>
  <c r="A3698" i="1"/>
  <c r="B3698" i="1"/>
  <c r="A3699" i="1"/>
  <c r="B3699" i="1"/>
  <c r="A3700" i="1"/>
  <c r="B3700" i="1"/>
  <c r="A3701" i="1"/>
  <c r="B3701" i="1"/>
  <c r="A3702" i="1"/>
  <c r="B3702" i="1"/>
  <c r="A3703" i="1"/>
  <c r="B3703" i="1"/>
  <c r="A3704" i="1"/>
  <c r="B3704" i="1"/>
  <c r="A3705" i="1"/>
  <c r="B3705" i="1"/>
  <c r="A3706" i="1"/>
  <c r="B3706" i="1"/>
  <c r="A3707" i="1"/>
  <c r="B3707" i="1"/>
  <c r="A3708" i="1"/>
  <c r="B3708" i="1"/>
  <c r="A3709" i="1"/>
  <c r="B3709" i="1"/>
  <c r="A3710" i="1"/>
  <c r="B3710" i="1"/>
  <c r="A3711" i="1"/>
  <c r="B3711" i="1"/>
  <c r="A3712" i="1"/>
  <c r="B3712" i="1"/>
  <c r="A3713" i="1"/>
  <c r="B3713" i="1"/>
  <c r="A3714" i="1"/>
  <c r="B3714" i="1"/>
  <c r="A3715" i="1"/>
  <c r="B3715" i="1"/>
  <c r="A3716" i="1"/>
  <c r="B3716" i="1"/>
  <c r="A3717" i="1"/>
  <c r="B3717" i="1"/>
  <c r="A3718" i="1"/>
  <c r="B3718" i="1"/>
  <c r="A3719" i="1"/>
  <c r="B3719" i="1"/>
  <c r="A3720" i="1"/>
  <c r="B3720" i="1"/>
  <c r="A3721" i="1"/>
  <c r="B3721" i="1"/>
  <c r="A3722" i="1"/>
  <c r="B3722" i="1"/>
  <c r="A3723" i="1"/>
  <c r="B3723" i="1"/>
  <c r="A3724" i="1"/>
  <c r="B3724" i="1"/>
  <c r="A3725" i="1"/>
  <c r="B3725" i="1"/>
  <c r="A3726" i="1"/>
  <c r="B3726" i="1"/>
  <c r="A3727" i="1"/>
  <c r="B3727" i="1"/>
  <c r="A3728" i="1"/>
  <c r="B3728" i="1"/>
  <c r="A3729" i="1"/>
  <c r="B3729" i="1"/>
  <c r="A3730" i="1"/>
  <c r="B3730" i="1"/>
  <c r="A3731" i="1"/>
  <c r="B3731" i="1"/>
  <c r="A3732" i="1"/>
  <c r="B3732" i="1"/>
  <c r="A3733" i="1"/>
  <c r="B3733" i="1"/>
  <c r="A3734" i="1"/>
  <c r="B3734" i="1"/>
  <c r="A3735" i="1"/>
  <c r="B3735" i="1"/>
  <c r="A3736" i="1"/>
  <c r="B3736" i="1"/>
  <c r="A3737" i="1"/>
  <c r="B3737" i="1"/>
  <c r="A3738" i="1"/>
  <c r="B3738" i="1"/>
  <c r="A3739" i="1"/>
  <c r="B3739" i="1"/>
  <c r="A3740" i="1"/>
  <c r="B3740" i="1"/>
  <c r="A3741" i="1"/>
  <c r="B3741" i="1"/>
  <c r="A3742" i="1"/>
  <c r="B3742" i="1"/>
  <c r="A3743" i="1"/>
  <c r="B3743" i="1"/>
  <c r="A3744" i="1"/>
  <c r="B3744" i="1"/>
  <c r="A3745" i="1"/>
  <c r="B3745" i="1"/>
  <c r="A3746" i="1"/>
  <c r="B3746" i="1"/>
  <c r="A3747" i="1"/>
  <c r="B3747" i="1"/>
  <c r="A3748" i="1"/>
  <c r="B3748" i="1"/>
  <c r="A3749" i="1"/>
  <c r="B3749" i="1"/>
  <c r="A3750" i="1"/>
  <c r="B3750" i="1"/>
  <c r="A3751" i="1"/>
  <c r="B3751" i="1"/>
  <c r="A3752" i="1"/>
  <c r="B3752" i="1"/>
  <c r="A3753" i="1"/>
  <c r="B3753" i="1"/>
  <c r="A3754" i="1"/>
  <c r="B3754" i="1"/>
  <c r="A3755" i="1"/>
  <c r="B3755" i="1"/>
  <c r="A3756" i="1"/>
  <c r="B3756" i="1"/>
  <c r="A3757" i="1"/>
  <c r="B3757" i="1"/>
  <c r="A3758" i="1"/>
  <c r="B3758" i="1"/>
  <c r="A3759" i="1"/>
  <c r="B3759" i="1"/>
  <c r="A3760" i="1"/>
  <c r="B3760" i="1"/>
  <c r="A3761" i="1"/>
  <c r="B3761" i="1"/>
  <c r="A3762" i="1"/>
  <c r="B3762" i="1"/>
  <c r="A3763" i="1"/>
  <c r="B3763" i="1"/>
  <c r="A3764" i="1"/>
  <c r="B3764" i="1"/>
  <c r="A3765" i="1"/>
  <c r="B3765" i="1"/>
  <c r="A3766" i="1"/>
  <c r="B3766" i="1"/>
  <c r="A3767" i="1"/>
  <c r="B3767" i="1"/>
  <c r="A3768" i="1"/>
  <c r="B3768" i="1"/>
  <c r="A3769" i="1"/>
  <c r="B3769" i="1"/>
  <c r="A3770" i="1"/>
  <c r="B3770" i="1"/>
  <c r="A3771" i="1"/>
  <c r="B3771" i="1"/>
  <c r="A3772" i="1"/>
  <c r="B3772" i="1"/>
  <c r="A3773" i="1"/>
  <c r="B3773" i="1"/>
  <c r="A3774" i="1"/>
  <c r="B3774" i="1"/>
  <c r="A3775" i="1"/>
  <c r="B3775" i="1"/>
  <c r="A3776" i="1"/>
  <c r="B3776" i="1"/>
  <c r="A3777" i="1"/>
  <c r="B3777" i="1"/>
  <c r="A3778" i="1"/>
  <c r="B3778" i="1"/>
  <c r="A3779" i="1"/>
  <c r="B3779" i="1"/>
  <c r="A3780" i="1"/>
  <c r="B3780" i="1"/>
  <c r="A3781" i="1"/>
  <c r="B3781" i="1"/>
  <c r="A3782" i="1"/>
  <c r="B3782" i="1"/>
  <c r="A3783" i="1"/>
  <c r="B3783" i="1"/>
  <c r="A3784" i="1"/>
  <c r="B3784" i="1"/>
  <c r="A3785" i="1"/>
  <c r="B3785" i="1"/>
  <c r="A3786" i="1"/>
  <c r="B3786" i="1"/>
  <c r="A3787" i="1"/>
  <c r="B3787" i="1"/>
  <c r="A3788" i="1"/>
  <c r="B3788" i="1"/>
  <c r="A3789" i="1"/>
  <c r="B3789" i="1"/>
  <c r="A3790" i="1"/>
  <c r="B3790" i="1"/>
  <c r="A3791" i="1"/>
  <c r="B3791" i="1"/>
  <c r="A3792" i="1"/>
  <c r="B3792" i="1"/>
  <c r="A3793" i="1"/>
  <c r="B3793" i="1"/>
  <c r="A3794" i="1"/>
  <c r="B3794" i="1"/>
  <c r="A3795" i="1"/>
  <c r="B3795" i="1"/>
  <c r="A3796" i="1"/>
  <c r="B3796" i="1"/>
  <c r="A3797" i="1"/>
  <c r="B3797" i="1"/>
  <c r="A3798" i="1"/>
  <c r="B3798" i="1"/>
  <c r="A3799" i="1"/>
  <c r="B3799" i="1"/>
  <c r="A3800" i="1"/>
  <c r="B3800" i="1"/>
  <c r="A3801" i="1"/>
  <c r="B3801" i="1"/>
  <c r="A3802" i="1"/>
  <c r="B3802" i="1"/>
  <c r="A3803" i="1"/>
  <c r="B3803" i="1"/>
  <c r="A3804" i="1"/>
  <c r="B3804" i="1"/>
  <c r="A3805" i="1"/>
  <c r="B3805" i="1"/>
  <c r="A3806" i="1"/>
  <c r="B3806" i="1"/>
  <c r="A3807" i="1"/>
  <c r="B3807" i="1"/>
  <c r="A3808" i="1"/>
  <c r="B3808" i="1"/>
  <c r="A3809" i="1"/>
  <c r="B3809" i="1"/>
  <c r="A3810" i="1"/>
  <c r="B3810" i="1"/>
  <c r="A3811" i="1"/>
  <c r="B3811" i="1"/>
  <c r="A3812" i="1"/>
  <c r="B3812" i="1"/>
  <c r="A3813" i="1"/>
  <c r="B3813" i="1"/>
  <c r="A3814" i="1"/>
  <c r="B3814" i="1"/>
  <c r="A3815" i="1"/>
  <c r="B3815" i="1"/>
  <c r="A3816" i="1"/>
  <c r="B3816" i="1"/>
  <c r="A3817" i="1"/>
  <c r="B3817" i="1"/>
  <c r="A3818" i="1"/>
  <c r="B3818" i="1"/>
  <c r="A3819" i="1"/>
  <c r="B3819" i="1"/>
  <c r="A3820" i="1"/>
  <c r="B3820" i="1"/>
  <c r="A3821" i="1"/>
  <c r="B3821" i="1"/>
  <c r="A3822" i="1"/>
  <c r="B3822" i="1"/>
  <c r="A3823" i="1"/>
  <c r="B3823" i="1"/>
  <c r="A3824" i="1"/>
  <c r="B3824" i="1"/>
  <c r="A3825" i="1"/>
  <c r="B3825" i="1"/>
  <c r="A3826" i="1"/>
  <c r="B3826" i="1"/>
  <c r="A3827" i="1"/>
  <c r="B3827" i="1"/>
  <c r="A3828" i="1"/>
  <c r="B3828" i="1"/>
  <c r="A3829" i="1"/>
  <c r="B3829" i="1"/>
  <c r="A3830" i="1"/>
  <c r="B3830" i="1"/>
  <c r="A3831" i="1"/>
  <c r="B3831" i="1"/>
  <c r="A3832" i="1"/>
  <c r="B3832" i="1"/>
  <c r="A3833" i="1"/>
  <c r="B3833" i="1"/>
  <c r="A3834" i="1"/>
  <c r="B3834" i="1"/>
  <c r="A3835" i="1"/>
  <c r="B3835" i="1"/>
  <c r="A3836" i="1"/>
  <c r="B3836" i="1"/>
  <c r="A3837" i="1"/>
  <c r="B3837" i="1"/>
  <c r="A3838" i="1"/>
  <c r="B3838" i="1"/>
  <c r="A3839" i="1"/>
  <c r="B3839" i="1"/>
  <c r="A3840" i="1"/>
  <c r="B3840" i="1"/>
  <c r="A3841" i="1"/>
  <c r="B3841" i="1"/>
  <c r="A3842" i="1"/>
  <c r="B3842" i="1"/>
  <c r="A3843" i="1"/>
  <c r="B3843" i="1"/>
  <c r="A3844" i="1"/>
  <c r="B3844" i="1"/>
  <c r="A3845" i="1"/>
  <c r="B3845" i="1"/>
  <c r="A3846" i="1"/>
  <c r="B3846" i="1"/>
  <c r="A3847" i="1"/>
  <c r="B3847" i="1"/>
  <c r="A3848" i="1"/>
  <c r="B3848" i="1"/>
  <c r="A3849" i="1"/>
  <c r="B3849" i="1"/>
  <c r="A3850" i="1"/>
  <c r="B3850" i="1"/>
  <c r="A3851" i="1"/>
  <c r="B3851" i="1"/>
  <c r="A3852" i="1"/>
  <c r="B3852" i="1"/>
  <c r="A3853" i="1"/>
  <c r="B3853" i="1"/>
  <c r="A3854" i="1"/>
  <c r="B3854" i="1"/>
  <c r="A3855" i="1"/>
  <c r="B3855" i="1"/>
  <c r="A3856" i="1"/>
  <c r="B3856" i="1"/>
  <c r="A3857" i="1"/>
  <c r="B3857" i="1"/>
  <c r="A3858" i="1"/>
  <c r="B3858" i="1"/>
  <c r="A3859" i="1"/>
  <c r="B3859" i="1"/>
  <c r="A3860" i="1"/>
  <c r="B3860" i="1"/>
  <c r="A3861" i="1"/>
  <c r="B3861" i="1"/>
  <c r="A3862" i="1"/>
  <c r="B3862" i="1"/>
  <c r="A3863" i="1"/>
  <c r="B3863" i="1"/>
  <c r="A3864" i="1"/>
  <c r="B3864" i="1"/>
  <c r="A3865" i="1"/>
  <c r="B3865" i="1"/>
  <c r="A3866" i="1"/>
  <c r="B3866" i="1"/>
  <c r="A3867" i="1"/>
  <c r="B3867" i="1"/>
  <c r="A3868" i="1"/>
  <c r="B3868" i="1"/>
  <c r="A3869" i="1"/>
  <c r="B3869" i="1"/>
  <c r="A3870" i="1"/>
  <c r="B3870" i="1"/>
  <c r="A3871" i="1"/>
  <c r="B3871" i="1"/>
  <c r="A3872" i="1"/>
  <c r="B3872" i="1"/>
  <c r="A3873" i="1"/>
  <c r="B3873" i="1"/>
  <c r="A3874" i="1"/>
  <c r="B3874" i="1"/>
  <c r="A3875" i="1"/>
  <c r="B3875" i="1"/>
  <c r="A3876" i="1"/>
  <c r="B3876" i="1"/>
  <c r="A3877" i="1"/>
  <c r="B3877" i="1"/>
  <c r="A3878" i="1"/>
  <c r="B3878" i="1"/>
  <c r="A3879" i="1"/>
  <c r="B3879" i="1"/>
  <c r="A3880" i="1"/>
  <c r="B3880" i="1"/>
  <c r="A3881" i="1"/>
  <c r="B3881" i="1"/>
  <c r="A3882" i="1"/>
  <c r="B3882" i="1"/>
  <c r="A3883" i="1"/>
  <c r="B3883" i="1"/>
  <c r="A3884" i="1"/>
  <c r="B3884" i="1"/>
  <c r="A3885" i="1"/>
  <c r="B3885" i="1"/>
  <c r="A3886" i="1"/>
  <c r="B3886" i="1"/>
  <c r="A3887" i="1"/>
  <c r="B3887" i="1"/>
  <c r="A3888" i="1"/>
  <c r="B3888" i="1"/>
  <c r="A3889" i="1"/>
  <c r="B3889" i="1"/>
  <c r="A3890" i="1"/>
  <c r="B3890" i="1"/>
  <c r="A3891" i="1"/>
  <c r="B3891" i="1"/>
  <c r="A3892" i="1"/>
  <c r="B3892" i="1"/>
  <c r="A3893" i="1"/>
  <c r="B3893" i="1"/>
  <c r="A3894" i="1"/>
  <c r="B3894" i="1"/>
  <c r="A3895" i="1"/>
  <c r="B3895" i="1"/>
  <c r="A3896" i="1"/>
  <c r="B3896" i="1"/>
  <c r="A3897" i="1"/>
  <c r="B3897" i="1"/>
  <c r="A3898" i="1"/>
  <c r="B3898" i="1"/>
  <c r="A3899" i="1"/>
  <c r="B3899" i="1"/>
  <c r="A3900" i="1"/>
  <c r="B3900" i="1"/>
  <c r="A3901" i="1"/>
  <c r="B3901" i="1"/>
  <c r="A3902" i="1"/>
  <c r="B3902" i="1"/>
  <c r="A3903" i="1"/>
  <c r="B3903" i="1"/>
  <c r="A3904" i="1"/>
  <c r="B3904" i="1"/>
  <c r="A3905" i="1"/>
  <c r="B3905" i="1"/>
  <c r="A3906" i="1"/>
  <c r="B3906" i="1"/>
  <c r="A3907" i="1"/>
  <c r="B3907" i="1"/>
  <c r="A3908" i="1"/>
  <c r="B3908" i="1"/>
  <c r="A3909" i="1"/>
  <c r="B3909" i="1"/>
  <c r="A3910" i="1"/>
  <c r="B3910" i="1"/>
  <c r="A3911" i="1"/>
  <c r="B3911" i="1"/>
  <c r="A3912" i="1"/>
  <c r="B3912" i="1"/>
  <c r="A3913" i="1"/>
  <c r="B3913" i="1"/>
  <c r="A3914" i="1"/>
  <c r="B3914" i="1"/>
  <c r="A3915" i="1"/>
  <c r="B3915" i="1"/>
  <c r="A3916" i="1"/>
  <c r="B3916" i="1"/>
  <c r="A3917" i="1"/>
  <c r="B3917" i="1"/>
  <c r="A3918" i="1"/>
  <c r="B3918" i="1"/>
  <c r="A3919" i="1"/>
  <c r="B3919" i="1"/>
  <c r="A3920" i="1"/>
  <c r="B3920" i="1"/>
  <c r="A3921" i="1"/>
  <c r="B3921" i="1"/>
  <c r="A3922" i="1"/>
  <c r="B3922" i="1"/>
  <c r="A3923" i="1"/>
  <c r="B3923" i="1"/>
  <c r="A3924" i="1"/>
  <c r="B3924" i="1"/>
  <c r="A3925" i="1"/>
  <c r="B3925" i="1"/>
  <c r="A3926" i="1"/>
  <c r="B3926" i="1"/>
  <c r="A3927" i="1"/>
  <c r="B3927" i="1"/>
  <c r="A3928" i="1"/>
  <c r="B3928" i="1"/>
  <c r="A3929" i="1"/>
  <c r="B3929" i="1"/>
  <c r="A3930" i="1"/>
  <c r="B3930" i="1"/>
  <c r="A3931" i="1"/>
  <c r="B3931" i="1"/>
  <c r="A3932" i="1"/>
  <c r="B3932" i="1"/>
  <c r="A3933" i="1"/>
  <c r="B3933" i="1"/>
  <c r="A3934" i="1"/>
  <c r="B3934" i="1"/>
  <c r="A3935" i="1"/>
  <c r="B3935" i="1"/>
  <c r="A3936" i="1"/>
  <c r="B3936" i="1"/>
  <c r="A3937" i="1"/>
  <c r="B3937" i="1"/>
  <c r="A3938" i="1"/>
  <c r="B3938" i="1"/>
  <c r="A3939" i="1"/>
  <c r="B3939" i="1"/>
  <c r="A3940" i="1"/>
  <c r="B3940" i="1"/>
  <c r="A3941" i="1"/>
  <c r="B3941" i="1"/>
  <c r="A3942" i="1"/>
  <c r="B3942" i="1"/>
  <c r="A3943" i="1"/>
  <c r="B3943" i="1"/>
  <c r="A3944" i="1"/>
  <c r="B3944" i="1"/>
  <c r="A3945" i="1"/>
  <c r="B3945" i="1"/>
  <c r="A3946" i="1"/>
  <c r="B3946" i="1"/>
  <c r="A3947" i="1"/>
  <c r="B3947" i="1"/>
  <c r="A3948" i="1"/>
  <c r="B3948" i="1"/>
  <c r="A3949" i="1"/>
  <c r="B3949" i="1"/>
  <c r="A3950" i="1"/>
  <c r="B3950" i="1"/>
  <c r="A3951" i="1"/>
  <c r="B3951" i="1"/>
  <c r="A3952" i="1"/>
  <c r="B3952" i="1"/>
  <c r="A3953" i="1"/>
  <c r="B3953" i="1"/>
  <c r="A3954" i="1"/>
  <c r="B3954" i="1"/>
  <c r="A3955" i="1"/>
  <c r="B3955" i="1"/>
  <c r="A3956" i="1"/>
  <c r="B3956" i="1"/>
  <c r="A3957" i="1"/>
  <c r="B3957" i="1"/>
  <c r="A3958" i="1"/>
  <c r="B3958" i="1"/>
  <c r="A3959" i="1"/>
  <c r="B3959" i="1"/>
  <c r="A3960" i="1"/>
  <c r="B3960" i="1"/>
  <c r="A3961" i="1"/>
  <c r="B3961" i="1"/>
  <c r="A3962" i="1"/>
  <c r="B3962" i="1"/>
  <c r="A3963" i="1"/>
  <c r="B3963" i="1"/>
  <c r="A3964" i="1"/>
  <c r="B3964" i="1"/>
  <c r="A3965" i="1"/>
  <c r="B3965" i="1"/>
  <c r="A3966" i="1"/>
  <c r="B3966" i="1"/>
  <c r="A3967" i="1"/>
  <c r="B3967" i="1"/>
  <c r="A3968" i="1"/>
  <c r="B3968" i="1"/>
  <c r="A3969" i="1"/>
  <c r="B3969" i="1"/>
  <c r="A3970" i="1"/>
  <c r="B3970" i="1"/>
  <c r="A3971" i="1"/>
  <c r="B3971" i="1"/>
  <c r="A3972" i="1"/>
  <c r="B3972" i="1"/>
  <c r="A3973" i="1"/>
  <c r="B3973" i="1"/>
  <c r="A3974" i="1"/>
  <c r="B3974" i="1"/>
  <c r="A3975" i="1"/>
  <c r="B3975" i="1"/>
  <c r="A3976" i="1"/>
  <c r="B3976" i="1"/>
  <c r="A3977" i="1"/>
  <c r="B3977" i="1"/>
  <c r="A3978" i="1"/>
  <c r="B3978" i="1"/>
  <c r="A3979" i="1"/>
  <c r="B3979" i="1"/>
  <c r="A3980" i="1"/>
  <c r="B3980" i="1"/>
  <c r="A3981" i="1"/>
  <c r="B3981" i="1"/>
  <c r="A3982" i="1"/>
  <c r="B3982" i="1"/>
  <c r="A3983" i="1"/>
  <c r="B3983" i="1"/>
  <c r="A3984" i="1"/>
  <c r="B3984" i="1"/>
  <c r="A3985" i="1"/>
  <c r="B3985" i="1"/>
  <c r="A3986" i="1"/>
  <c r="B3986" i="1"/>
  <c r="A3987" i="1"/>
  <c r="B3987" i="1"/>
  <c r="A3988" i="1"/>
  <c r="B3988" i="1"/>
  <c r="A3989" i="1"/>
  <c r="B3989" i="1"/>
  <c r="A3990" i="1"/>
  <c r="B3990" i="1"/>
  <c r="A3991" i="1"/>
  <c r="B3991" i="1"/>
  <c r="A3992" i="1"/>
  <c r="B3992" i="1"/>
  <c r="A3993" i="1"/>
  <c r="B3993" i="1"/>
  <c r="A3994" i="1"/>
  <c r="B3994" i="1"/>
  <c r="A3995" i="1"/>
  <c r="B3995" i="1"/>
  <c r="A3996" i="1"/>
  <c r="B3996" i="1"/>
  <c r="A3997" i="1"/>
  <c r="B3997" i="1"/>
  <c r="A3998" i="1"/>
  <c r="B3998" i="1"/>
  <c r="A3999" i="1"/>
  <c r="B3999" i="1"/>
  <c r="A4000" i="1"/>
  <c r="B4000" i="1"/>
  <c r="A4001" i="1"/>
  <c r="B4001" i="1"/>
  <c r="A4002" i="1"/>
  <c r="B4002" i="1"/>
  <c r="A4003" i="1"/>
  <c r="B4003" i="1"/>
  <c r="A4004" i="1"/>
  <c r="B4004" i="1"/>
  <c r="A4005" i="1"/>
  <c r="B4005" i="1"/>
  <c r="A4006" i="1"/>
  <c r="B4006" i="1"/>
  <c r="A4007" i="1"/>
  <c r="B4007" i="1"/>
  <c r="A4008" i="1"/>
  <c r="B4008" i="1"/>
  <c r="A4009" i="1"/>
  <c r="B4009" i="1"/>
  <c r="A4010" i="1"/>
  <c r="B4010" i="1"/>
  <c r="A4011" i="1"/>
  <c r="B4011" i="1"/>
  <c r="A4012" i="1"/>
  <c r="B4012" i="1"/>
  <c r="A4013" i="1"/>
  <c r="B4013" i="1"/>
  <c r="A4014" i="1"/>
  <c r="B4014" i="1"/>
  <c r="A4015" i="1"/>
  <c r="B4015" i="1"/>
  <c r="A4016" i="1"/>
  <c r="B4016" i="1"/>
  <c r="A4017" i="1"/>
  <c r="B4017" i="1"/>
  <c r="A4018" i="1"/>
  <c r="B4018" i="1"/>
  <c r="A4019" i="1"/>
  <c r="B4019" i="1"/>
  <c r="A4020" i="1"/>
  <c r="B4020" i="1"/>
  <c r="A4021" i="1"/>
  <c r="B4021" i="1"/>
  <c r="A4022" i="1"/>
  <c r="B4022" i="1"/>
  <c r="A4023" i="1"/>
  <c r="B4023" i="1"/>
  <c r="A4024" i="1"/>
  <c r="B4024" i="1"/>
  <c r="A4025" i="1"/>
  <c r="B4025" i="1"/>
  <c r="A4026" i="1"/>
  <c r="B4026" i="1"/>
  <c r="A4027" i="1"/>
  <c r="B4027" i="1"/>
  <c r="A4028" i="1"/>
  <c r="B4028" i="1"/>
  <c r="A4029" i="1"/>
  <c r="B4029" i="1"/>
  <c r="A4030" i="1"/>
  <c r="B4030" i="1"/>
  <c r="A4031" i="1"/>
  <c r="B4031" i="1"/>
  <c r="A4032" i="1"/>
  <c r="B4032" i="1"/>
  <c r="A4033" i="1"/>
  <c r="B4033" i="1"/>
  <c r="A4034" i="1"/>
  <c r="B4034" i="1"/>
  <c r="A4035" i="1"/>
  <c r="B4035" i="1"/>
  <c r="A4036" i="1"/>
  <c r="B4036" i="1"/>
  <c r="A4037" i="1"/>
  <c r="B4037" i="1"/>
  <c r="A4038" i="1"/>
  <c r="B4038" i="1"/>
  <c r="A4039" i="1"/>
  <c r="B4039" i="1"/>
  <c r="A4040" i="1"/>
  <c r="B4040" i="1"/>
  <c r="A4041" i="1"/>
  <c r="B4041" i="1"/>
  <c r="A4042" i="1"/>
  <c r="B4042" i="1"/>
  <c r="A4043" i="1"/>
  <c r="B4043" i="1"/>
  <c r="A4044" i="1"/>
  <c r="B4044" i="1"/>
  <c r="A4045" i="1"/>
  <c r="B4045" i="1"/>
  <c r="A4046" i="1"/>
  <c r="B4046" i="1"/>
  <c r="A4047" i="1"/>
  <c r="B4047" i="1"/>
  <c r="A4048" i="1"/>
  <c r="B4048" i="1"/>
  <c r="A4049" i="1"/>
  <c r="B4049" i="1"/>
  <c r="A4050" i="1"/>
  <c r="B4050" i="1"/>
  <c r="A4051" i="1"/>
  <c r="B4051" i="1"/>
  <c r="A4052" i="1"/>
  <c r="B4052" i="1"/>
  <c r="A4053" i="1"/>
  <c r="B4053" i="1"/>
  <c r="A4054" i="1"/>
  <c r="B4054" i="1"/>
  <c r="A4055" i="1"/>
  <c r="B4055" i="1"/>
  <c r="A4056" i="1"/>
  <c r="B4056" i="1"/>
  <c r="A4057" i="1"/>
  <c r="B4057" i="1"/>
  <c r="A4058" i="1"/>
  <c r="B4058" i="1"/>
  <c r="A4059" i="1"/>
  <c r="B4059" i="1"/>
  <c r="A4060" i="1"/>
  <c r="B4060" i="1"/>
  <c r="A4061" i="1"/>
  <c r="B4061" i="1"/>
  <c r="A4062" i="1"/>
  <c r="B4062" i="1"/>
  <c r="A4063" i="1"/>
  <c r="B4063" i="1"/>
  <c r="A4064" i="1"/>
  <c r="B4064" i="1"/>
  <c r="A4065" i="1"/>
  <c r="B4065" i="1"/>
  <c r="A4066" i="1"/>
  <c r="B4066" i="1"/>
  <c r="A4067" i="1"/>
  <c r="B4067" i="1"/>
  <c r="A4068" i="1"/>
  <c r="B4068" i="1"/>
  <c r="A4069" i="1"/>
  <c r="B4069" i="1"/>
  <c r="A4070" i="1"/>
  <c r="B4070" i="1"/>
  <c r="A4071" i="1"/>
  <c r="B4071" i="1"/>
  <c r="A4072" i="1"/>
  <c r="B4072" i="1"/>
  <c r="A4073" i="1"/>
  <c r="B4073" i="1"/>
  <c r="A4074" i="1"/>
  <c r="B4074" i="1"/>
  <c r="A4075" i="1"/>
  <c r="B4075" i="1"/>
  <c r="A4076" i="1"/>
  <c r="B4076" i="1"/>
  <c r="A4077" i="1"/>
  <c r="B4077" i="1"/>
  <c r="A4078" i="1"/>
  <c r="B4078" i="1"/>
  <c r="A4079" i="1"/>
  <c r="B4079" i="1"/>
  <c r="A4080" i="1"/>
  <c r="B4080" i="1"/>
  <c r="A4081" i="1"/>
  <c r="B4081" i="1"/>
  <c r="A4082" i="1"/>
  <c r="B4082" i="1"/>
  <c r="A4083" i="1"/>
  <c r="B4083" i="1"/>
  <c r="A4084" i="1"/>
  <c r="B4084" i="1"/>
  <c r="A4085" i="1"/>
  <c r="B4085" i="1"/>
  <c r="A4086" i="1"/>
  <c r="B4086" i="1"/>
  <c r="A4087" i="1"/>
  <c r="B4087" i="1"/>
  <c r="A4088" i="1"/>
  <c r="B4088" i="1"/>
  <c r="A4089" i="1"/>
  <c r="B4089" i="1"/>
  <c r="A4090" i="1"/>
  <c r="B4090" i="1"/>
  <c r="A4091" i="1"/>
  <c r="B4091" i="1"/>
  <c r="A4092" i="1"/>
  <c r="B4092" i="1"/>
  <c r="A4093" i="1"/>
  <c r="B4093" i="1"/>
  <c r="A4094" i="1"/>
  <c r="B4094" i="1"/>
  <c r="A4095" i="1"/>
  <c r="B4095" i="1"/>
  <c r="A4096" i="1"/>
  <c r="B4096" i="1"/>
  <c r="A4097" i="1"/>
  <c r="B4097" i="1"/>
  <c r="A4098" i="1"/>
  <c r="B4098" i="1"/>
  <c r="A4099" i="1"/>
  <c r="B4099" i="1"/>
  <c r="A4100" i="1"/>
  <c r="B4100" i="1"/>
  <c r="A4101" i="1"/>
  <c r="B4101" i="1"/>
  <c r="A4102" i="1"/>
  <c r="B4102" i="1"/>
  <c r="A4103" i="1"/>
  <c r="B4103" i="1"/>
  <c r="A4104" i="1"/>
  <c r="B4104" i="1"/>
  <c r="A4105" i="1"/>
  <c r="B4105" i="1"/>
  <c r="A4106" i="1"/>
  <c r="B4106" i="1"/>
  <c r="A4107" i="1"/>
  <c r="B4107" i="1"/>
  <c r="A4108" i="1"/>
  <c r="B4108" i="1"/>
  <c r="A4109" i="1"/>
  <c r="B4109" i="1"/>
  <c r="A4110" i="1"/>
  <c r="B4110" i="1"/>
  <c r="A4111" i="1"/>
  <c r="B4111" i="1"/>
  <c r="A4112" i="1"/>
  <c r="B4112" i="1"/>
  <c r="A4113" i="1"/>
  <c r="B4113" i="1"/>
  <c r="A4114" i="1"/>
  <c r="B4114" i="1"/>
  <c r="A4115" i="1"/>
  <c r="B4115" i="1"/>
  <c r="A4116" i="1"/>
  <c r="B4116" i="1"/>
  <c r="A4117" i="1"/>
  <c r="B4117" i="1"/>
  <c r="A4118" i="1"/>
  <c r="B4118" i="1"/>
  <c r="A4119" i="1"/>
  <c r="B4119" i="1"/>
  <c r="A4120" i="1"/>
  <c r="B4120" i="1"/>
  <c r="A4121" i="1"/>
  <c r="B4121" i="1"/>
  <c r="A4122" i="1"/>
  <c r="B4122" i="1"/>
  <c r="A4123" i="1"/>
  <c r="B4123" i="1"/>
  <c r="A4124" i="1"/>
  <c r="B4124" i="1"/>
  <c r="A4125" i="1"/>
  <c r="B4125" i="1"/>
  <c r="A4126" i="1"/>
  <c r="B4126" i="1"/>
  <c r="A4127" i="1"/>
  <c r="B4127" i="1"/>
  <c r="A4128" i="1"/>
  <c r="B4128" i="1"/>
  <c r="A4129" i="1"/>
  <c r="B4129" i="1"/>
  <c r="A4130" i="1"/>
  <c r="B4130" i="1"/>
  <c r="A4131" i="1"/>
  <c r="B4131" i="1"/>
  <c r="A4132" i="1"/>
  <c r="B4132" i="1"/>
  <c r="A4133" i="1"/>
  <c r="B4133" i="1"/>
  <c r="A4134" i="1"/>
  <c r="B4134" i="1"/>
  <c r="A4135" i="1"/>
  <c r="B4135" i="1"/>
  <c r="A4136" i="1"/>
  <c r="B4136" i="1"/>
  <c r="A4137" i="1"/>
  <c r="B4137" i="1"/>
  <c r="A4138" i="1"/>
  <c r="B4138" i="1"/>
  <c r="A4139" i="1"/>
  <c r="B4139" i="1"/>
  <c r="A4140" i="1"/>
  <c r="B4140" i="1"/>
  <c r="A4141" i="1"/>
  <c r="B4141" i="1"/>
  <c r="A4142" i="1"/>
  <c r="B4142" i="1"/>
  <c r="A4143" i="1"/>
  <c r="B4143" i="1"/>
  <c r="A4144" i="1"/>
  <c r="B4144" i="1"/>
  <c r="A4145" i="1"/>
  <c r="B4145" i="1"/>
  <c r="A4146" i="1"/>
  <c r="B4146" i="1"/>
  <c r="A4147" i="1"/>
  <c r="B4147" i="1"/>
  <c r="A4148" i="1"/>
  <c r="B4148" i="1"/>
  <c r="A4149" i="1"/>
  <c r="B4149" i="1"/>
  <c r="A4150" i="1"/>
  <c r="B4150" i="1"/>
  <c r="A4151" i="1"/>
  <c r="B4151" i="1"/>
  <c r="A4152" i="1"/>
  <c r="B4152" i="1"/>
  <c r="A4153" i="1"/>
  <c r="B4153" i="1"/>
  <c r="A4154" i="1"/>
  <c r="B4154" i="1"/>
  <c r="A4155" i="1"/>
  <c r="B4155" i="1"/>
  <c r="A4156" i="1"/>
  <c r="B4156" i="1"/>
  <c r="A4157" i="1"/>
  <c r="B4157" i="1"/>
  <c r="A4158" i="1"/>
  <c r="B4158" i="1"/>
  <c r="A4159" i="1"/>
  <c r="B4159" i="1"/>
  <c r="A4160" i="1"/>
  <c r="B4160" i="1"/>
  <c r="A4161" i="1"/>
  <c r="B4161" i="1"/>
  <c r="A4162" i="1"/>
  <c r="B4162" i="1"/>
  <c r="A4163" i="1"/>
  <c r="B4163" i="1"/>
  <c r="A4164" i="1"/>
  <c r="B4164" i="1"/>
  <c r="A4165" i="1"/>
  <c r="B4165" i="1"/>
  <c r="A4166" i="1"/>
  <c r="B4166" i="1"/>
  <c r="A4167" i="1"/>
  <c r="B4167" i="1"/>
  <c r="A4168" i="1"/>
  <c r="B4168" i="1"/>
  <c r="A4169" i="1"/>
  <c r="B4169" i="1"/>
  <c r="A4170" i="1"/>
  <c r="B4170" i="1"/>
  <c r="A4171" i="1"/>
  <c r="B4171" i="1"/>
  <c r="A4172" i="1"/>
  <c r="B4172" i="1"/>
  <c r="A4173" i="1"/>
  <c r="B4173" i="1"/>
  <c r="A4174" i="1"/>
  <c r="B4174" i="1"/>
  <c r="A4175" i="1"/>
  <c r="B4175" i="1"/>
  <c r="A4176" i="1"/>
  <c r="B4176" i="1"/>
  <c r="A4177" i="1"/>
  <c r="B4177" i="1"/>
  <c r="A4178" i="1"/>
  <c r="B4178" i="1"/>
  <c r="A4179" i="1"/>
  <c r="B4179" i="1"/>
  <c r="A4180" i="1"/>
  <c r="B4180" i="1"/>
  <c r="A4181" i="1"/>
  <c r="B4181" i="1"/>
  <c r="A4182" i="1"/>
  <c r="B4182" i="1"/>
  <c r="A4183" i="1"/>
  <c r="B4183" i="1"/>
  <c r="A4184" i="1"/>
  <c r="B4184" i="1"/>
  <c r="A4185" i="1"/>
  <c r="B4185" i="1"/>
  <c r="A4186" i="1"/>
  <c r="B4186" i="1"/>
  <c r="A4187" i="1"/>
  <c r="B4187" i="1"/>
  <c r="A4188" i="1"/>
  <c r="B4188" i="1"/>
  <c r="A4189" i="1"/>
  <c r="B4189" i="1"/>
  <c r="A4190" i="1"/>
  <c r="B4190" i="1"/>
  <c r="A4191" i="1"/>
  <c r="B4191" i="1"/>
  <c r="A4192" i="1"/>
  <c r="B4192" i="1"/>
  <c r="A4193" i="1"/>
  <c r="B4193" i="1"/>
  <c r="A4194" i="1"/>
  <c r="B4194" i="1"/>
  <c r="A4195" i="1"/>
  <c r="B4195" i="1"/>
  <c r="A4196" i="1"/>
  <c r="B4196" i="1"/>
  <c r="A4197" i="1"/>
  <c r="B4197" i="1"/>
  <c r="A4198" i="1"/>
  <c r="B4198" i="1"/>
  <c r="A4199" i="1"/>
  <c r="B4199" i="1"/>
  <c r="A4200" i="1"/>
  <c r="B4200" i="1"/>
  <c r="A4201" i="1"/>
  <c r="B4201" i="1"/>
  <c r="A4202" i="1"/>
  <c r="B4202" i="1"/>
  <c r="A4203" i="1"/>
  <c r="B4203" i="1"/>
  <c r="A4204" i="1"/>
  <c r="B4204" i="1"/>
  <c r="A4205" i="1"/>
  <c r="B4205" i="1"/>
  <c r="A4206" i="1"/>
  <c r="B4206" i="1"/>
  <c r="A4207" i="1"/>
  <c r="B4207" i="1"/>
  <c r="A4208" i="1"/>
  <c r="B4208" i="1"/>
  <c r="A4209" i="1"/>
  <c r="B4209" i="1"/>
  <c r="A4210" i="1"/>
  <c r="B4210" i="1"/>
  <c r="A4211" i="1"/>
  <c r="B4211" i="1"/>
  <c r="A4212" i="1"/>
  <c r="B4212" i="1"/>
  <c r="A4213" i="1"/>
  <c r="B4213" i="1"/>
  <c r="A4214" i="1"/>
  <c r="B4214" i="1"/>
  <c r="A4215" i="1"/>
  <c r="B4215" i="1"/>
  <c r="A4216" i="1"/>
  <c r="B4216" i="1"/>
  <c r="A4217" i="1"/>
  <c r="B4217" i="1"/>
  <c r="A4218" i="1"/>
  <c r="B4218" i="1"/>
  <c r="A4219" i="1"/>
  <c r="B4219" i="1"/>
  <c r="A4220" i="1"/>
  <c r="B4220" i="1"/>
  <c r="A4221" i="1"/>
  <c r="B4221" i="1"/>
  <c r="A4222" i="1"/>
  <c r="B4222" i="1"/>
  <c r="A4223" i="1"/>
  <c r="B4223" i="1"/>
  <c r="A4224" i="1"/>
  <c r="B4224" i="1"/>
  <c r="A4225" i="1"/>
  <c r="B4225" i="1"/>
  <c r="A4226" i="1"/>
  <c r="B4226" i="1"/>
  <c r="A4227" i="1"/>
  <c r="B4227" i="1"/>
  <c r="A4228" i="1"/>
  <c r="B4228" i="1"/>
  <c r="A4229" i="1"/>
  <c r="B4229" i="1"/>
  <c r="A4230" i="1"/>
  <c r="B4230" i="1"/>
  <c r="A4231" i="1"/>
  <c r="B4231" i="1"/>
  <c r="A4232" i="1"/>
  <c r="B4232" i="1"/>
  <c r="A4233" i="1"/>
  <c r="B4233" i="1"/>
  <c r="A4234" i="1"/>
  <c r="B4234" i="1"/>
  <c r="A4235" i="1"/>
  <c r="B4235" i="1"/>
  <c r="A4236" i="1"/>
  <c r="B4236" i="1"/>
  <c r="A4237" i="1"/>
  <c r="B4237" i="1"/>
  <c r="A4238" i="1"/>
  <c r="B4238" i="1"/>
  <c r="A4239" i="1"/>
  <c r="B4239" i="1"/>
  <c r="A4240" i="1"/>
  <c r="B4240" i="1"/>
  <c r="A4241" i="1"/>
  <c r="B4241" i="1"/>
  <c r="A4242" i="1"/>
  <c r="B4242" i="1"/>
  <c r="A4243" i="1"/>
  <c r="B4243" i="1"/>
  <c r="A4244" i="1"/>
  <c r="B4244" i="1"/>
  <c r="A4245" i="1"/>
  <c r="B4245" i="1"/>
  <c r="A4246" i="1"/>
  <c r="B4246" i="1"/>
  <c r="A4247" i="1"/>
  <c r="B4247" i="1"/>
  <c r="A4248" i="1"/>
  <c r="B4248" i="1"/>
  <c r="A4249" i="1"/>
  <c r="B4249" i="1"/>
  <c r="A4250" i="1"/>
  <c r="B4250" i="1"/>
  <c r="A4251" i="1"/>
  <c r="B4251" i="1"/>
  <c r="A4252" i="1"/>
  <c r="B4252" i="1"/>
  <c r="A4253" i="1"/>
  <c r="B4253" i="1"/>
  <c r="A4254" i="1"/>
  <c r="B4254" i="1"/>
  <c r="A4255" i="1"/>
  <c r="B4255" i="1"/>
  <c r="A4256" i="1"/>
  <c r="B4256" i="1"/>
  <c r="A4257" i="1"/>
  <c r="B4257" i="1"/>
  <c r="A4258" i="1"/>
  <c r="B4258" i="1"/>
  <c r="A4259" i="1"/>
  <c r="B4259" i="1"/>
  <c r="A4260" i="1"/>
  <c r="B4260" i="1"/>
  <c r="A4261" i="1"/>
  <c r="B4261" i="1"/>
  <c r="A4262" i="1"/>
  <c r="B4262" i="1"/>
  <c r="A4263" i="1"/>
  <c r="B4263" i="1"/>
  <c r="A4264" i="1"/>
  <c r="B4264" i="1"/>
  <c r="A4265" i="1"/>
  <c r="B4265" i="1"/>
  <c r="A4266" i="1"/>
  <c r="B4266" i="1"/>
  <c r="A4267" i="1"/>
  <c r="B4267" i="1"/>
  <c r="A4268" i="1"/>
  <c r="B4268" i="1"/>
  <c r="A4269" i="1"/>
  <c r="B4269" i="1"/>
  <c r="A4270" i="1"/>
  <c r="B4270" i="1"/>
  <c r="A4271" i="1"/>
  <c r="B4271" i="1"/>
  <c r="A4272" i="1"/>
  <c r="B4272" i="1"/>
  <c r="A4273" i="1"/>
  <c r="B4273" i="1"/>
  <c r="A4274" i="1"/>
  <c r="B4274" i="1"/>
  <c r="A4275" i="1"/>
  <c r="B4275" i="1"/>
  <c r="A4276" i="1"/>
  <c r="B4276" i="1"/>
  <c r="A4277" i="1"/>
  <c r="B4277" i="1"/>
  <c r="A4278" i="1"/>
  <c r="B4278" i="1"/>
  <c r="A4279" i="1"/>
  <c r="B4279" i="1"/>
  <c r="A4280" i="1"/>
  <c r="B4280" i="1"/>
  <c r="A4281" i="1"/>
  <c r="B4281" i="1"/>
  <c r="A4282" i="1"/>
  <c r="B4282" i="1"/>
  <c r="A4283" i="1"/>
  <c r="B4283" i="1"/>
  <c r="A4284" i="1"/>
  <c r="B4284" i="1"/>
  <c r="A4285" i="1"/>
  <c r="B4285" i="1"/>
  <c r="A4286" i="1"/>
  <c r="B4286" i="1"/>
  <c r="A4287" i="1"/>
  <c r="B4287" i="1"/>
  <c r="A4288" i="1"/>
  <c r="B4288" i="1"/>
  <c r="A4289" i="1"/>
  <c r="B4289" i="1"/>
  <c r="A4290" i="1"/>
  <c r="B4290" i="1"/>
  <c r="A4291" i="1"/>
  <c r="B4291" i="1"/>
  <c r="A4292" i="1"/>
  <c r="B4292" i="1"/>
  <c r="A4293" i="1"/>
  <c r="B4293" i="1"/>
  <c r="A4294" i="1"/>
  <c r="B4294" i="1"/>
  <c r="A4295" i="1"/>
  <c r="B4295" i="1"/>
  <c r="A4296" i="1"/>
  <c r="B4296" i="1"/>
  <c r="A4297" i="1"/>
  <c r="B4297" i="1"/>
  <c r="A4298" i="1"/>
  <c r="B4298" i="1"/>
  <c r="A4299" i="1"/>
  <c r="B4299" i="1"/>
  <c r="A4300" i="1"/>
  <c r="B4300" i="1"/>
  <c r="A4301" i="1"/>
  <c r="B4301" i="1"/>
  <c r="A4302" i="1"/>
  <c r="B4302" i="1"/>
  <c r="A4303" i="1"/>
  <c r="B4303" i="1"/>
  <c r="A4304" i="1"/>
  <c r="B4304" i="1"/>
  <c r="A4305" i="1"/>
  <c r="B4305" i="1"/>
  <c r="A4306" i="1"/>
  <c r="B4306" i="1"/>
  <c r="A4307" i="1"/>
  <c r="B4307" i="1"/>
  <c r="A4308" i="1"/>
  <c r="B4308" i="1"/>
  <c r="A4309" i="1"/>
  <c r="B4309" i="1"/>
  <c r="A4310" i="1"/>
  <c r="B4310" i="1"/>
  <c r="A4311" i="1"/>
  <c r="B4311" i="1"/>
  <c r="A4312" i="1"/>
  <c r="B4312" i="1"/>
  <c r="A4313" i="1"/>
  <c r="B4313" i="1"/>
  <c r="A4314" i="1"/>
  <c r="B4314" i="1"/>
  <c r="A4315" i="1"/>
  <c r="B4315" i="1"/>
  <c r="A4316" i="1"/>
  <c r="B4316" i="1"/>
  <c r="A4317" i="1"/>
  <c r="B4317" i="1"/>
  <c r="A4318" i="1"/>
  <c r="B4318" i="1"/>
  <c r="A4319" i="1"/>
  <c r="B4319" i="1"/>
  <c r="A4320" i="1"/>
  <c r="B4320" i="1"/>
  <c r="A4321" i="1"/>
  <c r="B4321" i="1"/>
  <c r="A4322" i="1"/>
  <c r="B4322" i="1"/>
  <c r="A4323" i="1"/>
  <c r="B4323" i="1"/>
  <c r="A4324" i="1"/>
  <c r="B4324" i="1"/>
  <c r="A4325" i="1"/>
  <c r="B4325" i="1"/>
  <c r="A4326" i="1"/>
  <c r="B4326" i="1"/>
  <c r="A4327" i="1"/>
  <c r="B4327" i="1"/>
  <c r="A4328" i="1"/>
  <c r="B4328" i="1"/>
  <c r="A4329" i="1"/>
  <c r="B4329" i="1"/>
  <c r="A4330" i="1"/>
  <c r="B4330" i="1"/>
  <c r="A4331" i="1"/>
  <c r="B4331" i="1"/>
  <c r="A4332" i="1"/>
  <c r="B4332" i="1"/>
  <c r="A4333" i="1"/>
  <c r="B4333" i="1"/>
  <c r="A4334" i="1"/>
  <c r="B4334" i="1"/>
  <c r="A4335" i="1"/>
  <c r="B4335" i="1"/>
  <c r="A4336" i="1"/>
  <c r="B4336" i="1"/>
  <c r="A4337" i="1"/>
  <c r="B4337" i="1"/>
  <c r="A4338" i="1"/>
  <c r="B4338" i="1"/>
  <c r="A4339" i="1"/>
  <c r="B4339" i="1"/>
  <c r="A4340" i="1"/>
  <c r="B4340" i="1"/>
  <c r="A4341" i="1"/>
  <c r="B4341" i="1"/>
  <c r="A4342" i="1"/>
  <c r="B4342" i="1"/>
  <c r="A4343" i="1"/>
  <c r="B4343" i="1"/>
  <c r="A4344" i="1"/>
  <c r="B4344" i="1"/>
  <c r="A4345" i="1"/>
  <c r="B4345" i="1"/>
  <c r="A4346" i="1"/>
  <c r="B4346" i="1"/>
  <c r="A4347" i="1"/>
  <c r="B4347" i="1"/>
  <c r="A4348" i="1"/>
  <c r="B4348" i="1"/>
  <c r="A4349" i="1"/>
  <c r="B4349" i="1"/>
  <c r="A4350" i="1"/>
  <c r="B4350" i="1"/>
  <c r="A4351" i="1"/>
  <c r="B4351" i="1"/>
  <c r="A4352" i="1"/>
  <c r="B4352" i="1"/>
  <c r="A4353" i="1"/>
  <c r="B4353" i="1"/>
  <c r="A4354" i="1"/>
  <c r="B4354" i="1"/>
  <c r="A4355" i="1"/>
  <c r="B4355" i="1"/>
  <c r="A4356" i="1"/>
  <c r="B4356" i="1"/>
  <c r="A4357" i="1"/>
  <c r="B4357" i="1"/>
  <c r="A4358" i="1"/>
  <c r="B4358" i="1"/>
  <c r="A4359" i="1"/>
  <c r="B4359" i="1"/>
  <c r="A4360" i="1"/>
  <c r="B4360" i="1"/>
  <c r="A4361" i="1"/>
  <c r="B4361" i="1"/>
  <c r="A4362" i="1"/>
  <c r="B4362" i="1"/>
  <c r="A4363" i="1"/>
  <c r="B4363" i="1"/>
  <c r="A4364" i="1"/>
  <c r="B4364" i="1"/>
  <c r="A4365" i="1"/>
  <c r="B4365" i="1"/>
  <c r="A4366" i="1"/>
  <c r="B4366" i="1"/>
  <c r="A4367" i="1"/>
  <c r="B4367" i="1"/>
  <c r="A4368" i="1"/>
  <c r="B4368" i="1"/>
  <c r="A4369" i="1"/>
  <c r="B4369" i="1"/>
  <c r="A4370" i="1"/>
  <c r="B4370" i="1"/>
  <c r="A4371" i="1"/>
  <c r="B4371" i="1"/>
  <c r="A4372" i="1"/>
  <c r="B4372" i="1"/>
  <c r="A4373" i="1"/>
  <c r="B4373" i="1"/>
  <c r="A4374" i="1"/>
  <c r="B4374" i="1"/>
  <c r="A4375" i="1"/>
  <c r="B4375" i="1"/>
  <c r="A4376" i="1"/>
  <c r="B4376" i="1"/>
  <c r="A4377" i="1"/>
  <c r="B4377" i="1"/>
  <c r="A4378" i="1"/>
  <c r="B4378" i="1"/>
  <c r="A4379" i="1"/>
  <c r="B4379" i="1"/>
  <c r="A4380" i="1"/>
  <c r="B4380" i="1"/>
  <c r="A4381" i="1"/>
  <c r="B4381" i="1"/>
  <c r="A4382" i="1"/>
  <c r="B4382" i="1"/>
  <c r="A4383" i="1"/>
  <c r="B4383" i="1"/>
  <c r="A4384" i="1"/>
  <c r="B4384" i="1"/>
  <c r="A4385" i="1"/>
  <c r="B4385" i="1"/>
  <c r="A4386" i="1"/>
  <c r="B4386" i="1"/>
  <c r="A4387" i="1"/>
  <c r="B4387" i="1"/>
  <c r="A4388" i="1"/>
  <c r="B4388" i="1"/>
  <c r="A4389" i="1"/>
  <c r="B4389" i="1"/>
  <c r="A4390" i="1"/>
  <c r="B4390" i="1"/>
  <c r="A4391" i="1"/>
  <c r="B4391" i="1"/>
  <c r="A4392" i="1"/>
  <c r="B4392" i="1"/>
  <c r="A4393" i="1"/>
  <c r="B4393" i="1"/>
  <c r="A4394" i="1"/>
  <c r="B4394" i="1"/>
  <c r="A4395" i="1"/>
  <c r="B4395" i="1"/>
  <c r="A4396" i="1"/>
  <c r="B4396" i="1"/>
  <c r="A4397" i="1"/>
  <c r="B4397" i="1"/>
  <c r="A4398" i="1"/>
  <c r="B4398" i="1"/>
  <c r="A4399" i="1"/>
  <c r="B4399" i="1"/>
  <c r="A4400" i="1"/>
  <c r="B4400" i="1"/>
  <c r="A4401" i="1"/>
  <c r="B4401" i="1"/>
  <c r="A4402" i="1"/>
  <c r="B4402" i="1"/>
  <c r="A4403" i="1"/>
  <c r="B4403" i="1"/>
  <c r="A4404" i="1"/>
  <c r="B4404" i="1"/>
  <c r="A4405" i="1"/>
  <c r="B4405" i="1"/>
  <c r="A4406" i="1"/>
  <c r="B4406" i="1"/>
  <c r="A4407" i="1"/>
  <c r="B4407" i="1"/>
  <c r="A4408" i="1"/>
  <c r="B4408" i="1"/>
  <c r="A4409" i="1"/>
  <c r="B4409" i="1"/>
  <c r="A4410" i="1"/>
  <c r="B4410" i="1"/>
  <c r="A4411" i="1"/>
  <c r="B4411" i="1"/>
  <c r="A4412" i="1"/>
  <c r="B4412" i="1"/>
  <c r="A4413" i="1"/>
  <c r="B4413" i="1"/>
  <c r="A4414" i="1"/>
  <c r="B4414" i="1"/>
  <c r="A4415" i="1"/>
  <c r="B4415" i="1"/>
  <c r="A4416" i="1"/>
  <c r="B4416" i="1"/>
  <c r="A4417" i="1"/>
  <c r="B4417" i="1"/>
  <c r="A4418" i="1"/>
  <c r="B4418" i="1"/>
  <c r="A4419" i="1"/>
  <c r="B4419" i="1"/>
  <c r="A4420" i="1"/>
  <c r="B4420" i="1"/>
  <c r="A4421" i="1"/>
  <c r="B4421" i="1"/>
  <c r="A4422" i="1"/>
  <c r="B4422" i="1"/>
  <c r="A4423" i="1"/>
  <c r="B4423" i="1"/>
  <c r="A4424" i="1"/>
  <c r="B4424" i="1"/>
  <c r="A4425" i="1"/>
  <c r="B4425" i="1"/>
  <c r="A4426" i="1"/>
  <c r="B4426" i="1"/>
  <c r="A4427" i="1"/>
  <c r="B4427" i="1"/>
  <c r="A4428" i="1"/>
  <c r="B4428" i="1"/>
  <c r="A4429" i="1"/>
  <c r="B4429" i="1"/>
  <c r="A4430" i="1"/>
  <c r="B4430" i="1"/>
  <c r="A4431" i="1"/>
  <c r="B4431" i="1"/>
  <c r="A4432" i="1"/>
  <c r="B4432" i="1"/>
  <c r="A4433" i="1"/>
  <c r="B4433" i="1"/>
  <c r="A4434" i="1"/>
  <c r="B4434" i="1"/>
  <c r="A4435" i="1"/>
  <c r="B4435" i="1"/>
  <c r="A4436" i="1"/>
  <c r="B4436" i="1"/>
  <c r="A4437" i="1"/>
  <c r="B4437" i="1"/>
  <c r="A4438" i="1"/>
  <c r="B4438" i="1"/>
  <c r="A4439" i="1"/>
  <c r="B4439" i="1"/>
  <c r="A4440" i="1"/>
  <c r="B4440" i="1"/>
  <c r="A4441" i="1"/>
  <c r="B4441" i="1"/>
  <c r="A4442" i="1"/>
  <c r="B4442" i="1"/>
  <c r="A4443" i="1"/>
  <c r="B4443" i="1"/>
  <c r="A4444" i="1"/>
  <c r="B4444" i="1"/>
  <c r="A4445" i="1"/>
  <c r="B4445" i="1"/>
  <c r="A4446" i="1"/>
  <c r="B4446" i="1"/>
  <c r="A4447" i="1"/>
  <c r="B4447" i="1"/>
  <c r="A4448" i="1"/>
  <c r="B4448" i="1"/>
  <c r="A4449" i="1"/>
  <c r="B4449" i="1"/>
  <c r="A4450" i="1"/>
  <c r="B4450" i="1"/>
  <c r="A4451" i="1"/>
  <c r="B4451" i="1"/>
  <c r="A4452" i="1"/>
  <c r="B4452" i="1"/>
  <c r="A4453" i="1"/>
  <c r="B4453" i="1"/>
  <c r="A4454" i="1"/>
  <c r="B4454" i="1"/>
  <c r="A4455" i="1"/>
  <c r="B4455" i="1"/>
  <c r="A4456" i="1"/>
  <c r="B4456" i="1"/>
  <c r="A4457" i="1"/>
  <c r="B4457" i="1"/>
  <c r="A4458" i="1"/>
  <c r="B4458" i="1"/>
  <c r="A4459" i="1"/>
  <c r="B4459" i="1"/>
  <c r="A4460" i="1"/>
  <c r="B4460" i="1"/>
  <c r="A4461" i="1"/>
  <c r="B4461" i="1"/>
  <c r="A4462" i="1"/>
  <c r="B4462" i="1"/>
  <c r="A4463" i="1"/>
  <c r="B4463" i="1"/>
  <c r="A4464" i="1"/>
  <c r="B4464" i="1"/>
  <c r="A4465" i="1"/>
  <c r="B4465" i="1"/>
  <c r="A4466" i="1"/>
  <c r="B4466" i="1"/>
  <c r="A4467" i="1"/>
  <c r="B4467" i="1"/>
  <c r="A4468" i="1"/>
  <c r="B4468" i="1"/>
  <c r="A4469" i="1"/>
  <c r="B4469" i="1"/>
  <c r="A4470" i="1"/>
  <c r="B4470" i="1"/>
  <c r="A4471" i="1"/>
  <c r="B4471" i="1"/>
  <c r="A4472" i="1"/>
  <c r="B4472" i="1"/>
  <c r="A4473" i="1"/>
  <c r="B4473" i="1"/>
  <c r="A4474" i="1"/>
  <c r="B4474" i="1"/>
  <c r="A4475" i="1"/>
  <c r="B4475" i="1"/>
  <c r="A4476" i="1"/>
  <c r="B4476" i="1"/>
  <c r="A4477" i="1"/>
  <c r="B4477" i="1"/>
  <c r="A4478" i="1"/>
  <c r="B4478" i="1"/>
  <c r="A4479" i="1"/>
  <c r="B4479" i="1"/>
  <c r="A4480" i="1"/>
  <c r="B4480" i="1"/>
  <c r="A4481" i="1"/>
  <c r="B4481" i="1"/>
  <c r="A4482" i="1"/>
  <c r="B4482" i="1"/>
  <c r="A4483" i="1"/>
  <c r="B4483" i="1"/>
  <c r="A4484" i="1"/>
  <c r="B4484" i="1"/>
  <c r="A4485" i="1"/>
  <c r="B4485" i="1"/>
  <c r="A4486" i="1"/>
  <c r="B4486" i="1"/>
  <c r="A4487" i="1"/>
  <c r="B4487" i="1"/>
  <c r="A4488" i="1"/>
  <c r="B4488" i="1"/>
  <c r="A4489" i="1"/>
  <c r="B4489" i="1"/>
  <c r="A4490" i="1"/>
  <c r="B4490" i="1"/>
  <c r="A4491" i="1"/>
  <c r="B4491" i="1"/>
  <c r="A4492" i="1"/>
  <c r="B4492" i="1"/>
  <c r="A4493" i="1"/>
  <c r="B4493" i="1"/>
  <c r="A4494" i="1"/>
  <c r="B4494" i="1"/>
  <c r="A4495" i="1"/>
  <c r="B4495" i="1"/>
  <c r="A4496" i="1"/>
  <c r="B4496" i="1"/>
  <c r="A4497" i="1"/>
  <c r="B4497" i="1"/>
  <c r="A4498" i="1"/>
  <c r="B4498" i="1"/>
  <c r="A4499" i="1"/>
  <c r="B4499" i="1"/>
  <c r="A4500" i="1"/>
  <c r="B4500" i="1"/>
  <c r="A4501" i="1"/>
  <c r="B4501" i="1"/>
  <c r="A4502" i="1"/>
  <c r="B4502" i="1"/>
  <c r="A4503" i="1"/>
  <c r="B4503" i="1"/>
  <c r="A4504" i="1"/>
  <c r="B4504" i="1"/>
  <c r="A4505" i="1"/>
  <c r="B4505" i="1"/>
  <c r="A4506" i="1"/>
  <c r="B4506" i="1"/>
  <c r="A4507" i="1"/>
  <c r="B4507" i="1"/>
  <c r="A4508" i="1"/>
  <c r="B4508" i="1"/>
  <c r="A4509" i="1"/>
  <c r="B4509" i="1"/>
  <c r="A4510" i="1"/>
  <c r="B4510" i="1"/>
  <c r="A4511" i="1"/>
  <c r="B4511" i="1"/>
  <c r="A4512" i="1"/>
  <c r="B4512" i="1"/>
  <c r="A4513" i="1"/>
  <c r="B4513" i="1"/>
  <c r="A4514" i="1"/>
  <c r="B4514" i="1"/>
  <c r="A4515" i="1"/>
  <c r="B4515" i="1"/>
  <c r="A4516" i="1"/>
  <c r="B4516" i="1"/>
  <c r="A4517" i="1"/>
  <c r="B4517" i="1"/>
  <c r="A4518" i="1"/>
  <c r="B4518" i="1"/>
  <c r="A4519" i="1"/>
  <c r="B4519" i="1"/>
  <c r="A4520" i="1"/>
  <c r="B4520" i="1"/>
  <c r="A4521" i="1"/>
  <c r="B4521" i="1"/>
  <c r="A4522" i="1"/>
  <c r="B4522" i="1"/>
  <c r="A4523" i="1"/>
  <c r="B4523" i="1"/>
  <c r="A4524" i="1"/>
  <c r="B4524" i="1"/>
  <c r="A4525" i="1"/>
  <c r="B4525" i="1"/>
  <c r="A4526" i="1"/>
  <c r="B4526" i="1"/>
  <c r="A4527" i="1"/>
  <c r="B4527" i="1"/>
  <c r="A4528" i="1"/>
  <c r="B4528" i="1"/>
  <c r="A4529" i="1"/>
  <c r="B4529" i="1"/>
  <c r="A4530" i="1"/>
  <c r="B4530" i="1"/>
  <c r="A4531" i="1"/>
  <c r="B4531" i="1"/>
  <c r="A4532" i="1"/>
  <c r="B4532" i="1"/>
  <c r="A4533" i="1"/>
  <c r="B4533" i="1"/>
  <c r="A4534" i="1"/>
  <c r="B4534" i="1"/>
  <c r="A4535" i="1"/>
  <c r="B4535" i="1"/>
  <c r="A4536" i="1"/>
  <c r="B4536" i="1"/>
  <c r="A4537" i="1"/>
  <c r="B4537" i="1"/>
  <c r="A4538" i="1"/>
  <c r="B4538" i="1"/>
  <c r="A4539" i="1"/>
  <c r="B4539" i="1"/>
  <c r="A4540" i="1"/>
  <c r="B4540" i="1"/>
  <c r="A4541" i="1"/>
  <c r="B4541" i="1"/>
  <c r="A4542" i="1"/>
  <c r="B4542" i="1"/>
  <c r="A4543" i="1"/>
  <c r="B4543" i="1"/>
  <c r="A4544" i="1"/>
  <c r="B4544" i="1"/>
  <c r="A4545" i="1"/>
  <c r="B4545" i="1"/>
  <c r="A4546" i="1"/>
  <c r="B4546" i="1"/>
  <c r="A4547" i="1"/>
  <c r="B4547" i="1"/>
  <c r="A4548" i="1"/>
  <c r="B4548" i="1"/>
  <c r="A4549" i="1"/>
  <c r="B4549" i="1"/>
  <c r="A4550" i="1"/>
  <c r="B4550" i="1"/>
  <c r="A4551" i="1"/>
  <c r="B4551" i="1"/>
  <c r="A4552" i="1"/>
  <c r="B4552" i="1"/>
  <c r="A4553" i="1"/>
  <c r="B4553" i="1"/>
  <c r="A4554" i="1"/>
  <c r="B4554" i="1"/>
  <c r="A4555" i="1"/>
  <c r="B4555" i="1"/>
  <c r="A4556" i="1"/>
  <c r="B4556" i="1"/>
  <c r="A4557" i="1"/>
  <c r="B4557" i="1"/>
  <c r="A4558" i="1"/>
  <c r="B4558" i="1"/>
  <c r="A4559" i="1"/>
  <c r="B4559" i="1"/>
  <c r="A4560" i="1"/>
  <c r="B4560" i="1"/>
  <c r="A4561" i="1"/>
  <c r="B4561" i="1"/>
  <c r="A4562" i="1"/>
  <c r="B4562" i="1"/>
  <c r="A4563" i="1"/>
  <c r="B4563" i="1"/>
  <c r="A4564" i="1"/>
  <c r="B4564" i="1"/>
  <c r="A4565" i="1"/>
  <c r="B4565" i="1"/>
  <c r="A4566" i="1"/>
  <c r="B4566" i="1"/>
  <c r="A4567" i="1"/>
  <c r="B4567" i="1"/>
  <c r="A4568" i="1"/>
  <c r="B4568" i="1"/>
  <c r="A4569" i="1"/>
  <c r="B4569" i="1"/>
  <c r="A4570" i="1"/>
  <c r="B4570" i="1"/>
  <c r="A4571" i="1"/>
  <c r="B4571" i="1"/>
  <c r="A4572" i="1"/>
  <c r="B4572" i="1"/>
  <c r="A4573" i="1"/>
  <c r="B4573" i="1"/>
  <c r="A4574" i="1"/>
  <c r="B4574" i="1"/>
  <c r="A4575" i="1"/>
  <c r="B4575" i="1"/>
  <c r="A4576" i="1"/>
  <c r="B4576" i="1"/>
  <c r="A4577" i="1"/>
  <c r="B4577" i="1"/>
  <c r="A4578" i="1"/>
  <c r="B4578" i="1"/>
  <c r="A4579" i="1"/>
  <c r="B4579" i="1"/>
  <c r="A4580" i="1"/>
  <c r="B4580" i="1"/>
  <c r="A4581" i="1"/>
  <c r="B4581" i="1"/>
  <c r="A4582" i="1"/>
  <c r="B4582" i="1"/>
  <c r="A4583" i="1"/>
  <c r="B4583" i="1"/>
  <c r="A4584" i="1"/>
  <c r="B4584" i="1"/>
  <c r="A4585" i="1"/>
  <c r="B4585" i="1"/>
  <c r="A4586" i="1"/>
  <c r="B4586" i="1"/>
  <c r="A4587" i="1"/>
  <c r="B4587" i="1"/>
  <c r="A4588" i="1"/>
  <c r="B4588" i="1"/>
  <c r="A4589" i="1"/>
  <c r="B4589" i="1"/>
  <c r="A4590" i="1"/>
  <c r="B4590" i="1"/>
  <c r="A4591" i="1"/>
  <c r="B4591" i="1"/>
  <c r="A4592" i="1"/>
  <c r="B4592" i="1"/>
  <c r="A4593" i="1"/>
  <c r="B4593" i="1"/>
  <c r="A4594" i="1"/>
  <c r="B4594" i="1"/>
  <c r="A4595" i="1"/>
  <c r="B4595" i="1"/>
  <c r="A4596" i="1"/>
  <c r="B4596" i="1"/>
  <c r="A4597" i="1"/>
  <c r="B4597" i="1"/>
  <c r="A4598" i="1"/>
  <c r="B4598" i="1"/>
  <c r="A4599" i="1"/>
  <c r="B4599" i="1"/>
  <c r="A4600" i="1"/>
  <c r="B4600" i="1"/>
  <c r="A4601" i="1"/>
  <c r="B4601" i="1"/>
  <c r="A4602" i="1"/>
  <c r="B4602" i="1"/>
  <c r="A4603" i="1"/>
  <c r="B4603" i="1"/>
  <c r="A4604" i="1"/>
  <c r="B4604" i="1"/>
  <c r="A4605" i="1"/>
  <c r="B4605" i="1"/>
  <c r="A4606" i="1"/>
  <c r="B4606" i="1"/>
  <c r="A4607" i="1"/>
  <c r="B4607" i="1"/>
  <c r="A4608" i="1"/>
  <c r="B4608" i="1"/>
  <c r="A4609" i="1"/>
  <c r="B4609" i="1"/>
  <c r="A4610" i="1"/>
  <c r="B4610" i="1"/>
  <c r="A4611" i="1"/>
  <c r="B4611" i="1"/>
  <c r="A4612" i="1"/>
  <c r="B4612" i="1"/>
  <c r="A4613" i="1"/>
  <c r="B4613" i="1"/>
  <c r="A4614" i="1"/>
  <c r="B4614" i="1"/>
  <c r="A4615" i="1"/>
  <c r="B4615" i="1"/>
  <c r="A4616" i="1"/>
  <c r="B4616" i="1"/>
  <c r="A4617" i="1"/>
  <c r="B4617" i="1"/>
  <c r="A4618" i="1"/>
  <c r="B4618" i="1"/>
  <c r="A4619" i="1"/>
  <c r="B4619" i="1"/>
  <c r="A4620" i="1"/>
  <c r="B4620" i="1"/>
  <c r="A4621" i="1"/>
  <c r="B4621" i="1"/>
  <c r="A4622" i="1"/>
  <c r="B4622" i="1"/>
  <c r="A4623" i="1"/>
  <c r="B4623" i="1"/>
  <c r="A4624" i="1"/>
  <c r="B4624" i="1"/>
  <c r="A4625" i="1"/>
  <c r="B4625" i="1"/>
  <c r="A4626" i="1"/>
  <c r="B4626" i="1"/>
  <c r="A4627" i="1"/>
  <c r="B4627" i="1"/>
  <c r="A4628" i="1"/>
  <c r="B4628" i="1"/>
  <c r="A4629" i="1"/>
  <c r="B4629" i="1"/>
  <c r="A4630" i="1"/>
  <c r="B4630" i="1"/>
  <c r="A4631" i="1"/>
  <c r="B4631" i="1"/>
  <c r="A4632" i="1"/>
  <c r="B4632" i="1"/>
  <c r="A4633" i="1"/>
  <c r="B4633" i="1"/>
  <c r="A4634" i="1"/>
  <c r="B4634" i="1"/>
  <c r="A4635" i="1"/>
  <c r="B4635" i="1"/>
  <c r="A4636" i="1"/>
  <c r="B4636" i="1"/>
  <c r="A4637" i="1"/>
  <c r="B4637" i="1"/>
  <c r="A4638" i="1"/>
  <c r="B4638" i="1"/>
  <c r="A4639" i="1"/>
  <c r="B4639" i="1"/>
  <c r="A4640" i="1"/>
  <c r="B4640" i="1"/>
  <c r="A4641" i="1"/>
  <c r="B4641" i="1"/>
  <c r="A4642" i="1"/>
  <c r="B4642" i="1"/>
  <c r="A4643" i="1"/>
  <c r="B4643" i="1"/>
  <c r="A4644" i="1"/>
  <c r="B4644" i="1"/>
  <c r="A4645" i="1"/>
  <c r="B4645" i="1"/>
  <c r="A4646" i="1"/>
  <c r="B4646" i="1"/>
  <c r="A4647" i="1"/>
  <c r="B4647" i="1"/>
  <c r="A4648" i="1"/>
  <c r="B4648" i="1"/>
  <c r="A4649" i="1"/>
  <c r="B4649" i="1"/>
  <c r="A4650" i="1"/>
  <c r="B4650" i="1"/>
  <c r="A4651" i="1"/>
  <c r="B4651" i="1"/>
  <c r="A4652" i="1"/>
  <c r="B4652" i="1"/>
  <c r="A4653" i="1"/>
  <c r="B4653" i="1"/>
  <c r="A4654" i="1"/>
  <c r="B4654" i="1"/>
  <c r="A4655" i="1"/>
  <c r="B4655" i="1"/>
  <c r="A4656" i="1"/>
  <c r="B4656" i="1"/>
  <c r="A4657" i="1"/>
  <c r="B4657" i="1"/>
  <c r="A4658" i="1"/>
  <c r="B4658" i="1"/>
  <c r="A4659" i="1"/>
  <c r="B4659" i="1"/>
  <c r="A4660" i="1"/>
  <c r="B4660" i="1"/>
  <c r="A4661" i="1"/>
  <c r="B4661" i="1"/>
  <c r="A4662" i="1"/>
  <c r="B4662" i="1"/>
  <c r="A4663" i="1"/>
  <c r="B4663" i="1"/>
  <c r="A4664" i="1"/>
  <c r="B4664" i="1"/>
  <c r="A4665" i="1"/>
  <c r="B4665" i="1"/>
  <c r="A4666" i="1"/>
  <c r="B4666" i="1"/>
  <c r="A4667" i="1"/>
  <c r="B4667" i="1"/>
  <c r="A4668" i="1"/>
  <c r="B4668" i="1"/>
  <c r="A4669" i="1"/>
  <c r="B4669" i="1"/>
  <c r="A4670" i="1"/>
  <c r="B4670" i="1"/>
  <c r="A4671" i="1"/>
  <c r="B4671" i="1"/>
  <c r="A4672" i="1"/>
  <c r="B4672" i="1"/>
  <c r="A4673" i="1"/>
  <c r="B4673" i="1"/>
  <c r="A4674" i="1"/>
  <c r="B4674" i="1"/>
  <c r="A4675" i="1"/>
  <c r="B4675" i="1"/>
  <c r="A4676" i="1"/>
  <c r="B4676" i="1"/>
  <c r="A4677" i="1"/>
  <c r="B4677" i="1"/>
  <c r="A4678" i="1"/>
  <c r="B4678" i="1"/>
  <c r="A4679" i="1"/>
  <c r="B4679" i="1"/>
  <c r="A4680" i="1"/>
  <c r="B4680" i="1"/>
  <c r="A4681" i="1"/>
  <c r="B4681" i="1"/>
  <c r="A4682" i="1"/>
  <c r="B4682" i="1"/>
  <c r="A4683" i="1"/>
  <c r="B4683" i="1"/>
  <c r="A4684" i="1"/>
  <c r="B4684" i="1"/>
  <c r="A4685" i="1"/>
  <c r="B4685" i="1"/>
  <c r="A4686" i="1"/>
  <c r="B4686" i="1"/>
  <c r="A4687" i="1"/>
  <c r="B4687" i="1"/>
  <c r="A4688" i="1"/>
  <c r="B4688" i="1"/>
  <c r="A4689" i="1"/>
  <c r="B4689" i="1"/>
  <c r="A4690" i="1"/>
  <c r="B4690" i="1"/>
  <c r="A4691" i="1"/>
  <c r="B4691" i="1"/>
  <c r="A4692" i="1"/>
  <c r="B4692" i="1"/>
  <c r="A4693" i="1"/>
  <c r="B4693" i="1"/>
  <c r="A4694" i="1"/>
  <c r="B4694" i="1"/>
  <c r="A4695" i="1"/>
  <c r="B4695" i="1"/>
  <c r="A4696" i="1"/>
  <c r="B4696" i="1"/>
  <c r="A4697" i="1"/>
  <c r="B4697" i="1"/>
  <c r="A4698" i="1"/>
  <c r="B4698" i="1"/>
  <c r="A4699" i="1"/>
  <c r="B4699" i="1"/>
  <c r="A4700" i="1"/>
  <c r="B4700" i="1"/>
  <c r="A4701" i="1"/>
  <c r="B4701" i="1"/>
  <c r="A4702" i="1"/>
  <c r="B4702" i="1"/>
  <c r="A4703" i="1"/>
  <c r="B4703" i="1"/>
  <c r="A4704" i="1"/>
  <c r="B4704" i="1"/>
  <c r="A4705" i="1"/>
  <c r="B4705" i="1"/>
  <c r="A4706" i="1"/>
  <c r="B4706" i="1"/>
  <c r="A4707" i="1"/>
  <c r="B4707" i="1"/>
  <c r="A4708" i="1"/>
  <c r="B4708" i="1"/>
  <c r="A4709" i="1"/>
  <c r="B4709" i="1"/>
  <c r="A4710" i="1"/>
  <c r="B4710" i="1"/>
  <c r="A4711" i="1"/>
  <c r="B4711" i="1"/>
  <c r="A4712" i="1"/>
  <c r="B4712" i="1"/>
  <c r="A4713" i="1"/>
  <c r="B4713" i="1"/>
  <c r="A4714" i="1"/>
  <c r="B4714" i="1"/>
  <c r="A4715" i="1"/>
  <c r="B4715" i="1"/>
  <c r="A4716" i="1"/>
  <c r="B4716" i="1"/>
  <c r="A4717" i="1"/>
  <c r="B4717" i="1"/>
  <c r="A4718" i="1"/>
  <c r="B4718" i="1"/>
  <c r="A4719" i="1"/>
  <c r="B4719" i="1"/>
  <c r="A4720" i="1"/>
  <c r="B4720" i="1"/>
  <c r="A4721" i="1"/>
  <c r="B4721" i="1"/>
  <c r="A4722" i="1"/>
  <c r="B4722" i="1"/>
  <c r="A4723" i="1"/>
  <c r="B4723" i="1"/>
  <c r="A4724" i="1"/>
  <c r="B4724" i="1"/>
  <c r="A4725" i="1"/>
  <c r="B4725" i="1"/>
  <c r="A4726" i="1"/>
  <c r="B4726" i="1"/>
  <c r="A4727" i="1"/>
  <c r="B4727" i="1"/>
  <c r="A4728" i="1"/>
  <c r="B4728" i="1"/>
  <c r="A4729" i="1"/>
  <c r="B4729" i="1"/>
  <c r="A4730" i="1"/>
  <c r="B4730" i="1"/>
  <c r="A4731" i="1"/>
  <c r="B4731" i="1"/>
  <c r="A4732" i="1"/>
  <c r="B4732" i="1"/>
  <c r="A4733" i="1"/>
  <c r="B4733" i="1"/>
  <c r="A4734" i="1"/>
  <c r="B4734" i="1"/>
  <c r="A4735" i="1"/>
  <c r="B4735" i="1"/>
  <c r="A4736" i="1"/>
  <c r="B4736" i="1"/>
  <c r="A4737" i="1"/>
  <c r="B4737" i="1"/>
  <c r="A4738" i="1"/>
  <c r="B4738" i="1"/>
  <c r="A4739" i="1"/>
  <c r="B4739" i="1"/>
  <c r="A4740" i="1"/>
  <c r="B4740" i="1"/>
  <c r="A4741" i="1"/>
  <c r="B4741" i="1"/>
  <c r="A4742" i="1"/>
  <c r="B4742" i="1"/>
  <c r="A4743" i="1"/>
  <c r="B4743" i="1"/>
  <c r="A4744" i="1"/>
  <c r="B4744" i="1"/>
  <c r="A4745" i="1"/>
  <c r="B4745" i="1"/>
  <c r="A4746" i="1"/>
  <c r="B4746" i="1"/>
  <c r="A4747" i="1"/>
  <c r="B4747" i="1"/>
  <c r="A4748" i="1"/>
  <c r="B4748" i="1"/>
  <c r="A4749" i="1"/>
  <c r="B4749" i="1"/>
  <c r="A4750" i="1"/>
  <c r="B4750" i="1"/>
  <c r="A4751" i="1"/>
  <c r="B4751" i="1"/>
  <c r="A4752" i="1"/>
  <c r="B4752" i="1"/>
  <c r="A4753" i="1"/>
  <c r="B4753" i="1"/>
  <c r="A4754" i="1"/>
  <c r="B4754" i="1"/>
  <c r="A4755" i="1"/>
  <c r="B4755" i="1"/>
  <c r="A4756" i="1"/>
  <c r="B4756" i="1"/>
  <c r="A4757" i="1"/>
  <c r="B4757" i="1"/>
  <c r="A4758" i="1"/>
  <c r="B4758" i="1"/>
  <c r="A4759" i="1"/>
  <c r="B4759" i="1"/>
  <c r="A4760" i="1"/>
  <c r="B4760" i="1"/>
  <c r="A4761" i="1"/>
  <c r="B4761" i="1"/>
  <c r="A4762" i="1"/>
  <c r="B4762" i="1"/>
  <c r="A4763" i="1"/>
  <c r="B4763" i="1"/>
  <c r="A4764" i="1"/>
  <c r="B4764" i="1"/>
  <c r="A4765" i="1"/>
  <c r="B4765" i="1"/>
  <c r="A4766" i="1"/>
  <c r="B4766" i="1"/>
  <c r="A4767" i="1"/>
  <c r="B4767" i="1"/>
  <c r="A4768" i="1"/>
  <c r="B4768" i="1"/>
  <c r="A4769" i="1"/>
  <c r="B4769" i="1"/>
  <c r="A4770" i="1"/>
  <c r="B4770" i="1"/>
  <c r="A4771" i="1"/>
  <c r="B4771" i="1"/>
  <c r="A4772" i="1"/>
  <c r="B4772" i="1"/>
  <c r="A4773" i="1"/>
  <c r="B4773" i="1"/>
  <c r="A4774" i="1"/>
  <c r="B4774" i="1"/>
  <c r="A4775" i="1"/>
  <c r="B4775" i="1"/>
  <c r="A4776" i="1"/>
  <c r="B4776" i="1"/>
  <c r="A4777" i="1"/>
  <c r="B4777" i="1"/>
  <c r="A4778" i="1"/>
  <c r="B4778" i="1"/>
  <c r="A4779" i="1"/>
  <c r="B4779" i="1"/>
  <c r="A4780" i="1"/>
  <c r="B4780" i="1"/>
  <c r="A4781" i="1"/>
  <c r="B4781" i="1"/>
  <c r="A4782" i="1"/>
  <c r="B4782" i="1"/>
  <c r="A4783" i="1"/>
  <c r="B4783" i="1"/>
  <c r="A4784" i="1"/>
  <c r="B4784" i="1"/>
  <c r="A4785" i="1"/>
  <c r="B4785" i="1"/>
  <c r="A4786" i="1"/>
  <c r="B4786" i="1"/>
  <c r="A4787" i="1"/>
  <c r="B4787" i="1"/>
  <c r="A4788" i="1"/>
  <c r="B4788" i="1"/>
  <c r="A4789" i="1"/>
  <c r="B4789" i="1"/>
  <c r="A4790" i="1"/>
  <c r="B4790" i="1"/>
  <c r="A4791" i="1"/>
  <c r="B4791" i="1"/>
  <c r="A4792" i="1"/>
  <c r="B4792" i="1"/>
  <c r="A4793" i="1"/>
  <c r="B4793" i="1"/>
  <c r="A4794" i="1"/>
  <c r="B4794" i="1"/>
  <c r="A4795" i="1"/>
  <c r="B4795" i="1"/>
  <c r="A4796" i="1"/>
  <c r="B4796" i="1"/>
  <c r="A4797" i="1"/>
  <c r="B4797" i="1"/>
  <c r="A4798" i="1"/>
  <c r="B4798" i="1"/>
  <c r="A4799" i="1"/>
  <c r="B4799" i="1"/>
  <c r="A4800" i="1"/>
  <c r="B4800" i="1"/>
  <c r="A4801" i="1"/>
  <c r="B4801" i="1"/>
  <c r="A4802" i="1"/>
  <c r="B4802" i="1"/>
  <c r="A4803" i="1"/>
  <c r="B4803" i="1"/>
  <c r="A4804" i="1"/>
  <c r="B4804" i="1"/>
  <c r="A4805" i="1"/>
  <c r="B4805" i="1"/>
  <c r="A4806" i="1"/>
  <c r="B4806" i="1"/>
  <c r="A4807" i="1"/>
  <c r="B4807" i="1"/>
  <c r="A4808" i="1"/>
  <c r="B4808" i="1"/>
  <c r="A4809" i="1"/>
  <c r="B4809" i="1"/>
  <c r="A4810" i="1"/>
  <c r="B4810" i="1"/>
  <c r="A4811" i="1"/>
  <c r="B4811" i="1"/>
  <c r="A4812" i="1"/>
  <c r="B4812" i="1"/>
  <c r="A4813" i="1"/>
  <c r="B4813" i="1"/>
  <c r="A4814" i="1"/>
  <c r="B4814" i="1"/>
  <c r="A4815" i="1"/>
  <c r="B4815" i="1"/>
  <c r="A4816" i="1"/>
  <c r="B4816" i="1"/>
  <c r="A4817" i="1"/>
  <c r="B4817" i="1"/>
  <c r="A4818" i="1"/>
  <c r="B4818" i="1"/>
  <c r="A4819" i="1"/>
  <c r="B4819" i="1"/>
  <c r="A4820" i="1"/>
  <c r="B4820" i="1"/>
  <c r="A4821" i="1"/>
  <c r="B4821" i="1"/>
  <c r="A4822" i="1"/>
  <c r="B4822" i="1"/>
  <c r="A4823" i="1"/>
  <c r="B4823" i="1"/>
  <c r="A4824" i="1"/>
  <c r="B4824" i="1"/>
  <c r="A4825" i="1"/>
  <c r="B4825" i="1"/>
  <c r="A4826" i="1"/>
  <c r="B4826" i="1"/>
  <c r="A4827" i="1"/>
  <c r="B4827" i="1"/>
  <c r="A4828" i="1"/>
  <c r="B4828" i="1"/>
  <c r="A4829" i="1"/>
  <c r="B4829" i="1"/>
  <c r="A4830" i="1"/>
  <c r="B4830" i="1"/>
  <c r="A4831" i="1"/>
  <c r="B4831" i="1"/>
  <c r="A4832" i="1"/>
  <c r="B4832" i="1"/>
  <c r="A4833" i="1"/>
  <c r="B4833" i="1"/>
  <c r="A4834" i="1"/>
  <c r="B4834" i="1"/>
  <c r="A4835" i="1"/>
  <c r="B4835" i="1"/>
  <c r="A4836" i="1"/>
  <c r="B4836" i="1"/>
  <c r="A4837" i="1"/>
  <c r="B4837" i="1"/>
  <c r="A4838" i="1"/>
  <c r="B4838" i="1"/>
  <c r="A4839" i="1"/>
  <c r="B4839" i="1"/>
  <c r="A4840" i="1"/>
  <c r="B4840" i="1"/>
  <c r="A4841" i="1"/>
  <c r="B4841" i="1"/>
  <c r="A4842" i="1"/>
  <c r="B4842" i="1"/>
  <c r="A4843" i="1"/>
  <c r="B4843" i="1"/>
  <c r="A4844" i="1"/>
  <c r="B4844" i="1"/>
  <c r="A4845" i="1"/>
  <c r="B4845" i="1"/>
  <c r="A4846" i="1"/>
  <c r="B4846" i="1"/>
  <c r="A4847" i="1"/>
  <c r="B4847" i="1"/>
  <c r="A4848" i="1"/>
  <c r="B4848" i="1"/>
  <c r="A4849" i="1"/>
  <c r="B4849" i="1"/>
  <c r="A4850" i="1"/>
  <c r="B4850" i="1"/>
  <c r="A4851" i="1"/>
  <c r="B4851" i="1"/>
  <c r="A4852" i="1"/>
  <c r="B4852" i="1"/>
  <c r="A4853" i="1"/>
  <c r="B4853" i="1"/>
  <c r="A4854" i="1"/>
  <c r="B4854" i="1"/>
  <c r="A4855" i="1"/>
  <c r="B4855" i="1"/>
  <c r="A4856" i="1"/>
  <c r="B4856" i="1"/>
  <c r="A4857" i="1"/>
  <c r="B4857" i="1"/>
  <c r="A4858" i="1"/>
  <c r="B4858" i="1"/>
  <c r="A4859" i="1"/>
  <c r="B4859" i="1"/>
  <c r="A4860" i="1"/>
  <c r="B4860" i="1"/>
  <c r="A4861" i="1"/>
  <c r="B4861" i="1"/>
  <c r="A4862" i="1"/>
  <c r="B4862" i="1"/>
  <c r="A4863" i="1"/>
  <c r="B4863" i="1"/>
  <c r="A4864" i="1"/>
  <c r="B4864" i="1"/>
  <c r="A4865" i="1"/>
  <c r="B4865" i="1"/>
  <c r="A4866" i="1"/>
  <c r="B4866" i="1"/>
  <c r="A4867" i="1"/>
  <c r="B4867" i="1"/>
  <c r="A4868" i="1"/>
  <c r="B4868" i="1"/>
  <c r="A4869" i="1"/>
  <c r="B4869" i="1"/>
  <c r="A4870" i="1"/>
  <c r="B4870" i="1"/>
  <c r="A4871" i="1"/>
  <c r="B4871" i="1"/>
  <c r="A4872" i="1"/>
  <c r="B4872" i="1"/>
  <c r="A4873" i="1"/>
  <c r="B4873" i="1"/>
  <c r="A4874" i="1"/>
  <c r="B4874" i="1"/>
  <c r="A4875" i="1"/>
  <c r="B4875" i="1"/>
  <c r="A4876" i="1"/>
  <c r="B4876" i="1"/>
  <c r="A4877" i="1"/>
  <c r="B4877" i="1"/>
  <c r="A4878" i="1"/>
  <c r="B4878" i="1"/>
  <c r="A4879" i="1"/>
  <c r="B4879" i="1"/>
  <c r="A4880" i="1"/>
  <c r="B4880" i="1"/>
  <c r="A4881" i="1"/>
  <c r="B4881" i="1"/>
  <c r="A4882" i="1"/>
  <c r="B4882" i="1"/>
  <c r="A4883" i="1"/>
  <c r="B4883" i="1"/>
  <c r="A4884" i="1"/>
  <c r="B4884" i="1"/>
  <c r="A4885" i="1"/>
  <c r="B4885" i="1"/>
  <c r="A4886" i="1"/>
  <c r="B4886" i="1"/>
  <c r="A4887" i="1"/>
  <c r="B4887" i="1"/>
  <c r="A4888" i="1"/>
  <c r="B4888" i="1"/>
  <c r="A4889" i="1"/>
  <c r="B4889" i="1"/>
  <c r="A4890" i="1"/>
  <c r="B4890" i="1"/>
  <c r="A4891" i="1"/>
  <c r="B4891" i="1"/>
  <c r="A4892" i="1"/>
  <c r="B4892" i="1"/>
  <c r="A4893" i="1"/>
  <c r="B4893" i="1"/>
  <c r="A4894" i="1"/>
  <c r="B4894" i="1"/>
  <c r="A4895" i="1"/>
  <c r="B4895" i="1"/>
  <c r="A4896" i="1"/>
  <c r="B4896" i="1"/>
  <c r="A4897" i="1"/>
  <c r="B4897" i="1"/>
  <c r="A4898" i="1"/>
  <c r="B4898" i="1"/>
  <c r="A4899" i="1"/>
  <c r="B4899" i="1"/>
  <c r="A4900" i="1"/>
  <c r="B4900" i="1"/>
  <c r="A4901" i="1"/>
  <c r="B4901" i="1"/>
  <c r="A4902" i="1"/>
  <c r="B4902" i="1"/>
  <c r="A4903" i="1"/>
  <c r="B4903" i="1"/>
  <c r="A4904" i="1"/>
  <c r="B4904" i="1"/>
  <c r="A4905" i="1"/>
  <c r="B4905" i="1"/>
  <c r="A4906" i="1"/>
  <c r="B4906" i="1"/>
  <c r="A4907" i="1"/>
  <c r="B4907" i="1"/>
  <c r="A4908" i="1"/>
  <c r="B4908" i="1"/>
  <c r="A4909" i="1"/>
  <c r="B4909" i="1"/>
  <c r="A4910" i="1"/>
  <c r="B4910" i="1"/>
  <c r="A4911" i="1"/>
  <c r="B4911" i="1"/>
  <c r="A4912" i="1"/>
  <c r="B4912" i="1"/>
  <c r="A4913" i="1"/>
  <c r="B4913" i="1"/>
  <c r="A4914" i="1"/>
  <c r="B4914" i="1"/>
  <c r="A4915" i="1"/>
  <c r="B4915" i="1"/>
  <c r="A4916" i="1"/>
  <c r="B4916" i="1"/>
  <c r="A4917" i="1"/>
  <c r="B4917" i="1"/>
  <c r="A4918" i="1"/>
  <c r="B4918" i="1"/>
  <c r="A4919" i="1"/>
  <c r="B4919" i="1"/>
  <c r="A4920" i="1"/>
  <c r="B4920" i="1"/>
  <c r="A4921" i="1"/>
  <c r="B4921" i="1"/>
  <c r="A4922" i="1"/>
  <c r="B4922" i="1"/>
  <c r="A4923" i="1"/>
  <c r="B4923" i="1"/>
  <c r="A4924" i="1"/>
  <c r="B4924" i="1"/>
  <c r="A4925" i="1"/>
  <c r="B4925" i="1"/>
  <c r="A4926" i="1"/>
  <c r="B4926" i="1"/>
  <c r="A4927" i="1"/>
  <c r="B4927" i="1"/>
  <c r="A4928" i="1"/>
  <c r="B4928" i="1"/>
  <c r="A4929" i="1"/>
  <c r="B4929" i="1"/>
  <c r="A4930" i="1"/>
  <c r="B4930" i="1"/>
  <c r="A4931" i="1"/>
  <c r="B4931" i="1"/>
  <c r="A4932" i="1"/>
  <c r="B4932" i="1"/>
  <c r="A4933" i="1"/>
  <c r="B4933" i="1"/>
  <c r="A4934" i="1"/>
  <c r="B4934" i="1"/>
  <c r="A4935" i="1"/>
  <c r="B4935" i="1"/>
  <c r="A4936" i="1"/>
  <c r="B4936" i="1"/>
  <c r="A4937" i="1"/>
  <c r="B4937" i="1"/>
  <c r="A4938" i="1"/>
  <c r="B4938" i="1"/>
  <c r="A4939" i="1"/>
  <c r="B4939" i="1"/>
  <c r="A4940" i="1"/>
  <c r="B4940" i="1"/>
  <c r="A4941" i="1"/>
  <c r="B4941" i="1"/>
  <c r="A4942" i="1"/>
  <c r="B4942" i="1"/>
  <c r="A4943" i="1"/>
  <c r="B4943" i="1"/>
  <c r="A4944" i="1"/>
  <c r="B4944" i="1"/>
  <c r="A4945" i="1"/>
  <c r="B4945" i="1"/>
  <c r="A4946" i="1"/>
  <c r="B4946" i="1"/>
  <c r="A4947" i="1"/>
  <c r="B4947" i="1"/>
  <c r="A4948" i="1"/>
  <c r="B4948" i="1"/>
  <c r="A4949" i="1"/>
  <c r="B4949" i="1"/>
  <c r="A4950" i="1"/>
  <c r="B4950" i="1"/>
  <c r="A4951" i="1"/>
  <c r="B4951" i="1"/>
  <c r="A4952" i="1"/>
  <c r="B4952" i="1"/>
  <c r="A4953" i="1"/>
  <c r="B4953" i="1"/>
  <c r="A4954" i="1"/>
  <c r="B4954" i="1"/>
  <c r="A4955" i="1"/>
  <c r="B4955" i="1"/>
  <c r="A4956" i="1"/>
  <c r="B4956" i="1"/>
  <c r="A4957" i="1"/>
  <c r="B4957" i="1"/>
  <c r="A4958" i="1"/>
  <c r="B4958" i="1"/>
  <c r="A4959" i="1"/>
  <c r="B4959" i="1"/>
  <c r="A4960" i="1"/>
  <c r="B4960" i="1"/>
  <c r="A4961" i="1"/>
  <c r="B4961" i="1"/>
  <c r="A4962" i="1"/>
  <c r="B4962" i="1"/>
  <c r="A4963" i="1"/>
  <c r="B4963" i="1"/>
  <c r="A4964" i="1"/>
  <c r="B4964" i="1"/>
  <c r="A4965" i="1"/>
  <c r="B4965" i="1"/>
  <c r="A4966" i="1"/>
  <c r="B4966" i="1"/>
  <c r="A4967" i="1"/>
  <c r="B4967" i="1"/>
  <c r="A4968" i="1"/>
  <c r="B4968" i="1"/>
  <c r="A4969" i="1"/>
  <c r="B4969" i="1"/>
  <c r="A4970" i="1"/>
  <c r="B4970" i="1"/>
  <c r="A4971" i="1"/>
  <c r="B4971" i="1"/>
  <c r="A4972" i="1"/>
  <c r="B4972" i="1"/>
  <c r="A4973" i="1"/>
  <c r="B4973" i="1"/>
  <c r="A4974" i="1"/>
  <c r="B4974" i="1"/>
  <c r="A4975" i="1"/>
  <c r="B4975" i="1"/>
  <c r="A4976" i="1"/>
  <c r="B4976" i="1"/>
  <c r="A4977" i="1"/>
  <c r="B4977" i="1"/>
  <c r="A4978" i="1"/>
  <c r="B4978" i="1"/>
  <c r="A4979" i="1"/>
  <c r="B4979" i="1"/>
  <c r="A4980" i="1"/>
  <c r="B4980" i="1"/>
  <c r="A4981" i="1"/>
  <c r="B4981" i="1"/>
  <c r="A4982" i="1"/>
  <c r="B4982" i="1"/>
  <c r="A4983" i="1"/>
  <c r="B4983" i="1"/>
  <c r="A4984" i="1"/>
  <c r="B4984" i="1"/>
  <c r="A4985" i="1"/>
  <c r="B4985" i="1"/>
  <c r="A4986" i="1"/>
  <c r="B4986" i="1"/>
  <c r="A4987" i="1"/>
  <c r="B4987" i="1"/>
  <c r="A4988" i="1"/>
  <c r="B4988" i="1"/>
  <c r="A4989" i="1"/>
  <c r="B4989" i="1"/>
  <c r="A4990" i="1"/>
  <c r="B4990" i="1"/>
  <c r="A4991" i="1"/>
  <c r="B4991" i="1"/>
  <c r="A4992" i="1"/>
  <c r="B4992" i="1"/>
  <c r="A4993" i="1"/>
  <c r="B4993" i="1"/>
  <c r="A4994" i="1"/>
  <c r="B4994" i="1"/>
  <c r="A4995" i="1"/>
  <c r="B4995" i="1"/>
  <c r="A4996" i="1"/>
  <c r="B4996" i="1"/>
  <c r="A4997" i="1"/>
  <c r="B4997" i="1"/>
  <c r="A4998" i="1"/>
  <c r="B4998" i="1"/>
  <c r="A4999" i="1"/>
  <c r="B4999" i="1"/>
  <c r="A5000" i="1"/>
  <c r="B5000" i="1"/>
  <c r="A5001" i="1"/>
  <c r="B5001" i="1"/>
  <c r="A5002" i="1"/>
  <c r="B5002" i="1"/>
  <c r="A5003" i="1"/>
  <c r="B5003" i="1"/>
  <c r="A5004" i="1"/>
  <c r="B5004" i="1"/>
  <c r="A5005" i="1"/>
  <c r="B5005" i="1"/>
  <c r="A5006" i="1"/>
  <c r="B5006" i="1"/>
  <c r="A5007" i="1"/>
  <c r="B5007" i="1"/>
  <c r="A5008" i="1"/>
  <c r="B5008" i="1"/>
  <c r="A5009" i="1"/>
  <c r="B5009" i="1"/>
  <c r="A5010" i="1"/>
  <c r="B5010" i="1"/>
  <c r="A5011" i="1"/>
  <c r="B5011" i="1"/>
  <c r="A5012" i="1"/>
  <c r="B5012" i="1"/>
  <c r="A5013" i="1"/>
  <c r="B5013" i="1"/>
  <c r="A5014" i="1"/>
  <c r="B5014" i="1"/>
  <c r="A5015" i="1"/>
  <c r="B5015" i="1"/>
  <c r="A5016" i="1"/>
  <c r="B5016" i="1"/>
  <c r="A5017" i="1"/>
  <c r="B5017" i="1"/>
  <c r="A5018" i="1"/>
  <c r="B5018" i="1"/>
  <c r="A5019" i="1"/>
  <c r="B5019" i="1"/>
  <c r="A5020" i="1"/>
  <c r="B5020" i="1"/>
  <c r="A5021" i="1"/>
  <c r="B5021" i="1"/>
  <c r="A5022" i="1"/>
  <c r="B5022" i="1"/>
  <c r="A5023" i="1"/>
  <c r="B5023" i="1"/>
  <c r="A5024" i="1"/>
  <c r="B5024" i="1"/>
  <c r="A5025" i="1"/>
  <c r="B5025" i="1"/>
  <c r="A5026" i="1"/>
  <c r="B5026" i="1"/>
  <c r="A5027" i="1"/>
  <c r="B5027" i="1"/>
  <c r="A5028" i="1"/>
  <c r="B5028" i="1"/>
  <c r="A5029" i="1"/>
  <c r="B5029" i="1"/>
  <c r="A5030" i="1"/>
  <c r="B5030" i="1"/>
  <c r="A5031" i="1"/>
  <c r="B5031" i="1"/>
  <c r="A5032" i="1"/>
  <c r="B5032" i="1"/>
  <c r="A5033" i="1"/>
  <c r="B5033" i="1"/>
  <c r="A5034" i="1"/>
  <c r="B5034" i="1"/>
  <c r="A5035" i="1"/>
  <c r="B5035" i="1"/>
  <c r="A5036" i="1"/>
  <c r="B5036" i="1"/>
  <c r="A5037" i="1"/>
  <c r="B5037" i="1"/>
  <c r="A5038" i="1"/>
  <c r="B5038" i="1"/>
  <c r="A5039" i="1"/>
  <c r="B5039" i="1"/>
  <c r="A5040" i="1"/>
  <c r="B5040" i="1"/>
  <c r="A5041" i="1"/>
  <c r="B5041" i="1"/>
  <c r="A5042" i="1"/>
  <c r="B5042" i="1"/>
  <c r="A5043" i="1"/>
  <c r="B5043" i="1"/>
  <c r="A5044" i="1"/>
  <c r="B5044" i="1"/>
  <c r="A5045" i="1"/>
  <c r="B5045" i="1"/>
  <c r="A5046" i="1"/>
  <c r="B5046" i="1"/>
  <c r="A5047" i="1"/>
  <c r="B5047" i="1"/>
  <c r="A5048" i="1"/>
  <c r="B5048" i="1"/>
  <c r="A5049" i="1"/>
  <c r="B5049" i="1"/>
  <c r="A5050" i="1"/>
  <c r="B5050" i="1"/>
  <c r="A5051" i="1"/>
  <c r="B5051" i="1"/>
  <c r="A5052" i="1"/>
  <c r="B5052" i="1"/>
  <c r="A5053" i="1"/>
  <c r="B5053" i="1"/>
  <c r="A5054" i="1"/>
  <c r="B5054" i="1"/>
  <c r="A5055" i="1"/>
  <c r="B5055" i="1"/>
  <c r="A5056" i="1"/>
  <c r="B5056" i="1"/>
  <c r="A5057" i="1"/>
  <c r="B5057" i="1"/>
  <c r="A5058" i="1"/>
  <c r="B5058" i="1"/>
  <c r="A5059" i="1"/>
  <c r="B5059" i="1"/>
  <c r="A5060" i="1"/>
  <c r="B5060" i="1"/>
  <c r="A5061" i="1"/>
  <c r="B5061" i="1"/>
  <c r="A5062" i="1"/>
  <c r="B5062" i="1"/>
  <c r="A5063" i="1"/>
  <c r="B5063" i="1"/>
  <c r="A5064" i="1"/>
  <c r="B5064" i="1"/>
  <c r="A5065" i="1"/>
  <c r="B5065" i="1"/>
  <c r="A5066" i="1"/>
  <c r="B5066" i="1"/>
  <c r="A5067" i="1"/>
  <c r="B5067" i="1"/>
  <c r="A5068" i="1"/>
  <c r="B5068" i="1"/>
  <c r="A5069" i="1"/>
  <c r="B5069" i="1"/>
  <c r="A5070" i="1"/>
  <c r="B5070" i="1"/>
  <c r="A5071" i="1"/>
  <c r="B5071" i="1"/>
  <c r="A5072" i="1"/>
  <c r="B5072" i="1"/>
  <c r="A5073" i="1"/>
  <c r="B5073" i="1"/>
  <c r="A5074" i="1"/>
  <c r="B5074" i="1"/>
  <c r="A5075" i="1"/>
  <c r="B5075" i="1"/>
  <c r="A5076" i="1"/>
  <c r="B5076" i="1"/>
  <c r="A5077" i="1"/>
  <c r="B5077" i="1"/>
  <c r="A5078" i="1"/>
  <c r="B5078" i="1"/>
  <c r="A5079" i="1"/>
  <c r="B5079" i="1"/>
  <c r="A5080" i="1"/>
  <c r="B5080" i="1"/>
  <c r="A5081" i="1"/>
  <c r="B5081" i="1"/>
  <c r="A5082" i="1"/>
  <c r="B5082" i="1"/>
  <c r="A5083" i="1"/>
  <c r="B5083" i="1"/>
  <c r="A5084" i="1"/>
  <c r="B5084" i="1"/>
  <c r="A5085" i="1"/>
  <c r="B5085" i="1"/>
  <c r="A5086" i="1"/>
  <c r="B5086" i="1"/>
  <c r="A5087" i="1"/>
  <c r="B5087" i="1"/>
  <c r="A5088" i="1"/>
  <c r="B5088" i="1"/>
  <c r="A5089" i="1"/>
  <c r="B5089" i="1"/>
  <c r="A5090" i="1"/>
  <c r="B5090" i="1"/>
  <c r="A5091" i="1"/>
  <c r="B5091" i="1"/>
  <c r="A5092" i="1"/>
  <c r="B5092" i="1"/>
  <c r="A5093" i="1"/>
  <c r="B5093" i="1"/>
  <c r="A5094" i="1"/>
  <c r="B5094" i="1"/>
  <c r="A5095" i="1"/>
  <c r="B5095" i="1"/>
  <c r="A5096" i="1"/>
  <c r="B5096" i="1"/>
  <c r="A5097" i="1"/>
  <c r="B5097" i="1"/>
  <c r="A5098" i="1"/>
  <c r="B5098" i="1"/>
  <c r="A5099" i="1"/>
  <c r="B5099" i="1"/>
  <c r="A5100" i="1"/>
  <c r="B5100" i="1"/>
  <c r="A5101" i="1"/>
  <c r="B5101" i="1"/>
  <c r="A5102" i="1"/>
  <c r="B5102" i="1"/>
  <c r="A5103" i="1"/>
  <c r="B5103" i="1"/>
  <c r="A5104" i="1"/>
  <c r="B5104" i="1"/>
  <c r="A5105" i="1"/>
  <c r="B5105" i="1"/>
  <c r="A5106" i="1"/>
  <c r="B5106" i="1"/>
  <c r="A5107" i="1"/>
  <c r="B5107" i="1"/>
  <c r="A5108" i="1"/>
  <c r="B5108" i="1"/>
  <c r="A5109" i="1"/>
  <c r="B5109" i="1"/>
  <c r="A5110" i="1"/>
  <c r="B5110" i="1"/>
  <c r="A5111" i="1"/>
  <c r="B5111" i="1"/>
  <c r="A5112" i="1"/>
  <c r="B5112" i="1"/>
  <c r="A5113" i="1"/>
  <c r="B5113" i="1"/>
  <c r="A5114" i="1"/>
  <c r="B5114" i="1"/>
  <c r="A5115" i="1"/>
  <c r="B5115" i="1"/>
  <c r="A5116" i="1"/>
  <c r="B5116" i="1"/>
  <c r="A5117" i="1"/>
  <c r="B5117" i="1"/>
  <c r="A5118" i="1"/>
  <c r="B5118" i="1"/>
  <c r="A5119" i="1"/>
  <c r="B5119" i="1"/>
  <c r="A5120" i="1"/>
  <c r="B5120" i="1"/>
  <c r="A5121" i="1"/>
  <c r="B5121" i="1"/>
  <c r="A5122" i="1"/>
  <c r="B5122" i="1"/>
  <c r="A5123" i="1"/>
  <c r="B5123" i="1"/>
  <c r="A5124" i="1"/>
  <c r="B5124" i="1"/>
  <c r="A5125" i="1"/>
  <c r="B5125" i="1"/>
  <c r="A5126" i="1"/>
  <c r="B5126" i="1"/>
  <c r="A5127" i="1"/>
  <c r="B5127" i="1"/>
  <c r="A5128" i="1"/>
  <c r="B5128" i="1"/>
  <c r="A5129" i="1"/>
  <c r="B5129" i="1"/>
  <c r="A5130" i="1"/>
  <c r="B5130" i="1"/>
  <c r="A5131" i="1"/>
  <c r="B5131" i="1"/>
  <c r="A5132" i="1"/>
  <c r="B5132" i="1"/>
  <c r="A5133" i="1"/>
  <c r="B5133" i="1"/>
  <c r="A5134" i="1"/>
  <c r="B5134" i="1"/>
  <c r="A5135" i="1"/>
  <c r="B5135" i="1"/>
  <c r="A5136" i="1"/>
  <c r="B5136" i="1"/>
  <c r="A5137" i="1"/>
  <c r="B5137" i="1"/>
  <c r="A5138" i="1"/>
  <c r="B5138" i="1"/>
  <c r="A5139" i="1"/>
  <c r="B5139" i="1"/>
  <c r="A5140" i="1"/>
  <c r="B5140" i="1"/>
  <c r="A5141" i="1"/>
  <c r="B5141" i="1"/>
  <c r="A5142" i="1"/>
  <c r="B5142" i="1"/>
  <c r="A5143" i="1"/>
  <c r="B5143" i="1"/>
  <c r="A5144" i="1"/>
  <c r="B5144" i="1"/>
  <c r="A5145" i="1"/>
  <c r="B5145" i="1"/>
  <c r="A5146" i="1"/>
  <c r="B5146" i="1"/>
  <c r="A5147" i="1"/>
  <c r="B5147" i="1"/>
  <c r="A5148" i="1"/>
  <c r="B5148" i="1"/>
  <c r="A5149" i="1"/>
  <c r="B5149" i="1"/>
  <c r="A5150" i="1"/>
  <c r="B5150" i="1"/>
  <c r="A5151" i="1"/>
  <c r="B5151" i="1"/>
  <c r="A5152" i="1"/>
  <c r="B5152" i="1"/>
  <c r="A5153" i="1"/>
  <c r="B5153" i="1"/>
  <c r="A5154" i="1"/>
  <c r="B5154" i="1"/>
  <c r="A5155" i="1"/>
  <c r="B5155" i="1"/>
  <c r="A5156" i="1"/>
  <c r="B5156" i="1"/>
  <c r="A5157" i="1"/>
  <c r="B5157" i="1"/>
  <c r="A5158" i="1"/>
  <c r="B5158" i="1"/>
  <c r="A5159" i="1"/>
  <c r="B5159" i="1"/>
  <c r="A5160" i="1"/>
  <c r="B5160" i="1"/>
  <c r="A5161" i="1"/>
  <c r="B5161" i="1"/>
  <c r="A5162" i="1"/>
  <c r="B5162" i="1"/>
  <c r="A5163" i="1"/>
  <c r="B5163" i="1"/>
  <c r="A5164" i="1"/>
  <c r="B5164" i="1"/>
  <c r="A5165" i="1"/>
  <c r="B5165" i="1"/>
  <c r="A5166" i="1"/>
  <c r="B5166" i="1"/>
  <c r="A5167" i="1"/>
  <c r="B5167" i="1"/>
  <c r="A5168" i="1"/>
  <c r="B5168" i="1"/>
  <c r="A5169" i="1"/>
  <c r="B5169" i="1"/>
  <c r="A5170" i="1"/>
  <c r="B5170" i="1"/>
  <c r="A5171" i="1"/>
  <c r="B5171" i="1"/>
  <c r="A5172" i="1"/>
  <c r="B5172" i="1"/>
  <c r="A5173" i="1"/>
  <c r="B5173" i="1"/>
  <c r="A5174" i="1"/>
  <c r="B5174" i="1"/>
  <c r="A5175" i="1"/>
  <c r="B5175" i="1"/>
  <c r="A5176" i="1"/>
  <c r="B5176" i="1"/>
  <c r="A5177" i="1"/>
  <c r="B5177" i="1"/>
  <c r="A5178" i="1"/>
  <c r="B5178" i="1"/>
  <c r="A5179" i="1"/>
  <c r="B5179" i="1"/>
  <c r="A5180" i="1"/>
  <c r="B5180" i="1"/>
  <c r="A5181" i="1"/>
  <c r="B5181" i="1"/>
  <c r="A5182" i="1"/>
  <c r="B5182" i="1"/>
  <c r="A5183" i="1"/>
  <c r="B5183" i="1"/>
  <c r="A5184" i="1"/>
  <c r="B5184" i="1"/>
  <c r="A5185" i="1"/>
  <c r="B5185" i="1"/>
  <c r="A5186" i="1"/>
  <c r="B5186" i="1"/>
  <c r="A5187" i="1"/>
  <c r="B5187" i="1"/>
  <c r="A5188" i="1"/>
  <c r="B5188" i="1"/>
  <c r="A5189" i="1"/>
  <c r="B5189" i="1"/>
  <c r="A5190" i="1"/>
  <c r="B5190" i="1"/>
  <c r="A5191" i="1"/>
  <c r="B5191" i="1"/>
  <c r="A5192" i="1"/>
  <c r="B5192" i="1"/>
  <c r="A5193" i="1"/>
  <c r="B5193" i="1"/>
  <c r="A5194" i="1"/>
  <c r="B5194" i="1"/>
  <c r="A5195" i="1"/>
  <c r="B5195" i="1"/>
  <c r="A5196" i="1"/>
  <c r="B5196" i="1"/>
  <c r="A5197" i="1"/>
  <c r="B5197" i="1"/>
  <c r="A5198" i="1"/>
  <c r="B5198" i="1"/>
  <c r="A5199" i="1"/>
  <c r="B5199" i="1"/>
  <c r="A5200" i="1"/>
  <c r="B5200" i="1"/>
  <c r="A5201" i="1"/>
  <c r="B5201" i="1"/>
  <c r="A5202" i="1"/>
  <c r="B5202" i="1"/>
  <c r="A5203" i="1"/>
  <c r="B5203" i="1"/>
  <c r="A5204" i="1"/>
  <c r="B5204" i="1"/>
  <c r="A5205" i="1"/>
  <c r="B5205" i="1"/>
  <c r="A5206" i="1"/>
  <c r="B5206" i="1"/>
  <c r="A5207" i="1"/>
  <c r="B5207" i="1"/>
  <c r="A5208" i="1"/>
  <c r="B5208" i="1"/>
  <c r="A5209" i="1"/>
  <c r="B5209" i="1"/>
  <c r="A5210" i="1"/>
  <c r="B5210" i="1"/>
  <c r="A5211" i="1"/>
  <c r="B5211" i="1"/>
  <c r="A5212" i="1"/>
  <c r="B5212" i="1"/>
  <c r="A5213" i="1"/>
  <c r="B5213" i="1"/>
  <c r="A5214" i="1"/>
  <c r="B5214" i="1"/>
  <c r="A5215" i="1"/>
  <c r="B5215" i="1"/>
  <c r="A5216" i="1"/>
  <c r="B5216" i="1"/>
  <c r="A5217" i="1"/>
  <c r="B5217" i="1"/>
  <c r="A5218" i="1"/>
  <c r="B5218" i="1"/>
  <c r="A5219" i="1"/>
  <c r="B5219" i="1"/>
  <c r="A5220" i="1"/>
  <c r="B5220" i="1"/>
  <c r="A5221" i="1"/>
  <c r="B5221" i="1"/>
  <c r="A5222" i="1"/>
  <c r="B5222" i="1"/>
  <c r="A5223" i="1"/>
  <c r="B5223" i="1"/>
  <c r="A5224" i="1"/>
  <c r="B5224" i="1"/>
  <c r="A5225" i="1"/>
  <c r="B5225" i="1"/>
  <c r="A5226" i="1"/>
  <c r="B5226" i="1"/>
  <c r="A5227" i="1"/>
  <c r="B5227" i="1"/>
  <c r="A5228" i="1"/>
  <c r="B5228" i="1"/>
  <c r="A5229" i="1"/>
  <c r="B5229" i="1"/>
  <c r="A5230" i="1"/>
  <c r="B5230" i="1"/>
  <c r="A5231" i="1"/>
  <c r="B5231" i="1"/>
  <c r="A5232" i="1"/>
  <c r="B5232" i="1"/>
  <c r="A5233" i="1"/>
  <c r="B5233" i="1"/>
  <c r="A5234" i="1"/>
  <c r="B5234" i="1"/>
  <c r="A5235" i="1"/>
  <c r="B5235" i="1"/>
  <c r="A5236" i="1"/>
  <c r="B5236" i="1"/>
  <c r="A5237" i="1"/>
  <c r="B5237" i="1"/>
  <c r="A5238" i="1"/>
  <c r="B5238" i="1"/>
  <c r="A5239" i="1"/>
  <c r="B5239" i="1"/>
  <c r="A5240" i="1"/>
  <c r="B5240" i="1"/>
  <c r="A5241" i="1"/>
  <c r="B5241" i="1"/>
  <c r="A5242" i="1"/>
  <c r="B5242" i="1"/>
  <c r="A5243" i="1"/>
  <c r="B5243" i="1"/>
  <c r="A5244" i="1"/>
  <c r="B5244" i="1"/>
  <c r="A5245" i="1"/>
  <c r="B5245" i="1"/>
  <c r="A5246" i="1"/>
  <c r="B5246" i="1"/>
  <c r="A5247" i="1"/>
  <c r="B5247" i="1"/>
  <c r="A5248" i="1"/>
  <c r="B5248" i="1"/>
  <c r="A5249" i="1"/>
  <c r="B5249" i="1"/>
  <c r="A5250" i="1"/>
  <c r="B5250" i="1"/>
  <c r="A5251" i="1"/>
  <c r="B5251" i="1"/>
  <c r="A5252" i="1"/>
  <c r="B5252" i="1"/>
  <c r="A5253" i="1"/>
  <c r="B5253" i="1"/>
  <c r="A5254" i="1"/>
  <c r="B5254" i="1"/>
  <c r="A5255" i="1"/>
  <c r="B5255" i="1"/>
  <c r="A5256" i="1"/>
  <c r="B5256" i="1"/>
  <c r="A5257" i="1"/>
  <c r="B5257" i="1"/>
  <c r="A5258" i="1"/>
  <c r="B5258" i="1"/>
  <c r="A5259" i="1"/>
  <c r="B5259" i="1"/>
  <c r="A5260" i="1"/>
  <c r="B5260" i="1"/>
  <c r="A5261" i="1"/>
  <c r="B5261" i="1"/>
  <c r="A5262" i="1"/>
  <c r="B5262" i="1"/>
  <c r="A5263" i="1"/>
  <c r="B5263" i="1"/>
  <c r="A5264" i="1"/>
  <c r="B5264" i="1"/>
  <c r="A5265" i="1"/>
  <c r="B5265" i="1"/>
  <c r="A5266" i="1"/>
  <c r="B5266" i="1"/>
  <c r="A5267" i="1"/>
  <c r="B5267" i="1"/>
  <c r="A5268" i="1"/>
  <c r="B5268" i="1"/>
  <c r="A5269" i="1"/>
  <c r="B5269" i="1"/>
  <c r="A5270" i="1"/>
  <c r="B5270" i="1"/>
  <c r="A5271" i="1"/>
  <c r="B5271" i="1"/>
  <c r="A5272" i="1"/>
  <c r="B5272" i="1"/>
  <c r="A5273" i="1"/>
  <c r="B5273" i="1"/>
  <c r="A5274" i="1"/>
  <c r="B5274" i="1"/>
  <c r="A5275" i="1"/>
  <c r="B5275" i="1"/>
  <c r="A5276" i="1"/>
  <c r="B5276" i="1"/>
  <c r="A5277" i="1"/>
  <c r="B5277" i="1"/>
  <c r="A5278" i="1"/>
  <c r="B5278" i="1"/>
  <c r="A5279" i="1"/>
  <c r="B5279" i="1"/>
  <c r="A5280" i="1"/>
  <c r="B5280" i="1"/>
  <c r="A5281" i="1"/>
  <c r="B5281" i="1"/>
  <c r="A5282" i="1"/>
  <c r="B5282" i="1"/>
  <c r="A5283" i="1"/>
  <c r="B5283" i="1"/>
  <c r="A5284" i="1"/>
  <c r="B5284" i="1"/>
  <c r="A5285" i="1"/>
  <c r="B5285" i="1"/>
  <c r="A5286" i="1"/>
  <c r="B5286" i="1"/>
  <c r="A5287" i="1"/>
  <c r="B5287" i="1"/>
  <c r="A5288" i="1"/>
  <c r="B5288" i="1"/>
  <c r="A5289" i="1"/>
  <c r="B5289" i="1"/>
  <c r="A5290" i="1"/>
  <c r="B5290" i="1"/>
  <c r="A5291" i="1"/>
  <c r="B5291" i="1"/>
  <c r="A5292" i="1"/>
  <c r="B5292" i="1"/>
  <c r="A5293" i="1"/>
  <c r="B5293" i="1"/>
  <c r="A5294" i="1"/>
  <c r="B5294" i="1"/>
  <c r="A5295" i="1"/>
  <c r="B5295" i="1"/>
  <c r="A5296" i="1"/>
  <c r="B5296" i="1"/>
  <c r="A5297" i="1"/>
  <c r="B5297" i="1"/>
  <c r="A5298" i="1"/>
  <c r="B5298" i="1"/>
  <c r="A5299" i="1"/>
  <c r="B5299" i="1"/>
  <c r="A5300" i="1"/>
  <c r="B5300" i="1"/>
  <c r="A5301" i="1"/>
  <c r="B5301" i="1"/>
  <c r="A5302" i="1"/>
  <c r="B5302" i="1"/>
  <c r="A5303" i="1"/>
  <c r="B5303" i="1"/>
  <c r="A5304" i="1"/>
  <c r="B5304" i="1"/>
  <c r="A5305" i="1"/>
  <c r="B5305" i="1"/>
  <c r="A5306" i="1"/>
  <c r="B5306" i="1"/>
  <c r="A5307" i="1"/>
  <c r="B5307" i="1"/>
  <c r="A5308" i="1"/>
  <c r="B5308" i="1"/>
  <c r="A5309" i="1"/>
  <c r="B5309" i="1"/>
  <c r="A5310" i="1"/>
  <c r="B5310" i="1"/>
  <c r="A5311" i="1"/>
  <c r="B5311" i="1"/>
  <c r="A5312" i="1"/>
  <c r="B5312" i="1"/>
  <c r="A5313" i="1"/>
  <c r="B5313" i="1"/>
  <c r="A5314" i="1"/>
  <c r="B5314" i="1"/>
  <c r="A5315" i="1"/>
  <c r="B5315" i="1"/>
  <c r="A5316" i="1"/>
  <c r="B5316" i="1"/>
  <c r="A5317" i="1"/>
  <c r="B5317" i="1"/>
  <c r="A5318" i="1"/>
  <c r="B5318" i="1"/>
  <c r="A5319" i="1"/>
  <c r="B5319" i="1"/>
  <c r="A5320" i="1"/>
  <c r="B5320" i="1"/>
  <c r="A5321" i="1"/>
  <c r="B5321" i="1"/>
  <c r="A5322" i="1"/>
  <c r="B5322" i="1"/>
  <c r="A5323" i="1"/>
  <c r="B5323" i="1"/>
  <c r="A5324" i="1"/>
  <c r="B5324" i="1"/>
  <c r="A5325" i="1"/>
  <c r="B5325" i="1"/>
  <c r="A5326" i="1"/>
  <c r="B5326" i="1"/>
  <c r="A5327" i="1"/>
  <c r="B5327" i="1"/>
  <c r="A5328" i="1"/>
  <c r="B5328" i="1"/>
  <c r="A5329" i="1"/>
  <c r="B5329" i="1"/>
  <c r="A5330" i="1"/>
  <c r="B5330" i="1"/>
  <c r="A5331" i="1"/>
  <c r="B5331" i="1"/>
  <c r="A5332" i="1"/>
  <c r="B5332" i="1"/>
  <c r="A5333" i="1"/>
  <c r="B5333" i="1"/>
  <c r="A5334" i="1"/>
  <c r="B5334" i="1"/>
  <c r="A5335" i="1"/>
  <c r="B5335" i="1"/>
  <c r="A5336" i="1"/>
  <c r="B5336" i="1"/>
  <c r="A5337" i="1"/>
  <c r="B5337" i="1"/>
  <c r="A5338" i="1"/>
  <c r="B5338" i="1"/>
  <c r="A5339" i="1"/>
  <c r="B5339" i="1"/>
  <c r="A5340" i="1"/>
  <c r="B5340" i="1"/>
  <c r="A5341" i="1"/>
  <c r="B5341" i="1"/>
  <c r="A5342" i="1"/>
  <c r="B5342" i="1"/>
  <c r="A5343" i="1"/>
  <c r="B5343" i="1"/>
  <c r="A5344" i="1"/>
  <c r="B5344" i="1"/>
  <c r="A5345" i="1"/>
  <c r="B5345" i="1"/>
  <c r="A5346" i="1"/>
  <c r="B5346" i="1"/>
  <c r="A5347" i="1"/>
  <c r="B5347" i="1"/>
  <c r="A5348" i="1"/>
  <c r="B5348" i="1"/>
  <c r="A5349" i="1"/>
  <c r="B5349" i="1"/>
  <c r="A5350" i="1"/>
  <c r="B5350" i="1"/>
  <c r="A5351" i="1"/>
  <c r="B5351" i="1"/>
  <c r="A5352" i="1"/>
  <c r="B5352" i="1"/>
  <c r="A5353" i="1"/>
  <c r="B5353" i="1"/>
  <c r="A5354" i="1"/>
  <c r="B5354" i="1"/>
  <c r="A5355" i="1"/>
  <c r="B5355" i="1"/>
  <c r="A5356" i="1"/>
  <c r="B5356" i="1"/>
  <c r="A5357" i="1"/>
  <c r="B5357" i="1"/>
  <c r="A5358" i="1"/>
  <c r="B5358" i="1"/>
  <c r="A5359" i="1"/>
  <c r="B5359" i="1"/>
  <c r="A5360" i="1"/>
  <c r="B5360" i="1"/>
  <c r="A5361" i="1"/>
  <c r="B5361" i="1"/>
  <c r="A5362" i="1"/>
  <c r="B5362" i="1"/>
  <c r="A5363" i="1"/>
  <c r="B5363" i="1"/>
  <c r="A5364" i="1"/>
  <c r="B5364" i="1"/>
  <c r="A5365" i="1"/>
  <c r="B5365" i="1"/>
  <c r="A5366" i="1"/>
  <c r="B5366" i="1"/>
  <c r="A5367" i="1"/>
  <c r="B5367" i="1"/>
  <c r="A5368" i="1"/>
  <c r="B5368" i="1"/>
  <c r="A5369" i="1"/>
  <c r="B5369" i="1"/>
  <c r="A5370" i="1"/>
  <c r="B5370" i="1"/>
  <c r="A5371" i="1"/>
  <c r="B5371" i="1"/>
  <c r="A5372" i="1"/>
  <c r="B5372" i="1"/>
  <c r="A5373" i="1"/>
  <c r="B5373" i="1"/>
  <c r="A5374" i="1"/>
  <c r="B5374" i="1"/>
  <c r="A5375" i="1"/>
  <c r="B5375" i="1"/>
  <c r="A5376" i="1"/>
  <c r="B5376" i="1"/>
  <c r="A5377" i="1"/>
  <c r="B5377" i="1"/>
  <c r="A5378" i="1"/>
  <c r="B5378" i="1"/>
  <c r="A5379" i="1"/>
  <c r="B5379" i="1"/>
  <c r="A5380" i="1"/>
  <c r="B5380" i="1"/>
  <c r="A5381" i="1"/>
  <c r="B5381" i="1"/>
  <c r="A5382" i="1"/>
  <c r="B5382" i="1"/>
  <c r="A5383" i="1"/>
  <c r="B5383" i="1"/>
  <c r="A5384" i="1"/>
  <c r="B5384" i="1"/>
  <c r="A5385" i="1"/>
  <c r="B5385" i="1"/>
  <c r="A5386" i="1"/>
  <c r="B5386" i="1"/>
  <c r="A5387" i="1"/>
  <c r="B5387" i="1"/>
  <c r="A5388" i="1"/>
  <c r="B5388" i="1"/>
  <c r="A5389" i="1"/>
  <c r="B5389" i="1"/>
  <c r="A5390" i="1"/>
  <c r="B5390" i="1"/>
  <c r="A5391" i="1"/>
  <c r="B5391" i="1"/>
  <c r="A5392" i="1"/>
  <c r="B5392" i="1"/>
  <c r="A5393" i="1"/>
  <c r="B5393" i="1"/>
  <c r="A5394" i="1"/>
  <c r="B5394" i="1"/>
  <c r="A5395" i="1"/>
  <c r="B5395" i="1"/>
  <c r="A5396" i="1"/>
  <c r="B5396" i="1"/>
  <c r="A5397" i="1"/>
  <c r="B5397" i="1"/>
  <c r="A5398" i="1"/>
  <c r="B5398" i="1"/>
  <c r="A5399" i="1"/>
  <c r="B5399" i="1"/>
  <c r="A5400" i="1"/>
  <c r="B5400" i="1"/>
  <c r="A5401" i="1"/>
  <c r="B5401" i="1"/>
  <c r="A5402" i="1"/>
  <c r="B5402" i="1"/>
  <c r="A5403" i="1"/>
  <c r="B5403" i="1"/>
  <c r="A5404" i="1"/>
  <c r="B5404" i="1"/>
  <c r="A5405" i="1"/>
  <c r="B5405" i="1"/>
  <c r="A5406" i="1"/>
  <c r="B5406" i="1"/>
  <c r="A5407" i="1"/>
  <c r="B5407" i="1"/>
  <c r="A5408" i="1"/>
  <c r="B5408" i="1"/>
  <c r="A5409" i="1"/>
  <c r="B5409" i="1"/>
  <c r="A5410" i="1"/>
  <c r="B5410" i="1"/>
  <c r="A5411" i="1"/>
  <c r="B5411" i="1"/>
  <c r="A5412" i="1"/>
  <c r="B5412" i="1"/>
  <c r="A5413" i="1"/>
  <c r="B5413" i="1"/>
  <c r="A5414" i="1"/>
  <c r="B5414" i="1"/>
  <c r="A5415" i="1"/>
  <c r="B5415" i="1"/>
  <c r="A5416" i="1"/>
  <c r="B5416" i="1"/>
  <c r="A5417" i="1"/>
  <c r="B5417" i="1"/>
  <c r="A5418" i="1"/>
  <c r="B5418" i="1"/>
  <c r="A5419" i="1"/>
  <c r="B5419" i="1"/>
  <c r="A5420" i="1"/>
  <c r="B5420" i="1"/>
  <c r="A5421" i="1"/>
  <c r="B5421" i="1"/>
  <c r="A5422" i="1"/>
  <c r="B5422" i="1"/>
  <c r="A5423" i="1"/>
  <c r="B5423" i="1"/>
  <c r="A5424" i="1"/>
  <c r="B5424" i="1"/>
  <c r="A5425" i="1"/>
  <c r="B5425" i="1"/>
  <c r="A5426" i="1"/>
  <c r="B5426" i="1"/>
  <c r="A5427" i="1"/>
  <c r="B5427" i="1"/>
  <c r="A5428" i="1"/>
  <c r="B5428" i="1"/>
  <c r="A5429" i="1"/>
  <c r="B5429" i="1"/>
  <c r="A5430" i="1"/>
  <c r="B5430" i="1"/>
  <c r="A5431" i="1"/>
  <c r="B5431" i="1"/>
  <c r="A5432" i="1"/>
  <c r="B5432" i="1"/>
  <c r="A5433" i="1"/>
  <c r="B5433" i="1"/>
  <c r="A5434" i="1"/>
  <c r="B5434" i="1"/>
  <c r="A5435" i="1"/>
  <c r="B5435" i="1"/>
  <c r="A5436" i="1"/>
  <c r="B5436" i="1"/>
  <c r="A5437" i="1"/>
  <c r="B5437" i="1"/>
  <c r="A5438" i="1"/>
  <c r="B5438" i="1"/>
  <c r="A5439" i="1"/>
  <c r="B5439" i="1"/>
  <c r="A5440" i="1"/>
  <c r="B5440" i="1"/>
  <c r="A5441" i="1"/>
  <c r="B5441" i="1"/>
  <c r="A5442" i="1"/>
  <c r="B5442" i="1"/>
  <c r="A5443" i="1"/>
  <c r="B5443" i="1"/>
  <c r="A5444" i="1"/>
  <c r="B5444" i="1"/>
  <c r="A5445" i="1"/>
  <c r="B5445" i="1"/>
  <c r="A5446" i="1"/>
  <c r="B5446" i="1"/>
  <c r="A5447" i="1"/>
  <c r="B5447" i="1"/>
  <c r="A5448" i="1"/>
  <c r="B5448" i="1"/>
  <c r="A5449" i="1"/>
  <c r="B5449" i="1"/>
  <c r="A5450" i="1"/>
  <c r="B5450" i="1"/>
  <c r="A5451" i="1"/>
  <c r="B5451" i="1"/>
  <c r="A5452" i="1"/>
  <c r="B5452" i="1"/>
  <c r="A5453" i="1"/>
  <c r="B5453" i="1"/>
  <c r="A5454" i="1"/>
  <c r="B5454" i="1"/>
  <c r="A5455" i="1"/>
  <c r="B5455" i="1"/>
  <c r="A5456" i="1"/>
  <c r="B5456" i="1"/>
  <c r="A5457" i="1"/>
  <c r="B5457" i="1"/>
  <c r="A5458" i="1"/>
  <c r="B5458" i="1"/>
  <c r="A5459" i="1"/>
  <c r="B5459" i="1"/>
  <c r="A5460" i="1"/>
  <c r="B5460" i="1"/>
  <c r="A5461" i="1"/>
  <c r="B5461" i="1"/>
  <c r="A5462" i="1"/>
  <c r="B5462" i="1"/>
  <c r="A5463" i="1"/>
  <c r="B5463" i="1"/>
  <c r="A5464" i="1"/>
  <c r="B5464" i="1"/>
  <c r="A5465" i="1"/>
  <c r="B5465" i="1"/>
  <c r="A5466" i="1"/>
  <c r="B5466" i="1"/>
  <c r="A5467" i="1"/>
  <c r="B5467" i="1"/>
  <c r="A5468" i="1"/>
  <c r="B5468" i="1"/>
  <c r="A5469" i="1"/>
  <c r="B5469" i="1"/>
  <c r="A5470" i="1"/>
  <c r="B5470" i="1"/>
  <c r="A5471" i="1"/>
  <c r="B5471" i="1"/>
  <c r="A5472" i="1"/>
  <c r="B5472" i="1"/>
  <c r="A5473" i="1"/>
  <c r="B5473" i="1"/>
  <c r="A5474" i="1"/>
  <c r="B5474" i="1"/>
  <c r="A5475" i="1"/>
  <c r="B5475" i="1"/>
  <c r="A5476" i="1"/>
  <c r="B5476" i="1"/>
  <c r="A5477" i="1"/>
  <c r="B5477" i="1"/>
  <c r="A5478" i="1"/>
  <c r="B5478" i="1"/>
  <c r="A5479" i="1"/>
  <c r="B5479" i="1"/>
  <c r="A5480" i="1"/>
  <c r="B5480" i="1"/>
  <c r="A5481" i="1"/>
  <c r="B5481" i="1"/>
  <c r="A5482" i="1"/>
  <c r="B5482" i="1"/>
  <c r="A5483" i="1"/>
  <c r="B5483" i="1"/>
  <c r="A5484" i="1"/>
  <c r="B5484" i="1"/>
  <c r="A5485" i="1"/>
  <c r="B5485" i="1"/>
  <c r="A5486" i="1"/>
  <c r="B5486" i="1"/>
  <c r="A5487" i="1"/>
  <c r="B5487" i="1"/>
  <c r="A5488" i="1"/>
  <c r="B5488" i="1"/>
  <c r="A5489" i="1"/>
  <c r="B5489" i="1"/>
  <c r="A5490" i="1"/>
  <c r="B5490" i="1"/>
  <c r="A5491" i="1"/>
  <c r="B5491" i="1"/>
  <c r="A5492" i="1"/>
  <c r="B5492" i="1"/>
  <c r="A5493" i="1"/>
  <c r="B5493" i="1"/>
  <c r="A5494" i="1"/>
  <c r="B5494" i="1"/>
  <c r="A5495" i="1"/>
  <c r="B5495" i="1"/>
  <c r="A5496" i="1"/>
  <c r="B5496" i="1"/>
  <c r="A5497" i="1"/>
  <c r="B5497" i="1"/>
  <c r="A5498" i="1"/>
  <c r="B5498" i="1"/>
  <c r="A5499" i="1"/>
  <c r="B5499" i="1"/>
  <c r="A5500" i="1"/>
  <c r="B5500" i="1"/>
  <c r="A5501" i="1"/>
  <c r="B5501" i="1"/>
  <c r="A5502" i="1"/>
  <c r="B5502" i="1"/>
  <c r="A5503" i="1"/>
  <c r="B5503" i="1"/>
  <c r="A5504" i="1"/>
  <c r="B5504" i="1"/>
  <c r="A5505" i="1"/>
  <c r="B5505" i="1"/>
  <c r="A5506" i="1"/>
  <c r="B5506" i="1"/>
  <c r="A5507" i="1"/>
  <c r="B5507" i="1"/>
  <c r="A5508" i="1"/>
  <c r="B5508" i="1"/>
  <c r="A5509" i="1"/>
  <c r="B5509" i="1"/>
  <c r="A5510" i="1"/>
  <c r="B5510" i="1"/>
  <c r="A5511" i="1"/>
  <c r="B5511" i="1"/>
  <c r="A5512" i="1"/>
  <c r="B5512" i="1"/>
  <c r="A5513" i="1"/>
  <c r="B5513" i="1"/>
  <c r="A5514" i="1"/>
  <c r="B5514" i="1"/>
  <c r="A5515" i="1"/>
  <c r="B5515" i="1"/>
  <c r="A5516" i="1"/>
  <c r="B5516" i="1"/>
  <c r="A5517" i="1"/>
  <c r="B5517" i="1"/>
  <c r="A5518" i="1"/>
  <c r="B5518" i="1"/>
  <c r="A5519" i="1"/>
  <c r="B5519" i="1"/>
  <c r="A5520" i="1"/>
  <c r="B5520" i="1"/>
  <c r="A5521" i="1"/>
  <c r="B5521" i="1"/>
  <c r="A5522" i="1"/>
  <c r="B5522" i="1"/>
  <c r="A5523" i="1"/>
  <c r="B5523" i="1"/>
  <c r="A5524" i="1"/>
  <c r="B5524" i="1"/>
  <c r="A5525" i="1"/>
  <c r="B5525" i="1"/>
  <c r="A5526" i="1"/>
  <c r="B5526" i="1"/>
  <c r="A5527" i="1"/>
  <c r="B5527" i="1"/>
  <c r="A5528" i="1"/>
  <c r="B5528" i="1"/>
  <c r="A5529" i="1"/>
  <c r="B5529" i="1"/>
  <c r="A5530" i="1"/>
  <c r="B5530" i="1"/>
  <c r="A5531" i="1"/>
  <c r="B5531" i="1"/>
  <c r="A5532" i="1"/>
  <c r="B5532" i="1"/>
  <c r="A5533" i="1"/>
  <c r="B5533" i="1"/>
  <c r="A5534" i="1"/>
  <c r="B5534" i="1"/>
  <c r="A5535" i="1"/>
  <c r="B5535" i="1"/>
  <c r="A5536" i="1"/>
  <c r="B5536" i="1"/>
  <c r="A5537" i="1"/>
  <c r="B5537" i="1"/>
  <c r="A5538" i="1"/>
  <c r="B5538" i="1"/>
  <c r="A5539" i="1"/>
  <c r="B5539" i="1"/>
  <c r="A5540" i="1"/>
  <c r="B5540" i="1"/>
  <c r="A5541" i="1"/>
  <c r="B5541" i="1"/>
  <c r="A5542" i="1"/>
  <c r="B5542" i="1"/>
  <c r="A5543" i="1"/>
  <c r="B5543" i="1"/>
  <c r="A5544" i="1"/>
  <c r="B5544" i="1"/>
  <c r="A5545" i="1"/>
  <c r="B5545" i="1"/>
  <c r="A5546" i="1"/>
  <c r="B5546" i="1"/>
  <c r="A5547" i="1"/>
  <c r="B5547" i="1"/>
  <c r="A5548" i="1"/>
  <c r="B5548" i="1"/>
  <c r="A5549" i="1"/>
  <c r="B5549" i="1"/>
  <c r="A5550" i="1"/>
  <c r="B5550" i="1"/>
  <c r="A5551" i="1"/>
  <c r="B5551" i="1"/>
  <c r="A5552" i="1"/>
  <c r="B5552" i="1"/>
  <c r="A5553" i="1"/>
  <c r="B5553" i="1"/>
  <c r="A5554" i="1"/>
  <c r="B5554" i="1"/>
  <c r="A5555" i="1"/>
  <c r="B5555" i="1"/>
  <c r="A5556" i="1"/>
  <c r="B5556" i="1"/>
  <c r="A5557" i="1"/>
  <c r="B5557" i="1"/>
  <c r="A5558" i="1"/>
  <c r="B5558" i="1"/>
  <c r="A5559" i="1"/>
  <c r="B5559" i="1"/>
  <c r="A5560" i="1"/>
  <c r="B5560" i="1"/>
  <c r="A5561" i="1"/>
  <c r="B5561" i="1"/>
  <c r="A5562" i="1"/>
  <c r="B5562" i="1"/>
  <c r="A5563" i="1"/>
  <c r="B5563" i="1"/>
  <c r="A5564" i="1"/>
  <c r="B5564" i="1"/>
  <c r="A5565" i="1"/>
  <c r="B5565" i="1"/>
  <c r="A5566" i="1"/>
  <c r="B5566" i="1"/>
  <c r="A5567" i="1"/>
  <c r="B5567" i="1"/>
  <c r="A5568" i="1"/>
  <c r="B5568" i="1"/>
  <c r="A5569" i="1"/>
  <c r="B5569" i="1"/>
  <c r="A5570" i="1"/>
  <c r="B5570" i="1"/>
  <c r="A5571" i="1"/>
  <c r="B5571" i="1"/>
  <c r="A5572" i="1"/>
  <c r="B5572" i="1"/>
  <c r="A5573" i="1"/>
  <c r="B5573" i="1"/>
  <c r="A5574" i="1"/>
  <c r="B5574" i="1"/>
  <c r="A5575" i="1"/>
  <c r="B5575" i="1"/>
  <c r="A5576" i="1"/>
  <c r="B5576" i="1"/>
  <c r="A5577" i="1"/>
  <c r="B5577" i="1"/>
  <c r="A5578" i="1"/>
  <c r="B5578" i="1"/>
  <c r="A5579" i="1"/>
  <c r="B5579" i="1"/>
  <c r="A5580" i="1"/>
  <c r="B5580" i="1"/>
  <c r="A5581" i="1"/>
  <c r="B5581" i="1"/>
  <c r="A5582" i="1"/>
  <c r="B5582" i="1"/>
  <c r="A5583" i="1"/>
  <c r="B5583" i="1"/>
  <c r="A5584" i="1"/>
  <c r="B5584" i="1"/>
  <c r="A5585" i="1"/>
  <c r="B5585" i="1"/>
  <c r="A5586" i="1"/>
  <c r="B5586" i="1"/>
  <c r="A5587" i="1"/>
  <c r="B5587" i="1"/>
  <c r="A5588" i="1"/>
  <c r="B5588" i="1"/>
  <c r="A5589" i="1"/>
  <c r="B5589" i="1"/>
  <c r="A5590" i="1"/>
  <c r="B5590" i="1"/>
  <c r="A5591" i="1"/>
  <c r="B5591" i="1"/>
  <c r="A5592" i="1"/>
  <c r="B5592" i="1"/>
  <c r="A5593" i="1"/>
  <c r="B5593" i="1"/>
  <c r="A5594" i="1"/>
  <c r="B5594" i="1"/>
  <c r="A5595" i="1"/>
  <c r="B5595" i="1"/>
  <c r="A5596" i="1"/>
  <c r="B5596" i="1"/>
  <c r="A5597" i="1"/>
  <c r="B5597" i="1"/>
  <c r="A5598" i="1"/>
  <c r="B5598" i="1"/>
  <c r="A5599" i="1"/>
  <c r="B5599" i="1"/>
  <c r="A5600" i="1"/>
  <c r="B5600" i="1"/>
  <c r="A5601" i="1"/>
  <c r="B5601" i="1"/>
  <c r="A5602" i="1"/>
  <c r="B5602" i="1"/>
  <c r="A5603" i="1"/>
  <c r="B5603" i="1"/>
  <c r="A5604" i="1"/>
  <c r="B5604" i="1"/>
  <c r="A5605" i="1"/>
  <c r="B5605" i="1"/>
  <c r="A5606" i="1"/>
  <c r="B5606" i="1"/>
  <c r="A5607" i="1"/>
  <c r="B5607" i="1"/>
  <c r="A5608" i="1"/>
  <c r="B5608" i="1"/>
  <c r="A5609" i="1"/>
  <c r="B5609" i="1"/>
  <c r="A5610" i="1"/>
  <c r="B5610" i="1"/>
  <c r="A5611" i="1"/>
  <c r="B5611" i="1"/>
  <c r="A5612" i="1"/>
  <c r="B5612" i="1"/>
  <c r="A5613" i="1"/>
  <c r="B5613" i="1"/>
  <c r="A5614" i="1"/>
  <c r="B5614" i="1"/>
  <c r="A5615" i="1"/>
  <c r="B5615" i="1"/>
  <c r="A5616" i="1"/>
  <c r="B5616" i="1"/>
  <c r="A5617" i="1"/>
  <c r="B5617" i="1"/>
  <c r="A5618" i="1"/>
  <c r="B5618" i="1"/>
  <c r="A5619" i="1"/>
  <c r="B5619" i="1"/>
  <c r="A5620" i="1"/>
  <c r="B5620" i="1"/>
  <c r="A5621" i="1"/>
  <c r="B5621" i="1"/>
  <c r="A5622" i="1"/>
  <c r="B5622" i="1"/>
  <c r="A5623" i="1"/>
  <c r="B5623" i="1"/>
  <c r="A5624" i="1"/>
  <c r="B5624" i="1"/>
  <c r="A5625" i="1"/>
  <c r="B5625" i="1"/>
  <c r="A5626" i="1"/>
  <c r="B5626" i="1"/>
  <c r="A5627" i="1"/>
  <c r="B5627" i="1"/>
  <c r="A5628" i="1"/>
  <c r="B5628" i="1"/>
  <c r="A5629" i="1"/>
  <c r="B5629" i="1"/>
  <c r="A5630" i="1"/>
  <c r="B5630" i="1"/>
  <c r="A5631" i="1"/>
  <c r="B5631" i="1"/>
  <c r="A5632" i="1"/>
  <c r="B5632" i="1"/>
  <c r="A5633" i="1"/>
  <c r="B5633" i="1"/>
  <c r="A5634" i="1"/>
  <c r="B5634" i="1"/>
  <c r="A5635" i="1"/>
  <c r="B5635" i="1"/>
  <c r="A5636" i="1"/>
  <c r="B5636" i="1"/>
  <c r="A5637" i="1"/>
  <c r="B5637" i="1"/>
  <c r="A5638" i="1"/>
  <c r="B5638" i="1"/>
  <c r="A5639" i="1"/>
  <c r="B5639" i="1"/>
  <c r="A5640" i="1"/>
  <c r="B5640" i="1"/>
  <c r="A5641" i="1"/>
  <c r="B5641" i="1"/>
  <c r="A5642" i="1"/>
  <c r="B5642" i="1"/>
  <c r="A5643" i="1"/>
  <c r="B5643" i="1"/>
  <c r="A5644" i="1"/>
  <c r="B5644" i="1"/>
  <c r="A5645" i="1"/>
  <c r="B5645" i="1"/>
  <c r="A5646" i="1"/>
  <c r="B5646" i="1"/>
  <c r="A5647" i="1"/>
  <c r="B5647" i="1"/>
  <c r="A5648" i="1"/>
  <c r="B5648" i="1"/>
  <c r="A5649" i="1"/>
  <c r="B5649" i="1"/>
  <c r="A5650" i="1"/>
  <c r="B5650" i="1"/>
  <c r="A5651" i="1"/>
  <c r="B5651" i="1"/>
  <c r="A5652" i="1"/>
  <c r="B5652" i="1"/>
  <c r="A5653" i="1"/>
  <c r="B5653" i="1"/>
  <c r="A5654" i="1"/>
  <c r="B5654" i="1"/>
  <c r="A5655" i="1"/>
  <c r="B5655" i="1"/>
  <c r="A5656" i="1"/>
  <c r="B5656" i="1"/>
  <c r="A5657" i="1"/>
  <c r="B5657" i="1"/>
  <c r="A5658" i="1"/>
  <c r="B5658" i="1"/>
  <c r="A5659" i="1"/>
  <c r="B5659" i="1"/>
  <c r="A5660" i="1"/>
  <c r="B5660" i="1"/>
  <c r="A5661" i="1"/>
  <c r="B5661" i="1"/>
  <c r="A5662" i="1"/>
  <c r="B5662" i="1"/>
  <c r="A5663" i="1"/>
  <c r="B5663" i="1"/>
  <c r="A5664" i="1"/>
  <c r="B5664" i="1"/>
  <c r="A5665" i="1"/>
  <c r="B5665" i="1"/>
  <c r="A5666" i="1"/>
  <c r="B5666" i="1"/>
  <c r="A5667" i="1"/>
  <c r="B5667" i="1"/>
  <c r="A5668" i="1"/>
  <c r="B5668" i="1"/>
  <c r="A5669" i="1"/>
  <c r="B5669" i="1"/>
  <c r="A5670" i="1"/>
  <c r="B5670" i="1"/>
  <c r="A5671" i="1"/>
  <c r="B5671" i="1"/>
  <c r="A5672" i="1"/>
  <c r="B5672" i="1"/>
  <c r="A5673" i="1"/>
  <c r="B5673" i="1"/>
  <c r="A5674" i="1"/>
  <c r="B5674" i="1"/>
  <c r="A5675" i="1"/>
  <c r="B5675" i="1"/>
  <c r="A5676" i="1"/>
  <c r="B5676" i="1"/>
  <c r="A5677" i="1"/>
  <c r="B5677" i="1"/>
  <c r="A5678" i="1"/>
  <c r="B5678" i="1"/>
  <c r="A5679" i="1"/>
  <c r="B5679" i="1"/>
  <c r="A5680" i="1"/>
  <c r="B5680" i="1"/>
  <c r="A5681" i="1"/>
  <c r="B5681" i="1"/>
  <c r="A5682" i="1"/>
  <c r="B5682" i="1"/>
  <c r="A5683" i="1"/>
  <c r="B5683" i="1"/>
  <c r="A5684" i="1"/>
  <c r="B5684" i="1"/>
  <c r="A5685" i="1"/>
  <c r="B5685" i="1"/>
  <c r="A5686" i="1"/>
  <c r="B5686" i="1"/>
  <c r="A5687" i="1"/>
  <c r="B5687" i="1"/>
  <c r="A5688" i="1"/>
  <c r="B5688" i="1"/>
  <c r="A5689" i="1"/>
  <c r="B5689" i="1"/>
  <c r="A5690" i="1"/>
  <c r="B5690" i="1"/>
  <c r="A5691" i="1"/>
  <c r="B5691" i="1"/>
  <c r="A5692" i="1"/>
  <c r="B5692" i="1"/>
  <c r="A5693" i="1"/>
  <c r="B5693" i="1"/>
  <c r="A5694" i="1"/>
  <c r="B5694" i="1"/>
  <c r="A5695" i="1"/>
  <c r="B5695" i="1"/>
  <c r="A5696" i="1"/>
  <c r="B5696" i="1"/>
  <c r="A5697" i="1"/>
  <c r="B5697" i="1"/>
  <c r="A5698" i="1"/>
  <c r="B5698" i="1"/>
  <c r="A5699" i="1"/>
  <c r="B5699" i="1"/>
  <c r="A5700" i="1"/>
  <c r="B5700" i="1"/>
  <c r="A5701" i="1"/>
  <c r="B5701" i="1"/>
  <c r="A5702" i="1"/>
  <c r="B5702" i="1"/>
  <c r="A5703" i="1"/>
  <c r="B5703" i="1"/>
  <c r="A5704" i="1"/>
  <c r="B5704" i="1"/>
  <c r="A5705" i="1"/>
  <c r="B5705" i="1"/>
  <c r="A5706" i="1"/>
  <c r="B5706" i="1"/>
  <c r="A5707" i="1"/>
  <c r="B5707" i="1"/>
  <c r="A5708" i="1"/>
  <c r="B5708" i="1"/>
  <c r="A5709" i="1"/>
  <c r="B5709" i="1"/>
  <c r="A5710" i="1"/>
  <c r="B5710" i="1"/>
  <c r="A5711" i="1"/>
  <c r="B5711" i="1"/>
  <c r="A5712" i="1"/>
  <c r="B5712" i="1"/>
  <c r="A5713" i="1"/>
  <c r="B5713" i="1"/>
  <c r="A5714" i="1"/>
  <c r="B5714" i="1"/>
  <c r="A5715" i="1"/>
  <c r="B5715" i="1"/>
  <c r="A5716" i="1"/>
  <c r="B5716" i="1"/>
  <c r="A5717" i="1"/>
  <c r="B5717" i="1"/>
  <c r="A5718" i="1"/>
  <c r="B5718" i="1"/>
  <c r="A5719" i="1"/>
  <c r="B5719" i="1"/>
  <c r="A5720" i="1"/>
  <c r="B5720" i="1"/>
  <c r="A5721" i="1"/>
  <c r="B5721" i="1"/>
  <c r="A5722" i="1"/>
  <c r="B5722" i="1"/>
  <c r="A5723" i="1"/>
  <c r="B5723" i="1"/>
  <c r="A5724" i="1"/>
  <c r="B5724" i="1"/>
  <c r="A5725" i="1"/>
  <c r="B5725" i="1"/>
  <c r="A5726" i="1"/>
  <c r="B5726" i="1"/>
  <c r="A5727" i="1"/>
  <c r="B5727" i="1"/>
  <c r="A5728" i="1"/>
  <c r="B5728" i="1"/>
  <c r="A5729" i="1"/>
  <c r="B5729" i="1"/>
  <c r="A5730" i="1"/>
  <c r="B5730" i="1"/>
  <c r="A5731" i="1"/>
  <c r="B5731" i="1"/>
  <c r="A5732" i="1"/>
  <c r="B5732" i="1"/>
  <c r="A5733" i="1"/>
  <c r="B5733" i="1"/>
  <c r="A5734" i="1"/>
  <c r="B5734" i="1"/>
  <c r="A5735" i="1"/>
  <c r="B5735" i="1"/>
  <c r="A5736" i="1"/>
  <c r="B5736" i="1"/>
  <c r="A5737" i="1"/>
  <c r="B5737" i="1"/>
  <c r="A5738" i="1"/>
  <c r="B5738" i="1"/>
  <c r="A5739" i="1"/>
  <c r="B5739" i="1"/>
  <c r="A5740" i="1"/>
  <c r="B5740" i="1"/>
  <c r="A5741" i="1"/>
  <c r="B5741" i="1"/>
  <c r="A5742" i="1"/>
  <c r="B5742" i="1"/>
  <c r="A5743" i="1"/>
  <c r="B5743" i="1"/>
  <c r="A5744" i="1"/>
  <c r="B5744" i="1"/>
  <c r="A5745" i="1"/>
  <c r="B5745" i="1"/>
  <c r="A5746" i="1"/>
  <c r="B5746" i="1"/>
  <c r="A5747" i="1"/>
  <c r="B5747" i="1"/>
  <c r="A5748" i="1"/>
  <c r="B5748" i="1"/>
  <c r="A5749" i="1"/>
  <c r="B5749" i="1"/>
  <c r="A5750" i="1"/>
  <c r="B5750" i="1"/>
  <c r="A5751" i="1"/>
  <c r="B5751" i="1"/>
  <c r="A5752" i="1"/>
  <c r="B5752" i="1"/>
  <c r="A5753" i="1"/>
  <c r="B5753" i="1"/>
  <c r="A5754" i="1"/>
  <c r="B5754" i="1"/>
  <c r="A5755" i="1"/>
  <c r="B5755" i="1"/>
  <c r="A5756" i="1"/>
  <c r="B5756" i="1"/>
  <c r="A5757" i="1"/>
  <c r="B5757" i="1"/>
  <c r="A5758" i="1"/>
  <c r="B5758" i="1"/>
  <c r="A5759" i="1"/>
  <c r="B5759" i="1"/>
  <c r="A5760" i="1"/>
  <c r="B5760" i="1"/>
  <c r="A5761" i="1"/>
  <c r="B5761" i="1"/>
  <c r="A5762" i="1"/>
  <c r="B5762" i="1"/>
  <c r="A5763" i="1"/>
  <c r="B5763" i="1"/>
  <c r="A5764" i="1"/>
  <c r="B5764" i="1"/>
  <c r="A5765" i="1"/>
  <c r="B5765" i="1"/>
  <c r="A5766" i="1"/>
  <c r="B5766" i="1"/>
  <c r="A5767" i="1"/>
  <c r="B5767" i="1"/>
  <c r="A5768" i="1"/>
  <c r="B5768" i="1"/>
  <c r="A5769" i="1"/>
  <c r="B5769" i="1"/>
  <c r="A5770" i="1"/>
  <c r="B5770" i="1"/>
  <c r="A5771" i="1"/>
  <c r="B5771" i="1"/>
  <c r="A5772" i="1"/>
  <c r="B5772" i="1"/>
  <c r="A5773" i="1"/>
  <c r="B5773" i="1"/>
  <c r="A5774" i="1"/>
  <c r="B5774" i="1"/>
  <c r="A5775" i="1"/>
  <c r="B5775" i="1"/>
  <c r="A5776" i="1"/>
  <c r="B5776" i="1"/>
  <c r="A5777" i="1"/>
  <c r="B5777" i="1"/>
  <c r="A5778" i="1"/>
  <c r="B5778" i="1"/>
  <c r="A5779" i="1"/>
  <c r="B5779" i="1"/>
  <c r="A5780" i="1"/>
  <c r="B5780" i="1"/>
  <c r="A5781" i="1"/>
  <c r="B5781" i="1"/>
  <c r="A5782" i="1"/>
  <c r="B5782" i="1"/>
  <c r="A5783" i="1"/>
  <c r="B5783" i="1"/>
  <c r="A5784" i="1"/>
  <c r="B5784" i="1"/>
  <c r="A5785" i="1"/>
  <c r="B5785" i="1"/>
  <c r="A5786" i="1"/>
  <c r="B5786" i="1"/>
  <c r="A5787" i="1"/>
  <c r="B5787" i="1"/>
  <c r="A5788" i="1"/>
  <c r="B5788" i="1"/>
  <c r="A5789" i="1"/>
  <c r="B5789" i="1"/>
  <c r="A5790" i="1"/>
  <c r="B5790" i="1"/>
  <c r="A5791" i="1"/>
  <c r="B5791" i="1"/>
  <c r="A5792" i="1"/>
  <c r="B5792" i="1"/>
  <c r="A5793" i="1"/>
  <c r="B5793" i="1"/>
  <c r="A5794" i="1"/>
  <c r="B5794" i="1"/>
  <c r="A5795" i="1"/>
  <c r="B5795" i="1"/>
  <c r="A5796" i="1"/>
  <c r="B5796" i="1"/>
  <c r="A5797" i="1"/>
  <c r="B5797" i="1"/>
  <c r="A5798" i="1"/>
  <c r="B5798" i="1"/>
  <c r="A5799" i="1"/>
  <c r="B5799" i="1"/>
  <c r="A5800" i="1"/>
  <c r="B5800" i="1"/>
  <c r="A5801" i="1"/>
  <c r="B5801" i="1"/>
  <c r="A5802" i="1"/>
  <c r="B5802" i="1"/>
  <c r="A5803" i="1"/>
  <c r="B5803" i="1"/>
</calcChain>
</file>

<file path=xl/sharedStrings.xml><?xml version="1.0" encoding="utf-8"?>
<sst xmlns="http://schemas.openxmlformats.org/spreadsheetml/2006/main" count="11641" uniqueCount="59">
  <si>
    <t>SystemTime</t>
  </si>
  <si>
    <t>Timestamp</t>
  </si>
  <si>
    <t>NowSsceneName</t>
  </si>
  <si>
    <t>PupilRadiusH</t>
  </si>
  <si>
    <t>GazePointX</t>
  </si>
  <si>
    <t>Hitname</t>
  </si>
  <si>
    <t>HitPointX</t>
  </si>
  <si>
    <t>HitPointY</t>
  </si>
  <si>
    <t>HitPointZ</t>
  </si>
  <si>
    <t>CameraPosX</t>
  </si>
  <si>
    <t>CameraPosY</t>
  </si>
  <si>
    <t>CameraPosZ</t>
  </si>
  <si>
    <t>CarDirX</t>
  </si>
  <si>
    <t>CarDirY</t>
  </si>
  <si>
    <t>CarDirZ</t>
  </si>
  <si>
    <t>CameraDirX</t>
  </si>
  <si>
    <t>CameraDirY</t>
  </si>
  <si>
    <t>CameraDirZ</t>
  </si>
  <si>
    <t>EyeDirX</t>
  </si>
  <si>
    <t>EyeDirY</t>
  </si>
  <si>
    <t>EyeDirZ</t>
  </si>
  <si>
    <t>HeadLocalDirX</t>
  </si>
  <si>
    <t>HeadLocalDirY</t>
  </si>
  <si>
    <t>HeadLocalDirZ</t>
  </si>
  <si>
    <t>EyeLocalDirX</t>
  </si>
  <si>
    <t>EyeLocalDirY</t>
  </si>
  <si>
    <t>EyeLocalDirZ</t>
  </si>
  <si>
    <t>speed</t>
  </si>
  <si>
    <t>VecX</t>
  </si>
  <si>
    <t>VecY</t>
  </si>
  <si>
    <t>VecZ</t>
  </si>
  <si>
    <t>LocalVecX</t>
  </si>
  <si>
    <t>LocalVecY</t>
  </si>
  <si>
    <t>LocalVecZ</t>
  </si>
  <si>
    <t>Theta</t>
  </si>
  <si>
    <t>Phi</t>
  </si>
  <si>
    <t>r</t>
  </si>
  <si>
    <t>TestNight_on</t>
  </si>
  <si>
    <t>Kooper</t>
  </si>
  <si>
    <t>mcp_road_part_02</t>
  </si>
  <si>
    <t>Plane_01</t>
  </si>
  <si>
    <t>Building 07 (16)</t>
  </si>
  <si>
    <t>mcp_roads_turn_01 (1)</t>
  </si>
  <si>
    <t>mcp_roads_T_cross_01</t>
  </si>
  <si>
    <t>mcp_road_part_01</t>
  </si>
  <si>
    <t>mcp_roads_cross_01</t>
  </si>
  <si>
    <t>mcp_roads_cross_02</t>
  </si>
  <si>
    <t>mcp_roads_turn_01</t>
  </si>
  <si>
    <t>mcp_road_part_02 (1)</t>
  </si>
  <si>
    <t>mcp_road_part_02 (2)</t>
  </si>
  <si>
    <t>Tree 04 (4)</t>
  </si>
  <si>
    <t>mcp_road_part_02 (3)</t>
  </si>
  <si>
    <t>mcp_road_part_02 (6)</t>
  </si>
  <si>
    <t>mcp_road_part_02 (9)</t>
  </si>
  <si>
    <t>mcp_road_part_02 (8)</t>
  </si>
  <si>
    <t>mcp_road_part_02 (10)</t>
  </si>
  <si>
    <t>mcp_road_part_02 (12)</t>
  </si>
  <si>
    <t>mcp_road_part_02 (11)</t>
  </si>
  <si>
    <t>Building 15 (22)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</si>
</sst>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803"/>
  <sheetViews>
    <sheetView tabSelected="1" workbookViewId="0"/>
  </sheetViews>
  <sheetFormatPr defaultRowHeight="14.25" x14ac:dyDescent="0.2"/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tr">
        <f>"20200111154028354"</f>
        <v>20200111154028354</v>
      </c>
      <c r="B2" t="str">
        <f>"1578728428346618"</f>
        <v>1578728428346618</v>
      </c>
      <c r="C2" t="s">
        <v>37</v>
      </c>
      <c r="D2">
        <v>5.5787009999999997</v>
      </c>
      <c r="E2">
        <v>0.54648390000000002</v>
      </c>
      <c r="F2" t="s">
        <v>38</v>
      </c>
      <c r="G2">
        <v>-475.92959999999999</v>
      </c>
      <c r="H2">
        <v>0.91472589999999998</v>
      </c>
      <c r="I2">
        <v>367.17140000000001</v>
      </c>
      <c r="J2">
        <v>-476.59179999999998</v>
      </c>
      <c r="K2">
        <v>1.109688</v>
      </c>
      <c r="L2">
        <v>367.22030000000001</v>
      </c>
      <c r="M2">
        <v>0.99996390000000002</v>
      </c>
      <c r="N2">
        <v>0</v>
      </c>
      <c r="O2">
        <v>-1.01486299999999E-4</v>
      </c>
      <c r="P2">
        <v>0.99759399999999998</v>
      </c>
      <c r="Q2">
        <v>1.648705E-2</v>
      </c>
      <c r="R2">
        <v>6.7338200000000001E-2</v>
      </c>
      <c r="S2">
        <v>3.0351870000000001</v>
      </c>
      <c r="T2">
        <v>-0.88156639999999997</v>
      </c>
      <c r="U2">
        <v>-0.220977799999999</v>
      </c>
      <c r="V2">
        <v>-6.7438109999999996E-2</v>
      </c>
      <c r="W2">
        <v>2.4975859999999999E-2</v>
      </c>
      <c r="X2">
        <v>0.99741080000000004</v>
      </c>
      <c r="Y2">
        <v>6.9652489999999997E-2</v>
      </c>
      <c r="Z2">
        <v>-9.8692889999999998E-3</v>
      </c>
      <c r="AA2">
        <v>0.99752249999999998</v>
      </c>
      <c r="AB2">
        <v>1</v>
      </c>
      <c r="AC2">
        <v>0.66219999999998402</v>
      </c>
      <c r="AD2">
        <v>-0.1949621</v>
      </c>
      <c r="AE2">
        <v>-4.8900000000003198E-2</v>
      </c>
      <c r="AF2">
        <v>4.4957024825089002E-2</v>
      </c>
      <c r="AG2">
        <v>-0.1949621</v>
      </c>
      <c r="AH2">
        <v>0.60964697930817202</v>
      </c>
      <c r="AI2">
        <v>107.688994789788</v>
      </c>
      <c r="AJ2">
        <v>85.782487404474793</v>
      </c>
      <c r="AK2">
        <v>0.64163914616949003</v>
      </c>
    </row>
    <row r="3" spans="1:37" x14ac:dyDescent="0.2">
      <c r="A3" t="str">
        <f>"20200111154028376"</f>
        <v>20200111154028376</v>
      </c>
      <c r="B3" t="str">
        <f>"1578728428366137"</f>
        <v>1578728428366137</v>
      </c>
      <c r="C3" t="s">
        <v>37</v>
      </c>
      <c r="D3">
        <v>5.546602</v>
      </c>
      <c r="E3">
        <v>0.54645410000000005</v>
      </c>
      <c r="F3" t="s">
        <v>38</v>
      </c>
      <c r="G3">
        <v>-475.9196</v>
      </c>
      <c r="H3">
        <v>0.91577549999999996</v>
      </c>
      <c r="I3">
        <v>367.17110000000002</v>
      </c>
      <c r="J3">
        <v>-476.5795</v>
      </c>
      <c r="K3">
        <v>1.1095079999999999</v>
      </c>
      <c r="L3">
        <v>367.22030000000001</v>
      </c>
      <c r="M3">
        <v>0.99997309999999995</v>
      </c>
      <c r="N3">
        <v>0</v>
      </c>
      <c r="O3">
        <v>-1.0523619999999999E-4</v>
      </c>
      <c r="P3">
        <v>0.99754319999999896</v>
      </c>
      <c r="Q3">
        <v>1.755839E-2</v>
      </c>
      <c r="R3">
        <v>6.7818740000000002E-2</v>
      </c>
      <c r="S3">
        <v>3.0365599999999899</v>
      </c>
      <c r="T3">
        <v>-0.87592859999999995</v>
      </c>
      <c r="U3">
        <v>-0.2202759</v>
      </c>
      <c r="V3">
        <v>-6.7922419999999997E-2</v>
      </c>
      <c r="W3">
        <v>2.489769E-2</v>
      </c>
      <c r="X3">
        <v>0.99737989999999999</v>
      </c>
      <c r="Y3">
        <v>6.9433910000000001E-2</v>
      </c>
      <c r="Z3">
        <v>-9.7725569999999994E-3</v>
      </c>
      <c r="AA3">
        <v>0.997538699999999</v>
      </c>
      <c r="AB3">
        <v>1</v>
      </c>
      <c r="AC3">
        <v>0.65989999999999305</v>
      </c>
      <c r="AD3">
        <v>-0.1937325</v>
      </c>
      <c r="AE3">
        <v>-4.9199999999984798E-2</v>
      </c>
      <c r="AF3">
        <v>4.5251922825091398E-2</v>
      </c>
      <c r="AG3">
        <v>-0.1937325</v>
      </c>
      <c r="AH3">
        <v>0.60780871568147199</v>
      </c>
      <c r="AI3">
        <v>107.633354959503</v>
      </c>
      <c r="AJ3">
        <v>85.742131497271203</v>
      </c>
      <c r="AK3">
        <v>0.63954003231539702</v>
      </c>
    </row>
    <row r="4" spans="1:37" x14ac:dyDescent="0.2">
      <c r="A4" t="str">
        <f>"20200111154028400"</f>
        <v>20200111154028400</v>
      </c>
      <c r="B4" t="str">
        <f>"1578728428396393"</f>
        <v>1578728428396393</v>
      </c>
      <c r="C4" t="s">
        <v>37</v>
      </c>
      <c r="D4">
        <v>5.558764</v>
      </c>
      <c r="E4">
        <v>0.54640909999999998</v>
      </c>
      <c r="F4" t="s">
        <v>38</v>
      </c>
      <c r="G4">
        <v>-475.90750000000003</v>
      </c>
      <c r="H4">
        <v>0.91661819999999905</v>
      </c>
      <c r="I4">
        <v>367.17180000000002</v>
      </c>
      <c r="J4">
        <v>-476.56380000000001</v>
      </c>
      <c r="K4">
        <v>1.1093569999999999</v>
      </c>
      <c r="L4">
        <v>367.22030000000001</v>
      </c>
      <c r="M4">
        <v>0.99998089999999995</v>
      </c>
      <c r="N4">
        <v>0</v>
      </c>
      <c r="O4">
        <v>-1.099602E-4</v>
      </c>
      <c r="P4">
        <v>0.99752809999999903</v>
      </c>
      <c r="Q4">
        <v>1.8258679999999999E-2</v>
      </c>
      <c r="R4">
        <v>6.7856700000000006E-2</v>
      </c>
      <c r="S4">
        <v>3.03762799999999</v>
      </c>
      <c r="T4">
        <v>-0.87196700000000005</v>
      </c>
      <c r="U4">
        <v>-0.21871950000000001</v>
      </c>
      <c r="V4">
        <v>-6.7965040000000004E-2</v>
      </c>
      <c r="W4">
        <v>2.4433389999999999E-2</v>
      </c>
      <c r="X4">
        <v>0.99738850000000001</v>
      </c>
      <c r="Y4">
        <v>6.8942059999999999E-2</v>
      </c>
      <c r="Z4">
        <v>-9.6565190000000006E-3</v>
      </c>
      <c r="AA4">
        <v>0.99757389999999901</v>
      </c>
      <c r="AB4">
        <v>1</v>
      </c>
      <c r="AC4">
        <v>0.656299999999987</v>
      </c>
      <c r="AD4">
        <v>-0.19273879999999999</v>
      </c>
      <c r="AE4">
        <v>-4.8499999999989898E-2</v>
      </c>
      <c r="AF4">
        <v>4.4602026543702503E-2</v>
      </c>
      <c r="AG4">
        <v>-0.19273879999999999</v>
      </c>
      <c r="AH4">
        <v>0.60445712388383999</v>
      </c>
      <c r="AI4">
        <v>107.640565873928</v>
      </c>
      <c r="AJ4">
        <v>85.7798744781159</v>
      </c>
      <c r="AK4">
        <v>0.63600786190987402</v>
      </c>
    </row>
    <row r="5" spans="1:37" x14ac:dyDescent="0.2">
      <c r="A5" t="str">
        <f>"20200111154028421"</f>
        <v>20200111154028421</v>
      </c>
      <c r="B5" t="str">
        <f>"1578728428416890"</f>
        <v>1578728428416890</v>
      </c>
      <c r="C5" t="s">
        <v>37</v>
      </c>
      <c r="D5">
        <v>5.5711919999999999</v>
      </c>
      <c r="E5">
        <v>0.54638399999999998</v>
      </c>
      <c r="F5" t="s">
        <v>38</v>
      </c>
      <c r="G5">
        <v>-475.8931</v>
      </c>
      <c r="H5">
        <v>0.91765629999999998</v>
      </c>
      <c r="I5">
        <v>367.17140000000001</v>
      </c>
      <c r="J5">
        <v>-476.54689999999999</v>
      </c>
      <c r="K5">
        <v>1.1092389999999901</v>
      </c>
      <c r="L5">
        <v>367.22030000000001</v>
      </c>
      <c r="M5">
        <v>0.99998659999999995</v>
      </c>
      <c r="N5">
        <v>0</v>
      </c>
      <c r="O5">
        <v>-1.152473E-4</v>
      </c>
      <c r="P5">
        <v>0.99748939999999997</v>
      </c>
      <c r="Q5">
        <v>1.9762890000000002E-2</v>
      </c>
      <c r="R5">
        <v>6.8000790000000005E-2</v>
      </c>
      <c r="S5">
        <v>3.0381770000000001</v>
      </c>
      <c r="T5">
        <v>-0.86840209999999995</v>
      </c>
      <c r="U5">
        <v>-0.21789549999999999</v>
      </c>
      <c r="V5">
        <v>-6.8114530000000006E-2</v>
      </c>
      <c r="W5">
        <v>2.4911989999999998E-2</v>
      </c>
      <c r="X5">
        <v>0.99736639999999999</v>
      </c>
      <c r="Y5">
        <v>6.8688070000000004E-2</v>
      </c>
      <c r="Z5">
        <v>-9.5799560000000006E-3</v>
      </c>
      <c r="AA5">
        <v>0.99759219999999904</v>
      </c>
      <c r="AB5">
        <v>1</v>
      </c>
      <c r="AC5">
        <v>0.65379999999998895</v>
      </c>
      <c r="AD5">
        <v>-0.191582699999999</v>
      </c>
      <c r="AE5">
        <v>-4.8900000000003198E-2</v>
      </c>
      <c r="AF5">
        <v>4.4983565015732599E-2</v>
      </c>
      <c r="AG5">
        <v>-0.191582699999999</v>
      </c>
      <c r="AH5">
        <v>0.60237007609219295</v>
      </c>
      <c r="AI5">
        <v>107.597206494734</v>
      </c>
      <c r="AJ5">
        <v>85.729214677334497</v>
      </c>
      <c r="AK5">
        <v>0.633701160352519</v>
      </c>
    </row>
    <row r="6" spans="1:37" x14ac:dyDescent="0.2">
      <c r="A6" t="str">
        <f>"20200111154028444"</f>
        <v>20200111154028444</v>
      </c>
      <c r="B6" t="str">
        <f>"1578728428436410"</f>
        <v>1578728428436410</v>
      </c>
      <c r="C6" t="s">
        <v>37</v>
      </c>
      <c r="D6">
        <v>5.5571839999999897</v>
      </c>
      <c r="E6">
        <v>0.54630979999999996</v>
      </c>
      <c r="F6" t="s">
        <v>38</v>
      </c>
      <c r="G6">
        <v>-475.87619999999998</v>
      </c>
      <c r="H6">
        <v>0.91881420000000003</v>
      </c>
      <c r="I6">
        <v>367.17250000000001</v>
      </c>
      <c r="J6">
        <v>-476.5258</v>
      </c>
      <c r="K6">
        <v>1.1091359999999999</v>
      </c>
      <c r="L6">
        <v>367.22030000000001</v>
      </c>
      <c r="M6">
        <v>0.99999150000000003</v>
      </c>
      <c r="N6">
        <v>0</v>
      </c>
      <c r="O6">
        <v>-1.217829E-4</v>
      </c>
      <c r="P6">
        <v>0.99752299999999905</v>
      </c>
      <c r="Q6">
        <v>2.078528E-2</v>
      </c>
      <c r="R6">
        <v>6.7200090000000004E-2</v>
      </c>
      <c r="S6">
        <v>3.0393979999999998</v>
      </c>
      <c r="T6">
        <v>-0.86309749999999996</v>
      </c>
      <c r="U6">
        <v>-0.2166138</v>
      </c>
      <c r="V6">
        <v>-6.7320279999999996E-2</v>
      </c>
      <c r="W6">
        <v>2.4911030000000001E-2</v>
      </c>
      <c r="X6">
        <v>0.99742039999999998</v>
      </c>
      <c r="Y6">
        <v>6.8285189999999996E-2</v>
      </c>
      <c r="Z6">
        <v>-9.4622819999999903E-3</v>
      </c>
      <c r="AA6">
        <v>0.99762090000000003</v>
      </c>
      <c r="AB6">
        <v>2</v>
      </c>
      <c r="AC6">
        <v>0.64960000000002005</v>
      </c>
      <c r="AD6">
        <v>-0.19032180000000001</v>
      </c>
      <c r="AE6">
        <v>-4.7799999999995103E-2</v>
      </c>
      <c r="AF6">
        <v>4.3967117090867397E-2</v>
      </c>
      <c r="AG6">
        <v>-0.19032180000000001</v>
      </c>
      <c r="AH6">
        <v>0.59850718861471996</v>
      </c>
      <c r="AI6">
        <v>107.595882661885</v>
      </c>
      <c r="AJ6">
        <v>85.798524457471203</v>
      </c>
      <c r="AK6">
        <v>0.62957632560637</v>
      </c>
    </row>
    <row r="7" spans="1:37" x14ac:dyDescent="0.2">
      <c r="A7" t="str">
        <f>"20200111154028466"</f>
        <v>20200111154028466</v>
      </c>
      <c r="B7" t="str">
        <f>"1578728428456906"</f>
        <v>1578728428456906</v>
      </c>
      <c r="C7" t="s">
        <v>37</v>
      </c>
      <c r="D7">
        <v>5.5855940000000004</v>
      </c>
      <c r="E7">
        <v>0.54629039999999995</v>
      </c>
      <c r="F7" t="s">
        <v>38</v>
      </c>
      <c r="G7">
        <v>-475.83870000000002</v>
      </c>
      <c r="H7">
        <v>0.91488979999999998</v>
      </c>
      <c r="I7">
        <v>367.17090000000002</v>
      </c>
      <c r="J7">
        <v>-476.50229999999999</v>
      </c>
      <c r="K7">
        <v>1.1090659999999899</v>
      </c>
      <c r="L7">
        <v>367.22039999999998</v>
      </c>
      <c r="M7">
        <v>0.99999479999999996</v>
      </c>
      <c r="N7">
        <v>0</v>
      </c>
      <c r="O7">
        <v>-1.28614699999999E-4</v>
      </c>
      <c r="P7">
        <v>0.9975328</v>
      </c>
      <c r="Q7">
        <v>2.1778530000000001E-2</v>
      </c>
      <c r="R7">
        <v>6.674165E-2</v>
      </c>
      <c r="S7">
        <v>3.0400390000000002</v>
      </c>
      <c r="T7">
        <v>-0.85939739999999998</v>
      </c>
      <c r="U7">
        <v>-0.217712399999999</v>
      </c>
      <c r="V7">
        <v>-6.6868709999999998E-2</v>
      </c>
      <c r="W7">
        <v>2.5033070000000001E-2</v>
      </c>
      <c r="X7">
        <v>0.99744769999999905</v>
      </c>
      <c r="Y7">
        <v>6.8632589999999993E-2</v>
      </c>
      <c r="Z7">
        <v>-9.4674349999999997E-3</v>
      </c>
      <c r="AA7">
        <v>0.99759709999999902</v>
      </c>
      <c r="AB7">
        <v>2</v>
      </c>
      <c r="AC7">
        <v>0.66359999999997399</v>
      </c>
      <c r="AD7">
        <v>-0.19417619999999899</v>
      </c>
      <c r="AE7">
        <v>-4.94999999999663E-2</v>
      </c>
      <c r="AF7">
        <v>4.5537286107983597E-2</v>
      </c>
      <c r="AG7">
        <v>-0.19417619999999899</v>
      </c>
      <c r="AH7">
        <v>0.61153589994381996</v>
      </c>
      <c r="AI7">
        <v>107.570156370064</v>
      </c>
      <c r="AJ7">
        <v>85.741398120508606</v>
      </c>
      <c r="AK7">
        <v>0.64323727969748301</v>
      </c>
    </row>
    <row r="8" spans="1:37" x14ac:dyDescent="0.2">
      <c r="A8" t="str">
        <f>"20200111154028489"</f>
        <v>20200111154028489</v>
      </c>
      <c r="B8" t="str">
        <f>"1578728428476425"</f>
        <v>1578728428476425</v>
      </c>
      <c r="C8" t="s">
        <v>37</v>
      </c>
      <c r="D8">
        <v>5.5639979999999998</v>
      </c>
      <c r="E8">
        <v>0.54626980000000003</v>
      </c>
      <c r="F8" t="s">
        <v>38</v>
      </c>
      <c r="G8">
        <v>-475.81529999999998</v>
      </c>
      <c r="H8">
        <v>0.9157805</v>
      </c>
      <c r="I8">
        <v>367.1703</v>
      </c>
      <c r="J8">
        <v>-476.47609999999997</v>
      </c>
      <c r="K8">
        <v>1.1090199999999999</v>
      </c>
      <c r="L8">
        <v>367.22030000000001</v>
      </c>
      <c r="M8">
        <v>0.99999689999999997</v>
      </c>
      <c r="N8">
        <v>0</v>
      </c>
      <c r="O8">
        <v>-1.3573430000000001E-4</v>
      </c>
      <c r="P8">
        <v>0.99753259999999899</v>
      </c>
      <c r="Q8">
        <v>2.2390429999999999E-2</v>
      </c>
      <c r="R8">
        <v>6.6538009999999995E-2</v>
      </c>
      <c r="S8">
        <v>3.0407709999999999</v>
      </c>
      <c r="T8">
        <v>-0.85562249999999995</v>
      </c>
      <c r="U8">
        <v>-0.21887210000000001</v>
      </c>
      <c r="V8">
        <v>-6.6672510000000004E-2</v>
      </c>
      <c r="W8">
        <v>2.4890539999999999E-2</v>
      </c>
      <c r="X8">
        <v>0.99746440000000003</v>
      </c>
      <c r="Y8">
        <v>6.8997349999999999E-2</v>
      </c>
      <c r="Z8">
        <v>-9.473413E-3</v>
      </c>
      <c r="AA8">
        <v>0.99757189999999996</v>
      </c>
      <c r="AB8">
        <v>2</v>
      </c>
      <c r="AC8">
        <v>0.66079999999999395</v>
      </c>
      <c r="AD8">
        <v>-0.19323950000000001</v>
      </c>
      <c r="AE8">
        <v>-5.0000000000011299E-2</v>
      </c>
      <c r="AF8">
        <v>4.59990087262536E-2</v>
      </c>
      <c r="AG8">
        <v>-0.19323950000000001</v>
      </c>
      <c r="AH8">
        <v>0.60902164869608399</v>
      </c>
      <c r="AI8">
        <v>107.55704743120199</v>
      </c>
      <c r="AJ8">
        <v>85.680688043109697</v>
      </c>
      <c r="AK8">
        <v>0.64059720710017498</v>
      </c>
    </row>
    <row r="9" spans="1:37" x14ac:dyDescent="0.2">
      <c r="A9" t="str">
        <f>"20200111154028510"</f>
        <v>20200111154028510</v>
      </c>
      <c r="B9" t="str">
        <f>"1578728428506682"</f>
        <v>1578728428506682</v>
      </c>
      <c r="C9" t="s">
        <v>37</v>
      </c>
      <c r="D9">
        <v>5.5747400000000003</v>
      </c>
      <c r="E9">
        <v>0.5462359</v>
      </c>
      <c r="F9" t="s">
        <v>38</v>
      </c>
      <c r="G9">
        <v>-475.78980000000001</v>
      </c>
      <c r="H9">
        <v>0.91662350000000004</v>
      </c>
      <c r="I9">
        <v>367.17039999999997</v>
      </c>
      <c r="J9">
        <v>-476.44819999999999</v>
      </c>
      <c r="K9">
        <v>1.1089830000000001</v>
      </c>
      <c r="L9">
        <v>367.22039999999998</v>
      </c>
      <c r="M9">
        <v>0.99999839999999995</v>
      </c>
      <c r="N9">
        <v>0</v>
      </c>
      <c r="O9">
        <v>-1.433606E-4</v>
      </c>
      <c r="P9">
        <v>0.99754169999999998</v>
      </c>
      <c r="Q9">
        <v>2.2697809999999999E-2</v>
      </c>
      <c r="R9">
        <v>6.6297629999999996E-2</v>
      </c>
      <c r="S9">
        <v>3.0412599999999999</v>
      </c>
      <c r="T9">
        <v>-0.85266379999999997</v>
      </c>
      <c r="U9">
        <v>-0.21981809999999999</v>
      </c>
      <c r="V9">
        <v>-6.643955E-2</v>
      </c>
      <c r="W9">
        <v>2.4553519999999999E-2</v>
      </c>
      <c r="X9">
        <v>0.99748829999999999</v>
      </c>
      <c r="Y9">
        <v>6.9294800000000004E-2</v>
      </c>
      <c r="Z9">
        <v>-9.4790780000000002E-3</v>
      </c>
      <c r="AA9">
        <v>0.99755119999999897</v>
      </c>
      <c r="AB9">
        <v>3</v>
      </c>
      <c r="AC9">
        <v>0.65839999999997101</v>
      </c>
      <c r="AD9">
        <v>-0.19235949999999999</v>
      </c>
      <c r="AE9">
        <v>-5.0000000000011299E-2</v>
      </c>
      <c r="AF9">
        <v>4.6001499495843798E-2</v>
      </c>
      <c r="AG9">
        <v>-0.19235949999999999</v>
      </c>
      <c r="AH9">
        <v>0.60690003112399504</v>
      </c>
      <c r="AI9">
        <v>107.539015273117</v>
      </c>
      <c r="AJ9">
        <v>85.665412113441306</v>
      </c>
      <c r="AK9">
        <v>0.63831494027198099</v>
      </c>
    </row>
    <row r="10" spans="1:37" x14ac:dyDescent="0.2">
      <c r="A10" t="str">
        <f>"20200111154028533"</f>
        <v>20200111154028533</v>
      </c>
      <c r="B10" t="str">
        <f>"1578728428526202"</f>
        <v>1578728428526202</v>
      </c>
      <c r="C10" t="s">
        <v>37</v>
      </c>
      <c r="D10">
        <v>5.5273329999999996</v>
      </c>
      <c r="E10">
        <v>0.54618180000000005</v>
      </c>
      <c r="F10" t="s">
        <v>38</v>
      </c>
      <c r="G10">
        <v>-475.76229999999998</v>
      </c>
      <c r="H10">
        <v>0.91713729999999904</v>
      </c>
      <c r="I10">
        <v>367.16989999999998</v>
      </c>
      <c r="J10">
        <v>-476.41660000000002</v>
      </c>
      <c r="K10">
        <v>1.108948</v>
      </c>
      <c r="L10">
        <v>367.22039999999998</v>
      </c>
      <c r="M10">
        <v>0.99999919999999998</v>
      </c>
      <c r="N10">
        <v>0</v>
      </c>
      <c r="O10">
        <v>-1.5158159999999901E-4</v>
      </c>
      <c r="P10">
        <v>0.99753939999999997</v>
      </c>
      <c r="Q10">
        <v>2.2649019999999999E-2</v>
      </c>
      <c r="R10">
        <v>6.6349329999999998E-2</v>
      </c>
      <c r="S10">
        <v>3.0414430000000001</v>
      </c>
      <c r="T10">
        <v>-0.85072230000000004</v>
      </c>
      <c r="U10">
        <v>-0.22116089999999999</v>
      </c>
      <c r="V10">
        <v>-6.6499580000000003E-2</v>
      </c>
      <c r="W10">
        <v>2.390569E-2</v>
      </c>
      <c r="X10">
        <v>0.9975001</v>
      </c>
      <c r="Y10">
        <v>6.9716840000000002E-2</v>
      </c>
      <c r="Z10">
        <v>-9.513189E-3</v>
      </c>
      <c r="AA10">
        <v>0.99752149999999995</v>
      </c>
      <c r="AB10">
        <v>3</v>
      </c>
      <c r="AC10">
        <v>0.65430000000003397</v>
      </c>
      <c r="AD10">
        <v>-0.1918107</v>
      </c>
      <c r="AE10">
        <v>-5.0499999999999497E-2</v>
      </c>
      <c r="AF10">
        <v>4.6433949066734398E-2</v>
      </c>
      <c r="AG10">
        <v>-0.1918107</v>
      </c>
      <c r="AH10">
        <v>0.60280940414147299</v>
      </c>
      <c r="AI10">
        <v>107.601878985261</v>
      </c>
      <c r="AJ10">
        <v>85.595247891738893</v>
      </c>
      <c r="AK10">
        <v>0.6342922307437</v>
      </c>
    </row>
    <row r="11" spans="1:37" x14ac:dyDescent="0.2">
      <c r="A11" t="str">
        <f>"20200111154028556"</f>
        <v>20200111154028556</v>
      </c>
      <c r="B11" t="str">
        <f>"1578728428546698"</f>
        <v>1578728428546698</v>
      </c>
      <c r="C11" t="s">
        <v>37</v>
      </c>
      <c r="D11">
        <v>5.574033</v>
      </c>
      <c r="E11">
        <v>0.54612890000000003</v>
      </c>
      <c r="F11" t="s">
        <v>38</v>
      </c>
      <c r="G11">
        <v>-475.73250000000002</v>
      </c>
      <c r="H11">
        <v>0.91767919999999903</v>
      </c>
      <c r="I11">
        <v>367.1705</v>
      </c>
      <c r="J11">
        <v>-476.3802</v>
      </c>
      <c r="K11">
        <v>1.1089199999999999</v>
      </c>
      <c r="L11">
        <v>367.22030000000001</v>
      </c>
      <c r="M11">
        <v>0.99999979999999999</v>
      </c>
      <c r="N11">
        <v>0</v>
      </c>
      <c r="O11">
        <v>-1.6106829999999999E-4</v>
      </c>
      <c r="P11">
        <v>0.99751259999999997</v>
      </c>
      <c r="Q11">
        <v>2.326568E-2</v>
      </c>
      <c r="R11">
        <v>6.6538609999999998E-2</v>
      </c>
      <c r="S11">
        <v>3.0414119999999998</v>
      </c>
      <c r="T11">
        <v>-0.85042189999999995</v>
      </c>
      <c r="U11">
        <v>-0.2208862</v>
      </c>
      <c r="V11">
        <v>-6.6698289999999993E-2</v>
      </c>
      <c r="W11">
        <v>2.395765E-2</v>
      </c>
      <c r="X11">
        <v>0.99748549999999903</v>
      </c>
      <c r="Y11">
        <v>6.9624160000000004E-2</v>
      </c>
      <c r="Z11">
        <v>-9.4947769999999994E-3</v>
      </c>
      <c r="AA11">
        <v>0.99752809999999903</v>
      </c>
      <c r="AB11">
        <v>3</v>
      </c>
      <c r="AC11">
        <v>0.64769999999998595</v>
      </c>
      <c r="AD11">
        <v>-0.19124079999999999</v>
      </c>
      <c r="AE11">
        <v>-4.9800000000004702E-2</v>
      </c>
      <c r="AF11">
        <v>4.5732205155424199E-2</v>
      </c>
      <c r="AG11">
        <v>-0.19124079999999999</v>
      </c>
      <c r="AH11">
        <v>0.59605016907087005</v>
      </c>
      <c r="AI11">
        <v>107.739816519031</v>
      </c>
      <c r="AJ11">
        <v>85.612552570984704</v>
      </c>
      <c r="AK11">
        <v>0.62764662209114996</v>
      </c>
    </row>
    <row r="12" spans="1:37" x14ac:dyDescent="0.2">
      <c r="A12" t="str">
        <f>"20200111154028578"</f>
        <v>20200111154028578</v>
      </c>
      <c r="B12" t="str">
        <f>"1578728428566217"</f>
        <v>1578728428566217</v>
      </c>
      <c r="C12" t="s">
        <v>37</v>
      </c>
      <c r="D12">
        <v>5.6040489999999998</v>
      </c>
      <c r="E12">
        <v>0.54609949999999996</v>
      </c>
      <c r="F12" t="s">
        <v>38</v>
      </c>
      <c r="G12">
        <v>-475.7</v>
      </c>
      <c r="H12">
        <v>0.91926529999999995</v>
      </c>
      <c r="I12">
        <v>367.17070000000001</v>
      </c>
      <c r="J12">
        <v>-476.3426</v>
      </c>
      <c r="K12">
        <v>1.108889</v>
      </c>
      <c r="L12">
        <v>367.22030000000001</v>
      </c>
      <c r="M12">
        <v>0.99999989999999905</v>
      </c>
      <c r="N12">
        <v>0</v>
      </c>
      <c r="O12">
        <v>-1.7108180000000001E-4</v>
      </c>
      <c r="P12">
        <v>0.99744759999999999</v>
      </c>
      <c r="Q12">
        <v>2.315911E-2</v>
      </c>
      <c r="R12">
        <v>6.7542099999999994E-2</v>
      </c>
      <c r="S12">
        <v>3.0419309999999999</v>
      </c>
      <c r="T12">
        <v>-0.84812399999999999</v>
      </c>
      <c r="U12">
        <v>-0.21960450000000001</v>
      </c>
      <c r="V12">
        <v>-6.7711830000000001E-2</v>
      </c>
      <c r="W12">
        <v>2.3372250000000001E-2</v>
      </c>
      <c r="X12">
        <v>0.99743110000000001</v>
      </c>
      <c r="Y12">
        <v>6.9214499999999998E-2</v>
      </c>
      <c r="Z12">
        <v>-9.4099390000000008E-3</v>
      </c>
      <c r="AA12">
        <v>0.99755740000000004</v>
      </c>
      <c r="AB12">
        <v>3</v>
      </c>
      <c r="AC12">
        <v>0.64260000000001505</v>
      </c>
      <c r="AD12">
        <v>-0.18962369999999901</v>
      </c>
      <c r="AE12">
        <v>-4.9599999999998E-2</v>
      </c>
      <c r="AF12">
        <v>4.5547416002960403E-2</v>
      </c>
      <c r="AG12">
        <v>-0.18962369999999901</v>
      </c>
      <c r="AH12">
        <v>0.59141480840711602</v>
      </c>
      <c r="AI12">
        <v>107.72806967018001</v>
      </c>
      <c r="AJ12">
        <v>85.596096945246799</v>
      </c>
      <c r="AK12">
        <v>0.62273846059920102</v>
      </c>
    </row>
    <row r="13" spans="1:37" x14ac:dyDescent="0.2">
      <c r="A13" t="str">
        <f>"20200111154028601"</f>
        <v>20200111154028601</v>
      </c>
      <c r="B13" t="str">
        <f>"1578728428596474"</f>
        <v>1578728428596474</v>
      </c>
      <c r="C13" t="s">
        <v>37</v>
      </c>
      <c r="D13">
        <v>5.592568</v>
      </c>
      <c r="E13">
        <v>0.54607740000000005</v>
      </c>
      <c r="F13" t="s">
        <v>38</v>
      </c>
      <c r="G13">
        <v>-475.66550000000001</v>
      </c>
      <c r="H13">
        <v>0.92022800000000005</v>
      </c>
      <c r="I13">
        <v>367.17169999999999</v>
      </c>
      <c r="J13">
        <v>-476.30180000000001</v>
      </c>
      <c r="K13">
        <v>1.108859</v>
      </c>
      <c r="L13">
        <v>367.22030000000001</v>
      </c>
      <c r="M13">
        <v>1</v>
      </c>
      <c r="N13">
        <v>0</v>
      </c>
      <c r="O13">
        <v>-1.8156299999999901E-4</v>
      </c>
      <c r="P13">
        <v>0.99739249999999902</v>
      </c>
      <c r="Q13">
        <v>2.356857E-2</v>
      </c>
      <c r="R13">
        <v>6.8211859999999999E-2</v>
      </c>
      <c r="S13">
        <v>3.0420229999999999</v>
      </c>
      <c r="T13">
        <v>-0.84773430000000005</v>
      </c>
      <c r="U13">
        <v>-0.21640010000000001</v>
      </c>
      <c r="V13">
        <v>-6.8391969999999996E-2</v>
      </c>
      <c r="W13">
        <v>2.335653E-2</v>
      </c>
      <c r="X13">
        <v>0.99738510000000002</v>
      </c>
      <c r="Y13">
        <v>6.8197649999999999E-2</v>
      </c>
      <c r="Z13">
        <v>-9.2641040000000004E-3</v>
      </c>
      <c r="AA13">
        <v>0.99762879999999998</v>
      </c>
      <c r="AB13">
        <v>4</v>
      </c>
      <c r="AC13">
        <v>0.63630000000000497</v>
      </c>
      <c r="AD13">
        <v>-0.18863099999999999</v>
      </c>
      <c r="AE13">
        <v>-4.8600000000021702E-2</v>
      </c>
      <c r="AF13">
        <v>4.4588638076123503E-2</v>
      </c>
      <c r="AG13">
        <v>-0.18863099999999999</v>
      </c>
      <c r="AH13">
        <v>0.58518001743830905</v>
      </c>
      <c r="AI13">
        <v>107.818197577961</v>
      </c>
      <c r="AJ13">
        <v>85.642684877079802</v>
      </c>
      <c r="AK13">
        <v>0.616445823747378</v>
      </c>
    </row>
    <row r="14" spans="1:37" x14ac:dyDescent="0.2">
      <c r="A14" t="str">
        <f>"20200111154028623"</f>
        <v>20200111154028623</v>
      </c>
      <c r="B14" t="str">
        <f>"1578728428615994"</f>
        <v>1578728428615994</v>
      </c>
      <c r="C14" t="s">
        <v>37</v>
      </c>
      <c r="D14">
        <v>5.5797439999999998</v>
      </c>
      <c r="E14">
        <v>0.54606319999999997</v>
      </c>
      <c r="F14" t="s">
        <v>38</v>
      </c>
      <c r="G14">
        <v>-475.62860000000001</v>
      </c>
      <c r="H14">
        <v>0.92179100000000003</v>
      </c>
      <c r="I14">
        <v>367.17230000000001</v>
      </c>
      <c r="J14">
        <v>-476.2604</v>
      </c>
      <c r="K14">
        <v>1.1088420000000001</v>
      </c>
      <c r="L14">
        <v>367.22030000000001</v>
      </c>
      <c r="M14">
        <v>0.99999989999999905</v>
      </c>
      <c r="N14">
        <v>0</v>
      </c>
      <c r="O14">
        <v>-1.923537E-4</v>
      </c>
      <c r="P14">
        <v>0.99734899999999904</v>
      </c>
      <c r="Q14">
        <v>2.354792E-2</v>
      </c>
      <c r="R14">
        <v>6.8854280000000004E-2</v>
      </c>
      <c r="S14">
        <v>3.0425419999999899</v>
      </c>
      <c r="T14">
        <v>-0.84542320000000004</v>
      </c>
      <c r="U14">
        <v>-0.2147522</v>
      </c>
      <c r="V14">
        <v>-6.9045529999999994E-2</v>
      </c>
      <c r="W14">
        <v>2.2981830000000002E-2</v>
      </c>
      <c r="X14">
        <v>0.99734880000000004</v>
      </c>
      <c r="Y14">
        <v>6.7671930000000005E-2</v>
      </c>
      <c r="Z14">
        <v>-9.1638810000000005E-3</v>
      </c>
      <c r="AA14">
        <v>0.99766549999999998</v>
      </c>
      <c r="AB14">
        <v>4</v>
      </c>
      <c r="AC14">
        <v>0.63179999999999803</v>
      </c>
      <c r="AD14">
        <v>-0.187051</v>
      </c>
      <c r="AE14">
        <v>-4.8000000000001798E-2</v>
      </c>
      <c r="AF14">
        <v>4.4040402748167402E-2</v>
      </c>
      <c r="AG14">
        <v>-0.187051</v>
      </c>
      <c r="AH14">
        <v>0.58116169012097196</v>
      </c>
      <c r="AI14">
        <v>107.793351737015</v>
      </c>
      <c r="AJ14">
        <v>85.666411489689807</v>
      </c>
      <c r="AK14">
        <v>0.61210827779036403</v>
      </c>
    </row>
    <row r="15" spans="1:37" x14ac:dyDescent="0.2">
      <c r="A15" t="str">
        <f>"20200111154028645"</f>
        <v>20200111154028645</v>
      </c>
      <c r="B15" t="str">
        <f>"1578728428636490"</f>
        <v>1578728428636490</v>
      </c>
      <c r="C15" t="s">
        <v>37</v>
      </c>
      <c r="D15">
        <v>5.5809629999999997</v>
      </c>
      <c r="E15">
        <v>0.5460682</v>
      </c>
      <c r="F15" t="s">
        <v>38</v>
      </c>
      <c r="G15">
        <v>-475.58969999999999</v>
      </c>
      <c r="H15">
        <v>0.9225873</v>
      </c>
      <c r="I15">
        <v>367.173</v>
      </c>
      <c r="J15">
        <v>-476.21550000000002</v>
      </c>
      <c r="K15">
        <v>1.108824</v>
      </c>
      <c r="L15">
        <v>367.22019999999998</v>
      </c>
      <c r="M15">
        <v>0.99999969999999905</v>
      </c>
      <c r="N15">
        <v>0</v>
      </c>
      <c r="O15">
        <v>-2.0366810000000001E-4</v>
      </c>
      <c r="P15">
        <v>0.99729219999999896</v>
      </c>
      <c r="Q15">
        <v>2.3940779999999998E-2</v>
      </c>
      <c r="R15">
        <v>6.9538000000000003E-2</v>
      </c>
      <c r="S15">
        <v>3.0425719999999998</v>
      </c>
      <c r="T15">
        <v>-0.84496949999999904</v>
      </c>
      <c r="U15">
        <v>-0.21255489999999999</v>
      </c>
      <c r="V15">
        <v>-6.9740209999999997E-2</v>
      </c>
      <c r="W15">
        <v>2.305811E-2</v>
      </c>
      <c r="X15">
        <v>0.99729869999999898</v>
      </c>
      <c r="Y15">
        <v>6.6972320000000002E-2</v>
      </c>
      <c r="Z15">
        <v>-9.0609619999999901E-3</v>
      </c>
      <c r="AA15">
        <v>0.99771369999999904</v>
      </c>
      <c r="AB15">
        <v>4</v>
      </c>
      <c r="AC15">
        <v>0.625800000000026</v>
      </c>
      <c r="AD15">
        <v>-0.18623670000000001</v>
      </c>
      <c r="AE15">
        <v>-4.7199999999975199E-2</v>
      </c>
      <c r="AF15">
        <v>4.3262681188451203E-2</v>
      </c>
      <c r="AG15">
        <v>-0.18623670000000001</v>
      </c>
      <c r="AH15">
        <v>0.57515908871451404</v>
      </c>
      <c r="AI15">
        <v>107.894655300148</v>
      </c>
      <c r="AJ15">
        <v>85.698390118100093</v>
      </c>
      <c r="AK15">
        <v>0.60610539128225405</v>
      </c>
    </row>
    <row r="16" spans="1:37" x14ac:dyDescent="0.2">
      <c r="A16" t="str">
        <f>"20200111154028668"</f>
        <v>20200111154028668</v>
      </c>
      <c r="B16" t="str">
        <f>"1578728428656009"</f>
        <v>1578728428656009</v>
      </c>
      <c r="C16" t="s">
        <v>37</v>
      </c>
      <c r="D16">
        <v>5.5863139999999998</v>
      </c>
      <c r="E16">
        <v>0.54608710000000005</v>
      </c>
      <c r="F16" t="s">
        <v>38</v>
      </c>
      <c r="G16">
        <v>-475.5102</v>
      </c>
      <c r="H16">
        <v>0.91338490000000006</v>
      </c>
      <c r="I16">
        <v>367.17140000000001</v>
      </c>
      <c r="J16">
        <v>-476.16480000000001</v>
      </c>
      <c r="K16">
        <v>1.1088039999999999</v>
      </c>
      <c r="L16">
        <v>367.22019999999998</v>
      </c>
      <c r="M16">
        <v>0.99999930000000004</v>
      </c>
      <c r="N16">
        <v>0</v>
      </c>
      <c r="O16">
        <v>-2.1609439999999901E-4</v>
      </c>
      <c r="P16">
        <v>0.99725399999999997</v>
      </c>
      <c r="Q16">
        <v>2.4506050000000001E-2</v>
      </c>
      <c r="R16">
        <v>6.9884769999999999E-2</v>
      </c>
      <c r="S16">
        <v>3.0430599999999899</v>
      </c>
      <c r="T16">
        <v>-0.843225</v>
      </c>
      <c r="U16">
        <v>-0.21057129999999899</v>
      </c>
      <c r="V16">
        <v>-7.0099289999999995E-2</v>
      </c>
      <c r="W16">
        <v>2.3327440000000001E-2</v>
      </c>
      <c r="X16">
        <v>0.99726719999999902</v>
      </c>
      <c r="Y16">
        <v>6.6336699999999998E-2</v>
      </c>
      <c r="Z16">
        <v>-8.9520150000000007E-3</v>
      </c>
      <c r="AA16">
        <v>0.99775709999999995</v>
      </c>
      <c r="AB16">
        <v>5</v>
      </c>
      <c r="AC16">
        <v>0.65460000000001595</v>
      </c>
      <c r="AD16">
        <v>-0.19541910000000001</v>
      </c>
      <c r="AE16">
        <v>-4.8799999999971498E-2</v>
      </c>
      <c r="AF16">
        <v>4.4697091994116998E-2</v>
      </c>
      <c r="AG16">
        <v>-0.19541910000000001</v>
      </c>
      <c r="AH16">
        <v>0.60131654296929304</v>
      </c>
      <c r="AI16">
        <v>107.95705803668601</v>
      </c>
      <c r="AJ16">
        <v>85.748905146603093</v>
      </c>
      <c r="AK16">
        <v>0.63385174885463802</v>
      </c>
    </row>
    <row r="17" spans="1:37" x14ac:dyDescent="0.2">
      <c r="A17" t="str">
        <f>"20200111154028691"</f>
        <v>20200111154028691</v>
      </c>
      <c r="B17" t="str">
        <f>"1578728428686265"</f>
        <v>1578728428686265</v>
      </c>
      <c r="C17" t="s">
        <v>37</v>
      </c>
      <c r="D17">
        <v>5.5503619999999998</v>
      </c>
      <c r="E17">
        <v>0.54608679999999998</v>
      </c>
      <c r="F17" t="s">
        <v>38</v>
      </c>
      <c r="G17">
        <v>-475.46420000000001</v>
      </c>
      <c r="H17">
        <v>0.915237999999999</v>
      </c>
      <c r="I17">
        <v>367.17149999999998</v>
      </c>
      <c r="J17">
        <v>-476.11439999999999</v>
      </c>
      <c r="K17">
        <v>1.1087819999999999</v>
      </c>
      <c r="L17">
        <v>367.22019999999998</v>
      </c>
      <c r="M17">
        <v>0.99999899999999997</v>
      </c>
      <c r="N17">
        <v>0</v>
      </c>
      <c r="O17">
        <v>-2.276953E-4</v>
      </c>
      <c r="P17">
        <v>0.99720589999999998</v>
      </c>
      <c r="Q17">
        <v>2.5250140000000001E-2</v>
      </c>
      <c r="R17">
        <v>7.0306229999999997E-2</v>
      </c>
      <c r="S17">
        <v>3.0436709999999998</v>
      </c>
      <c r="T17">
        <v>-0.84109439999999902</v>
      </c>
      <c r="U17">
        <v>-0.20983889999999999</v>
      </c>
      <c r="V17">
        <v>-7.0532609999999996E-2</v>
      </c>
      <c r="W17">
        <v>2.3824169999999999E-2</v>
      </c>
      <c r="X17">
        <v>0.99722489999999997</v>
      </c>
      <c r="Y17">
        <v>6.6095039999999994E-2</v>
      </c>
      <c r="Z17">
        <v>-8.8926769999999999E-3</v>
      </c>
      <c r="AA17">
        <v>0.99777369999999899</v>
      </c>
      <c r="AB17">
        <v>5</v>
      </c>
      <c r="AC17">
        <v>0.65019999999998301</v>
      </c>
      <c r="AD17">
        <v>-0.19354399999999999</v>
      </c>
      <c r="AE17">
        <v>-4.86999999999966E-2</v>
      </c>
      <c r="AF17">
        <v>4.4620354755328197E-2</v>
      </c>
      <c r="AG17">
        <v>-0.19354399999999999</v>
      </c>
      <c r="AH17">
        <v>0.59755886286565096</v>
      </c>
      <c r="AI17">
        <v>107.90003594757</v>
      </c>
      <c r="AJ17">
        <v>85.729588482956501</v>
      </c>
      <c r="AK17">
        <v>0.62970378002977001</v>
      </c>
    </row>
    <row r="18" spans="1:37" x14ac:dyDescent="0.2">
      <c r="A18" t="str">
        <f>"20200111154028713"</f>
        <v>20200111154028713</v>
      </c>
      <c r="B18" t="str">
        <f>"1578728428706761"</f>
        <v>1578728428706761</v>
      </c>
      <c r="C18" t="s">
        <v>37</v>
      </c>
      <c r="D18">
        <v>5.5315940000000001</v>
      </c>
      <c r="E18">
        <v>0.54611030000000005</v>
      </c>
      <c r="F18" t="s">
        <v>38</v>
      </c>
      <c r="G18">
        <v>-475.41629999999998</v>
      </c>
      <c r="H18">
        <v>0.91659899999999905</v>
      </c>
      <c r="I18">
        <v>367.1721</v>
      </c>
      <c r="J18">
        <v>-476.05970000000002</v>
      </c>
      <c r="K18">
        <v>1.108752</v>
      </c>
      <c r="L18">
        <v>367.22019999999998</v>
      </c>
      <c r="M18">
        <v>0.99999859999999896</v>
      </c>
      <c r="N18">
        <v>0</v>
      </c>
      <c r="O18">
        <v>-2.399057E-4</v>
      </c>
      <c r="P18">
        <v>0.99719179999999996</v>
      </c>
      <c r="Q18">
        <v>2.5641319999999999E-2</v>
      </c>
      <c r="R18">
        <v>7.0364650000000001E-2</v>
      </c>
      <c r="S18">
        <v>3.0443419999999999</v>
      </c>
      <c r="T18">
        <v>-0.83809859999999903</v>
      </c>
      <c r="U18">
        <v>-0.2087097</v>
      </c>
      <c r="V18">
        <v>-7.0602709999999999E-2</v>
      </c>
      <c r="W18">
        <v>2.398863E-2</v>
      </c>
      <c r="X18">
        <v>0.99721599999999999</v>
      </c>
      <c r="Y18">
        <v>6.5731479999999995E-2</v>
      </c>
      <c r="Z18">
        <v>-8.8079930000000001E-3</v>
      </c>
      <c r="AA18">
        <v>0.99779839999999997</v>
      </c>
      <c r="AB18">
        <v>5</v>
      </c>
      <c r="AC18">
        <v>0.64340000000004205</v>
      </c>
      <c r="AD18">
        <v>-0.19215299999999999</v>
      </c>
      <c r="AE18">
        <v>-4.8099999999976703E-2</v>
      </c>
      <c r="AF18">
        <v>4.4039450613361703E-2</v>
      </c>
      <c r="AG18">
        <v>-0.19215299999999999</v>
      </c>
      <c r="AH18">
        <v>0.590991966803605</v>
      </c>
      <c r="AI18">
        <v>107.964634006309</v>
      </c>
      <c r="AJ18">
        <v>85.738318306262897</v>
      </c>
      <c r="AK18">
        <v>0.62300381495278201</v>
      </c>
    </row>
    <row r="19" spans="1:37" x14ac:dyDescent="0.2">
      <c r="A19" t="str">
        <f>"20200111154028734"</f>
        <v>20200111154028734</v>
      </c>
      <c r="B19" t="str">
        <f>"1578728428726550"</f>
        <v>1578728428726550</v>
      </c>
      <c r="C19" t="s">
        <v>37</v>
      </c>
      <c r="D19">
        <v>5.5489559999999898</v>
      </c>
      <c r="E19">
        <v>0.54618630000000001</v>
      </c>
      <c r="F19" t="s">
        <v>38</v>
      </c>
      <c r="G19">
        <v>-475.36599999999999</v>
      </c>
      <c r="H19">
        <v>0.91815449999999998</v>
      </c>
      <c r="I19">
        <v>367.17189999999999</v>
      </c>
      <c r="J19">
        <v>-476.005</v>
      </c>
      <c r="K19">
        <v>1.108725</v>
      </c>
      <c r="L19">
        <v>367.2201</v>
      </c>
      <c r="M19">
        <v>0.99999830000000001</v>
      </c>
      <c r="N19">
        <v>0</v>
      </c>
      <c r="O19">
        <v>-2.5187069999999998E-4</v>
      </c>
      <c r="P19">
        <v>0.99721190000000004</v>
      </c>
      <c r="Q19">
        <v>2.5621439999999999E-2</v>
      </c>
      <c r="R19">
        <v>7.0086839999999997E-2</v>
      </c>
      <c r="S19">
        <v>3.0446469999999999</v>
      </c>
      <c r="T19">
        <v>-0.83659930000000005</v>
      </c>
      <c r="U19">
        <v>-0.20834349999999999</v>
      </c>
      <c r="V19">
        <v>-7.0337250000000004E-2</v>
      </c>
      <c r="W19">
        <v>2.3777929999999999E-2</v>
      </c>
      <c r="X19">
        <v>0.99723980000000001</v>
      </c>
      <c r="Y19">
        <v>6.5607239999999997E-2</v>
      </c>
      <c r="Z19">
        <v>-8.7720190000000007E-3</v>
      </c>
      <c r="AA19">
        <v>0.997807</v>
      </c>
      <c r="AB19">
        <v>5</v>
      </c>
      <c r="AC19">
        <v>0.63900000000001</v>
      </c>
      <c r="AD19">
        <v>-0.1905705</v>
      </c>
      <c r="AE19">
        <v>-4.8200000000008403E-2</v>
      </c>
      <c r="AF19">
        <v>4.41357179906985E-2</v>
      </c>
      <c r="AG19">
        <v>-0.1905705</v>
      </c>
      <c r="AH19">
        <v>0.58709023302235896</v>
      </c>
      <c r="AI19">
        <v>107.936162102289</v>
      </c>
      <c r="AJ19">
        <v>85.700758728235201</v>
      </c>
      <c r="AK19">
        <v>0.61882147569638601</v>
      </c>
    </row>
    <row r="20" spans="1:37" x14ac:dyDescent="0.2">
      <c r="A20" t="str">
        <f>"20200111154028756"</f>
        <v>20200111154028756</v>
      </c>
      <c r="B20" t="str">
        <f>"1578728428746069"</f>
        <v>1578728428746069</v>
      </c>
      <c r="C20" t="s">
        <v>37</v>
      </c>
      <c r="D20">
        <v>5.5316839999999896</v>
      </c>
      <c r="E20">
        <v>0.54625000000000001</v>
      </c>
      <c r="F20" t="s">
        <v>38</v>
      </c>
      <c r="G20">
        <v>-475.31380000000001</v>
      </c>
      <c r="H20">
        <v>0.91885830000000002</v>
      </c>
      <c r="I20">
        <v>367.17250000000001</v>
      </c>
      <c r="J20">
        <v>-475.94540000000001</v>
      </c>
      <c r="K20">
        <v>1.1087</v>
      </c>
      <c r="L20">
        <v>367.2201</v>
      </c>
      <c r="M20">
        <v>0.999997899999999</v>
      </c>
      <c r="N20">
        <v>0</v>
      </c>
      <c r="O20">
        <v>-2.6479340000000001E-4</v>
      </c>
      <c r="P20">
        <v>0.99724749999999995</v>
      </c>
      <c r="Q20">
        <v>2.546733E-2</v>
      </c>
      <c r="R20">
        <v>6.9634050000000003E-2</v>
      </c>
      <c r="S20">
        <v>3.0446169999999899</v>
      </c>
      <c r="T20">
        <v>-0.83623029999999998</v>
      </c>
      <c r="U20">
        <v>-0.2095032</v>
      </c>
      <c r="V20">
        <v>-6.9897470000000003E-2</v>
      </c>
      <c r="W20">
        <v>2.3447099999999998E-2</v>
      </c>
      <c r="X20">
        <v>0.99727860000000002</v>
      </c>
      <c r="Y20">
        <v>6.5962800000000002E-2</v>
      </c>
      <c r="Z20">
        <v>-8.8126709999999994E-3</v>
      </c>
      <c r="AA20">
        <v>0.99778319999999998</v>
      </c>
      <c r="AB20">
        <v>6</v>
      </c>
      <c r="AC20">
        <v>0.63159999999999095</v>
      </c>
      <c r="AD20">
        <v>-0.1898417</v>
      </c>
      <c r="AE20">
        <v>-4.7599999999988499E-2</v>
      </c>
      <c r="AF20">
        <v>4.3522928828503803E-2</v>
      </c>
      <c r="AG20">
        <v>-0.1898417</v>
      </c>
      <c r="AH20">
        <v>0.579549506671174</v>
      </c>
      <c r="AI20">
        <v>108.08951782102901</v>
      </c>
      <c r="AJ20">
        <v>85.705271000210303</v>
      </c>
      <c r="AK20">
        <v>0.61140146146006402</v>
      </c>
    </row>
    <row r="21" spans="1:37" x14ac:dyDescent="0.2">
      <c r="A21" t="str">
        <f>"20200111154028779"</f>
        <v>20200111154028779</v>
      </c>
      <c r="B21" t="str">
        <f>"1578728428776326"</f>
        <v>1578728428776326</v>
      </c>
      <c r="C21" t="s">
        <v>37</v>
      </c>
      <c r="D21">
        <v>5.5000929999999997</v>
      </c>
      <c r="E21">
        <v>0.54650109999999996</v>
      </c>
      <c r="F21" t="s">
        <v>38</v>
      </c>
      <c r="G21">
        <v>-475.25920000000002</v>
      </c>
      <c r="H21">
        <v>0.92023529999999998</v>
      </c>
      <c r="I21">
        <v>367.17180000000002</v>
      </c>
      <c r="J21">
        <v>-475.88199999999898</v>
      </c>
      <c r="K21">
        <v>1.1086719999999901</v>
      </c>
      <c r="L21">
        <v>367.2201</v>
      </c>
      <c r="M21">
        <v>0.99999769999999899</v>
      </c>
      <c r="N21">
        <v>0</v>
      </c>
      <c r="O21">
        <v>-2.7842759999999899E-4</v>
      </c>
      <c r="P21">
        <v>0.997278199999999</v>
      </c>
      <c r="Q21">
        <v>2.5295930000000001E-2</v>
      </c>
      <c r="R21">
        <v>6.9256860000000003E-2</v>
      </c>
      <c r="S21">
        <v>3.044403</v>
      </c>
      <c r="T21">
        <v>-0.83604619999999996</v>
      </c>
      <c r="U21">
        <v>-0.21176149999999999</v>
      </c>
      <c r="V21">
        <v>-6.9533250000000005E-2</v>
      </c>
      <c r="W21">
        <v>2.311674E-2</v>
      </c>
      <c r="X21">
        <v>0.99731179999999997</v>
      </c>
      <c r="Y21">
        <v>6.6666050000000004E-2</v>
      </c>
      <c r="Z21">
        <v>-8.9022089999999995E-3</v>
      </c>
      <c r="AA21">
        <v>0.99773559999999994</v>
      </c>
      <c r="AB21">
        <v>6</v>
      </c>
      <c r="AC21">
        <v>0.62279999999992697</v>
      </c>
      <c r="AD21">
        <v>-0.18843669999999901</v>
      </c>
      <c r="AE21">
        <v>-4.8299999999983301E-2</v>
      </c>
      <c r="AF21">
        <v>4.4112467933348297E-2</v>
      </c>
      <c r="AG21">
        <v>-0.18843669999999901</v>
      </c>
      <c r="AH21">
        <v>0.57086603194735897</v>
      </c>
      <c r="AI21">
        <v>108.21679273077299</v>
      </c>
      <c r="AJ21">
        <v>85.581370280535694</v>
      </c>
      <c r="AK21">
        <v>0.60277883685924405</v>
      </c>
    </row>
    <row r="22" spans="1:37" x14ac:dyDescent="0.2">
      <c r="A22" t="str">
        <f>"20200111154028801"</f>
        <v>20200111154028801</v>
      </c>
      <c r="B22" t="str">
        <f>"1578728428796822"</f>
        <v>1578728428796822</v>
      </c>
      <c r="C22" t="s">
        <v>37</v>
      </c>
      <c r="D22">
        <v>5.4487940000000004</v>
      </c>
      <c r="E22">
        <v>0.58292509999999997</v>
      </c>
      <c r="F22" t="s">
        <v>38</v>
      </c>
      <c r="G22">
        <v>-475.202</v>
      </c>
      <c r="H22">
        <v>0.92210300000000001</v>
      </c>
      <c r="I22">
        <v>367.17169999999999</v>
      </c>
      <c r="J22">
        <v>-475.81810000000002</v>
      </c>
      <c r="K22">
        <v>1.108646</v>
      </c>
      <c r="L22">
        <v>367.22</v>
      </c>
      <c r="M22">
        <v>0.99999720000000003</v>
      </c>
      <c r="N22">
        <v>0</v>
      </c>
      <c r="O22">
        <v>-2.9180960000000001E-4</v>
      </c>
      <c r="P22">
        <v>0.9972974</v>
      </c>
      <c r="Q22">
        <v>2.4885060000000001E-2</v>
      </c>
      <c r="R22">
        <v>6.9127750000000002E-2</v>
      </c>
      <c r="S22">
        <v>3.0443419999999999</v>
      </c>
      <c r="T22">
        <v>-0.8351613</v>
      </c>
      <c r="U22">
        <v>-0.2152405</v>
      </c>
      <c r="V22">
        <v>-6.9418090000000002E-2</v>
      </c>
      <c r="W22">
        <v>2.2570429999999999E-2</v>
      </c>
      <c r="X22">
        <v>0.99733229999999995</v>
      </c>
      <c r="Y22">
        <v>6.7754350000000005E-2</v>
      </c>
      <c r="Z22">
        <v>-9.0357509999999999E-3</v>
      </c>
      <c r="AA22">
        <v>0.99766109999999897</v>
      </c>
      <c r="AB22">
        <v>6</v>
      </c>
      <c r="AC22">
        <v>0.61610000000001697</v>
      </c>
      <c r="AD22">
        <v>-0.18654299999999899</v>
      </c>
      <c r="AE22">
        <v>-4.83000000000402E-2</v>
      </c>
      <c r="AF22">
        <v>4.41018323856565E-2</v>
      </c>
      <c r="AG22">
        <v>-0.18654299999999899</v>
      </c>
      <c r="AH22">
        <v>0.56466414756454597</v>
      </c>
      <c r="AI22">
        <v>108.229709846852</v>
      </c>
      <c r="AJ22">
        <v>85.534107066475798</v>
      </c>
      <c r="AK22">
        <v>0.59631272166000904</v>
      </c>
    </row>
    <row r="23" spans="1:37" x14ac:dyDescent="0.2">
      <c r="A23" t="str">
        <f>"20200111154028824"</f>
        <v>20200111154028824</v>
      </c>
      <c r="B23" t="str">
        <f>"1578728428816341"</f>
        <v>1578728428816341</v>
      </c>
      <c r="C23" t="s">
        <v>37</v>
      </c>
      <c r="D23">
        <v>5.4536550000000004</v>
      </c>
      <c r="E23">
        <v>0.58699539999999994</v>
      </c>
      <c r="F23" t="s">
        <v>38</v>
      </c>
      <c r="G23">
        <v>-475.13150000000002</v>
      </c>
      <c r="H23">
        <v>0.94728179999999995</v>
      </c>
      <c r="I23">
        <v>367.10719999999998</v>
      </c>
      <c r="J23">
        <v>-475.75139999999999</v>
      </c>
      <c r="K23">
        <v>1.108619</v>
      </c>
      <c r="L23">
        <v>367.22</v>
      </c>
      <c r="M23">
        <v>0.99999699999999903</v>
      </c>
      <c r="N23">
        <v>0</v>
      </c>
      <c r="O23">
        <v>-3.0482360000000001E-4</v>
      </c>
      <c r="P23">
        <v>0.99732999999999905</v>
      </c>
      <c r="Q23">
        <v>2.474343E-2</v>
      </c>
      <c r="R23">
        <v>6.8709880000000001E-2</v>
      </c>
      <c r="S23">
        <v>3.06073</v>
      </c>
      <c r="T23">
        <v>-0.71949659999999904</v>
      </c>
      <c r="U23">
        <v>-0.49957279999999998</v>
      </c>
      <c r="V23">
        <v>-6.9012829999999997E-2</v>
      </c>
      <c r="W23">
        <v>2.2308709999999999E-2</v>
      </c>
      <c r="X23">
        <v>0.99736630000000004</v>
      </c>
      <c r="Y23">
        <v>0.15663550000000001</v>
      </c>
      <c r="Z23">
        <v>-1.7977920000000001E-2</v>
      </c>
      <c r="AA23">
        <v>0.98749290000000001</v>
      </c>
      <c r="AB23">
        <v>6</v>
      </c>
      <c r="AC23">
        <v>0.61989999999997203</v>
      </c>
      <c r="AD23">
        <v>-0.16133719999999899</v>
      </c>
      <c r="AE23">
        <v>-0.112800000000049</v>
      </c>
      <c r="AF23">
        <v>0.10568189494413199</v>
      </c>
      <c r="AG23">
        <v>-0.16133719999999899</v>
      </c>
      <c r="AH23">
        <v>0.58178879158442798</v>
      </c>
      <c r="AI23">
        <v>105.261520740294</v>
      </c>
      <c r="AJ23">
        <v>79.704485282779899</v>
      </c>
      <c r="AK23">
        <v>0.61292459000768695</v>
      </c>
    </row>
    <row r="24" spans="1:37" x14ac:dyDescent="0.2">
      <c r="A24" t="str">
        <f>"20200111154028846"</f>
        <v>20200111154028846</v>
      </c>
      <c r="B24" t="str">
        <f>"1578728428836371"</f>
        <v>1578728428836371</v>
      </c>
      <c r="C24" t="s">
        <v>37</v>
      </c>
      <c r="D24">
        <v>5.4192330000000002</v>
      </c>
      <c r="E24">
        <v>0.58817900000000001</v>
      </c>
      <c r="F24" t="s">
        <v>38</v>
      </c>
      <c r="G24">
        <v>-475.01209999999998</v>
      </c>
      <c r="H24">
        <v>0.93614390000000003</v>
      </c>
      <c r="I24">
        <v>367.0908</v>
      </c>
      <c r="J24">
        <v>-475.67919999999998</v>
      </c>
      <c r="K24">
        <v>1.10859</v>
      </c>
      <c r="L24">
        <v>367.22</v>
      </c>
      <c r="M24">
        <v>0.99999680000000002</v>
      </c>
      <c r="N24">
        <v>0</v>
      </c>
      <c r="O24">
        <v>-3.1938080000000002E-4</v>
      </c>
      <c r="P24">
        <v>0.99732600000000005</v>
      </c>
      <c r="Q24">
        <v>2.5088360000000001E-2</v>
      </c>
      <c r="R24">
        <v>6.864046E-2</v>
      </c>
      <c r="S24">
        <v>3.0625309999999999</v>
      </c>
      <c r="T24">
        <v>-0.71463730000000003</v>
      </c>
      <c r="U24">
        <v>-0.53311160000000002</v>
      </c>
      <c r="V24">
        <v>-6.8957770000000002E-2</v>
      </c>
      <c r="W24">
        <v>2.2545160000000002E-2</v>
      </c>
      <c r="X24">
        <v>0.99736480000000005</v>
      </c>
      <c r="Y24">
        <v>0.16683829999999999</v>
      </c>
      <c r="Z24">
        <v>-1.8996889999999999E-2</v>
      </c>
      <c r="AA24">
        <v>0.98580119999999904</v>
      </c>
      <c r="AB24">
        <v>7</v>
      </c>
      <c r="AC24">
        <v>0.66710000000000402</v>
      </c>
      <c r="AD24">
        <v>-0.17244609999999899</v>
      </c>
      <c r="AE24">
        <v>-0.12920000000002499</v>
      </c>
      <c r="AF24">
        <v>0.121181972741406</v>
      </c>
      <c r="AG24">
        <v>-0.17244609999999899</v>
      </c>
      <c r="AH24">
        <v>0.62677271235644205</v>
      </c>
      <c r="AI24">
        <v>105.116558560209</v>
      </c>
      <c r="AJ24">
        <v>79.057293359071096</v>
      </c>
      <c r="AK24">
        <v>0.66126149205693197</v>
      </c>
    </row>
    <row r="25" spans="1:37" x14ac:dyDescent="0.2">
      <c r="A25" t="str">
        <f>"20200111154028868"</f>
        <v>20200111154028868</v>
      </c>
      <c r="B25" t="str">
        <f>"1578728428856866"</f>
        <v>1578728428856866</v>
      </c>
      <c r="C25" t="s">
        <v>37</v>
      </c>
      <c r="D25">
        <v>5.3957050000000004</v>
      </c>
      <c r="E25">
        <v>0.5891305</v>
      </c>
      <c r="F25" t="s">
        <v>38</v>
      </c>
      <c r="G25">
        <v>-474.94589999999999</v>
      </c>
      <c r="H25">
        <v>0.93832769999999999</v>
      </c>
      <c r="I25">
        <v>367.09010000000001</v>
      </c>
      <c r="J25">
        <v>-475.6069</v>
      </c>
      <c r="K25">
        <v>1.108571</v>
      </c>
      <c r="L25">
        <v>367.2199</v>
      </c>
      <c r="M25">
        <v>0.99999649999999995</v>
      </c>
      <c r="N25">
        <v>0</v>
      </c>
      <c r="O25">
        <v>-3.3344659999999998E-4</v>
      </c>
      <c r="P25">
        <v>0.99729469999999998</v>
      </c>
      <c r="Q25">
        <v>2.5656330000000001E-2</v>
      </c>
      <c r="R25">
        <v>6.8883749999999994E-2</v>
      </c>
      <c r="S25">
        <v>3.0632630000000001</v>
      </c>
      <c r="T25">
        <v>-0.7111229</v>
      </c>
      <c r="U25">
        <v>-0.5422363</v>
      </c>
      <c r="V25">
        <v>-6.9215269999999995E-2</v>
      </c>
      <c r="W25">
        <v>2.302044E-2</v>
      </c>
      <c r="X25">
        <v>0.99733609999999995</v>
      </c>
      <c r="Y25">
        <v>0.16960829999999999</v>
      </c>
      <c r="Z25">
        <v>-1.9208599999999999E-2</v>
      </c>
      <c r="AA25">
        <v>0.98532430000000004</v>
      </c>
      <c r="AB25">
        <v>7</v>
      </c>
      <c r="AC25">
        <v>0.66100000000000103</v>
      </c>
      <c r="AD25">
        <v>-0.17024329999999999</v>
      </c>
      <c r="AE25">
        <v>-0.12979999999998801</v>
      </c>
      <c r="AF25">
        <v>0.121800065319356</v>
      </c>
      <c r="AG25">
        <v>-0.17024329999999999</v>
      </c>
      <c r="AH25">
        <v>0.62135645151055396</v>
      </c>
      <c r="AI25">
        <v>105.049190106194</v>
      </c>
      <c r="AJ25">
        <v>78.909343443866902</v>
      </c>
      <c r="AK25">
        <v>0.65566903002999699</v>
      </c>
    </row>
    <row r="26" spans="1:37" x14ac:dyDescent="0.2">
      <c r="A26" t="str">
        <f>"20200111154028890"</f>
        <v>20200111154028890</v>
      </c>
      <c r="B26" t="str">
        <f>"1578728428886148"</f>
        <v>1578728428886148</v>
      </c>
      <c r="C26" t="s">
        <v>37</v>
      </c>
      <c r="D26">
        <v>5.4516460000000002</v>
      </c>
      <c r="E26">
        <v>0.58849039999999997</v>
      </c>
      <c r="F26" t="s">
        <v>38</v>
      </c>
      <c r="G26">
        <v>-474.8775</v>
      </c>
      <c r="H26">
        <v>0.93998749999999998</v>
      </c>
      <c r="I26">
        <v>367.08879999999999</v>
      </c>
      <c r="J26">
        <v>-475.53500000000003</v>
      </c>
      <c r="K26">
        <v>1.108552</v>
      </c>
      <c r="L26">
        <v>367.2199</v>
      </c>
      <c r="M26">
        <v>0.99999640000000001</v>
      </c>
      <c r="N26">
        <v>0</v>
      </c>
      <c r="O26">
        <v>-3.4737929999999998E-4</v>
      </c>
      <c r="P26">
        <v>0.99728109999999903</v>
      </c>
      <c r="Q26">
        <v>2.580029E-2</v>
      </c>
      <c r="R26">
        <v>6.9031729999999999E-2</v>
      </c>
      <c r="S26">
        <v>3.06427</v>
      </c>
      <c r="T26">
        <v>-0.7083739</v>
      </c>
      <c r="U26">
        <v>-0.54882810000000004</v>
      </c>
      <c r="V26">
        <v>-6.9377320000000006E-2</v>
      </c>
      <c r="W26">
        <v>2.308528E-2</v>
      </c>
      <c r="X26">
        <v>0.99732330000000002</v>
      </c>
      <c r="Y26">
        <v>0.17158109999999999</v>
      </c>
      <c r="Z26">
        <v>-1.9346929999999998E-2</v>
      </c>
      <c r="AA26">
        <v>0.98497999999999997</v>
      </c>
      <c r="AB26">
        <v>7</v>
      </c>
      <c r="AC26">
        <v>0.65750000000002695</v>
      </c>
      <c r="AD26">
        <v>-0.16856450000000001</v>
      </c>
      <c r="AE26">
        <v>-0.13110000000000299</v>
      </c>
      <c r="AF26">
        <v>0.123090618173212</v>
      </c>
      <c r="AG26">
        <v>-0.16856450000000001</v>
      </c>
      <c r="AH26">
        <v>0.61845112972268601</v>
      </c>
      <c r="AI26">
        <v>104.966142289255</v>
      </c>
      <c r="AJ26">
        <v>78.743490986244296</v>
      </c>
      <c r="AK26">
        <v>0.65272282846379803</v>
      </c>
    </row>
    <row r="27" spans="1:37" x14ac:dyDescent="0.2">
      <c r="A27" t="str">
        <f>"20200111154028912"</f>
        <v>20200111154028912</v>
      </c>
      <c r="B27" t="str">
        <f>"1578728428906644"</f>
        <v>1578728428906644</v>
      </c>
      <c r="C27" t="s">
        <v>37</v>
      </c>
      <c r="D27">
        <v>5.4384629999999996</v>
      </c>
      <c r="E27">
        <v>0.5417978</v>
      </c>
      <c r="F27" t="s">
        <v>38</v>
      </c>
      <c r="G27">
        <v>-474.80799999999999</v>
      </c>
      <c r="H27">
        <v>0.93955219999999995</v>
      </c>
      <c r="I27">
        <v>367.09059999999999</v>
      </c>
      <c r="J27">
        <v>-475.4554</v>
      </c>
      <c r="K27">
        <v>1.1085419999999999</v>
      </c>
      <c r="L27">
        <v>367.2199</v>
      </c>
      <c r="M27">
        <v>0.999995999999999</v>
      </c>
      <c r="N27">
        <v>0</v>
      </c>
      <c r="O27">
        <v>-3.6214299999999999E-4</v>
      </c>
      <c r="P27">
        <v>0.99729400000000001</v>
      </c>
      <c r="Q27">
        <v>2.6336490000000001E-2</v>
      </c>
      <c r="R27">
        <v>6.8637939999999995E-2</v>
      </c>
      <c r="S27">
        <v>3.0642399999999999</v>
      </c>
      <c r="T27">
        <v>-0.71242939999999999</v>
      </c>
      <c r="U27">
        <v>-0.54345699999999997</v>
      </c>
      <c r="V27">
        <v>-6.8998500000000004E-2</v>
      </c>
      <c r="W27">
        <v>2.3546729999999998E-2</v>
      </c>
      <c r="X27">
        <v>0.99733879999999997</v>
      </c>
      <c r="Y27">
        <v>0.1698875</v>
      </c>
      <c r="Z27">
        <v>-1.9261730000000001E-2</v>
      </c>
      <c r="AA27">
        <v>0.98527520000000002</v>
      </c>
      <c r="AB27">
        <v>8</v>
      </c>
      <c r="AC27">
        <v>0.64739999999994702</v>
      </c>
      <c r="AD27">
        <v>-0.168989799999999</v>
      </c>
      <c r="AE27">
        <v>-0.1293</v>
      </c>
      <c r="AF27">
        <v>0.121128903410313</v>
      </c>
      <c r="AG27">
        <v>-0.168989799999999</v>
      </c>
      <c r="AH27">
        <v>0.60763329462892002</v>
      </c>
      <c r="AI27">
        <v>105.25606576023699</v>
      </c>
      <c r="AJ27">
        <v>78.726135235054002</v>
      </c>
      <c r="AK27">
        <v>0.64222113363468603</v>
      </c>
    </row>
    <row r="28" spans="1:37" x14ac:dyDescent="0.2">
      <c r="A28" t="str">
        <f>"20200111154028934"</f>
        <v>20200111154028934</v>
      </c>
      <c r="B28" t="str">
        <f>"1578728428926162"</f>
        <v>1578728428926162</v>
      </c>
      <c r="C28" t="s">
        <v>37</v>
      </c>
      <c r="D28">
        <v>5.3763639999999997</v>
      </c>
      <c r="E28">
        <v>0.50803980000000004</v>
      </c>
      <c r="F28" t="s">
        <v>38</v>
      </c>
      <c r="G28">
        <v>-474.72969999999998</v>
      </c>
      <c r="H28">
        <v>0.95557999999999899</v>
      </c>
      <c r="I28">
        <v>367.17950000000002</v>
      </c>
      <c r="J28">
        <v>-475.37040000000002</v>
      </c>
      <c r="K28">
        <v>1.108527</v>
      </c>
      <c r="L28">
        <v>367.21980000000002</v>
      </c>
      <c r="M28">
        <v>0.99999590000000005</v>
      </c>
      <c r="N28">
        <v>0</v>
      </c>
      <c r="O28">
        <v>-3.7761449999999997E-4</v>
      </c>
      <c r="P28">
        <v>0.99729199999999996</v>
      </c>
      <c r="Q28">
        <v>2.6847989999999999E-2</v>
      </c>
      <c r="R28">
        <v>6.8470450000000002E-2</v>
      </c>
      <c r="S28">
        <v>3.0366520000000001</v>
      </c>
      <c r="T28">
        <v>-0.64003719999999997</v>
      </c>
      <c r="U28">
        <v>-0.16833499999999901</v>
      </c>
      <c r="V28">
        <v>-6.8846080000000004E-2</v>
      </c>
      <c r="W28">
        <v>2.3990540000000001E-2</v>
      </c>
      <c r="X28">
        <v>0.99733879999999997</v>
      </c>
      <c r="Y28">
        <v>5.3802160000000002E-2</v>
      </c>
      <c r="Z28">
        <v>-5.5255189999999996E-3</v>
      </c>
      <c r="AA28">
        <v>0.99853630000000004</v>
      </c>
      <c r="AB28">
        <v>8</v>
      </c>
      <c r="AC28">
        <v>0.64070000000003802</v>
      </c>
      <c r="AD28">
        <v>-0.152947</v>
      </c>
      <c r="AE28">
        <v>-4.0300000000002001E-2</v>
      </c>
      <c r="AF28">
        <v>3.7906414943652898E-2</v>
      </c>
      <c r="AG28">
        <v>-0.152947</v>
      </c>
      <c r="AH28">
        <v>0.60630035662975401</v>
      </c>
      <c r="AI28">
        <v>104.13171465627499</v>
      </c>
      <c r="AJ28">
        <v>86.4224755362537</v>
      </c>
      <c r="AK28">
        <v>0.62644217893772702</v>
      </c>
    </row>
    <row r="29" spans="1:37" x14ac:dyDescent="0.2">
      <c r="A29" t="str">
        <f>"20200111154028958"</f>
        <v>20200111154028958</v>
      </c>
      <c r="B29" t="str">
        <f>"1578728428946672"</f>
        <v>1578728428946672</v>
      </c>
      <c r="C29" t="s">
        <v>37</v>
      </c>
      <c r="D29">
        <v>5.3183800000000003</v>
      </c>
      <c r="E29">
        <v>0.50994399999999995</v>
      </c>
      <c r="F29" t="s">
        <v>38</v>
      </c>
      <c r="G29">
        <v>-474.62599999999998</v>
      </c>
      <c r="H29">
        <v>1.0150299999999901</v>
      </c>
      <c r="I29">
        <v>367.24829999999997</v>
      </c>
      <c r="J29">
        <v>-475.28339999999997</v>
      </c>
      <c r="K29">
        <v>1.1085129999999901</v>
      </c>
      <c r="L29">
        <v>367.21980000000002</v>
      </c>
      <c r="M29">
        <v>0.99999559999999998</v>
      </c>
      <c r="N29">
        <v>0</v>
      </c>
      <c r="O29">
        <v>-3.9355339999999899E-4</v>
      </c>
      <c r="P29">
        <v>0.99729389999999996</v>
      </c>
      <c r="Q29">
        <v>2.6699980000000002E-2</v>
      </c>
      <c r="R29">
        <v>6.8496199999999993E-2</v>
      </c>
      <c r="S29">
        <v>3.0104679999999999</v>
      </c>
      <c r="T29">
        <v>-0.37818619999999997</v>
      </c>
      <c r="U29">
        <v>0.1151123</v>
      </c>
      <c r="V29">
        <v>-6.8887309999999993E-2</v>
      </c>
      <c r="W29">
        <v>2.3784130000000001E-2</v>
      </c>
      <c r="X29">
        <v>0.99734089999999997</v>
      </c>
      <c r="Y29">
        <v>-3.8299010000000001E-2</v>
      </c>
      <c r="Z29">
        <v>2.4445790000000001E-3</v>
      </c>
      <c r="AA29">
        <v>0.99926329999999997</v>
      </c>
      <c r="AB29">
        <v>8</v>
      </c>
      <c r="AC29">
        <v>0.65739999999999499</v>
      </c>
      <c r="AD29">
        <v>-9.34829999999999E-2</v>
      </c>
      <c r="AE29">
        <v>2.84999999999513E-2</v>
      </c>
      <c r="AF29">
        <v>-2.8189760823387401E-2</v>
      </c>
      <c r="AG29">
        <v>-9.34829999999999E-2</v>
      </c>
      <c r="AH29">
        <v>0.64438300989292296</v>
      </c>
      <c r="AI29">
        <v>98.246741676646707</v>
      </c>
      <c r="AJ29">
        <v>92.504915742965494</v>
      </c>
      <c r="AK29">
        <v>0.65173859586719496</v>
      </c>
    </row>
    <row r="30" spans="1:37" x14ac:dyDescent="0.2">
      <c r="A30" t="str">
        <f>"20200111154028979"</f>
        <v>20200111154028979</v>
      </c>
      <c r="B30" t="str">
        <f>"1578728428976915"</f>
        <v>1578728428976915</v>
      </c>
      <c r="C30" t="s">
        <v>37</v>
      </c>
      <c r="D30">
        <v>5.5384120000000001</v>
      </c>
      <c r="E30">
        <v>0.51024809999999998</v>
      </c>
      <c r="F30" t="s">
        <v>38</v>
      </c>
      <c r="G30">
        <v>-474.5292</v>
      </c>
      <c r="H30">
        <v>1.038824</v>
      </c>
      <c r="I30">
        <v>367.24590000000001</v>
      </c>
      <c r="J30">
        <v>-475.19900000000001</v>
      </c>
      <c r="K30">
        <v>1.108492</v>
      </c>
      <c r="L30">
        <v>367.21969999999999</v>
      </c>
      <c r="M30">
        <v>0.99999550000000004</v>
      </c>
      <c r="N30">
        <v>0</v>
      </c>
      <c r="O30">
        <v>-4.0900199999999902E-4</v>
      </c>
      <c r="P30">
        <v>0.99731099999999995</v>
      </c>
      <c r="Q30">
        <v>2.689683E-2</v>
      </c>
      <c r="R30">
        <v>6.8172369999999996E-2</v>
      </c>
      <c r="S30">
        <v>3.0083009999999999</v>
      </c>
      <c r="T30">
        <v>-0.27826599999999901</v>
      </c>
      <c r="U30">
        <v>0.10580439999999899</v>
      </c>
      <c r="V30">
        <v>-6.8578879999999995E-2</v>
      </c>
      <c r="W30">
        <v>2.3933329999999999E-2</v>
      </c>
      <c r="X30">
        <v>0.99735859999999998</v>
      </c>
      <c r="Y30">
        <v>-3.5405140000000002E-2</v>
      </c>
      <c r="Z30">
        <v>1.6712279999999901E-3</v>
      </c>
      <c r="AA30">
        <v>0.99937160000000003</v>
      </c>
      <c r="AB30">
        <v>8</v>
      </c>
      <c r="AC30">
        <v>0.66980000000000905</v>
      </c>
      <c r="AD30">
        <v>-6.9667999999999994E-2</v>
      </c>
      <c r="AE30">
        <v>2.6200000000017099E-2</v>
      </c>
      <c r="AF30">
        <v>-2.61910277137863E-2</v>
      </c>
      <c r="AG30">
        <v>-6.9667999999999994E-2</v>
      </c>
      <c r="AH30">
        <v>0.66263134856833406</v>
      </c>
      <c r="AI30">
        <v>95.9972873719163</v>
      </c>
      <c r="AJ30">
        <v>92.263482718034695</v>
      </c>
      <c r="AK30">
        <v>0.66679824854463599</v>
      </c>
    </row>
    <row r="31" spans="1:37" x14ac:dyDescent="0.2">
      <c r="A31" t="str">
        <f>"20200111154029001"</f>
        <v>20200111154029001</v>
      </c>
      <c r="B31" t="str">
        <f>"1578728428996434"</f>
        <v>1578728428996434</v>
      </c>
      <c r="C31" t="s">
        <v>37</v>
      </c>
      <c r="D31">
        <v>5.327159</v>
      </c>
      <c r="E31">
        <v>0.51059739999999998</v>
      </c>
      <c r="F31" t="s">
        <v>39</v>
      </c>
      <c r="G31">
        <v>-460.82909999999998</v>
      </c>
      <c r="H31" s="1">
        <v>-4.2528519999999999E-6</v>
      </c>
      <c r="I31">
        <v>367.72050000000002</v>
      </c>
      <c r="J31">
        <v>-475.113</v>
      </c>
      <c r="K31">
        <v>1.1084829999999899</v>
      </c>
      <c r="L31">
        <v>367.21960000000001</v>
      </c>
      <c r="M31">
        <v>0.99999539999999998</v>
      </c>
      <c r="N31">
        <v>0</v>
      </c>
      <c r="O31">
        <v>-4.2432309999999998E-4</v>
      </c>
      <c r="P31">
        <v>0.99729559999999995</v>
      </c>
      <c r="Q31">
        <v>2.6754739999999999E-2</v>
      </c>
      <c r="R31">
        <v>6.8451390000000001E-2</v>
      </c>
      <c r="S31">
        <v>3.0071409999999998</v>
      </c>
      <c r="T31">
        <v>-0.23197010000000001</v>
      </c>
      <c r="U31">
        <v>0.1048279</v>
      </c>
      <c r="V31">
        <v>-6.8873580000000004E-2</v>
      </c>
      <c r="W31">
        <v>2.3749329999999999E-2</v>
      </c>
      <c r="X31">
        <v>0.99734259999999997</v>
      </c>
      <c r="Y31">
        <v>-3.5156970000000003E-2</v>
      </c>
      <c r="Z31">
        <v>1.386254E-3</v>
      </c>
      <c r="AA31">
        <v>0.99938079999999996</v>
      </c>
      <c r="AB31">
        <v>9</v>
      </c>
      <c r="AC31">
        <v>14.283899999999999</v>
      </c>
      <c r="AD31">
        <v>-1.10848725285199</v>
      </c>
      <c r="AE31">
        <v>0.50090000000000101</v>
      </c>
      <c r="AF31">
        <v>-0.50392984386398298</v>
      </c>
      <c r="AG31">
        <v>-1.10848725285199</v>
      </c>
      <c r="AH31">
        <v>14.1982837998922</v>
      </c>
      <c r="AI31">
        <v>94.461338395060096</v>
      </c>
      <c r="AJ31">
        <v>92.032706132240406</v>
      </c>
      <c r="AK31">
        <v>14.2504018237926</v>
      </c>
    </row>
    <row r="32" spans="1:37" x14ac:dyDescent="0.2">
      <c r="A32" t="str">
        <f>"20200111154029025"</f>
        <v>20200111154029025</v>
      </c>
      <c r="B32" t="str">
        <f>"1578728429015955"</f>
        <v>1578728429015955</v>
      </c>
      <c r="C32" t="s">
        <v>37</v>
      </c>
      <c r="D32">
        <v>5.2905199999999999</v>
      </c>
      <c r="E32">
        <v>0.51078310000000005</v>
      </c>
      <c r="F32" t="s">
        <v>39</v>
      </c>
      <c r="G32">
        <v>-460.1311</v>
      </c>
      <c r="H32" s="1">
        <v>-4.5497370000000002E-6</v>
      </c>
      <c r="I32">
        <v>367.73500000000001</v>
      </c>
      <c r="J32">
        <v>-475.01249999999999</v>
      </c>
      <c r="K32">
        <v>1.108466</v>
      </c>
      <c r="L32">
        <v>367.21960000000001</v>
      </c>
      <c r="M32">
        <v>0.99999519999999997</v>
      </c>
      <c r="N32">
        <v>0</v>
      </c>
      <c r="O32">
        <v>-4.4143029999999997E-4</v>
      </c>
      <c r="P32">
        <v>0.99727459999999901</v>
      </c>
      <c r="Q32">
        <v>2.6912910000000002E-2</v>
      </c>
      <c r="R32">
        <v>6.8693569999999995E-2</v>
      </c>
      <c r="S32">
        <v>3.006958</v>
      </c>
      <c r="T32">
        <v>-0.22247889999999901</v>
      </c>
      <c r="U32">
        <v>0.10345459999999999</v>
      </c>
      <c r="V32">
        <v>-6.9132559999999996E-2</v>
      </c>
      <c r="W32">
        <v>2.3867070000000001E-2</v>
      </c>
      <c r="X32">
        <v>0.99732199999999904</v>
      </c>
      <c r="Y32">
        <v>-3.4729860000000001E-2</v>
      </c>
      <c r="Z32">
        <v>1.3152719999999999E-3</v>
      </c>
      <c r="AA32">
        <v>0.99939579999999995</v>
      </c>
      <c r="AB32">
        <v>9</v>
      </c>
      <c r="AC32">
        <v>14.8813999999999</v>
      </c>
      <c r="AD32">
        <v>-1.108470549737</v>
      </c>
      <c r="AE32">
        <v>0.51539999999999897</v>
      </c>
      <c r="AF32">
        <v>-0.51909244613709005</v>
      </c>
      <c r="AG32">
        <v>-1.108470549737</v>
      </c>
      <c r="AH32">
        <v>14.7991590834386</v>
      </c>
      <c r="AI32">
        <v>94.280885056254803</v>
      </c>
      <c r="AJ32">
        <v>92.008872121252395</v>
      </c>
      <c r="AK32">
        <v>14.849689340326099</v>
      </c>
    </row>
    <row r="33" spans="1:37" x14ac:dyDescent="0.2">
      <c r="A33" t="str">
        <f>"20200111154029046"</f>
        <v>20200111154029046</v>
      </c>
      <c r="B33" t="str">
        <f>"1578728429036959"</f>
        <v>1578728429036959</v>
      </c>
      <c r="C33" t="s">
        <v>37</v>
      </c>
      <c r="D33">
        <v>5.3301309999999997</v>
      </c>
      <c r="E33">
        <v>0.51078319999999999</v>
      </c>
      <c r="F33" t="s">
        <v>39</v>
      </c>
      <c r="G33">
        <v>-459.78140000000002</v>
      </c>
      <c r="H33" s="1">
        <v>-5.5956499999999999E-7</v>
      </c>
      <c r="I33">
        <v>367.74040000000002</v>
      </c>
      <c r="J33">
        <v>-474.91919999999999</v>
      </c>
      <c r="K33">
        <v>1.108455</v>
      </c>
      <c r="L33">
        <v>367.21949999999998</v>
      </c>
      <c r="M33">
        <v>0.99999519999999997</v>
      </c>
      <c r="N33">
        <v>0</v>
      </c>
      <c r="O33">
        <v>-4.5697430000000001E-4</v>
      </c>
      <c r="P33">
        <v>0.99727449999999995</v>
      </c>
      <c r="Q33">
        <v>2.6944579999999999E-2</v>
      </c>
      <c r="R33">
        <v>6.8687289999999998E-2</v>
      </c>
      <c r="S33">
        <v>3.00705</v>
      </c>
      <c r="T33">
        <v>-0.2188425</v>
      </c>
      <c r="U33">
        <v>0.1028442</v>
      </c>
      <c r="V33">
        <v>-6.9142060000000005E-2</v>
      </c>
      <c r="W33">
        <v>2.3867079999999999E-2</v>
      </c>
      <c r="X33">
        <v>0.99732129999999997</v>
      </c>
      <c r="Y33">
        <v>-3.4545300000000001E-2</v>
      </c>
      <c r="Z33">
        <v>1.288221E-3</v>
      </c>
      <c r="AA33">
        <v>0.99940229999999997</v>
      </c>
      <c r="AB33">
        <v>9</v>
      </c>
      <c r="AC33">
        <v>15.137799999999899</v>
      </c>
      <c r="AD33">
        <v>-1.1084555595649901</v>
      </c>
      <c r="AE33">
        <v>0.52090000000004</v>
      </c>
      <c r="AF33">
        <v>-0.52500591335827396</v>
      </c>
      <c r="AG33">
        <v>-1.1084555595649901</v>
      </c>
      <c r="AH33">
        <v>15.0569235675502</v>
      </c>
      <c r="AI33">
        <v>94.207838394259596</v>
      </c>
      <c r="AJ33">
        <v>91.996984397653307</v>
      </c>
      <c r="AK33">
        <v>15.1067949034744</v>
      </c>
    </row>
    <row r="34" spans="1:37" x14ac:dyDescent="0.2">
      <c r="A34" t="str">
        <f>"20200111154029069"</f>
        <v>20200111154029069</v>
      </c>
      <c r="B34" t="str">
        <f>"1578728429056479"</f>
        <v>1578728429056479</v>
      </c>
      <c r="C34" t="s">
        <v>37</v>
      </c>
      <c r="D34">
        <v>5.325685</v>
      </c>
      <c r="E34">
        <v>0.51089830000000003</v>
      </c>
      <c r="F34" t="s">
        <v>39</v>
      </c>
      <c r="G34">
        <v>-459.53089999999997</v>
      </c>
      <c r="H34" s="1">
        <v>-6.432682E-7</v>
      </c>
      <c r="I34">
        <v>367.74619999999999</v>
      </c>
      <c r="J34">
        <v>-474.82319999999999</v>
      </c>
      <c r="K34">
        <v>1.108441</v>
      </c>
      <c r="L34">
        <v>367.21949999999998</v>
      </c>
      <c r="M34">
        <v>0.99999509999999903</v>
      </c>
      <c r="N34">
        <v>0</v>
      </c>
      <c r="O34">
        <v>-4.7239309999999899E-4</v>
      </c>
      <c r="P34">
        <v>0.99725010000000003</v>
      </c>
      <c r="Q34">
        <v>2.67675E-2</v>
      </c>
      <c r="R34">
        <v>6.9107950000000001E-2</v>
      </c>
      <c r="S34">
        <v>3.0069889999999999</v>
      </c>
      <c r="T34">
        <v>-0.21659989999999901</v>
      </c>
      <c r="U34">
        <v>0.10293579999999999</v>
      </c>
      <c r="V34">
        <v>-6.9578020000000004E-2</v>
      </c>
      <c r="W34">
        <v>2.366304E-2</v>
      </c>
      <c r="X34">
        <v>0.99729579999999995</v>
      </c>
      <c r="Y34">
        <v>-3.4593520000000003E-2</v>
      </c>
      <c r="Z34">
        <v>1.2779219999999999E-3</v>
      </c>
      <c r="AA34">
        <v>0.99940069999999903</v>
      </c>
      <c r="AB34">
        <v>10</v>
      </c>
      <c r="AC34">
        <v>15.292299999999999</v>
      </c>
      <c r="AD34">
        <v>-1.1084416432682</v>
      </c>
      <c r="AE34">
        <v>0.52670000000000505</v>
      </c>
      <c r="AF34">
        <v>-0.531136731202283</v>
      </c>
      <c r="AG34">
        <v>-1.1084416432682</v>
      </c>
      <c r="AH34">
        <v>15.2122210154212</v>
      </c>
      <c r="AI34">
        <v>94.164974744992904</v>
      </c>
      <c r="AJ34">
        <v>91.999677488310596</v>
      </c>
      <c r="AK34">
        <v>15.2617960059026</v>
      </c>
    </row>
    <row r="35" spans="1:37" x14ac:dyDescent="0.2">
      <c r="A35" t="str">
        <f>"20200111154029101"</f>
        <v>20200111154029101</v>
      </c>
      <c r="B35" t="str">
        <f>"1578728429096495"</f>
        <v>1578728429096495</v>
      </c>
      <c r="C35" t="s">
        <v>37</v>
      </c>
      <c r="D35">
        <v>5.2593969999999999</v>
      </c>
      <c r="E35">
        <v>0.51079909999999995</v>
      </c>
      <c r="F35" t="s">
        <v>39</v>
      </c>
      <c r="G35">
        <v>-459.34870000000001</v>
      </c>
      <c r="H35" s="1">
        <v>-7.0427130000000005E-7</v>
      </c>
      <c r="I35">
        <v>367.75009999999997</v>
      </c>
      <c r="J35">
        <v>-474.67399999999998</v>
      </c>
      <c r="K35">
        <v>1.1084270000000001</v>
      </c>
      <c r="L35">
        <v>367.21940000000001</v>
      </c>
      <c r="M35">
        <v>0.99999490000000002</v>
      </c>
      <c r="N35">
        <v>0</v>
      </c>
      <c r="O35">
        <v>-4.9533249999999997E-4</v>
      </c>
      <c r="P35">
        <v>0.99721789999999999</v>
      </c>
      <c r="Q35">
        <v>2.6760220000000001E-2</v>
      </c>
      <c r="R35">
        <v>6.9574330000000004E-2</v>
      </c>
      <c r="S35">
        <v>3.0068969999999999</v>
      </c>
      <c r="T35">
        <v>-0.2153822</v>
      </c>
      <c r="U35">
        <v>0.103118899999999</v>
      </c>
      <c r="V35">
        <v>-7.0067420000000005E-2</v>
      </c>
      <c r="W35">
        <v>2.3621570000000001E-2</v>
      </c>
      <c r="X35">
        <v>0.99726250000000005</v>
      </c>
      <c r="Y35">
        <v>-3.4679010000000003E-2</v>
      </c>
      <c r="Z35">
        <v>1.2754909999999999E-3</v>
      </c>
      <c r="AA35">
        <v>0.99939769999999895</v>
      </c>
      <c r="AB35">
        <v>10</v>
      </c>
      <c r="AC35">
        <v>15.3253</v>
      </c>
      <c r="AD35">
        <v>-1.1084277042713</v>
      </c>
      <c r="AE35">
        <v>0.53069999999996698</v>
      </c>
      <c r="AF35">
        <v>-0.53549320427536795</v>
      </c>
      <c r="AG35">
        <v>-1.1084277042713</v>
      </c>
      <c r="AH35">
        <v>15.245379969541</v>
      </c>
      <c r="AI35">
        <v>94.155865159987599</v>
      </c>
      <c r="AJ35">
        <v>92.011684330970894</v>
      </c>
      <c r="AK35">
        <v>15.294998377348801</v>
      </c>
    </row>
    <row r="36" spans="1:37" x14ac:dyDescent="0.2">
      <c r="A36" t="str">
        <f>"20200111154029126"</f>
        <v>20200111154029126</v>
      </c>
      <c r="B36" t="str">
        <f>"1578728429116016"</f>
        <v>1578728429116016</v>
      </c>
      <c r="C36" t="s">
        <v>37</v>
      </c>
      <c r="D36">
        <v>5.2406280000000001</v>
      </c>
      <c r="E36">
        <v>0.51111269999999998</v>
      </c>
      <c r="F36" t="s">
        <v>39</v>
      </c>
      <c r="G36">
        <v>-459.49720000000002</v>
      </c>
      <c r="H36" s="1">
        <v>-6.5422910000000002E-7</v>
      </c>
      <c r="I36">
        <v>367.7482</v>
      </c>
      <c r="J36">
        <v>-474.55900000000003</v>
      </c>
      <c r="K36">
        <v>1.1084209999999901</v>
      </c>
      <c r="L36">
        <v>367.21929999999998</v>
      </c>
      <c r="M36">
        <v>0.99999490000000002</v>
      </c>
      <c r="N36">
        <v>0</v>
      </c>
      <c r="O36">
        <v>-5.1312600000000003E-4</v>
      </c>
      <c r="P36">
        <v>0.997195099999999</v>
      </c>
      <c r="Q36">
        <v>2.7041679999999998E-2</v>
      </c>
      <c r="R36">
        <v>6.9792580000000007E-2</v>
      </c>
      <c r="S36">
        <v>3.006958</v>
      </c>
      <c r="T36">
        <v>-0.21961039999999901</v>
      </c>
      <c r="U36">
        <v>0.1047974</v>
      </c>
      <c r="V36">
        <v>-7.030285E-2</v>
      </c>
      <c r="W36">
        <v>2.3882799999999999E-2</v>
      </c>
      <c r="X36">
        <v>0.99723980000000001</v>
      </c>
      <c r="Y36">
        <v>-3.5248149999999999E-2</v>
      </c>
      <c r="Z36">
        <v>1.3224720000000001E-3</v>
      </c>
      <c r="AA36">
        <v>0.99937770000000004</v>
      </c>
      <c r="AB36">
        <v>10</v>
      </c>
      <c r="AC36">
        <v>15.0618</v>
      </c>
      <c r="AD36">
        <v>-1.1084216542291001</v>
      </c>
      <c r="AE36">
        <v>0.52890000000002102</v>
      </c>
      <c r="AF36">
        <v>-0.53374153489570997</v>
      </c>
      <c r="AG36">
        <v>-1.1084216542291001</v>
      </c>
      <c r="AH36">
        <v>14.9804963580718</v>
      </c>
      <c r="AI36">
        <v>94.228986382162404</v>
      </c>
      <c r="AJ36">
        <v>92.040533650390103</v>
      </c>
      <c r="AK36">
        <v>15.030926442632801</v>
      </c>
    </row>
    <row r="37" spans="1:37" x14ac:dyDescent="0.2">
      <c r="A37" t="str">
        <f>"20200111154029147"</f>
        <v>20200111154029147</v>
      </c>
      <c r="B37" t="str">
        <f>"1578728429136042"</f>
        <v>1578728429136042</v>
      </c>
      <c r="C37" t="s">
        <v>37</v>
      </c>
      <c r="D37">
        <v>5.2723490000000002</v>
      </c>
      <c r="E37">
        <v>0.51138030000000001</v>
      </c>
      <c r="F37" t="s">
        <v>39</v>
      </c>
      <c r="G37">
        <v>-459.47809999999998</v>
      </c>
      <c r="H37" s="1">
        <v>-6.6357830000000004E-7</v>
      </c>
      <c r="I37">
        <v>367.73750000000001</v>
      </c>
      <c r="J37">
        <v>-474.45350000000002</v>
      </c>
      <c r="K37">
        <v>1.1084149999999999</v>
      </c>
      <c r="L37">
        <v>367.2192</v>
      </c>
      <c r="M37">
        <v>0.99999479999999996</v>
      </c>
      <c r="N37">
        <v>0</v>
      </c>
      <c r="O37">
        <v>-5.2900470000000004E-4</v>
      </c>
      <c r="P37">
        <v>0.99717129999999998</v>
      </c>
      <c r="Q37">
        <v>2.7438569999999999E-2</v>
      </c>
      <c r="R37">
        <v>6.9976029999999995E-2</v>
      </c>
      <c r="S37">
        <v>3.0072019999999999</v>
      </c>
      <c r="T37">
        <v>-0.2210232</v>
      </c>
      <c r="U37">
        <v>0.10333249999999999</v>
      </c>
      <c r="V37">
        <v>-7.0502389999999998E-2</v>
      </c>
      <c r="W37">
        <v>2.4263690000000001E-2</v>
      </c>
      <c r="X37">
        <v>0.99721649999999995</v>
      </c>
      <c r="Y37">
        <v>-3.4774989999999999E-2</v>
      </c>
      <c r="Z37">
        <v>1.3146659999999999E-3</v>
      </c>
      <c r="AA37">
        <v>0.99939429999999996</v>
      </c>
      <c r="AB37">
        <v>11</v>
      </c>
      <c r="AC37">
        <v>14.9754</v>
      </c>
      <c r="AD37">
        <v>-1.1084156635783</v>
      </c>
      <c r="AE37">
        <v>0.51830000000000997</v>
      </c>
      <c r="AF37">
        <v>-0.52335832355895395</v>
      </c>
      <c r="AG37">
        <v>-1.1084156635783</v>
      </c>
      <c r="AH37">
        <v>14.8936290759529</v>
      </c>
      <c r="AI37">
        <v>94.2536121179525</v>
      </c>
      <c r="AJ37">
        <v>92.012530978867204</v>
      </c>
      <c r="AK37">
        <v>14.9439846182393</v>
      </c>
    </row>
    <row r="38" spans="1:37" x14ac:dyDescent="0.2">
      <c r="A38" t="str">
        <f>"20200111154029168"</f>
        <v>20200111154029168</v>
      </c>
      <c r="B38" t="str">
        <f>"1578728429156538"</f>
        <v>1578728429156538</v>
      </c>
      <c r="C38" t="s">
        <v>37</v>
      </c>
      <c r="D38">
        <v>5.4683719999999996</v>
      </c>
      <c r="E38">
        <v>0.51126130000000003</v>
      </c>
      <c r="F38" t="s">
        <v>39</v>
      </c>
      <c r="G38">
        <v>-459.40480000000002</v>
      </c>
      <c r="H38" s="1">
        <v>-6.91266199999999E-7</v>
      </c>
      <c r="I38">
        <v>367.72719999999998</v>
      </c>
      <c r="J38">
        <v>-474.35039999999998</v>
      </c>
      <c r="K38">
        <v>1.108406</v>
      </c>
      <c r="L38">
        <v>367.2192</v>
      </c>
      <c r="M38">
        <v>0.99999479999999996</v>
      </c>
      <c r="N38">
        <v>0</v>
      </c>
      <c r="O38">
        <v>-5.4440230000000003E-4</v>
      </c>
      <c r="P38">
        <v>0.99714919999999996</v>
      </c>
      <c r="Q38">
        <v>2.7708790000000001E-2</v>
      </c>
      <c r="R38">
        <v>7.0184499999999997E-2</v>
      </c>
      <c r="S38">
        <v>3.0075069999999999</v>
      </c>
      <c r="T38">
        <v>-0.22151709999999999</v>
      </c>
      <c r="U38">
        <v>0.101532</v>
      </c>
      <c r="V38">
        <v>-7.0726380000000005E-2</v>
      </c>
      <c r="W38">
        <v>2.4521580000000001E-2</v>
      </c>
      <c r="X38">
        <v>0.99719429999999998</v>
      </c>
      <c r="Y38">
        <v>-3.4190400000000003E-2</v>
      </c>
      <c r="Z38">
        <v>1.2971149999999999E-3</v>
      </c>
      <c r="AA38">
        <v>0.99941449999999998</v>
      </c>
      <c r="AB38">
        <v>11</v>
      </c>
      <c r="AC38">
        <v>14.945599999999899</v>
      </c>
      <c r="AD38">
        <v>-1.1084066912661901</v>
      </c>
      <c r="AE38">
        <v>0.50799999999998102</v>
      </c>
      <c r="AF38">
        <v>-0.51331634525695902</v>
      </c>
      <c r="AG38">
        <v>-1.1084066912661901</v>
      </c>
      <c r="AH38">
        <v>14.8636637457147</v>
      </c>
      <c r="AI38">
        <v>94.262210867607195</v>
      </c>
      <c r="AJ38">
        <v>91.977922574647593</v>
      </c>
      <c r="AK38">
        <v>14.913770784386699</v>
      </c>
    </row>
    <row r="39" spans="1:37" x14ac:dyDescent="0.2">
      <c r="A39" t="str">
        <f>"20200111154029191"</f>
        <v>20200111154029191</v>
      </c>
      <c r="B39" t="str">
        <f>"1578728429186795"</f>
        <v>1578728429186795</v>
      </c>
      <c r="C39" t="s">
        <v>37</v>
      </c>
      <c r="D39">
        <v>5.3501570000000003</v>
      </c>
      <c r="E39">
        <v>0.51063429999999999</v>
      </c>
      <c r="F39" t="s">
        <v>39</v>
      </c>
      <c r="G39">
        <v>-459.57810000000001</v>
      </c>
      <c r="H39" s="1">
        <v>-6.3334150000000002E-7</v>
      </c>
      <c r="I39">
        <v>367.72320000000002</v>
      </c>
      <c r="J39">
        <v>-474.23399999999998</v>
      </c>
      <c r="K39">
        <v>1.1083989999999999</v>
      </c>
      <c r="L39">
        <v>367.21910000000003</v>
      </c>
      <c r="M39">
        <v>0.99999479999999996</v>
      </c>
      <c r="N39">
        <v>0</v>
      </c>
      <c r="O39">
        <v>-5.6122859999999998E-4</v>
      </c>
      <c r="P39">
        <v>0.99713439999999998</v>
      </c>
      <c r="Q39">
        <v>2.761883E-2</v>
      </c>
      <c r="R39">
        <v>7.0430580000000007E-2</v>
      </c>
      <c r="S39">
        <v>3.0076900000000002</v>
      </c>
      <c r="T39">
        <v>-0.22567419999999999</v>
      </c>
      <c r="U39">
        <v>0.1026306</v>
      </c>
      <c r="V39">
        <v>-7.0989029999999995E-2</v>
      </c>
      <c r="W39">
        <v>2.441956E-2</v>
      </c>
      <c r="X39">
        <v>0.99717809999999996</v>
      </c>
      <c r="Y39">
        <v>-3.4565159999999998E-2</v>
      </c>
      <c r="Z39">
        <v>1.3365969999999999E-3</v>
      </c>
      <c r="AA39">
        <v>0.9994016</v>
      </c>
      <c r="AB39">
        <v>11</v>
      </c>
      <c r="AC39">
        <v>14.655900000000001</v>
      </c>
      <c r="AD39">
        <v>-1.1083996333414901</v>
      </c>
      <c r="AE39">
        <v>0.504099999999994</v>
      </c>
      <c r="AF39">
        <v>-0.50941505086808003</v>
      </c>
      <c r="AG39">
        <v>-1.1083996333414901</v>
      </c>
      <c r="AH39">
        <v>14.572364764043</v>
      </c>
      <c r="AI39">
        <v>94.346997206875002</v>
      </c>
      <c r="AJ39">
        <v>92.002108258208693</v>
      </c>
      <c r="AK39">
        <v>14.6233330078189</v>
      </c>
    </row>
    <row r="40" spans="1:37" x14ac:dyDescent="0.2">
      <c r="A40" t="str">
        <f>"20200111154029214"</f>
        <v>20200111154029214</v>
      </c>
      <c r="B40" t="str">
        <f>"1578728429206315"</f>
        <v>1578728429206315</v>
      </c>
      <c r="C40" t="s">
        <v>37</v>
      </c>
      <c r="D40">
        <v>5.3037489999999998</v>
      </c>
      <c r="E40">
        <v>0.51053389999999998</v>
      </c>
      <c r="F40" t="s">
        <v>39</v>
      </c>
      <c r="G40">
        <v>-460.1001</v>
      </c>
      <c r="H40" s="1">
        <v>-4.5644519999999996E-6</v>
      </c>
      <c r="I40">
        <v>367.72710000000001</v>
      </c>
      <c r="J40">
        <v>-474.1146</v>
      </c>
      <c r="K40">
        <v>1.10839</v>
      </c>
      <c r="L40">
        <v>367.21899999999999</v>
      </c>
      <c r="M40">
        <v>0.99999459999999996</v>
      </c>
      <c r="N40">
        <v>0</v>
      </c>
      <c r="O40">
        <v>-5.7876839999999896E-4</v>
      </c>
      <c r="P40">
        <v>0.99713700000000005</v>
      </c>
      <c r="Q40">
        <v>2.7598910000000001E-2</v>
      </c>
      <c r="R40">
        <v>7.0399680000000006E-2</v>
      </c>
      <c r="S40">
        <v>3.0075069999999999</v>
      </c>
      <c r="T40">
        <v>-0.23585129999999899</v>
      </c>
      <c r="U40">
        <v>0.10812380000000001</v>
      </c>
      <c r="V40">
        <v>-7.0975300000000005E-2</v>
      </c>
      <c r="W40">
        <v>2.4389540000000001E-2</v>
      </c>
      <c r="X40">
        <v>0.99717990000000001</v>
      </c>
      <c r="Y40">
        <v>-3.6393109999999999E-2</v>
      </c>
      <c r="Z40">
        <v>1.4696479999999901E-3</v>
      </c>
      <c r="AA40">
        <v>0.99933649999999996</v>
      </c>
      <c r="AB40">
        <v>11</v>
      </c>
      <c r="AC40">
        <v>14.0144999999999</v>
      </c>
      <c r="AD40">
        <v>-1.1083945644519999</v>
      </c>
      <c r="AE40">
        <v>0.50810000000001299</v>
      </c>
      <c r="AF40">
        <v>-0.51300641819039905</v>
      </c>
      <c r="AG40">
        <v>-1.1083945644519999</v>
      </c>
      <c r="AH40">
        <v>13.927202036520301</v>
      </c>
      <c r="AI40">
        <v>94.5472156914999</v>
      </c>
      <c r="AJ40">
        <v>92.109527798757497</v>
      </c>
      <c r="AK40">
        <v>13.9806534418698</v>
      </c>
    </row>
    <row r="41" spans="1:37" x14ac:dyDescent="0.2">
      <c r="A41" t="str">
        <f>"20200111154029236"</f>
        <v>20200111154029236</v>
      </c>
      <c r="B41" t="str">
        <f>"1578728429226346"</f>
        <v>1578728429226346</v>
      </c>
      <c r="C41" t="s">
        <v>37</v>
      </c>
      <c r="D41">
        <v>5.321828</v>
      </c>
      <c r="E41">
        <v>0.51041380000000003</v>
      </c>
      <c r="F41" t="s">
        <v>39</v>
      </c>
      <c r="G41">
        <v>-459.95339999999999</v>
      </c>
      <c r="H41" s="1">
        <v>-5.0324689999999999E-7</v>
      </c>
      <c r="I41">
        <v>367.73219999999998</v>
      </c>
      <c r="J41">
        <v>-473.99450000000002</v>
      </c>
      <c r="K41">
        <v>1.1083809999999901</v>
      </c>
      <c r="L41">
        <v>367.21890000000002</v>
      </c>
      <c r="M41">
        <v>0.99999459999999996</v>
      </c>
      <c r="N41">
        <v>0</v>
      </c>
      <c r="O41">
        <v>-5.9654450000000002E-4</v>
      </c>
      <c r="P41">
        <v>0.99716819999999895</v>
      </c>
      <c r="Q41">
        <v>2.7322630000000001E-2</v>
      </c>
      <c r="R41">
        <v>7.0064459999999995E-2</v>
      </c>
      <c r="S41">
        <v>3.0074459999999998</v>
      </c>
      <c r="T41">
        <v>-0.23538890000000001</v>
      </c>
      <c r="U41">
        <v>0.1090088</v>
      </c>
      <c r="V41">
        <v>-7.0657689999999995E-2</v>
      </c>
      <c r="W41">
        <v>2.4104469999999999E-2</v>
      </c>
      <c r="X41">
        <v>0.99720929999999997</v>
      </c>
      <c r="Y41">
        <v>-3.6704720000000003E-2</v>
      </c>
      <c r="Z41">
        <v>1.480358E-3</v>
      </c>
      <c r="AA41">
        <v>0.99932500000000002</v>
      </c>
      <c r="AB41">
        <v>12</v>
      </c>
      <c r="AC41">
        <v>14.0411</v>
      </c>
      <c r="AD41">
        <v>-1.10838150324689</v>
      </c>
      <c r="AE41">
        <v>0.51329999999995801</v>
      </c>
      <c r="AF41">
        <v>-0.51844980650281802</v>
      </c>
      <c r="AG41">
        <v>-1.10838150324689</v>
      </c>
      <c r="AH41">
        <v>13.9539565290833</v>
      </c>
      <c r="AI41">
        <v>94.538426988108597</v>
      </c>
      <c r="AJ41">
        <v>92.127807146548804</v>
      </c>
      <c r="AK41">
        <v>14.007505223063401</v>
      </c>
    </row>
    <row r="42" spans="1:37" x14ac:dyDescent="0.2">
      <c r="A42" t="str">
        <f>"20200111154029259"</f>
        <v>20200111154029259</v>
      </c>
      <c r="B42" t="str">
        <f>"1578728429246841"</f>
        <v>1578728429246841</v>
      </c>
      <c r="C42" t="s">
        <v>37</v>
      </c>
      <c r="D42">
        <v>5.3009870000000001</v>
      </c>
      <c r="E42">
        <v>0.51041259999999999</v>
      </c>
      <c r="F42" t="s">
        <v>39</v>
      </c>
      <c r="G42">
        <v>-459.8381</v>
      </c>
      <c r="H42" s="1">
        <v>-5.4265179999999997E-7</v>
      </c>
      <c r="I42">
        <v>367.73149999999998</v>
      </c>
      <c r="J42">
        <v>-473.87029999999999</v>
      </c>
      <c r="K42">
        <v>1.1083750000000001</v>
      </c>
      <c r="L42">
        <v>367.21879999999999</v>
      </c>
      <c r="M42">
        <v>0.99999459999999996</v>
      </c>
      <c r="N42">
        <v>0</v>
      </c>
      <c r="O42">
        <v>-6.1407930000000001E-4</v>
      </c>
      <c r="P42">
        <v>0.99719460000000004</v>
      </c>
      <c r="Q42">
        <v>2.6972759999999998E-2</v>
      </c>
      <c r="R42">
        <v>6.9824629999999999E-2</v>
      </c>
      <c r="S42">
        <v>3.0073240000000001</v>
      </c>
      <c r="T42">
        <v>-0.2354581</v>
      </c>
      <c r="U42">
        <v>0.10891720000000001</v>
      </c>
      <c r="V42">
        <v>-7.0435739999999997E-2</v>
      </c>
      <c r="W42">
        <v>2.3747899999999999E-2</v>
      </c>
      <c r="X42">
        <v>0.99723359999999905</v>
      </c>
      <c r="Y42">
        <v>-3.6693249999999997E-2</v>
      </c>
      <c r="Z42">
        <v>1.4817750000000001E-3</v>
      </c>
      <c r="AA42">
        <v>0.99932549999999898</v>
      </c>
      <c r="AB42">
        <v>12</v>
      </c>
      <c r="AC42">
        <v>14.0321999999999</v>
      </c>
      <c r="AD42">
        <v>-1.1083755426518</v>
      </c>
      <c r="AE42">
        <v>0.51269999999999505</v>
      </c>
      <c r="AF42">
        <v>-0.51808873094382601</v>
      </c>
      <c r="AG42">
        <v>-1.1083755426518</v>
      </c>
      <c r="AH42">
        <v>13.9449942169129</v>
      </c>
      <c r="AI42">
        <v>94.5413076119751</v>
      </c>
      <c r="AJ42">
        <v>92.127691904938303</v>
      </c>
      <c r="AK42">
        <v>13.998563354373699</v>
      </c>
    </row>
    <row r="43" spans="1:37" x14ac:dyDescent="0.2">
      <c r="A43" t="str">
        <f>"20200111154029280"</f>
        <v>20200111154029280</v>
      </c>
      <c r="B43" t="str">
        <f>"1578728429276119"</f>
        <v>1578728429276119</v>
      </c>
      <c r="C43" t="s">
        <v>37</v>
      </c>
      <c r="D43">
        <v>5.2644409999999997</v>
      </c>
      <c r="E43">
        <v>0.51038309999999998</v>
      </c>
      <c r="F43" t="s">
        <v>39</v>
      </c>
      <c r="G43">
        <v>-459.6925</v>
      </c>
      <c r="H43" s="1">
        <v>-5.9316790000000002E-7</v>
      </c>
      <c r="I43">
        <v>367.72789999999998</v>
      </c>
      <c r="J43">
        <v>-473.75330000000002</v>
      </c>
      <c r="K43">
        <v>1.1083689999999999</v>
      </c>
      <c r="L43">
        <v>367.21870000000001</v>
      </c>
      <c r="M43">
        <v>0.99999459999999996</v>
      </c>
      <c r="N43">
        <v>0</v>
      </c>
      <c r="O43">
        <v>-6.3006140000000004E-4</v>
      </c>
      <c r="P43">
        <v>0.99721970000000004</v>
      </c>
      <c r="Q43">
        <v>2.6736699999999999E-2</v>
      </c>
      <c r="R43">
        <v>6.9558159999999994E-2</v>
      </c>
      <c r="S43">
        <v>3.0072019999999999</v>
      </c>
      <c r="T43">
        <v>-0.23509169999999999</v>
      </c>
      <c r="U43">
        <v>0.10800170000000001</v>
      </c>
      <c r="V43">
        <v>-7.0185540000000005E-2</v>
      </c>
      <c r="W43">
        <v>2.350621E-2</v>
      </c>
      <c r="X43">
        <v>0.9972569</v>
      </c>
      <c r="Y43">
        <v>-3.6407999999999899E-2</v>
      </c>
      <c r="Z43">
        <v>1.4696620000000001E-3</v>
      </c>
      <c r="AA43">
        <v>0.99933590000000005</v>
      </c>
      <c r="AB43">
        <v>12</v>
      </c>
      <c r="AC43">
        <v>14.0608</v>
      </c>
      <c r="AD43">
        <v>-1.1083695931678901</v>
      </c>
      <c r="AE43">
        <v>0.50919999999996401</v>
      </c>
      <c r="AF43">
        <v>-0.51486409981252801</v>
      </c>
      <c r="AG43">
        <v>-1.1083695931678901</v>
      </c>
      <c r="AH43">
        <v>13.973761568734499</v>
      </c>
      <c r="AI43">
        <v>94.532024556978598</v>
      </c>
      <c r="AJ43">
        <v>92.110111979686096</v>
      </c>
      <c r="AK43">
        <v>14.0271016456065</v>
      </c>
    </row>
    <row r="44" spans="1:37" x14ac:dyDescent="0.2">
      <c r="A44" t="str">
        <f>"20200111154029304"</f>
        <v>20200111154029304</v>
      </c>
      <c r="B44" t="str">
        <f>"1578728429296614"</f>
        <v>1578728429296614</v>
      </c>
      <c r="C44" t="s">
        <v>37</v>
      </c>
      <c r="D44">
        <v>5.2745150000000001</v>
      </c>
      <c r="E44">
        <v>0.51035680000000005</v>
      </c>
      <c r="F44" t="s">
        <v>39</v>
      </c>
      <c r="G44">
        <v>-459.52249999999998</v>
      </c>
      <c r="H44" s="1">
        <v>-6.5084780000000005E-7</v>
      </c>
      <c r="I44">
        <v>367.72859999999997</v>
      </c>
      <c r="J44">
        <v>-473.61509999999998</v>
      </c>
      <c r="K44">
        <v>1.108352</v>
      </c>
      <c r="L44">
        <v>367.21859999999998</v>
      </c>
      <c r="M44">
        <v>0.99999459999999996</v>
      </c>
      <c r="N44">
        <v>0</v>
      </c>
      <c r="O44">
        <v>-6.4866589999999997E-4</v>
      </c>
      <c r="P44">
        <v>0.99722520000000003</v>
      </c>
      <c r="Q44">
        <v>2.7046230000000001E-2</v>
      </c>
      <c r="R44">
        <v>6.9357580000000002E-2</v>
      </c>
      <c r="S44">
        <v>3.0071720000000002</v>
      </c>
      <c r="T44">
        <v>-0.23421239999999999</v>
      </c>
      <c r="U44">
        <v>0.1077576</v>
      </c>
      <c r="V44">
        <v>-7.0003380000000004E-2</v>
      </c>
      <c r="W44">
        <v>2.3810350000000001E-2</v>
      </c>
      <c r="X44">
        <v>0.99726250000000005</v>
      </c>
      <c r="Y44">
        <v>-3.6346900000000001E-2</v>
      </c>
      <c r="Z44">
        <v>1.46327E-3</v>
      </c>
      <c r="AA44">
        <v>0.99933819999999995</v>
      </c>
      <c r="AB44">
        <v>12</v>
      </c>
      <c r="AC44">
        <v>14.092599999999999</v>
      </c>
      <c r="AD44">
        <v>-1.1083526508478001</v>
      </c>
      <c r="AE44">
        <v>0.50999999999999002</v>
      </c>
      <c r="AF44">
        <v>-0.51595407779531299</v>
      </c>
      <c r="AG44">
        <v>-1.1083526508478001</v>
      </c>
      <c r="AH44">
        <v>14.005747200866599</v>
      </c>
      <c r="AI44">
        <v>94.521649729271402</v>
      </c>
      <c r="AJ44">
        <v>92.109750286565003</v>
      </c>
      <c r="AK44">
        <v>14.0590045473931</v>
      </c>
    </row>
    <row r="45" spans="1:37" x14ac:dyDescent="0.2">
      <c r="A45" t="str">
        <f>"20200111154029326"</f>
        <v>20200111154029326</v>
      </c>
      <c r="B45" t="str">
        <f>"1578728429317110"</f>
        <v>1578728429317110</v>
      </c>
      <c r="C45" t="s">
        <v>37</v>
      </c>
      <c r="D45">
        <v>5.2755549999999998</v>
      </c>
      <c r="E45">
        <v>0.5103588</v>
      </c>
      <c r="F45" t="s">
        <v>39</v>
      </c>
      <c r="G45">
        <v>-459.24869999999999</v>
      </c>
      <c r="H45" s="1">
        <v>-7.4323680000000002E-7</v>
      </c>
      <c r="I45">
        <v>367.73140000000001</v>
      </c>
      <c r="J45">
        <v>-473.48379999999997</v>
      </c>
      <c r="K45">
        <v>1.1083419999999999</v>
      </c>
      <c r="L45">
        <v>367.21850000000001</v>
      </c>
      <c r="M45">
        <v>0.99999459999999996</v>
      </c>
      <c r="N45">
        <v>0</v>
      </c>
      <c r="O45">
        <v>-6.6584009999999896E-4</v>
      </c>
      <c r="P45">
        <v>0.99720390000000003</v>
      </c>
      <c r="Q45">
        <v>2.794346E-2</v>
      </c>
      <c r="R45">
        <v>6.9311049999999999E-2</v>
      </c>
      <c r="S45">
        <v>3.0072019999999999</v>
      </c>
      <c r="T45">
        <v>-0.2320024</v>
      </c>
      <c r="U45">
        <v>0.10736079999999899</v>
      </c>
      <c r="V45">
        <v>-6.9973800000000003E-2</v>
      </c>
      <c r="W45">
        <v>2.4702249999999999E-2</v>
      </c>
      <c r="X45">
        <v>0.99724290000000004</v>
      </c>
      <c r="Y45">
        <v>-3.6234410000000002E-2</v>
      </c>
      <c r="Z45">
        <v>1.4464839999999901E-3</v>
      </c>
      <c r="AA45">
        <v>0.99934230000000002</v>
      </c>
      <c r="AB45">
        <v>13</v>
      </c>
      <c r="AC45">
        <v>14.2350999999999</v>
      </c>
      <c r="AD45">
        <v>-1.1083427432368</v>
      </c>
      <c r="AE45">
        <v>0.51290000000000102</v>
      </c>
      <c r="AF45">
        <v>-0.519234635397398</v>
      </c>
      <c r="AG45">
        <v>-1.1083427432368</v>
      </c>
      <c r="AH45">
        <v>14.149092532988799</v>
      </c>
      <c r="AI45">
        <v>94.476011005100105</v>
      </c>
      <c r="AJ45">
        <v>92.101661938019902</v>
      </c>
      <c r="AK45">
        <v>14.201931127496801</v>
      </c>
    </row>
    <row r="46" spans="1:37" x14ac:dyDescent="0.2">
      <c r="A46" t="str">
        <f>"20200111154029350"</f>
        <v>20200111154029350</v>
      </c>
      <c r="B46" t="str">
        <f>"1578728429336633"</f>
        <v>1578728429336633</v>
      </c>
      <c r="C46" t="s">
        <v>37</v>
      </c>
      <c r="D46">
        <v>5.2569669999999897</v>
      </c>
      <c r="E46">
        <v>0.51035900000000001</v>
      </c>
      <c r="F46" t="s">
        <v>39</v>
      </c>
      <c r="G46">
        <v>-458.8877</v>
      </c>
      <c r="H46" s="1">
        <v>-8.6393360000000002E-7</v>
      </c>
      <c r="I46">
        <v>367.73950000000002</v>
      </c>
      <c r="J46">
        <v>-473.34780000000001</v>
      </c>
      <c r="K46">
        <v>1.108333</v>
      </c>
      <c r="L46">
        <v>367.21839999999997</v>
      </c>
      <c r="M46">
        <v>0.99999450000000001</v>
      </c>
      <c r="N46">
        <v>0</v>
      </c>
      <c r="O46">
        <v>-6.8303089999999895E-4</v>
      </c>
      <c r="P46">
        <v>0.99718479999999998</v>
      </c>
      <c r="Q46">
        <v>2.802808E-2</v>
      </c>
      <c r="R46">
        <v>6.9550399999999901E-2</v>
      </c>
      <c r="S46">
        <v>3.007355</v>
      </c>
      <c r="T46">
        <v>-0.2283599</v>
      </c>
      <c r="U46">
        <v>0.10736079999999899</v>
      </c>
      <c r="V46">
        <v>-7.0229990000000006E-2</v>
      </c>
      <c r="W46">
        <v>2.477041E-2</v>
      </c>
      <c r="X46">
        <v>0.99722330000000003</v>
      </c>
      <c r="Y46">
        <v>-3.6253100000000003E-2</v>
      </c>
      <c r="Z46">
        <v>1.4257789999999901E-3</v>
      </c>
      <c r="AA46">
        <v>0.99934159999999905</v>
      </c>
      <c r="AB46">
        <v>13</v>
      </c>
      <c r="AC46">
        <v>14.460100000000001</v>
      </c>
      <c r="AD46">
        <v>-1.1083338639336</v>
      </c>
      <c r="AE46">
        <v>0.52110000000004597</v>
      </c>
      <c r="AF46">
        <v>-0.52787942233561103</v>
      </c>
      <c r="AG46">
        <v>-1.1083338639336</v>
      </c>
      <c r="AH46">
        <v>14.375396578459</v>
      </c>
      <c r="AI46">
        <v>94.405788280875299</v>
      </c>
      <c r="AJ46">
        <v>92.103015331186199</v>
      </c>
      <c r="AK46">
        <v>14.427719411828001</v>
      </c>
    </row>
    <row r="47" spans="1:37" x14ac:dyDescent="0.2">
      <c r="A47" t="str">
        <f>"20200111154029369"</f>
        <v>20200111154029369</v>
      </c>
      <c r="B47" t="str">
        <f>"1578728429356150"</f>
        <v>1578728429356150</v>
      </c>
      <c r="C47" t="s">
        <v>37</v>
      </c>
      <c r="D47">
        <v>5.2676790000000002</v>
      </c>
      <c r="E47">
        <v>0.51040490000000005</v>
      </c>
      <c r="F47" t="s">
        <v>39</v>
      </c>
      <c r="G47">
        <v>-458.68950000000001</v>
      </c>
      <c r="H47" s="1">
        <v>-9.2958580000000001E-7</v>
      </c>
      <c r="I47">
        <v>367.74630000000002</v>
      </c>
      <c r="J47">
        <v>-473.22370000000001</v>
      </c>
      <c r="K47">
        <v>1.1083149999999999</v>
      </c>
      <c r="L47">
        <v>367.21839999999997</v>
      </c>
      <c r="M47">
        <v>0.9999943</v>
      </c>
      <c r="N47">
        <v>0</v>
      </c>
      <c r="O47">
        <v>-6.9929369999999897E-4</v>
      </c>
      <c r="P47">
        <v>0.99715140000000002</v>
      </c>
      <c r="Q47">
        <v>2.7941480000000001E-2</v>
      </c>
      <c r="R47">
        <v>7.0060590000000006E-2</v>
      </c>
      <c r="S47">
        <v>3.007263</v>
      </c>
      <c r="T47">
        <v>-0.22738269999999999</v>
      </c>
      <c r="U47">
        <v>0.1083069</v>
      </c>
      <c r="V47">
        <v>-7.0756600000000003E-2</v>
      </c>
      <c r="W47">
        <v>2.4652199999999999E-2</v>
      </c>
      <c r="X47">
        <v>0.99718890000000004</v>
      </c>
      <c r="Y47">
        <v>-3.6584310000000002E-2</v>
      </c>
      <c r="Z47">
        <v>1.433457E-3</v>
      </c>
      <c r="AA47">
        <v>0.99932960000000004</v>
      </c>
      <c r="AB47">
        <v>13</v>
      </c>
      <c r="AC47">
        <v>14.534199999999901</v>
      </c>
      <c r="AD47">
        <v>-1.1083159295857901</v>
      </c>
      <c r="AE47">
        <v>0.527900000000045</v>
      </c>
      <c r="AF47">
        <v>-0.53495695914423802</v>
      </c>
      <c r="AG47">
        <v>-1.1083159295857901</v>
      </c>
      <c r="AH47">
        <v>14.4499126826534</v>
      </c>
      <c r="AI47">
        <v>94.383038090477697</v>
      </c>
      <c r="AJ47">
        <v>92.120205495490097</v>
      </c>
      <c r="AK47">
        <v>14.5022246460403</v>
      </c>
    </row>
    <row r="48" spans="1:37" x14ac:dyDescent="0.2">
      <c r="A48" t="str">
        <f>"20200111154029392"</f>
        <v>20200111154029392</v>
      </c>
      <c r="B48" t="str">
        <f>"1578728429386407"</f>
        <v>1578728429386407</v>
      </c>
      <c r="C48" t="s">
        <v>37</v>
      </c>
      <c r="D48">
        <v>5.2532940000000004</v>
      </c>
      <c r="E48">
        <v>0.51047969999999998</v>
      </c>
      <c r="F48" t="s">
        <v>39</v>
      </c>
      <c r="G48">
        <v>-458.55869999999999</v>
      </c>
      <c r="H48" s="1">
        <v>-9.7312330000000008E-7</v>
      </c>
      <c r="I48">
        <v>367.75</v>
      </c>
      <c r="J48">
        <v>-473.0838</v>
      </c>
      <c r="K48">
        <v>1.1083049999999901</v>
      </c>
      <c r="L48">
        <v>367.21820000000002</v>
      </c>
      <c r="M48">
        <v>0.99999419999999895</v>
      </c>
      <c r="N48">
        <v>0</v>
      </c>
      <c r="O48">
        <v>-7.1751289999999902E-4</v>
      </c>
      <c r="P48">
        <v>0.99710540000000003</v>
      </c>
      <c r="Q48">
        <v>2.7979460000000001E-2</v>
      </c>
      <c r="R48">
        <v>7.0697339999999997E-2</v>
      </c>
      <c r="S48">
        <v>3.007263</v>
      </c>
      <c r="T48">
        <v>-0.22727439999999999</v>
      </c>
      <c r="U48">
        <v>0.10903930000000001</v>
      </c>
      <c r="V48">
        <v>-7.1410899999999902E-2</v>
      </c>
      <c r="W48">
        <v>2.4629789999999999E-2</v>
      </c>
      <c r="X48">
        <v>0.99714290000000005</v>
      </c>
      <c r="Y48">
        <v>-3.68449E-2</v>
      </c>
      <c r="Z48">
        <v>1.443974E-3</v>
      </c>
      <c r="AA48">
        <v>0.99931999999999999</v>
      </c>
      <c r="AB48">
        <v>14</v>
      </c>
      <c r="AC48">
        <v>14.5251</v>
      </c>
      <c r="AD48">
        <v>-1.10830597312329</v>
      </c>
      <c r="AE48">
        <v>0.53179999999997496</v>
      </c>
      <c r="AF48">
        <v>-0.53908743784622304</v>
      </c>
      <c r="AG48">
        <v>-1.10830597312329</v>
      </c>
      <c r="AH48">
        <v>14.440751461109199</v>
      </c>
      <c r="AI48">
        <v>94.385718402206805</v>
      </c>
      <c r="AJ48">
        <v>92.137914967899704</v>
      </c>
      <c r="AK48">
        <v>14.49324877856</v>
      </c>
    </row>
    <row r="49" spans="1:37" x14ac:dyDescent="0.2">
      <c r="A49" t="str">
        <f>"20200111154029415"</f>
        <v>20200111154029415</v>
      </c>
      <c r="B49" t="str">
        <f>"1578728429405927"</f>
        <v>1578728429405927</v>
      </c>
      <c r="C49" t="s">
        <v>37</v>
      </c>
      <c r="D49">
        <v>5.2442849999999996</v>
      </c>
      <c r="E49">
        <v>0.5105383</v>
      </c>
      <c r="F49" t="s">
        <v>39</v>
      </c>
      <c r="G49">
        <v>-458.4341</v>
      </c>
      <c r="H49" s="1">
        <v>-1.0144650000000001E-6</v>
      </c>
      <c r="I49">
        <v>367.75409999999999</v>
      </c>
      <c r="J49">
        <v>-472.93349999999998</v>
      </c>
      <c r="K49">
        <v>1.108284</v>
      </c>
      <c r="L49">
        <v>367.21809999999999</v>
      </c>
      <c r="M49">
        <v>0.99999389999999999</v>
      </c>
      <c r="N49">
        <v>0</v>
      </c>
      <c r="O49">
        <v>-7.3698749999999999E-4</v>
      </c>
      <c r="P49">
        <v>0.99702329999999995</v>
      </c>
      <c r="Q49">
        <v>2.8635319999999999E-2</v>
      </c>
      <c r="R49">
        <v>7.1587330000000005E-2</v>
      </c>
      <c r="S49">
        <v>3.0073240000000001</v>
      </c>
      <c r="T49">
        <v>-0.2275134</v>
      </c>
      <c r="U49">
        <v>0.110015899999999</v>
      </c>
      <c r="V49">
        <v>-7.2320869999999995E-2</v>
      </c>
      <c r="W49">
        <v>2.5189420000000001E-2</v>
      </c>
      <c r="X49">
        <v>0.99706329999999999</v>
      </c>
      <c r="Y49">
        <v>-3.7186459999999998E-2</v>
      </c>
      <c r="Z49">
        <v>1.459819E-3</v>
      </c>
      <c r="AA49">
        <v>0.99930730000000001</v>
      </c>
      <c r="AB49">
        <v>14</v>
      </c>
      <c r="AC49">
        <v>14.4993999999999</v>
      </c>
      <c r="AD49">
        <v>-1.1082850144650001</v>
      </c>
      <c r="AE49">
        <v>0.53600000000000103</v>
      </c>
      <c r="AF49">
        <v>-0.54351461250422795</v>
      </c>
      <c r="AG49">
        <v>-1.1082850144650001</v>
      </c>
      <c r="AH49">
        <v>14.414896135986501</v>
      </c>
      <c r="AI49">
        <v>94.393409993853695</v>
      </c>
      <c r="AJ49">
        <v>92.159318264126597</v>
      </c>
      <c r="AK49">
        <v>14.467651309682999</v>
      </c>
    </row>
    <row r="50" spans="1:37" x14ac:dyDescent="0.2">
      <c r="A50" t="str">
        <f>"20200111154029438"</f>
        <v>20200111154029438</v>
      </c>
      <c r="B50" t="str">
        <f>"1578728429426422"</f>
        <v>1578728429426422</v>
      </c>
      <c r="C50" t="s">
        <v>37</v>
      </c>
      <c r="D50">
        <v>5.2390850000000002</v>
      </c>
      <c r="E50">
        <v>0.51058349999999997</v>
      </c>
      <c r="F50" t="s">
        <v>39</v>
      </c>
      <c r="G50">
        <v>-458.21499999999997</v>
      </c>
      <c r="H50" s="1">
        <v>-1.085729E-6</v>
      </c>
      <c r="I50">
        <v>367.76639999999998</v>
      </c>
      <c r="J50">
        <v>-472.7885</v>
      </c>
      <c r="K50">
        <v>1.1082559999999999</v>
      </c>
      <c r="L50">
        <v>367.21800000000002</v>
      </c>
      <c r="M50">
        <v>0.99999340000000003</v>
      </c>
      <c r="N50">
        <v>0</v>
      </c>
      <c r="O50">
        <v>-7.5567250000000005E-4</v>
      </c>
      <c r="P50">
        <v>0.99696409999999902</v>
      </c>
      <c r="Q50">
        <v>2.9386599999999999E-2</v>
      </c>
      <c r="R50">
        <v>7.210606E-2</v>
      </c>
      <c r="S50">
        <v>3.0074160000000001</v>
      </c>
      <c r="T50">
        <v>-0.226452599999999</v>
      </c>
      <c r="U50">
        <v>0.11206049999999999</v>
      </c>
      <c r="V50">
        <v>-7.2858350000000002E-2</v>
      </c>
      <c r="W50">
        <v>2.58214999999999E-2</v>
      </c>
      <c r="X50">
        <v>0.99700800000000001</v>
      </c>
      <c r="Y50">
        <v>-3.7881489999999997E-2</v>
      </c>
      <c r="Z50">
        <v>1.4804950000000001E-3</v>
      </c>
      <c r="AA50">
        <v>0.99928119999999998</v>
      </c>
      <c r="AB50">
        <v>14</v>
      </c>
      <c r="AC50">
        <v>14.573499999999999</v>
      </c>
      <c r="AD50">
        <v>-1.1082570857289999</v>
      </c>
      <c r="AE50">
        <v>0.54839999999995803</v>
      </c>
      <c r="AF50">
        <v>-0.55620074459225999</v>
      </c>
      <c r="AG50">
        <v>-1.1082570857289999</v>
      </c>
      <c r="AH50">
        <v>14.489407642932299</v>
      </c>
      <c r="AI50">
        <v>94.370682276483095</v>
      </c>
      <c r="AJ50">
        <v>92.198317345785995</v>
      </c>
      <c r="AK50">
        <v>14.5423700571612</v>
      </c>
    </row>
    <row r="51" spans="1:37" x14ac:dyDescent="0.2">
      <c r="A51" t="str">
        <f>"20200111154029459"</f>
        <v>20200111154029459</v>
      </c>
      <c r="B51" t="str">
        <f>"1578728429446931"</f>
        <v>1578728429446931</v>
      </c>
      <c r="C51" t="s">
        <v>37</v>
      </c>
      <c r="D51">
        <v>5.2182440000000003</v>
      </c>
      <c r="E51">
        <v>0.5106347</v>
      </c>
      <c r="F51" t="s">
        <v>39</v>
      </c>
      <c r="G51">
        <v>-457.97340000000003</v>
      </c>
      <c r="H51" s="1">
        <v>-1.1778279999999999E-6</v>
      </c>
      <c r="I51">
        <v>367.77800000000002</v>
      </c>
      <c r="J51">
        <v>-472.649</v>
      </c>
      <c r="K51">
        <v>1.108233</v>
      </c>
      <c r="L51">
        <v>367.21780000000001</v>
      </c>
      <c r="M51">
        <v>0.99999289999999996</v>
      </c>
      <c r="N51">
        <v>0</v>
      </c>
      <c r="O51">
        <v>-7.7234259999999996E-4</v>
      </c>
      <c r="P51">
        <v>0.99688569999999999</v>
      </c>
      <c r="Q51">
        <v>3.016402E-2</v>
      </c>
      <c r="R51">
        <v>7.2864319999999996E-2</v>
      </c>
      <c r="S51">
        <v>3.0075069999999999</v>
      </c>
      <c r="T51">
        <v>-0.22497790000000001</v>
      </c>
      <c r="U51">
        <v>0.1137085</v>
      </c>
      <c r="V51">
        <v>-7.3632939999999994E-2</v>
      </c>
      <c r="W51">
        <v>2.6476929999999999E-2</v>
      </c>
      <c r="X51">
        <v>0.99693390000000004</v>
      </c>
      <c r="Y51">
        <v>-3.8443599999999897E-2</v>
      </c>
      <c r="Z51">
        <v>1.493054E-3</v>
      </c>
      <c r="AA51">
        <v>0.99925969999999997</v>
      </c>
      <c r="AB51">
        <v>14</v>
      </c>
      <c r="AC51">
        <v>14.6755999999999</v>
      </c>
      <c r="AD51">
        <v>-1.108234177828</v>
      </c>
      <c r="AE51">
        <v>0.56020000000000802</v>
      </c>
      <c r="AF51">
        <v>-0.56829844930048901</v>
      </c>
      <c r="AG51">
        <v>-1.108234177828</v>
      </c>
      <c r="AH51">
        <v>14.592071579459899</v>
      </c>
      <c r="AI51">
        <v>94.339867150107594</v>
      </c>
      <c r="AJ51">
        <v>92.230297110011307</v>
      </c>
      <c r="AK51">
        <v>14.645125438194899</v>
      </c>
    </row>
    <row r="52" spans="1:37" x14ac:dyDescent="0.2">
      <c r="A52" t="str">
        <f>"20200111154029482"</f>
        <v>20200111154029482</v>
      </c>
      <c r="B52" t="str">
        <f>"1578728429476200"</f>
        <v>1578728429476200</v>
      </c>
      <c r="C52" t="s">
        <v>37</v>
      </c>
      <c r="D52">
        <v>5.2298799999999996</v>
      </c>
      <c r="E52">
        <v>0.51056550000000001</v>
      </c>
      <c r="F52" t="s">
        <v>39</v>
      </c>
      <c r="G52">
        <v>-457.7013</v>
      </c>
      <c r="H52" s="1">
        <v>-1.2920249999999999E-6</v>
      </c>
      <c r="I52">
        <v>367.79230000000001</v>
      </c>
      <c r="J52">
        <v>-472.49919999999997</v>
      </c>
      <c r="K52">
        <v>1.108217</v>
      </c>
      <c r="L52">
        <v>367.21769999999998</v>
      </c>
      <c r="M52">
        <v>0.99999249999999995</v>
      </c>
      <c r="N52">
        <v>0</v>
      </c>
      <c r="O52">
        <v>-7.8828789999999904E-4</v>
      </c>
      <c r="P52">
        <v>0.99683899999999903</v>
      </c>
      <c r="Q52">
        <v>3.0501130000000001E-2</v>
      </c>
      <c r="R52">
        <v>7.3362250000000004E-2</v>
      </c>
      <c r="S52">
        <v>3.0076900000000002</v>
      </c>
      <c r="T52">
        <v>-0.22298989999999999</v>
      </c>
      <c r="U52">
        <v>0.1156006</v>
      </c>
      <c r="V52">
        <v>-7.4146379999999998E-2</v>
      </c>
      <c r="W52">
        <v>2.670049E-2</v>
      </c>
      <c r="X52">
        <v>0.9968899</v>
      </c>
      <c r="Y52">
        <v>-3.9085059999999998E-2</v>
      </c>
      <c r="Z52">
        <v>1.5047070000000001E-3</v>
      </c>
      <c r="AA52">
        <v>0.99923469999999903</v>
      </c>
      <c r="AB52">
        <v>15</v>
      </c>
      <c r="AC52">
        <v>14.797899999999901</v>
      </c>
      <c r="AD52">
        <v>-1.1082182920250001</v>
      </c>
      <c r="AE52">
        <v>0.57460000000003197</v>
      </c>
      <c r="AF52">
        <v>-0.58300004961713603</v>
      </c>
      <c r="AG52">
        <v>-1.1082182920250001</v>
      </c>
      <c r="AH52">
        <v>14.715036704718599</v>
      </c>
      <c r="AI52">
        <v>94.303563456790499</v>
      </c>
      <c r="AJ52">
        <v>92.268834370195904</v>
      </c>
      <c r="AK52">
        <v>14.768220680293499</v>
      </c>
    </row>
    <row r="53" spans="1:37" x14ac:dyDescent="0.2">
      <c r="A53" t="str">
        <f>"20200111154029505"</f>
        <v>20200111154029505</v>
      </c>
      <c r="B53" t="str">
        <f>"1578728429496695"</f>
        <v>1578728429496695</v>
      </c>
      <c r="C53" t="s">
        <v>37</v>
      </c>
      <c r="D53">
        <v>5.2072409999999998</v>
      </c>
      <c r="E53">
        <v>0.51052929999999996</v>
      </c>
      <c r="F53" t="s">
        <v>39</v>
      </c>
      <c r="G53">
        <v>-457.51560000000001</v>
      </c>
      <c r="H53" s="1">
        <v>-1.3698039999999999E-6</v>
      </c>
      <c r="I53">
        <v>367.80279999999999</v>
      </c>
      <c r="J53">
        <v>-472.33429999999998</v>
      </c>
      <c r="K53">
        <v>1.108206</v>
      </c>
      <c r="L53">
        <v>367.2176</v>
      </c>
      <c r="M53">
        <v>0.99999210000000005</v>
      </c>
      <c r="N53">
        <v>0</v>
      </c>
      <c r="O53">
        <v>-8.0202579999999999E-4</v>
      </c>
      <c r="P53">
        <v>0.99682230000000005</v>
      </c>
      <c r="Q53">
        <v>3.0114660000000001E-2</v>
      </c>
      <c r="R53">
        <v>7.3748499999999995E-2</v>
      </c>
      <c r="S53">
        <v>3.0076900000000002</v>
      </c>
      <c r="T53">
        <v>-0.22245399999999901</v>
      </c>
      <c r="U53">
        <v>0.1174622</v>
      </c>
      <c r="V53">
        <v>-7.4546589999999996E-2</v>
      </c>
      <c r="W53">
        <v>2.623526E-2</v>
      </c>
      <c r="X53">
        <v>0.99687239999999999</v>
      </c>
      <c r="Y53">
        <v>-3.9715100000000003E-2</v>
      </c>
      <c r="Z53">
        <v>1.5253549999999999E-3</v>
      </c>
      <c r="AA53">
        <v>0.99920989999999998</v>
      </c>
      <c r="AB53">
        <v>15</v>
      </c>
      <c r="AC53">
        <v>14.8186999999999</v>
      </c>
      <c r="AD53">
        <v>-1.108207369804</v>
      </c>
      <c r="AE53">
        <v>0.58519999999998595</v>
      </c>
      <c r="AF53">
        <v>-0.59376927632611398</v>
      </c>
      <c r="AG53">
        <v>-1.108207369804</v>
      </c>
      <c r="AH53">
        <v>14.7359404526593</v>
      </c>
      <c r="AI53">
        <v>94.297324085570807</v>
      </c>
      <c r="AJ53">
        <v>92.307425145569695</v>
      </c>
      <c r="AK53">
        <v>14.7894768856886</v>
      </c>
    </row>
    <row r="54" spans="1:37" x14ac:dyDescent="0.2">
      <c r="A54" t="str">
        <f>"20200111154029526"</f>
        <v>20200111154029526</v>
      </c>
      <c r="B54" t="str">
        <f>"1578728429516217"</f>
        <v>1578728429516217</v>
      </c>
      <c r="C54" t="s">
        <v>37</v>
      </c>
      <c r="D54">
        <v>5.1891569999999998</v>
      </c>
      <c r="E54">
        <v>0.51054429999999995</v>
      </c>
      <c r="F54" t="s">
        <v>39</v>
      </c>
      <c r="G54">
        <v>-457.44549999999998</v>
      </c>
      <c r="H54" s="1">
        <v>-1.399272E-6</v>
      </c>
      <c r="I54">
        <v>367.80619999999999</v>
      </c>
      <c r="J54">
        <v>-472.18</v>
      </c>
      <c r="K54">
        <v>1.108203</v>
      </c>
      <c r="L54">
        <v>367.21749999999997</v>
      </c>
      <c r="M54">
        <v>0.99999210000000005</v>
      </c>
      <c r="N54">
        <v>0</v>
      </c>
      <c r="O54">
        <v>-8.124521E-4</v>
      </c>
      <c r="P54">
        <v>0.99682490000000001</v>
      </c>
      <c r="Q54">
        <v>2.997905E-2</v>
      </c>
      <c r="R54">
        <v>7.3766609999999996E-2</v>
      </c>
      <c r="S54">
        <v>3.007568</v>
      </c>
      <c r="T54">
        <v>-0.22385839999999901</v>
      </c>
      <c r="U54">
        <v>0.118927</v>
      </c>
      <c r="V54">
        <v>-7.4574929999999998E-2</v>
      </c>
      <c r="W54">
        <v>2.607081E-2</v>
      </c>
      <c r="X54">
        <v>0.99687459999999894</v>
      </c>
      <c r="Y54">
        <v>-4.0210210000000003E-2</v>
      </c>
      <c r="Z54">
        <v>1.554174E-3</v>
      </c>
      <c r="AA54">
        <v>0.99918999999999902</v>
      </c>
      <c r="AB54">
        <v>15</v>
      </c>
      <c r="AC54">
        <v>14.734500000000001</v>
      </c>
      <c r="AD54">
        <v>-1.1082043992720001</v>
      </c>
      <c r="AE54">
        <v>0.58870000000001699</v>
      </c>
      <c r="AF54">
        <v>-0.59729757854082799</v>
      </c>
      <c r="AG54">
        <v>-1.1082043992720001</v>
      </c>
      <c r="AH54">
        <v>14.651269989173899</v>
      </c>
      <c r="AI54">
        <v>94.321970645627104</v>
      </c>
      <c r="AJ54">
        <v>92.334520484437206</v>
      </c>
      <c r="AK54">
        <v>14.705257348430401</v>
      </c>
    </row>
    <row r="55" spans="1:37" x14ac:dyDescent="0.2">
      <c r="A55" t="str">
        <f>"20200111154029548"</f>
        <v>20200111154029548</v>
      </c>
      <c r="B55" t="str">
        <f>"1578728429536713"</f>
        <v>1578728429536713</v>
      </c>
      <c r="C55" t="s">
        <v>37</v>
      </c>
      <c r="D55">
        <v>5.2097910000000001</v>
      </c>
      <c r="E55">
        <v>0.51056509999999999</v>
      </c>
      <c r="F55" t="s">
        <v>39</v>
      </c>
      <c r="G55">
        <v>-457.26920000000001</v>
      </c>
      <c r="H55" s="1">
        <v>-1.474828E-6</v>
      </c>
      <c r="I55">
        <v>367.80669999999998</v>
      </c>
      <c r="J55">
        <v>-472.02699999999999</v>
      </c>
      <c r="K55">
        <v>1.1082069999999999</v>
      </c>
      <c r="L55">
        <v>367.21730000000002</v>
      </c>
      <c r="M55">
        <v>0.99999199999999999</v>
      </c>
      <c r="N55">
        <v>0</v>
      </c>
      <c r="O55">
        <v>-8.210286E-4</v>
      </c>
      <c r="P55">
        <v>0.99684519999999999</v>
      </c>
      <c r="Q55">
        <v>2.9270319999999999E-2</v>
      </c>
      <c r="R55">
        <v>7.3776110000000006E-2</v>
      </c>
      <c r="S55">
        <v>3.0075069999999999</v>
      </c>
      <c r="T55">
        <v>-0.2235231</v>
      </c>
      <c r="U55">
        <v>0.118866</v>
      </c>
      <c r="V55">
        <v>-7.4593409999999999E-2</v>
      </c>
      <c r="W55">
        <v>2.536675E-2</v>
      </c>
      <c r="X55">
        <v>0.99689130000000004</v>
      </c>
      <c r="Y55">
        <v>-4.019967E-2</v>
      </c>
      <c r="Z55">
        <v>1.5521300000000001E-3</v>
      </c>
      <c r="AA55">
        <v>0.99919040000000003</v>
      </c>
      <c r="AB55">
        <v>16</v>
      </c>
      <c r="AC55">
        <v>14.7577999999999</v>
      </c>
      <c r="AD55">
        <v>-1.1082084748279999</v>
      </c>
      <c r="AE55">
        <v>0.58939999999995496</v>
      </c>
      <c r="AF55">
        <v>-0.59814889855567499</v>
      </c>
      <c r="AG55">
        <v>-1.1082084748279999</v>
      </c>
      <c r="AH55">
        <v>14.674692754277601</v>
      </c>
      <c r="AI55">
        <v>94.315115325071602</v>
      </c>
      <c r="AJ55">
        <v>92.334116774698501</v>
      </c>
      <c r="AK55">
        <v>14.7286291134298</v>
      </c>
    </row>
    <row r="56" spans="1:37" x14ac:dyDescent="0.2">
      <c r="A56" t="str">
        <f>"20200111154029570"</f>
        <v>20200111154029570</v>
      </c>
      <c r="B56" t="str">
        <f>"1578728429565990"</f>
        <v>1578728429565990</v>
      </c>
      <c r="C56" t="s">
        <v>37</v>
      </c>
      <c r="D56">
        <v>5.2053820000000002</v>
      </c>
      <c r="E56">
        <v>0.5105963</v>
      </c>
      <c r="F56" t="s">
        <v>39</v>
      </c>
      <c r="G56">
        <v>-457.22160000000002</v>
      </c>
      <c r="H56" s="1">
        <v>-1.4964739999999999E-6</v>
      </c>
      <c r="I56">
        <v>367.79969999999997</v>
      </c>
      <c r="J56">
        <v>-471.86329999999998</v>
      </c>
      <c r="K56">
        <v>1.1082110000000001</v>
      </c>
      <c r="L56">
        <v>367.21710000000002</v>
      </c>
      <c r="M56">
        <v>0.99999229999999995</v>
      </c>
      <c r="N56">
        <v>0</v>
      </c>
      <c r="O56">
        <v>-8.3003310000000002E-4</v>
      </c>
      <c r="P56">
        <v>0.99681569999999997</v>
      </c>
      <c r="Q56">
        <v>2.8638779999999999E-2</v>
      </c>
      <c r="R56">
        <v>7.4421219999999996E-2</v>
      </c>
      <c r="S56">
        <v>3.00738499999999</v>
      </c>
      <c r="T56">
        <v>-0.225107</v>
      </c>
      <c r="U56">
        <v>0.1183167</v>
      </c>
      <c r="V56">
        <v>-7.5247179999999997E-2</v>
      </c>
      <c r="W56">
        <v>2.4766119999999999E-2</v>
      </c>
      <c r="X56">
        <v>0.99685729999999995</v>
      </c>
      <c r="Y56">
        <v>-4.0026890000000002E-2</v>
      </c>
      <c r="Z56">
        <v>1.5573850000000001E-3</v>
      </c>
      <c r="AA56">
        <v>0.99919740000000001</v>
      </c>
      <c r="AB56">
        <v>16</v>
      </c>
      <c r="AC56">
        <v>14.641699999999901</v>
      </c>
      <c r="AD56">
        <v>-1.1082124964740001</v>
      </c>
      <c r="AE56">
        <v>0.58259999999995604</v>
      </c>
      <c r="AF56">
        <v>-0.59137050097995802</v>
      </c>
      <c r="AG56">
        <v>-1.1082124964740001</v>
      </c>
      <c r="AH56">
        <v>14.5579437749864</v>
      </c>
      <c r="AI56">
        <v>94.349628718104796</v>
      </c>
      <c r="AJ56">
        <v>92.326181197395599</v>
      </c>
      <c r="AK56">
        <v>14.612035483204799</v>
      </c>
    </row>
    <row r="57" spans="1:37" x14ac:dyDescent="0.2">
      <c r="A57" t="str">
        <f>"20200111154029594"</f>
        <v>20200111154029594</v>
      </c>
      <c r="B57" t="str">
        <f>"1578728429586487"</f>
        <v>1578728429586487</v>
      </c>
      <c r="C57" t="s">
        <v>37</v>
      </c>
      <c r="D57">
        <v>5.2583880000000001</v>
      </c>
      <c r="E57">
        <v>0.51065680000000002</v>
      </c>
      <c r="F57" t="s">
        <v>39</v>
      </c>
      <c r="G57">
        <v>-457.1669</v>
      </c>
      <c r="H57" s="1">
        <v>-1.519414E-6</v>
      </c>
      <c r="I57">
        <v>367.80270000000002</v>
      </c>
      <c r="J57">
        <v>-471.6902</v>
      </c>
      <c r="K57">
        <v>1.1082239999999901</v>
      </c>
      <c r="L57">
        <v>367.21699999999998</v>
      </c>
      <c r="M57">
        <v>0.99999229999999995</v>
      </c>
      <c r="N57">
        <v>0</v>
      </c>
      <c r="O57">
        <v>-8.404288E-4</v>
      </c>
      <c r="P57">
        <v>0.99685009999999996</v>
      </c>
      <c r="Q57">
        <v>2.7849430000000001E-2</v>
      </c>
      <c r="R57">
        <v>7.4259019999999995E-2</v>
      </c>
      <c r="S57">
        <v>3.0071409999999998</v>
      </c>
      <c r="T57">
        <v>-0.22675819999999999</v>
      </c>
      <c r="U57">
        <v>0.11984249999999901</v>
      </c>
      <c r="V57">
        <v>-7.5095480000000006E-2</v>
      </c>
      <c r="W57">
        <v>2.402868E-2</v>
      </c>
      <c r="X57">
        <v>0.99688679999999996</v>
      </c>
      <c r="Y57">
        <v>-4.0543490000000001E-2</v>
      </c>
      <c r="Z57">
        <v>1.5891129999999901E-3</v>
      </c>
      <c r="AA57">
        <v>0.99917649999999902</v>
      </c>
      <c r="AB57">
        <v>16</v>
      </c>
      <c r="AC57">
        <v>14.523300000000001</v>
      </c>
      <c r="AD57">
        <v>-1.1082255194139901</v>
      </c>
      <c r="AE57">
        <v>0.58570000000003097</v>
      </c>
      <c r="AF57">
        <v>-0.59444998865661303</v>
      </c>
      <c r="AG57">
        <v>-1.1082255194139901</v>
      </c>
      <c r="AH57">
        <v>14.4388657131434</v>
      </c>
      <c r="AI57">
        <v>94.385314512738503</v>
      </c>
      <c r="AJ57">
        <v>92.357543336974103</v>
      </c>
      <c r="AK57">
        <v>14.4935288205834</v>
      </c>
    </row>
    <row r="58" spans="1:37" x14ac:dyDescent="0.2">
      <c r="A58" t="str">
        <f>"20200111154029616"</f>
        <v>20200111154029616</v>
      </c>
      <c r="B58" t="str">
        <f>"1578728429606006"</f>
        <v>1578728429606006</v>
      </c>
      <c r="C58" t="s">
        <v>37</v>
      </c>
      <c r="D58">
        <v>5.2221760000000002</v>
      </c>
      <c r="E58">
        <v>0.5107199</v>
      </c>
      <c r="F58" t="s">
        <v>39</v>
      </c>
      <c r="G58">
        <v>-457.1277</v>
      </c>
      <c r="H58" s="1">
        <v>-1.5379679999999899E-6</v>
      </c>
      <c r="I58">
        <v>367.7928</v>
      </c>
      <c r="J58">
        <v>-471.51780000000002</v>
      </c>
      <c r="K58">
        <v>1.108228</v>
      </c>
      <c r="L58">
        <v>367.21679999999998</v>
      </c>
      <c r="M58">
        <v>0.99999249999999995</v>
      </c>
      <c r="N58">
        <v>0</v>
      </c>
      <c r="O58">
        <v>-8.5175539999999997E-4</v>
      </c>
      <c r="P58">
        <v>0.99684859999999897</v>
      </c>
      <c r="Q58">
        <v>2.7334339999999999E-2</v>
      </c>
      <c r="R58">
        <v>7.4468919999999994E-2</v>
      </c>
      <c r="S58">
        <v>3.0070189999999899</v>
      </c>
      <c r="T58">
        <v>-0.22883690000000001</v>
      </c>
      <c r="U58">
        <v>0.118927</v>
      </c>
      <c r="V58">
        <v>-7.5316859999999999E-2</v>
      </c>
      <c r="W58">
        <v>2.357772E-2</v>
      </c>
      <c r="X58">
        <v>0.99688089999999996</v>
      </c>
      <c r="Y58">
        <v>-4.0251330000000002E-2</v>
      </c>
      <c r="Z58">
        <v>1.593477E-3</v>
      </c>
      <c r="AA58">
        <v>0.99918830000000003</v>
      </c>
      <c r="AB58">
        <v>16</v>
      </c>
      <c r="AC58">
        <v>14.3901</v>
      </c>
      <c r="AD58">
        <v>-1.1082295379680001</v>
      </c>
      <c r="AE58">
        <v>0.57600000000002105</v>
      </c>
      <c r="AF58">
        <v>-0.58479382887332299</v>
      </c>
      <c r="AG58">
        <v>-1.1082295379680001</v>
      </c>
      <c r="AH58">
        <v>14.304896780085199</v>
      </c>
      <c r="AI58">
        <v>94.426289878614696</v>
      </c>
      <c r="AJ58">
        <v>92.340986583932704</v>
      </c>
      <c r="AK58">
        <v>14.3596736877968</v>
      </c>
    </row>
    <row r="59" spans="1:37" x14ac:dyDescent="0.2">
      <c r="A59" t="str">
        <f>"20200111154029639"</f>
        <v>20200111154029639</v>
      </c>
      <c r="B59" t="str">
        <f>"1578728429626502"</f>
        <v>1578728429626502</v>
      </c>
      <c r="C59" t="s">
        <v>37</v>
      </c>
      <c r="D59">
        <v>5.2393429999999999</v>
      </c>
      <c r="E59">
        <v>0.51076129999999997</v>
      </c>
      <c r="F59" t="s">
        <v>39</v>
      </c>
      <c r="G59">
        <v>-457.05</v>
      </c>
      <c r="H59" s="1">
        <v>-1.571956E-6</v>
      </c>
      <c r="I59">
        <v>367.78910000000002</v>
      </c>
      <c r="J59">
        <v>-471.34690000000001</v>
      </c>
      <c r="K59">
        <v>1.108244</v>
      </c>
      <c r="L59">
        <v>367.21660000000003</v>
      </c>
      <c r="M59">
        <v>0.99999269999999996</v>
      </c>
      <c r="N59">
        <v>0</v>
      </c>
      <c r="O59">
        <v>-8.6450649999999997E-4</v>
      </c>
      <c r="P59">
        <v>0.99684059999999897</v>
      </c>
      <c r="Q59">
        <v>2.7134399999999999E-2</v>
      </c>
      <c r="R59">
        <v>7.4650229999999998E-2</v>
      </c>
      <c r="S59">
        <v>3.0068969999999999</v>
      </c>
      <c r="T59">
        <v>-0.23032759999999999</v>
      </c>
      <c r="U59">
        <v>0.11895749999999999</v>
      </c>
      <c r="V59">
        <v>-7.5510549999999996E-2</v>
      </c>
      <c r="W59">
        <v>2.3444719999999999E-2</v>
      </c>
      <c r="X59">
        <v>0.99686929999999996</v>
      </c>
      <c r="Y59">
        <v>-4.0274119999999997E-2</v>
      </c>
      <c r="Z59">
        <v>1.60573799999999E-3</v>
      </c>
      <c r="AA59">
        <v>0.99918739999999995</v>
      </c>
      <c r="AB59">
        <v>17</v>
      </c>
      <c r="AC59">
        <v>14.2968999999999</v>
      </c>
      <c r="AD59">
        <v>-1.108245571956</v>
      </c>
      <c r="AE59">
        <v>0.57249999999999002</v>
      </c>
      <c r="AF59">
        <v>-0.58137187588702899</v>
      </c>
      <c r="AG59">
        <v>-1.108245571956</v>
      </c>
      <c r="AH59">
        <v>14.211144407213199</v>
      </c>
      <c r="AI59">
        <v>94.455432343010102</v>
      </c>
      <c r="AJ59">
        <v>92.342639688168205</v>
      </c>
      <c r="AK59">
        <v>14.266142676578699</v>
      </c>
    </row>
    <row r="60" spans="1:37" x14ac:dyDescent="0.2">
      <c r="A60" t="str">
        <f>"20200111154029661"</f>
        <v>20200111154029661</v>
      </c>
      <c r="B60" t="str">
        <f>"1578728429656758"</f>
        <v>1578728429656758</v>
      </c>
      <c r="C60" t="s">
        <v>37</v>
      </c>
      <c r="D60">
        <v>5.2442349999999998</v>
      </c>
      <c r="E60">
        <v>0.51087280000000002</v>
      </c>
      <c r="F60" t="s">
        <v>39</v>
      </c>
      <c r="G60">
        <v>-456.93049999999999</v>
      </c>
      <c r="H60" s="1">
        <v>-1.6234039999999899E-6</v>
      </c>
      <c r="I60">
        <v>367.78820000000002</v>
      </c>
      <c r="J60">
        <v>-471.17129999999997</v>
      </c>
      <c r="K60">
        <v>1.108249</v>
      </c>
      <c r="L60">
        <v>367.2165</v>
      </c>
      <c r="M60">
        <v>0.99999300000000002</v>
      </c>
      <c r="N60">
        <v>0</v>
      </c>
      <c r="O60">
        <v>-8.791653E-4</v>
      </c>
      <c r="P60">
        <v>0.99683429999999995</v>
      </c>
      <c r="Q60">
        <v>2.703152E-2</v>
      </c>
      <c r="R60">
        <v>7.4769779999999994E-2</v>
      </c>
      <c r="S60">
        <v>3.006866</v>
      </c>
      <c r="T60">
        <v>-0.23114770000000001</v>
      </c>
      <c r="U60">
        <v>0.119232199999999</v>
      </c>
      <c r="V60">
        <v>-7.564514E-2</v>
      </c>
      <c r="W60">
        <v>2.3409920000000001E-2</v>
      </c>
      <c r="X60">
        <v>0.99685999999999997</v>
      </c>
      <c r="Y60">
        <v>-4.0379089999999999E-2</v>
      </c>
      <c r="Z60">
        <v>1.6166029999999899E-3</v>
      </c>
      <c r="AA60">
        <v>0.99918309999999999</v>
      </c>
      <c r="AB60">
        <v>17</v>
      </c>
      <c r="AC60">
        <v>14.240799999999901</v>
      </c>
      <c r="AD60">
        <v>-1.1082506234039999</v>
      </c>
      <c r="AE60">
        <v>0.57170000000002097</v>
      </c>
      <c r="AF60">
        <v>-0.58070859402862796</v>
      </c>
      <c r="AG60">
        <v>-1.1082506234039999</v>
      </c>
      <c r="AH60">
        <v>14.154704708315199</v>
      </c>
      <c r="AI60">
        <v>94.473124857188495</v>
      </c>
      <c r="AJ60">
        <v>92.349289800066103</v>
      </c>
      <c r="AK60">
        <v>14.209894696832</v>
      </c>
    </row>
    <row r="61" spans="1:37" x14ac:dyDescent="0.2">
      <c r="A61" t="str">
        <f>"20200111154029684"</f>
        <v>20200111154029684</v>
      </c>
      <c r="B61" t="str">
        <f>"1578728429676279"</f>
        <v>1578728429676279</v>
      </c>
      <c r="C61" t="s">
        <v>37</v>
      </c>
      <c r="D61">
        <v>5.2148589999999997</v>
      </c>
      <c r="E61">
        <v>0.51093159999999904</v>
      </c>
      <c r="F61" t="s">
        <v>39</v>
      </c>
      <c r="G61">
        <v>-456.77120000000002</v>
      </c>
      <c r="H61" s="1">
        <v>-1.6918869999999999E-6</v>
      </c>
      <c r="I61">
        <v>367.78719999999998</v>
      </c>
      <c r="J61">
        <v>-470.99419999999998</v>
      </c>
      <c r="K61">
        <v>1.1082529999999999</v>
      </c>
      <c r="L61">
        <v>367.21629999999999</v>
      </c>
      <c r="M61">
        <v>0.99999309999999997</v>
      </c>
      <c r="N61">
        <v>0</v>
      </c>
      <c r="O61">
        <v>-8.9490520000000005E-4</v>
      </c>
      <c r="P61">
        <v>0.99684539999999999</v>
      </c>
      <c r="Q61">
        <v>2.7202099999999899E-2</v>
      </c>
      <c r="R61">
        <v>7.456132E-2</v>
      </c>
      <c r="S61">
        <v>3.006866</v>
      </c>
      <c r="T61">
        <v>-0.23141129999999999</v>
      </c>
      <c r="U61">
        <v>0.11920169999999999</v>
      </c>
      <c r="V61">
        <v>-7.5452679999999994E-2</v>
      </c>
      <c r="W61">
        <v>2.3643500000000001E-2</v>
      </c>
      <c r="X61">
        <v>0.99686900000000001</v>
      </c>
      <c r="Y61">
        <v>-4.0384360000000001E-2</v>
      </c>
      <c r="Z61">
        <v>1.6198529999999899E-3</v>
      </c>
      <c r="AA61">
        <v>0.99918289999999998</v>
      </c>
      <c r="AB61">
        <v>17</v>
      </c>
      <c r="AC61">
        <v>14.2229999999999</v>
      </c>
      <c r="AD61">
        <v>-1.108254691887</v>
      </c>
      <c r="AE61">
        <v>0.57089999999999397</v>
      </c>
      <c r="AF61">
        <v>-0.58011160281289198</v>
      </c>
      <c r="AG61">
        <v>-1.108254691887</v>
      </c>
      <c r="AH61">
        <v>14.136789800640599</v>
      </c>
      <c r="AI61">
        <v>94.478784986586305</v>
      </c>
      <c r="AJ61">
        <v>92.349848098500004</v>
      </c>
      <c r="AK61">
        <v>14.1920253593807</v>
      </c>
    </row>
    <row r="62" spans="1:37" x14ac:dyDescent="0.2">
      <c r="A62" t="str">
        <f>"20200111154029707"</f>
        <v>20200111154029707</v>
      </c>
      <c r="B62" t="str">
        <f>"1578728429696774"</f>
        <v>1578728429696774</v>
      </c>
      <c r="C62" t="s">
        <v>37</v>
      </c>
      <c r="D62">
        <v>5.2430830000000004</v>
      </c>
      <c r="E62">
        <v>0.51098679999999996</v>
      </c>
      <c r="F62" t="s">
        <v>39</v>
      </c>
      <c r="G62">
        <v>-456.57929999999999</v>
      </c>
      <c r="H62" s="1">
        <v>-1.7751820000000001E-6</v>
      </c>
      <c r="I62">
        <v>367.78199999999998</v>
      </c>
      <c r="J62">
        <v>-470.803</v>
      </c>
      <c r="K62">
        <v>1.108257</v>
      </c>
      <c r="L62">
        <v>367.21609999999998</v>
      </c>
      <c r="M62">
        <v>0.99999340000000003</v>
      </c>
      <c r="N62">
        <v>0</v>
      </c>
      <c r="O62">
        <v>-9.1303339999999997E-4</v>
      </c>
      <c r="P62">
        <v>0.99687039999999905</v>
      </c>
      <c r="Q62">
        <v>2.7519680000000001E-2</v>
      </c>
      <c r="R62">
        <v>7.4107800000000001E-2</v>
      </c>
      <c r="S62">
        <v>3.006958</v>
      </c>
      <c r="T62">
        <v>-0.23118079999999999</v>
      </c>
      <c r="U62">
        <v>0.11801150000000001</v>
      </c>
      <c r="V62">
        <v>-7.5016579999999999E-2</v>
      </c>
      <c r="W62">
        <v>2.4021529999999999E-2</v>
      </c>
      <c r="X62">
        <v>0.99689289999999997</v>
      </c>
      <c r="Y62">
        <v>-4.0007689999999999E-2</v>
      </c>
      <c r="Z62">
        <v>1.605146E-3</v>
      </c>
      <c r="AA62">
        <v>0.99919809999999998</v>
      </c>
      <c r="AB62">
        <v>18</v>
      </c>
      <c r="AC62">
        <v>14.223699999999999</v>
      </c>
      <c r="AD62">
        <v>-1.1082587751820001</v>
      </c>
      <c r="AE62">
        <v>0.56589999999999896</v>
      </c>
      <c r="AF62">
        <v>-0.57539885630396304</v>
      </c>
      <c r="AG62">
        <v>-1.1082587751820001</v>
      </c>
      <c r="AH62">
        <v>14.137484955462099</v>
      </c>
      <c r="AI62">
        <v>94.478643121326002</v>
      </c>
      <c r="AJ62">
        <v>92.330664916331102</v>
      </c>
      <c r="AK62">
        <v>14.192526280494301</v>
      </c>
    </row>
    <row r="63" spans="1:37" x14ac:dyDescent="0.2">
      <c r="A63" t="str">
        <f>"20200111154029728"</f>
        <v>20200111154029728</v>
      </c>
      <c r="B63" t="str">
        <f>"1578728429716294"</f>
        <v>1578728429716294</v>
      </c>
      <c r="C63" t="s">
        <v>37</v>
      </c>
      <c r="D63">
        <v>5.1900490000000001</v>
      </c>
      <c r="E63">
        <v>0.51106359999999995</v>
      </c>
      <c r="F63" t="s">
        <v>39</v>
      </c>
      <c r="G63">
        <v>-456.32549999999998</v>
      </c>
      <c r="H63" s="1">
        <v>-1.885225E-6</v>
      </c>
      <c r="I63">
        <v>367.77519999999998</v>
      </c>
      <c r="J63">
        <v>-470.63589999999999</v>
      </c>
      <c r="K63">
        <v>1.10826</v>
      </c>
      <c r="L63">
        <v>367.21589999999998</v>
      </c>
      <c r="M63">
        <v>0.99999359999999904</v>
      </c>
      <c r="N63">
        <v>0</v>
      </c>
      <c r="O63">
        <v>-9.2915719999999997E-4</v>
      </c>
      <c r="P63">
        <v>0.99688239999999995</v>
      </c>
      <c r="Q63">
        <v>2.7806999999999998E-2</v>
      </c>
      <c r="R63">
        <v>7.3840100000000006E-2</v>
      </c>
      <c r="S63">
        <v>3.0071720000000002</v>
      </c>
      <c r="T63">
        <v>-0.23019899999999999</v>
      </c>
      <c r="U63">
        <v>0.1161499</v>
      </c>
      <c r="V63">
        <v>-7.4764990000000003E-2</v>
      </c>
      <c r="W63">
        <v>2.43576E-2</v>
      </c>
      <c r="X63">
        <v>0.99690369999999995</v>
      </c>
      <c r="Y63">
        <v>-3.9406139999999999E-2</v>
      </c>
      <c r="Z63">
        <v>1.576505E-3</v>
      </c>
      <c r="AA63">
        <v>0.99922199999999906</v>
      </c>
      <c r="AB63">
        <v>18</v>
      </c>
      <c r="AC63">
        <v>14.3104</v>
      </c>
      <c r="AD63">
        <v>-1.1082618852249999</v>
      </c>
      <c r="AE63">
        <v>0.55930000000000701</v>
      </c>
      <c r="AF63">
        <v>-0.56918786516790698</v>
      </c>
      <c r="AG63">
        <v>-1.1082618852249999</v>
      </c>
      <c r="AH63">
        <v>14.2246895281266</v>
      </c>
      <c r="AI63">
        <v>94.451432456682497</v>
      </c>
      <c r="AJ63">
        <v>92.291415479729693</v>
      </c>
      <c r="AK63">
        <v>14.279146032017801</v>
      </c>
    </row>
    <row r="64" spans="1:37" x14ac:dyDescent="0.2">
      <c r="A64" t="str">
        <f>"20200111154029749"</f>
        <v>20200111154029749</v>
      </c>
      <c r="B64" t="str">
        <f>"1578728429736793"</f>
        <v>1578728429736793</v>
      </c>
      <c r="C64" t="s">
        <v>37</v>
      </c>
      <c r="D64">
        <v>5.2415560000000001</v>
      </c>
      <c r="E64">
        <v>0.51112049999999998</v>
      </c>
      <c r="F64" t="s">
        <v>39</v>
      </c>
      <c r="G64">
        <v>-456.08730000000003</v>
      </c>
      <c r="H64" s="1">
        <v>-1.9883079999999999E-6</v>
      </c>
      <c r="I64">
        <v>367.77019999999999</v>
      </c>
      <c r="J64">
        <v>-470.46019999999999</v>
      </c>
      <c r="K64">
        <v>1.1082639999999999</v>
      </c>
      <c r="L64">
        <v>367.21570000000003</v>
      </c>
      <c r="M64">
        <v>0.99999369999999999</v>
      </c>
      <c r="N64">
        <v>0</v>
      </c>
      <c r="O64">
        <v>-9.4695300000000005E-4</v>
      </c>
      <c r="P64">
        <v>0.9968882</v>
      </c>
      <c r="Q64">
        <v>2.8004910000000001E-2</v>
      </c>
      <c r="R64">
        <v>7.3687660000000002E-2</v>
      </c>
      <c r="S64">
        <v>3.007263</v>
      </c>
      <c r="T64">
        <v>-0.22908149999999999</v>
      </c>
      <c r="U64">
        <v>0.1145935</v>
      </c>
      <c r="V64">
        <v>-7.4630479999999999E-2</v>
      </c>
      <c r="W64">
        <v>2.4604049999999999E-2</v>
      </c>
      <c r="X64">
        <v>0.99690769999999995</v>
      </c>
      <c r="Y64">
        <v>-3.8908890000000002E-2</v>
      </c>
      <c r="Z64">
        <v>1.551291E-3</v>
      </c>
      <c r="AA64">
        <v>0.9992415</v>
      </c>
      <c r="AB64">
        <v>18</v>
      </c>
      <c r="AC64">
        <v>14.3728999999999</v>
      </c>
      <c r="AD64">
        <v>-1.1082659883079999</v>
      </c>
      <c r="AE64">
        <v>0.55449999999996102</v>
      </c>
      <c r="AF64">
        <v>-0.56475743316254801</v>
      </c>
      <c r="AG64">
        <v>-1.1082659883079999</v>
      </c>
      <c r="AH64">
        <v>14.287545994434399</v>
      </c>
      <c r="AI64">
        <v>94.432028623462202</v>
      </c>
      <c r="AJ64">
        <v>92.263606386079303</v>
      </c>
      <c r="AK64">
        <v>14.3415889985117</v>
      </c>
    </row>
    <row r="65" spans="1:37" x14ac:dyDescent="0.2">
      <c r="A65" t="str">
        <f>"20200111154029772"</f>
        <v>20200111154029772</v>
      </c>
      <c r="B65" t="str">
        <f>"1578728429766071"</f>
        <v>1578728429766071</v>
      </c>
      <c r="C65" t="s">
        <v>37</v>
      </c>
      <c r="D65">
        <v>5.2653220000000003</v>
      </c>
      <c r="E65">
        <v>0.51118269999999999</v>
      </c>
      <c r="F65" t="s">
        <v>39</v>
      </c>
      <c r="G65">
        <v>-455.87819999999999</v>
      </c>
      <c r="H65" s="1">
        <v>-2.0785070000000001E-6</v>
      </c>
      <c r="I65">
        <v>367.76740000000001</v>
      </c>
      <c r="J65">
        <v>-470.26549999999997</v>
      </c>
      <c r="K65">
        <v>1.108258</v>
      </c>
      <c r="L65">
        <v>367.21550000000002</v>
      </c>
      <c r="M65">
        <v>0.99999389999999999</v>
      </c>
      <c r="N65">
        <v>0</v>
      </c>
      <c r="O65">
        <v>-9.6676919999999999E-4</v>
      </c>
      <c r="P65">
        <v>0.99689989999999995</v>
      </c>
      <c r="Q65">
        <v>2.8174459999999998E-2</v>
      </c>
      <c r="R65">
        <v>7.3463459999999994E-2</v>
      </c>
      <c r="S65">
        <v>3.0074160000000001</v>
      </c>
      <c r="T65">
        <v>-0.2285691</v>
      </c>
      <c r="U65">
        <v>0.1138</v>
      </c>
      <c r="V65">
        <v>-7.4426140000000002E-2</v>
      </c>
      <c r="W65">
        <v>2.4826669999999999E-2</v>
      </c>
      <c r="X65">
        <v>0.99691739999999995</v>
      </c>
      <c r="Y65">
        <v>-3.8664669999999998E-2</v>
      </c>
      <c r="Z65">
        <v>1.5399999999999999E-3</v>
      </c>
      <c r="AA65">
        <v>0.99925109999999995</v>
      </c>
      <c r="AB65">
        <v>18</v>
      </c>
      <c r="AC65">
        <v>14.3872999999999</v>
      </c>
      <c r="AD65">
        <v>-1.108260078507</v>
      </c>
      <c r="AE65">
        <v>0.55189999999998895</v>
      </c>
      <c r="AF65">
        <v>-0.56247636315689697</v>
      </c>
      <c r="AG65">
        <v>-1.108260078507</v>
      </c>
      <c r="AH65">
        <v>14.302020664894901</v>
      </c>
      <c r="AI65">
        <v>94.427572055431</v>
      </c>
      <c r="AJ65">
        <v>92.252193736343202</v>
      </c>
      <c r="AK65">
        <v>14.3559191680576</v>
      </c>
    </row>
    <row r="66" spans="1:37" x14ac:dyDescent="0.2">
      <c r="A66" t="str">
        <f>"20200111154029795"</f>
        <v>20200111154029795</v>
      </c>
      <c r="B66" t="str">
        <f>"1578728429786567"</f>
        <v>1578728429786567</v>
      </c>
      <c r="C66" t="s">
        <v>37</v>
      </c>
      <c r="D66">
        <v>5.2988689999999998</v>
      </c>
      <c r="E66">
        <v>0.51124060000000005</v>
      </c>
      <c r="F66" t="s">
        <v>39</v>
      </c>
      <c r="G66">
        <v>-455.70209999999997</v>
      </c>
      <c r="H66" s="1">
        <v>-2.1553139999999999E-6</v>
      </c>
      <c r="I66">
        <v>367.76049999999998</v>
      </c>
      <c r="J66">
        <v>-470.06610000000001</v>
      </c>
      <c r="K66">
        <v>1.1082559999999999</v>
      </c>
      <c r="L66">
        <v>367.21530000000001</v>
      </c>
      <c r="M66">
        <v>0.99999419999999895</v>
      </c>
      <c r="N66">
        <v>0</v>
      </c>
      <c r="O66">
        <v>-9.8634440000000003E-4</v>
      </c>
      <c r="P66">
        <v>0.99689899999999998</v>
      </c>
      <c r="Q66">
        <v>2.832163E-2</v>
      </c>
      <c r="R66">
        <v>7.3421699999999895E-2</v>
      </c>
      <c r="S66">
        <v>3.0075069999999999</v>
      </c>
      <c r="T66">
        <v>-0.22886669999999901</v>
      </c>
      <c r="U66">
        <v>0.1125488</v>
      </c>
      <c r="V66">
        <v>-7.4403419999999998E-2</v>
      </c>
      <c r="W66">
        <v>2.50283E-2</v>
      </c>
      <c r="X66">
        <v>0.99691409999999903</v>
      </c>
      <c r="Y66">
        <v>-3.8268749999999997E-2</v>
      </c>
      <c r="Z66">
        <v>1.5284139999999901E-3</v>
      </c>
      <c r="AA66">
        <v>0.99926630000000005</v>
      </c>
      <c r="AB66">
        <v>19</v>
      </c>
      <c r="AC66">
        <v>14.364000000000001</v>
      </c>
      <c r="AD66">
        <v>-1.1082581553139901</v>
      </c>
      <c r="AE66">
        <v>0.54519999999996505</v>
      </c>
      <c r="AF66">
        <v>-0.55606222125528104</v>
      </c>
      <c r="AG66">
        <v>-1.1082581553139901</v>
      </c>
      <c r="AH66">
        <v>14.278578098646999</v>
      </c>
      <c r="AI66">
        <v>94.434870993797801</v>
      </c>
      <c r="AJ66">
        <v>92.230188911569201</v>
      </c>
      <c r="AK66">
        <v>14.332314322951801</v>
      </c>
    </row>
    <row r="67" spans="1:37" x14ac:dyDescent="0.2">
      <c r="A67" t="str">
        <f>"20200111154029819"</f>
        <v>20200111154029819</v>
      </c>
      <c r="B67" t="str">
        <f>"1578728429807062"</f>
        <v>1578728429807062</v>
      </c>
      <c r="C67" t="s">
        <v>37</v>
      </c>
      <c r="D67">
        <v>5.272748</v>
      </c>
      <c r="E67">
        <v>0.51127769999999995</v>
      </c>
      <c r="F67" t="s">
        <v>39</v>
      </c>
      <c r="G67">
        <v>-455.51780000000002</v>
      </c>
      <c r="H67" s="1">
        <v>-2.234925E-6</v>
      </c>
      <c r="I67">
        <v>367.75729999999999</v>
      </c>
      <c r="J67">
        <v>-469.85930000000002</v>
      </c>
      <c r="K67">
        <v>1.10826</v>
      </c>
      <c r="L67">
        <v>367.21510000000001</v>
      </c>
      <c r="M67">
        <v>0.99999419999999895</v>
      </c>
      <c r="N67">
        <v>0</v>
      </c>
      <c r="O67">
        <v>-1.006154E-3</v>
      </c>
      <c r="P67">
        <v>0.99688619999999994</v>
      </c>
      <c r="Q67">
        <v>2.8504709999999999E-2</v>
      </c>
      <c r="R67">
        <v>7.3522840000000006E-2</v>
      </c>
      <c r="S67">
        <v>3.0075989999999999</v>
      </c>
      <c r="T67">
        <v>-0.2291106</v>
      </c>
      <c r="U67">
        <v>0.11206049999999999</v>
      </c>
      <c r="V67">
        <v>-7.4524179999999995E-2</v>
      </c>
      <c r="W67">
        <v>2.5270939999999999E-2</v>
      </c>
      <c r="X67">
        <v>0.99689889999999903</v>
      </c>
      <c r="Y67">
        <v>-3.8125529999999998E-2</v>
      </c>
      <c r="Z67">
        <v>1.5260569999999999E-3</v>
      </c>
      <c r="AA67">
        <v>0.99927180000000004</v>
      </c>
      <c r="AB67">
        <v>19</v>
      </c>
      <c r="AC67">
        <v>14.3414999999999</v>
      </c>
      <c r="AD67">
        <v>-1.108262234925</v>
      </c>
      <c r="AE67">
        <v>0.54219999999997903</v>
      </c>
      <c r="AF67">
        <v>-0.55332997084592594</v>
      </c>
      <c r="AG67">
        <v>-1.108262234925</v>
      </c>
      <c r="AH67">
        <v>14.2559369347229</v>
      </c>
      <c r="AI67">
        <v>94.441924833956804</v>
      </c>
      <c r="AJ67">
        <v>92.222762756195195</v>
      </c>
      <c r="AK67">
        <v>14.3096525857476</v>
      </c>
    </row>
    <row r="68" spans="1:37" x14ac:dyDescent="0.2">
      <c r="A68" t="str">
        <f>"20200111154029842"</f>
        <v>20200111154029842</v>
      </c>
      <c r="B68" t="str">
        <f>"1578728429836344"</f>
        <v>1578728429836344</v>
      </c>
      <c r="C68" t="s">
        <v>37</v>
      </c>
      <c r="D68">
        <v>5.2724760000000002</v>
      </c>
      <c r="E68">
        <v>0.51125429999999905</v>
      </c>
      <c r="F68" t="s">
        <v>39</v>
      </c>
      <c r="G68">
        <v>-455.28739999999999</v>
      </c>
      <c r="H68" s="1">
        <v>-2.3337950000000001E-6</v>
      </c>
      <c r="I68">
        <v>367.75720000000001</v>
      </c>
      <c r="J68">
        <v>-469.66800000000001</v>
      </c>
      <c r="K68">
        <v>1.108258</v>
      </c>
      <c r="L68">
        <v>367.2149</v>
      </c>
      <c r="M68">
        <v>0.99999450000000001</v>
      </c>
      <c r="N68">
        <v>0</v>
      </c>
      <c r="O68">
        <v>-1.024779E-3</v>
      </c>
      <c r="P68">
        <v>0.99685179999999995</v>
      </c>
      <c r="Q68">
        <v>2.864355E-2</v>
      </c>
      <c r="R68">
        <v>7.3934109999999997E-2</v>
      </c>
      <c r="S68">
        <v>3.00766</v>
      </c>
      <c r="T68">
        <v>-0.22874459999999999</v>
      </c>
      <c r="U68">
        <v>0.11190799999999999</v>
      </c>
      <c r="V68">
        <v>-7.4954480000000004E-2</v>
      </c>
      <c r="W68">
        <v>2.546638E-2</v>
      </c>
      <c r="X68">
        <v>0.99686169999999996</v>
      </c>
      <c r="Y68">
        <v>-3.8093160000000001E-2</v>
      </c>
      <c r="Z68">
        <v>1.523782E-3</v>
      </c>
      <c r="AA68">
        <v>0.99927299999999997</v>
      </c>
      <c r="AB68">
        <v>19</v>
      </c>
      <c r="AC68">
        <v>14.380599999999999</v>
      </c>
      <c r="AD68">
        <v>-1.1082603337950001</v>
      </c>
      <c r="AE68">
        <v>0.542300000000011</v>
      </c>
      <c r="AF68">
        <v>-0.55375253653550105</v>
      </c>
      <c r="AG68">
        <v>-1.1082603337950001</v>
      </c>
      <c r="AH68">
        <v>14.295254583814399</v>
      </c>
      <c r="AI68">
        <v>94.429762080779497</v>
      </c>
      <c r="AJ68">
        <v>92.218346498742093</v>
      </c>
      <c r="AK68">
        <v>14.348839202362401</v>
      </c>
    </row>
    <row r="69" spans="1:37" x14ac:dyDescent="0.2">
      <c r="A69" t="str">
        <f>"20200111154029861"</f>
        <v>20200111154029861</v>
      </c>
      <c r="B69" t="str">
        <f>"1578728429856838"</f>
        <v>1578728429856838</v>
      </c>
      <c r="C69" t="s">
        <v>37</v>
      </c>
      <c r="D69">
        <v>5.2820970000000003</v>
      </c>
      <c r="E69">
        <v>0.5112215</v>
      </c>
      <c r="F69" t="s">
        <v>39</v>
      </c>
      <c r="G69">
        <v>-455.0521</v>
      </c>
      <c r="H69" s="1">
        <v>-2.4333250000000001E-6</v>
      </c>
      <c r="I69">
        <v>367.76519999999999</v>
      </c>
      <c r="J69">
        <v>-469.4896</v>
      </c>
      <c r="K69">
        <v>1.10826</v>
      </c>
      <c r="L69">
        <v>367.21469999999999</v>
      </c>
      <c r="M69">
        <v>0.99999459999999996</v>
      </c>
      <c r="N69">
        <v>0</v>
      </c>
      <c r="O69">
        <v>-1.04222E-3</v>
      </c>
      <c r="P69">
        <v>0.99684319999999904</v>
      </c>
      <c r="Q69">
        <v>2.8092200000000001E-2</v>
      </c>
      <c r="R69">
        <v>7.4260199999999998E-2</v>
      </c>
      <c r="S69">
        <v>3.00766</v>
      </c>
      <c r="T69">
        <v>-0.22805549999999999</v>
      </c>
      <c r="U69">
        <v>0.1132507</v>
      </c>
      <c r="V69">
        <v>-7.5297669999999997E-2</v>
      </c>
      <c r="W69">
        <v>2.496872E-2</v>
      </c>
      <c r="X69">
        <v>0.99684850000000003</v>
      </c>
      <c r="Y69">
        <v>-3.8555390000000002E-2</v>
      </c>
      <c r="Z69">
        <v>1.538006E-3</v>
      </c>
      <c r="AA69">
        <v>0.99925529999999996</v>
      </c>
      <c r="AB69">
        <v>19</v>
      </c>
      <c r="AC69">
        <v>14.4375</v>
      </c>
      <c r="AD69">
        <v>-1.108262433325</v>
      </c>
      <c r="AE69">
        <v>0.55049999999999899</v>
      </c>
      <c r="AF69">
        <v>-0.56223863144906705</v>
      </c>
      <c r="AG69">
        <v>-1.108262433325</v>
      </c>
      <c r="AH69">
        <v>14.3524689514015</v>
      </c>
      <c r="AI69">
        <v>94.412106894119006</v>
      </c>
      <c r="AJ69">
        <v>92.243337903032696</v>
      </c>
      <c r="AK69">
        <v>14.406169612383399</v>
      </c>
    </row>
    <row r="70" spans="1:37" x14ac:dyDescent="0.2">
      <c r="A70" t="str">
        <f>"20200111154029886"</f>
        <v>20200111154029886</v>
      </c>
      <c r="B70" t="str">
        <f>"1578728429876359"</f>
        <v>1578728429876359</v>
      </c>
      <c r="C70" t="s">
        <v>37</v>
      </c>
      <c r="D70">
        <v>5.2906959999999996</v>
      </c>
      <c r="E70">
        <v>0.51121740000000004</v>
      </c>
      <c r="F70" t="s">
        <v>39</v>
      </c>
      <c r="G70">
        <v>-454.9853</v>
      </c>
      <c r="H70" s="1">
        <v>-2.4617749999999998E-6</v>
      </c>
      <c r="I70">
        <v>367.76639999999998</v>
      </c>
      <c r="J70">
        <v>-469.27659999999997</v>
      </c>
      <c r="K70">
        <v>1.108263</v>
      </c>
      <c r="L70">
        <v>367.21440000000001</v>
      </c>
      <c r="M70">
        <v>0.99999470000000001</v>
      </c>
      <c r="N70">
        <v>0</v>
      </c>
      <c r="O70">
        <v>-1.0622660000000001E-3</v>
      </c>
      <c r="P70">
        <v>0.99682909999999902</v>
      </c>
      <c r="Q70">
        <v>2.7924520000000001E-2</v>
      </c>
      <c r="R70">
        <v>7.4512220000000004E-2</v>
      </c>
      <c r="S70">
        <v>3.0074770000000002</v>
      </c>
      <c r="T70">
        <v>-0.22979769999999999</v>
      </c>
      <c r="U70">
        <v>0.1144104</v>
      </c>
      <c r="V70">
        <v>-7.5569750000000005E-2</v>
      </c>
      <c r="W70">
        <v>2.486623E-2</v>
      </c>
      <c r="X70">
        <v>0.99683040000000001</v>
      </c>
      <c r="Y70">
        <v>-3.8959479999999998E-2</v>
      </c>
      <c r="Z70">
        <v>1.5667420000000001E-3</v>
      </c>
      <c r="AA70">
        <v>0.99923960000000001</v>
      </c>
      <c r="AB70">
        <v>20</v>
      </c>
      <c r="AC70">
        <v>14.2912999999999</v>
      </c>
      <c r="AD70">
        <v>-1.1082654617749901</v>
      </c>
      <c r="AE70">
        <v>0.55199999999996396</v>
      </c>
      <c r="AF70">
        <v>-0.56379545802752595</v>
      </c>
      <c r="AG70">
        <v>-1.1082654617749901</v>
      </c>
      <c r="AH70">
        <v>14.2054053095495</v>
      </c>
      <c r="AI70">
        <v>94.457522843830603</v>
      </c>
      <c r="AJ70">
        <v>92.272807728761194</v>
      </c>
      <c r="AK70">
        <v>14.2597215141402</v>
      </c>
    </row>
    <row r="71" spans="1:37" x14ac:dyDescent="0.2">
      <c r="A71" t="str">
        <f>"20200111154029907"</f>
        <v>20200111154029907</v>
      </c>
      <c r="B71" t="str">
        <f>"1578728429896857"</f>
        <v>1578728429896857</v>
      </c>
      <c r="C71" t="s">
        <v>37</v>
      </c>
      <c r="D71">
        <v>5.3338650000000003</v>
      </c>
      <c r="E71">
        <v>0.51121859999999997</v>
      </c>
      <c r="F71" t="s">
        <v>39</v>
      </c>
      <c r="G71">
        <v>-454.798</v>
      </c>
      <c r="H71" s="1">
        <v>-2.541779E-6</v>
      </c>
      <c r="I71">
        <v>367.7681</v>
      </c>
      <c r="J71">
        <v>-469.0686</v>
      </c>
      <c r="K71">
        <v>1.108271</v>
      </c>
      <c r="L71">
        <v>367.21420000000001</v>
      </c>
      <c r="M71">
        <v>0.99999499999999997</v>
      </c>
      <c r="N71">
        <v>0</v>
      </c>
      <c r="O71">
        <v>-1.0821989999999901E-3</v>
      </c>
      <c r="P71">
        <v>0.99681430000000004</v>
      </c>
      <c r="Q71">
        <v>2.8123639999999998E-2</v>
      </c>
      <c r="R71">
        <v>7.4635160000000006E-2</v>
      </c>
      <c r="S71">
        <v>3.00738499999999</v>
      </c>
      <c r="T71">
        <v>-0.23020019999999999</v>
      </c>
      <c r="U71">
        <v>0.11502080000000001</v>
      </c>
      <c r="V71">
        <v>-7.5712310000000005E-2</v>
      </c>
      <c r="W71">
        <v>2.5127920000000002E-2</v>
      </c>
      <c r="X71">
        <v>0.99681309999999901</v>
      </c>
      <c r="Y71">
        <v>-3.9181939999999998E-2</v>
      </c>
      <c r="Z71">
        <v>1.579542E-3</v>
      </c>
      <c r="AA71">
        <v>0.99923090000000003</v>
      </c>
      <c r="AB71">
        <v>20</v>
      </c>
      <c r="AC71">
        <v>14.2706</v>
      </c>
      <c r="AD71">
        <v>-1.1082735417789999</v>
      </c>
      <c r="AE71">
        <v>0.55389999999999795</v>
      </c>
      <c r="AF71">
        <v>-0.56593519399254</v>
      </c>
      <c r="AG71">
        <v>-1.1082735417789999</v>
      </c>
      <c r="AH71">
        <v>14.184569795428899</v>
      </c>
      <c r="AI71">
        <v>94.464039460263905</v>
      </c>
      <c r="AJ71">
        <v>92.2847720729158</v>
      </c>
      <c r="AK71">
        <v>14.239050992555599</v>
      </c>
    </row>
    <row r="72" spans="1:37" x14ac:dyDescent="0.2">
      <c r="A72" t="str">
        <f>"20200111154029929"</f>
        <v>20200111154029929</v>
      </c>
      <c r="B72" t="str">
        <f>"1578728429916374"</f>
        <v>1578728429916374</v>
      </c>
      <c r="C72" t="s">
        <v>37</v>
      </c>
      <c r="D72">
        <v>5.3294969999999999</v>
      </c>
      <c r="E72">
        <v>0.51120299999999996</v>
      </c>
      <c r="F72" t="s">
        <v>39</v>
      </c>
      <c r="G72">
        <v>-454.54349999999999</v>
      </c>
      <c r="H72" s="1">
        <v>-2.6504819999999998E-6</v>
      </c>
      <c r="I72">
        <v>367.77080000000001</v>
      </c>
      <c r="J72">
        <v>-468.87110000000001</v>
      </c>
      <c r="K72">
        <v>1.108271</v>
      </c>
      <c r="L72">
        <v>367.214</v>
      </c>
      <c r="M72">
        <v>0.99999509999999903</v>
      </c>
      <c r="N72">
        <v>0</v>
      </c>
      <c r="O72">
        <v>-1.1008280000000001E-3</v>
      </c>
      <c r="P72">
        <v>0.99676830000000005</v>
      </c>
      <c r="Q72">
        <v>2.9061500000000001E-2</v>
      </c>
      <c r="R72">
        <v>7.4889780000000003E-2</v>
      </c>
      <c r="S72">
        <v>3.0074459999999998</v>
      </c>
      <c r="T72">
        <v>-0.22946949999999999</v>
      </c>
      <c r="U72">
        <v>0.115264899999999</v>
      </c>
      <c r="V72">
        <v>-7.5985109999999995E-2</v>
      </c>
      <c r="W72">
        <v>2.6126099999999899E-2</v>
      </c>
      <c r="X72">
        <v>0.99676659999999995</v>
      </c>
      <c r="Y72">
        <v>-3.9281169999999997E-2</v>
      </c>
      <c r="Z72">
        <v>1.5797059999999999E-3</v>
      </c>
      <c r="AA72">
        <v>0.99922690000000003</v>
      </c>
      <c r="AB72">
        <v>20</v>
      </c>
      <c r="AC72">
        <v>14.3276</v>
      </c>
      <c r="AD72">
        <v>-1.1082736504820001</v>
      </c>
      <c r="AE72">
        <v>0.55680000000000895</v>
      </c>
      <c r="AF72">
        <v>-0.56917151550225697</v>
      </c>
      <c r="AG72">
        <v>-1.1082736504820001</v>
      </c>
      <c r="AH72">
        <v>14.241892120133</v>
      </c>
      <c r="AI72">
        <v>94.446132960540794</v>
      </c>
      <c r="AJ72">
        <v>92.288584983837396</v>
      </c>
      <c r="AK72">
        <v>14.2962833582689</v>
      </c>
    </row>
    <row r="73" spans="1:37" x14ac:dyDescent="0.2">
      <c r="A73" t="str">
        <f>"20200111154029951"</f>
        <v>20200111154029951</v>
      </c>
      <c r="B73" t="str">
        <f>"1578728429946630"</f>
        <v>1578728429946630</v>
      </c>
      <c r="C73" t="s">
        <v>37</v>
      </c>
      <c r="D73">
        <v>5.2695080000000001</v>
      </c>
      <c r="E73">
        <v>0.51120219999999905</v>
      </c>
      <c r="F73" t="s">
        <v>39</v>
      </c>
      <c r="G73">
        <v>-454.16480000000001</v>
      </c>
      <c r="H73" s="1">
        <v>-2.8107879999999999E-6</v>
      </c>
      <c r="I73">
        <v>367.78309999999999</v>
      </c>
      <c r="J73">
        <v>-468.67140000000001</v>
      </c>
      <c r="K73">
        <v>1.1082809999999901</v>
      </c>
      <c r="L73">
        <v>367.21370000000002</v>
      </c>
      <c r="M73">
        <v>0.99999530000000003</v>
      </c>
      <c r="N73">
        <v>0</v>
      </c>
      <c r="O73">
        <v>-1.119816E-3</v>
      </c>
      <c r="P73">
        <v>0.99675599999999998</v>
      </c>
      <c r="Q73">
        <v>2.9241179999999999E-2</v>
      </c>
      <c r="R73">
        <v>7.4983110000000006E-2</v>
      </c>
      <c r="S73">
        <v>3.0076290000000001</v>
      </c>
      <c r="T73">
        <v>-0.22665439999999901</v>
      </c>
      <c r="U73">
        <v>0.1164246</v>
      </c>
      <c r="V73">
        <v>-7.6097269999999995E-2</v>
      </c>
      <c r="W73">
        <v>2.6365389999999999E-2</v>
      </c>
      <c r="X73">
        <v>0.99675179999999997</v>
      </c>
      <c r="Y73">
        <v>-3.9684199999999899E-2</v>
      </c>
      <c r="Z73">
        <v>1.576863E-3</v>
      </c>
      <c r="AA73">
        <v>0.99921099999999996</v>
      </c>
      <c r="AB73">
        <v>21</v>
      </c>
      <c r="AC73">
        <v>14.506599999999899</v>
      </c>
      <c r="AD73">
        <v>-1.10828381078799</v>
      </c>
      <c r="AE73">
        <v>0.56939999999997304</v>
      </c>
      <c r="AF73">
        <v>-0.582251207982596</v>
      </c>
      <c r="AG73">
        <v>-1.10828381078799</v>
      </c>
      <c r="AH73">
        <v>14.4219057823751</v>
      </c>
      <c r="AI73">
        <v>94.390823410456605</v>
      </c>
      <c r="AJ73">
        <v>92.311929481196202</v>
      </c>
      <c r="AK73">
        <v>14.476141608528</v>
      </c>
    </row>
    <row r="74" spans="1:37" x14ac:dyDescent="0.2">
      <c r="A74" t="str">
        <f>"20200111154029973"</f>
        <v>20200111154029973</v>
      </c>
      <c r="B74" t="str">
        <f>"1578728429966150"</f>
        <v>1578728429966150</v>
      </c>
      <c r="C74" t="s">
        <v>37</v>
      </c>
      <c r="D74">
        <v>5.2615379999999998</v>
      </c>
      <c r="E74">
        <v>0.52131939999999999</v>
      </c>
      <c r="F74" t="s">
        <v>39</v>
      </c>
      <c r="G74">
        <v>-453.899</v>
      </c>
      <c r="H74" s="1">
        <v>-2.9241600000000001E-6</v>
      </c>
      <c r="I74">
        <v>367.7867</v>
      </c>
      <c r="J74">
        <v>-468.44940000000003</v>
      </c>
      <c r="K74">
        <v>1.108287</v>
      </c>
      <c r="L74">
        <v>367.21350000000001</v>
      </c>
      <c r="M74">
        <v>0.99999550000000004</v>
      </c>
      <c r="N74">
        <v>0</v>
      </c>
      <c r="O74">
        <v>-1.1413009999999999E-3</v>
      </c>
      <c r="P74">
        <v>0.99672320000000003</v>
      </c>
      <c r="Q74">
        <v>2.9524660000000001E-2</v>
      </c>
      <c r="R74">
        <v>7.5310550000000004E-2</v>
      </c>
      <c r="S74">
        <v>3.0075989999999999</v>
      </c>
      <c r="T74">
        <v>-0.22564129999999999</v>
      </c>
      <c r="U74">
        <v>0.116668699999999</v>
      </c>
      <c r="V74">
        <v>-7.6446379999999994E-2</v>
      </c>
      <c r="W74">
        <v>2.6714789999999999E-2</v>
      </c>
      <c r="X74">
        <v>0.99671569999999898</v>
      </c>
      <c r="Y74">
        <v>-3.9787719999999999E-2</v>
      </c>
      <c r="Z74">
        <v>1.5753329999999999E-3</v>
      </c>
      <c r="AA74">
        <v>0.99920689999999901</v>
      </c>
      <c r="AB74">
        <v>21</v>
      </c>
      <c r="AC74">
        <v>14.5504</v>
      </c>
      <c r="AD74">
        <v>-1.1082899241599999</v>
      </c>
      <c r="AE74">
        <v>0.57319999999998505</v>
      </c>
      <c r="AF74">
        <v>-0.58640916543972899</v>
      </c>
      <c r="AG74">
        <v>-1.1082899241599999</v>
      </c>
      <c r="AH74">
        <v>14.4659390172191</v>
      </c>
      <c r="AI74">
        <v>94.377505177109498</v>
      </c>
      <c r="AJ74">
        <v>92.321341491244695</v>
      </c>
      <c r="AK74">
        <v>14.520178164031201</v>
      </c>
    </row>
    <row r="75" spans="1:37" x14ac:dyDescent="0.2">
      <c r="A75" t="str">
        <f>"20200111154029995"</f>
        <v>20200111154029995</v>
      </c>
      <c r="B75" t="str">
        <f>"1578728429986646"</f>
        <v>1578728429986646</v>
      </c>
      <c r="C75" t="s">
        <v>37</v>
      </c>
      <c r="D75">
        <v>5.309793</v>
      </c>
      <c r="E75">
        <v>0.52672330000000001</v>
      </c>
      <c r="F75" t="s">
        <v>39</v>
      </c>
      <c r="G75">
        <v>-450.55610000000001</v>
      </c>
      <c r="H75" s="1">
        <v>-4.4188409999999996E-6</v>
      </c>
      <c r="I75">
        <v>367.4452</v>
      </c>
      <c r="J75">
        <v>-468.23939999999999</v>
      </c>
      <c r="K75">
        <v>1.1082889999999901</v>
      </c>
      <c r="L75">
        <v>367.21319999999997</v>
      </c>
      <c r="M75">
        <v>0.99999550000000004</v>
      </c>
      <c r="N75">
        <v>0</v>
      </c>
      <c r="O75">
        <v>-1.161364E-3</v>
      </c>
      <c r="P75">
        <v>0.99669719999999995</v>
      </c>
      <c r="Q75">
        <v>2.9723449999999998E-2</v>
      </c>
      <c r="R75">
        <v>7.5572689999999998E-2</v>
      </c>
      <c r="S75">
        <v>3.0125120000000001</v>
      </c>
      <c r="T75">
        <v>-0.1865906</v>
      </c>
      <c r="U75">
        <v>3.9031980000000001E-2</v>
      </c>
      <c r="V75">
        <v>-7.6728149999999995E-2</v>
      </c>
      <c r="W75">
        <v>2.697505E-2</v>
      </c>
      <c r="X75">
        <v>0.99668709999999905</v>
      </c>
      <c r="Y75">
        <v>-1.4087580000000001E-2</v>
      </c>
      <c r="Z75">
        <v>5.0770769999999995E-4</v>
      </c>
      <c r="AA75">
        <v>0.99990059999999903</v>
      </c>
      <c r="AB75">
        <v>21</v>
      </c>
      <c r="AC75">
        <v>17.6832999999999</v>
      </c>
      <c r="AD75">
        <v>-1.1082934188410001</v>
      </c>
      <c r="AE75">
        <v>0.23200000000002699</v>
      </c>
      <c r="AF75">
        <v>-0.25154873082881102</v>
      </c>
      <c r="AG75">
        <v>-1.1082934188410001</v>
      </c>
      <c r="AH75">
        <v>17.613841558586699</v>
      </c>
      <c r="AI75">
        <v>93.600037046721795</v>
      </c>
      <c r="AJ75">
        <v>90.818203163705903</v>
      </c>
      <c r="AK75">
        <v>17.650467572198298</v>
      </c>
    </row>
    <row r="76" spans="1:37" x14ac:dyDescent="0.2">
      <c r="A76" t="str">
        <f>"20200111154030017"</f>
        <v>20200111154030017</v>
      </c>
      <c r="B76" t="str">
        <f>"1578728430006166"</f>
        <v>1578728430006166</v>
      </c>
      <c r="C76" t="s">
        <v>37</v>
      </c>
      <c r="D76">
        <v>5.5671109999999997</v>
      </c>
      <c r="E76">
        <v>0.53497309999999998</v>
      </c>
      <c r="F76" t="s">
        <v>40</v>
      </c>
      <c r="G76">
        <v>-438.58229999999998</v>
      </c>
      <c r="H76">
        <v>-0.05</v>
      </c>
      <c r="I76">
        <v>367.22399999999999</v>
      </c>
      <c r="J76">
        <v>-468.02179999999998</v>
      </c>
      <c r="K76">
        <v>1.1082909999999999</v>
      </c>
      <c r="L76">
        <v>367.21289999999999</v>
      </c>
      <c r="M76">
        <v>0.99999579999999999</v>
      </c>
      <c r="N76">
        <v>0</v>
      </c>
      <c r="O76">
        <v>-1.1817819999999999E-3</v>
      </c>
      <c r="P76">
        <v>0.99667919999999999</v>
      </c>
      <c r="Q76">
        <v>2.9757860000000001E-2</v>
      </c>
      <c r="R76">
        <v>7.5797229999999993E-2</v>
      </c>
      <c r="S76">
        <v>3.0133669999999899</v>
      </c>
      <c r="T76">
        <v>-0.1176903</v>
      </c>
      <c r="U76">
        <v>1.0986329999999999E-3</v>
      </c>
      <c r="V76">
        <v>-7.6973180000000002E-2</v>
      </c>
      <c r="W76">
        <v>2.7072760000000001E-2</v>
      </c>
      <c r="X76">
        <v>0.99666549999999998</v>
      </c>
      <c r="Y76">
        <v>-1.5442939999999899E-3</v>
      </c>
      <c r="Z76" s="1">
        <v>7.6283929999999999E-5</v>
      </c>
      <c r="AA76">
        <v>0.99999879999999997</v>
      </c>
      <c r="AB76">
        <v>21</v>
      </c>
      <c r="AC76">
        <v>29.439499999999999</v>
      </c>
      <c r="AD76">
        <v>-1.158291</v>
      </c>
      <c r="AE76">
        <v>1.1099999999999E-2</v>
      </c>
      <c r="AF76">
        <v>-4.5820254941802502E-2</v>
      </c>
      <c r="AG76">
        <v>-1.158291</v>
      </c>
      <c r="AH76">
        <v>29.393964102595799</v>
      </c>
      <c r="AI76">
        <v>92.256612482733999</v>
      </c>
      <c r="AJ76">
        <v>90.089314428253203</v>
      </c>
      <c r="AK76">
        <v>29.416812594180499</v>
      </c>
    </row>
    <row r="77" spans="1:37" x14ac:dyDescent="0.2">
      <c r="A77" t="str">
        <f>"20200111154030040"</f>
        <v>20200111154030040</v>
      </c>
      <c r="B77" t="str">
        <f>"1578728430036424"</f>
        <v>1578728430036424</v>
      </c>
      <c r="C77" t="s">
        <v>37</v>
      </c>
      <c r="D77">
        <v>5.3365279999999897</v>
      </c>
      <c r="E77">
        <v>0.53792209999999996</v>
      </c>
      <c r="F77" t="s">
        <v>41</v>
      </c>
      <c r="G77">
        <v>-158.19499999999999</v>
      </c>
      <c r="H77">
        <v>3.5974710000000001</v>
      </c>
      <c r="I77">
        <v>361.49310000000003</v>
      </c>
      <c r="J77">
        <v>-467.80450000000002</v>
      </c>
      <c r="K77">
        <v>1.108298</v>
      </c>
      <c r="L77">
        <v>367.21260000000001</v>
      </c>
      <c r="M77">
        <v>0.99999579999999999</v>
      </c>
      <c r="N77">
        <v>0</v>
      </c>
      <c r="O77">
        <v>-1.2024430000000001E-3</v>
      </c>
      <c r="P77">
        <v>0.99666880000000002</v>
      </c>
      <c r="Q77">
        <v>2.9421760000000002E-2</v>
      </c>
      <c r="R77">
        <v>7.6065229999999998E-2</v>
      </c>
      <c r="S77">
        <v>3.0135190000000001</v>
      </c>
      <c r="T77">
        <v>2.4211759999999999E-2</v>
      </c>
      <c r="U77">
        <v>-5.5633540000000002E-2</v>
      </c>
      <c r="V77">
        <v>-7.7262220000000006E-2</v>
      </c>
      <c r="W77">
        <v>2.6798200000000001E-2</v>
      </c>
      <c r="X77">
        <v>0.99665059999999905</v>
      </c>
      <c r="Y77">
        <v>1.7255400000000001E-2</v>
      </c>
      <c r="Z77" s="1">
        <v>5.9651309999999902E-5</v>
      </c>
      <c r="AA77">
        <v>0.99985109999999999</v>
      </c>
      <c r="AB77">
        <v>22</v>
      </c>
      <c r="AC77">
        <v>309.60950000000003</v>
      </c>
      <c r="AD77">
        <v>2.4891730000000001</v>
      </c>
      <c r="AE77">
        <v>-5.7194999999999796</v>
      </c>
      <c r="AF77">
        <v>5.3468613071609497</v>
      </c>
      <c r="AG77">
        <v>2.4891730000000001</v>
      </c>
      <c r="AH77">
        <v>309.59614900894798</v>
      </c>
      <c r="AI77">
        <v>89.539416844714395</v>
      </c>
      <c r="AJ77">
        <v>89.010575116725505</v>
      </c>
      <c r="AK77">
        <v>309.65232178886203</v>
      </c>
    </row>
    <row r="78" spans="1:37" x14ac:dyDescent="0.2">
      <c r="A78" t="str">
        <f>"20200111154030062"</f>
        <v>20200111154030062</v>
      </c>
      <c r="B78" t="str">
        <f>"1578728430056919"</f>
        <v>1578728430056919</v>
      </c>
      <c r="C78" t="s">
        <v>37</v>
      </c>
      <c r="D78">
        <v>5.3107980000000001</v>
      </c>
      <c r="E78">
        <v>0.54009219999999902</v>
      </c>
      <c r="F78" t="s">
        <v>39</v>
      </c>
      <c r="G78">
        <v>-248.30350000000001</v>
      </c>
      <c r="H78" s="1">
        <v>-2.8297869999999998E-6</v>
      </c>
      <c r="I78">
        <v>361.37020000000001</v>
      </c>
      <c r="J78">
        <v>-467.58159999999998</v>
      </c>
      <c r="K78">
        <v>1.108298</v>
      </c>
      <c r="L78">
        <v>367.21230000000003</v>
      </c>
      <c r="M78">
        <v>0.999995999999999</v>
      </c>
      <c r="N78">
        <v>0</v>
      </c>
      <c r="O78">
        <v>-1.2239389999999901E-3</v>
      </c>
      <c r="P78">
        <v>0.99668080000000003</v>
      </c>
      <c r="Q78">
        <v>2.9250749999999999E-2</v>
      </c>
      <c r="R78">
        <v>7.5974929999999996E-2</v>
      </c>
      <c r="S78">
        <v>3.0166019999999998</v>
      </c>
      <c r="T78">
        <v>-1.5231369999999999E-2</v>
      </c>
      <c r="U78">
        <v>-8.0291749999999995E-2</v>
      </c>
      <c r="V78">
        <v>-7.7193540000000005E-2</v>
      </c>
      <c r="W78">
        <v>2.6690950000000001E-2</v>
      </c>
      <c r="X78">
        <v>0.99665879999999996</v>
      </c>
      <c r="Y78">
        <v>2.5383369999999999E-2</v>
      </c>
      <c r="Z78" s="1">
        <v>-5.7892119999999901E-5</v>
      </c>
      <c r="AA78">
        <v>0.99967779999999995</v>
      </c>
      <c r="AB78">
        <v>22</v>
      </c>
      <c r="AC78">
        <v>219.27809999999999</v>
      </c>
      <c r="AD78">
        <v>-1.1083008297870001</v>
      </c>
      <c r="AE78">
        <v>-5.8421000000000101</v>
      </c>
      <c r="AF78">
        <v>5.5735694511810996</v>
      </c>
      <c r="AG78">
        <v>-1.1083008297870001</v>
      </c>
      <c r="AH78">
        <v>219.27948838913599</v>
      </c>
      <c r="AI78">
        <v>90.289493183167707</v>
      </c>
      <c r="AJ78">
        <v>88.5439893885017</v>
      </c>
      <c r="AK78">
        <v>219.353110384507</v>
      </c>
    </row>
    <row r="79" spans="1:37" x14ac:dyDescent="0.2">
      <c r="A79" t="str">
        <f>"20200111154030085"</f>
        <v>20200111154030085</v>
      </c>
      <c r="B79" t="str">
        <f>"1578728430076439"</f>
        <v>1578728430076439</v>
      </c>
      <c r="C79" t="s">
        <v>37</v>
      </c>
      <c r="D79">
        <v>5.3528599999999997</v>
      </c>
      <c r="E79">
        <v>0.53968349999999998</v>
      </c>
      <c r="F79" t="s">
        <v>39</v>
      </c>
      <c r="G79">
        <v>-352.7296</v>
      </c>
      <c r="H79" s="1">
        <v>-4.1938520000000001E-6</v>
      </c>
      <c r="I79">
        <v>363.45699999999999</v>
      </c>
      <c r="J79">
        <v>-467.35489999999999</v>
      </c>
      <c r="K79">
        <v>1.1083069999999999</v>
      </c>
      <c r="L79">
        <v>367.21199999999999</v>
      </c>
      <c r="M79">
        <v>0.99999609999999906</v>
      </c>
      <c r="N79">
        <v>0</v>
      </c>
      <c r="O79">
        <v>-1.245316E-3</v>
      </c>
      <c r="P79">
        <v>0.99669490000000005</v>
      </c>
      <c r="Q79">
        <v>2.9273520000000001E-2</v>
      </c>
      <c r="R79">
        <v>7.5780539999999993E-2</v>
      </c>
      <c r="S79">
        <v>3.0184329999999999</v>
      </c>
      <c r="T79">
        <v>-2.9127360000000001E-2</v>
      </c>
      <c r="U79">
        <v>-9.869385E-2</v>
      </c>
      <c r="V79">
        <v>-7.7019889999999994E-2</v>
      </c>
      <c r="W79">
        <v>2.677771E-2</v>
      </c>
      <c r="X79">
        <v>0.9966699</v>
      </c>
      <c r="Y79">
        <v>3.1433499999999899E-2</v>
      </c>
      <c r="Z79">
        <v>-1.3960639999999999E-4</v>
      </c>
      <c r="AA79">
        <v>0.9995058</v>
      </c>
      <c r="AB79">
        <v>22</v>
      </c>
      <c r="AC79">
        <v>114.625299999999</v>
      </c>
      <c r="AD79">
        <v>-1.1083111938519901</v>
      </c>
      <c r="AE79">
        <v>-3.7549999999999901</v>
      </c>
      <c r="AF79">
        <v>3.6119146083989802</v>
      </c>
      <c r="AG79">
        <v>-1.1083111938519901</v>
      </c>
      <c r="AH79">
        <v>114.619183100599</v>
      </c>
      <c r="AI79">
        <v>90.553729926793906</v>
      </c>
      <c r="AJ79">
        <v>88.1950752321425</v>
      </c>
      <c r="AK79">
        <v>114.68143448479201</v>
      </c>
    </row>
    <row r="80" spans="1:37" x14ac:dyDescent="0.2">
      <c r="A80" t="str">
        <f>"20200111154030107"</f>
        <v>20200111154030107</v>
      </c>
      <c r="B80" t="str">
        <f>"1578728430096937"</f>
        <v>1578728430096937</v>
      </c>
      <c r="C80" t="s">
        <v>37</v>
      </c>
      <c r="D80">
        <v>5.387956</v>
      </c>
      <c r="E80">
        <v>0.53879969999999999</v>
      </c>
      <c r="F80" t="s">
        <v>40</v>
      </c>
      <c r="G80">
        <v>-409.7013</v>
      </c>
      <c r="H80">
        <v>-0.05</v>
      </c>
      <c r="I80">
        <v>365.33969999999999</v>
      </c>
      <c r="J80">
        <v>-467.12209999999999</v>
      </c>
      <c r="K80">
        <v>1.1083049999999901</v>
      </c>
      <c r="L80">
        <v>367.21179999999998</v>
      </c>
      <c r="M80">
        <v>0.9999962</v>
      </c>
      <c r="N80">
        <v>0</v>
      </c>
      <c r="O80">
        <v>-1.2674089999999999E-3</v>
      </c>
      <c r="P80">
        <v>0.99666889999999997</v>
      </c>
      <c r="Q80">
        <v>2.957369E-2</v>
      </c>
      <c r="R80">
        <v>7.6005069999999994E-2</v>
      </c>
      <c r="S80">
        <v>3.01922599999999</v>
      </c>
      <c r="T80">
        <v>-6.0658690000000001E-2</v>
      </c>
      <c r="U80">
        <v>-9.8052979999999998E-2</v>
      </c>
      <c r="V80">
        <v>-7.726674E-2</v>
      </c>
      <c r="W80">
        <v>2.714331E-2</v>
      </c>
      <c r="X80">
        <v>0.99664089999999905</v>
      </c>
      <c r="Y80">
        <v>3.118628E-2</v>
      </c>
      <c r="Z80">
        <v>-2.8771070000000002E-4</v>
      </c>
      <c r="AA80">
        <v>0.9995136</v>
      </c>
      <c r="AB80">
        <v>23</v>
      </c>
      <c r="AC80">
        <v>57.4207999999999</v>
      </c>
      <c r="AD80">
        <v>-1.1583049999999999</v>
      </c>
      <c r="AE80">
        <v>-1.8720999999999799</v>
      </c>
      <c r="AF80">
        <v>1.7985915366380101</v>
      </c>
      <c r="AG80">
        <v>-1.1583049999999999</v>
      </c>
      <c r="AH80">
        <v>57.399794370836098</v>
      </c>
      <c r="AI80">
        <v>91.155482156829507</v>
      </c>
      <c r="AJ80">
        <v>88.2052549481634</v>
      </c>
      <c r="AK80">
        <v>57.439646550122198</v>
      </c>
    </row>
    <row r="81" spans="1:37" x14ac:dyDescent="0.2">
      <c r="A81" t="str">
        <f>"20200111154030140"</f>
        <v>20200111154030140</v>
      </c>
      <c r="B81" t="str">
        <f>"1578728430136953"</f>
        <v>1578728430136953</v>
      </c>
      <c r="C81" t="s">
        <v>37</v>
      </c>
      <c r="D81">
        <v>5.3416860000000002</v>
      </c>
      <c r="E81">
        <v>0.53672580000000003</v>
      </c>
      <c r="F81" t="s">
        <v>40</v>
      </c>
      <c r="G81">
        <v>-424.26080000000002</v>
      </c>
      <c r="H81">
        <v>-0.05</v>
      </c>
      <c r="I81">
        <v>365.90820000000002</v>
      </c>
      <c r="J81">
        <v>-466.78280000000001</v>
      </c>
      <c r="K81">
        <v>1.108301</v>
      </c>
      <c r="L81">
        <v>367.21129999999999</v>
      </c>
      <c r="M81">
        <v>0.99999649999999995</v>
      </c>
      <c r="N81">
        <v>0</v>
      </c>
      <c r="O81">
        <v>-1.2991249999999999E-3</v>
      </c>
      <c r="P81">
        <v>0.99665949999999903</v>
      </c>
      <c r="Q81">
        <v>2.9458129999999999E-2</v>
      </c>
      <c r="R81">
        <v>7.6173770000000002E-2</v>
      </c>
      <c r="S81">
        <v>3.019409</v>
      </c>
      <c r="T81">
        <v>-8.1598039999999997E-2</v>
      </c>
      <c r="U81">
        <v>-9.1827389999999995E-2</v>
      </c>
      <c r="V81">
        <v>-7.7466839999999995E-2</v>
      </c>
      <c r="W81">
        <v>2.7123290000000001E-2</v>
      </c>
      <c r="X81">
        <v>0.99662589999999995</v>
      </c>
      <c r="Y81">
        <v>2.908962E-2</v>
      </c>
      <c r="Z81">
        <v>-3.5781030000000001E-4</v>
      </c>
      <c r="AA81">
        <v>0.99957669999999998</v>
      </c>
      <c r="AB81">
        <v>23</v>
      </c>
      <c r="AC81">
        <v>42.521999999999899</v>
      </c>
      <c r="AD81">
        <v>-1.158301</v>
      </c>
      <c r="AE81">
        <v>-1.3030999999999699</v>
      </c>
      <c r="AF81">
        <v>1.2469329795308799</v>
      </c>
      <c r="AG81">
        <v>-1.158301</v>
      </c>
      <c r="AH81">
        <v>42.492156572832798</v>
      </c>
      <c r="AI81">
        <v>91.560777288743907</v>
      </c>
      <c r="AJ81">
        <v>88.319136850383501</v>
      </c>
      <c r="AK81">
        <v>42.526225711579201</v>
      </c>
    </row>
    <row r="82" spans="1:37" x14ac:dyDescent="0.2">
      <c r="A82" t="str">
        <f>"20200111154030162"</f>
        <v>20200111154030162</v>
      </c>
      <c r="B82" t="str">
        <f>"1578728430156471"</f>
        <v>1578728430156471</v>
      </c>
      <c r="C82" t="s">
        <v>37</v>
      </c>
      <c r="D82">
        <v>5.3574380000000001</v>
      </c>
      <c r="E82">
        <v>0.53621580000000002</v>
      </c>
      <c r="F82" t="s">
        <v>40</v>
      </c>
      <c r="G82">
        <v>-435.48880000000003</v>
      </c>
      <c r="H82">
        <v>-0.05</v>
      </c>
      <c r="I82">
        <v>366.41890000000001</v>
      </c>
      <c r="J82">
        <v>-466.55509999999998</v>
      </c>
      <c r="K82">
        <v>1.1083000000000001</v>
      </c>
      <c r="L82">
        <v>367.21100000000001</v>
      </c>
      <c r="M82">
        <v>0.99999649999999995</v>
      </c>
      <c r="N82">
        <v>0</v>
      </c>
      <c r="O82">
        <v>-1.32086799999999E-3</v>
      </c>
      <c r="P82">
        <v>0.99668040000000002</v>
      </c>
      <c r="Q82">
        <v>2.906303E-2</v>
      </c>
      <c r="R82">
        <v>7.6047729999999994E-2</v>
      </c>
      <c r="S82">
        <v>3.019196</v>
      </c>
      <c r="T82">
        <v>-0.11175109999999901</v>
      </c>
      <c r="U82">
        <v>-7.6446529999999999E-2</v>
      </c>
      <c r="V82">
        <v>-7.7362029999999998E-2</v>
      </c>
      <c r="W82">
        <v>2.6792489999999999E-2</v>
      </c>
      <c r="X82">
        <v>0.99664299999999995</v>
      </c>
      <c r="Y82">
        <v>2.397608E-2</v>
      </c>
      <c r="Z82">
        <v>-3.946315E-4</v>
      </c>
      <c r="AA82">
        <v>0.9997125</v>
      </c>
      <c r="AB82">
        <v>23</v>
      </c>
      <c r="AC82">
        <v>31.066299999999899</v>
      </c>
      <c r="AD82">
        <v>-1.1583000000000001</v>
      </c>
      <c r="AE82">
        <v>-0.79210000000000402</v>
      </c>
      <c r="AF82">
        <v>0.75002274957322002</v>
      </c>
      <c r="AG82">
        <v>-1.1583000000000001</v>
      </c>
      <c r="AH82">
        <v>31.024218726010702</v>
      </c>
      <c r="AI82">
        <v>92.1375407768966</v>
      </c>
      <c r="AJ82">
        <v>88.615121640173896</v>
      </c>
      <c r="AK82">
        <v>31.0548923774376</v>
      </c>
    </row>
    <row r="83" spans="1:37" x14ac:dyDescent="0.2">
      <c r="A83" t="str">
        <f>"20200111154030185"</f>
        <v>20200111154030185</v>
      </c>
      <c r="B83" t="str">
        <f>"1578728430176966"</f>
        <v>1578728430176966</v>
      </c>
      <c r="C83" t="s">
        <v>37</v>
      </c>
      <c r="D83">
        <v>5.3843059999999996</v>
      </c>
      <c r="E83">
        <v>0.53597869999999903</v>
      </c>
      <c r="F83" t="s">
        <v>40</v>
      </c>
      <c r="G83">
        <v>-438.00880000000001</v>
      </c>
      <c r="H83">
        <v>-0.05</v>
      </c>
      <c r="I83">
        <v>366.51639999999998</v>
      </c>
      <c r="J83">
        <v>-466.31670000000003</v>
      </c>
      <c r="K83">
        <v>1.108314</v>
      </c>
      <c r="L83">
        <v>367.2106</v>
      </c>
      <c r="M83">
        <v>0.99999669999999896</v>
      </c>
      <c r="N83">
        <v>0</v>
      </c>
      <c r="O83">
        <v>-1.3436819999999999E-3</v>
      </c>
      <c r="P83">
        <v>0.99665769999999998</v>
      </c>
      <c r="Q83">
        <v>2.935859E-2</v>
      </c>
      <c r="R83">
        <v>7.6235529999999996E-2</v>
      </c>
      <c r="S83">
        <v>3.019196</v>
      </c>
      <c r="T83">
        <v>-0.12250750000000001</v>
      </c>
      <c r="U83">
        <v>-7.3455809999999996E-2</v>
      </c>
      <c r="V83">
        <v>-7.7572749999999996E-2</v>
      </c>
      <c r="W83">
        <v>2.7155700000000001E-2</v>
      </c>
      <c r="X83">
        <v>0.99661679999999997</v>
      </c>
      <c r="Y83">
        <v>2.296132E-2</v>
      </c>
      <c r="Z83">
        <v>-4.1109019999999998E-4</v>
      </c>
      <c r="AA83">
        <v>0.99973619999999996</v>
      </c>
      <c r="AB83">
        <v>23</v>
      </c>
      <c r="AC83">
        <v>28.3079</v>
      </c>
      <c r="AD83">
        <v>-1.1583139999999901</v>
      </c>
      <c r="AE83">
        <v>-0.69420000000002302</v>
      </c>
      <c r="AF83">
        <v>0.655066337896824</v>
      </c>
      <c r="AG83">
        <v>-1.1583139999999901</v>
      </c>
      <c r="AH83">
        <v>28.261516974426101</v>
      </c>
      <c r="AI83">
        <v>92.346356321796094</v>
      </c>
      <c r="AJ83">
        <v>88.672193811779593</v>
      </c>
      <c r="AK83">
        <v>28.292828506980701</v>
      </c>
    </row>
    <row r="84" spans="1:37" x14ac:dyDescent="0.2">
      <c r="A84" t="str">
        <f>"20200111154030208"</f>
        <v>20200111154030208</v>
      </c>
      <c r="B84" t="str">
        <f>"1578728430196486"</f>
        <v>1578728430196486</v>
      </c>
      <c r="C84" t="s">
        <v>37</v>
      </c>
      <c r="D84">
        <v>5.4128829999999999</v>
      </c>
      <c r="E84">
        <v>0.53579460000000001</v>
      </c>
      <c r="F84" t="s">
        <v>39</v>
      </c>
      <c r="G84">
        <v>-440.39519999999999</v>
      </c>
      <c r="H84" s="1">
        <v>-5.0563490000000001E-6</v>
      </c>
      <c r="I84">
        <v>366.5967</v>
      </c>
      <c r="J84">
        <v>-466.07049999999998</v>
      </c>
      <c r="K84">
        <v>1.10832</v>
      </c>
      <c r="L84">
        <v>367.21019999999999</v>
      </c>
      <c r="M84">
        <v>0.99999699999999903</v>
      </c>
      <c r="N84">
        <v>0</v>
      </c>
      <c r="O84">
        <v>-1.3666139999999999E-3</v>
      </c>
      <c r="P84">
        <v>0.99659889999999995</v>
      </c>
      <c r="Q84">
        <v>3.0564560000000001E-2</v>
      </c>
      <c r="R84">
        <v>7.6527220000000007E-2</v>
      </c>
      <c r="S84">
        <v>3.0193180000000002</v>
      </c>
      <c r="T84">
        <v>-0.12909660000000001</v>
      </c>
      <c r="U84">
        <v>-7.1502689999999994E-2</v>
      </c>
      <c r="V84">
        <v>-7.7886949999999996E-2</v>
      </c>
      <c r="W84">
        <v>2.8431229999999998E-2</v>
      </c>
      <c r="X84">
        <v>0.99655669999999996</v>
      </c>
      <c r="Y84">
        <v>2.2289739999999999E-2</v>
      </c>
      <c r="Z84">
        <v>-4.1783839999999902E-4</v>
      </c>
      <c r="AA84">
        <v>0.99975139999999996</v>
      </c>
      <c r="AB84">
        <v>24</v>
      </c>
      <c r="AC84">
        <v>25.6753</v>
      </c>
      <c r="AD84">
        <v>-1.1083250563489999</v>
      </c>
      <c r="AE84">
        <v>-0.61349999999998694</v>
      </c>
      <c r="AF84">
        <v>0.57733594328757698</v>
      </c>
      <c r="AG84">
        <v>-1.1083250563489999</v>
      </c>
      <c r="AH84">
        <v>25.628386071640001</v>
      </c>
      <c r="AI84">
        <v>92.475642742408198</v>
      </c>
      <c r="AJ84">
        <v>88.709504416384803</v>
      </c>
      <c r="AK84">
        <v>25.658836175067901</v>
      </c>
    </row>
    <row r="85" spans="1:37" x14ac:dyDescent="0.2">
      <c r="A85" t="str">
        <f>"20200111154030230"</f>
        <v>20200111154030230</v>
      </c>
      <c r="B85" t="str">
        <f>"1578728430226743"</f>
        <v>1578728430226743</v>
      </c>
      <c r="C85" t="s">
        <v>37</v>
      </c>
      <c r="D85">
        <v>5.39933</v>
      </c>
      <c r="E85">
        <v>0.53558899999999998</v>
      </c>
      <c r="F85" t="s">
        <v>39</v>
      </c>
      <c r="G85">
        <v>-440.70549999999997</v>
      </c>
      <c r="H85" s="1">
        <v>-4.9040209999999999E-6</v>
      </c>
      <c r="I85">
        <v>366.62860000000001</v>
      </c>
      <c r="J85">
        <v>-465.82690000000002</v>
      </c>
      <c r="K85">
        <v>1.108331</v>
      </c>
      <c r="L85">
        <v>367.20979999999997</v>
      </c>
      <c r="M85">
        <v>0.99999680000000002</v>
      </c>
      <c r="N85">
        <v>0</v>
      </c>
      <c r="O85">
        <v>-1.389312E-3</v>
      </c>
      <c r="P85">
        <v>0.99661169999999999</v>
      </c>
      <c r="Q85">
        <v>3.0642429999999998E-2</v>
      </c>
      <c r="R85">
        <v>7.6329659999999994E-2</v>
      </c>
      <c r="S85">
        <v>3.0195620000000001</v>
      </c>
      <c r="T85">
        <v>-0.13194</v>
      </c>
      <c r="U85">
        <v>-6.9244379999999994E-2</v>
      </c>
      <c r="V85">
        <v>-7.7712240000000002E-2</v>
      </c>
      <c r="W85">
        <v>2.857898E-2</v>
      </c>
      <c r="X85">
        <v>0.99656610000000001</v>
      </c>
      <c r="Y85">
        <v>2.151774E-2</v>
      </c>
      <c r="Z85">
        <v>-4.0915480000000001E-4</v>
      </c>
      <c r="AA85">
        <v>0.9997684</v>
      </c>
      <c r="AB85">
        <v>24</v>
      </c>
      <c r="AC85">
        <v>25.121400000000001</v>
      </c>
      <c r="AD85">
        <v>-1.1083359040209999</v>
      </c>
      <c r="AE85">
        <v>-0.58119999999996697</v>
      </c>
      <c r="AF85">
        <v>0.54523716048533599</v>
      </c>
      <c r="AG85">
        <v>-1.1083359040209999</v>
      </c>
      <c r="AH85">
        <v>25.0734038734291</v>
      </c>
      <c r="AI85">
        <v>92.530437338864104</v>
      </c>
      <c r="AJ85">
        <v>88.754263061550404</v>
      </c>
      <c r="AK85">
        <v>25.103809946647601</v>
      </c>
    </row>
    <row r="86" spans="1:37" x14ac:dyDescent="0.2">
      <c r="A86" t="str">
        <f>"20200111154030252"</f>
        <v>20200111154030252</v>
      </c>
      <c r="B86" t="str">
        <f>"1578728430246262"</f>
        <v>1578728430246262</v>
      </c>
      <c r="C86" t="s">
        <v>37</v>
      </c>
      <c r="D86">
        <v>5.397913</v>
      </c>
      <c r="E86">
        <v>0.53547469999999997</v>
      </c>
      <c r="F86" t="s">
        <v>39</v>
      </c>
      <c r="G86">
        <v>-441.68630000000002</v>
      </c>
      <c r="H86" s="1">
        <v>-4.4350270000000004E-6</v>
      </c>
      <c r="I86">
        <v>366.65870000000001</v>
      </c>
      <c r="J86">
        <v>-465.59179999999998</v>
      </c>
      <c r="K86">
        <v>1.108339</v>
      </c>
      <c r="L86">
        <v>367.20949999999999</v>
      </c>
      <c r="M86">
        <v>0.99999709999999997</v>
      </c>
      <c r="N86">
        <v>0</v>
      </c>
      <c r="O86">
        <v>-1.411776E-3</v>
      </c>
      <c r="P86">
        <v>0.99659779999999998</v>
      </c>
      <c r="Q86">
        <v>3.1380110000000003E-2</v>
      </c>
      <c r="R86">
        <v>7.6214160000000003E-2</v>
      </c>
      <c r="S86">
        <v>3.0197449999999999</v>
      </c>
      <c r="T86">
        <v>-0.13864170000000001</v>
      </c>
      <c r="U86">
        <v>-6.8939210000000001E-2</v>
      </c>
      <c r="V86">
        <v>-7.7619190000000005E-2</v>
      </c>
      <c r="W86">
        <v>2.9384029999999998E-2</v>
      </c>
      <c r="X86">
        <v>0.99655000000000005</v>
      </c>
      <c r="Y86">
        <v>2.1391070000000002E-2</v>
      </c>
      <c r="Z86">
        <v>-4.2595349999999997E-4</v>
      </c>
      <c r="AA86">
        <v>0.99977109999999902</v>
      </c>
      <c r="AB86">
        <v>24</v>
      </c>
      <c r="AC86">
        <v>23.9054999999999</v>
      </c>
      <c r="AD86">
        <v>-1.1083434350270001</v>
      </c>
      <c r="AE86">
        <v>-0.55079999999998097</v>
      </c>
      <c r="AF86">
        <v>0.51594170762379499</v>
      </c>
      <c r="AG86">
        <v>-1.1083434350270001</v>
      </c>
      <c r="AH86">
        <v>23.855002822583799</v>
      </c>
      <c r="AI86">
        <v>92.659523888078496</v>
      </c>
      <c r="AJ86">
        <v>88.760986345912698</v>
      </c>
      <c r="AK86">
        <v>23.886309482235099</v>
      </c>
    </row>
    <row r="87" spans="1:37" x14ac:dyDescent="0.2">
      <c r="A87" t="str">
        <f>"20200111154030275"</f>
        <v>20200111154030275</v>
      </c>
      <c r="B87" t="str">
        <f>"1578728430266758"</f>
        <v>1578728430266758</v>
      </c>
      <c r="C87" t="s">
        <v>37</v>
      </c>
      <c r="D87">
        <v>5.4222979999999996</v>
      </c>
      <c r="E87">
        <v>0.53536359999999905</v>
      </c>
      <c r="F87" t="s">
        <v>39</v>
      </c>
      <c r="G87">
        <v>-441.84269999999998</v>
      </c>
      <c r="H87" s="1">
        <v>-4.3590169999999999E-6</v>
      </c>
      <c r="I87">
        <v>366.67070000000001</v>
      </c>
      <c r="J87">
        <v>-465.33690000000001</v>
      </c>
      <c r="K87">
        <v>1.108347</v>
      </c>
      <c r="L87">
        <v>367.20909999999998</v>
      </c>
      <c r="M87">
        <v>0.99999729999999998</v>
      </c>
      <c r="N87">
        <v>0</v>
      </c>
      <c r="O87">
        <v>-1.435904E-3</v>
      </c>
      <c r="P87">
        <v>0.99659240000000004</v>
      </c>
      <c r="Q87">
        <v>3.1987969999999998E-2</v>
      </c>
      <c r="R87">
        <v>7.6030379999999995E-2</v>
      </c>
      <c r="S87">
        <v>3.01992799999999</v>
      </c>
      <c r="T87">
        <v>-0.14093639999999999</v>
      </c>
      <c r="U87">
        <v>-6.8511959999999997E-2</v>
      </c>
      <c r="V87">
        <v>-7.745937E-2</v>
      </c>
      <c r="W87">
        <v>3.0065600000000001E-2</v>
      </c>
      <c r="X87">
        <v>0.99654209999999999</v>
      </c>
      <c r="Y87">
        <v>2.1223699999999901E-2</v>
      </c>
      <c r="Z87">
        <v>-4.2794250000000001E-4</v>
      </c>
      <c r="AA87">
        <v>0.99977459999999996</v>
      </c>
      <c r="AB87">
        <v>24</v>
      </c>
      <c r="AC87">
        <v>23.494199999999999</v>
      </c>
      <c r="AD87">
        <v>-1.108351359017</v>
      </c>
      <c r="AE87">
        <v>-0.53839999999996702</v>
      </c>
      <c r="AF87">
        <v>0.50354390866325605</v>
      </c>
      <c r="AG87">
        <v>-1.108351359017</v>
      </c>
      <c r="AH87">
        <v>23.4428035764337</v>
      </c>
      <c r="AI87">
        <v>92.706245848250802</v>
      </c>
      <c r="AJ87">
        <v>88.769494235201705</v>
      </c>
      <c r="AK87">
        <v>23.474391125783001</v>
      </c>
    </row>
    <row r="88" spans="1:37" x14ac:dyDescent="0.2">
      <c r="A88" t="str">
        <f>"20200111154030297"</f>
        <v>20200111154030297</v>
      </c>
      <c r="B88" t="str">
        <f>"1578728430286278"</f>
        <v>1578728430286278</v>
      </c>
      <c r="C88" t="s">
        <v>37</v>
      </c>
      <c r="D88">
        <v>5.4068490000000002</v>
      </c>
      <c r="E88">
        <v>0.5342422</v>
      </c>
      <c r="F88" t="s">
        <v>39</v>
      </c>
      <c r="G88">
        <v>-442.04250000000002</v>
      </c>
      <c r="H88" s="1">
        <v>-4.2623330000000001E-6</v>
      </c>
      <c r="I88">
        <v>366.68299999999999</v>
      </c>
      <c r="J88">
        <v>-465.08640000000003</v>
      </c>
      <c r="K88">
        <v>1.1083540000000001</v>
      </c>
      <c r="L88">
        <v>367.20870000000002</v>
      </c>
      <c r="M88">
        <v>0.99999729999999998</v>
      </c>
      <c r="N88">
        <v>0</v>
      </c>
      <c r="O88">
        <v>-1.45944E-3</v>
      </c>
      <c r="P88">
        <v>0.99658440000000004</v>
      </c>
      <c r="Q88">
        <v>3.1831230000000002E-2</v>
      </c>
      <c r="R88">
        <v>7.6200519999999994E-2</v>
      </c>
      <c r="S88">
        <v>3.0200809999999998</v>
      </c>
      <c r="T88">
        <v>-0.14369599999999999</v>
      </c>
      <c r="U88">
        <v>-6.8206790000000003E-2</v>
      </c>
      <c r="V88">
        <v>-7.7652490000000005E-2</v>
      </c>
      <c r="W88">
        <v>2.9982189999999999E-2</v>
      </c>
      <c r="X88">
        <v>0.99652960000000002</v>
      </c>
      <c r="Y88">
        <v>2.1097370000000001E-2</v>
      </c>
      <c r="Z88">
        <v>-4.3216849999999998E-4</v>
      </c>
      <c r="AA88">
        <v>0.99977729999999998</v>
      </c>
      <c r="AB88">
        <v>25</v>
      </c>
      <c r="AC88">
        <v>23.043900000000001</v>
      </c>
      <c r="AD88">
        <v>-1.1083582623329999</v>
      </c>
      <c r="AE88">
        <v>-0.52569999999997197</v>
      </c>
      <c r="AF88">
        <v>0.49093306812468102</v>
      </c>
      <c r="AG88">
        <v>-1.1083582623329999</v>
      </c>
      <c r="AH88">
        <v>22.991482149176498</v>
      </c>
      <c r="AI88">
        <v>92.759312622785799</v>
      </c>
      <c r="AJ88">
        <v>88.776759200146103</v>
      </c>
      <c r="AK88">
        <v>23.023416877843299</v>
      </c>
    </row>
    <row r="89" spans="1:37" x14ac:dyDescent="0.2">
      <c r="A89" t="str">
        <f>"20200111154030319"</f>
        <v>20200111154030319</v>
      </c>
      <c r="B89" t="str">
        <f>"1578728430316535"</f>
        <v>1578728430316535</v>
      </c>
      <c r="C89" t="s">
        <v>37</v>
      </c>
      <c r="D89">
        <v>5.3709699999999998</v>
      </c>
      <c r="E89">
        <v>0.53590209999999905</v>
      </c>
      <c r="F89" t="s">
        <v>38</v>
      </c>
      <c r="G89">
        <v>-464.29739999999998</v>
      </c>
      <c r="H89">
        <v>1.0446500000000001</v>
      </c>
      <c r="I89">
        <v>367.19170000000003</v>
      </c>
      <c r="J89">
        <v>-464.84660000000002</v>
      </c>
      <c r="K89">
        <v>1.1083620000000001</v>
      </c>
      <c r="L89">
        <v>367.20830000000001</v>
      </c>
      <c r="M89">
        <v>0.99999740000000004</v>
      </c>
      <c r="N89">
        <v>0</v>
      </c>
      <c r="O89">
        <v>-1.4817889999999901E-3</v>
      </c>
      <c r="P89">
        <v>0.99657929999999995</v>
      </c>
      <c r="Q89">
        <v>3.188125E-2</v>
      </c>
      <c r="R89">
        <v>7.6245859999999999E-2</v>
      </c>
      <c r="S89">
        <v>3.02300999999999</v>
      </c>
      <c r="T89">
        <v>-0.2442134</v>
      </c>
      <c r="U89">
        <v>-6.4392089999999999E-2</v>
      </c>
      <c r="V89">
        <v>-7.7720170000000005E-2</v>
      </c>
      <c r="W89">
        <v>3.010326E-2</v>
      </c>
      <c r="X89">
        <v>0.99652059999999998</v>
      </c>
      <c r="Y89">
        <v>1.9754839999999999E-2</v>
      </c>
      <c r="Z89">
        <v>-6.7706059999999896E-4</v>
      </c>
      <c r="AA89">
        <v>0.99980460000000004</v>
      </c>
      <c r="AB89">
        <v>25</v>
      </c>
      <c r="AC89">
        <v>0.54920000000004099</v>
      </c>
      <c r="AD89">
        <v>-6.3711999999999894E-2</v>
      </c>
      <c r="AE89">
        <v>-1.6599999999982601E-2</v>
      </c>
      <c r="AF89">
        <v>1.5576741164232201E-2</v>
      </c>
      <c r="AG89">
        <v>-6.3711999999999894E-2</v>
      </c>
      <c r="AH89">
        <v>0.54193724546286404</v>
      </c>
      <c r="AI89">
        <v>96.7023676614359</v>
      </c>
      <c r="AJ89">
        <v>88.353617722240202</v>
      </c>
      <c r="AK89">
        <v>0.54589177666381306</v>
      </c>
    </row>
    <row r="90" spans="1:37" x14ac:dyDescent="0.2">
      <c r="A90" t="str">
        <f>"20200111154030340"</f>
        <v>20200111154030340</v>
      </c>
      <c r="B90" t="str">
        <f>"1578728430336055"</f>
        <v>1578728430336055</v>
      </c>
      <c r="C90" t="s">
        <v>37</v>
      </c>
      <c r="D90">
        <v>5.3709739999999897</v>
      </c>
      <c r="E90">
        <v>0.53448809999999902</v>
      </c>
      <c r="F90" t="s">
        <v>38</v>
      </c>
      <c r="G90">
        <v>-464.07229999999998</v>
      </c>
      <c r="H90">
        <v>1.044133</v>
      </c>
      <c r="I90">
        <v>367.18779999999998</v>
      </c>
      <c r="J90">
        <v>-464.59269999999998</v>
      </c>
      <c r="K90">
        <v>1.10836</v>
      </c>
      <c r="L90">
        <v>367.2079</v>
      </c>
      <c r="M90">
        <v>0.99999740000000004</v>
      </c>
      <c r="N90">
        <v>0</v>
      </c>
      <c r="O90">
        <v>-1.5058059999999999E-3</v>
      </c>
      <c r="P90">
        <v>0.99660740000000003</v>
      </c>
      <c r="Q90">
        <v>3.1089599999999901E-2</v>
      </c>
      <c r="R90">
        <v>7.6205690000000006E-2</v>
      </c>
      <c r="S90">
        <v>3.0243229999999999</v>
      </c>
      <c r="T90">
        <v>-0.25117489999999998</v>
      </c>
      <c r="U90">
        <v>-7.7728270000000002E-2</v>
      </c>
      <c r="V90">
        <v>-7.7703759999999997E-2</v>
      </c>
      <c r="W90">
        <v>2.9386410000000002E-2</v>
      </c>
      <c r="X90">
        <v>0.99654330000000002</v>
      </c>
      <c r="Y90">
        <v>2.4109459999999999E-2</v>
      </c>
      <c r="Z90">
        <v>-8.7445660000000001E-4</v>
      </c>
      <c r="AA90">
        <v>0.99970899999999996</v>
      </c>
      <c r="AB90">
        <v>25</v>
      </c>
      <c r="AC90">
        <v>0.52039999999999498</v>
      </c>
      <c r="AD90">
        <v>-6.4227000000000006E-2</v>
      </c>
      <c r="AE90">
        <v>-2.0100000000013499E-2</v>
      </c>
      <c r="AF90">
        <v>1.9026965092722802E-2</v>
      </c>
      <c r="AG90">
        <v>-6.4227000000000006E-2</v>
      </c>
      <c r="AH90">
        <v>0.51263281748803202</v>
      </c>
      <c r="AI90">
        <v>97.136428456234597</v>
      </c>
      <c r="AJ90">
        <v>87.874376033459299</v>
      </c>
      <c r="AK90">
        <v>0.51699084952768604</v>
      </c>
    </row>
    <row r="91" spans="1:37" x14ac:dyDescent="0.2">
      <c r="A91" t="str">
        <f>"20200111154030364"</f>
        <v>20200111154030364</v>
      </c>
      <c r="B91" t="str">
        <f>"1578728430356551"</f>
        <v>1578728430356551</v>
      </c>
      <c r="C91" t="s">
        <v>37</v>
      </c>
      <c r="D91">
        <v>5.4117759999999997</v>
      </c>
      <c r="E91">
        <v>0.53307569999999904</v>
      </c>
      <c r="F91" t="s">
        <v>38</v>
      </c>
      <c r="G91">
        <v>-463.8381</v>
      </c>
      <c r="H91">
        <v>1.052492</v>
      </c>
      <c r="I91">
        <v>367.1918</v>
      </c>
      <c r="J91">
        <v>-464.33030000000002</v>
      </c>
      <c r="K91">
        <v>1.1083639999999999</v>
      </c>
      <c r="L91">
        <v>367.20749999999998</v>
      </c>
      <c r="M91">
        <v>0.99999760000000004</v>
      </c>
      <c r="N91">
        <v>0</v>
      </c>
      <c r="O91">
        <v>-1.528871E-3</v>
      </c>
      <c r="P91">
        <v>0.99663599999999997</v>
      </c>
      <c r="Q91">
        <v>3.0756450000000001E-2</v>
      </c>
      <c r="R91">
        <v>7.5965030000000003E-2</v>
      </c>
      <c r="S91">
        <v>3.022186</v>
      </c>
      <c r="T91">
        <v>-0.2237364</v>
      </c>
      <c r="U91">
        <v>-6.4941410000000005E-2</v>
      </c>
      <c r="V91">
        <v>-7.7486219999999995E-2</v>
      </c>
      <c r="W91">
        <v>2.913141E-2</v>
      </c>
      <c r="X91">
        <v>0.99656769999999995</v>
      </c>
      <c r="Y91">
        <v>1.9904459999999999E-2</v>
      </c>
      <c r="Z91">
        <v>-6.2266869999999996E-4</v>
      </c>
      <c r="AA91">
        <v>0.99980170000000002</v>
      </c>
      <c r="AB91">
        <v>25</v>
      </c>
      <c r="AC91">
        <v>0.49220000000002501</v>
      </c>
      <c r="AD91">
        <v>-5.5871999999999901E-2</v>
      </c>
      <c r="AE91">
        <v>-1.5699999999981101E-2</v>
      </c>
      <c r="AF91">
        <v>1.47575041551896E-2</v>
      </c>
      <c r="AG91">
        <v>-5.5871999999999901E-2</v>
      </c>
      <c r="AH91">
        <v>0.48596779800123302</v>
      </c>
      <c r="AI91">
        <v>96.555537161967294</v>
      </c>
      <c r="AJ91">
        <v>88.260619448148702</v>
      </c>
      <c r="AK91">
        <v>0.489391627438657</v>
      </c>
    </row>
    <row r="92" spans="1:37" x14ac:dyDescent="0.2">
      <c r="A92" t="str">
        <f>"20200111154030386"</f>
        <v>20200111154030386</v>
      </c>
      <c r="B92" t="str">
        <f>"1578728430377052"</f>
        <v>1578728430377052</v>
      </c>
      <c r="C92" t="s">
        <v>37</v>
      </c>
      <c r="D92">
        <v>5.4259629999999897</v>
      </c>
      <c r="E92">
        <v>0.53193840000000003</v>
      </c>
      <c r="F92" t="s">
        <v>38</v>
      </c>
      <c r="G92">
        <v>-463.38440000000003</v>
      </c>
      <c r="H92">
        <v>1.044036</v>
      </c>
      <c r="I92">
        <v>367.19069999999999</v>
      </c>
      <c r="J92">
        <v>-464.06560000000002</v>
      </c>
      <c r="K92">
        <v>1.1083769999999999</v>
      </c>
      <c r="L92">
        <v>367.20710000000003</v>
      </c>
      <c r="M92">
        <v>0.99999760000000004</v>
      </c>
      <c r="N92">
        <v>0</v>
      </c>
      <c r="O92">
        <v>-1.5466950000000001E-3</v>
      </c>
      <c r="P92">
        <v>0.99671509999999996</v>
      </c>
      <c r="Q92">
        <v>3.053693E-2</v>
      </c>
      <c r="R92">
        <v>7.5011320000000006E-2</v>
      </c>
      <c r="S92">
        <v>3.020508</v>
      </c>
      <c r="T92">
        <v>-0.205487799999999</v>
      </c>
      <c r="U92">
        <v>-5.2948000000000002E-2</v>
      </c>
      <c r="V92">
        <v>-7.6550820000000006E-2</v>
      </c>
      <c r="W92">
        <v>2.8990800000000001E-2</v>
      </c>
      <c r="X92">
        <v>0.99664409999999903</v>
      </c>
      <c r="Y92">
        <v>1.5947050000000001E-2</v>
      </c>
      <c r="Z92">
        <v>-4.3668519999999998E-4</v>
      </c>
      <c r="AA92">
        <v>0.99987269999999995</v>
      </c>
      <c r="AB92">
        <v>26</v>
      </c>
      <c r="AC92">
        <v>0.68119999999998904</v>
      </c>
      <c r="AD92">
        <v>-6.4340999999999898E-2</v>
      </c>
      <c r="AE92">
        <v>-1.6400000000032802E-2</v>
      </c>
      <c r="AF92">
        <v>1.5210749989917701E-2</v>
      </c>
      <c r="AG92">
        <v>-6.4340999999999898E-2</v>
      </c>
      <c r="AH92">
        <v>0.675204364797521</v>
      </c>
      <c r="AI92">
        <v>95.441972054991894</v>
      </c>
      <c r="AJ92">
        <v>88.709480508416107</v>
      </c>
      <c r="AK92">
        <v>0.678433537966601</v>
      </c>
    </row>
    <row r="93" spans="1:37" x14ac:dyDescent="0.2">
      <c r="A93" t="str">
        <f>"20200111154030408"</f>
        <v>20200111154030408</v>
      </c>
      <c r="B93" t="str">
        <f>"1578728430396566"</f>
        <v>1578728430396566</v>
      </c>
      <c r="C93" t="s">
        <v>37</v>
      </c>
      <c r="D93">
        <v>5.4228199999999998</v>
      </c>
      <c r="E93">
        <v>0.53105619999999998</v>
      </c>
      <c r="F93" t="s">
        <v>38</v>
      </c>
      <c r="G93">
        <v>-463.14679999999998</v>
      </c>
      <c r="H93">
        <v>1.0494559999999999</v>
      </c>
      <c r="I93">
        <v>367.19279999999998</v>
      </c>
      <c r="J93">
        <v>-463.81779999999998</v>
      </c>
      <c r="K93">
        <v>1.108379</v>
      </c>
      <c r="L93">
        <v>367.20659999999998</v>
      </c>
      <c r="M93">
        <v>0.99999780000000005</v>
      </c>
      <c r="N93">
        <v>0</v>
      </c>
      <c r="O93">
        <v>-1.558806E-3</v>
      </c>
      <c r="P93">
        <v>0.99680769999999996</v>
      </c>
      <c r="Q93">
        <v>3.0150369999999999E-2</v>
      </c>
      <c r="R93">
        <v>7.3929480000000006E-2</v>
      </c>
      <c r="S93">
        <v>3.01922599999999</v>
      </c>
      <c r="T93">
        <v>-0.19388649999999999</v>
      </c>
      <c r="U93">
        <v>-4.553223E-2</v>
      </c>
      <c r="V93">
        <v>-7.5481229999999996E-2</v>
      </c>
      <c r="W93">
        <v>2.8678120000000001E-2</v>
      </c>
      <c r="X93">
        <v>0.99673469999999997</v>
      </c>
      <c r="Y93">
        <v>1.349582E-2</v>
      </c>
      <c r="Z93">
        <v>-3.3286850000000001E-4</v>
      </c>
      <c r="AA93">
        <v>0.99990889999999999</v>
      </c>
      <c r="AB93">
        <v>26</v>
      </c>
      <c r="AC93">
        <v>0.67099999999999205</v>
      </c>
      <c r="AD93">
        <v>-5.8923000000000003E-2</v>
      </c>
      <c r="AE93">
        <v>-1.3800000000003299E-2</v>
      </c>
      <c r="AF93">
        <v>1.2656467483764099E-2</v>
      </c>
      <c r="AG93">
        <v>-5.8923000000000003E-2</v>
      </c>
      <c r="AH93">
        <v>0.66588803960339205</v>
      </c>
      <c r="AI93">
        <v>95.055900830402706</v>
      </c>
      <c r="AJ93">
        <v>88.911115951044593</v>
      </c>
      <c r="AK93">
        <v>0.66860974221515501</v>
      </c>
    </row>
    <row r="94" spans="1:37" x14ac:dyDescent="0.2">
      <c r="A94" t="str">
        <f>"20200111154030430"</f>
        <v>20200111154030430</v>
      </c>
      <c r="B94" t="str">
        <f>"1578728430416086"</f>
        <v>1578728430416086</v>
      </c>
      <c r="C94" t="s">
        <v>37</v>
      </c>
      <c r="D94">
        <v>5.6190319999999998</v>
      </c>
      <c r="E94">
        <v>0.53048799999999996</v>
      </c>
      <c r="F94" t="s">
        <v>38</v>
      </c>
      <c r="G94">
        <v>-462.91</v>
      </c>
      <c r="H94">
        <v>1.051301</v>
      </c>
      <c r="I94">
        <v>367.19420000000002</v>
      </c>
      <c r="J94">
        <v>-463.55180000000001</v>
      </c>
      <c r="K94">
        <v>1.10839</v>
      </c>
      <c r="L94">
        <v>367.2063</v>
      </c>
      <c r="M94">
        <v>0.999997899999999</v>
      </c>
      <c r="N94">
        <v>0</v>
      </c>
      <c r="O94">
        <v>-1.5669810000000001E-3</v>
      </c>
      <c r="P94">
        <v>0.99690669999999904</v>
      </c>
      <c r="Q94">
        <v>2.9999910000000001E-2</v>
      </c>
      <c r="R94">
        <v>7.2646359999999993E-2</v>
      </c>
      <c r="S94">
        <v>3.018402</v>
      </c>
      <c r="T94">
        <v>-0.18971679999999999</v>
      </c>
      <c r="U94">
        <v>-4.1381840000000003E-2</v>
      </c>
      <c r="V94">
        <v>-7.4207099999999998E-2</v>
      </c>
      <c r="W94">
        <v>2.8607580000000001E-2</v>
      </c>
      <c r="X94">
        <v>0.99683239999999995</v>
      </c>
      <c r="Y94">
        <v>1.212089E-2</v>
      </c>
      <c r="Z94">
        <v>-2.8213780000000001E-4</v>
      </c>
      <c r="AA94">
        <v>0.99992649999999905</v>
      </c>
      <c r="AB94">
        <v>26</v>
      </c>
      <c r="AC94">
        <v>0.64179999999998905</v>
      </c>
      <c r="AD94">
        <v>-5.7088999999999897E-2</v>
      </c>
      <c r="AE94">
        <v>-1.2099999999975301E-2</v>
      </c>
      <c r="AF94">
        <v>1.1007233730264399E-2</v>
      </c>
      <c r="AG94">
        <v>-5.7088999999999897E-2</v>
      </c>
      <c r="AH94">
        <v>0.63678152499409801</v>
      </c>
      <c r="AI94">
        <v>95.122247544932506</v>
      </c>
      <c r="AJ94">
        <v>89.009699230316599</v>
      </c>
      <c r="AK94">
        <v>0.63943023363710405</v>
      </c>
    </row>
    <row r="95" spans="1:37" x14ac:dyDescent="0.2">
      <c r="A95" t="str">
        <f>"20200111154030453"</f>
        <v>20200111154030453</v>
      </c>
      <c r="B95" t="str">
        <f>"1578728430446342"</f>
        <v>1578728430446342</v>
      </c>
      <c r="C95" t="s">
        <v>37</v>
      </c>
      <c r="D95">
        <v>5.6425179999999999</v>
      </c>
      <c r="E95">
        <v>0.52964040000000001</v>
      </c>
      <c r="F95" t="s">
        <v>39</v>
      </c>
      <c r="G95">
        <v>-445.18040000000002</v>
      </c>
      <c r="H95" s="1">
        <v>-2.7296889999999998E-6</v>
      </c>
      <c r="I95">
        <v>366.96140000000003</v>
      </c>
      <c r="J95">
        <v>-463.28390000000002</v>
      </c>
      <c r="K95">
        <v>1.1083989999999999</v>
      </c>
      <c r="L95">
        <v>367.20580000000001</v>
      </c>
      <c r="M95">
        <v>0.999997899999999</v>
      </c>
      <c r="N95">
        <v>0</v>
      </c>
      <c r="O95">
        <v>-1.571224E-3</v>
      </c>
      <c r="P95">
        <v>0.99698880000000001</v>
      </c>
      <c r="Q95">
        <v>3.0111659999999998E-2</v>
      </c>
      <c r="R95">
        <v>7.1460759999999998E-2</v>
      </c>
      <c r="S95">
        <v>3.0177309999999999</v>
      </c>
      <c r="T95">
        <v>-0.1820667</v>
      </c>
      <c r="U95">
        <v>-4.0222170000000002E-2</v>
      </c>
      <c r="V95">
        <v>-7.3025930000000003E-2</v>
      </c>
      <c r="W95">
        <v>2.8800630000000001E-2</v>
      </c>
      <c r="X95">
        <v>0.99691409999999903</v>
      </c>
      <c r="Y95">
        <v>1.1737849999999999E-2</v>
      </c>
      <c r="Z95">
        <v>-2.5904329999999997E-4</v>
      </c>
      <c r="AA95">
        <v>0.99993109999999996</v>
      </c>
      <c r="AB95">
        <v>26</v>
      </c>
      <c r="AC95">
        <v>18.1035</v>
      </c>
      <c r="AD95">
        <v>-1.1084017296889901</v>
      </c>
      <c r="AE95">
        <v>-0.24439999999998399</v>
      </c>
      <c r="AF95">
        <v>0.215148660342174</v>
      </c>
      <c r="AG95">
        <v>-1.1084017296889901</v>
      </c>
      <c r="AH95">
        <v>18.036263214239199</v>
      </c>
      <c r="AI95">
        <v>93.516386606899999</v>
      </c>
      <c r="AJ95">
        <v>89.316569878084593</v>
      </c>
      <c r="AK95">
        <v>18.071569773368999</v>
      </c>
    </row>
    <row r="96" spans="1:37" x14ac:dyDescent="0.2">
      <c r="A96" t="str">
        <f>"20200111154030478"</f>
        <v>20200111154030478</v>
      </c>
      <c r="B96" t="str">
        <f>"1578728430466838"</f>
        <v>1578728430466838</v>
      </c>
      <c r="C96" t="s">
        <v>37</v>
      </c>
      <c r="D96">
        <v>5.4794749999999999</v>
      </c>
      <c r="E96">
        <v>0.52954519999999905</v>
      </c>
      <c r="F96" t="s">
        <v>39</v>
      </c>
      <c r="G96">
        <v>-444.05349999999999</v>
      </c>
      <c r="H96" s="1">
        <v>-3.260196E-6</v>
      </c>
      <c r="I96">
        <v>366.97359999999998</v>
      </c>
      <c r="J96">
        <v>-462.98079999999999</v>
      </c>
      <c r="K96">
        <v>1.1084049999999901</v>
      </c>
      <c r="L96">
        <v>367.2054</v>
      </c>
      <c r="M96">
        <v>0.9999981</v>
      </c>
      <c r="N96">
        <v>0</v>
      </c>
      <c r="O96">
        <v>-1.5696219999999999E-3</v>
      </c>
      <c r="P96">
        <v>0.99711419999999995</v>
      </c>
      <c r="Q96">
        <v>2.8842300000000001E-2</v>
      </c>
      <c r="R96">
        <v>7.0224969999999998E-2</v>
      </c>
      <c r="S96">
        <v>3.0169069999999998</v>
      </c>
      <c r="T96">
        <v>-0.17388899999999999</v>
      </c>
      <c r="U96">
        <v>-3.6437990000000003E-2</v>
      </c>
      <c r="V96">
        <v>-7.1788980000000002E-2</v>
      </c>
      <c r="W96">
        <v>2.7624260000000001E-2</v>
      </c>
      <c r="X96">
        <v>0.99703719999999996</v>
      </c>
      <c r="Y96">
        <v>1.0492720000000001E-2</v>
      </c>
      <c r="Z96">
        <v>-2.117372E-4</v>
      </c>
      <c r="AA96">
        <v>0.99994490000000003</v>
      </c>
      <c r="AB96">
        <v>26</v>
      </c>
      <c r="AC96">
        <v>18.927299999999999</v>
      </c>
      <c r="AD96">
        <v>-1.1084082601959999</v>
      </c>
      <c r="AE96">
        <v>-0.23180000000002099</v>
      </c>
      <c r="AF96">
        <v>0.20140040274899801</v>
      </c>
      <c r="AG96">
        <v>-1.1084082601959999</v>
      </c>
      <c r="AH96">
        <v>18.862960984863701</v>
      </c>
      <c r="AI96">
        <v>93.362704584096903</v>
      </c>
      <c r="AJ96">
        <v>89.388274480553804</v>
      </c>
      <c r="AK96">
        <v>18.8965718613189</v>
      </c>
    </row>
    <row r="97" spans="1:37" x14ac:dyDescent="0.2">
      <c r="A97" t="str">
        <f>"20200111154030499"</f>
        <v>20200111154030499</v>
      </c>
      <c r="B97" t="str">
        <f>"1578728430486358"</f>
        <v>1578728430486358</v>
      </c>
      <c r="C97" t="s">
        <v>37</v>
      </c>
      <c r="D97">
        <v>5.4547790000000003</v>
      </c>
      <c r="E97">
        <v>0.52936260000000002</v>
      </c>
      <c r="F97" t="s">
        <v>39</v>
      </c>
      <c r="G97">
        <v>-443.89139999999998</v>
      </c>
      <c r="H97" s="1">
        <v>-3.33970799999999E-6</v>
      </c>
      <c r="I97">
        <v>366.9572</v>
      </c>
      <c r="J97">
        <v>-462.7396</v>
      </c>
      <c r="K97">
        <v>1.108422</v>
      </c>
      <c r="L97">
        <v>367.20499999999998</v>
      </c>
      <c r="M97">
        <v>0.9999981</v>
      </c>
      <c r="N97">
        <v>0</v>
      </c>
      <c r="O97">
        <v>-1.5519479999999901E-3</v>
      </c>
      <c r="P97">
        <v>0.99718459999999998</v>
      </c>
      <c r="Q97">
        <v>2.8515019999999999E-2</v>
      </c>
      <c r="R97">
        <v>6.9352819999999996E-2</v>
      </c>
      <c r="S97">
        <v>3.0164490000000002</v>
      </c>
      <c r="T97">
        <v>-0.17514749999999901</v>
      </c>
      <c r="U97">
        <v>-3.9215090000000001E-2</v>
      </c>
      <c r="V97">
        <v>-7.089993E-2</v>
      </c>
      <c r="W97">
        <v>2.736972E-2</v>
      </c>
      <c r="X97">
        <v>0.99710789999999905</v>
      </c>
      <c r="Y97">
        <v>1.1430849999999999E-2</v>
      </c>
      <c r="Z97">
        <v>-2.4153529999999999E-4</v>
      </c>
      <c r="AA97">
        <v>0.99993460000000001</v>
      </c>
      <c r="AB97">
        <v>27</v>
      </c>
      <c r="AC97">
        <v>18.848199999999999</v>
      </c>
      <c r="AD97">
        <v>-1.1084253397079999</v>
      </c>
      <c r="AE97">
        <v>-0.24779999999998301</v>
      </c>
      <c r="AF97">
        <v>0.21779516593603901</v>
      </c>
      <c r="AG97">
        <v>-1.1084253397079999</v>
      </c>
      <c r="AH97">
        <v>18.783612169897999</v>
      </c>
      <c r="AI97">
        <v>93.376894547259297</v>
      </c>
      <c r="AJ97">
        <v>89.335687698826106</v>
      </c>
      <c r="AK97">
        <v>18.817548395504499</v>
      </c>
    </row>
    <row r="98" spans="1:37" x14ac:dyDescent="0.2">
      <c r="A98" t="str">
        <f>"20200111154030520"</f>
        <v>20200111154030520</v>
      </c>
      <c r="B98" t="str">
        <f>"1578728430516614"</f>
        <v>1578728430516614</v>
      </c>
      <c r="C98" t="s">
        <v>37</v>
      </c>
      <c r="D98">
        <v>5.4099750000000002</v>
      </c>
      <c r="E98">
        <v>0.52931619999999902</v>
      </c>
      <c r="F98" t="s">
        <v>39</v>
      </c>
      <c r="G98">
        <v>-443.53179999999998</v>
      </c>
      <c r="H98" s="1">
        <v>-3.5112579999999998E-6</v>
      </c>
      <c r="I98">
        <v>366.94839999999999</v>
      </c>
      <c r="J98">
        <v>-462.48039999999997</v>
      </c>
      <c r="K98">
        <v>1.1084499999999999</v>
      </c>
      <c r="L98">
        <v>367.20460000000003</v>
      </c>
      <c r="M98">
        <v>0.99999850000000001</v>
      </c>
      <c r="N98">
        <v>0</v>
      </c>
      <c r="O98">
        <v>-1.501266E-3</v>
      </c>
      <c r="P98">
        <v>0.99718090000000004</v>
      </c>
      <c r="Q98">
        <v>2.8537819999999998E-2</v>
      </c>
      <c r="R98">
        <v>6.9398150000000006E-2</v>
      </c>
      <c r="S98">
        <v>3.0162049999999998</v>
      </c>
      <c r="T98">
        <v>-0.17405689999999999</v>
      </c>
      <c r="U98">
        <v>-4.0283199999999998E-2</v>
      </c>
      <c r="V98">
        <v>-7.0895929999999996E-2</v>
      </c>
      <c r="W98">
        <v>2.7470299999999899E-2</v>
      </c>
      <c r="X98">
        <v>0.99710540000000003</v>
      </c>
      <c r="Y98">
        <v>1.1836060000000001E-2</v>
      </c>
      <c r="Z98">
        <v>-2.5465649999999998E-4</v>
      </c>
      <c r="AA98">
        <v>0.99992990000000004</v>
      </c>
      <c r="AB98">
        <v>27</v>
      </c>
      <c r="AC98">
        <v>18.948599999999999</v>
      </c>
      <c r="AD98">
        <v>-1.1084535112579901</v>
      </c>
      <c r="AE98">
        <v>-0.25620000000003501</v>
      </c>
      <c r="AF98">
        <v>0.22697623975886999</v>
      </c>
      <c r="AG98">
        <v>-1.1084535112579901</v>
      </c>
      <c r="AH98">
        <v>18.8843527228452</v>
      </c>
      <c r="AI98">
        <v>93.358989893514206</v>
      </c>
      <c r="AJ98">
        <v>89.311379394539699</v>
      </c>
      <c r="AK98">
        <v>18.9182178114342</v>
      </c>
    </row>
    <row r="99" spans="1:37" x14ac:dyDescent="0.2">
      <c r="A99" t="str">
        <f>"20200111154030542"</f>
        <v>20200111154030542</v>
      </c>
      <c r="B99" t="str">
        <f>"1578728430536134"</f>
        <v>1578728430536134</v>
      </c>
      <c r="C99" t="s">
        <v>37</v>
      </c>
      <c r="D99">
        <v>5.3869749999999996</v>
      </c>
      <c r="E99">
        <v>0.52936119999999898</v>
      </c>
      <c r="F99" t="s">
        <v>39</v>
      </c>
      <c r="G99">
        <v>-443.12860000000001</v>
      </c>
      <c r="H99" s="1">
        <v>-3.7017149999999998E-6</v>
      </c>
      <c r="I99">
        <v>366.94929999999999</v>
      </c>
      <c r="J99">
        <v>-462.20299999999997</v>
      </c>
      <c r="K99">
        <v>1.1084750000000001</v>
      </c>
      <c r="L99">
        <v>367.20429999999999</v>
      </c>
      <c r="M99">
        <v>0.99999859999999896</v>
      </c>
      <c r="N99">
        <v>0</v>
      </c>
      <c r="O99">
        <v>-1.3948089999999999E-3</v>
      </c>
      <c r="P99">
        <v>0.99716930000000004</v>
      </c>
      <c r="Q99">
        <v>2.7111099999999999E-2</v>
      </c>
      <c r="R99">
        <v>7.0131719999999995E-2</v>
      </c>
      <c r="S99">
        <v>3.0162049999999998</v>
      </c>
      <c r="T99">
        <v>-0.1727651</v>
      </c>
      <c r="U99">
        <v>-3.9794919999999998E-2</v>
      </c>
      <c r="V99">
        <v>-7.1525140000000001E-2</v>
      </c>
      <c r="W99">
        <v>2.6124189999999999E-2</v>
      </c>
      <c r="X99">
        <v>0.9970966</v>
      </c>
      <c r="Y99">
        <v>1.1780840000000001E-2</v>
      </c>
      <c r="Z99">
        <v>-2.5728209999999999E-4</v>
      </c>
      <c r="AA99">
        <v>0.9999306</v>
      </c>
      <c r="AB99">
        <v>27</v>
      </c>
      <c r="AC99">
        <v>19.074400000000001</v>
      </c>
      <c r="AD99">
        <v>-1.108478701715</v>
      </c>
      <c r="AE99">
        <v>-0.25499999999999501</v>
      </c>
      <c r="AF99">
        <v>0.22762600143350001</v>
      </c>
      <c r="AG99">
        <v>-1.108478701715</v>
      </c>
      <c r="AH99">
        <v>19.010546744235</v>
      </c>
      <c r="AI99">
        <v>93.336820591800006</v>
      </c>
      <c r="AJ99">
        <v>89.313992062068294</v>
      </c>
      <c r="AK99">
        <v>19.044196652613898</v>
      </c>
    </row>
    <row r="100" spans="1:37" x14ac:dyDescent="0.2">
      <c r="A100" t="str">
        <f>"20200111154030565"</f>
        <v>20200111154030565</v>
      </c>
      <c r="B100" t="str">
        <f>"1578728430556630"</f>
        <v>1578728430556630</v>
      </c>
      <c r="C100" t="s">
        <v>37</v>
      </c>
      <c r="D100">
        <v>5.3712429999999998</v>
      </c>
      <c r="E100">
        <v>0.52943439999999997</v>
      </c>
      <c r="F100" t="s">
        <v>39</v>
      </c>
      <c r="G100">
        <v>-443.60789999999997</v>
      </c>
      <c r="H100" s="1">
        <v>-3.4715839999999999E-6</v>
      </c>
      <c r="I100">
        <v>366.96949999999998</v>
      </c>
      <c r="J100">
        <v>-461.92610000000002</v>
      </c>
      <c r="K100">
        <v>1.108506</v>
      </c>
      <c r="L100">
        <v>367.20400000000001</v>
      </c>
      <c r="M100">
        <v>0.99999899999999997</v>
      </c>
      <c r="N100">
        <v>0</v>
      </c>
      <c r="O100">
        <v>-1.2267339999999999E-3</v>
      </c>
      <c r="P100">
        <v>0.99723759999999995</v>
      </c>
      <c r="Q100">
        <v>2.469725E-2</v>
      </c>
      <c r="R100">
        <v>7.0054270000000002E-2</v>
      </c>
      <c r="S100">
        <v>3.0161129999999998</v>
      </c>
      <c r="T100">
        <v>-0.17979419999999999</v>
      </c>
      <c r="U100">
        <v>-3.8085939999999999E-2</v>
      </c>
      <c r="V100">
        <v>-7.1283009999999994E-2</v>
      </c>
      <c r="W100">
        <v>2.3789850000000001E-2</v>
      </c>
      <c r="X100">
        <v>0.99717239999999996</v>
      </c>
      <c r="Y100">
        <v>1.1381809999999999E-2</v>
      </c>
      <c r="Z100">
        <v>-2.6586829999999999E-4</v>
      </c>
      <c r="AA100">
        <v>0.99993519999999902</v>
      </c>
      <c r="AB100">
        <v>27</v>
      </c>
      <c r="AC100">
        <v>18.318200000000001</v>
      </c>
      <c r="AD100">
        <v>-1.108509471584</v>
      </c>
      <c r="AE100">
        <v>-0.23450000000002499</v>
      </c>
      <c r="AF100">
        <v>0.21125478009606899</v>
      </c>
      <c r="AG100">
        <v>-1.108509471584</v>
      </c>
      <c r="AH100">
        <v>18.251648089204</v>
      </c>
      <c r="AI100">
        <v>93.4753439461429</v>
      </c>
      <c r="AJ100">
        <v>89.336856224739293</v>
      </c>
      <c r="AK100">
        <v>18.2864999330885</v>
      </c>
    </row>
    <row r="101" spans="1:37" x14ac:dyDescent="0.2">
      <c r="A101" t="str">
        <f>"20200111154030587"</f>
        <v>20200111154030587</v>
      </c>
      <c r="B101" t="str">
        <f>"1578728430576153"</f>
        <v>1578728430576153</v>
      </c>
      <c r="C101" t="s">
        <v>37</v>
      </c>
      <c r="D101">
        <v>5.3925839999999896</v>
      </c>
      <c r="E101">
        <v>0.52945769999999903</v>
      </c>
      <c r="F101" t="s">
        <v>38</v>
      </c>
      <c r="G101">
        <v>-460.96620000000001</v>
      </c>
      <c r="H101">
        <v>1.0485850000000001</v>
      </c>
      <c r="I101">
        <v>367.19130000000001</v>
      </c>
      <c r="J101">
        <v>-461.63639999999998</v>
      </c>
      <c r="K101">
        <v>1.108541</v>
      </c>
      <c r="L101">
        <v>367.2038</v>
      </c>
      <c r="M101">
        <v>0.99999919999999998</v>
      </c>
      <c r="N101">
        <v>0</v>
      </c>
      <c r="O101">
        <v>-9.9440429999999897E-4</v>
      </c>
      <c r="P101">
        <v>0.99735569999999896</v>
      </c>
      <c r="Q101">
        <v>2.1148690000000001E-2</v>
      </c>
      <c r="R101">
        <v>6.9527950000000005E-2</v>
      </c>
      <c r="S101">
        <v>3.0156860000000001</v>
      </c>
      <c r="T101">
        <v>-0.1883456</v>
      </c>
      <c r="U101">
        <v>-3.8696290000000001E-2</v>
      </c>
      <c r="V101">
        <v>-7.0526169999999999E-2</v>
      </c>
      <c r="W101">
        <v>2.032552E-2</v>
      </c>
      <c r="X101">
        <v>0.99730280000000004</v>
      </c>
      <c r="Y101">
        <v>1.181521E-2</v>
      </c>
      <c r="Z101">
        <v>-3.0654409999999999E-4</v>
      </c>
      <c r="AA101">
        <v>0.99993009999999904</v>
      </c>
      <c r="AB101">
        <v>28</v>
      </c>
      <c r="AC101">
        <v>0.67019999999996505</v>
      </c>
      <c r="AD101">
        <v>-5.9955999999999898E-2</v>
      </c>
      <c r="AE101">
        <v>-1.24999999999886E-2</v>
      </c>
      <c r="AF101">
        <v>1.1739623531707001E-2</v>
      </c>
      <c r="AG101">
        <v>-5.9955999999999898E-2</v>
      </c>
      <c r="AH101">
        <v>0.66489276771402395</v>
      </c>
      <c r="AI101">
        <v>95.151851651862899</v>
      </c>
      <c r="AJ101">
        <v>88.988466968170599</v>
      </c>
      <c r="AK101">
        <v>0.66769374211166699</v>
      </c>
    </row>
    <row r="102" spans="1:37" x14ac:dyDescent="0.2">
      <c r="A102" t="str">
        <f>"20200111154030609"</f>
        <v>20200111154030609</v>
      </c>
      <c r="B102" t="str">
        <f>"1578728430606406"</f>
        <v>1578728430606406</v>
      </c>
      <c r="C102" t="s">
        <v>37</v>
      </c>
      <c r="D102">
        <v>5.5836439999999996</v>
      </c>
      <c r="E102">
        <v>0.56382180000000004</v>
      </c>
      <c r="F102" t="s">
        <v>38</v>
      </c>
      <c r="G102">
        <v>-460.7158</v>
      </c>
      <c r="H102">
        <v>1.0474950000000001</v>
      </c>
      <c r="I102">
        <v>367.19110000000001</v>
      </c>
      <c r="J102">
        <v>-461.3698</v>
      </c>
      <c r="K102">
        <v>1.10859</v>
      </c>
      <c r="L102">
        <v>367.2038</v>
      </c>
      <c r="M102">
        <v>0.99999959999999899</v>
      </c>
      <c r="N102">
        <v>0</v>
      </c>
      <c r="O102">
        <v>-7.4406389999999998E-4</v>
      </c>
      <c r="P102">
        <v>0.99740620000000002</v>
      </c>
      <c r="Q102">
        <v>1.9909469999999999E-2</v>
      </c>
      <c r="R102">
        <v>6.9171399999999994E-2</v>
      </c>
      <c r="S102">
        <v>3.015015</v>
      </c>
      <c r="T102">
        <v>-0.20019700000000001</v>
      </c>
      <c r="U102">
        <v>-4.0527340000000002E-2</v>
      </c>
      <c r="V102">
        <v>-6.9920960000000004E-2</v>
      </c>
      <c r="W102">
        <v>1.9165120000000001E-2</v>
      </c>
      <c r="X102">
        <v>0.99736840000000004</v>
      </c>
      <c r="Y102">
        <v>1.267037E-2</v>
      </c>
      <c r="Z102">
        <v>-3.7082549999999998E-4</v>
      </c>
      <c r="AA102">
        <v>0.99991969999999997</v>
      </c>
      <c r="AB102">
        <v>28</v>
      </c>
      <c r="AC102">
        <v>0.65399999999999603</v>
      </c>
      <c r="AD102">
        <v>-6.1094999999999899E-2</v>
      </c>
      <c r="AE102">
        <v>-1.26999999999952E-2</v>
      </c>
      <c r="AF102">
        <v>1.21077562968239E-2</v>
      </c>
      <c r="AG102">
        <v>-6.1094999999999899E-2</v>
      </c>
      <c r="AH102">
        <v>0.64835334080274798</v>
      </c>
      <c r="AI102">
        <v>95.382211504661797</v>
      </c>
      <c r="AJ102">
        <v>88.930147089576195</v>
      </c>
      <c r="AK102">
        <v>0.65133804688320496</v>
      </c>
    </row>
    <row r="103" spans="1:37" x14ac:dyDescent="0.2">
      <c r="A103" t="str">
        <f>"20200111154030631"</f>
        <v>20200111154030631</v>
      </c>
      <c r="B103" t="str">
        <f>"1578728430626902"</f>
        <v>1578728430626902</v>
      </c>
      <c r="C103" t="s">
        <v>37</v>
      </c>
      <c r="D103">
        <v>5.5073679999999996</v>
      </c>
      <c r="E103">
        <v>0.57437989999999906</v>
      </c>
      <c r="F103" t="s">
        <v>38</v>
      </c>
      <c r="G103">
        <v>-460.4717</v>
      </c>
      <c r="H103">
        <v>1.0326819999999901</v>
      </c>
      <c r="I103">
        <v>367.10919999999999</v>
      </c>
      <c r="J103">
        <v>-461.08199999999999</v>
      </c>
      <c r="K103">
        <v>1.108643</v>
      </c>
      <c r="L103">
        <v>367.2038</v>
      </c>
      <c r="M103">
        <v>0.99999979999999999</v>
      </c>
      <c r="N103">
        <v>0</v>
      </c>
      <c r="O103">
        <v>-4.4543049999999998E-4</v>
      </c>
      <c r="P103">
        <v>0.99731950000000003</v>
      </c>
      <c r="Q103">
        <v>2.2883649999999998E-2</v>
      </c>
      <c r="R103">
        <v>6.9501019999999997E-2</v>
      </c>
      <c r="S103">
        <v>3.0349729999999999</v>
      </c>
      <c r="T103">
        <v>-0.25666239999999901</v>
      </c>
      <c r="U103">
        <v>-0.31845089999999998</v>
      </c>
      <c r="V103">
        <v>-6.9955999999999893E-2</v>
      </c>
      <c r="W103">
        <v>2.222671E-2</v>
      </c>
      <c r="X103">
        <v>0.99730239999999903</v>
      </c>
      <c r="Y103">
        <v>0.10354719999999901</v>
      </c>
      <c r="Z103">
        <v>-4.3212019999999997E-3</v>
      </c>
      <c r="AA103">
        <v>0.99461509999999997</v>
      </c>
      <c r="AB103">
        <v>28</v>
      </c>
      <c r="AC103">
        <v>0.61029999999999496</v>
      </c>
      <c r="AD103">
        <v>-7.5961000000000098E-2</v>
      </c>
      <c r="AE103">
        <v>-9.4600000000014006E-2</v>
      </c>
      <c r="AF103">
        <v>9.2922408405206394E-2</v>
      </c>
      <c r="AG103">
        <v>-7.5961000000000098E-2</v>
      </c>
      <c r="AH103">
        <v>0.60124638464633196</v>
      </c>
      <c r="AI103">
        <v>97.116942222522994</v>
      </c>
      <c r="AJ103">
        <v>81.214467429785401</v>
      </c>
      <c r="AK103">
        <v>0.61310836118512502</v>
      </c>
    </row>
    <row r="104" spans="1:37" x14ac:dyDescent="0.2">
      <c r="A104" t="str">
        <f>"20200111154030655"</f>
        <v>20200111154030655</v>
      </c>
      <c r="B104" t="str">
        <f>"1578728430646427"</f>
        <v>1578728430646427</v>
      </c>
      <c r="C104" t="s">
        <v>37</v>
      </c>
      <c r="D104">
        <v>5.3935849999999999</v>
      </c>
      <c r="E104">
        <v>0.58179409999999998</v>
      </c>
      <c r="F104" t="s">
        <v>38</v>
      </c>
      <c r="G104">
        <v>-460.21820000000002</v>
      </c>
      <c r="H104">
        <v>1.029202</v>
      </c>
      <c r="I104">
        <v>367.08879999999999</v>
      </c>
      <c r="J104">
        <v>-460.78919999999999</v>
      </c>
      <c r="K104">
        <v>1.1086799999999899</v>
      </c>
      <c r="L104">
        <v>367.20389999999998</v>
      </c>
      <c r="M104">
        <v>0.99999989999999905</v>
      </c>
      <c r="N104">
        <v>0</v>
      </c>
      <c r="O104">
        <v>-1.2329999999999999E-4</v>
      </c>
      <c r="P104">
        <v>0.99728859999999997</v>
      </c>
      <c r="Q104">
        <v>2.5547569999999999E-2</v>
      </c>
      <c r="R104">
        <v>6.9014140000000002E-2</v>
      </c>
      <c r="S104">
        <v>3.04260299999999</v>
      </c>
      <c r="T104">
        <v>-0.28015009999999901</v>
      </c>
      <c r="U104">
        <v>-0.40341189999999999</v>
      </c>
      <c r="V104">
        <v>-6.9150660000000003E-2</v>
      </c>
      <c r="W104">
        <v>2.4981110000000001E-2</v>
      </c>
      <c r="X104">
        <v>0.9972934</v>
      </c>
      <c r="Y104">
        <v>0.1307721</v>
      </c>
      <c r="Z104">
        <v>-5.9704789999999999E-3</v>
      </c>
      <c r="AA104">
        <v>0.99139449999999996</v>
      </c>
      <c r="AB104">
        <v>28</v>
      </c>
      <c r="AC104">
        <v>0.57099999999996898</v>
      </c>
      <c r="AD104">
        <v>-7.9477999999999896E-2</v>
      </c>
      <c r="AE104">
        <v>-0.11509999999998401</v>
      </c>
      <c r="AF104">
        <v>0.112927160317514</v>
      </c>
      <c r="AG104">
        <v>-7.9477999999999896E-2</v>
      </c>
      <c r="AH104">
        <v>0.56057756959042404</v>
      </c>
      <c r="AI104">
        <v>97.912660244287594</v>
      </c>
      <c r="AJ104">
        <v>78.610323298405703</v>
      </c>
      <c r="AK104">
        <v>0.57733569744931201</v>
      </c>
    </row>
    <row r="105" spans="1:37" x14ac:dyDescent="0.2">
      <c r="A105" t="str">
        <f>"20200111154030677"</f>
        <v>20200111154030677</v>
      </c>
      <c r="B105" t="str">
        <f>"1578728430666927"</f>
        <v>1578728430666927</v>
      </c>
      <c r="C105" t="s">
        <v>37</v>
      </c>
      <c r="D105">
        <v>5.4226710000000002</v>
      </c>
      <c r="E105">
        <v>0.5855939</v>
      </c>
      <c r="F105" t="s">
        <v>38</v>
      </c>
      <c r="G105">
        <v>-459.95620000000002</v>
      </c>
      <c r="H105">
        <v>1.0402049999999901</v>
      </c>
      <c r="I105">
        <v>367.07729999999998</v>
      </c>
      <c r="J105">
        <v>-460.49439999999998</v>
      </c>
      <c r="K105">
        <v>1.108692</v>
      </c>
      <c r="L105">
        <v>367.20420000000001</v>
      </c>
      <c r="M105">
        <v>0.99999989999999905</v>
      </c>
      <c r="N105">
        <v>0</v>
      </c>
      <c r="O105">
        <v>2.0914959999999999E-4</v>
      </c>
      <c r="P105">
        <v>0.99729249999999903</v>
      </c>
      <c r="Q105">
        <v>2.613505E-2</v>
      </c>
      <c r="R105">
        <v>6.8739809999999998E-2</v>
      </c>
      <c r="S105">
        <v>3.04657</v>
      </c>
      <c r="T105">
        <v>-0.25054749999999998</v>
      </c>
      <c r="U105">
        <v>-0.46234129999999901</v>
      </c>
      <c r="V105">
        <v>-6.8545519999999999E-2</v>
      </c>
      <c r="W105">
        <v>2.5661819999999998E-2</v>
      </c>
      <c r="X105">
        <v>0.99731789999999998</v>
      </c>
      <c r="Y105">
        <v>0.149752</v>
      </c>
      <c r="Z105">
        <v>-6.1296199999999997E-3</v>
      </c>
      <c r="AA105">
        <v>0.98870460000000004</v>
      </c>
      <c r="AB105">
        <v>29</v>
      </c>
      <c r="AC105">
        <v>0.53819999999996004</v>
      </c>
      <c r="AD105">
        <v>-6.8487000000000103E-2</v>
      </c>
      <c r="AE105">
        <v>-0.12690000000003401</v>
      </c>
      <c r="AF105">
        <v>0.12509359831834199</v>
      </c>
      <c r="AG105">
        <v>-6.8487000000000103E-2</v>
      </c>
      <c r="AH105">
        <v>0.53004247927838199</v>
      </c>
      <c r="AI105">
        <v>97.167639678992103</v>
      </c>
      <c r="AJ105">
        <v>76.720797824256607</v>
      </c>
      <c r="AK105">
        <v>0.54889334788172195</v>
      </c>
    </row>
    <row r="106" spans="1:37" x14ac:dyDescent="0.2">
      <c r="A106" t="str">
        <f>"20200111154030699"</f>
        <v>20200111154030699</v>
      </c>
      <c r="B106" t="str">
        <f>"1578728430696203"</f>
        <v>1578728430696203</v>
      </c>
      <c r="C106" t="s">
        <v>37</v>
      </c>
      <c r="D106">
        <v>5.3614439999999997</v>
      </c>
      <c r="E106">
        <v>0.58906510000000001</v>
      </c>
      <c r="F106" t="s">
        <v>38</v>
      </c>
      <c r="G106">
        <v>-459.69279999999998</v>
      </c>
      <c r="H106">
        <v>1.0470600000000001</v>
      </c>
      <c r="I106">
        <v>367.07470000000001</v>
      </c>
      <c r="J106">
        <v>-460.21949999999998</v>
      </c>
      <c r="K106">
        <v>1.108692</v>
      </c>
      <c r="L106">
        <v>367.20460000000003</v>
      </c>
      <c r="M106">
        <v>0.99999989999999905</v>
      </c>
      <c r="N106">
        <v>0</v>
      </c>
      <c r="O106">
        <v>5.2085689999999997E-4</v>
      </c>
      <c r="P106">
        <v>0.99733850000000002</v>
      </c>
      <c r="Q106">
        <v>2.4051800000000002E-2</v>
      </c>
      <c r="R106">
        <v>6.8829699999999994E-2</v>
      </c>
      <c r="S106">
        <v>3.0482480000000001</v>
      </c>
      <c r="T106">
        <v>-0.2343856</v>
      </c>
      <c r="U106">
        <v>-0.49230959999999901</v>
      </c>
      <c r="V106">
        <v>-6.8323469999999997E-2</v>
      </c>
      <c r="W106">
        <v>2.3665430000000001E-2</v>
      </c>
      <c r="X106">
        <v>0.99738249999999995</v>
      </c>
      <c r="Y106">
        <v>0.15949349999999901</v>
      </c>
      <c r="Z106">
        <v>-6.1233329999999999E-3</v>
      </c>
      <c r="AA106">
        <v>0.98717999999999995</v>
      </c>
      <c r="AB106">
        <v>29</v>
      </c>
      <c r="AC106">
        <v>0.52670000000000505</v>
      </c>
      <c r="AD106">
        <v>-6.1631999999999902E-2</v>
      </c>
      <c r="AE106">
        <v>-0.12990000000002</v>
      </c>
      <c r="AF106">
        <v>0.12851550587595001</v>
      </c>
      <c r="AG106">
        <v>-6.1631999999999902E-2</v>
      </c>
      <c r="AH106">
        <v>0.51992139224622402</v>
      </c>
      <c r="AI106">
        <v>96.564581186276101</v>
      </c>
      <c r="AJ106">
        <v>76.115788118085703</v>
      </c>
      <c r="AK106">
        <v>0.53910387940526205</v>
      </c>
    </row>
    <row r="107" spans="1:37" x14ac:dyDescent="0.2">
      <c r="A107" t="str">
        <f>"20200111154030721"</f>
        <v>20200111154030721</v>
      </c>
      <c r="B107" t="str">
        <f>"1578728430716699"</f>
        <v>1578728430716699</v>
      </c>
      <c r="C107" t="s">
        <v>37</v>
      </c>
      <c r="D107">
        <v>5.3646180000000001</v>
      </c>
      <c r="E107">
        <v>0.59072669999999905</v>
      </c>
      <c r="F107" t="s">
        <v>38</v>
      </c>
      <c r="G107">
        <v>-459.42250000000001</v>
      </c>
      <c r="H107">
        <v>1.0507919999999999</v>
      </c>
      <c r="I107">
        <v>367.06869999999998</v>
      </c>
      <c r="J107">
        <v>-459.92619999999999</v>
      </c>
      <c r="K107">
        <v>1.108692</v>
      </c>
      <c r="L107">
        <v>367.20499999999998</v>
      </c>
      <c r="M107">
        <v>0.99999969999999905</v>
      </c>
      <c r="N107">
        <v>0</v>
      </c>
      <c r="O107">
        <v>8.516989E-4</v>
      </c>
      <c r="P107">
        <v>0.99735130000000005</v>
      </c>
      <c r="Q107">
        <v>2.20524E-2</v>
      </c>
      <c r="R107">
        <v>6.9311699999999907E-2</v>
      </c>
      <c r="S107">
        <v>3.0491329999999999</v>
      </c>
      <c r="T107">
        <v>-0.22172719999999899</v>
      </c>
      <c r="U107">
        <v>-0.51892090000000002</v>
      </c>
      <c r="V107">
        <v>-6.8474809999999997E-2</v>
      </c>
      <c r="W107">
        <v>2.1759049999999999E-2</v>
      </c>
      <c r="X107">
        <v>0.99741550000000001</v>
      </c>
      <c r="Y107">
        <v>0.16817989999999999</v>
      </c>
      <c r="Z107">
        <v>-6.1247910000000001E-3</v>
      </c>
      <c r="AA107">
        <v>0.98573729999999904</v>
      </c>
      <c r="AB107">
        <v>29</v>
      </c>
      <c r="AC107">
        <v>0.50369999999998005</v>
      </c>
      <c r="AD107">
        <v>-5.79E-2</v>
      </c>
      <c r="AE107">
        <v>-0.136300000000005</v>
      </c>
      <c r="AF107">
        <v>0.13506603877508599</v>
      </c>
      <c r="AG107">
        <v>-5.79E-2</v>
      </c>
      <c r="AH107">
        <v>0.49745909020295598</v>
      </c>
      <c r="AI107">
        <v>96.408877915864593</v>
      </c>
      <c r="AJ107">
        <v>74.809718636875999</v>
      </c>
      <c r="AK107">
        <v>0.51871070092677396</v>
      </c>
    </row>
    <row r="108" spans="1:37" x14ac:dyDescent="0.2">
      <c r="A108" t="str">
        <f>"20200111154030744"</f>
        <v>20200111154030744</v>
      </c>
      <c r="B108" t="str">
        <f>"1578728430736220"</f>
        <v>1578728430736220</v>
      </c>
      <c r="C108" t="s">
        <v>37</v>
      </c>
      <c r="D108">
        <v>5.3487019999999896</v>
      </c>
      <c r="E108">
        <v>0.59193649999999998</v>
      </c>
      <c r="F108" t="s">
        <v>39</v>
      </c>
      <c r="G108">
        <v>-444.38010000000003</v>
      </c>
      <c r="H108" s="1">
        <v>-3.5442540000000001E-6</v>
      </c>
      <c r="I108">
        <v>364.50199999999899</v>
      </c>
      <c r="J108">
        <v>-459.6259</v>
      </c>
      <c r="K108">
        <v>1.1087009999999999</v>
      </c>
      <c r="L108">
        <v>367.2056</v>
      </c>
      <c r="M108">
        <v>0.99999930000000004</v>
      </c>
      <c r="N108">
        <v>0</v>
      </c>
      <c r="O108">
        <v>1.1877249999999999E-3</v>
      </c>
      <c r="P108">
        <v>0.99732140000000002</v>
      </c>
      <c r="Q108">
        <v>2.154499E-2</v>
      </c>
      <c r="R108">
        <v>6.9899399999999903E-2</v>
      </c>
      <c r="S108">
        <v>3.0495909999999999</v>
      </c>
      <c r="T108">
        <v>-0.2174864</v>
      </c>
      <c r="U108">
        <v>-0.53024289999999996</v>
      </c>
      <c r="V108">
        <v>-6.872702E-2</v>
      </c>
      <c r="W108">
        <v>2.134668E-2</v>
      </c>
      <c r="X108">
        <v>0.99740709999999999</v>
      </c>
      <c r="Y108">
        <v>0.17204629999999899</v>
      </c>
      <c r="Z108">
        <v>-6.1656150000000002E-3</v>
      </c>
      <c r="AA108">
        <v>0.98506959999999999</v>
      </c>
      <c r="AB108">
        <v>29</v>
      </c>
      <c r="AC108">
        <v>15.2457999999999</v>
      </c>
      <c r="AD108">
        <v>-1.108704544254</v>
      </c>
      <c r="AE108">
        <v>-2.70360000000005</v>
      </c>
      <c r="AF108">
        <v>2.70782224038178</v>
      </c>
      <c r="AG108">
        <v>-1.108704544254</v>
      </c>
      <c r="AH108">
        <v>15.1648243304811</v>
      </c>
      <c r="AI108">
        <v>94.116589399337599</v>
      </c>
      <c r="AJ108">
        <v>79.875995111460497</v>
      </c>
      <c r="AK108">
        <v>15.4445273163767</v>
      </c>
    </row>
    <row r="109" spans="1:37" x14ac:dyDescent="0.2">
      <c r="A109" t="str">
        <f>"20200111154030766"</f>
        <v>20200111154030766</v>
      </c>
      <c r="B109" t="str">
        <f>"1578728430756718"</f>
        <v>1578728430756718</v>
      </c>
      <c r="C109" t="s">
        <v>37</v>
      </c>
      <c r="D109">
        <v>5.6788850000000002</v>
      </c>
      <c r="E109">
        <v>0.592005</v>
      </c>
      <c r="F109" t="s">
        <v>39</v>
      </c>
      <c r="G109">
        <v>-443.61239999999998</v>
      </c>
      <c r="H109" s="1">
        <v>-3.928296E-6</v>
      </c>
      <c r="I109">
        <v>364.3827</v>
      </c>
      <c r="J109">
        <v>-459.32510000000002</v>
      </c>
      <c r="K109">
        <v>1.108716</v>
      </c>
      <c r="L109">
        <v>367.2063</v>
      </c>
      <c r="M109">
        <v>0.99999889999999902</v>
      </c>
      <c r="N109">
        <v>0</v>
      </c>
      <c r="O109">
        <v>1.52219799999999E-3</v>
      </c>
      <c r="P109">
        <v>0.99731369999999897</v>
      </c>
      <c r="Q109">
        <v>2.2245870000000001E-2</v>
      </c>
      <c r="R109">
        <v>6.9792419999999994E-2</v>
      </c>
      <c r="S109">
        <v>3.0502929999999999</v>
      </c>
      <c r="T109">
        <v>-0.21118909999999999</v>
      </c>
      <c r="U109">
        <v>-0.53771969999999902</v>
      </c>
      <c r="V109">
        <v>-6.8287799999999996E-2</v>
      </c>
      <c r="W109">
        <v>2.2144239999999999E-2</v>
      </c>
      <c r="X109">
        <v>0.99741990000000003</v>
      </c>
      <c r="Y109">
        <v>0.1746974</v>
      </c>
      <c r="Z109">
        <v>-6.0988319999999898E-3</v>
      </c>
      <c r="AA109">
        <v>0.98460329999999996</v>
      </c>
      <c r="AB109">
        <v>29</v>
      </c>
      <c r="AC109">
        <v>15.7127</v>
      </c>
      <c r="AD109">
        <v>-1.1087199282960001</v>
      </c>
      <c r="AE109">
        <v>-2.8235999999999901</v>
      </c>
      <c r="AF109">
        <v>2.83384623693106</v>
      </c>
      <c r="AG109">
        <v>-1.1087199282960001</v>
      </c>
      <c r="AH109">
        <v>15.632982036504499</v>
      </c>
      <c r="AI109">
        <v>93.991888497666196</v>
      </c>
      <c r="AJ109">
        <v>79.725362659912093</v>
      </c>
      <c r="AK109">
        <v>15.926395440514501</v>
      </c>
    </row>
    <row r="110" spans="1:37" x14ac:dyDescent="0.2">
      <c r="A110" t="str">
        <f>"20200111154030789"</f>
        <v>20200111154030789</v>
      </c>
      <c r="B110" t="str">
        <f>"1578728430786972"</f>
        <v>1578728430786972</v>
      </c>
      <c r="C110" t="s">
        <v>37</v>
      </c>
      <c r="D110">
        <v>5.3646529999999997</v>
      </c>
      <c r="E110">
        <v>0.59282789999999996</v>
      </c>
      <c r="F110" t="s">
        <v>39</v>
      </c>
      <c r="G110">
        <v>-443.22250000000003</v>
      </c>
      <c r="H110" s="1">
        <v>-4.115437E-6</v>
      </c>
      <c r="I110">
        <v>364.36660000000001</v>
      </c>
      <c r="J110">
        <v>-459.0197</v>
      </c>
      <c r="K110">
        <v>1.1087400000000001</v>
      </c>
      <c r="L110">
        <v>367.20710000000003</v>
      </c>
      <c r="M110">
        <v>0.99999830000000001</v>
      </c>
      <c r="N110">
        <v>0</v>
      </c>
      <c r="O110">
        <v>1.860481E-3</v>
      </c>
      <c r="P110">
        <v>0.99731150000000002</v>
      </c>
      <c r="Q110">
        <v>2.3280990000000001E-2</v>
      </c>
      <c r="R110">
        <v>6.9483879999999998E-2</v>
      </c>
      <c r="S110">
        <v>3.0504150000000001</v>
      </c>
      <c r="T110">
        <v>-0.210032</v>
      </c>
      <c r="U110">
        <v>-0.53793329999999995</v>
      </c>
      <c r="V110">
        <v>-6.7642540000000001E-2</v>
      </c>
      <c r="W110">
        <v>2.3277389999999998E-2</v>
      </c>
      <c r="X110">
        <v>0.99743799999999905</v>
      </c>
      <c r="Y110">
        <v>0.17509340000000001</v>
      </c>
      <c r="Z110">
        <v>-6.10182E-3</v>
      </c>
      <c r="AA110">
        <v>0.98453289999999904</v>
      </c>
      <c r="AB110">
        <v>30</v>
      </c>
      <c r="AC110">
        <v>15.797199999999901</v>
      </c>
      <c r="AD110">
        <v>-1.1087441154369999</v>
      </c>
      <c r="AE110">
        <v>-2.84050000000002</v>
      </c>
      <c r="AF110">
        <v>2.8562559630344801</v>
      </c>
      <c r="AG110">
        <v>-1.1087441154369999</v>
      </c>
      <c r="AH110">
        <v>15.716889952694499</v>
      </c>
      <c r="AI110">
        <v>93.970413090829794</v>
      </c>
      <c r="AJ110">
        <v>79.699954203540003</v>
      </c>
      <c r="AK110">
        <v>16.012749339978999</v>
      </c>
    </row>
    <row r="111" spans="1:37" x14ac:dyDescent="0.2">
      <c r="A111" t="str">
        <f>"20200111154030812"</f>
        <v>20200111154030812</v>
      </c>
      <c r="B111" t="str">
        <f>"1578728430806491"</f>
        <v>1578728430806491</v>
      </c>
      <c r="C111" t="s">
        <v>37</v>
      </c>
      <c r="D111">
        <v>5.5280569999999898</v>
      </c>
      <c r="E111">
        <v>0.59284619999999999</v>
      </c>
      <c r="F111" t="s">
        <v>39</v>
      </c>
      <c r="G111">
        <v>-442.36610000000002</v>
      </c>
      <c r="H111" s="1">
        <v>-4.5443809999999997E-6</v>
      </c>
      <c r="I111">
        <v>364.23079999999999</v>
      </c>
      <c r="J111">
        <v>-458.72219999999999</v>
      </c>
      <c r="K111">
        <v>1.108757</v>
      </c>
      <c r="L111">
        <v>367.2079</v>
      </c>
      <c r="M111">
        <v>0.99999769999999899</v>
      </c>
      <c r="N111">
        <v>0</v>
      </c>
      <c r="O111">
        <v>2.1897610000000001E-3</v>
      </c>
      <c r="P111">
        <v>0.99732690000000002</v>
      </c>
      <c r="Q111">
        <v>2.308062E-2</v>
      </c>
      <c r="R111">
        <v>6.9331240000000002E-2</v>
      </c>
      <c r="S111">
        <v>3.0508120000000001</v>
      </c>
      <c r="T111">
        <v>-0.20311299999999999</v>
      </c>
      <c r="U111">
        <v>-0.54522709999999996</v>
      </c>
      <c r="V111">
        <v>-6.7161390000000001E-2</v>
      </c>
      <c r="W111">
        <v>2.3172040000000001E-2</v>
      </c>
      <c r="X111">
        <v>0.99747299999999905</v>
      </c>
      <c r="Y111">
        <v>0.1776972</v>
      </c>
      <c r="Z111">
        <v>-6.006908E-3</v>
      </c>
      <c r="AA111">
        <v>0.98406689999999997</v>
      </c>
      <c r="AB111">
        <v>30</v>
      </c>
      <c r="AC111">
        <v>16.356099999999898</v>
      </c>
      <c r="AD111">
        <v>-1.1087615443809999</v>
      </c>
      <c r="AE111">
        <v>-2.9771000000000001</v>
      </c>
      <c r="AF111">
        <v>2.9995668320708302</v>
      </c>
      <c r="AG111">
        <v>-1.1087615443809999</v>
      </c>
      <c r="AH111">
        <v>16.277141448109798</v>
      </c>
      <c r="AI111">
        <v>93.832502997393604</v>
      </c>
      <c r="AJ111">
        <v>79.558623021161594</v>
      </c>
      <c r="AK111">
        <v>16.588311760517701</v>
      </c>
    </row>
    <row r="112" spans="1:37" x14ac:dyDescent="0.2">
      <c r="A112" t="str">
        <f>"20200111154030833"</f>
        <v>20200111154030833</v>
      </c>
      <c r="B112" t="str">
        <f>"1578728430826988"</f>
        <v>1578728430826988</v>
      </c>
      <c r="C112" t="s">
        <v>37</v>
      </c>
      <c r="D112">
        <v>5.1354309999999996</v>
      </c>
      <c r="E112">
        <v>0.53694529999999996</v>
      </c>
      <c r="F112" t="s">
        <v>39</v>
      </c>
      <c r="G112">
        <v>-442.11849999999998</v>
      </c>
      <c r="H112" s="1">
        <v>-4.6602629999999997E-6</v>
      </c>
      <c r="I112">
        <v>364.2373</v>
      </c>
      <c r="J112">
        <v>-458.42290000000003</v>
      </c>
      <c r="K112">
        <v>1.10877</v>
      </c>
      <c r="L112">
        <v>367.20890000000003</v>
      </c>
      <c r="M112">
        <v>0.99999680000000002</v>
      </c>
      <c r="N112">
        <v>0</v>
      </c>
      <c r="O112">
        <v>2.521658E-3</v>
      </c>
      <c r="P112">
        <v>0.99734049999999996</v>
      </c>
      <c r="Q112">
        <v>2.286552E-2</v>
      </c>
      <c r="R112">
        <v>6.9203849999999997E-2</v>
      </c>
      <c r="S112">
        <v>3.050659</v>
      </c>
      <c r="T112">
        <v>-0.20371710000000001</v>
      </c>
      <c r="U112">
        <v>-0.54580689999999998</v>
      </c>
      <c r="V112">
        <v>-6.6702579999999997E-2</v>
      </c>
      <c r="W112">
        <v>2.3052860000000001E-2</v>
      </c>
      <c r="X112">
        <v>0.99750659999999902</v>
      </c>
      <c r="Y112">
        <v>0.17820939999999999</v>
      </c>
      <c r="Z112">
        <v>-6.0638459999999899E-3</v>
      </c>
      <c r="AA112">
        <v>0.98397389999999996</v>
      </c>
      <c r="AB112">
        <v>30</v>
      </c>
      <c r="AC112">
        <v>16.304400000000001</v>
      </c>
      <c r="AD112">
        <v>-1.108774660263</v>
      </c>
      <c r="AE112">
        <v>-2.97160000000002</v>
      </c>
      <c r="AF112">
        <v>2.9992800514159299</v>
      </c>
      <c r="AG112">
        <v>-1.108774660263</v>
      </c>
      <c r="AH112">
        <v>16.224235962571399</v>
      </c>
      <c r="AI112">
        <v>93.844609236888601</v>
      </c>
      <c r="AJ112">
        <v>79.526306517695303</v>
      </c>
      <c r="AK112">
        <v>16.536350705136101</v>
      </c>
    </row>
    <row r="113" spans="1:37" x14ac:dyDescent="0.2">
      <c r="A113" t="str">
        <f>"20200111154030857"</f>
        <v>20200111154030857</v>
      </c>
      <c r="B113" t="str">
        <f>"1578728430846507"</f>
        <v>1578728430846507</v>
      </c>
      <c r="C113" t="s">
        <v>37</v>
      </c>
      <c r="D113">
        <v>5.2083639999999898</v>
      </c>
      <c r="E113">
        <v>0.5222559</v>
      </c>
      <c r="F113" t="s">
        <v>38</v>
      </c>
      <c r="G113">
        <v>-457.56729999999999</v>
      </c>
      <c r="H113">
        <v>1.047472</v>
      </c>
      <c r="I113">
        <v>367.17970000000003</v>
      </c>
      <c r="J113">
        <v>-458.111999999999</v>
      </c>
      <c r="K113">
        <v>1.1087830000000001</v>
      </c>
      <c r="L113">
        <v>367.21010000000001</v>
      </c>
      <c r="M113">
        <v>0.99999590000000005</v>
      </c>
      <c r="N113">
        <v>0</v>
      </c>
      <c r="O113">
        <v>2.8667850000000002E-3</v>
      </c>
      <c r="P113">
        <v>0.99735469999999904</v>
      </c>
      <c r="Q113">
        <v>2.2961800000000001E-2</v>
      </c>
      <c r="R113">
        <v>6.8968050000000003E-2</v>
      </c>
      <c r="S113">
        <v>3.0200200000000001</v>
      </c>
      <c r="T113">
        <v>-0.216571299999999</v>
      </c>
      <c r="U113">
        <v>-0.1016846</v>
      </c>
      <c r="V113">
        <v>-6.6122920000000002E-2</v>
      </c>
      <c r="W113">
        <v>2.3249260000000001E-2</v>
      </c>
      <c r="X113">
        <v>0.997540599999999</v>
      </c>
      <c r="Y113">
        <v>3.6415360000000001E-2</v>
      </c>
      <c r="Z113">
        <v>-1.5089279999999899E-3</v>
      </c>
      <c r="AA113">
        <v>0.99933559999999999</v>
      </c>
      <c r="AB113">
        <v>30</v>
      </c>
      <c r="AC113">
        <v>0.54469999999997698</v>
      </c>
      <c r="AD113">
        <v>-6.1311000000000102E-2</v>
      </c>
      <c r="AE113">
        <v>-3.03999999999859E-2</v>
      </c>
      <c r="AF113">
        <v>3.1562767706106103E-2</v>
      </c>
      <c r="AG113">
        <v>-6.1311000000000102E-2</v>
      </c>
      <c r="AH113">
        <v>0.53781784608204597</v>
      </c>
      <c r="AI113">
        <v>96.492542062095495</v>
      </c>
      <c r="AJ113">
        <v>86.641350720621801</v>
      </c>
      <c r="AK113">
        <v>0.54222069546504803</v>
      </c>
    </row>
    <row r="114" spans="1:37" x14ac:dyDescent="0.2">
      <c r="A114" t="str">
        <f>"20200111154030878"</f>
        <v>20200111154030878</v>
      </c>
      <c r="B114" t="str">
        <f>"1578728430867019"</f>
        <v>1578728430867019</v>
      </c>
      <c r="C114" t="s">
        <v>37</v>
      </c>
      <c r="D114">
        <v>5.122255</v>
      </c>
      <c r="E114">
        <v>0.5179068</v>
      </c>
      <c r="F114" t="s">
        <v>38</v>
      </c>
      <c r="G114">
        <v>-457.28919999999999</v>
      </c>
      <c r="H114">
        <v>1.048446</v>
      </c>
      <c r="I114">
        <v>367.21370000000002</v>
      </c>
      <c r="J114">
        <v>-457.81479999999999</v>
      </c>
      <c r="K114">
        <v>1.1087989999999901</v>
      </c>
      <c r="L114">
        <v>367.21120000000002</v>
      </c>
      <c r="M114">
        <v>0.99999490000000002</v>
      </c>
      <c r="N114">
        <v>0</v>
      </c>
      <c r="O114">
        <v>3.1972429999999998E-3</v>
      </c>
      <c r="P114">
        <v>0.99738009999999999</v>
      </c>
      <c r="Q114">
        <v>2.2955670000000001E-2</v>
      </c>
      <c r="R114">
        <v>6.8600099999999997E-2</v>
      </c>
      <c r="S114">
        <v>3.012054</v>
      </c>
      <c r="T114">
        <v>-0.22100839999999999</v>
      </c>
      <c r="U114">
        <v>1.4373779999999999E-2</v>
      </c>
      <c r="V114">
        <v>-6.5425449999999996E-2</v>
      </c>
      <c r="W114">
        <v>2.333841E-2</v>
      </c>
      <c r="X114">
        <v>0.99758449999999999</v>
      </c>
      <c r="Y114">
        <v>-1.579149E-3</v>
      </c>
      <c r="Z114">
        <v>-1.7642290000000001E-4</v>
      </c>
      <c r="AA114">
        <v>0.99999869999999902</v>
      </c>
      <c r="AB114">
        <v>30</v>
      </c>
      <c r="AC114">
        <v>0.52559999999999696</v>
      </c>
      <c r="AD114">
        <v>-6.0352999999999803E-2</v>
      </c>
      <c r="AE114">
        <v>2.4999999999977202E-3</v>
      </c>
      <c r="AF114">
        <v>-8.0885168295695702E-4</v>
      </c>
      <c r="AG114">
        <v>-6.0352999999999803E-2</v>
      </c>
      <c r="AH114">
        <v>0.51876543087475402</v>
      </c>
      <c r="AI114">
        <v>96.635932519893302</v>
      </c>
      <c r="AJ114">
        <v>90.089334692276097</v>
      </c>
      <c r="AK114">
        <v>0.522264981710161</v>
      </c>
    </row>
    <row r="115" spans="1:37" x14ac:dyDescent="0.2">
      <c r="A115" t="str">
        <f>"20200111154030900"</f>
        <v>20200111154030900</v>
      </c>
      <c r="B115" t="str">
        <f>"1578728430896284"</f>
        <v>1578728430896284</v>
      </c>
      <c r="C115" t="s">
        <v>37</v>
      </c>
      <c r="D115">
        <v>5.0443419999999897</v>
      </c>
      <c r="E115">
        <v>0.51572609999999997</v>
      </c>
      <c r="F115" t="s">
        <v>39</v>
      </c>
      <c r="G115">
        <v>-442.67070000000001</v>
      </c>
      <c r="H115" s="1">
        <v>-3.8286070000000001E-6</v>
      </c>
      <c r="I115">
        <v>367.45409999999998</v>
      </c>
      <c r="J115">
        <v>-457.5206</v>
      </c>
      <c r="K115">
        <v>1.1088089999999999</v>
      </c>
      <c r="L115">
        <v>367.2124</v>
      </c>
      <c r="M115">
        <v>0.99999380000000004</v>
      </c>
      <c r="N115">
        <v>0</v>
      </c>
      <c r="O115">
        <v>3.5245989999999998E-3</v>
      </c>
      <c r="P115">
        <v>0.99738930000000003</v>
      </c>
      <c r="Q115">
        <v>2.346931E-2</v>
      </c>
      <c r="R115">
        <v>6.8294359999999998E-2</v>
      </c>
      <c r="S115">
        <v>3.0096129999999999</v>
      </c>
      <c r="T115">
        <v>-0.220354299999999</v>
      </c>
      <c r="U115">
        <v>4.8278809999999998E-2</v>
      </c>
      <c r="V115">
        <v>-6.4793740000000002E-2</v>
      </c>
      <c r="W115">
        <v>2.3946680000000001E-2</v>
      </c>
      <c r="X115">
        <v>0.99761129999999998</v>
      </c>
      <c r="Y115">
        <v>-1.2491230000000001E-2</v>
      </c>
      <c r="Z115">
        <v>1.9894739999999999E-4</v>
      </c>
      <c r="AA115">
        <v>0.99992199999999998</v>
      </c>
      <c r="AB115">
        <v>31</v>
      </c>
      <c r="AC115">
        <v>14.8498999999999</v>
      </c>
      <c r="AD115">
        <v>-1.108812828607</v>
      </c>
      <c r="AE115">
        <v>0.24169999999997999</v>
      </c>
      <c r="AF115">
        <v>-0.18830895289480301</v>
      </c>
      <c r="AG115">
        <v>-1.108812828607</v>
      </c>
      <c r="AH115">
        <v>14.7683432945157</v>
      </c>
      <c r="AI115">
        <v>94.293385284478603</v>
      </c>
      <c r="AJ115">
        <v>90.730530389465002</v>
      </c>
      <c r="AK115">
        <v>14.8111069746758</v>
      </c>
    </row>
    <row r="116" spans="1:37" x14ac:dyDescent="0.2">
      <c r="A116" t="str">
        <f>"20200111154030924"</f>
        <v>20200111154030924</v>
      </c>
      <c r="B116" t="str">
        <f>"1578728430916780"</f>
        <v>1578728430916780</v>
      </c>
      <c r="C116" t="s">
        <v>37</v>
      </c>
      <c r="D116">
        <v>5.0630139999999999</v>
      </c>
      <c r="E116">
        <v>0.51515649999999902</v>
      </c>
      <c r="F116" t="s">
        <v>39</v>
      </c>
      <c r="G116">
        <v>-442.55309999999997</v>
      </c>
      <c r="H116" s="1">
        <v>-3.8697520000000001E-6</v>
      </c>
      <c r="I116">
        <v>367.53570000000002</v>
      </c>
      <c r="J116">
        <v>-457.18509999999998</v>
      </c>
      <c r="K116">
        <v>1.1088199999999999</v>
      </c>
      <c r="L116">
        <v>367.214</v>
      </c>
      <c r="M116">
        <v>0.999992199999999</v>
      </c>
      <c r="N116">
        <v>0</v>
      </c>
      <c r="O116">
        <v>3.8980249999999998E-3</v>
      </c>
      <c r="P116">
        <v>0.99737609999999999</v>
      </c>
      <c r="Q116">
        <v>2.3493699999999999E-2</v>
      </c>
      <c r="R116">
        <v>6.8476560000000006E-2</v>
      </c>
      <c r="S116">
        <v>3.0086059999999999</v>
      </c>
      <c r="T116">
        <v>-0.22288150000000001</v>
      </c>
      <c r="U116">
        <v>6.4971920000000002E-2</v>
      </c>
      <c r="V116">
        <v>-6.4603720000000003E-2</v>
      </c>
      <c r="W116">
        <v>2.4078249999999999E-2</v>
      </c>
      <c r="X116">
        <v>0.99762050000000002</v>
      </c>
      <c r="Y116">
        <v>-1.765537E-2</v>
      </c>
      <c r="Z116">
        <v>3.6465699999999903E-4</v>
      </c>
      <c r="AA116">
        <v>0.99984409999999901</v>
      </c>
      <c r="AB116">
        <v>31</v>
      </c>
      <c r="AC116">
        <v>14.632</v>
      </c>
      <c r="AD116">
        <v>-1.1088238697520001</v>
      </c>
      <c r="AE116">
        <v>0.32170000000002102</v>
      </c>
      <c r="AF116">
        <v>-0.26315116887175499</v>
      </c>
      <c r="AG116">
        <v>-1.1088238697520001</v>
      </c>
      <c r="AH116">
        <v>14.549628735972201</v>
      </c>
      <c r="AI116">
        <v>94.357364231447093</v>
      </c>
      <c r="AJ116">
        <v>91.036164420574494</v>
      </c>
      <c r="AK116">
        <v>14.5941918332753</v>
      </c>
    </row>
    <row r="117" spans="1:37" x14ac:dyDescent="0.2">
      <c r="A117" t="str">
        <f>"20200111154030945"</f>
        <v>20200111154030945</v>
      </c>
      <c r="B117" t="str">
        <f>"1578728430936504"</f>
        <v>1578728430936504</v>
      </c>
      <c r="C117" t="s">
        <v>37</v>
      </c>
      <c r="D117">
        <v>5.044295</v>
      </c>
      <c r="E117">
        <v>0.51456020000000002</v>
      </c>
      <c r="F117" t="s">
        <v>38</v>
      </c>
      <c r="G117">
        <v>-456.18770000000001</v>
      </c>
      <c r="H117">
        <v>1.035296</v>
      </c>
      <c r="I117">
        <v>367.23680000000002</v>
      </c>
      <c r="J117">
        <v>-456.88319999999999</v>
      </c>
      <c r="K117">
        <v>1.1088290000000001</v>
      </c>
      <c r="L117">
        <v>367.21539999999999</v>
      </c>
      <c r="M117">
        <v>0.99999090000000002</v>
      </c>
      <c r="N117">
        <v>0</v>
      </c>
      <c r="O117">
        <v>4.2341929999999998E-3</v>
      </c>
      <c r="P117">
        <v>0.99731950000000003</v>
      </c>
      <c r="Q117">
        <v>2.3608359999999998E-2</v>
      </c>
      <c r="R117">
        <v>6.9257799999999994E-2</v>
      </c>
      <c r="S117">
        <v>3.0083310000000001</v>
      </c>
      <c r="T117">
        <v>-0.2218659</v>
      </c>
      <c r="U117">
        <v>6.9763179999999994E-2</v>
      </c>
      <c r="V117">
        <v>-6.5050090000000005E-2</v>
      </c>
      <c r="W117">
        <v>2.4288480000000001E-2</v>
      </c>
      <c r="X117">
        <v>0.99758639999999998</v>
      </c>
      <c r="Y117">
        <v>-1.8910659999999999E-2</v>
      </c>
      <c r="Z117">
        <v>3.8449220000000002E-4</v>
      </c>
      <c r="AA117">
        <v>0.99982109999999902</v>
      </c>
      <c r="AB117">
        <v>31</v>
      </c>
      <c r="AC117">
        <v>0.69549999999998102</v>
      </c>
      <c r="AD117">
        <v>-7.3533000000000001E-2</v>
      </c>
      <c r="AE117">
        <v>2.1400000000028199E-2</v>
      </c>
      <c r="AF117">
        <v>-1.8251105730281599E-2</v>
      </c>
      <c r="AG117">
        <v>-7.3533000000000001E-2</v>
      </c>
      <c r="AH117">
        <v>0.68790217006005505</v>
      </c>
      <c r="AI117">
        <v>96.099308138737698</v>
      </c>
      <c r="AJ117">
        <v>91.5197888772677</v>
      </c>
      <c r="AK117">
        <v>0.69206184732486997</v>
      </c>
    </row>
    <row r="118" spans="1:37" x14ac:dyDescent="0.2">
      <c r="A118" t="str">
        <f>"20200111154030967"</f>
        <v>20200111154030967</v>
      </c>
      <c r="B118" t="str">
        <f>"1578728430957002"</f>
        <v>1578728430957002</v>
      </c>
      <c r="C118" t="s">
        <v>37</v>
      </c>
      <c r="D118">
        <v>5.024502</v>
      </c>
      <c r="E118">
        <v>0.51412530000000001</v>
      </c>
      <c r="F118" t="s">
        <v>38</v>
      </c>
      <c r="G118">
        <v>-455.9049</v>
      </c>
      <c r="H118">
        <v>1.0369079999999999</v>
      </c>
      <c r="I118">
        <v>367.23970000000003</v>
      </c>
      <c r="J118">
        <v>-456.56699999999898</v>
      </c>
      <c r="K118">
        <v>1.1088420000000001</v>
      </c>
      <c r="L118">
        <v>367.21710000000002</v>
      </c>
      <c r="M118">
        <v>0.99998920000000002</v>
      </c>
      <c r="N118">
        <v>0</v>
      </c>
      <c r="O118">
        <v>4.5855569999999997E-3</v>
      </c>
      <c r="P118">
        <v>0.99725540000000001</v>
      </c>
      <c r="Q118">
        <v>2.4434049999999999E-2</v>
      </c>
      <c r="R118">
        <v>6.98936E-2</v>
      </c>
      <c r="S118">
        <v>3.0079959999999999</v>
      </c>
      <c r="T118">
        <v>-0.2215018</v>
      </c>
      <c r="U118">
        <v>7.6477050000000005E-2</v>
      </c>
      <c r="V118">
        <v>-6.5336839999999993E-2</v>
      </c>
      <c r="W118">
        <v>2.5214210000000001E-2</v>
      </c>
      <c r="X118">
        <v>0.9975446</v>
      </c>
      <c r="Y118">
        <v>-2.0788190000000002E-2</v>
      </c>
      <c r="Z118">
        <v>4.2708580000000001E-4</v>
      </c>
      <c r="AA118">
        <v>0.9997838</v>
      </c>
      <c r="AB118">
        <v>31</v>
      </c>
      <c r="AC118">
        <v>0.66209999999995195</v>
      </c>
      <c r="AD118">
        <v>-7.1934000000000095E-2</v>
      </c>
      <c r="AE118">
        <v>2.2600000000011201E-2</v>
      </c>
      <c r="AF118">
        <v>-1.9335695472766298E-2</v>
      </c>
      <c r="AG118">
        <v>-7.1934000000000095E-2</v>
      </c>
      <c r="AH118">
        <v>0.65448031876873403</v>
      </c>
      <c r="AI118">
        <v>96.269495677581901</v>
      </c>
      <c r="AJ118">
        <v>91.692230554874101</v>
      </c>
      <c r="AK118">
        <v>0.65870544033812195</v>
      </c>
    </row>
    <row r="119" spans="1:37" x14ac:dyDescent="0.2">
      <c r="A119" t="str">
        <f>"20200111154030989"</f>
        <v>20200111154030989</v>
      </c>
      <c r="B119" t="str">
        <f>"1578728430986280"</f>
        <v>1578728430986280</v>
      </c>
      <c r="C119" t="s">
        <v>37</v>
      </c>
      <c r="D119">
        <v>5.1100839999999996</v>
      </c>
      <c r="E119">
        <v>0.51376460000000002</v>
      </c>
      <c r="F119" t="s">
        <v>38</v>
      </c>
      <c r="G119">
        <v>-455.60930000000002</v>
      </c>
      <c r="H119">
        <v>1.0396799999999999</v>
      </c>
      <c r="I119">
        <v>367.2432</v>
      </c>
      <c r="J119">
        <v>-456.26650000000001</v>
      </c>
      <c r="K119">
        <v>1.1088519999999999</v>
      </c>
      <c r="L119">
        <v>367.21879999999999</v>
      </c>
      <c r="M119">
        <v>0.99998750000000003</v>
      </c>
      <c r="N119">
        <v>0</v>
      </c>
      <c r="O119">
        <v>4.9155179999999998E-3</v>
      </c>
      <c r="P119">
        <v>0.99719049999999998</v>
      </c>
      <c r="Q119">
        <v>2.4684560000000001E-2</v>
      </c>
      <c r="R119">
        <v>7.0721549999999994E-2</v>
      </c>
      <c r="S119">
        <v>3.0077820000000002</v>
      </c>
      <c r="T119">
        <v>-0.21730160000000001</v>
      </c>
      <c r="U119">
        <v>8.2122799999999996E-2</v>
      </c>
      <c r="V119">
        <v>-6.5835710000000006E-2</v>
      </c>
      <c r="W119">
        <v>2.5560280000000001E-2</v>
      </c>
      <c r="X119">
        <v>0.99750300000000003</v>
      </c>
      <c r="Y119">
        <v>-2.2333889999999999E-2</v>
      </c>
      <c r="Z119">
        <v>4.5097900000000001E-4</v>
      </c>
      <c r="AA119">
        <v>0.99975049999999899</v>
      </c>
      <c r="AB119">
        <v>31</v>
      </c>
      <c r="AC119">
        <v>0.65719999999998802</v>
      </c>
      <c r="AD119">
        <v>-6.9171999999999997E-2</v>
      </c>
      <c r="AE119">
        <v>2.4400000000014101E-2</v>
      </c>
      <c r="AF119">
        <v>-2.0937595793618601E-2</v>
      </c>
      <c r="AG119">
        <v>-6.9171999999999997E-2</v>
      </c>
      <c r="AH119">
        <v>0.65011981592168999</v>
      </c>
      <c r="AI119">
        <v>96.070231797319593</v>
      </c>
      <c r="AJ119">
        <v>91.844615934566704</v>
      </c>
      <c r="AK119">
        <v>0.65412454743394899</v>
      </c>
    </row>
    <row r="120" spans="1:37" x14ac:dyDescent="0.2">
      <c r="A120" t="str">
        <f>"20200111154031011"</f>
        <v>20200111154031011</v>
      </c>
      <c r="B120" t="str">
        <f>"1578728431006776"</f>
        <v>1578728431006776</v>
      </c>
      <c r="C120" t="s">
        <v>37</v>
      </c>
      <c r="D120">
        <v>5.0500999999999996</v>
      </c>
      <c r="E120">
        <v>0.51352949999999997</v>
      </c>
      <c r="F120" t="s">
        <v>39</v>
      </c>
      <c r="G120">
        <v>-440.64190000000002</v>
      </c>
      <c r="H120" s="1">
        <v>-4.749033E-6</v>
      </c>
      <c r="I120">
        <v>367.67169999999999</v>
      </c>
      <c r="J120">
        <v>-455.94150000000002</v>
      </c>
      <c r="K120">
        <v>1.108867</v>
      </c>
      <c r="L120">
        <v>367.22070000000002</v>
      </c>
      <c r="M120">
        <v>0.99998569999999998</v>
      </c>
      <c r="N120">
        <v>0</v>
      </c>
      <c r="O120">
        <v>5.2654399999999997E-3</v>
      </c>
      <c r="P120">
        <v>0.99710180000000004</v>
      </c>
      <c r="Q120">
        <v>2.4844080000000001E-2</v>
      </c>
      <c r="R120">
        <v>7.190908E-2</v>
      </c>
      <c r="S120">
        <v>3.007568</v>
      </c>
      <c r="T120">
        <v>-0.2134441</v>
      </c>
      <c r="U120">
        <v>8.7188719999999997E-2</v>
      </c>
      <c r="V120">
        <v>-6.6675239999999997E-2</v>
      </c>
      <c r="W120">
        <v>2.5822459999999998E-2</v>
      </c>
      <c r="X120">
        <v>0.99744049999999995</v>
      </c>
      <c r="Y120">
        <v>-2.366772E-2</v>
      </c>
      <c r="Z120">
        <v>4.654797E-4</v>
      </c>
      <c r="AA120">
        <v>0.99971980000000005</v>
      </c>
      <c r="AB120">
        <v>32</v>
      </c>
      <c r="AC120">
        <v>15.2995999999999</v>
      </c>
      <c r="AD120">
        <v>-1.108871749033</v>
      </c>
      <c r="AE120">
        <v>0.45099999999996498</v>
      </c>
      <c r="AF120">
        <v>-0.368500555989002</v>
      </c>
      <c r="AG120">
        <v>-1.108871749033</v>
      </c>
      <c r="AH120">
        <v>15.221872452571001</v>
      </c>
      <c r="AI120">
        <v>94.165264943945104</v>
      </c>
      <c r="AJ120">
        <v>91.386780998366405</v>
      </c>
      <c r="AK120">
        <v>15.266656155750301</v>
      </c>
    </row>
    <row r="121" spans="1:37" x14ac:dyDescent="0.2">
      <c r="A121" t="str">
        <f>"20200111154031035"</f>
        <v>20200111154031035</v>
      </c>
      <c r="B121" t="str">
        <f>"1578728431026296"</f>
        <v>1578728431026296</v>
      </c>
      <c r="C121" t="s">
        <v>37</v>
      </c>
      <c r="D121">
        <v>5.0322569999999898</v>
      </c>
      <c r="E121">
        <v>0.51343519999999998</v>
      </c>
      <c r="F121" t="s">
        <v>39</v>
      </c>
      <c r="G121">
        <v>-440.1721</v>
      </c>
      <c r="H121" s="1">
        <v>-4.9648889999999996E-6</v>
      </c>
      <c r="I121">
        <v>367.70690000000002</v>
      </c>
      <c r="J121">
        <v>-455.61360000000002</v>
      </c>
      <c r="K121">
        <v>1.1088799999999901</v>
      </c>
      <c r="L121">
        <v>367.22280000000001</v>
      </c>
      <c r="M121">
        <v>0.99998369999999903</v>
      </c>
      <c r="N121">
        <v>0</v>
      </c>
      <c r="O121">
        <v>5.6087389999999997E-3</v>
      </c>
      <c r="P121">
        <v>0.99696819999999897</v>
      </c>
      <c r="Q121">
        <v>2.49995999999999E-2</v>
      </c>
      <c r="R121">
        <v>7.3684529999999998E-2</v>
      </c>
      <c r="S121">
        <v>3.007263</v>
      </c>
      <c r="T121">
        <v>-0.21146509999999999</v>
      </c>
      <c r="U121">
        <v>9.2712399999999903E-2</v>
      </c>
      <c r="V121">
        <v>-6.8108219999999997E-2</v>
      </c>
      <c r="W121">
        <v>2.608129E-2</v>
      </c>
      <c r="X121">
        <v>0.99733700000000003</v>
      </c>
      <c r="Y121">
        <v>-2.5160060000000001E-2</v>
      </c>
      <c r="Z121">
        <v>4.8949759999999997E-4</v>
      </c>
      <c r="AA121">
        <v>0.99968330000000005</v>
      </c>
      <c r="AB121">
        <v>32</v>
      </c>
      <c r="AC121">
        <v>15.4415</v>
      </c>
      <c r="AD121">
        <v>-1.10888496488899</v>
      </c>
      <c r="AE121">
        <v>0.48410000000001202</v>
      </c>
      <c r="AF121">
        <v>-0.39544768610719699</v>
      </c>
      <c r="AG121">
        <v>-1.10888496488899</v>
      </c>
      <c r="AH121">
        <v>15.364814332479501</v>
      </c>
      <c r="AI121">
        <v>94.126541289027799</v>
      </c>
      <c r="AJ121">
        <v>91.474308906120299</v>
      </c>
      <c r="AK121">
        <v>15.409851531061999</v>
      </c>
    </row>
    <row r="122" spans="1:37" x14ac:dyDescent="0.2">
      <c r="A122" t="str">
        <f>"20200111154031057"</f>
        <v>20200111154031057</v>
      </c>
      <c r="B122" t="str">
        <f>"1578728431046324"</f>
        <v>1578728431046324</v>
      </c>
      <c r="C122" t="s">
        <v>37</v>
      </c>
      <c r="D122">
        <v>5.000839</v>
      </c>
      <c r="E122">
        <v>0.51320710000000003</v>
      </c>
      <c r="F122" t="s">
        <v>40</v>
      </c>
      <c r="G122">
        <v>-438.95710000000003</v>
      </c>
      <c r="H122">
        <v>-0.05</v>
      </c>
      <c r="I122">
        <v>367.76889999999997</v>
      </c>
      <c r="J122">
        <v>-455.2867</v>
      </c>
      <c r="K122">
        <v>1.108889</v>
      </c>
      <c r="L122">
        <v>367.22489999999999</v>
      </c>
      <c r="M122">
        <v>0.99998159999999903</v>
      </c>
      <c r="N122">
        <v>0</v>
      </c>
      <c r="O122">
        <v>5.9392150000000003E-3</v>
      </c>
      <c r="P122">
        <v>0.99684229999999996</v>
      </c>
      <c r="Q122">
        <v>2.52801E-2</v>
      </c>
      <c r="R122">
        <v>7.5275869999999995E-2</v>
      </c>
      <c r="S122">
        <v>3.00707999999999</v>
      </c>
      <c r="T122">
        <v>-0.20921779999999901</v>
      </c>
      <c r="U122">
        <v>9.8602289999999995E-2</v>
      </c>
      <c r="V122">
        <v>-6.9371509999999997E-2</v>
      </c>
      <c r="W122">
        <v>2.6465010000000001E-2</v>
      </c>
      <c r="X122">
        <v>0.99723980000000001</v>
      </c>
      <c r="Y122">
        <v>-2.6785489999999999E-2</v>
      </c>
      <c r="Z122">
        <v>5.1782670000000001E-4</v>
      </c>
      <c r="AA122">
        <v>0.99964109999999995</v>
      </c>
      <c r="AB122">
        <v>32</v>
      </c>
      <c r="AC122">
        <v>16.3295999999999</v>
      </c>
      <c r="AD122">
        <v>-1.1588889999999901</v>
      </c>
      <c r="AE122">
        <v>0.54399999999998205</v>
      </c>
      <c r="AF122">
        <v>-0.44476771742402399</v>
      </c>
      <c r="AG122">
        <v>-1.1588889999999901</v>
      </c>
      <c r="AH122">
        <v>16.250785869744</v>
      </c>
      <c r="AI122">
        <v>94.077495323609497</v>
      </c>
      <c r="AJ122">
        <v>91.567736678937806</v>
      </c>
      <c r="AK122">
        <v>16.298125150490701</v>
      </c>
    </row>
    <row r="123" spans="1:37" x14ac:dyDescent="0.2">
      <c r="A123" t="str">
        <f>"20200111154031078"</f>
        <v>20200111154031078</v>
      </c>
      <c r="B123" t="str">
        <f>"1578728431066824"</f>
        <v>1578728431066824</v>
      </c>
      <c r="C123" t="s">
        <v>37</v>
      </c>
      <c r="D123">
        <v>5.0683699999999998</v>
      </c>
      <c r="E123">
        <v>0.51311530000000005</v>
      </c>
      <c r="F123" t="s">
        <v>40</v>
      </c>
      <c r="G123">
        <v>-438.47969999999998</v>
      </c>
      <c r="H123">
        <v>-0.05</v>
      </c>
      <c r="I123">
        <v>367.8141</v>
      </c>
      <c r="J123">
        <v>-454.98059999999998</v>
      </c>
      <c r="K123">
        <v>1.108905</v>
      </c>
      <c r="L123">
        <v>367.22699999999998</v>
      </c>
      <c r="M123">
        <v>0.99997969999999903</v>
      </c>
      <c r="N123">
        <v>0</v>
      </c>
      <c r="O123">
        <v>6.2359980000000004E-3</v>
      </c>
      <c r="P123">
        <v>0.99675290000000005</v>
      </c>
      <c r="Q123">
        <v>2.557603E-2</v>
      </c>
      <c r="R123">
        <v>7.6352349999999999E-2</v>
      </c>
      <c r="S123">
        <v>3.0068049999999999</v>
      </c>
      <c r="T123">
        <v>-0.2073274</v>
      </c>
      <c r="U123">
        <v>0.10540769999999999</v>
      </c>
      <c r="V123">
        <v>-7.0151969999999994E-2</v>
      </c>
      <c r="W123">
        <v>2.689211E-2</v>
      </c>
      <c r="X123">
        <v>0.9971738</v>
      </c>
      <c r="Y123">
        <v>-2.8748619999999999E-2</v>
      </c>
      <c r="Z123">
        <v>5.6033509999999995E-4</v>
      </c>
      <c r="AA123">
        <v>0.99958649999999905</v>
      </c>
      <c r="AB123">
        <v>32</v>
      </c>
      <c r="AC123">
        <v>16.500900000000001</v>
      </c>
      <c r="AD123">
        <v>-1.1589050000000001</v>
      </c>
      <c r="AE123">
        <v>0.58710000000002005</v>
      </c>
      <c r="AF123">
        <v>-0.48181529494775799</v>
      </c>
      <c r="AG123">
        <v>-1.1589050000000001</v>
      </c>
      <c r="AH123">
        <v>16.423332167475301</v>
      </c>
      <c r="AI123">
        <v>94.034629986820207</v>
      </c>
      <c r="AJ123">
        <v>91.680418248585099</v>
      </c>
      <c r="AK123">
        <v>16.471218724208001</v>
      </c>
    </row>
    <row r="124" spans="1:37" x14ac:dyDescent="0.2">
      <c r="A124" t="str">
        <f>"20200111154031101"</f>
        <v>20200111154031101</v>
      </c>
      <c r="B124" t="str">
        <f>"1578728431096101"</f>
        <v>1578728431096101</v>
      </c>
      <c r="C124" t="s">
        <v>37</v>
      </c>
      <c r="D124">
        <v>4.9979719999999999</v>
      </c>
      <c r="E124">
        <v>0.51301260000000004</v>
      </c>
      <c r="F124" t="s">
        <v>40</v>
      </c>
      <c r="G124">
        <v>-438.01029999999997</v>
      </c>
      <c r="H124">
        <v>-0.05</v>
      </c>
      <c r="I124">
        <v>367.84480000000002</v>
      </c>
      <c r="J124">
        <v>-454.64699999999999</v>
      </c>
      <c r="K124">
        <v>1.1089439999999999</v>
      </c>
      <c r="L124">
        <v>367.2294</v>
      </c>
      <c r="M124">
        <v>0.99997739999999902</v>
      </c>
      <c r="N124">
        <v>0</v>
      </c>
      <c r="O124">
        <v>6.5450480000000004E-3</v>
      </c>
      <c r="P124">
        <v>0.99670439999999905</v>
      </c>
      <c r="Q124">
        <v>2.5108470000000001E-2</v>
      </c>
      <c r="R124">
        <v>7.7137220000000006E-2</v>
      </c>
      <c r="S124">
        <v>3.0066830000000002</v>
      </c>
      <c r="T124">
        <v>-0.20532700000000001</v>
      </c>
      <c r="U124">
        <v>0.1094666</v>
      </c>
      <c r="V124">
        <v>-7.0628339999999998E-2</v>
      </c>
      <c r="W124">
        <v>2.6678090000000002E-2</v>
      </c>
      <c r="X124">
        <v>0.99714590000000003</v>
      </c>
      <c r="Y124">
        <v>-2.978807E-2</v>
      </c>
      <c r="Z124">
        <v>5.6931799999999997E-4</v>
      </c>
      <c r="AA124">
        <v>0.99955609999999995</v>
      </c>
      <c r="AB124">
        <v>32</v>
      </c>
      <c r="AC124">
        <v>16.636700000000001</v>
      </c>
      <c r="AD124">
        <v>-1.158944</v>
      </c>
      <c r="AE124">
        <v>0.61540000000002204</v>
      </c>
      <c r="AF124">
        <v>-0.50405596013079301</v>
      </c>
      <c r="AG124">
        <v>-1.158944</v>
      </c>
      <c r="AH124">
        <v>16.5601186940685</v>
      </c>
      <c r="AI124">
        <v>94.001415787072602</v>
      </c>
      <c r="AJ124">
        <v>91.743427432678402</v>
      </c>
      <c r="AK124">
        <v>16.6082736841526</v>
      </c>
    </row>
    <row r="125" spans="1:37" x14ac:dyDescent="0.2">
      <c r="A125" t="str">
        <f>"20200111154031125"</f>
        <v>20200111154031125</v>
      </c>
      <c r="B125" t="str">
        <f>"1578728431116596"</f>
        <v>1578728431116596</v>
      </c>
      <c r="C125" t="s">
        <v>37</v>
      </c>
      <c r="D125">
        <v>5.0017670000000001</v>
      </c>
      <c r="E125">
        <v>0.51295100000000005</v>
      </c>
      <c r="F125" t="s">
        <v>40</v>
      </c>
      <c r="G125">
        <v>-437.68880000000001</v>
      </c>
      <c r="H125">
        <v>-0.05</v>
      </c>
      <c r="I125">
        <v>367.86610000000002</v>
      </c>
      <c r="J125">
        <v>-454.31360000000001</v>
      </c>
      <c r="K125">
        <v>1.109038</v>
      </c>
      <c r="L125">
        <v>367.23180000000002</v>
      </c>
      <c r="M125">
        <v>0.99997449999999999</v>
      </c>
      <c r="N125">
        <v>0</v>
      </c>
      <c r="O125">
        <v>6.8383019999999897E-3</v>
      </c>
      <c r="P125">
        <v>0.99669370000000002</v>
      </c>
      <c r="Q125">
        <v>2.399453E-2</v>
      </c>
      <c r="R125">
        <v>7.7628580000000003E-2</v>
      </c>
      <c r="S125">
        <v>3.0063169999999899</v>
      </c>
      <c r="T125">
        <v>-0.2054549</v>
      </c>
      <c r="U125">
        <v>0.1128845</v>
      </c>
      <c r="V125">
        <v>-7.0826399999999901E-2</v>
      </c>
      <c r="W125">
        <v>2.6026000000000001E-2</v>
      </c>
      <c r="X125">
        <v>0.99714910000000001</v>
      </c>
      <c r="Y125">
        <v>-3.0632860000000001E-2</v>
      </c>
      <c r="Z125">
        <v>5.7854320000000001E-4</v>
      </c>
      <c r="AA125">
        <v>0.99953060000000005</v>
      </c>
      <c r="AB125">
        <v>32</v>
      </c>
      <c r="AC125">
        <v>16.624799999999901</v>
      </c>
      <c r="AD125">
        <v>-1.159038</v>
      </c>
      <c r="AE125">
        <v>0.63429999999999598</v>
      </c>
      <c r="AF125">
        <v>-0.51808502433246195</v>
      </c>
      <c r="AG125">
        <v>-1.159038</v>
      </c>
      <c r="AH125">
        <v>16.548431810440501</v>
      </c>
      <c r="AI125">
        <v>94.0044491961349</v>
      </c>
      <c r="AJ125">
        <v>91.793184585093101</v>
      </c>
      <c r="AK125">
        <v>16.597059274542602</v>
      </c>
    </row>
    <row r="126" spans="1:37" x14ac:dyDescent="0.2">
      <c r="A126" t="str">
        <f>"20200111154031147"</f>
        <v>20200111154031147</v>
      </c>
      <c r="B126" t="str">
        <f>"1578728431136625"</f>
        <v>1578728431136625</v>
      </c>
      <c r="C126" t="s">
        <v>37</v>
      </c>
      <c r="D126">
        <v>4.998939</v>
      </c>
      <c r="E126">
        <v>0.51290779999999903</v>
      </c>
      <c r="F126" t="s">
        <v>40</v>
      </c>
      <c r="G126">
        <v>-437.51909999999998</v>
      </c>
      <c r="H126">
        <v>-0.05</v>
      </c>
      <c r="I126">
        <v>367.87150000000003</v>
      </c>
      <c r="J126">
        <v>-453.9828</v>
      </c>
      <c r="K126">
        <v>1.109194</v>
      </c>
      <c r="L126">
        <v>367.23430000000002</v>
      </c>
      <c r="M126">
        <v>0.99997069999999999</v>
      </c>
      <c r="N126">
        <v>0</v>
      </c>
      <c r="O126">
        <v>7.1164669999999996E-3</v>
      </c>
      <c r="P126">
        <v>0.996683599999999</v>
      </c>
      <c r="Q126">
        <v>2.2921480000000001E-2</v>
      </c>
      <c r="R126">
        <v>7.8078649999999999E-2</v>
      </c>
      <c r="S126">
        <v>3.0060119999999899</v>
      </c>
      <c r="T126">
        <v>-0.20745369999999999</v>
      </c>
      <c r="U126">
        <v>0.11450199999999899</v>
      </c>
      <c r="V126">
        <v>-7.0998619999999998E-2</v>
      </c>
      <c r="W126">
        <v>2.570996E-2</v>
      </c>
      <c r="X126">
        <v>0.99714499999999995</v>
      </c>
      <c r="Y126">
        <v>-3.0894609999999999E-2</v>
      </c>
      <c r="Z126">
        <v>5.7406280000000002E-4</v>
      </c>
      <c r="AA126">
        <v>0.99952249999999998</v>
      </c>
      <c r="AB126">
        <v>33</v>
      </c>
      <c r="AC126">
        <v>16.463699999999999</v>
      </c>
      <c r="AD126">
        <v>-1.1591940000000001</v>
      </c>
      <c r="AE126">
        <v>0.63720000000000698</v>
      </c>
      <c r="AF126">
        <v>-0.51745858829487601</v>
      </c>
      <c r="AG126">
        <v>-1.1591940000000001</v>
      </c>
      <c r="AH126">
        <v>16.386703154926099</v>
      </c>
      <c r="AI126">
        <v>94.044348839373299</v>
      </c>
      <c r="AJ126">
        <v>91.808682567664107</v>
      </c>
      <c r="AK126">
        <v>16.435800388417402</v>
      </c>
    </row>
    <row r="127" spans="1:37" x14ac:dyDescent="0.2">
      <c r="A127" t="str">
        <f>"20200111154031178"</f>
        <v>20200111154031178</v>
      </c>
      <c r="B127" t="str">
        <f>"1578728431166883"</f>
        <v>1578728431166883</v>
      </c>
      <c r="C127" t="s">
        <v>37</v>
      </c>
      <c r="D127">
        <v>5.0069980000000003</v>
      </c>
      <c r="E127">
        <v>0.51288520000000004</v>
      </c>
      <c r="F127" t="s">
        <v>40</v>
      </c>
      <c r="G127">
        <v>-437.40980000000002</v>
      </c>
      <c r="H127">
        <v>-0.05</v>
      </c>
      <c r="I127">
        <v>367.87509999999997</v>
      </c>
      <c r="J127">
        <v>-453.52499999999998</v>
      </c>
      <c r="K127">
        <v>1.109537</v>
      </c>
      <c r="L127">
        <v>367.238</v>
      </c>
      <c r="M127">
        <v>0.99996189999999996</v>
      </c>
      <c r="N127">
        <v>0</v>
      </c>
      <c r="O127">
        <v>7.4847280000000004E-3</v>
      </c>
      <c r="P127">
        <v>0.99674470000000004</v>
      </c>
      <c r="Q127">
        <v>2.135221E-2</v>
      </c>
      <c r="R127">
        <v>7.7743850000000003E-2</v>
      </c>
      <c r="S127">
        <v>3.0056759999999998</v>
      </c>
      <c r="T127">
        <v>-0.21023049999999999</v>
      </c>
      <c r="U127">
        <v>0.11621089999999901</v>
      </c>
      <c r="V127">
        <v>-7.0295709999999997E-2</v>
      </c>
      <c r="W127">
        <v>2.579004E-2</v>
      </c>
      <c r="X127">
        <v>0.99719269999999904</v>
      </c>
      <c r="Y127">
        <v>-3.1097059999999999E-2</v>
      </c>
      <c r="Z127">
        <v>5.6313819999999999E-4</v>
      </c>
      <c r="AA127">
        <v>0.99951619999999997</v>
      </c>
      <c r="AB127">
        <v>33</v>
      </c>
      <c r="AC127">
        <v>16.115199999999898</v>
      </c>
      <c r="AD127">
        <v>-1.159537</v>
      </c>
      <c r="AE127">
        <v>0.63709999999991795</v>
      </c>
      <c r="AF127">
        <v>-0.51380709963375804</v>
      </c>
      <c r="AG127">
        <v>-1.159537</v>
      </c>
      <c r="AH127">
        <v>16.036621371606198</v>
      </c>
      <c r="AI127">
        <v>94.133493036831297</v>
      </c>
      <c r="AJ127">
        <v>91.835106685772303</v>
      </c>
      <c r="AK127">
        <v>16.086694775691399</v>
      </c>
    </row>
    <row r="128" spans="1:37" x14ac:dyDescent="0.2">
      <c r="A128" t="str">
        <f>"20200111154031201"</f>
        <v>20200111154031201</v>
      </c>
      <c r="B128" t="str">
        <f>"1578728431196161"</f>
        <v>1578728431196161</v>
      </c>
      <c r="C128" t="s">
        <v>37</v>
      </c>
      <c r="D128">
        <v>5.0122419999999996</v>
      </c>
      <c r="E128">
        <v>0.51287839999999996</v>
      </c>
      <c r="F128" t="s">
        <v>40</v>
      </c>
      <c r="G128">
        <v>-437.14980000000003</v>
      </c>
      <c r="H128">
        <v>-0.05</v>
      </c>
      <c r="I128">
        <v>367.86520000000002</v>
      </c>
      <c r="J128">
        <v>-453.20330000000001</v>
      </c>
      <c r="K128">
        <v>1.109691</v>
      </c>
      <c r="L128">
        <v>367.2407</v>
      </c>
      <c r="M128">
        <v>0.99995499999999904</v>
      </c>
      <c r="N128">
        <v>0</v>
      </c>
      <c r="O128">
        <v>7.7512179999999998E-3</v>
      </c>
      <c r="P128">
        <v>0.99677269999999896</v>
      </c>
      <c r="Q128">
        <v>2.0152260000000002E-2</v>
      </c>
      <c r="R128">
        <v>7.7706410000000004E-2</v>
      </c>
      <c r="S128">
        <v>3.0053709999999998</v>
      </c>
      <c r="T128">
        <v>-0.2128118</v>
      </c>
      <c r="U128">
        <v>0.1151123</v>
      </c>
      <c r="V128">
        <v>-6.9992239999999997E-2</v>
      </c>
      <c r="W128">
        <v>2.5574099999999999E-2</v>
      </c>
      <c r="X128">
        <v>0.99721970000000004</v>
      </c>
      <c r="Y128">
        <v>-3.0470520000000001E-2</v>
      </c>
      <c r="Z128">
        <v>5.2910879999999998E-4</v>
      </c>
      <c r="AA128">
        <v>0.99953549999999902</v>
      </c>
      <c r="AB128">
        <v>32</v>
      </c>
      <c r="AC128">
        <v>16.0534999999999</v>
      </c>
      <c r="AD128">
        <v>-1.159691</v>
      </c>
      <c r="AE128">
        <v>0.62450000000001105</v>
      </c>
      <c r="AF128">
        <v>-0.49745316586049498</v>
      </c>
      <c r="AG128">
        <v>-1.159691</v>
      </c>
      <c r="AH128">
        <v>15.9746209433138</v>
      </c>
      <c r="AI128">
        <v>94.150146506475096</v>
      </c>
      <c r="AJ128">
        <v>91.783626632297796</v>
      </c>
      <c r="AK128">
        <v>16.024383206547</v>
      </c>
    </row>
    <row r="129" spans="1:37" x14ac:dyDescent="0.2">
      <c r="A129" t="str">
        <f>"20200111154031224"</f>
        <v>20200111154031224</v>
      </c>
      <c r="B129" t="str">
        <f>"1578728431216657"</f>
        <v>1578728431216657</v>
      </c>
      <c r="C129" t="s">
        <v>37</v>
      </c>
      <c r="D129">
        <v>4.9884409999999999</v>
      </c>
      <c r="E129">
        <v>0.51289620000000002</v>
      </c>
      <c r="F129" t="s">
        <v>40</v>
      </c>
      <c r="G129">
        <v>-436.8852</v>
      </c>
      <c r="H129">
        <v>-0.05</v>
      </c>
      <c r="I129">
        <v>367.86770000000001</v>
      </c>
      <c r="J129">
        <v>-452.86090000000002</v>
      </c>
      <c r="K129">
        <v>1.1097859999999999</v>
      </c>
      <c r="L129">
        <v>367.24360000000001</v>
      </c>
      <c r="M129">
        <v>0.999947899999999</v>
      </c>
      <c r="N129">
        <v>0</v>
      </c>
      <c r="O129">
        <v>8.0361510000000001E-3</v>
      </c>
      <c r="P129">
        <v>0.99675759999999902</v>
      </c>
      <c r="Q129">
        <v>1.915441E-2</v>
      </c>
      <c r="R129">
        <v>7.8151319999999996E-2</v>
      </c>
      <c r="S129">
        <v>3.0050349999999999</v>
      </c>
      <c r="T129">
        <v>-0.21356059999999999</v>
      </c>
      <c r="U129">
        <v>0.1154785</v>
      </c>
      <c r="V129">
        <v>-7.015325E-2</v>
      </c>
      <c r="W129">
        <v>2.541728E-2</v>
      </c>
      <c r="X129">
        <v>0.9972124</v>
      </c>
      <c r="Y129">
        <v>-3.031228E-2</v>
      </c>
      <c r="Z129">
        <v>5.0519249999999996E-4</v>
      </c>
      <c r="AA129">
        <v>0.99954030000000005</v>
      </c>
      <c r="AB129">
        <v>32</v>
      </c>
      <c r="AC129">
        <v>15.9757</v>
      </c>
      <c r="AD129">
        <v>-1.159786</v>
      </c>
      <c r="AE129">
        <v>0.62409999999999799</v>
      </c>
      <c r="AF129">
        <v>-0.49309934105699399</v>
      </c>
      <c r="AG129">
        <v>-1.159786</v>
      </c>
      <c r="AH129">
        <v>15.896547553168499</v>
      </c>
      <c r="AI129">
        <v>94.170813593731097</v>
      </c>
      <c r="AJ129">
        <v>91.776703701166696</v>
      </c>
      <c r="AK129">
        <v>15.946425136565701</v>
      </c>
    </row>
    <row r="130" spans="1:37" x14ac:dyDescent="0.2">
      <c r="A130" t="str">
        <f>"20200111154031247"</f>
        <v>20200111154031247</v>
      </c>
      <c r="B130" t="str">
        <f>"1578728431236687"</f>
        <v>1578728431236687</v>
      </c>
      <c r="C130" t="s">
        <v>37</v>
      </c>
      <c r="D130">
        <v>4.9702710000000003</v>
      </c>
      <c r="E130">
        <v>0.51291140000000002</v>
      </c>
      <c r="F130" t="s">
        <v>40</v>
      </c>
      <c r="G130">
        <v>-436.66919999999999</v>
      </c>
      <c r="H130">
        <v>-0.05</v>
      </c>
      <c r="I130">
        <v>367.87270000000001</v>
      </c>
      <c r="J130">
        <v>-452.52760000000001</v>
      </c>
      <c r="K130">
        <v>1.109856</v>
      </c>
      <c r="L130">
        <v>367.2466</v>
      </c>
      <c r="M130">
        <v>0.99994079999999996</v>
      </c>
      <c r="N130">
        <v>0</v>
      </c>
      <c r="O130">
        <v>8.3065840000000005E-3</v>
      </c>
      <c r="P130">
        <v>0.99673780000000001</v>
      </c>
      <c r="Q130">
        <v>1.8416180000000001E-2</v>
      </c>
      <c r="R130">
        <v>7.8581750000000006E-2</v>
      </c>
      <c r="S130">
        <v>3.0047299999999999</v>
      </c>
      <c r="T130">
        <v>-0.21522440000000001</v>
      </c>
      <c r="U130">
        <v>0.11672970000000001</v>
      </c>
      <c r="V130">
        <v>-7.0314470000000004E-2</v>
      </c>
      <c r="W130">
        <v>2.5404409999999999E-2</v>
      </c>
      <c r="X130">
        <v>0.99720129999999996</v>
      </c>
      <c r="Y130">
        <v>-3.0460839999999999E-2</v>
      </c>
      <c r="Z130">
        <v>4.9513780000000004E-4</v>
      </c>
      <c r="AA130">
        <v>0.99953590000000003</v>
      </c>
      <c r="AB130">
        <v>32</v>
      </c>
      <c r="AC130">
        <v>15.8584</v>
      </c>
      <c r="AD130">
        <v>-1.159856</v>
      </c>
      <c r="AE130">
        <v>0.62610000000000798</v>
      </c>
      <c r="AF130">
        <v>-0.49171979549917499</v>
      </c>
      <c r="AG130">
        <v>-1.159856</v>
      </c>
      <c r="AH130">
        <v>15.778781124503199</v>
      </c>
      <c r="AI130">
        <v>94.2020657336586</v>
      </c>
      <c r="AJ130">
        <v>91.784951182640398</v>
      </c>
      <c r="AK130">
        <v>15.828992010643001</v>
      </c>
    </row>
    <row r="131" spans="1:37" x14ac:dyDescent="0.2">
      <c r="A131" t="str">
        <f>"20200111154031267"</f>
        <v>20200111154031267</v>
      </c>
      <c r="B131" t="str">
        <f>"1578728431256203"</f>
        <v>1578728431256203</v>
      </c>
      <c r="C131" t="s">
        <v>37</v>
      </c>
      <c r="D131">
        <v>5.0086240000000002</v>
      </c>
      <c r="E131">
        <v>0.51292959999999999</v>
      </c>
      <c r="F131" t="s">
        <v>40</v>
      </c>
      <c r="G131">
        <v>-436.43220000000002</v>
      </c>
      <c r="H131">
        <v>-0.05</v>
      </c>
      <c r="I131">
        <v>367.87709999999998</v>
      </c>
      <c r="J131">
        <v>-452.22590000000002</v>
      </c>
      <c r="K131">
        <v>1.109901</v>
      </c>
      <c r="L131">
        <v>367.24939999999998</v>
      </c>
      <c r="M131">
        <v>0.999934199999999</v>
      </c>
      <c r="N131">
        <v>0</v>
      </c>
      <c r="O131">
        <v>8.5543249999999998E-3</v>
      </c>
      <c r="P131">
        <v>0.99673690000000004</v>
      </c>
      <c r="Q131">
        <v>1.7999029999999999E-2</v>
      </c>
      <c r="R131">
        <v>7.8687099999999996E-2</v>
      </c>
      <c r="S131">
        <v>3.004578</v>
      </c>
      <c r="T131">
        <v>-0.21651390000000001</v>
      </c>
      <c r="U131">
        <v>0.1177063</v>
      </c>
      <c r="V131">
        <v>-7.0172929999999994E-2</v>
      </c>
      <c r="W131">
        <v>2.5589830000000001E-2</v>
      </c>
      <c r="X131">
        <v>0.99720659999999905</v>
      </c>
      <c r="Y131">
        <v>-3.0539259999999999E-2</v>
      </c>
      <c r="Z131">
        <v>4.8311599999999898E-4</v>
      </c>
      <c r="AA131">
        <v>0.99953349999999996</v>
      </c>
      <c r="AB131">
        <v>32</v>
      </c>
      <c r="AC131">
        <v>15.793699999999999</v>
      </c>
      <c r="AD131">
        <v>-1.1599010000000001</v>
      </c>
      <c r="AE131">
        <v>0.62770000000000403</v>
      </c>
      <c r="AF131">
        <v>-0.48993034988200701</v>
      </c>
      <c r="AG131">
        <v>-1.1599010000000001</v>
      </c>
      <c r="AH131">
        <v>15.7138720296581</v>
      </c>
      <c r="AI131">
        <v>94.219521763275793</v>
      </c>
      <c r="AJ131">
        <v>91.785801157928901</v>
      </c>
      <c r="AK131">
        <v>15.7642372553196</v>
      </c>
    </row>
    <row r="132" spans="1:37" x14ac:dyDescent="0.2">
      <c r="A132" t="str">
        <f>"20200111154031291"</f>
        <v>20200111154031291</v>
      </c>
      <c r="B132" t="str">
        <f>"1578728431286460"</f>
        <v>1578728431286460</v>
      </c>
      <c r="C132" t="s">
        <v>37</v>
      </c>
      <c r="D132">
        <v>4.9794210000000003</v>
      </c>
      <c r="E132">
        <v>0.51285979999999998</v>
      </c>
      <c r="F132" t="s">
        <v>40</v>
      </c>
      <c r="G132">
        <v>-436.1583</v>
      </c>
      <c r="H132">
        <v>-0.05</v>
      </c>
      <c r="I132">
        <v>367.87970000000001</v>
      </c>
      <c r="J132">
        <v>-451.89960000000002</v>
      </c>
      <c r="K132">
        <v>1.109934</v>
      </c>
      <c r="L132">
        <v>367.2525</v>
      </c>
      <c r="M132">
        <v>0.99992709999999996</v>
      </c>
      <c r="N132">
        <v>0</v>
      </c>
      <c r="O132">
        <v>8.8277540000000002E-3</v>
      </c>
      <c r="P132">
        <v>0.99671909999999897</v>
      </c>
      <c r="Q132">
        <v>1.7995150000000001E-2</v>
      </c>
      <c r="R132">
        <v>7.8911759999999997E-2</v>
      </c>
      <c r="S132">
        <v>3.0044249999999999</v>
      </c>
      <c r="T132">
        <v>-0.21688560000000001</v>
      </c>
      <c r="U132">
        <v>0.117858899999999</v>
      </c>
      <c r="V132">
        <v>-7.0124800000000001E-2</v>
      </c>
      <c r="W132">
        <v>2.6164710000000001E-2</v>
      </c>
      <c r="X132">
        <v>0.99719500000000005</v>
      </c>
      <c r="Y132">
        <v>-3.031965E-2</v>
      </c>
      <c r="Z132">
        <v>4.5634739999999999E-4</v>
      </c>
      <c r="AA132">
        <v>0.99954019999999999</v>
      </c>
      <c r="AB132">
        <v>32</v>
      </c>
      <c r="AC132">
        <v>15.741300000000001</v>
      </c>
      <c r="AD132">
        <v>-1.159934</v>
      </c>
      <c r="AE132">
        <v>0.62720000000001597</v>
      </c>
      <c r="AF132">
        <v>-0.48557809755070003</v>
      </c>
      <c r="AG132">
        <v>-1.159934</v>
      </c>
      <c r="AH132">
        <v>15.6613202007384</v>
      </c>
      <c r="AI132">
        <v>94.233771763074202</v>
      </c>
      <c r="AJ132">
        <v>91.775882581044499</v>
      </c>
      <c r="AK132">
        <v>15.711721210715099</v>
      </c>
    </row>
    <row r="133" spans="1:37" x14ac:dyDescent="0.2">
      <c r="A133" t="str">
        <f>"20200111154031314"</f>
        <v>20200111154031314</v>
      </c>
      <c r="B133" t="str">
        <f>"1578728431306956"</f>
        <v>1578728431306956</v>
      </c>
      <c r="C133" t="s">
        <v>37</v>
      </c>
      <c r="D133">
        <v>4.9844150000000003</v>
      </c>
      <c r="E133">
        <v>0.51284669999999999</v>
      </c>
      <c r="F133" t="s">
        <v>40</v>
      </c>
      <c r="G133">
        <v>-435.7337</v>
      </c>
      <c r="H133">
        <v>-0.05</v>
      </c>
      <c r="I133">
        <v>367.89440000000002</v>
      </c>
      <c r="J133">
        <v>-451.55540000000002</v>
      </c>
      <c r="K133">
        <v>1.109961</v>
      </c>
      <c r="L133">
        <v>367.2559</v>
      </c>
      <c r="M133">
        <v>0.99992009999999898</v>
      </c>
      <c r="N133">
        <v>0</v>
      </c>
      <c r="O133">
        <v>9.1157430000000008E-3</v>
      </c>
      <c r="P133">
        <v>0.99670479999999995</v>
      </c>
      <c r="Q133">
        <v>1.7673009999999999E-2</v>
      </c>
      <c r="R133">
        <v>7.9166050000000002E-2</v>
      </c>
      <c r="S133">
        <v>3.0043639999999998</v>
      </c>
      <c r="T133">
        <v>-0.21556910000000001</v>
      </c>
      <c r="U133">
        <v>0.1192932</v>
      </c>
      <c r="V133">
        <v>-7.0092070000000006E-2</v>
      </c>
      <c r="W133">
        <v>2.63754E-2</v>
      </c>
      <c r="X133">
        <v>0.99719179999999996</v>
      </c>
      <c r="Y133">
        <v>-3.0509919999999999E-2</v>
      </c>
      <c r="Z133">
        <v>4.3977410000000001E-4</v>
      </c>
      <c r="AA133">
        <v>0.99953440000000005</v>
      </c>
      <c r="AB133">
        <v>32</v>
      </c>
      <c r="AC133">
        <v>15.8217</v>
      </c>
      <c r="AD133">
        <v>-1.159961</v>
      </c>
      <c r="AE133">
        <v>0.63850000000002105</v>
      </c>
      <c r="AF133">
        <v>-0.49160330294316401</v>
      </c>
      <c r="AG133">
        <v>-1.159961</v>
      </c>
      <c r="AH133">
        <v>15.742385063899899</v>
      </c>
      <c r="AI133">
        <v>94.212117355807393</v>
      </c>
      <c r="AJ133">
        <v>91.788651701481101</v>
      </c>
      <c r="AK133">
        <v>15.7927157521778</v>
      </c>
    </row>
    <row r="134" spans="1:37" x14ac:dyDescent="0.2">
      <c r="A134" t="str">
        <f>"20200111154031336"</f>
        <v>20200111154031336</v>
      </c>
      <c r="B134" t="str">
        <f>"1578728431326475"</f>
        <v>1578728431326475</v>
      </c>
      <c r="C134" t="s">
        <v>37</v>
      </c>
      <c r="D134">
        <v>4.9542159999999997</v>
      </c>
      <c r="E134">
        <v>0.5128914</v>
      </c>
      <c r="F134" t="s">
        <v>40</v>
      </c>
      <c r="G134">
        <v>-435.41149999999999</v>
      </c>
      <c r="H134">
        <v>-0.05</v>
      </c>
      <c r="I134">
        <v>367.90120000000002</v>
      </c>
      <c r="J134">
        <v>-451.2373</v>
      </c>
      <c r="K134">
        <v>1.109972</v>
      </c>
      <c r="L134">
        <v>367.25909999999999</v>
      </c>
      <c r="M134">
        <v>0.99991379999999996</v>
      </c>
      <c r="N134">
        <v>0</v>
      </c>
      <c r="O134">
        <v>9.3801919999999903E-3</v>
      </c>
      <c r="P134">
        <v>0.99670569999999903</v>
      </c>
      <c r="Q134">
        <v>1.706558E-2</v>
      </c>
      <c r="R134">
        <v>7.9289470000000001E-2</v>
      </c>
      <c r="S134">
        <v>3.0042110000000002</v>
      </c>
      <c r="T134">
        <v>-0.215857299999999</v>
      </c>
      <c r="U134">
        <v>0.12008669999999901</v>
      </c>
      <c r="V134">
        <v>-6.9951650000000004E-2</v>
      </c>
      <c r="W134">
        <v>2.6197600000000001E-2</v>
      </c>
      <c r="X134">
        <v>0.99720629999999999</v>
      </c>
      <c r="Y134">
        <v>-3.051164E-2</v>
      </c>
      <c r="Z134">
        <v>4.2147239999999899E-4</v>
      </c>
      <c r="AA134">
        <v>0.99953429999999999</v>
      </c>
      <c r="AB134">
        <v>32</v>
      </c>
      <c r="AC134">
        <v>15.825799999999999</v>
      </c>
      <c r="AD134">
        <v>-1.159972</v>
      </c>
      <c r="AE134">
        <v>0.64210000000002698</v>
      </c>
      <c r="AF134">
        <v>-0.490983046683382</v>
      </c>
      <c r="AG134">
        <v>-1.159972</v>
      </c>
      <c r="AH134">
        <v>15.7466694955479</v>
      </c>
      <c r="AI134">
        <v>94.211021478132594</v>
      </c>
      <c r="AJ134">
        <v>91.785910684668806</v>
      </c>
      <c r="AK134">
        <v>15.796968050703001</v>
      </c>
    </row>
    <row r="135" spans="1:37" x14ac:dyDescent="0.2">
      <c r="A135" t="str">
        <f>"20200111154031358"</f>
        <v>20200111154031358</v>
      </c>
      <c r="B135" t="str">
        <f>"1578728431346974"</f>
        <v>1578728431346974</v>
      </c>
      <c r="C135" t="s">
        <v>37</v>
      </c>
      <c r="D135">
        <v>4.9751099999999999</v>
      </c>
      <c r="E135">
        <v>0.51292360000000004</v>
      </c>
      <c r="F135" t="s">
        <v>40</v>
      </c>
      <c r="G135">
        <v>-435.16120000000001</v>
      </c>
      <c r="H135">
        <v>-0.05</v>
      </c>
      <c r="I135">
        <v>367.90320000000003</v>
      </c>
      <c r="J135">
        <v>-450.91449999999998</v>
      </c>
      <c r="K135">
        <v>1.1099809999999899</v>
      </c>
      <c r="L135">
        <v>367.26249999999999</v>
      </c>
      <c r="M135">
        <v>0.99990769999999995</v>
      </c>
      <c r="N135">
        <v>0</v>
      </c>
      <c r="O135">
        <v>9.6483869999999996E-3</v>
      </c>
      <c r="P135">
        <v>0.99670979999999998</v>
      </c>
      <c r="Q135">
        <v>1.7030219999999999E-2</v>
      </c>
      <c r="R135">
        <v>7.92461E-2</v>
      </c>
      <c r="S135">
        <v>3.004089</v>
      </c>
      <c r="T135">
        <v>-0.2167606</v>
      </c>
      <c r="U135">
        <v>0.1203613</v>
      </c>
      <c r="V135">
        <v>-6.9640030000000006E-2</v>
      </c>
      <c r="W135">
        <v>2.654509E-2</v>
      </c>
      <c r="X135">
        <v>0.99721899999999997</v>
      </c>
      <c r="Y135">
        <v>-3.0337059999999999E-2</v>
      </c>
      <c r="Z135">
        <v>3.9764059999999998E-4</v>
      </c>
      <c r="AA135">
        <v>0.99953969999999903</v>
      </c>
      <c r="AB135">
        <v>32</v>
      </c>
      <c r="AC135">
        <v>15.7532999999999</v>
      </c>
      <c r="AD135">
        <v>-1.1599809999999999</v>
      </c>
      <c r="AE135">
        <v>0.64070000000003802</v>
      </c>
      <c r="AF135">
        <v>-0.486038342767044</v>
      </c>
      <c r="AG135">
        <v>-1.1599809999999999</v>
      </c>
      <c r="AH135">
        <v>15.6739052648291</v>
      </c>
      <c r="AI135">
        <v>94.230554890042697</v>
      </c>
      <c r="AJ135">
        <v>91.776138388234898</v>
      </c>
      <c r="AK135">
        <v>15.724283622532401</v>
      </c>
    </row>
    <row r="136" spans="1:37" x14ac:dyDescent="0.2">
      <c r="A136" t="str">
        <f>"20200111154031380"</f>
        <v>20200111154031380</v>
      </c>
      <c r="B136" t="str">
        <f>"1578728431366492"</f>
        <v>1578728431366492</v>
      </c>
      <c r="C136" t="s">
        <v>37</v>
      </c>
      <c r="D136">
        <v>5.0344759999999997</v>
      </c>
      <c r="E136">
        <v>0.51298719999999998</v>
      </c>
      <c r="F136" t="s">
        <v>40</v>
      </c>
      <c r="G136">
        <v>-434.82479999999998</v>
      </c>
      <c r="H136">
        <v>-0.05</v>
      </c>
      <c r="I136">
        <v>367.90460000000002</v>
      </c>
      <c r="J136">
        <v>-450.60680000000002</v>
      </c>
      <c r="K136">
        <v>1.1099909999999999</v>
      </c>
      <c r="L136">
        <v>367.26569999999998</v>
      </c>
      <c r="M136">
        <v>0.99990210000000002</v>
      </c>
      <c r="N136">
        <v>0</v>
      </c>
      <c r="O136">
        <v>9.9044149999999997E-3</v>
      </c>
      <c r="P136">
        <v>0.99670329999999996</v>
      </c>
      <c r="Q136">
        <v>1.7330660000000001E-2</v>
      </c>
      <c r="R136">
        <v>7.9261449999999997E-2</v>
      </c>
      <c r="S136">
        <v>3.0040279999999999</v>
      </c>
      <c r="T136">
        <v>-0.21657559999999901</v>
      </c>
      <c r="U136">
        <v>0.1199036</v>
      </c>
      <c r="V136">
        <v>-6.9400649999999994E-2</v>
      </c>
      <c r="W136">
        <v>2.7162849999999999E-2</v>
      </c>
      <c r="X136">
        <v>0.99721899999999997</v>
      </c>
      <c r="Y136">
        <v>-2.9931639999999999E-2</v>
      </c>
      <c r="Z136">
        <v>3.642936E-4</v>
      </c>
      <c r="AA136">
        <v>0.99955190000000005</v>
      </c>
      <c r="AB136">
        <v>32</v>
      </c>
      <c r="AC136">
        <v>15.782</v>
      </c>
      <c r="AD136">
        <v>-1.159991</v>
      </c>
      <c r="AE136">
        <v>0.638900000000035</v>
      </c>
      <c r="AF136">
        <v>-0.479960856956196</v>
      </c>
      <c r="AG136">
        <v>-1.159991</v>
      </c>
      <c r="AH136">
        <v>15.702860036642001</v>
      </c>
      <c r="AI136">
        <v>94.222876102098894</v>
      </c>
      <c r="AJ136">
        <v>91.750711174301699</v>
      </c>
      <c r="AK136">
        <v>15.752960194028899</v>
      </c>
    </row>
    <row r="137" spans="1:37" x14ac:dyDescent="0.2">
      <c r="A137" t="str">
        <f>"20200111154031403"</f>
        <v>20200111154031403</v>
      </c>
      <c r="B137" t="str">
        <f>"1578728431396748"</f>
        <v>1578728431396748</v>
      </c>
      <c r="C137" t="s">
        <v>37</v>
      </c>
      <c r="D137">
        <v>5.0150819999999996</v>
      </c>
      <c r="E137">
        <v>0.51306679999999905</v>
      </c>
      <c r="F137" t="s">
        <v>40</v>
      </c>
      <c r="G137">
        <v>-434.41730000000001</v>
      </c>
      <c r="H137">
        <v>-0.05</v>
      </c>
      <c r="I137">
        <v>367.90839999999997</v>
      </c>
      <c r="J137">
        <v>-450.27289999999999</v>
      </c>
      <c r="K137">
        <v>1.109998</v>
      </c>
      <c r="L137">
        <v>367.26940000000002</v>
      </c>
      <c r="M137">
        <v>0.99989609999999995</v>
      </c>
      <c r="N137">
        <v>0</v>
      </c>
      <c r="O137">
        <v>1.0182170000000001E-2</v>
      </c>
      <c r="P137">
        <v>0.99664540000000001</v>
      </c>
      <c r="Q137">
        <v>1.7291770000000001E-2</v>
      </c>
      <c r="R137">
        <v>7.9994480000000007E-2</v>
      </c>
      <c r="S137">
        <v>3.0042419999999899</v>
      </c>
      <c r="T137">
        <v>-0.215257</v>
      </c>
      <c r="U137">
        <v>0.1192627</v>
      </c>
      <c r="V137">
        <v>-6.9856619999999994E-2</v>
      </c>
      <c r="W137">
        <v>2.7424540000000001E-2</v>
      </c>
      <c r="X137">
        <v>0.99717999999999996</v>
      </c>
      <c r="Y137">
        <v>-2.9440830000000001E-2</v>
      </c>
      <c r="Z137">
        <v>3.2463419999999998E-4</v>
      </c>
      <c r="AA137">
        <v>0.99956650000000002</v>
      </c>
      <c r="AB137">
        <v>32</v>
      </c>
      <c r="AC137">
        <v>15.8555999999999</v>
      </c>
      <c r="AD137">
        <v>-1.1599980000000001</v>
      </c>
      <c r="AE137">
        <v>0.63899999999995305</v>
      </c>
      <c r="AF137">
        <v>-0.47497590961645297</v>
      </c>
      <c r="AG137">
        <v>-1.1599980000000001</v>
      </c>
      <c r="AH137">
        <v>15.7769768439502</v>
      </c>
      <c r="AI137">
        <v>94.203192814222604</v>
      </c>
      <c r="AJ137">
        <v>91.724404992009596</v>
      </c>
      <c r="AK137">
        <v>15.8266925101002</v>
      </c>
    </row>
    <row r="138" spans="1:37" x14ac:dyDescent="0.2">
      <c r="A138" t="str">
        <f>"20200111154031426"</f>
        <v>20200111154031426</v>
      </c>
      <c r="B138" t="str">
        <f>"1578728431416267"</f>
        <v>1578728431416267</v>
      </c>
      <c r="C138" t="s">
        <v>37</v>
      </c>
      <c r="D138">
        <v>5.0018779999999996</v>
      </c>
      <c r="E138">
        <v>0.51307590000000003</v>
      </c>
      <c r="F138" t="s">
        <v>40</v>
      </c>
      <c r="G138">
        <v>-434.08539999999999</v>
      </c>
      <c r="H138">
        <v>-0.05</v>
      </c>
      <c r="I138">
        <v>367.9205</v>
      </c>
      <c r="J138">
        <v>-449.94779999999997</v>
      </c>
      <c r="K138">
        <v>1.110006</v>
      </c>
      <c r="L138">
        <v>367.27300000000002</v>
      </c>
      <c r="M138">
        <v>0.99989089999999903</v>
      </c>
      <c r="N138">
        <v>0</v>
      </c>
      <c r="O138">
        <v>1.0451449999999999E-2</v>
      </c>
      <c r="P138">
        <v>0.99662150000000005</v>
      </c>
      <c r="Q138">
        <v>1.7669250000000001E-2</v>
      </c>
      <c r="R138">
        <v>8.0208329999999994E-2</v>
      </c>
      <c r="S138">
        <v>3.0041500000000001</v>
      </c>
      <c r="T138">
        <v>-0.215278</v>
      </c>
      <c r="U138">
        <v>0.1208496</v>
      </c>
      <c r="V138">
        <v>-6.9802169999999997E-2</v>
      </c>
      <c r="W138">
        <v>2.8052290000000001E-2</v>
      </c>
      <c r="X138">
        <v>0.99716629999999995</v>
      </c>
      <c r="Y138">
        <v>-2.9700000000000001E-2</v>
      </c>
      <c r="Z138">
        <v>3.1467959999999999E-4</v>
      </c>
      <c r="AA138">
        <v>0.99955879999999997</v>
      </c>
      <c r="AB138">
        <v>32</v>
      </c>
      <c r="AC138">
        <v>15.8623999999999</v>
      </c>
      <c r="AD138">
        <v>-1.1600060000000001</v>
      </c>
      <c r="AE138">
        <v>0.64749999999997898</v>
      </c>
      <c r="AF138">
        <v>-0.47911253811426502</v>
      </c>
      <c r="AG138">
        <v>-1.1600060000000001</v>
      </c>
      <c r="AH138">
        <v>15.7840303351445</v>
      </c>
      <c r="AI138">
        <v>94.201318674903902</v>
      </c>
      <c r="AJ138">
        <v>91.738637055217893</v>
      </c>
      <c r="AK138">
        <v>15.8338490697927</v>
      </c>
    </row>
    <row r="139" spans="1:37" x14ac:dyDescent="0.2">
      <c r="A139" t="str">
        <f>"20200111154031448"</f>
        <v>20200111154031448</v>
      </c>
      <c r="B139" t="str">
        <f>"1578728431436295"</f>
        <v>1578728431436295</v>
      </c>
      <c r="C139" t="s">
        <v>37</v>
      </c>
      <c r="D139">
        <v>4.9862699999999904</v>
      </c>
      <c r="E139">
        <v>0.51306779999999996</v>
      </c>
      <c r="F139" t="s">
        <v>40</v>
      </c>
      <c r="G139">
        <v>-433.65269999999998</v>
      </c>
      <c r="H139">
        <v>-0.05</v>
      </c>
      <c r="I139">
        <v>367.9316</v>
      </c>
      <c r="J139">
        <v>-449.62689999999998</v>
      </c>
      <c r="K139">
        <v>1.11002</v>
      </c>
      <c r="L139">
        <v>367.27670000000001</v>
      </c>
      <c r="M139">
        <v>0.99988569999999999</v>
      </c>
      <c r="N139">
        <v>0</v>
      </c>
      <c r="O139">
        <v>1.071711E-2</v>
      </c>
      <c r="P139">
        <v>0.99661480000000002</v>
      </c>
      <c r="Q139">
        <v>1.7160350000000001E-2</v>
      </c>
      <c r="R139">
        <v>8.0403680000000005E-2</v>
      </c>
      <c r="S139">
        <v>3.0041500000000001</v>
      </c>
      <c r="T139">
        <v>-0.21385760000000001</v>
      </c>
      <c r="U139">
        <v>0.12142939999999899</v>
      </c>
      <c r="V139">
        <v>-6.9732840000000004E-2</v>
      </c>
      <c r="W139">
        <v>2.776153E-2</v>
      </c>
      <c r="X139">
        <v>0.99717929999999999</v>
      </c>
      <c r="Y139">
        <v>-2.9628519999999998E-2</v>
      </c>
      <c r="Z139">
        <v>2.9118740000000002E-4</v>
      </c>
      <c r="AA139">
        <v>0.99956100000000003</v>
      </c>
      <c r="AB139">
        <v>32</v>
      </c>
      <c r="AC139">
        <v>15.9741999999999</v>
      </c>
      <c r="AD139">
        <v>-1.1600200000000001</v>
      </c>
      <c r="AE139">
        <v>0.65489999999999704</v>
      </c>
      <c r="AF139">
        <v>-0.48112248458040402</v>
      </c>
      <c r="AG139">
        <v>-1.1600200000000001</v>
      </c>
      <c r="AH139">
        <v>15.8966126130464</v>
      </c>
      <c r="AI139">
        <v>94.171731015840194</v>
      </c>
      <c r="AJ139">
        <v>91.733569034719196</v>
      </c>
      <c r="AK139">
        <v>15.946141157497401</v>
      </c>
    </row>
    <row r="140" spans="1:37" x14ac:dyDescent="0.2">
      <c r="A140" t="str">
        <f>"20200111154031469"</f>
        <v>20200111154031469</v>
      </c>
      <c r="B140" t="str">
        <f>"1578728431456791"</f>
        <v>1578728431456791</v>
      </c>
      <c r="C140" t="s">
        <v>37</v>
      </c>
      <c r="D140">
        <v>5.0535249999999996</v>
      </c>
      <c r="E140">
        <v>0.51296319999999995</v>
      </c>
      <c r="F140" t="s">
        <v>40</v>
      </c>
      <c r="G140">
        <v>-433.4502</v>
      </c>
      <c r="H140">
        <v>-0.05</v>
      </c>
      <c r="I140">
        <v>367.93430000000001</v>
      </c>
      <c r="J140">
        <v>-449.3125</v>
      </c>
      <c r="K140">
        <v>1.109955</v>
      </c>
      <c r="L140">
        <v>367.28030000000001</v>
      </c>
      <c r="M140">
        <v>0.99988379999999999</v>
      </c>
      <c r="N140">
        <v>0</v>
      </c>
      <c r="O140">
        <v>1.097451E-2</v>
      </c>
      <c r="P140">
        <v>0.99662549999999905</v>
      </c>
      <c r="Q140">
        <v>1.6685709999999999E-2</v>
      </c>
      <c r="R140">
        <v>8.0369549999999998E-2</v>
      </c>
      <c r="S140">
        <v>3.0040589999999998</v>
      </c>
      <c r="T140">
        <v>-0.21541929999999901</v>
      </c>
      <c r="U140">
        <v>0.1221313</v>
      </c>
      <c r="V140">
        <v>-6.9440509999999997E-2</v>
      </c>
      <c r="W140">
        <v>2.720241E-2</v>
      </c>
      <c r="X140">
        <v>0.99721519999999997</v>
      </c>
      <c r="Y140">
        <v>-2.9605630000000001E-2</v>
      </c>
      <c r="Z140">
        <v>2.7407229999999998E-4</v>
      </c>
      <c r="AA140">
        <v>0.99956160000000005</v>
      </c>
      <c r="AB140">
        <v>32</v>
      </c>
      <c r="AC140">
        <v>15.862299999999999</v>
      </c>
      <c r="AD140">
        <v>-1.1599549999999901</v>
      </c>
      <c r="AE140">
        <v>0.65399999999999603</v>
      </c>
      <c r="AF140">
        <v>-0.47732175426455697</v>
      </c>
      <c r="AG140">
        <v>-1.1599549999999901</v>
      </c>
      <c r="AH140">
        <v>15.784259441236699</v>
      </c>
      <c r="AI140">
        <v>94.201088295059193</v>
      </c>
      <c r="AJ140">
        <v>91.732117373431706</v>
      </c>
      <c r="AK140">
        <v>15.8340196339208</v>
      </c>
    </row>
    <row r="141" spans="1:37" x14ac:dyDescent="0.2">
      <c r="A141" t="str">
        <f>"20200111154031491"</f>
        <v>20200111154031491</v>
      </c>
      <c r="B141" t="str">
        <f>"1578728431487048"</f>
        <v>1578728431487048</v>
      </c>
      <c r="C141" t="s">
        <v>37</v>
      </c>
      <c r="D141">
        <v>5.0492080000000001</v>
      </c>
      <c r="E141">
        <v>0.51276009999999905</v>
      </c>
      <c r="F141" t="s">
        <v>40</v>
      </c>
      <c r="G141">
        <v>-433.34339999999997</v>
      </c>
      <c r="H141">
        <v>-0.05</v>
      </c>
      <c r="I141">
        <v>367.93279999999999</v>
      </c>
      <c r="J141">
        <v>-448.98020000000002</v>
      </c>
      <c r="K141">
        <v>1.10965</v>
      </c>
      <c r="L141">
        <v>367.2842</v>
      </c>
      <c r="M141">
        <v>0.99989089999999903</v>
      </c>
      <c r="N141">
        <v>0</v>
      </c>
      <c r="O141">
        <v>1.1237530000000001E-2</v>
      </c>
      <c r="P141">
        <v>0.99659560000000003</v>
      </c>
      <c r="Q141">
        <v>1.756779E-2</v>
      </c>
      <c r="R141">
        <v>8.0553669999999994E-2</v>
      </c>
      <c r="S141">
        <v>3.0038450000000001</v>
      </c>
      <c r="T141">
        <v>-0.218191</v>
      </c>
      <c r="U141">
        <v>0.1227417</v>
      </c>
      <c r="V141">
        <v>-6.9362259999999995E-2</v>
      </c>
      <c r="W141">
        <v>2.7097550000000001E-2</v>
      </c>
      <c r="X141">
        <v>0.99722339999999998</v>
      </c>
      <c r="Y141">
        <v>-2.9548040000000001E-2</v>
      </c>
      <c r="Z141">
        <v>2.5645840000000002E-4</v>
      </c>
      <c r="AA141">
        <v>0.99956329999999904</v>
      </c>
      <c r="AB141">
        <v>32</v>
      </c>
      <c r="AC141">
        <v>15.636799999999999</v>
      </c>
      <c r="AD141">
        <v>-1.1596500000000001</v>
      </c>
      <c r="AE141">
        <v>0.64859999999998696</v>
      </c>
      <c r="AF141">
        <v>-0.47025005142857002</v>
      </c>
      <c r="AG141">
        <v>-1.1596500000000001</v>
      </c>
      <c r="AH141">
        <v>15.5576821683505</v>
      </c>
      <c r="AI141">
        <v>94.260933075941196</v>
      </c>
      <c r="AJ141">
        <v>91.731308179248103</v>
      </c>
      <c r="AK141">
        <v>15.6079273987541</v>
      </c>
    </row>
    <row r="142" spans="1:37" x14ac:dyDescent="0.2">
      <c r="A142" t="str">
        <f>"20200111154031514"</f>
        <v>20200111154031514</v>
      </c>
      <c r="B142" t="str">
        <f>"1578728431506568"</f>
        <v>1578728431506568</v>
      </c>
      <c r="C142" t="s">
        <v>37</v>
      </c>
      <c r="D142">
        <v>5.0656780000000001</v>
      </c>
      <c r="E142">
        <v>0.51266899999999904</v>
      </c>
      <c r="F142" t="s">
        <v>40</v>
      </c>
      <c r="G142">
        <v>-432.90690000000001</v>
      </c>
      <c r="H142">
        <v>-0.05</v>
      </c>
      <c r="I142">
        <v>367.95139999999998</v>
      </c>
      <c r="J142">
        <v>-448.64260000000002</v>
      </c>
      <c r="K142">
        <v>1.109332</v>
      </c>
      <c r="L142">
        <v>367.28829999999999</v>
      </c>
      <c r="M142">
        <v>0.99989869999999903</v>
      </c>
      <c r="N142">
        <v>0</v>
      </c>
      <c r="O142">
        <v>1.1500170000000001E-2</v>
      </c>
      <c r="P142">
        <v>0.99656199999999995</v>
      </c>
      <c r="Q142">
        <v>1.850448E-2</v>
      </c>
      <c r="R142">
        <v>8.0757040000000002E-2</v>
      </c>
      <c r="S142">
        <v>3.0039669999999998</v>
      </c>
      <c r="T142">
        <v>-0.216729</v>
      </c>
      <c r="U142">
        <v>0.12469479999999999</v>
      </c>
      <c r="V142">
        <v>-6.9302840000000004E-2</v>
      </c>
      <c r="W142">
        <v>2.6824899999999999E-2</v>
      </c>
      <c r="X142">
        <v>0.99723490000000004</v>
      </c>
      <c r="Y142">
        <v>-2.9933080000000001E-2</v>
      </c>
      <c r="Z142">
        <v>2.4969219999999999E-4</v>
      </c>
      <c r="AA142">
        <v>0.99955190000000005</v>
      </c>
      <c r="AB142">
        <v>33</v>
      </c>
      <c r="AC142">
        <v>15.7357</v>
      </c>
      <c r="AD142">
        <v>-1.159332</v>
      </c>
      <c r="AE142">
        <v>0.66309999999998503</v>
      </c>
      <c r="AF142">
        <v>-0.479488485234498</v>
      </c>
      <c r="AG142">
        <v>-1.159332</v>
      </c>
      <c r="AH142">
        <v>15.657446683616699</v>
      </c>
      <c r="AI142">
        <v>94.232674991216399</v>
      </c>
      <c r="AJ142">
        <v>91.754058875210404</v>
      </c>
      <c r="AK142">
        <v>15.7076286098187</v>
      </c>
    </row>
    <row r="143" spans="1:37" x14ac:dyDescent="0.2">
      <c r="A143" t="str">
        <f>"20200111154031537"</f>
        <v>20200111154031537</v>
      </c>
      <c r="B143" t="str">
        <f>"1578728431527065"</f>
        <v>1578728431527065</v>
      </c>
      <c r="C143" t="s">
        <v>37</v>
      </c>
      <c r="D143">
        <v>5.0770379999999999</v>
      </c>
      <c r="E143">
        <v>0.51255799999999996</v>
      </c>
      <c r="F143" t="s">
        <v>40</v>
      </c>
      <c r="G143">
        <v>-432.38839999999999</v>
      </c>
      <c r="H143">
        <v>-0.05</v>
      </c>
      <c r="I143">
        <v>367.96710000000002</v>
      </c>
      <c r="J143">
        <v>-448.29590000000002</v>
      </c>
      <c r="K143">
        <v>1.1090719999999901</v>
      </c>
      <c r="L143">
        <v>367.29250000000002</v>
      </c>
      <c r="M143">
        <v>0.9999055</v>
      </c>
      <c r="N143">
        <v>0</v>
      </c>
      <c r="O143">
        <v>1.176142E-2</v>
      </c>
      <c r="P143">
        <v>0.99649049999999995</v>
      </c>
      <c r="Q143">
        <v>1.9660739999999999E-2</v>
      </c>
      <c r="R143">
        <v>8.1363439999999995E-2</v>
      </c>
      <c r="S143">
        <v>3.0041500000000001</v>
      </c>
      <c r="T143">
        <v>-0.21427109999999999</v>
      </c>
      <c r="U143">
        <v>0.12545780000000001</v>
      </c>
      <c r="V143">
        <v>-6.9648230000000005E-2</v>
      </c>
      <c r="W143">
        <v>2.6737670000000002E-2</v>
      </c>
      <c r="X143">
        <v>0.99721319999999902</v>
      </c>
      <c r="Y143">
        <v>-2.9924699999999999E-2</v>
      </c>
      <c r="Z143">
        <v>2.2796209999999999E-4</v>
      </c>
      <c r="AA143">
        <v>0.99955210000000005</v>
      </c>
      <c r="AB143">
        <v>33</v>
      </c>
      <c r="AC143">
        <v>15.907500000000001</v>
      </c>
      <c r="AD143">
        <v>-1.1590719999999901</v>
      </c>
      <c r="AE143">
        <v>0.67459999999999798</v>
      </c>
      <c r="AF143">
        <v>-0.48488415520787198</v>
      </c>
      <c r="AG143">
        <v>-1.1590719999999901</v>
      </c>
      <c r="AH143">
        <v>15.830440357935499</v>
      </c>
      <c r="AI143">
        <v>94.185649689201995</v>
      </c>
      <c r="AJ143">
        <v>91.754413125254004</v>
      </c>
      <c r="AK143">
        <v>15.8802204793041</v>
      </c>
    </row>
    <row r="144" spans="1:37" x14ac:dyDescent="0.2">
      <c r="A144" t="str">
        <f>"20200111154031558"</f>
        <v>20200111154031558</v>
      </c>
      <c r="B144" t="str">
        <f>"1578728431546583"</f>
        <v>1578728431546583</v>
      </c>
      <c r="C144" t="s">
        <v>37</v>
      </c>
      <c r="D144">
        <v>5.1147960000000001</v>
      </c>
      <c r="E144">
        <v>0.51243809999999901</v>
      </c>
      <c r="F144" t="s">
        <v>40</v>
      </c>
      <c r="G144">
        <v>-431.8503</v>
      </c>
      <c r="H144">
        <v>-0.05</v>
      </c>
      <c r="I144">
        <v>367.9941</v>
      </c>
      <c r="J144">
        <v>-447.98329999999999</v>
      </c>
      <c r="K144">
        <v>1.1088830000000001</v>
      </c>
      <c r="L144">
        <v>367.29640000000001</v>
      </c>
      <c r="M144">
        <v>0.99991010000000002</v>
      </c>
      <c r="N144">
        <v>0</v>
      </c>
      <c r="O144">
        <v>1.19808E-2</v>
      </c>
      <c r="P144">
        <v>0.99643409999999999</v>
      </c>
      <c r="Q144">
        <v>2.0845269999999999E-2</v>
      </c>
      <c r="R144">
        <v>8.1758280000000003E-2</v>
      </c>
      <c r="S144">
        <v>3.0042110000000002</v>
      </c>
      <c r="T144">
        <v>-0.21173449999999999</v>
      </c>
      <c r="U144">
        <v>0.1281738</v>
      </c>
      <c r="V144">
        <v>-6.982447E-2</v>
      </c>
      <c r="W144">
        <v>2.6825849999999998E-2</v>
      </c>
      <c r="X144">
        <v>0.99719849999999999</v>
      </c>
      <c r="Y144">
        <v>-3.0606649999999999E-2</v>
      </c>
      <c r="Z144">
        <v>2.3382669999999999E-4</v>
      </c>
      <c r="AA144">
        <v>0.99953150000000002</v>
      </c>
      <c r="AB144">
        <v>33</v>
      </c>
      <c r="AC144">
        <v>16.1329999999999</v>
      </c>
      <c r="AD144">
        <v>-1.1588830000000001</v>
      </c>
      <c r="AE144">
        <v>0.69769999999999699</v>
      </c>
      <c r="AF144">
        <v>-0.50177584729937796</v>
      </c>
      <c r="AG144">
        <v>-1.1588830000000001</v>
      </c>
      <c r="AH144">
        <v>16.057499339244998</v>
      </c>
      <c r="AI144">
        <v>94.125919760032701</v>
      </c>
      <c r="AJ144">
        <v>91.789835724779707</v>
      </c>
      <c r="AK144">
        <v>16.107081481090098</v>
      </c>
    </row>
    <row r="145" spans="1:37" x14ac:dyDescent="0.2">
      <c r="A145" t="str">
        <f>"20200111154031580"</f>
        <v>20200111154031580</v>
      </c>
      <c r="B145" t="str">
        <f>"1578728431576840"</f>
        <v>1578728431576840</v>
      </c>
      <c r="C145" t="s">
        <v>37</v>
      </c>
      <c r="D145">
        <v>5.0670310000000001</v>
      </c>
      <c r="E145">
        <v>0.51234609999999903</v>
      </c>
      <c r="F145" t="s">
        <v>40</v>
      </c>
      <c r="G145">
        <v>-431.32729999999998</v>
      </c>
      <c r="H145">
        <v>-0.05</v>
      </c>
      <c r="I145">
        <v>368.0172</v>
      </c>
      <c r="J145">
        <v>-447.6463</v>
      </c>
      <c r="K145">
        <v>1.1087209999999901</v>
      </c>
      <c r="L145">
        <v>367.30059999999997</v>
      </c>
      <c r="M145">
        <v>0.99991379999999996</v>
      </c>
      <c r="N145">
        <v>0</v>
      </c>
      <c r="O145">
        <v>1.219396E-2</v>
      </c>
      <c r="P145">
        <v>0.99636569999999902</v>
      </c>
      <c r="Q145">
        <v>2.2497880000000001E-2</v>
      </c>
      <c r="R145">
        <v>8.2155530000000004E-2</v>
      </c>
      <c r="S145">
        <v>3.0044559999999998</v>
      </c>
      <c r="T145">
        <v>-0.20904249999999999</v>
      </c>
      <c r="U145">
        <v>0.1300354</v>
      </c>
      <c r="V145">
        <v>-7.0009859999999993E-2</v>
      </c>
      <c r="W145">
        <v>2.7352080000000001E-2</v>
      </c>
      <c r="X145">
        <v>0.99717119999999904</v>
      </c>
      <c r="Y145">
        <v>-3.1009060000000001E-2</v>
      </c>
      <c r="Z145">
        <v>2.3001719999999999E-4</v>
      </c>
      <c r="AA145">
        <v>0.99951909999999899</v>
      </c>
      <c r="AB145">
        <v>34</v>
      </c>
      <c r="AC145">
        <v>16.318999999999999</v>
      </c>
      <c r="AD145">
        <v>-1.1587209999999999</v>
      </c>
      <c r="AE145">
        <v>0.71660000000002799</v>
      </c>
      <c r="AF145">
        <v>-0.51495988998421505</v>
      </c>
      <c r="AG145">
        <v>-1.1587209999999999</v>
      </c>
      <c r="AH145">
        <v>16.244782458609301</v>
      </c>
      <c r="AI145">
        <v>94.077888353698498</v>
      </c>
      <c r="AJ145">
        <v>91.815669199064502</v>
      </c>
      <c r="AK145">
        <v>16.294194523561899</v>
      </c>
    </row>
    <row r="146" spans="1:37" x14ac:dyDescent="0.2">
      <c r="A146" t="str">
        <f>"20200111154031604"</f>
        <v>20200111154031604</v>
      </c>
      <c r="B146" t="str">
        <f>"1578728431596360"</f>
        <v>1578728431596360</v>
      </c>
      <c r="C146" t="s">
        <v>37</v>
      </c>
      <c r="D146">
        <v>5.1116400000000004</v>
      </c>
      <c r="E146">
        <v>0.51225429999999905</v>
      </c>
      <c r="F146" t="s">
        <v>40</v>
      </c>
      <c r="G146">
        <v>-430.86869999999999</v>
      </c>
      <c r="H146">
        <v>-0.05</v>
      </c>
      <c r="I146">
        <v>368.03579999999999</v>
      </c>
      <c r="J146">
        <v>-447.29129999999998</v>
      </c>
      <c r="K146">
        <v>1.1085959999999999</v>
      </c>
      <c r="L146">
        <v>367.30500000000001</v>
      </c>
      <c r="M146">
        <v>0.99991609999999997</v>
      </c>
      <c r="N146">
        <v>0</v>
      </c>
      <c r="O146">
        <v>1.238615E-2</v>
      </c>
      <c r="P146">
        <v>0.99624969999999902</v>
      </c>
      <c r="Q146">
        <v>2.355573E-2</v>
      </c>
      <c r="R146">
        <v>8.3258170000000006E-2</v>
      </c>
      <c r="S146">
        <v>3.0047299999999999</v>
      </c>
      <c r="T146">
        <v>-0.20751790000000001</v>
      </c>
      <c r="U146">
        <v>0.131683299999999</v>
      </c>
      <c r="V146">
        <v>-7.0921880000000007E-2</v>
      </c>
      <c r="W146">
        <v>2.732921E-2</v>
      </c>
      <c r="X146">
        <v>0.99710739999999998</v>
      </c>
      <c r="Y146">
        <v>-3.1360499999999999E-2</v>
      </c>
      <c r="Z146">
        <v>2.2719149999999999E-4</v>
      </c>
      <c r="AA146">
        <v>0.99950810000000001</v>
      </c>
      <c r="AB146">
        <v>34</v>
      </c>
      <c r="AC146">
        <v>16.4225999999999</v>
      </c>
      <c r="AD146">
        <v>-1.158596</v>
      </c>
      <c r="AE146">
        <v>0.73079999999998702</v>
      </c>
      <c r="AF146">
        <v>-0.52472322763557</v>
      </c>
      <c r="AG146">
        <v>-1.158596</v>
      </c>
      <c r="AH146">
        <v>16.349180633982801</v>
      </c>
      <c r="AI146">
        <v>94.051449437490007</v>
      </c>
      <c r="AJ146">
        <v>91.838263980245699</v>
      </c>
      <c r="AK146">
        <v>16.3985787969395</v>
      </c>
    </row>
    <row r="147" spans="1:37" x14ac:dyDescent="0.2">
      <c r="A147" t="str">
        <f>"20200111154031626"</f>
        <v>20200111154031626</v>
      </c>
      <c r="B147" t="str">
        <f>"1578728431616858"</f>
        <v>1578728431616858</v>
      </c>
      <c r="C147" t="s">
        <v>37</v>
      </c>
      <c r="D147">
        <v>5.0927579999999999</v>
      </c>
      <c r="E147">
        <v>0.51227609999999901</v>
      </c>
      <c r="F147" t="s">
        <v>40</v>
      </c>
      <c r="G147">
        <v>-430.33629999999999</v>
      </c>
      <c r="H147">
        <v>-0.05</v>
      </c>
      <c r="I147">
        <v>368.06970000000001</v>
      </c>
      <c r="J147">
        <v>-446.94279999999998</v>
      </c>
      <c r="K147">
        <v>1.108517</v>
      </c>
      <c r="L147">
        <v>367.30939999999998</v>
      </c>
      <c r="M147">
        <v>0.99991719999999895</v>
      </c>
      <c r="N147">
        <v>0</v>
      </c>
      <c r="O147">
        <v>1.253659E-2</v>
      </c>
      <c r="P147">
        <v>0.99613790000000002</v>
      </c>
      <c r="Q147">
        <v>2.4041389999999999E-2</v>
      </c>
      <c r="R147">
        <v>8.4447209999999995E-2</v>
      </c>
      <c r="S147">
        <v>3.0048219999999999</v>
      </c>
      <c r="T147">
        <v>-0.20533080000000001</v>
      </c>
      <c r="U147">
        <v>0.1355286</v>
      </c>
      <c r="V147">
        <v>-7.1961540000000004E-2</v>
      </c>
      <c r="W147">
        <v>2.6906880000000001E-2</v>
      </c>
      <c r="X147">
        <v>0.99704439999999905</v>
      </c>
      <c r="Y147">
        <v>-3.2484020000000002E-2</v>
      </c>
      <c r="Z147">
        <v>2.5285640000000001E-4</v>
      </c>
      <c r="AA147">
        <v>0.99947219999999903</v>
      </c>
      <c r="AB147">
        <v>34</v>
      </c>
      <c r="AC147">
        <v>16.606499999999901</v>
      </c>
      <c r="AD147">
        <v>-1.158517</v>
      </c>
      <c r="AE147">
        <v>0.76030000000002895</v>
      </c>
      <c r="AF147">
        <v>-0.54938231890301203</v>
      </c>
      <c r="AG147">
        <v>-1.158517</v>
      </c>
      <c r="AH147">
        <v>16.534424199179298</v>
      </c>
      <c r="AI147">
        <v>94.005787902870793</v>
      </c>
      <c r="AJ147">
        <v>91.903042513081402</v>
      </c>
      <c r="AK147">
        <v>16.584063620536998</v>
      </c>
    </row>
    <row r="148" spans="1:37" x14ac:dyDescent="0.2">
      <c r="A148" t="str">
        <f>"20200111154031648"</f>
        <v>20200111154031648</v>
      </c>
      <c r="B148" t="str">
        <f>"1578728431636375"</f>
        <v>1578728431636375</v>
      </c>
      <c r="C148" t="s">
        <v>37</v>
      </c>
      <c r="D148">
        <v>5.0287629999999996</v>
      </c>
      <c r="E148">
        <v>0.51232579999999905</v>
      </c>
      <c r="F148" t="s">
        <v>40</v>
      </c>
      <c r="G148">
        <v>-429.8657</v>
      </c>
      <c r="H148">
        <v>-0.05</v>
      </c>
      <c r="I148">
        <v>368.09989999999999</v>
      </c>
      <c r="J148">
        <v>-446.60500000000002</v>
      </c>
      <c r="K148">
        <v>1.108471</v>
      </c>
      <c r="L148">
        <v>367.31380000000001</v>
      </c>
      <c r="M148">
        <v>0.99991770000000002</v>
      </c>
      <c r="N148">
        <v>0</v>
      </c>
      <c r="O148">
        <v>1.265051E-2</v>
      </c>
      <c r="P148">
        <v>0.99599130000000002</v>
      </c>
      <c r="Q148">
        <v>2.452731E-2</v>
      </c>
      <c r="R148">
        <v>8.6022760000000004E-2</v>
      </c>
      <c r="S148">
        <v>3.0047609999999998</v>
      </c>
      <c r="T148">
        <v>-0.203844</v>
      </c>
      <c r="U148">
        <v>0.1390991</v>
      </c>
      <c r="V148">
        <v>-7.3424349999999999E-2</v>
      </c>
      <c r="W148">
        <v>2.6660920000000001E-2</v>
      </c>
      <c r="X148">
        <v>0.99694439999999995</v>
      </c>
      <c r="Y148">
        <v>-3.355474E-2</v>
      </c>
      <c r="Z148">
        <v>2.7957470000000001E-4</v>
      </c>
      <c r="AA148">
        <v>0.99943689999999996</v>
      </c>
      <c r="AB148">
        <v>35</v>
      </c>
      <c r="AC148">
        <v>16.7393</v>
      </c>
      <c r="AD148">
        <v>-1.15847099999999</v>
      </c>
      <c r="AE148">
        <v>0.78609999999997604</v>
      </c>
      <c r="AF148">
        <v>-0.571544506922256</v>
      </c>
      <c r="AG148">
        <v>-1.15847099999999</v>
      </c>
      <c r="AH148">
        <v>16.668247169866198</v>
      </c>
      <c r="AI148">
        <v>93.9734311893735</v>
      </c>
      <c r="AJ148">
        <v>91.963869534593996</v>
      </c>
      <c r="AK148">
        <v>16.718229029923801</v>
      </c>
    </row>
    <row r="149" spans="1:37" x14ac:dyDescent="0.2">
      <c r="A149" t="str">
        <f>"20200111154031669"</f>
        <v>20200111154031669</v>
      </c>
      <c r="B149" t="str">
        <f>"1578728431666631"</f>
        <v>1578728431666631</v>
      </c>
      <c r="C149" t="s">
        <v>37</v>
      </c>
      <c r="D149">
        <v>5.0368190000000004</v>
      </c>
      <c r="E149">
        <v>0.51242410000000005</v>
      </c>
      <c r="F149" t="s">
        <v>40</v>
      </c>
      <c r="G149">
        <v>-429.3879</v>
      </c>
      <c r="H149">
        <v>-0.05</v>
      </c>
      <c r="I149">
        <v>368.13529999999997</v>
      </c>
      <c r="J149">
        <v>-446.26440000000002</v>
      </c>
      <c r="K149">
        <v>1.1084510000000001</v>
      </c>
      <c r="L149">
        <v>367.31819999999999</v>
      </c>
      <c r="M149">
        <v>0.99991770000000002</v>
      </c>
      <c r="N149">
        <v>0</v>
      </c>
      <c r="O149">
        <v>1.273284E-2</v>
      </c>
      <c r="P149">
        <v>0.99592130000000001</v>
      </c>
      <c r="Q149">
        <v>2.5237720000000002E-2</v>
      </c>
      <c r="R149">
        <v>8.6624309999999996E-2</v>
      </c>
      <c r="S149">
        <v>3.0046689999999998</v>
      </c>
      <c r="T149">
        <v>-0.20217279999999899</v>
      </c>
      <c r="U149">
        <v>0.14337159999999999</v>
      </c>
      <c r="V149">
        <v>-7.3943190000000006E-2</v>
      </c>
      <c r="W149">
        <v>2.6794869999999998E-2</v>
      </c>
      <c r="X149">
        <v>0.99690239999999997</v>
      </c>
      <c r="Y149">
        <v>-3.4889799999999999E-2</v>
      </c>
      <c r="Z149">
        <v>3.166E-4</v>
      </c>
      <c r="AA149">
        <v>0.99939109999999998</v>
      </c>
      <c r="AB149">
        <v>35</v>
      </c>
      <c r="AC149">
        <v>16.8765</v>
      </c>
      <c r="AD149">
        <v>-1.1584509999999999</v>
      </c>
      <c r="AE149">
        <v>0.81709999999998195</v>
      </c>
      <c r="AF149">
        <v>-0.59933037667484601</v>
      </c>
      <c r="AG149">
        <v>-1.1584509999999999</v>
      </c>
      <c r="AH149">
        <v>16.806531409564801</v>
      </c>
      <c r="AI149">
        <v>93.940585238399294</v>
      </c>
      <c r="AJ149">
        <v>92.042334334766494</v>
      </c>
      <c r="AK149">
        <v>16.857066875364001</v>
      </c>
    </row>
    <row r="150" spans="1:37" x14ac:dyDescent="0.2">
      <c r="A150" t="str">
        <f>"20200111154031692"</f>
        <v>20200111154031692</v>
      </c>
      <c r="B150" t="str">
        <f>"1578728431686152"</f>
        <v>1578728431686152</v>
      </c>
      <c r="C150" t="s">
        <v>37</v>
      </c>
      <c r="D150">
        <v>5.049976</v>
      </c>
      <c r="E150">
        <v>0.51245540000000001</v>
      </c>
      <c r="F150" t="s">
        <v>40</v>
      </c>
      <c r="G150">
        <v>-428.6807</v>
      </c>
      <c r="H150">
        <v>-0.05</v>
      </c>
      <c r="I150">
        <v>368.16329999999999</v>
      </c>
      <c r="J150">
        <v>-445.90499999999997</v>
      </c>
      <c r="K150">
        <v>1.108449</v>
      </c>
      <c r="L150">
        <v>367.32279999999997</v>
      </c>
      <c r="M150">
        <v>0.99991759999999996</v>
      </c>
      <c r="N150">
        <v>0</v>
      </c>
      <c r="O150">
        <v>1.278903E-2</v>
      </c>
      <c r="P150">
        <v>0.99586079999999999</v>
      </c>
      <c r="Q150">
        <v>2.563789E-2</v>
      </c>
      <c r="R150">
        <v>8.7201169999999995E-2</v>
      </c>
      <c r="S150">
        <v>3.0047299999999999</v>
      </c>
      <c r="T150">
        <v>-0.197957299999999</v>
      </c>
      <c r="U150">
        <v>0.14440919999999999</v>
      </c>
      <c r="V150">
        <v>-7.4463779999999993E-2</v>
      </c>
      <c r="W150">
        <v>2.6759120000000001E-2</v>
      </c>
      <c r="X150">
        <v>0.99686459999999999</v>
      </c>
      <c r="Y150">
        <v>-3.5178559999999998E-2</v>
      </c>
      <c r="Z150">
        <v>3.1580699999999998E-4</v>
      </c>
      <c r="AA150">
        <v>0.99938099999999996</v>
      </c>
      <c r="AB150">
        <v>35</v>
      </c>
      <c r="AC150">
        <v>17.2242999999999</v>
      </c>
      <c r="AD150">
        <v>-1.1584490000000001</v>
      </c>
      <c r="AE150">
        <v>0.84050000000002001</v>
      </c>
      <c r="AF150">
        <v>-0.61736305333323105</v>
      </c>
      <c r="AG150">
        <v>-1.1584490000000001</v>
      </c>
      <c r="AH150">
        <v>17.156219425192099</v>
      </c>
      <c r="AI150">
        <v>93.860460040319893</v>
      </c>
      <c r="AJ150">
        <v>92.060887683383996</v>
      </c>
      <c r="AK150">
        <v>17.206365281213799</v>
      </c>
    </row>
    <row r="151" spans="1:37" x14ac:dyDescent="0.2">
      <c r="A151" t="str">
        <f>"20200111154031715"</f>
        <v>20200111154031715</v>
      </c>
      <c r="B151" t="str">
        <f>"1578728431706647"</f>
        <v>1578728431706647</v>
      </c>
      <c r="C151" t="s">
        <v>37</v>
      </c>
      <c r="D151">
        <v>4.9869370000000002</v>
      </c>
      <c r="E151">
        <v>0.51248389999999999</v>
      </c>
      <c r="F151" t="s">
        <v>40</v>
      </c>
      <c r="G151">
        <v>-428.11660000000001</v>
      </c>
      <c r="H151">
        <v>-0.05</v>
      </c>
      <c r="I151">
        <v>368.18729999999999</v>
      </c>
      <c r="J151">
        <v>-445.52789999999999</v>
      </c>
      <c r="K151">
        <v>1.108463</v>
      </c>
      <c r="L151">
        <v>367.32769999999999</v>
      </c>
      <c r="M151">
        <v>0.99991739999999996</v>
      </c>
      <c r="N151">
        <v>0</v>
      </c>
      <c r="O151">
        <v>1.282078E-2</v>
      </c>
      <c r="P151">
        <v>0.99582399999999904</v>
      </c>
      <c r="Q151">
        <v>2.573605E-2</v>
      </c>
      <c r="R151">
        <v>8.7590719999999997E-2</v>
      </c>
      <c r="S151">
        <v>3.0047609999999998</v>
      </c>
      <c r="T151">
        <v>-0.19568160000000001</v>
      </c>
      <c r="U151">
        <v>0.14602660000000001</v>
      </c>
      <c r="V151">
        <v>-7.4820189999999995E-2</v>
      </c>
      <c r="W151">
        <v>2.656559E-2</v>
      </c>
      <c r="X151">
        <v>0.99684309999999998</v>
      </c>
      <c r="Y151">
        <v>-3.5683159999999998E-2</v>
      </c>
      <c r="Z151">
        <v>3.2651760000000001E-4</v>
      </c>
      <c r="AA151">
        <v>0.99936309999999995</v>
      </c>
      <c r="AB151">
        <v>35</v>
      </c>
      <c r="AC151">
        <v>17.411299999999901</v>
      </c>
      <c r="AD151">
        <v>-1.158463</v>
      </c>
      <c r="AE151">
        <v>0.85960000000000003</v>
      </c>
      <c r="AF151">
        <v>-0.63350515209604397</v>
      </c>
      <c r="AG151">
        <v>-1.158463</v>
      </c>
      <c r="AH151">
        <v>17.344294561871902</v>
      </c>
      <c r="AI151">
        <v>93.818694673374793</v>
      </c>
      <c r="AJ151">
        <v>92.0918142846389</v>
      </c>
      <c r="AK151">
        <v>17.394479559592501</v>
      </c>
    </row>
    <row r="152" spans="1:37" x14ac:dyDescent="0.2">
      <c r="A152" t="str">
        <f>"20200111154031737"</f>
        <v>20200111154031737</v>
      </c>
      <c r="B152" t="str">
        <f>"1578728431726167"</f>
        <v>1578728431726167</v>
      </c>
      <c r="C152" t="s">
        <v>37</v>
      </c>
      <c r="D152">
        <v>5.003622</v>
      </c>
      <c r="E152">
        <v>0.51255109999999904</v>
      </c>
      <c r="F152" t="s">
        <v>40</v>
      </c>
      <c r="G152">
        <v>-427.62699999999899</v>
      </c>
      <c r="H152">
        <v>-0.05</v>
      </c>
      <c r="I152">
        <v>368.202</v>
      </c>
      <c r="J152">
        <v>-445.17340000000002</v>
      </c>
      <c r="K152">
        <v>1.108476</v>
      </c>
      <c r="L152">
        <v>367.33229999999998</v>
      </c>
      <c r="M152">
        <v>0.99991759999999996</v>
      </c>
      <c r="N152">
        <v>0</v>
      </c>
      <c r="O152">
        <v>1.2822780000000001E-2</v>
      </c>
      <c r="P152">
        <v>0.99584159999999899</v>
      </c>
      <c r="Q152">
        <v>2.5337849999999999E-2</v>
      </c>
      <c r="R152">
        <v>8.7508349999999999E-2</v>
      </c>
      <c r="S152">
        <v>3.0047000000000001</v>
      </c>
      <c r="T152">
        <v>-0.19445129999999999</v>
      </c>
      <c r="U152">
        <v>0.146759</v>
      </c>
      <c r="V152">
        <v>-7.473428E-2</v>
      </c>
      <c r="W152">
        <v>2.6018369999999999E-2</v>
      </c>
      <c r="X152">
        <v>0.99686399999999997</v>
      </c>
      <c r="Y152">
        <v>-3.5925279999999997E-2</v>
      </c>
      <c r="Z152">
        <v>3.3216689999999999E-4</v>
      </c>
      <c r="AA152">
        <v>0.99935439999999998</v>
      </c>
      <c r="AB152">
        <v>36</v>
      </c>
      <c r="AC152">
        <v>17.546399999999998</v>
      </c>
      <c r="AD152">
        <v>-1.1584760000000001</v>
      </c>
      <c r="AE152">
        <v>0.86970000000002201</v>
      </c>
      <c r="AF152">
        <v>-0.64184381657838196</v>
      </c>
      <c r="AG152">
        <v>-1.1584760000000001</v>
      </c>
      <c r="AH152">
        <v>17.4800984255135</v>
      </c>
      <c r="AI152">
        <v>93.789129474175198</v>
      </c>
      <c r="AJ152">
        <v>92.102873048311494</v>
      </c>
      <c r="AK152">
        <v>17.5301988321038</v>
      </c>
    </row>
    <row r="153" spans="1:37" x14ac:dyDescent="0.2">
      <c r="A153" t="str">
        <f>"20200111154031759"</f>
        <v>20200111154031759</v>
      </c>
      <c r="B153" t="str">
        <f>"1578728431756424"</f>
        <v>1578728431756424</v>
      </c>
      <c r="C153" t="s">
        <v>37</v>
      </c>
      <c r="D153">
        <v>4.9659399999999998</v>
      </c>
      <c r="E153">
        <v>0.51265289999999997</v>
      </c>
      <c r="F153" t="s">
        <v>40</v>
      </c>
      <c r="G153">
        <v>-427.31180000000001</v>
      </c>
      <c r="H153">
        <v>-0.05</v>
      </c>
      <c r="I153">
        <v>368.19909999999999</v>
      </c>
      <c r="J153">
        <v>-444.8349</v>
      </c>
      <c r="K153">
        <v>1.108492</v>
      </c>
      <c r="L153">
        <v>367.33659999999998</v>
      </c>
      <c r="M153">
        <v>0.99991790000000003</v>
      </c>
      <c r="N153">
        <v>0</v>
      </c>
      <c r="O153">
        <v>1.279518E-2</v>
      </c>
      <c r="P153">
        <v>0.99586669999999999</v>
      </c>
      <c r="Q153">
        <v>2.501463E-2</v>
      </c>
      <c r="R153">
        <v>8.731419E-2</v>
      </c>
      <c r="S153">
        <v>3.0046689999999998</v>
      </c>
      <c r="T153">
        <v>-0.19487850000000001</v>
      </c>
      <c r="U153">
        <v>0.145813</v>
      </c>
      <c r="V153">
        <v>-7.4565309999999996E-2</v>
      </c>
      <c r="W153">
        <v>2.5635599999999901E-2</v>
      </c>
      <c r="X153">
        <v>0.99688659999999996</v>
      </c>
      <c r="Y153">
        <v>-3.5639770000000001E-2</v>
      </c>
      <c r="Z153">
        <v>3.254434E-4</v>
      </c>
      <c r="AA153">
        <v>0.999364699999999</v>
      </c>
      <c r="AB153">
        <v>36</v>
      </c>
      <c r="AC153">
        <v>17.523099999999999</v>
      </c>
      <c r="AD153">
        <v>-1.1584920000000001</v>
      </c>
      <c r="AE153">
        <v>0.86250000000001104</v>
      </c>
      <c r="AF153">
        <v>-0.63544740038658198</v>
      </c>
      <c r="AG153">
        <v>-1.1584920000000001</v>
      </c>
      <c r="AH153">
        <v>17.456585958414198</v>
      </c>
      <c r="AI153">
        <v>93.794314228363007</v>
      </c>
      <c r="AJ153">
        <v>92.084736711348796</v>
      </c>
      <c r="AK153">
        <v>17.506521368799302</v>
      </c>
    </row>
    <row r="154" spans="1:37" x14ac:dyDescent="0.2">
      <c r="A154" t="str">
        <f>"20200111154031782"</f>
        <v>20200111154031782</v>
      </c>
      <c r="B154" t="str">
        <f>"1578728431776920"</f>
        <v>1578728431776920</v>
      </c>
      <c r="C154" t="s">
        <v>37</v>
      </c>
      <c r="D154">
        <v>4.9602579999999996</v>
      </c>
      <c r="E154">
        <v>0.5127237</v>
      </c>
      <c r="F154" t="s">
        <v>40</v>
      </c>
      <c r="G154">
        <v>-426.93799999999999</v>
      </c>
      <c r="H154">
        <v>-0.05</v>
      </c>
      <c r="I154">
        <v>368.1986</v>
      </c>
      <c r="J154">
        <v>-444.45589999999999</v>
      </c>
      <c r="K154">
        <v>1.1085020000000001</v>
      </c>
      <c r="L154">
        <v>367.34140000000002</v>
      </c>
      <c r="M154">
        <v>0.9999188</v>
      </c>
      <c r="N154">
        <v>0</v>
      </c>
      <c r="O154">
        <v>1.2726309999999999E-2</v>
      </c>
      <c r="P154">
        <v>0.99585159999999995</v>
      </c>
      <c r="Q154">
        <v>2.518335E-2</v>
      </c>
      <c r="R154">
        <v>8.7438979999999999E-2</v>
      </c>
      <c r="S154">
        <v>3.0046390000000001</v>
      </c>
      <c r="T154">
        <v>-0.19449530000000001</v>
      </c>
      <c r="U154">
        <v>0.14471439999999999</v>
      </c>
      <c r="V154">
        <v>-7.4756569999999994E-2</v>
      </c>
      <c r="W154">
        <v>2.58009999999999E-2</v>
      </c>
      <c r="X154">
        <v>0.99686799999999998</v>
      </c>
      <c r="Y154">
        <v>-3.5345189999999999E-2</v>
      </c>
      <c r="Z154">
        <v>3.1974150000000002E-4</v>
      </c>
      <c r="AA154">
        <v>0.99937509999999996</v>
      </c>
      <c r="AB154">
        <v>36</v>
      </c>
      <c r="AC154">
        <v>17.517899999999901</v>
      </c>
      <c r="AD154">
        <v>-1.1585019999999999</v>
      </c>
      <c r="AE154">
        <v>0.85719999999997698</v>
      </c>
      <c r="AF154">
        <v>-0.63143731042725704</v>
      </c>
      <c r="AG154">
        <v>-1.1585019999999999</v>
      </c>
      <c r="AH154">
        <v>17.451249556691302</v>
      </c>
      <c r="AI154">
        <v>93.7955337558586</v>
      </c>
      <c r="AJ154">
        <v>92.072225072152193</v>
      </c>
      <c r="AK154">
        <v>17.5010557124684</v>
      </c>
    </row>
    <row r="155" spans="1:37" x14ac:dyDescent="0.2">
      <c r="A155" t="str">
        <f>"20200111154031807"</f>
        <v>20200111154031807</v>
      </c>
      <c r="B155" t="str">
        <f>"1578728431796440"</f>
        <v>1578728431796440</v>
      </c>
      <c r="C155" t="s">
        <v>37</v>
      </c>
      <c r="D155">
        <v>4.9244079999999997</v>
      </c>
      <c r="E155">
        <v>0.51277879999999998</v>
      </c>
      <c r="F155" t="s">
        <v>40</v>
      </c>
      <c r="G155">
        <v>-426.42759999999998</v>
      </c>
      <c r="H155">
        <v>-0.05</v>
      </c>
      <c r="I155">
        <v>368.2099</v>
      </c>
      <c r="J155">
        <v>-444.06670000000003</v>
      </c>
      <c r="K155">
        <v>1.1085020000000001</v>
      </c>
      <c r="L155">
        <v>367.34629999999999</v>
      </c>
      <c r="M155">
        <v>0.99992039999999904</v>
      </c>
      <c r="N155">
        <v>0</v>
      </c>
      <c r="O155">
        <v>1.2610629999999999E-2</v>
      </c>
      <c r="P155">
        <v>0.99583569999999999</v>
      </c>
      <c r="Q155">
        <v>2.5516750000000001E-2</v>
      </c>
      <c r="R155">
        <v>8.7524099999999994E-2</v>
      </c>
      <c r="S155">
        <v>3.0046390000000001</v>
      </c>
      <c r="T155">
        <v>-0.19307779999999899</v>
      </c>
      <c r="U155">
        <v>0.14474489999999901</v>
      </c>
      <c r="V155">
        <v>-7.4954989999999999E-2</v>
      </c>
      <c r="W155">
        <v>2.6181400000000001E-2</v>
      </c>
      <c r="X155">
        <v>0.99684319999999904</v>
      </c>
      <c r="Y155">
        <v>-3.5471120000000002E-2</v>
      </c>
      <c r="Z155">
        <v>3.2887569999999998E-4</v>
      </c>
      <c r="AA155">
        <v>0.9993706</v>
      </c>
      <c r="AB155">
        <v>36</v>
      </c>
      <c r="AC155">
        <v>17.639099999999999</v>
      </c>
      <c r="AD155">
        <v>-1.1585019999999999</v>
      </c>
      <c r="AE155">
        <v>0.86360000000001902</v>
      </c>
      <c r="AF155">
        <v>-0.63834416465164001</v>
      </c>
      <c r="AG155">
        <v>-1.1585019999999999</v>
      </c>
      <c r="AH155">
        <v>17.572966298924399</v>
      </c>
      <c r="AI155">
        <v>93.769301180231494</v>
      </c>
      <c r="AJ155">
        <v>92.080374569819497</v>
      </c>
      <c r="AK155">
        <v>17.622677285239099</v>
      </c>
    </row>
    <row r="156" spans="1:37" x14ac:dyDescent="0.2">
      <c r="A156" t="str">
        <f>"20200111154031829"</f>
        <v>20200111154031829</v>
      </c>
      <c r="B156" t="str">
        <f>"1578728431826696"</f>
        <v>1578728431826696</v>
      </c>
      <c r="C156" t="s">
        <v>37</v>
      </c>
      <c r="D156">
        <v>4.9683479999999998</v>
      </c>
      <c r="E156">
        <v>0.51286569999999998</v>
      </c>
      <c r="F156" t="s">
        <v>40</v>
      </c>
      <c r="G156">
        <v>-425.84899999999999</v>
      </c>
      <c r="H156">
        <v>-0.05</v>
      </c>
      <c r="I156">
        <v>368.22199999999998</v>
      </c>
      <c r="J156">
        <v>-443.69420000000002</v>
      </c>
      <c r="K156">
        <v>1.10849</v>
      </c>
      <c r="L156">
        <v>367.35090000000002</v>
      </c>
      <c r="M156">
        <v>0.99992199999999998</v>
      </c>
      <c r="N156">
        <v>0</v>
      </c>
      <c r="O156">
        <v>1.2465E-2</v>
      </c>
      <c r="P156">
        <v>0.99583029999999995</v>
      </c>
      <c r="Q156">
        <v>2.588845E-2</v>
      </c>
      <c r="R156">
        <v>8.7477040000000006E-2</v>
      </c>
      <c r="S156">
        <v>3.0047000000000001</v>
      </c>
      <c r="T156">
        <v>-0.19107489999999999</v>
      </c>
      <c r="U156">
        <v>0.1444397</v>
      </c>
      <c r="V156">
        <v>-7.5050610000000004E-2</v>
      </c>
      <c r="W156">
        <v>2.662231E-2</v>
      </c>
      <c r="X156">
        <v>0.9968243</v>
      </c>
      <c r="Y156">
        <v>-3.551501E-2</v>
      </c>
      <c r="Z156">
        <v>3.3610199999999899E-4</v>
      </c>
      <c r="AA156">
        <v>0.99936909999999901</v>
      </c>
      <c r="AB156">
        <v>36</v>
      </c>
      <c r="AC156">
        <v>17.845199999999998</v>
      </c>
      <c r="AD156">
        <v>-1.15849</v>
      </c>
      <c r="AE156">
        <v>0.87109999999995502</v>
      </c>
      <c r="AF156">
        <v>-0.64587628865610802</v>
      </c>
      <c r="AG156">
        <v>-1.15849</v>
      </c>
      <c r="AH156">
        <v>17.779917261635902</v>
      </c>
      <c r="AI156">
        <v>93.725513748649007</v>
      </c>
      <c r="AJ156">
        <v>92.080421420164896</v>
      </c>
      <c r="AK156">
        <v>17.8293217226839</v>
      </c>
    </row>
    <row r="157" spans="1:37" x14ac:dyDescent="0.2">
      <c r="A157" t="str">
        <f>"20200111154031849"</f>
        <v>20200111154031849</v>
      </c>
      <c r="B157" t="str">
        <f>"1578728431846216"</f>
        <v>1578728431846216</v>
      </c>
      <c r="C157" t="s">
        <v>37</v>
      </c>
      <c r="D157">
        <v>4.9570189999999998</v>
      </c>
      <c r="E157">
        <v>0.51289110000000004</v>
      </c>
      <c r="F157" t="s">
        <v>40</v>
      </c>
      <c r="G157">
        <v>-425.2817</v>
      </c>
      <c r="H157">
        <v>-0.05</v>
      </c>
      <c r="I157">
        <v>368.2337</v>
      </c>
      <c r="J157">
        <v>-443.363</v>
      </c>
      <c r="K157">
        <v>1.1084780000000001</v>
      </c>
      <c r="L157">
        <v>367.35489999999999</v>
      </c>
      <c r="M157">
        <v>0.99992389999999998</v>
      </c>
      <c r="N157">
        <v>0</v>
      </c>
      <c r="O157">
        <v>1.231265E-2</v>
      </c>
      <c r="P157">
        <v>0.99588790000000005</v>
      </c>
      <c r="Q157">
        <v>2.5770649999999999E-2</v>
      </c>
      <c r="R157">
        <v>8.6851769999999995E-2</v>
      </c>
      <c r="S157">
        <v>3.0048520000000001</v>
      </c>
      <c r="T157">
        <v>-0.1890616</v>
      </c>
      <c r="U157">
        <v>0.14407349999999999</v>
      </c>
      <c r="V157">
        <v>-7.4574899999999902E-2</v>
      </c>
      <c r="W157">
        <v>2.6577509999999999E-2</v>
      </c>
      <c r="X157">
        <v>0.996861199999999</v>
      </c>
      <c r="Y157">
        <v>-3.5543949999999998E-2</v>
      </c>
      <c r="Z157">
        <v>3.4303019999999999E-4</v>
      </c>
      <c r="AA157">
        <v>0.99936809999999998</v>
      </c>
      <c r="AB157">
        <v>37</v>
      </c>
      <c r="AC157">
        <v>18.081299999999999</v>
      </c>
      <c r="AD157">
        <v>-1.1584779999999999</v>
      </c>
      <c r="AE157">
        <v>0.87880000000001202</v>
      </c>
      <c r="AF157">
        <v>-0.65342857716765201</v>
      </c>
      <c r="AG157">
        <v>-1.1584779999999999</v>
      </c>
      <c r="AH157">
        <v>18.016963863811998</v>
      </c>
      <c r="AI157">
        <v>93.676602867969805</v>
      </c>
      <c r="AJ157">
        <v>92.077059055328306</v>
      </c>
      <c r="AK157">
        <v>18.0659908959307</v>
      </c>
    </row>
    <row r="158" spans="1:37" x14ac:dyDescent="0.2">
      <c r="A158" t="str">
        <f>"20200111154031871"</f>
        <v>20200111154031871</v>
      </c>
      <c r="B158" t="str">
        <f>"1578728431866715"</f>
        <v>1578728431866715</v>
      </c>
      <c r="C158" t="s">
        <v>37</v>
      </c>
      <c r="D158">
        <v>4.9322029999999897</v>
      </c>
      <c r="E158">
        <v>0.51291220000000004</v>
      </c>
      <c r="F158" t="s">
        <v>40</v>
      </c>
      <c r="G158">
        <v>-424.9427</v>
      </c>
      <c r="H158">
        <v>-0.05</v>
      </c>
      <c r="I158">
        <v>368.22739999999999</v>
      </c>
      <c r="J158">
        <v>-442.98759999999999</v>
      </c>
      <c r="K158">
        <v>1.1084639999999999</v>
      </c>
      <c r="L158">
        <v>367.35939999999999</v>
      </c>
      <c r="M158">
        <v>0.99992630000000005</v>
      </c>
      <c r="N158">
        <v>0</v>
      </c>
      <c r="O158">
        <v>1.21192E-2</v>
      </c>
      <c r="P158">
        <v>0.99596180000000001</v>
      </c>
      <c r="Q158">
        <v>2.6229289999999999E-2</v>
      </c>
      <c r="R158">
        <v>8.5863590000000004E-2</v>
      </c>
      <c r="S158">
        <v>3.004883</v>
      </c>
      <c r="T158">
        <v>-0.1889807</v>
      </c>
      <c r="U158">
        <v>0.14233399999999999</v>
      </c>
      <c r="V158">
        <v>-7.3777110000000007E-2</v>
      </c>
      <c r="W158">
        <v>2.7124240000000001E-2</v>
      </c>
      <c r="X158">
        <v>0.99690579999999995</v>
      </c>
      <c r="Y158">
        <v>-3.5159999999999997E-2</v>
      </c>
      <c r="Z158">
        <v>3.429738E-4</v>
      </c>
      <c r="AA158">
        <v>0.99938169999999904</v>
      </c>
      <c r="AB158">
        <v>37</v>
      </c>
      <c r="AC158">
        <v>18.044899999999899</v>
      </c>
      <c r="AD158">
        <v>-1.1584639999999999</v>
      </c>
      <c r="AE158">
        <v>0.867999999999994</v>
      </c>
      <c r="AF158">
        <v>-0.646587680730766</v>
      </c>
      <c r="AG158">
        <v>-1.1584639999999999</v>
      </c>
      <c r="AH158">
        <v>17.980159948225701</v>
      </c>
      <c r="AI158">
        <v>93.684104047490905</v>
      </c>
      <c r="AJ158">
        <v>92.059536065585107</v>
      </c>
      <c r="AK158">
        <v>18.029039526052099</v>
      </c>
    </row>
    <row r="159" spans="1:37" x14ac:dyDescent="0.2">
      <c r="A159" t="str">
        <f>"20200111154031894"</f>
        <v>20200111154031894</v>
      </c>
      <c r="B159" t="str">
        <f>"1578728431886232"</f>
        <v>1578728431886232</v>
      </c>
      <c r="C159" t="s">
        <v>37</v>
      </c>
      <c r="D159">
        <v>4.9718819999999999</v>
      </c>
      <c r="E159">
        <v>0.51294390000000001</v>
      </c>
      <c r="F159" t="s">
        <v>40</v>
      </c>
      <c r="G159">
        <v>-424.39210000000003</v>
      </c>
      <c r="H159">
        <v>-0.05</v>
      </c>
      <c r="I159">
        <v>368.22030000000001</v>
      </c>
      <c r="J159">
        <v>-442.60879999999997</v>
      </c>
      <c r="K159">
        <v>1.1084510000000001</v>
      </c>
      <c r="L159">
        <v>367.36380000000003</v>
      </c>
      <c r="M159">
        <v>0.99992879999999995</v>
      </c>
      <c r="N159">
        <v>0</v>
      </c>
      <c r="O159">
        <v>1.1909960000000001E-2</v>
      </c>
      <c r="P159">
        <v>0.99602400000000002</v>
      </c>
      <c r="Q159">
        <v>2.6520080000000001E-2</v>
      </c>
      <c r="R159">
        <v>8.5048680000000001E-2</v>
      </c>
      <c r="S159">
        <v>3.0051269999999999</v>
      </c>
      <c r="T159">
        <v>-0.18721279999999901</v>
      </c>
      <c r="U159">
        <v>0.13912959999999999</v>
      </c>
      <c r="V159">
        <v>-7.3168830000000004E-2</v>
      </c>
      <c r="W159">
        <v>2.7507E-2</v>
      </c>
      <c r="X159">
        <v>0.9969401</v>
      </c>
      <c r="Y159">
        <v>-3.4304069999999999E-2</v>
      </c>
      <c r="Z159">
        <v>3.2614299999999998E-4</v>
      </c>
      <c r="AA159">
        <v>0.99941139999999995</v>
      </c>
      <c r="AB159">
        <v>37</v>
      </c>
      <c r="AC159">
        <v>18.2166999999999</v>
      </c>
      <c r="AD159">
        <v>-1.1584509999999999</v>
      </c>
      <c r="AE159">
        <v>0.85649999999998205</v>
      </c>
      <c r="AF159">
        <v>-0.63690901693873203</v>
      </c>
      <c r="AG159">
        <v>-1.1584509999999999</v>
      </c>
      <c r="AH159">
        <v>18.152361806570699</v>
      </c>
      <c r="AI159">
        <v>93.649321847045499</v>
      </c>
      <c r="AJ159">
        <v>92.009503503116605</v>
      </c>
      <c r="AK159">
        <v>18.2004368346451</v>
      </c>
    </row>
    <row r="160" spans="1:37" x14ac:dyDescent="0.2">
      <c r="A160" t="str">
        <f>"20200111154031916"</f>
        <v>20200111154031916</v>
      </c>
      <c r="B160" t="str">
        <f>"1578728431906730"</f>
        <v>1578728431906730</v>
      </c>
      <c r="C160" t="s">
        <v>37</v>
      </c>
      <c r="D160">
        <v>4.9282159999999999</v>
      </c>
      <c r="E160">
        <v>0.51295239999999998</v>
      </c>
      <c r="F160" t="s">
        <v>40</v>
      </c>
      <c r="G160">
        <v>-423.86970000000002</v>
      </c>
      <c r="H160">
        <v>-0.05</v>
      </c>
      <c r="I160">
        <v>368.21519999999998</v>
      </c>
      <c r="J160">
        <v>-442.23450000000003</v>
      </c>
      <c r="K160">
        <v>1.108439</v>
      </c>
      <c r="L160">
        <v>367.36810000000003</v>
      </c>
      <c r="M160">
        <v>0.99993099999999902</v>
      </c>
      <c r="N160">
        <v>0</v>
      </c>
      <c r="O160">
        <v>1.169422E-2</v>
      </c>
      <c r="P160">
        <v>0.99610480000000001</v>
      </c>
      <c r="Q160">
        <v>2.659823E-2</v>
      </c>
      <c r="R160">
        <v>8.4070510000000001E-2</v>
      </c>
      <c r="S160">
        <v>3.0052189999999999</v>
      </c>
      <c r="T160">
        <v>-0.18578249999999999</v>
      </c>
      <c r="U160">
        <v>0.13653560000000001</v>
      </c>
      <c r="V160">
        <v>-7.2403579999999995E-2</v>
      </c>
      <c r="W160">
        <v>2.767526E-2</v>
      </c>
      <c r="X160">
        <v>0.99699139999999997</v>
      </c>
      <c r="Y160">
        <v>-3.3658920000000002E-2</v>
      </c>
      <c r="Z160">
        <v>3.1705410000000002E-4</v>
      </c>
      <c r="AA160">
        <v>0.99943329999999997</v>
      </c>
      <c r="AB160">
        <v>37</v>
      </c>
      <c r="AC160">
        <v>18.364799999999999</v>
      </c>
      <c r="AD160">
        <v>-1.158439</v>
      </c>
      <c r="AE160">
        <v>0.847099999999954</v>
      </c>
      <c r="AF160">
        <v>-0.62977935906430205</v>
      </c>
      <c r="AG160">
        <v>-1.158439</v>
      </c>
      <c r="AH160">
        <v>18.300786173876801</v>
      </c>
      <c r="AI160">
        <v>93.6198509396134</v>
      </c>
      <c r="AJ160">
        <v>91.9709243759402</v>
      </c>
      <c r="AK160">
        <v>18.3482254602396</v>
      </c>
    </row>
    <row r="161" spans="1:37" x14ac:dyDescent="0.2">
      <c r="A161" t="str">
        <f>"20200111154031938"</f>
        <v>20200111154031938</v>
      </c>
      <c r="B161" t="str">
        <f>"1578728431926247"</f>
        <v>1578728431926247</v>
      </c>
      <c r="C161" t="s">
        <v>37</v>
      </c>
      <c r="D161">
        <v>5.0038260000000001</v>
      </c>
      <c r="E161">
        <v>0.51296140000000001</v>
      </c>
      <c r="F161" t="s">
        <v>40</v>
      </c>
      <c r="G161">
        <v>-423.42160000000001</v>
      </c>
      <c r="H161">
        <v>-0.05</v>
      </c>
      <c r="I161">
        <v>368.2047</v>
      </c>
      <c r="J161">
        <v>-441.87009999999998</v>
      </c>
      <c r="K161">
        <v>1.108422</v>
      </c>
      <c r="L161">
        <v>367.37220000000002</v>
      </c>
      <c r="M161">
        <v>0.99993349999999903</v>
      </c>
      <c r="N161">
        <v>0</v>
      </c>
      <c r="O161">
        <v>1.147926E-2</v>
      </c>
      <c r="P161">
        <v>0.99618660000000003</v>
      </c>
      <c r="Q161">
        <v>2.6631149999999999E-2</v>
      </c>
      <c r="R161">
        <v>8.3084930000000001E-2</v>
      </c>
      <c r="S161">
        <v>3.0053709999999998</v>
      </c>
      <c r="T161">
        <v>-0.1850618</v>
      </c>
      <c r="U161">
        <v>0.13363649999999999</v>
      </c>
      <c r="V161">
        <v>-7.1630810000000003E-2</v>
      </c>
      <c r="W161">
        <v>2.7793470000000001E-2</v>
      </c>
      <c r="X161">
        <v>0.99704389999999998</v>
      </c>
      <c r="Y161">
        <v>-3.291061E-2</v>
      </c>
      <c r="Z161">
        <v>3.0602549999999998E-4</v>
      </c>
      <c r="AA161">
        <v>0.99945830000000002</v>
      </c>
      <c r="AB161">
        <v>37</v>
      </c>
      <c r="AC161">
        <v>18.4484999999999</v>
      </c>
      <c r="AD161">
        <v>-1.1584219999999901</v>
      </c>
      <c r="AE161">
        <v>0.83249999999998103</v>
      </c>
      <c r="AF161">
        <v>-0.61823722016428695</v>
      </c>
      <c r="AG161">
        <v>-1.1584219999999901</v>
      </c>
      <c r="AH161">
        <v>18.3845007135515</v>
      </c>
      <c r="AI161">
        <v>93.603454405058898</v>
      </c>
      <c r="AJ161">
        <v>91.926026740704799</v>
      </c>
      <c r="AK161">
        <v>18.431332704854899</v>
      </c>
    </row>
    <row r="162" spans="1:37" x14ac:dyDescent="0.2">
      <c r="A162" t="str">
        <f>"20200111154031959"</f>
        <v>20200111154031959</v>
      </c>
      <c r="B162" t="str">
        <f>"1578728431956503"</f>
        <v>1578728431956503</v>
      </c>
      <c r="C162" t="s">
        <v>37</v>
      </c>
      <c r="D162">
        <v>4.9865830000000004</v>
      </c>
      <c r="E162">
        <v>0.51298869999999996</v>
      </c>
      <c r="F162" t="s">
        <v>40</v>
      </c>
      <c r="G162">
        <v>-423.03519999999997</v>
      </c>
      <c r="H162">
        <v>-0.05</v>
      </c>
      <c r="I162">
        <v>368.19189999999998</v>
      </c>
      <c r="J162">
        <v>-441.50729999999999</v>
      </c>
      <c r="K162">
        <v>1.1084020000000001</v>
      </c>
      <c r="L162">
        <v>367.37619999999998</v>
      </c>
      <c r="M162">
        <v>0.99993600000000005</v>
      </c>
      <c r="N162">
        <v>0</v>
      </c>
      <c r="O162">
        <v>1.126257E-2</v>
      </c>
      <c r="P162">
        <v>0.996256699999999</v>
      </c>
      <c r="Q162">
        <v>2.5773500000000001E-2</v>
      </c>
      <c r="R162">
        <v>8.2514680000000007E-2</v>
      </c>
      <c r="S162">
        <v>3.0055239999999999</v>
      </c>
      <c r="T162">
        <v>-0.18485179999999901</v>
      </c>
      <c r="U162">
        <v>0.13079830000000001</v>
      </c>
      <c r="V162">
        <v>-7.1275740000000004E-2</v>
      </c>
      <c r="W162">
        <v>2.7018420000000001E-2</v>
      </c>
      <c r="X162">
        <v>0.99709059999999905</v>
      </c>
      <c r="Y162">
        <v>-3.2184030000000002E-2</v>
      </c>
      <c r="Z162">
        <v>2.9666289999999998E-4</v>
      </c>
      <c r="AA162">
        <v>0.99948189999999903</v>
      </c>
      <c r="AB162">
        <v>38</v>
      </c>
      <c r="AC162">
        <v>18.472100000000001</v>
      </c>
      <c r="AD162">
        <v>-1.1584019999999999</v>
      </c>
      <c r="AE162">
        <v>0.81569999999999199</v>
      </c>
      <c r="AF162">
        <v>-0.60522929845582396</v>
      </c>
      <c r="AG162">
        <v>-1.1584019999999999</v>
      </c>
      <c r="AH162">
        <v>18.407864366913799</v>
      </c>
      <c r="AI162">
        <v>93.598920222780507</v>
      </c>
      <c r="AJ162">
        <v>91.883140614516705</v>
      </c>
      <c r="AK162">
        <v>18.454204622470399</v>
      </c>
    </row>
    <row r="163" spans="1:37" x14ac:dyDescent="0.2">
      <c r="A163" t="str">
        <f>"20200111154031983"</f>
        <v>20200111154031983</v>
      </c>
      <c r="B163" t="str">
        <f>"1578728431977000"</f>
        <v>1578728431977000</v>
      </c>
      <c r="C163" t="s">
        <v>37</v>
      </c>
      <c r="D163">
        <v>4.9619949999999999</v>
      </c>
      <c r="E163">
        <v>0.51299269999999997</v>
      </c>
      <c r="F163" t="s">
        <v>40</v>
      </c>
      <c r="G163">
        <v>-422.88709999999998</v>
      </c>
      <c r="H163">
        <v>-0.05</v>
      </c>
      <c r="I163">
        <v>368.17329999999998</v>
      </c>
      <c r="J163">
        <v>-441.1105</v>
      </c>
      <c r="K163">
        <v>1.1083750000000001</v>
      </c>
      <c r="L163">
        <v>367.38049999999998</v>
      </c>
      <c r="M163">
        <v>0.99993840000000001</v>
      </c>
      <c r="N163">
        <v>0</v>
      </c>
      <c r="O163">
        <v>1.1025129999999999E-2</v>
      </c>
      <c r="P163">
        <v>0.99630839999999998</v>
      </c>
      <c r="Q163">
        <v>2.5058549999999999E-2</v>
      </c>
      <c r="R163">
        <v>8.2106040000000005E-2</v>
      </c>
      <c r="S163">
        <v>3.0054630000000002</v>
      </c>
      <c r="T163">
        <v>-0.18697659999999999</v>
      </c>
      <c r="U163">
        <v>0.1286621</v>
      </c>
      <c r="V163">
        <v>-7.1102429999999994E-2</v>
      </c>
      <c r="W163">
        <v>2.6389220000000001E-2</v>
      </c>
      <c r="X163">
        <v>0.99711989999999995</v>
      </c>
      <c r="Y163">
        <v>-3.171268E-2</v>
      </c>
      <c r="Z163">
        <v>3.001832E-4</v>
      </c>
      <c r="AA163">
        <v>0.99949699999999997</v>
      </c>
      <c r="AB163">
        <v>38</v>
      </c>
      <c r="AC163">
        <v>18.223400000000002</v>
      </c>
      <c r="AD163">
        <v>-1.1583749999999999</v>
      </c>
      <c r="AE163">
        <v>0.79279999999999895</v>
      </c>
      <c r="AF163">
        <v>-0.58945906123616898</v>
      </c>
      <c r="AG163">
        <v>-1.1583749999999999</v>
      </c>
      <c r="AH163">
        <v>18.157804375522399</v>
      </c>
      <c r="AI163">
        <v>93.648314312495302</v>
      </c>
      <c r="AJ163">
        <v>91.859347037731695</v>
      </c>
      <c r="AK163">
        <v>18.2042619835366</v>
      </c>
    </row>
    <row r="164" spans="1:37" x14ac:dyDescent="0.2">
      <c r="A164" t="str">
        <f>"20200111154032006"</f>
        <v>20200111154032006</v>
      </c>
      <c r="B164" t="str">
        <f>"1578728431996519"</f>
        <v>1578728431996519</v>
      </c>
      <c r="C164" t="s">
        <v>37</v>
      </c>
      <c r="D164">
        <v>4.9939599999999897</v>
      </c>
      <c r="E164">
        <v>0.51300119999999905</v>
      </c>
      <c r="F164" t="s">
        <v>40</v>
      </c>
      <c r="G164">
        <v>-422.68799999999999</v>
      </c>
      <c r="H164">
        <v>-0.05</v>
      </c>
      <c r="I164">
        <v>368.16320000000002</v>
      </c>
      <c r="J164">
        <v>-440.71679999999998</v>
      </c>
      <c r="K164">
        <v>1.1082479999999999</v>
      </c>
      <c r="L164">
        <v>367.38470000000001</v>
      </c>
      <c r="M164">
        <v>0.99994139999999998</v>
      </c>
      <c r="N164">
        <v>0</v>
      </c>
      <c r="O164">
        <v>1.078288E-2</v>
      </c>
      <c r="P164">
        <v>0.99632009999999904</v>
      </c>
      <c r="Q164">
        <v>2.4891449999999999E-2</v>
      </c>
      <c r="R164">
        <v>8.2016510000000001E-2</v>
      </c>
      <c r="S164">
        <v>3.0054020000000001</v>
      </c>
      <c r="T164">
        <v>-0.18897459999999999</v>
      </c>
      <c r="U164">
        <v>0.12768550000000001</v>
      </c>
      <c r="V164">
        <v>-7.1254929999999994E-2</v>
      </c>
      <c r="W164">
        <v>2.5954020000000001E-2</v>
      </c>
      <c r="X164">
        <v>0.99712040000000002</v>
      </c>
      <c r="Y164">
        <v>-3.1630329999999998E-2</v>
      </c>
      <c r="Z164">
        <v>3.160153E-4</v>
      </c>
      <c r="AA164">
        <v>0.99949959999999904</v>
      </c>
      <c r="AB164">
        <v>38</v>
      </c>
      <c r="AC164">
        <v>18.028799999999901</v>
      </c>
      <c r="AD164">
        <v>-1.1582479999999999</v>
      </c>
      <c r="AE164">
        <v>0.77850000000000796</v>
      </c>
      <c r="AF164">
        <v>-0.58165604336658205</v>
      </c>
      <c r="AG164">
        <v>-1.1582479999999999</v>
      </c>
      <c r="AH164">
        <v>17.962148548665098</v>
      </c>
      <c r="AI164">
        <v>93.687551533110593</v>
      </c>
      <c r="AJ164">
        <v>91.854722155501406</v>
      </c>
      <c r="AK164">
        <v>18.0088490100451</v>
      </c>
    </row>
    <row r="165" spans="1:37" x14ac:dyDescent="0.2">
      <c r="A165" t="str">
        <f>"20200111154032018"</f>
        <v>20200111154032018</v>
      </c>
      <c r="B165" t="str">
        <f>"1578728432006279"</f>
        <v>1578728432006279</v>
      </c>
      <c r="C165" t="s">
        <v>37</v>
      </c>
      <c r="D165">
        <v>5.0102739999999999</v>
      </c>
      <c r="E165">
        <v>0.51300859999999904</v>
      </c>
      <c r="F165" t="s">
        <v>40</v>
      </c>
      <c r="G165">
        <v>-422.35379999999998</v>
      </c>
      <c r="H165">
        <v>-0.05</v>
      </c>
      <c r="I165">
        <v>368.16390000000001</v>
      </c>
      <c r="J165">
        <v>-440.49169999999998</v>
      </c>
      <c r="K165">
        <v>1.108134</v>
      </c>
      <c r="L165">
        <v>367.38709999999998</v>
      </c>
      <c r="M165">
        <v>0.99994300000000003</v>
      </c>
      <c r="N165">
        <v>0</v>
      </c>
      <c r="O165">
        <v>1.064445E-2</v>
      </c>
      <c r="P165">
        <v>0.9963301</v>
      </c>
      <c r="Q165">
        <v>2.5214719999999999E-2</v>
      </c>
      <c r="R165">
        <v>8.1796579999999994E-2</v>
      </c>
      <c r="S165">
        <v>3.00528</v>
      </c>
      <c r="T165">
        <v>-0.18955859999999999</v>
      </c>
      <c r="U165">
        <v>0.12753299999999901</v>
      </c>
      <c r="V165">
        <v>-7.1172769999999996E-2</v>
      </c>
      <c r="W165">
        <v>2.615613E-2</v>
      </c>
      <c r="X165">
        <v>0.99712099999999904</v>
      </c>
      <c r="Y165">
        <v>-3.171906E-2</v>
      </c>
      <c r="Z165">
        <v>3.2851510000000002E-4</v>
      </c>
      <c r="AA165">
        <v>0.99949679999999996</v>
      </c>
      <c r="AB165">
        <v>38</v>
      </c>
      <c r="AC165">
        <v>18.137899999999998</v>
      </c>
      <c r="AD165">
        <v>-1.158134</v>
      </c>
      <c r="AE165">
        <v>0.77680000000003602</v>
      </c>
      <c r="AF165">
        <v>-0.58132222744541695</v>
      </c>
      <c r="AG165">
        <v>-1.158134</v>
      </c>
      <c r="AH165">
        <v>18.0715975273848</v>
      </c>
      <c r="AI165">
        <v>93.664944796686001</v>
      </c>
      <c r="AJ165">
        <v>91.8424397101182</v>
      </c>
      <c r="AK165">
        <v>18.117997877410701</v>
      </c>
    </row>
    <row r="166" spans="1:37" x14ac:dyDescent="0.2">
      <c r="A166" t="str">
        <f>"20200111154032039"</f>
        <v>20200111154032039</v>
      </c>
      <c r="B166" t="str">
        <f>"1578728432036536"</f>
        <v>1578728432036536</v>
      </c>
      <c r="C166" t="s">
        <v>37</v>
      </c>
      <c r="D166">
        <v>4.9913230000000004</v>
      </c>
      <c r="E166">
        <v>0.51300239999999997</v>
      </c>
      <c r="F166" t="s">
        <v>40</v>
      </c>
      <c r="G166">
        <v>-422.02850000000001</v>
      </c>
      <c r="H166">
        <v>-0.05</v>
      </c>
      <c r="I166">
        <v>368.16739999999999</v>
      </c>
      <c r="J166">
        <v>-440.14449999999999</v>
      </c>
      <c r="K166">
        <v>1.1078669999999999</v>
      </c>
      <c r="L166">
        <v>367.39060000000001</v>
      </c>
      <c r="M166">
        <v>0.99994519999999998</v>
      </c>
      <c r="N166">
        <v>0</v>
      </c>
      <c r="O166">
        <v>1.043668E-2</v>
      </c>
      <c r="P166">
        <v>0.99632489999999996</v>
      </c>
      <c r="Q166">
        <v>2.5411050000000001E-2</v>
      </c>
      <c r="R166">
        <v>8.1800369999999997E-2</v>
      </c>
      <c r="S166">
        <v>3.0054020000000001</v>
      </c>
      <c r="T166">
        <v>-0.18851850000000001</v>
      </c>
      <c r="U166">
        <v>0.12701419999999999</v>
      </c>
      <c r="V166">
        <v>-7.1383539999999995E-2</v>
      </c>
      <c r="W166">
        <v>2.63387E-2</v>
      </c>
      <c r="X166">
        <v>0.99710109999999996</v>
      </c>
      <c r="Y166">
        <v>-3.1752780000000001E-2</v>
      </c>
      <c r="Z166">
        <v>3.4077239999999898E-4</v>
      </c>
      <c r="AA166">
        <v>0.99949569999999999</v>
      </c>
      <c r="AB166">
        <v>38</v>
      </c>
      <c r="AC166">
        <v>18.1159999999999</v>
      </c>
      <c r="AD166">
        <v>-1.157867</v>
      </c>
      <c r="AE166">
        <v>0.77679999999997995</v>
      </c>
      <c r="AF166">
        <v>-0.58530016729799506</v>
      </c>
      <c r="AG166">
        <v>-1.157867</v>
      </c>
      <c r="AH166">
        <v>18.049523452967399</v>
      </c>
      <c r="AI166">
        <v>93.668540379143593</v>
      </c>
      <c r="AJ166">
        <v>91.857305667208607</v>
      </c>
      <c r="AK166">
        <v>18.096091543610999</v>
      </c>
    </row>
    <row r="167" spans="1:37" x14ac:dyDescent="0.2">
      <c r="A167" t="str">
        <f>"20200111154032060"</f>
        <v>20200111154032060</v>
      </c>
      <c r="B167" t="str">
        <f>"1578728432057033"</f>
        <v>1578728432057033</v>
      </c>
      <c r="C167" t="s">
        <v>37</v>
      </c>
      <c r="D167">
        <v>4.9776730000000002</v>
      </c>
      <c r="E167">
        <v>0.51299640000000002</v>
      </c>
      <c r="F167" t="s">
        <v>40</v>
      </c>
      <c r="G167">
        <v>-421.61900000000003</v>
      </c>
      <c r="H167">
        <v>-0.05</v>
      </c>
      <c r="I167">
        <v>368.1739</v>
      </c>
      <c r="J167">
        <v>-439.77190000000002</v>
      </c>
      <c r="K167">
        <v>1.1074360000000001</v>
      </c>
      <c r="L167">
        <v>367.39440000000002</v>
      </c>
      <c r="M167">
        <v>0.99994709999999998</v>
      </c>
      <c r="N167">
        <v>0</v>
      </c>
      <c r="O167">
        <v>1.0223680000000001E-2</v>
      </c>
      <c r="P167">
        <v>0.99632690000000002</v>
      </c>
      <c r="Q167">
        <v>2.5326310000000001E-2</v>
      </c>
      <c r="R167">
        <v>8.1801499999999999E-2</v>
      </c>
      <c r="S167">
        <v>3.0054319999999999</v>
      </c>
      <c r="T167">
        <v>-0.18784339999999999</v>
      </c>
      <c r="U167">
        <v>0.1270752</v>
      </c>
      <c r="V167">
        <v>-7.1596229999999997E-2</v>
      </c>
      <c r="W167">
        <v>2.6498379999999998E-2</v>
      </c>
      <c r="X167">
        <v>0.99708159999999901</v>
      </c>
      <c r="Y167">
        <v>-3.1984940000000003E-2</v>
      </c>
      <c r="Z167">
        <v>3.6008749999999999E-4</v>
      </c>
      <c r="AA167">
        <v>0.9994883</v>
      </c>
      <c r="AB167">
        <v>39</v>
      </c>
      <c r="AC167">
        <v>18.152899999999899</v>
      </c>
      <c r="AD167">
        <v>-1.1574359999999999</v>
      </c>
      <c r="AE167">
        <v>0.77949999999998398</v>
      </c>
      <c r="AF167">
        <v>-0.59146957458454896</v>
      </c>
      <c r="AG167">
        <v>-1.1574359999999999</v>
      </c>
      <c r="AH167">
        <v>18.086527224348099</v>
      </c>
      <c r="AI167">
        <v>93.659663541024003</v>
      </c>
      <c r="AJ167">
        <v>91.873031625539696</v>
      </c>
      <c r="AK167">
        <v>18.133172954252601</v>
      </c>
    </row>
    <row r="168" spans="1:37" x14ac:dyDescent="0.2">
      <c r="A168" t="str">
        <f>"20200111154032083"</f>
        <v>20200111154032083</v>
      </c>
      <c r="B168" t="str">
        <f>"1578728432076552"</f>
        <v>1578728432076552</v>
      </c>
      <c r="C168" t="s">
        <v>37</v>
      </c>
      <c r="D168">
        <v>5.0365140000000004</v>
      </c>
      <c r="E168">
        <v>0.51299939999999999</v>
      </c>
      <c r="F168" t="s">
        <v>40</v>
      </c>
      <c r="G168">
        <v>-421.25510000000003</v>
      </c>
      <c r="H168">
        <v>-0.05</v>
      </c>
      <c r="I168">
        <v>368.17750000000001</v>
      </c>
      <c r="J168">
        <v>-439.36959999999999</v>
      </c>
      <c r="K168">
        <v>1.1067549999999999</v>
      </c>
      <c r="L168">
        <v>367.39839999999998</v>
      </c>
      <c r="M168">
        <v>0.99994869999999902</v>
      </c>
      <c r="N168">
        <v>0</v>
      </c>
      <c r="O168">
        <v>1.0004870000000001E-2</v>
      </c>
      <c r="P168">
        <v>0.99634780000000001</v>
      </c>
      <c r="Q168">
        <v>2.4843750000000001E-2</v>
      </c>
      <c r="R168">
        <v>8.1695580000000004E-2</v>
      </c>
      <c r="S168">
        <v>3.0054319999999999</v>
      </c>
      <c r="T168">
        <v>-0.18786159999999999</v>
      </c>
      <c r="U168">
        <v>0.12710569999999999</v>
      </c>
      <c r="V168">
        <v>-7.1707809999999997E-2</v>
      </c>
      <c r="W168">
        <v>2.6577030000000001E-2</v>
      </c>
      <c r="X168">
        <v>0.99707159999999995</v>
      </c>
      <c r="Y168">
        <v>-3.2212890000000001E-2</v>
      </c>
      <c r="Z168">
        <v>3.8089180000000001E-4</v>
      </c>
      <c r="AA168">
        <v>0.99948099999999995</v>
      </c>
      <c r="AB168">
        <v>39</v>
      </c>
      <c r="AC168">
        <v>18.1144999999999</v>
      </c>
      <c r="AD168">
        <v>-1.156755</v>
      </c>
      <c r="AE168">
        <v>0.77910000000002799</v>
      </c>
      <c r="AF168">
        <v>-0.59540408291277502</v>
      </c>
      <c r="AG168">
        <v>-1.156755</v>
      </c>
      <c r="AH168">
        <v>18.047927520300501</v>
      </c>
      <c r="AI168">
        <v>93.665282769155993</v>
      </c>
      <c r="AJ168">
        <v>91.889511858953497</v>
      </c>
      <c r="AK168">
        <v>18.0947582445854</v>
      </c>
    </row>
    <row r="169" spans="1:37" x14ac:dyDescent="0.2">
      <c r="A169" t="str">
        <f>"20200111154032106"</f>
        <v>20200111154032106</v>
      </c>
      <c r="B169" t="str">
        <f>"1578728432097050"</f>
        <v>1578728432097050</v>
      </c>
      <c r="C169" t="s">
        <v>37</v>
      </c>
      <c r="D169">
        <v>5.1062129999999897</v>
      </c>
      <c r="E169">
        <v>0.51300900000000005</v>
      </c>
      <c r="F169" t="s">
        <v>40</v>
      </c>
      <c r="G169">
        <v>-421.00450000000001</v>
      </c>
      <c r="H169">
        <v>-0.05</v>
      </c>
      <c r="I169">
        <v>368.17169999999999</v>
      </c>
      <c r="J169">
        <v>-438.96170000000001</v>
      </c>
      <c r="K169">
        <v>1.1058129999999999</v>
      </c>
      <c r="L169">
        <v>367.40230000000003</v>
      </c>
      <c r="M169">
        <v>0.99994869999999902</v>
      </c>
      <c r="N169">
        <v>0</v>
      </c>
      <c r="O169">
        <v>9.7960040000000005E-3</v>
      </c>
      <c r="P169">
        <v>0.99638669999999996</v>
      </c>
      <c r="Q169">
        <v>2.4074450000000001E-2</v>
      </c>
      <c r="R169">
        <v>8.1449830000000001E-2</v>
      </c>
      <c r="S169">
        <v>3.005341</v>
      </c>
      <c r="T169">
        <v>-0.18929609999999999</v>
      </c>
      <c r="U169">
        <v>0.12655639999999899</v>
      </c>
      <c r="V169">
        <v>-7.1668079999999995E-2</v>
      </c>
      <c r="W169">
        <v>2.6718120000000001E-2</v>
      </c>
      <c r="X169">
        <v>0.99707060000000003</v>
      </c>
      <c r="Y169">
        <v>-3.2239440000000001E-2</v>
      </c>
      <c r="Z169">
        <v>3.977761E-4</v>
      </c>
      <c r="AA169">
        <v>0.99948009999999998</v>
      </c>
      <c r="AB169">
        <v>39</v>
      </c>
      <c r="AC169">
        <v>17.9572</v>
      </c>
      <c r="AD169">
        <v>-1.155813</v>
      </c>
      <c r="AE169">
        <v>0.769399999999961</v>
      </c>
      <c r="AF169">
        <v>-0.59100972507869398</v>
      </c>
      <c r="AG169">
        <v>-1.155813</v>
      </c>
      <c r="AH169">
        <v>17.889896318517</v>
      </c>
      <c r="AI169">
        <v>93.694562453985597</v>
      </c>
      <c r="AJ169">
        <v>91.892132381409397</v>
      </c>
      <c r="AK169">
        <v>17.936933586134401</v>
      </c>
    </row>
    <row r="170" spans="1:37" x14ac:dyDescent="0.2">
      <c r="A170" t="str">
        <f>"20200111154032128"</f>
        <v>20200111154032128</v>
      </c>
      <c r="B170" t="str">
        <f>"1578728432116567"</f>
        <v>1578728432116567</v>
      </c>
      <c r="C170" t="s">
        <v>37</v>
      </c>
      <c r="D170">
        <v>4.9842740000000001</v>
      </c>
      <c r="E170">
        <v>0.5129958</v>
      </c>
      <c r="F170" t="s">
        <v>40</v>
      </c>
      <c r="G170">
        <v>-420.83449999999999</v>
      </c>
      <c r="H170">
        <v>-0.05</v>
      </c>
      <c r="I170">
        <v>368.16309999999999</v>
      </c>
      <c r="J170">
        <v>-438.57560000000001</v>
      </c>
      <c r="K170">
        <v>1.1046860000000001</v>
      </c>
      <c r="L170">
        <v>367.40589999999997</v>
      </c>
      <c r="M170">
        <v>0.99994709999999998</v>
      </c>
      <c r="N170">
        <v>0</v>
      </c>
      <c r="O170">
        <v>9.6193659999999903E-3</v>
      </c>
      <c r="P170">
        <v>0.99641939999999996</v>
      </c>
      <c r="Q170">
        <v>2.3680010000000001E-2</v>
      </c>
      <c r="R170">
        <v>8.1167939999999994E-2</v>
      </c>
      <c r="S170">
        <v>3.0052189999999999</v>
      </c>
      <c r="T170">
        <v>-0.1916157</v>
      </c>
      <c r="U170">
        <v>0.1261292</v>
      </c>
      <c r="V170">
        <v>-7.1560719999999994E-2</v>
      </c>
      <c r="W170">
        <v>2.7414529999999999E-2</v>
      </c>
      <c r="X170">
        <v>0.99705940000000004</v>
      </c>
      <c r="Y170">
        <v>-3.2274299999999999E-2</v>
      </c>
      <c r="Z170">
        <v>4.1501059999999999E-4</v>
      </c>
      <c r="AA170">
        <v>0.99947889999999995</v>
      </c>
      <c r="AB170">
        <v>39</v>
      </c>
      <c r="AC170">
        <v>17.741099999999999</v>
      </c>
      <c r="AD170">
        <v>-1.1546860000000001</v>
      </c>
      <c r="AE170">
        <v>0.75720000000001098</v>
      </c>
      <c r="AF170">
        <v>-0.58403616009931902</v>
      </c>
      <c r="AG170">
        <v>-1.1546860000000001</v>
      </c>
      <c r="AH170">
        <v>17.6728351326901</v>
      </c>
      <c r="AI170">
        <v>93.736174166728304</v>
      </c>
      <c r="AJ170">
        <v>91.8927711979984</v>
      </c>
      <c r="AK170">
        <v>17.720143893945899</v>
      </c>
    </row>
    <row r="171" spans="1:37" x14ac:dyDescent="0.2">
      <c r="A171" t="str">
        <f>"20200111154032150"</f>
        <v>20200111154032150</v>
      </c>
      <c r="B171" t="str">
        <f>"1578728432146823"</f>
        <v>1578728432146823</v>
      </c>
      <c r="C171" t="s">
        <v>37</v>
      </c>
      <c r="D171">
        <v>5.1070279999999997</v>
      </c>
      <c r="E171">
        <v>0.51298120000000003</v>
      </c>
      <c r="F171" t="s">
        <v>40</v>
      </c>
      <c r="G171">
        <v>-420.56639999999999</v>
      </c>
      <c r="H171">
        <v>-0.05</v>
      </c>
      <c r="I171">
        <v>368.15480000000002</v>
      </c>
      <c r="J171">
        <v>-438.1857</v>
      </c>
      <c r="K171">
        <v>1.1032489999999999</v>
      </c>
      <c r="L171">
        <v>367.40949999999998</v>
      </c>
      <c r="M171">
        <v>0.99994509999999903</v>
      </c>
      <c r="N171">
        <v>0</v>
      </c>
      <c r="O171">
        <v>9.4251279999999996E-3</v>
      </c>
      <c r="P171">
        <v>0.99643199999999998</v>
      </c>
      <c r="Q171">
        <v>2.294827E-2</v>
      </c>
      <c r="R171">
        <v>8.1221979999999999E-2</v>
      </c>
      <c r="S171">
        <v>3.005188</v>
      </c>
      <c r="T171">
        <v>-0.192682399999999</v>
      </c>
      <c r="U171">
        <v>0.1249695</v>
      </c>
      <c r="V171">
        <v>-7.1807560000000006E-2</v>
      </c>
      <c r="W171">
        <v>2.7601850000000001E-2</v>
      </c>
      <c r="X171">
        <v>0.99703649999999999</v>
      </c>
      <c r="Y171">
        <v>-3.2083299999999898E-2</v>
      </c>
      <c r="Z171">
        <v>4.2364110000000003E-4</v>
      </c>
      <c r="AA171">
        <v>0.99948510000000002</v>
      </c>
      <c r="AB171">
        <v>40</v>
      </c>
      <c r="AC171">
        <v>17.619299999999999</v>
      </c>
      <c r="AD171">
        <v>-1.153249</v>
      </c>
      <c r="AE171">
        <v>0.74530000000004204</v>
      </c>
      <c r="AF171">
        <v>-0.57673456833716896</v>
      </c>
      <c r="AG171">
        <v>-1.153249</v>
      </c>
      <c r="AH171">
        <v>17.550486651529599</v>
      </c>
      <c r="AI171">
        <v>93.757499706092204</v>
      </c>
      <c r="AJ171">
        <v>91.882145514826405</v>
      </c>
      <c r="AK171">
        <v>17.597789285129998</v>
      </c>
    </row>
    <row r="172" spans="1:37" x14ac:dyDescent="0.2">
      <c r="A172" t="str">
        <f>"20200111154032173"</f>
        <v>20200111154032173</v>
      </c>
      <c r="B172" t="str">
        <f>"1578728432166344"</f>
        <v>1578728432166344</v>
      </c>
      <c r="C172" t="s">
        <v>37</v>
      </c>
      <c r="D172">
        <v>5.0824160000000003</v>
      </c>
      <c r="E172">
        <v>0.51295820000000003</v>
      </c>
      <c r="F172" t="s">
        <v>40</v>
      </c>
      <c r="G172">
        <v>-420.37580000000003</v>
      </c>
      <c r="H172">
        <v>-0.05</v>
      </c>
      <c r="I172">
        <v>368.15109999999999</v>
      </c>
      <c r="J172">
        <v>-437.77609999999999</v>
      </c>
      <c r="K172">
        <v>1.1014440000000001</v>
      </c>
      <c r="L172">
        <v>367.41320000000002</v>
      </c>
      <c r="M172">
        <v>0.99994209999999994</v>
      </c>
      <c r="N172">
        <v>0</v>
      </c>
      <c r="O172">
        <v>9.2010069999999902E-3</v>
      </c>
      <c r="P172">
        <v>0.99646710000000005</v>
      </c>
      <c r="Q172">
        <v>2.1615599999999999E-2</v>
      </c>
      <c r="R172">
        <v>8.1155720000000001E-2</v>
      </c>
      <c r="S172">
        <v>3.0050349999999999</v>
      </c>
      <c r="T172">
        <v>-0.19458629999999999</v>
      </c>
      <c r="U172">
        <v>0.12512210000000001</v>
      </c>
      <c r="V172">
        <v>-7.196371E-2</v>
      </c>
      <c r="W172">
        <v>2.725056E-2</v>
      </c>
      <c r="X172">
        <v>0.99703489999999995</v>
      </c>
      <c r="Y172">
        <v>-3.2358070000000003E-2</v>
      </c>
      <c r="Z172">
        <v>4.5120909999999998E-4</v>
      </c>
      <c r="AA172">
        <v>0.99947629999999998</v>
      </c>
      <c r="AB172">
        <v>40</v>
      </c>
      <c r="AC172">
        <v>17.400299999999898</v>
      </c>
      <c r="AD172">
        <v>-1.1514439999999999</v>
      </c>
      <c r="AE172">
        <v>0.73789999999996703</v>
      </c>
      <c r="AF172">
        <v>-0.57525150061210695</v>
      </c>
      <c r="AG172">
        <v>-1.1514439999999999</v>
      </c>
      <c r="AH172">
        <v>17.330598974824401</v>
      </c>
      <c r="AI172">
        <v>93.799055661216698</v>
      </c>
      <c r="AJ172">
        <v>91.9011106695542</v>
      </c>
      <c r="AK172">
        <v>17.378331289288901</v>
      </c>
    </row>
    <row r="173" spans="1:37" x14ac:dyDescent="0.2">
      <c r="A173" t="str">
        <f>"20200111154032208"</f>
        <v>20200111154032208</v>
      </c>
      <c r="B173" t="str">
        <f>"1578728432196599"</f>
        <v>1578728432196599</v>
      </c>
      <c r="C173" t="s">
        <v>37</v>
      </c>
      <c r="D173">
        <v>5.1616070000000001</v>
      </c>
      <c r="E173">
        <v>0.51294430000000002</v>
      </c>
      <c r="F173" t="s">
        <v>40</v>
      </c>
      <c r="G173">
        <v>-420.32920000000001</v>
      </c>
      <c r="H173">
        <v>-0.05</v>
      </c>
      <c r="I173">
        <v>368.14010000000002</v>
      </c>
      <c r="J173">
        <v>-437.15230000000003</v>
      </c>
      <c r="K173">
        <v>1.0981069999999999</v>
      </c>
      <c r="L173">
        <v>367.41860000000003</v>
      </c>
      <c r="M173">
        <v>0.999936099999999</v>
      </c>
      <c r="N173">
        <v>0</v>
      </c>
      <c r="O173">
        <v>8.8339919999999902E-3</v>
      </c>
      <c r="P173">
        <v>0.99651190000000001</v>
      </c>
      <c r="Q173">
        <v>1.9846269999999999E-2</v>
      </c>
      <c r="R173">
        <v>8.1056230000000007E-2</v>
      </c>
      <c r="S173">
        <v>3.0047000000000001</v>
      </c>
      <c r="T173">
        <v>-0.19830049999999999</v>
      </c>
      <c r="U173">
        <v>0.12518309999999999</v>
      </c>
      <c r="V173">
        <v>-7.2229630000000003E-2</v>
      </c>
      <c r="W173">
        <v>2.6927380000000001E-2</v>
      </c>
      <c r="X173">
        <v>0.99702449999999998</v>
      </c>
      <c r="Y173">
        <v>-3.2746219999999999E-2</v>
      </c>
      <c r="Z173">
        <v>4.9682019999999999E-4</v>
      </c>
      <c r="AA173">
        <v>0.99946360000000001</v>
      </c>
      <c r="AB173">
        <v>40</v>
      </c>
      <c r="AC173">
        <v>16.8231</v>
      </c>
      <c r="AD173">
        <v>-1.148107</v>
      </c>
      <c r="AE173">
        <v>0.72149999999999104</v>
      </c>
      <c r="AF173">
        <v>-0.57020217737440504</v>
      </c>
      <c r="AG173">
        <v>-1.148107</v>
      </c>
      <c r="AH173">
        <v>16.750943158448901</v>
      </c>
      <c r="AI173">
        <v>93.918649010312194</v>
      </c>
      <c r="AJ173">
        <v>91.949595801211203</v>
      </c>
      <c r="AK173">
        <v>16.7999219314888</v>
      </c>
    </row>
    <row r="174" spans="1:37" x14ac:dyDescent="0.2">
      <c r="A174" t="str">
        <f>"20200111154032228"</f>
        <v>20200111154032228</v>
      </c>
      <c r="B174" t="str">
        <f>"1578728432216122"</f>
        <v>1578728432216122</v>
      </c>
      <c r="C174" t="s">
        <v>37</v>
      </c>
      <c r="D174">
        <v>5.1220919999999897</v>
      </c>
      <c r="E174">
        <v>0.51292959999999999</v>
      </c>
      <c r="F174" t="s">
        <v>40</v>
      </c>
      <c r="G174">
        <v>-420.21359999999999</v>
      </c>
      <c r="H174">
        <v>-0.05</v>
      </c>
      <c r="I174">
        <v>368.12139999999999</v>
      </c>
      <c r="J174">
        <v>-436.77289999999999</v>
      </c>
      <c r="K174">
        <v>1.0957139999999901</v>
      </c>
      <c r="L174">
        <v>367.42180000000002</v>
      </c>
      <c r="M174">
        <v>0.99993359999999998</v>
      </c>
      <c r="N174">
        <v>0</v>
      </c>
      <c r="O174">
        <v>8.6022759999999903E-3</v>
      </c>
      <c r="P174">
        <v>0.99652980000000002</v>
      </c>
      <c r="Q174">
        <v>1.92410999999999E-2</v>
      </c>
      <c r="R174">
        <v>8.0983479999999997E-2</v>
      </c>
      <c r="S174">
        <v>3.0044559999999998</v>
      </c>
      <c r="T174">
        <v>-0.2036424</v>
      </c>
      <c r="U174">
        <v>0.12466430000000001</v>
      </c>
      <c r="V174">
        <v>-7.2387930000000003E-2</v>
      </c>
      <c r="W174">
        <v>2.6940720000000001E-2</v>
      </c>
      <c r="X174">
        <v>0.99701260000000003</v>
      </c>
      <c r="Y174">
        <v>-3.280537E-2</v>
      </c>
      <c r="Z174">
        <v>5.2789480000000005E-4</v>
      </c>
      <c r="AA174">
        <v>0.99946159999999995</v>
      </c>
      <c r="AB174">
        <v>40</v>
      </c>
      <c r="AC174">
        <v>16.5593</v>
      </c>
      <c r="AD174">
        <v>-1.1457139999999999</v>
      </c>
      <c r="AE174">
        <v>0.69959999999997502</v>
      </c>
      <c r="AF174">
        <v>-0.55447269372476005</v>
      </c>
      <c r="AG174">
        <v>-1.1457139999999999</v>
      </c>
      <c r="AH174">
        <v>16.485927153480802</v>
      </c>
      <c r="AI174">
        <v>93.973223972803396</v>
      </c>
      <c r="AJ174">
        <v>91.926308067722303</v>
      </c>
      <c r="AK174">
        <v>16.5349900105128</v>
      </c>
    </row>
    <row r="175" spans="1:37" x14ac:dyDescent="0.2">
      <c r="A175" t="str">
        <f>"20200111154032250"</f>
        <v>20200111154032250</v>
      </c>
      <c r="B175" t="str">
        <f>"1578728432246375"</f>
        <v>1578728432246375</v>
      </c>
      <c r="C175" t="s">
        <v>37</v>
      </c>
      <c r="D175">
        <v>5.160914</v>
      </c>
      <c r="E175">
        <v>0.51290020000000003</v>
      </c>
      <c r="F175" t="s">
        <v>40</v>
      </c>
      <c r="G175">
        <v>-420.03050000000002</v>
      </c>
      <c r="H175">
        <v>-0.05</v>
      </c>
      <c r="I175">
        <v>368.11540000000002</v>
      </c>
      <c r="J175">
        <v>-436.37389999999999</v>
      </c>
      <c r="K175">
        <v>1.0929450000000001</v>
      </c>
      <c r="L175">
        <v>367.42509999999999</v>
      </c>
      <c r="M175">
        <v>0.9999325</v>
      </c>
      <c r="N175">
        <v>0</v>
      </c>
      <c r="O175">
        <v>8.3676169999999904E-3</v>
      </c>
      <c r="P175">
        <v>0.99653289999999894</v>
      </c>
      <c r="Q175">
        <v>1.871304E-2</v>
      </c>
      <c r="R175">
        <v>8.1068810000000005E-2</v>
      </c>
      <c r="S175">
        <v>3.0043329999999999</v>
      </c>
      <c r="T175">
        <v>-0.20559179999999899</v>
      </c>
      <c r="U175">
        <v>0.1244507</v>
      </c>
      <c r="V175">
        <v>-7.2706220000000002E-2</v>
      </c>
      <c r="W175">
        <v>2.68106E-2</v>
      </c>
      <c r="X175">
        <v>0.99699300000000002</v>
      </c>
      <c r="Y175">
        <v>-3.296864E-2</v>
      </c>
      <c r="Z175">
        <v>5.5456549999999998E-4</v>
      </c>
      <c r="AA175">
        <v>0.99945620000000002</v>
      </c>
      <c r="AB175">
        <v>41</v>
      </c>
      <c r="AC175">
        <v>16.3433999999999</v>
      </c>
      <c r="AD175">
        <v>-1.1429450000000001</v>
      </c>
      <c r="AE175">
        <v>0.690300000000036</v>
      </c>
      <c r="AF175">
        <v>-0.55082697661251601</v>
      </c>
      <c r="AG175">
        <v>-1.1429450000000001</v>
      </c>
      <c r="AH175">
        <v>16.2691791160834</v>
      </c>
      <c r="AI175">
        <v>94.016256307961896</v>
      </c>
      <c r="AJ175">
        <v>91.939127348814395</v>
      </c>
      <c r="AK175">
        <v>16.318576002286299</v>
      </c>
    </row>
    <row r="176" spans="1:37" x14ac:dyDescent="0.2">
      <c r="A176" t="str">
        <f>"20200111154032273"</f>
        <v>20200111154032273</v>
      </c>
      <c r="B176" t="str">
        <f>"1578728432266871"</f>
        <v>1578728432266871</v>
      </c>
      <c r="C176" t="s">
        <v>37</v>
      </c>
      <c r="D176">
        <v>5.1569190000000003</v>
      </c>
      <c r="E176">
        <v>0.51287380000000005</v>
      </c>
      <c r="F176" t="s">
        <v>40</v>
      </c>
      <c r="G176">
        <v>-419.801999999999</v>
      </c>
      <c r="H176">
        <v>-0.05</v>
      </c>
      <c r="I176">
        <v>368.11410000000001</v>
      </c>
      <c r="J176">
        <v>-435.95049999999998</v>
      </c>
      <c r="K176">
        <v>1.0898490000000001</v>
      </c>
      <c r="L176">
        <v>367.42849999999999</v>
      </c>
      <c r="M176">
        <v>0.99993189999999998</v>
      </c>
      <c r="N176">
        <v>0</v>
      </c>
      <c r="O176">
        <v>8.1448189999999993E-3</v>
      </c>
      <c r="P176">
        <v>0.99653639999999999</v>
      </c>
      <c r="Q176">
        <v>1.8382889999999999E-2</v>
      </c>
      <c r="R176">
        <v>8.110154E-2</v>
      </c>
      <c r="S176">
        <v>3.0041500000000001</v>
      </c>
      <c r="T176">
        <v>-0.2071924</v>
      </c>
      <c r="U176">
        <v>0.124908399999999</v>
      </c>
      <c r="V176">
        <v>-7.2960629999999999E-2</v>
      </c>
      <c r="W176">
        <v>2.6779609999999999E-2</v>
      </c>
      <c r="X176">
        <v>0.99697519999999995</v>
      </c>
      <c r="Y176">
        <v>-3.3343530000000003E-2</v>
      </c>
      <c r="Z176">
        <v>5.8715089999999905E-4</v>
      </c>
      <c r="AA176">
        <v>0.99944379999999999</v>
      </c>
      <c r="AB176">
        <v>41</v>
      </c>
      <c r="AC176">
        <v>16.148499999999999</v>
      </c>
      <c r="AD176">
        <v>-1.1398489999999999</v>
      </c>
      <c r="AE176">
        <v>0.68560000000002197</v>
      </c>
      <c r="AF176">
        <v>-0.55130423002763596</v>
      </c>
      <c r="AG176">
        <v>-1.1398489999999999</v>
      </c>
      <c r="AH176">
        <v>16.073609082680601</v>
      </c>
      <c r="AI176">
        <v>94.053924767176099</v>
      </c>
      <c r="AJ176">
        <v>91.964401876586393</v>
      </c>
      <c r="AK176">
        <v>16.123402278665601</v>
      </c>
    </row>
    <row r="177" spans="1:37" x14ac:dyDescent="0.2">
      <c r="A177" t="str">
        <f>"20200111154032295"</f>
        <v>20200111154032295</v>
      </c>
      <c r="B177" t="str">
        <f>"1578728432286391"</f>
        <v>1578728432286391</v>
      </c>
      <c r="C177" t="s">
        <v>37</v>
      </c>
      <c r="D177">
        <v>5.1985609999999998</v>
      </c>
      <c r="E177">
        <v>0.51285119999999995</v>
      </c>
      <c r="F177" t="s">
        <v>40</v>
      </c>
      <c r="G177">
        <v>-419.50630000000001</v>
      </c>
      <c r="H177">
        <v>-0.05</v>
      </c>
      <c r="I177">
        <v>368.11149999999998</v>
      </c>
      <c r="J177">
        <v>-435.54219999999998</v>
      </c>
      <c r="K177">
        <v>1.0868089999999999</v>
      </c>
      <c r="L177">
        <v>367.4316</v>
      </c>
      <c r="M177">
        <v>0.99993199999999904</v>
      </c>
      <c r="N177">
        <v>0</v>
      </c>
      <c r="O177">
        <v>7.9282539999999992E-3</v>
      </c>
      <c r="P177">
        <v>0.99654159999999903</v>
      </c>
      <c r="Q177">
        <v>1.8120799999999999E-2</v>
      </c>
      <c r="R177">
        <v>8.1095840000000002E-2</v>
      </c>
      <c r="S177">
        <v>3.004181</v>
      </c>
      <c r="T177">
        <v>-0.2082386</v>
      </c>
      <c r="U177">
        <v>0.12478640000000001</v>
      </c>
      <c r="V177">
        <v>-7.3169919999999999E-2</v>
      </c>
      <c r="W177">
        <v>2.6715740000000002E-2</v>
      </c>
      <c r="X177">
        <v>0.9969616</v>
      </c>
      <c r="Y177">
        <v>-3.3517480000000002E-2</v>
      </c>
      <c r="Z177">
        <v>6.1110699999999995E-4</v>
      </c>
      <c r="AA177">
        <v>0.99943789999999999</v>
      </c>
      <c r="AB177">
        <v>41</v>
      </c>
      <c r="AC177">
        <v>16.035899999999899</v>
      </c>
      <c r="AD177">
        <v>-1.136809</v>
      </c>
      <c r="AE177">
        <v>0.67989999999997497</v>
      </c>
      <c r="AF177">
        <v>-0.54997827823152701</v>
      </c>
      <c r="AG177">
        <v>-1.136809</v>
      </c>
      <c r="AH177">
        <v>15.9607182593491</v>
      </c>
      <c r="AI177">
        <v>94.071628059482293</v>
      </c>
      <c r="AJ177">
        <v>91.973530928740999</v>
      </c>
      <c r="AK177">
        <v>16.010600805820101</v>
      </c>
    </row>
    <row r="178" spans="1:37" x14ac:dyDescent="0.2">
      <c r="A178" t="str">
        <f>"20200111154032318"</f>
        <v>20200111154032318</v>
      </c>
      <c r="B178" t="str">
        <f>"1578728432306890"</f>
        <v>1578728432306890</v>
      </c>
      <c r="C178" t="s">
        <v>37</v>
      </c>
      <c r="D178">
        <v>5.2114769999999897</v>
      </c>
      <c r="E178">
        <v>0.52014640000000001</v>
      </c>
      <c r="F178" t="s">
        <v>40</v>
      </c>
      <c r="G178">
        <v>-419.19830000000002</v>
      </c>
      <c r="H178">
        <v>-0.05</v>
      </c>
      <c r="I178">
        <v>368.11239999999998</v>
      </c>
      <c r="J178">
        <v>-435.13589999999999</v>
      </c>
      <c r="K178">
        <v>1.083804</v>
      </c>
      <c r="L178">
        <v>367.43470000000002</v>
      </c>
      <c r="M178">
        <v>0.99993319999999997</v>
      </c>
      <c r="N178">
        <v>0</v>
      </c>
      <c r="O178">
        <v>7.6977679999999998E-3</v>
      </c>
      <c r="P178">
        <v>0.99651789999999996</v>
      </c>
      <c r="Q178">
        <v>1.8055180000000001E-2</v>
      </c>
      <c r="R178">
        <v>8.1401650000000006E-2</v>
      </c>
      <c r="S178">
        <v>3.0039980000000002</v>
      </c>
      <c r="T178">
        <v>-0.20894470000000001</v>
      </c>
      <c r="U178">
        <v>0.12512210000000001</v>
      </c>
      <c r="V178">
        <v>-7.3706149999999998E-2</v>
      </c>
      <c r="W178">
        <v>2.6719079999999999E-2</v>
      </c>
      <c r="X178">
        <v>0.99692199999999997</v>
      </c>
      <c r="Y178">
        <v>-3.3860059999999997E-2</v>
      </c>
      <c r="Z178">
        <v>6.4110890000000002E-4</v>
      </c>
      <c r="AA178">
        <v>0.99942640000000005</v>
      </c>
      <c r="AB178">
        <v>41</v>
      </c>
      <c r="AC178">
        <v>15.9375999999999</v>
      </c>
      <c r="AD178">
        <v>-1.133804</v>
      </c>
      <c r="AE178">
        <v>0.677699999999958</v>
      </c>
      <c r="AF178">
        <v>-0.55220180238112604</v>
      </c>
      <c r="AG178">
        <v>-1.133804</v>
      </c>
      <c r="AH178">
        <v>15.862212115888701</v>
      </c>
      <c r="AI178">
        <v>94.085984931583198</v>
      </c>
      <c r="AJ178">
        <v>91.993798891167202</v>
      </c>
      <c r="AK178">
        <v>15.9122660721349</v>
      </c>
    </row>
    <row r="179" spans="1:37" x14ac:dyDescent="0.2">
      <c r="A179" t="str">
        <f>"20200111154032339"</f>
        <v>20200111154032339</v>
      </c>
      <c r="B179" t="str">
        <f>"1578728432326407"</f>
        <v>1578728432326407</v>
      </c>
      <c r="C179" t="s">
        <v>37</v>
      </c>
      <c r="D179">
        <v>5.1536850000000003</v>
      </c>
      <c r="E179">
        <v>0.52042889999999997</v>
      </c>
      <c r="F179" t="s">
        <v>40</v>
      </c>
      <c r="G179">
        <v>-418.35019999999997</v>
      </c>
      <c r="H179">
        <v>-0.05</v>
      </c>
      <c r="I179">
        <v>367.81470000000002</v>
      </c>
      <c r="J179">
        <v>-434.74790000000002</v>
      </c>
      <c r="K179">
        <v>1.0810249999999999</v>
      </c>
      <c r="L179">
        <v>367.4375</v>
      </c>
      <c r="M179">
        <v>0.99993559999999904</v>
      </c>
      <c r="N179">
        <v>0</v>
      </c>
      <c r="O179">
        <v>7.4622100000000004E-3</v>
      </c>
      <c r="P179">
        <v>0.99649489999999996</v>
      </c>
      <c r="Q179">
        <v>1.8174539999999999E-2</v>
      </c>
      <c r="R179">
        <v>8.1655409999999998E-2</v>
      </c>
      <c r="S179">
        <v>3.0086059999999999</v>
      </c>
      <c r="T179">
        <v>-0.20321919999999999</v>
      </c>
      <c r="U179">
        <v>6.8115229999999999E-2</v>
      </c>
      <c r="V179">
        <v>-7.4195209999999998E-2</v>
      </c>
      <c r="W179">
        <v>2.6764360000000001E-2</v>
      </c>
      <c r="X179">
        <v>0.99688449999999995</v>
      </c>
      <c r="Y179">
        <v>-1.515561E-2</v>
      </c>
      <c r="Z179" s="1">
        <v>7.7938309999999996E-6</v>
      </c>
      <c r="AA179">
        <v>0.99988509999999997</v>
      </c>
      <c r="AB179">
        <v>41</v>
      </c>
      <c r="AC179">
        <v>16.3977</v>
      </c>
      <c r="AD179">
        <v>-1.1310249999999999</v>
      </c>
      <c r="AE179">
        <v>0.37720000000001602</v>
      </c>
      <c r="AF179">
        <v>-0.253616003461272</v>
      </c>
      <c r="AG179">
        <v>-1.1310249999999999</v>
      </c>
      <c r="AH179">
        <v>16.322445340979801</v>
      </c>
      <c r="AI179">
        <v>93.963361816567001</v>
      </c>
      <c r="AJ179">
        <v>90.890182634221901</v>
      </c>
      <c r="AK179">
        <v>16.3635497535562</v>
      </c>
    </row>
    <row r="180" spans="1:37" x14ac:dyDescent="0.2">
      <c r="A180" t="str">
        <f>"20200111154032363"</f>
        <v>20200111154032363</v>
      </c>
      <c r="B180" t="str">
        <f>"1578728432356664"</f>
        <v>1578728432356664</v>
      </c>
      <c r="C180" t="s">
        <v>37</v>
      </c>
      <c r="D180">
        <v>5.1940809999999997</v>
      </c>
      <c r="E180">
        <v>0.52044109999999999</v>
      </c>
      <c r="F180" t="s">
        <v>40</v>
      </c>
      <c r="G180">
        <v>-418.02319999999997</v>
      </c>
      <c r="H180">
        <v>-0.05</v>
      </c>
      <c r="I180">
        <v>367.80900000000003</v>
      </c>
      <c r="J180">
        <v>-434.31270000000001</v>
      </c>
      <c r="K180">
        <v>1.07806</v>
      </c>
      <c r="L180">
        <v>367.44060000000002</v>
      </c>
      <c r="M180">
        <v>0.99993940000000003</v>
      </c>
      <c r="N180">
        <v>0</v>
      </c>
      <c r="O180">
        <v>7.1878189999999998E-3</v>
      </c>
      <c r="P180">
        <v>0.99650079999999996</v>
      </c>
      <c r="Q180">
        <v>1.7904179999999999E-2</v>
      </c>
      <c r="R180">
        <v>8.1640989999999997E-2</v>
      </c>
      <c r="S180">
        <v>3.0088200000000001</v>
      </c>
      <c r="T180">
        <v>-0.20347419999999999</v>
      </c>
      <c r="U180">
        <v>6.6833500000000004E-2</v>
      </c>
      <c r="V180">
        <v>-7.4455240000000006E-2</v>
      </c>
      <c r="W180">
        <v>2.6271010000000001E-2</v>
      </c>
      <c r="X180">
        <v>0.99687829999999999</v>
      </c>
      <c r="Y180">
        <v>-1.5002339999999999E-2</v>
      </c>
      <c r="Z180" s="1">
        <v>2.11600599999999E-5</v>
      </c>
      <c r="AA180">
        <v>0.99988750000000004</v>
      </c>
      <c r="AB180">
        <v>41</v>
      </c>
      <c r="AC180">
        <v>16.2895</v>
      </c>
      <c r="AD180">
        <v>-1.1280600000000001</v>
      </c>
      <c r="AE180">
        <v>0.368400000000008</v>
      </c>
      <c r="AF180">
        <v>-0.25010164347455</v>
      </c>
      <c r="AG180">
        <v>-1.1280600000000001</v>
      </c>
      <c r="AH180">
        <v>16.214010033801301</v>
      </c>
      <c r="AI180">
        <v>93.979363780989004</v>
      </c>
      <c r="AJ180">
        <v>90.883719218804799</v>
      </c>
      <c r="AK180">
        <v>16.255128162271699</v>
      </c>
    </row>
    <row r="181" spans="1:37" x14ac:dyDescent="0.2">
      <c r="A181" t="str">
        <f>"20200111154032385"</f>
        <v>20200111154032385</v>
      </c>
      <c r="B181" t="str">
        <f>"1578728432377160"</f>
        <v>1578728432377160</v>
      </c>
      <c r="C181" t="s">
        <v>37</v>
      </c>
      <c r="D181">
        <v>5.1934079999999998</v>
      </c>
      <c r="E181">
        <v>0.52004890000000004</v>
      </c>
      <c r="F181" t="s">
        <v>40</v>
      </c>
      <c r="G181">
        <v>-417.16059999999999</v>
      </c>
      <c r="H181">
        <v>-0.05</v>
      </c>
      <c r="I181">
        <v>367.82240000000002</v>
      </c>
      <c r="J181">
        <v>-433.8954</v>
      </c>
      <c r="K181">
        <v>1.0754459999999999</v>
      </c>
      <c r="L181">
        <v>367.4434</v>
      </c>
      <c r="M181">
        <v>0.99994400000000006</v>
      </c>
      <c r="N181">
        <v>0</v>
      </c>
      <c r="O181">
        <v>6.9227109999999998E-3</v>
      </c>
      <c r="P181">
        <v>0.99651489999999998</v>
      </c>
      <c r="Q181">
        <v>1.8455349999999999E-2</v>
      </c>
      <c r="R181">
        <v>8.1349290000000005E-2</v>
      </c>
      <c r="S181">
        <v>3.0086059999999999</v>
      </c>
      <c r="T181">
        <v>-0.19786989999999999</v>
      </c>
      <c r="U181">
        <v>6.6986080000000003E-2</v>
      </c>
      <c r="V181">
        <v>-7.4427699999999999E-2</v>
      </c>
      <c r="W181">
        <v>2.6496949999999998E-2</v>
      </c>
      <c r="X181">
        <v>0.99687429999999999</v>
      </c>
      <c r="Y181">
        <v>-1.531943E-2</v>
      </c>
      <c r="Z181" s="1">
        <v>4.8409830000000001E-5</v>
      </c>
      <c r="AA181">
        <v>0.99988259999999995</v>
      </c>
      <c r="AB181">
        <v>41</v>
      </c>
      <c r="AC181">
        <v>16.7348</v>
      </c>
      <c r="AD181">
        <v>-1.1254459999999999</v>
      </c>
      <c r="AE181">
        <v>0.37900000000001899</v>
      </c>
      <c r="AF181">
        <v>-0.26195286658656602</v>
      </c>
      <c r="AG181">
        <v>-1.1254459999999999</v>
      </c>
      <c r="AH181">
        <v>16.661703686476098</v>
      </c>
      <c r="AI181">
        <v>93.863804858931601</v>
      </c>
      <c r="AJ181">
        <v>90.900721651554093</v>
      </c>
      <c r="AK181">
        <v>16.701724992921001</v>
      </c>
    </row>
    <row r="182" spans="1:37" x14ac:dyDescent="0.2">
      <c r="A182" t="str">
        <f>"20200111154032408"</f>
        <v>20200111154032408</v>
      </c>
      <c r="B182" t="str">
        <f>"1578728432396679"</f>
        <v>1578728432396679</v>
      </c>
      <c r="C182" t="s">
        <v>37</v>
      </c>
      <c r="D182">
        <v>5.1754519999999999</v>
      </c>
      <c r="E182">
        <v>0.51977220000000002</v>
      </c>
      <c r="F182" t="s">
        <v>40</v>
      </c>
      <c r="G182">
        <v>-416.62889999999999</v>
      </c>
      <c r="H182">
        <v>-0.05</v>
      </c>
      <c r="I182">
        <v>367.84160000000003</v>
      </c>
      <c r="J182">
        <v>-433.46690000000001</v>
      </c>
      <c r="K182">
        <v>1.0730219999999999</v>
      </c>
      <c r="L182">
        <v>367.44619999999998</v>
      </c>
      <c r="M182">
        <v>0.99994899999999998</v>
      </c>
      <c r="N182">
        <v>0</v>
      </c>
      <c r="O182">
        <v>6.6547669999999998E-3</v>
      </c>
      <c r="P182">
        <v>0.9965463</v>
      </c>
      <c r="Q182">
        <v>1.9283189999999999E-2</v>
      </c>
      <c r="R182">
        <v>8.0770129999999996E-2</v>
      </c>
      <c r="S182">
        <v>3.0084840000000002</v>
      </c>
      <c r="T182">
        <v>-0.1960952</v>
      </c>
      <c r="U182">
        <v>6.9396970000000002E-2</v>
      </c>
      <c r="V182">
        <v>-7.4115E-2</v>
      </c>
      <c r="W182">
        <v>2.6933100000000001E-2</v>
      </c>
      <c r="X182">
        <v>0.99688600000000005</v>
      </c>
      <c r="Y182">
        <v>-1.6386620000000001E-2</v>
      </c>
      <c r="Z182">
        <v>1.0016199999999999E-4</v>
      </c>
      <c r="AA182">
        <v>0.99986569999999997</v>
      </c>
      <c r="AB182">
        <v>41</v>
      </c>
      <c r="AC182">
        <v>16.838000000000001</v>
      </c>
      <c r="AD182">
        <v>-1.123022</v>
      </c>
      <c r="AE182">
        <v>0.39540000000005099</v>
      </c>
      <c r="AF182">
        <v>-0.28208095048304499</v>
      </c>
      <c r="AG182">
        <v>-1.123022</v>
      </c>
      <c r="AH182">
        <v>16.765720401806799</v>
      </c>
      <c r="AI182">
        <v>93.831590920101604</v>
      </c>
      <c r="AJ182">
        <v>90.963902700628907</v>
      </c>
      <c r="AK182">
        <v>16.805657638624901</v>
      </c>
    </row>
    <row r="183" spans="1:37" x14ac:dyDescent="0.2">
      <c r="A183" t="str">
        <f>"20200111154032429"</f>
        <v>20200111154032429</v>
      </c>
      <c r="B183" t="str">
        <f>"1578728432426936"</f>
        <v>1578728432426936</v>
      </c>
      <c r="C183" t="s">
        <v>37</v>
      </c>
      <c r="D183">
        <v>5.1640739999999896</v>
      </c>
      <c r="E183">
        <v>0.51946840000000005</v>
      </c>
      <c r="F183" t="s">
        <v>40</v>
      </c>
      <c r="G183">
        <v>-415.7448</v>
      </c>
      <c r="H183">
        <v>-0.05</v>
      </c>
      <c r="I183">
        <v>367.858</v>
      </c>
      <c r="J183">
        <v>-433.0772</v>
      </c>
      <c r="K183">
        <v>1.071043</v>
      </c>
      <c r="L183">
        <v>367.4486</v>
      </c>
      <c r="M183">
        <v>0.99995330000000004</v>
      </c>
      <c r="N183">
        <v>0</v>
      </c>
      <c r="O183">
        <v>6.4152169999999904E-3</v>
      </c>
      <c r="P183">
        <v>0.99656080000000002</v>
      </c>
      <c r="Q183">
        <v>1.9575149999999999E-2</v>
      </c>
      <c r="R183">
        <v>8.0521170000000003E-2</v>
      </c>
      <c r="S183">
        <v>3.00839199999999</v>
      </c>
      <c r="T183">
        <v>-0.19063759999999999</v>
      </c>
      <c r="U183">
        <v>6.9915770000000002E-2</v>
      </c>
      <c r="V183">
        <v>-7.4105199999999996E-2</v>
      </c>
      <c r="W183">
        <v>2.6851110000000001E-2</v>
      </c>
      <c r="X183">
        <v>0.99688889999999997</v>
      </c>
      <c r="Y183">
        <v>-1.6799020000000001E-2</v>
      </c>
      <c r="Z183">
        <v>1.2559809999999999E-4</v>
      </c>
      <c r="AA183">
        <v>0.99985889999999999</v>
      </c>
      <c r="AB183">
        <v>41</v>
      </c>
      <c r="AC183">
        <v>17.3324</v>
      </c>
      <c r="AD183">
        <v>-1.121043</v>
      </c>
      <c r="AE183">
        <v>0.40940000000000498</v>
      </c>
      <c r="AF183">
        <v>-0.29695597686601399</v>
      </c>
      <c r="AG183">
        <v>-1.121043</v>
      </c>
      <c r="AH183">
        <v>17.262494502860399</v>
      </c>
      <c r="AI183">
        <v>93.715077459049098</v>
      </c>
      <c r="AJ183">
        <v>90.985526522095498</v>
      </c>
      <c r="AK183">
        <v>17.301405628483799</v>
      </c>
    </row>
    <row r="184" spans="1:37" x14ac:dyDescent="0.2">
      <c r="A184" t="str">
        <f>"20200111154032452"</f>
        <v>20200111154032452</v>
      </c>
      <c r="B184" t="str">
        <f>"1578728432446456"</f>
        <v>1578728432446456</v>
      </c>
      <c r="C184" t="s">
        <v>37</v>
      </c>
      <c r="D184">
        <v>5.145905</v>
      </c>
      <c r="E184">
        <v>0.51932900000000004</v>
      </c>
      <c r="F184" t="s">
        <v>40</v>
      </c>
      <c r="G184">
        <v>-415.16730000000001</v>
      </c>
      <c r="H184">
        <v>-0.05</v>
      </c>
      <c r="I184">
        <v>367.87479999999999</v>
      </c>
      <c r="J184">
        <v>-432.65589999999997</v>
      </c>
      <c r="K184">
        <v>1.0691489999999999</v>
      </c>
      <c r="L184">
        <v>367.4511</v>
      </c>
      <c r="M184">
        <v>0.99995769999999995</v>
      </c>
      <c r="N184">
        <v>0</v>
      </c>
      <c r="O184">
        <v>6.1590169999999897E-3</v>
      </c>
      <c r="P184">
        <v>0.99656219999999995</v>
      </c>
      <c r="Q184">
        <v>2.0864710000000002E-2</v>
      </c>
      <c r="R184">
        <v>8.0179429999999996E-2</v>
      </c>
      <c r="S184">
        <v>3.0082399999999998</v>
      </c>
      <c r="T184">
        <v>-0.18829589999999999</v>
      </c>
      <c r="U184">
        <v>7.1594240000000003E-2</v>
      </c>
      <c r="V184">
        <v>-7.4018299999999995E-2</v>
      </c>
      <c r="W184">
        <v>2.7739130000000001E-2</v>
      </c>
      <c r="X184">
        <v>0.99687099999999995</v>
      </c>
      <c r="Y184">
        <v>-1.7612369999999999E-2</v>
      </c>
      <c r="Z184">
        <v>1.6550979999999999E-4</v>
      </c>
      <c r="AA184">
        <v>0.99984479999999998</v>
      </c>
      <c r="AB184">
        <v>42</v>
      </c>
      <c r="AC184">
        <v>17.488599999999899</v>
      </c>
      <c r="AD184">
        <v>-1.1191489999999999</v>
      </c>
      <c r="AE184">
        <v>0.42369999999999602</v>
      </c>
      <c r="AF184">
        <v>-0.31468893503497603</v>
      </c>
      <c r="AG184">
        <v>-1.1191489999999999</v>
      </c>
      <c r="AH184">
        <v>17.4195846205313</v>
      </c>
      <c r="AI184">
        <v>93.675408530226505</v>
      </c>
      <c r="AJ184">
        <v>91.034949293881297</v>
      </c>
      <c r="AK184">
        <v>17.458334741947301</v>
      </c>
    </row>
    <row r="185" spans="1:37" x14ac:dyDescent="0.2">
      <c r="A185" t="str">
        <f>"20200111154032474"</f>
        <v>20200111154032474</v>
      </c>
      <c r="B185" t="str">
        <f>"1578728432466952"</f>
        <v>1578728432466952</v>
      </c>
      <c r="C185" t="s">
        <v>37</v>
      </c>
      <c r="D185">
        <v>5.1593039999999997</v>
      </c>
      <c r="E185">
        <v>0.51913109999999996</v>
      </c>
      <c r="F185" t="s">
        <v>40</v>
      </c>
      <c r="G185">
        <v>-414.49529999999999</v>
      </c>
      <c r="H185">
        <v>-0.05</v>
      </c>
      <c r="I185">
        <v>367.8845</v>
      </c>
      <c r="J185">
        <v>-432.22539999999998</v>
      </c>
      <c r="K185">
        <v>1.0674589999999999</v>
      </c>
      <c r="L185">
        <v>367.45359999999999</v>
      </c>
      <c r="M185">
        <v>0.99996189999999996</v>
      </c>
      <c r="N185">
        <v>0</v>
      </c>
      <c r="O185">
        <v>5.8989530000000002E-3</v>
      </c>
      <c r="P185">
        <v>0.99657399999999996</v>
      </c>
      <c r="Q185">
        <v>2.1324309999999999E-2</v>
      </c>
      <c r="R185">
        <v>7.9910759999999997E-2</v>
      </c>
      <c r="S185">
        <v>3.0084529999999998</v>
      </c>
      <c r="T185">
        <v>-0.18539659999999999</v>
      </c>
      <c r="U185">
        <v>7.1807860000000001E-2</v>
      </c>
      <c r="V185">
        <v>-7.4008669999999999E-2</v>
      </c>
      <c r="W185">
        <v>2.7805860000000002E-2</v>
      </c>
      <c r="X185">
        <v>0.99686989999999998</v>
      </c>
      <c r="Y185">
        <v>-1.7941260000000001E-2</v>
      </c>
      <c r="Z185">
        <v>1.89087E-4</v>
      </c>
      <c r="AA185">
        <v>0.99983899999999903</v>
      </c>
      <c r="AB185">
        <v>42</v>
      </c>
      <c r="AC185">
        <v>17.730099999999901</v>
      </c>
      <c r="AD185">
        <v>-1.117459</v>
      </c>
      <c r="AE185">
        <v>0.430900000000008</v>
      </c>
      <c r="AF185">
        <v>-0.32501103515817498</v>
      </c>
      <c r="AG185">
        <v>-1.117459</v>
      </c>
      <c r="AH185">
        <v>17.662215406416301</v>
      </c>
      <c r="AI185">
        <v>93.619572314992595</v>
      </c>
      <c r="AJ185">
        <v>91.054208588259101</v>
      </c>
      <c r="AK185">
        <v>17.700514112655199</v>
      </c>
    </row>
    <row r="186" spans="1:37" x14ac:dyDescent="0.2">
      <c r="A186" t="str">
        <f>"20200111154032497"</f>
        <v>20200111154032497</v>
      </c>
      <c r="B186" t="str">
        <f>"1578728432486471"</f>
        <v>1578728432486471</v>
      </c>
      <c r="C186" t="s">
        <v>37</v>
      </c>
      <c r="D186">
        <v>5.1164489999999896</v>
      </c>
      <c r="E186">
        <v>0.5190863</v>
      </c>
      <c r="F186" t="s">
        <v>40</v>
      </c>
      <c r="G186">
        <v>-413.94209999999998</v>
      </c>
      <c r="H186">
        <v>-0.05</v>
      </c>
      <c r="I186">
        <v>367.89609999999999</v>
      </c>
      <c r="J186">
        <v>-431.80009999999999</v>
      </c>
      <c r="K186">
        <v>1.066017</v>
      </c>
      <c r="L186">
        <v>367.45589999999999</v>
      </c>
      <c r="M186">
        <v>0.99996569999999996</v>
      </c>
      <c r="N186">
        <v>0</v>
      </c>
      <c r="O186">
        <v>5.6426979999999998E-3</v>
      </c>
      <c r="P186">
        <v>0.996618</v>
      </c>
      <c r="Q186">
        <v>2.1394659999999999E-2</v>
      </c>
      <c r="R186">
        <v>7.9342389999999999E-2</v>
      </c>
      <c r="S186">
        <v>3.0084230000000001</v>
      </c>
      <c r="T186">
        <v>-0.18387229999999999</v>
      </c>
      <c r="U186">
        <v>7.2814939999999995E-2</v>
      </c>
      <c r="V186">
        <v>-7.3695999999999998E-2</v>
      </c>
      <c r="W186">
        <v>2.7515580000000001E-2</v>
      </c>
      <c r="X186">
        <v>0.99690109999999998</v>
      </c>
      <c r="Y186">
        <v>-1.8531039999999999E-2</v>
      </c>
      <c r="Z186">
        <v>2.211859E-4</v>
      </c>
      <c r="AA186">
        <v>0.9998283</v>
      </c>
      <c r="AB186">
        <v>42</v>
      </c>
      <c r="AC186">
        <v>17.858000000000001</v>
      </c>
      <c r="AD186">
        <v>-1.116017</v>
      </c>
      <c r="AE186">
        <v>0.44020000000000398</v>
      </c>
      <c r="AF186">
        <v>-0.338104176716157</v>
      </c>
      <c r="AG186">
        <v>-1.116017</v>
      </c>
      <c r="AH186">
        <v>17.790760133691499</v>
      </c>
      <c r="AI186">
        <v>93.588822998643195</v>
      </c>
      <c r="AJ186">
        <v>91.088745535942806</v>
      </c>
      <c r="AK186">
        <v>17.828935877195502</v>
      </c>
    </row>
    <row r="187" spans="1:37" x14ac:dyDescent="0.2">
      <c r="A187" t="str">
        <f>"20200111154032519"</f>
        <v>20200111154032519</v>
      </c>
      <c r="B187" t="str">
        <f>"1578728432506970"</f>
        <v>1578728432506970</v>
      </c>
      <c r="C187" t="s">
        <v>37</v>
      </c>
      <c r="D187">
        <v>5.0822580000000004</v>
      </c>
      <c r="E187">
        <v>0.51891229999999999</v>
      </c>
      <c r="F187" t="s">
        <v>40</v>
      </c>
      <c r="G187">
        <v>-413.41579999999999</v>
      </c>
      <c r="H187">
        <v>-0.05</v>
      </c>
      <c r="I187">
        <v>367.89260000000002</v>
      </c>
      <c r="J187">
        <v>-431.38900000000001</v>
      </c>
      <c r="K187">
        <v>1.0648150000000001</v>
      </c>
      <c r="L187">
        <v>367.45800000000003</v>
      </c>
      <c r="M187">
        <v>0.99996890000000005</v>
      </c>
      <c r="N187">
        <v>0</v>
      </c>
      <c r="O187">
        <v>5.3949979999999998E-3</v>
      </c>
      <c r="P187">
        <v>0.99664359999999996</v>
      </c>
      <c r="Q187">
        <v>2.1517700000000001E-2</v>
      </c>
      <c r="R187">
        <v>7.8985009999999994E-2</v>
      </c>
      <c r="S187">
        <v>3.0084230000000001</v>
      </c>
      <c r="T187">
        <v>-0.1826267</v>
      </c>
      <c r="U187">
        <v>7.1472170000000002E-2</v>
      </c>
      <c r="V187">
        <v>-7.3585639999999994E-2</v>
      </c>
      <c r="W187">
        <v>2.7319670000000001E-2</v>
      </c>
      <c r="X187">
        <v>0.99691459999999998</v>
      </c>
      <c r="Y187">
        <v>-1.8332939999999999E-2</v>
      </c>
      <c r="Z187">
        <v>2.2870590000000001E-4</v>
      </c>
      <c r="AA187">
        <v>0.9998319</v>
      </c>
      <c r="AB187">
        <v>42</v>
      </c>
      <c r="AC187">
        <v>17.973199999999999</v>
      </c>
      <c r="AD187">
        <v>-1.1148149999999999</v>
      </c>
      <c r="AE187">
        <v>0.434599999999989</v>
      </c>
      <c r="AF187">
        <v>-0.336333476581122</v>
      </c>
      <c r="AG187">
        <v>-1.1148149999999999</v>
      </c>
      <c r="AH187">
        <v>17.906432170388101</v>
      </c>
      <c r="AI187">
        <v>93.561884259595502</v>
      </c>
      <c r="AJ187">
        <v>91.076050373283294</v>
      </c>
      <c r="AK187">
        <v>17.944253836936401</v>
      </c>
    </row>
    <row r="188" spans="1:37" x14ac:dyDescent="0.2">
      <c r="A188" t="str">
        <f>"20200111154032541"</f>
        <v>20200111154032541</v>
      </c>
      <c r="B188" t="str">
        <f>"1578728432536248"</f>
        <v>1578728432536248</v>
      </c>
      <c r="C188" t="s">
        <v>37</v>
      </c>
      <c r="D188">
        <v>5.0877559999999997</v>
      </c>
      <c r="E188">
        <v>0.5189589</v>
      </c>
      <c r="F188" t="s">
        <v>40</v>
      </c>
      <c r="G188">
        <v>-412.91300000000001</v>
      </c>
      <c r="H188">
        <v>-0.05</v>
      </c>
      <c r="I188">
        <v>367.89960000000002</v>
      </c>
      <c r="J188">
        <v>-430.96890000000002</v>
      </c>
      <c r="K188">
        <v>1.0637620000000001</v>
      </c>
      <c r="L188">
        <v>367.46010000000001</v>
      </c>
      <c r="M188">
        <v>0.99997190000000002</v>
      </c>
      <c r="N188">
        <v>0</v>
      </c>
      <c r="O188">
        <v>5.1417449999999996E-3</v>
      </c>
      <c r="P188">
        <v>0.99666139999999903</v>
      </c>
      <c r="Q188">
        <v>2.2146590000000001E-2</v>
      </c>
      <c r="R188">
        <v>7.8586119999999995E-2</v>
      </c>
      <c r="S188">
        <v>3.0083310000000001</v>
      </c>
      <c r="T188">
        <v>-0.1815176</v>
      </c>
      <c r="U188">
        <v>7.1899409999999997E-2</v>
      </c>
      <c r="V188">
        <v>-7.3439489999999996E-2</v>
      </c>
      <c r="W188">
        <v>2.7655240000000001E-2</v>
      </c>
      <c r="X188">
        <v>0.99691620000000003</v>
      </c>
      <c r="Y188">
        <v>-1.8727919999999999E-2</v>
      </c>
      <c r="Z188">
        <v>2.5449460000000001E-4</v>
      </c>
      <c r="AA188">
        <v>0.99982459999999995</v>
      </c>
      <c r="AB188">
        <v>42</v>
      </c>
      <c r="AC188">
        <v>18.055900000000001</v>
      </c>
      <c r="AD188">
        <v>-1.1137619999999999</v>
      </c>
      <c r="AE188">
        <v>0.43950000000000899</v>
      </c>
      <c r="AF188">
        <v>-0.34534075619141802</v>
      </c>
      <c r="AG188">
        <v>-1.1137619999999999</v>
      </c>
      <c r="AH188">
        <v>17.9895128642477</v>
      </c>
      <c r="AI188">
        <v>93.542108403614094</v>
      </c>
      <c r="AJ188">
        <v>91.099759507202904</v>
      </c>
      <c r="AK188">
        <v>18.027265436650801</v>
      </c>
    </row>
    <row r="189" spans="1:37" x14ac:dyDescent="0.2">
      <c r="A189" t="str">
        <f>"20200111154032563"</f>
        <v>20200111154032563</v>
      </c>
      <c r="B189" t="str">
        <f>"1578728432556744"</f>
        <v>1578728432556744</v>
      </c>
      <c r="C189" t="s">
        <v>37</v>
      </c>
      <c r="D189">
        <v>5.1111690000000003</v>
      </c>
      <c r="E189">
        <v>0.51896330000000002</v>
      </c>
      <c r="F189" t="s">
        <v>40</v>
      </c>
      <c r="G189">
        <v>-412.3279</v>
      </c>
      <c r="H189">
        <v>-0.05</v>
      </c>
      <c r="I189">
        <v>367.89670000000001</v>
      </c>
      <c r="J189">
        <v>-430.54570000000001</v>
      </c>
      <c r="K189">
        <v>1.062859</v>
      </c>
      <c r="L189">
        <v>367.4622</v>
      </c>
      <c r="M189">
        <v>0.99997469999999999</v>
      </c>
      <c r="N189">
        <v>0</v>
      </c>
      <c r="O189">
        <v>4.8869179999999996E-3</v>
      </c>
      <c r="P189">
        <v>0.99667569999999905</v>
      </c>
      <c r="Q189">
        <v>2.2613870000000001E-2</v>
      </c>
      <c r="R189">
        <v>7.8272250000000002E-2</v>
      </c>
      <c r="S189">
        <v>3.0084529999999998</v>
      </c>
      <c r="T189">
        <v>-0.1797484</v>
      </c>
      <c r="U189">
        <v>7.0465089999999994E-2</v>
      </c>
      <c r="V189">
        <v>-7.3379639999999996E-2</v>
      </c>
      <c r="W189">
        <v>2.7860200000000002E-2</v>
      </c>
      <c r="X189">
        <v>0.99691489999999905</v>
      </c>
      <c r="Y189">
        <v>-1.850574E-2</v>
      </c>
      <c r="Z189">
        <v>2.6058910000000002E-4</v>
      </c>
      <c r="AA189">
        <v>0.99982870000000001</v>
      </c>
      <c r="AB189">
        <v>42</v>
      </c>
      <c r="AC189">
        <v>18.2178</v>
      </c>
      <c r="AD189">
        <v>-1.112859</v>
      </c>
      <c r="AE189">
        <v>0.43450000000001399</v>
      </c>
      <c r="AF189">
        <v>-0.34418113094159603</v>
      </c>
      <c r="AG189">
        <v>-1.112859</v>
      </c>
      <c r="AH189">
        <v>18.152009357471901</v>
      </c>
      <c r="AI189">
        <v>93.507655822965802</v>
      </c>
      <c r="AJ189">
        <v>91.086257892636695</v>
      </c>
      <c r="AK189">
        <v>18.189347418709801</v>
      </c>
    </row>
    <row r="190" spans="1:37" x14ac:dyDescent="0.2">
      <c r="A190" t="str">
        <f>"20200111154032586"</f>
        <v>20200111154032586</v>
      </c>
      <c r="B190" t="str">
        <f>"1578728432576263"</f>
        <v>1578728432576263</v>
      </c>
      <c r="C190" t="s">
        <v>37</v>
      </c>
      <c r="D190">
        <v>5.0959209999999997</v>
      </c>
      <c r="E190">
        <v>0.5189667</v>
      </c>
      <c r="F190" t="s">
        <v>40</v>
      </c>
      <c r="G190">
        <v>-411.66329999999999</v>
      </c>
      <c r="H190">
        <v>-0.05</v>
      </c>
      <c r="I190">
        <v>367.89519999999999</v>
      </c>
      <c r="J190">
        <v>-430.10359999999997</v>
      </c>
      <c r="K190">
        <v>1.0620750000000001</v>
      </c>
      <c r="L190">
        <v>367.46420000000001</v>
      </c>
      <c r="M190">
        <v>0.999977</v>
      </c>
      <c r="N190">
        <v>0</v>
      </c>
      <c r="O190">
        <v>4.6222659999999999E-3</v>
      </c>
      <c r="P190">
        <v>0.99668899999999905</v>
      </c>
      <c r="Q190">
        <v>2.3293970000000001E-2</v>
      </c>
      <c r="R190">
        <v>7.7901570000000003E-2</v>
      </c>
      <c r="S190">
        <v>3.0086059999999999</v>
      </c>
      <c r="T190">
        <v>-0.1773168</v>
      </c>
      <c r="U190">
        <v>6.9000240000000004E-2</v>
      </c>
      <c r="V190">
        <v>-7.327227E-2</v>
      </c>
      <c r="W190">
        <v>2.830206E-2</v>
      </c>
      <c r="X190">
        <v>0.99691030000000003</v>
      </c>
      <c r="Y190">
        <v>-1.8283219999999999E-2</v>
      </c>
      <c r="Z190">
        <v>2.6608959999999999E-4</v>
      </c>
      <c r="AA190">
        <v>0.99983279999999997</v>
      </c>
      <c r="AB190">
        <v>43</v>
      </c>
      <c r="AC190">
        <v>18.440299999999901</v>
      </c>
      <c r="AD190">
        <v>-1.1120749999999999</v>
      </c>
      <c r="AE190">
        <v>0.43099999999998301</v>
      </c>
      <c r="AF190">
        <v>-0.34450612140935699</v>
      </c>
      <c r="AG190">
        <v>-1.1120749999999999</v>
      </c>
      <c r="AH190">
        <v>18.375302446083101</v>
      </c>
      <c r="AI190">
        <v>93.462714601192999</v>
      </c>
      <c r="AJ190">
        <v>91.0740739967612</v>
      </c>
      <c r="AK190">
        <v>18.412146405521</v>
      </c>
    </row>
    <row r="191" spans="1:37" x14ac:dyDescent="0.2">
      <c r="A191" t="str">
        <f>"20200111154032608"</f>
        <v>20200111154032608</v>
      </c>
      <c r="B191" t="str">
        <f>"1578728432596762"</f>
        <v>1578728432596762</v>
      </c>
      <c r="C191" t="s">
        <v>37</v>
      </c>
      <c r="D191">
        <v>5.1126009999999997</v>
      </c>
      <c r="E191">
        <v>0.51957050000000005</v>
      </c>
      <c r="F191" t="s">
        <v>40</v>
      </c>
      <c r="G191">
        <v>-411.00990000000002</v>
      </c>
      <c r="H191">
        <v>-0.05</v>
      </c>
      <c r="I191">
        <v>367.89659999999998</v>
      </c>
      <c r="J191">
        <v>-429.6884</v>
      </c>
      <c r="K191">
        <v>1.06145</v>
      </c>
      <c r="L191">
        <v>367.46589999999998</v>
      </c>
      <c r="M191">
        <v>0.99997919999999996</v>
      </c>
      <c r="N191">
        <v>0</v>
      </c>
      <c r="O191">
        <v>4.3746849999999997E-3</v>
      </c>
      <c r="P191">
        <v>0.99670959999999997</v>
      </c>
      <c r="Q191">
        <v>2.359178E-2</v>
      </c>
      <c r="R191">
        <v>7.7549419999999994E-2</v>
      </c>
      <c r="S191">
        <v>3.008759</v>
      </c>
      <c r="T191">
        <v>-0.1752398</v>
      </c>
      <c r="U191">
        <v>6.8145750000000005E-2</v>
      </c>
      <c r="V191">
        <v>-7.3166999999999996E-2</v>
      </c>
      <c r="W191">
        <v>2.8405010000000001E-2</v>
      </c>
      <c r="X191">
        <v>0.99691509999999905</v>
      </c>
      <c r="Y191">
        <v>-1.8245999999999998E-2</v>
      </c>
      <c r="Z191">
        <v>2.7628860000000001E-4</v>
      </c>
      <c r="AA191">
        <v>0.99983349999999904</v>
      </c>
      <c r="AB191">
        <v>43</v>
      </c>
      <c r="AC191">
        <v>18.6784999999999</v>
      </c>
      <c r="AD191">
        <v>-1.11145</v>
      </c>
      <c r="AE191">
        <v>0.43070000000000103</v>
      </c>
      <c r="AF191">
        <v>-0.347751757647562</v>
      </c>
      <c r="AG191">
        <v>-1.11145</v>
      </c>
      <c r="AH191">
        <v>18.6143316983032</v>
      </c>
      <c r="AI191">
        <v>93.416443146569193</v>
      </c>
      <c r="AJ191">
        <v>91.070271596855804</v>
      </c>
      <c r="AK191">
        <v>18.650726445956501</v>
      </c>
    </row>
    <row r="192" spans="1:37" x14ac:dyDescent="0.2">
      <c r="A192" t="str">
        <f>"20200111154032629"</f>
        <v>20200111154032629</v>
      </c>
      <c r="B192" t="str">
        <f>"1578728432616279"</f>
        <v>1578728432616279</v>
      </c>
      <c r="C192" t="s">
        <v>37</v>
      </c>
      <c r="D192">
        <v>5.0477650000000001</v>
      </c>
      <c r="E192">
        <v>0.53487969999999996</v>
      </c>
      <c r="F192" t="s">
        <v>40</v>
      </c>
      <c r="G192">
        <v>-411.18979999999999</v>
      </c>
      <c r="H192">
        <v>-0.05</v>
      </c>
      <c r="I192">
        <v>367.84840000000003</v>
      </c>
      <c r="J192">
        <v>-429.26949999999999</v>
      </c>
      <c r="K192">
        <v>1.060921</v>
      </c>
      <c r="L192">
        <v>367.4676</v>
      </c>
      <c r="M192">
        <v>0.99998099999999901</v>
      </c>
      <c r="N192">
        <v>0</v>
      </c>
      <c r="O192">
        <v>4.1253490000000004E-3</v>
      </c>
      <c r="P192">
        <v>0.99671739999999998</v>
      </c>
      <c r="Q192">
        <v>2.4214400000000001E-2</v>
      </c>
      <c r="R192">
        <v>7.7254929999999999E-2</v>
      </c>
      <c r="S192">
        <v>3.0093079999999999</v>
      </c>
      <c r="T192">
        <v>-0.18080869999999999</v>
      </c>
      <c r="U192">
        <v>6.2225339999999997E-2</v>
      </c>
      <c r="V192">
        <v>-7.3120420000000005E-2</v>
      </c>
      <c r="W192">
        <v>2.8857819999999999E-2</v>
      </c>
      <c r="X192">
        <v>0.9969055</v>
      </c>
      <c r="Y192">
        <v>-1.652617E-2</v>
      </c>
      <c r="Z192">
        <v>2.483583E-4</v>
      </c>
      <c r="AA192">
        <v>0.99986339999999996</v>
      </c>
      <c r="AB192">
        <v>43</v>
      </c>
      <c r="AC192">
        <v>18.079699999999999</v>
      </c>
      <c r="AD192">
        <v>-1.1109209999999901</v>
      </c>
      <c r="AE192">
        <v>0.38080000000002201</v>
      </c>
      <c r="AF192">
        <v>-0.30505963785912499</v>
      </c>
      <c r="AG192">
        <v>-1.1109209999999901</v>
      </c>
      <c r="AH192">
        <v>18.013137180576202</v>
      </c>
      <c r="AI192">
        <v>93.528617845909693</v>
      </c>
      <c r="AJ192">
        <v>90.970234049717007</v>
      </c>
      <c r="AK192">
        <v>18.049939554944402</v>
      </c>
    </row>
    <row r="193" spans="1:37" x14ac:dyDescent="0.2">
      <c r="A193" t="str">
        <f>"20200111154032652"</f>
        <v>20200111154032652</v>
      </c>
      <c r="B193" t="str">
        <f>"1578728432646851"</f>
        <v>1578728432646851</v>
      </c>
      <c r="C193" t="s">
        <v>37</v>
      </c>
      <c r="D193">
        <v>5.0577870000000003</v>
      </c>
      <c r="E193">
        <v>0.53489960000000003</v>
      </c>
      <c r="F193" t="s">
        <v>38</v>
      </c>
      <c r="G193">
        <v>-428.31180000000001</v>
      </c>
      <c r="H193">
        <v>0.93043639999999905</v>
      </c>
      <c r="I193">
        <v>367.44409999999999</v>
      </c>
      <c r="J193">
        <v>-428.82659999999998</v>
      </c>
      <c r="K193">
        <v>1.060452</v>
      </c>
      <c r="L193">
        <v>367.46929999999998</v>
      </c>
      <c r="M193">
        <v>0.99998259999999894</v>
      </c>
      <c r="N193">
        <v>0</v>
      </c>
      <c r="O193">
        <v>3.8622449999999998E-3</v>
      </c>
      <c r="P193">
        <v>0.99674019999999997</v>
      </c>
      <c r="Q193">
        <v>2.5076999999999999E-2</v>
      </c>
      <c r="R193">
        <v>7.668469E-2</v>
      </c>
      <c r="S193">
        <v>3.025604</v>
      </c>
      <c r="T193">
        <v>-0.4123231</v>
      </c>
      <c r="U193">
        <v>-7.388306E-2</v>
      </c>
      <c r="V193">
        <v>-7.2811810000000005E-2</v>
      </c>
      <c r="W193">
        <v>2.9567050000000001E-2</v>
      </c>
      <c r="X193">
        <v>0.9969074</v>
      </c>
      <c r="Y193">
        <v>2.7978800000000002E-2</v>
      </c>
      <c r="Z193">
        <v>-2.421248E-3</v>
      </c>
      <c r="AA193">
        <v>0.99960559999999998</v>
      </c>
      <c r="AB193">
        <v>43</v>
      </c>
      <c r="AC193">
        <v>0.51479999999997905</v>
      </c>
      <c r="AD193">
        <v>-0.13001559999999901</v>
      </c>
      <c r="AE193">
        <v>-2.5199999999983898E-2</v>
      </c>
      <c r="AF193">
        <v>2.5561585008087299E-2</v>
      </c>
      <c r="AG193">
        <v>-0.13001559999999901</v>
      </c>
      <c r="AH193">
        <v>0.48390694452254701</v>
      </c>
      <c r="AI193">
        <v>105.019011702874</v>
      </c>
      <c r="AJ193">
        <v>86.976255392042702</v>
      </c>
      <c r="AK193">
        <v>0.50172042197685396</v>
      </c>
    </row>
    <row r="194" spans="1:37" x14ac:dyDescent="0.2">
      <c r="A194" t="str">
        <f>"20200111154032676"</f>
        <v>20200111154032676</v>
      </c>
      <c r="B194" t="str">
        <f>"1578728432666370"</f>
        <v>1578728432666370</v>
      </c>
      <c r="C194" t="s">
        <v>37</v>
      </c>
      <c r="D194">
        <v>5.0705619999999998</v>
      </c>
      <c r="E194">
        <v>0.53485939999999998</v>
      </c>
      <c r="F194" t="s">
        <v>38</v>
      </c>
      <c r="G194">
        <v>-427.92329999999998</v>
      </c>
      <c r="H194">
        <v>0.92962239999999996</v>
      </c>
      <c r="I194">
        <v>367.4461</v>
      </c>
      <c r="J194">
        <v>-428.3614</v>
      </c>
      <c r="K194">
        <v>1.0600430000000001</v>
      </c>
      <c r="L194">
        <v>367.47089999999997</v>
      </c>
      <c r="M194">
        <v>0.99998430000000005</v>
      </c>
      <c r="N194">
        <v>0</v>
      </c>
      <c r="O194">
        <v>3.5867999999999998E-3</v>
      </c>
      <c r="P194">
        <v>0.99676069999999894</v>
      </c>
      <c r="Q194">
        <v>2.6336149999999999E-2</v>
      </c>
      <c r="R194">
        <v>7.5992450000000003E-2</v>
      </c>
      <c r="S194">
        <v>3.0268250000000001</v>
      </c>
      <c r="T194">
        <v>-0.43842409999999998</v>
      </c>
      <c r="U194">
        <v>-7.778931E-2</v>
      </c>
      <c r="V194">
        <v>-7.2393399999999997E-2</v>
      </c>
      <c r="W194">
        <v>3.069092E-2</v>
      </c>
      <c r="X194">
        <v>0.99690380000000001</v>
      </c>
      <c r="Y194">
        <v>2.8937770000000002E-2</v>
      </c>
      <c r="Z194">
        <v>-2.601309E-3</v>
      </c>
      <c r="AA194">
        <v>0.99957779999999996</v>
      </c>
      <c r="AB194">
        <v>43</v>
      </c>
      <c r="AC194">
        <v>0.43810000000001897</v>
      </c>
      <c r="AD194">
        <v>-0.1304206</v>
      </c>
      <c r="AE194">
        <v>-2.4799999999970599E-2</v>
      </c>
      <c r="AF194">
        <v>2.42306971288682E-2</v>
      </c>
      <c r="AG194">
        <v>-0.1304206</v>
      </c>
      <c r="AH194">
        <v>0.40245539824007498</v>
      </c>
      <c r="AI194">
        <v>107.92517485399399</v>
      </c>
      <c r="AJ194">
        <v>86.5545428856027</v>
      </c>
      <c r="AK194">
        <v>0.42375347451117001</v>
      </c>
    </row>
    <row r="195" spans="1:37" x14ac:dyDescent="0.2">
      <c r="A195" t="str">
        <f>"20200111154032698"</f>
        <v>20200111154032698</v>
      </c>
      <c r="B195" t="str">
        <f>"1578728432686867"</f>
        <v>1578728432686867</v>
      </c>
      <c r="C195" t="s">
        <v>37</v>
      </c>
      <c r="D195">
        <v>5.1043510000000003</v>
      </c>
      <c r="E195">
        <v>0.53461499999999995</v>
      </c>
      <c r="F195" t="s">
        <v>38</v>
      </c>
      <c r="G195">
        <v>-427.5283</v>
      </c>
      <c r="H195">
        <v>0.93943480000000001</v>
      </c>
      <c r="I195">
        <v>367.44889999999998</v>
      </c>
      <c r="J195">
        <v>-427.92970000000003</v>
      </c>
      <c r="K195">
        <v>1.0597270000000001</v>
      </c>
      <c r="L195">
        <v>367.47230000000002</v>
      </c>
      <c r="M195">
        <v>0.99998560000000003</v>
      </c>
      <c r="N195">
        <v>0</v>
      </c>
      <c r="O195">
        <v>3.3317729999999901E-3</v>
      </c>
      <c r="P195">
        <v>0.99676919999999902</v>
      </c>
      <c r="Q195">
        <v>2.734692E-2</v>
      </c>
      <c r="R195">
        <v>7.5520989999999996E-2</v>
      </c>
      <c r="S195">
        <v>3.0274049999999999</v>
      </c>
      <c r="T195">
        <v>-0.43830140000000001</v>
      </c>
      <c r="U195">
        <v>-7.9498289999999999E-2</v>
      </c>
      <c r="V195">
        <v>-7.217556E-2</v>
      </c>
      <c r="W195">
        <v>3.1597420000000001E-2</v>
      </c>
      <c r="X195">
        <v>0.99689130000000004</v>
      </c>
      <c r="Y195">
        <v>2.9241630000000001E-2</v>
      </c>
      <c r="Z195">
        <v>-2.58523E-3</v>
      </c>
      <c r="AA195">
        <v>0.99956909999999899</v>
      </c>
      <c r="AB195">
        <v>43</v>
      </c>
      <c r="AC195">
        <v>0.40140000000002302</v>
      </c>
      <c r="AD195">
        <v>-0.1202922</v>
      </c>
      <c r="AE195">
        <v>-2.34000000000378E-2</v>
      </c>
      <c r="AF195">
        <v>2.2705043138860501E-2</v>
      </c>
      <c r="AG195">
        <v>-0.1202922</v>
      </c>
      <c r="AH195">
        <v>0.36835062400998098</v>
      </c>
      <c r="AI195">
        <v>108.053440765787</v>
      </c>
      <c r="AJ195">
        <v>86.472764724024401</v>
      </c>
      <c r="AK195">
        <v>0.388159650882623</v>
      </c>
    </row>
    <row r="196" spans="1:37" x14ac:dyDescent="0.2">
      <c r="A196" t="str">
        <f>"20200111154032719"</f>
        <v>20200111154032719</v>
      </c>
      <c r="B196" t="str">
        <f>"1578728432706387"</f>
        <v>1578728432706387</v>
      </c>
      <c r="C196" t="s">
        <v>37</v>
      </c>
      <c r="D196">
        <v>5.0880400000000003</v>
      </c>
      <c r="E196">
        <v>0.53447880000000003</v>
      </c>
      <c r="F196" t="s">
        <v>38</v>
      </c>
      <c r="G196">
        <v>-427.13389999999998</v>
      </c>
      <c r="H196">
        <v>0.94535029999999998</v>
      </c>
      <c r="I196">
        <v>367.45150000000001</v>
      </c>
      <c r="J196">
        <v>-427.52879999999999</v>
      </c>
      <c r="K196">
        <v>1.059483</v>
      </c>
      <c r="L196">
        <v>367.4735</v>
      </c>
      <c r="M196">
        <v>0.99998679999999995</v>
      </c>
      <c r="N196">
        <v>0</v>
      </c>
      <c r="O196">
        <v>3.0946239999999998E-3</v>
      </c>
      <c r="P196">
        <v>0.99678180000000005</v>
      </c>
      <c r="Q196">
        <v>2.7828309999999998E-2</v>
      </c>
      <c r="R196">
        <v>7.5179220000000005E-2</v>
      </c>
      <c r="S196">
        <v>3.0276489999999998</v>
      </c>
      <c r="T196">
        <v>-0.435139099999999</v>
      </c>
      <c r="U196">
        <v>-7.9101560000000001E-2</v>
      </c>
      <c r="V196">
        <v>-7.2069590000000003E-2</v>
      </c>
      <c r="W196">
        <v>3.1998720000000001E-2</v>
      </c>
      <c r="X196">
        <v>0.99688619999999994</v>
      </c>
      <c r="Y196">
        <v>2.8882599999999901E-2</v>
      </c>
      <c r="Z196">
        <v>-2.5069989999999898E-3</v>
      </c>
      <c r="AA196">
        <v>0.99957969999999896</v>
      </c>
      <c r="AB196">
        <v>44</v>
      </c>
      <c r="AC196">
        <v>0.39490000000000602</v>
      </c>
      <c r="AD196">
        <v>-0.114132699999999</v>
      </c>
      <c r="AE196">
        <v>-2.1999999999991301E-2</v>
      </c>
      <c r="AF196">
        <v>2.1436875846668799E-2</v>
      </c>
      <c r="AG196">
        <v>-0.114132699999999</v>
      </c>
      <c r="AH196">
        <v>0.36447904947606102</v>
      </c>
      <c r="AI196">
        <v>107.359194897354</v>
      </c>
      <c r="AJ196">
        <v>86.634019998218704</v>
      </c>
      <c r="AK196">
        <v>0.382532077559946</v>
      </c>
    </row>
    <row r="197" spans="1:37" x14ac:dyDescent="0.2">
      <c r="A197" t="str">
        <f>"20200111154032733"</f>
        <v>20200111154032733</v>
      </c>
      <c r="B197" t="str">
        <f>"1578728432726883"</f>
        <v>1578728432726883</v>
      </c>
      <c r="C197" t="s">
        <v>37</v>
      </c>
      <c r="D197">
        <v>5.0959209999999997</v>
      </c>
      <c r="E197">
        <v>0.53446569999999904</v>
      </c>
      <c r="F197" t="s">
        <v>38</v>
      </c>
      <c r="G197">
        <v>-426.74029999999999</v>
      </c>
      <c r="H197">
        <v>0.94671749999999899</v>
      </c>
      <c r="I197">
        <v>367.45269999999999</v>
      </c>
      <c r="J197">
        <v>-427.2509</v>
      </c>
      <c r="K197">
        <v>1.0593410000000001</v>
      </c>
      <c r="L197">
        <v>367.4742</v>
      </c>
      <c r="M197">
        <v>0.99998750000000003</v>
      </c>
      <c r="N197">
        <v>0</v>
      </c>
      <c r="O197">
        <v>2.9309409999999998E-3</v>
      </c>
      <c r="P197">
        <v>0.99679319999999905</v>
      </c>
      <c r="Q197">
        <v>2.805214E-2</v>
      </c>
      <c r="R197">
        <v>7.4946639999999995E-2</v>
      </c>
      <c r="S197">
        <v>3.0277099999999999</v>
      </c>
      <c r="T197">
        <v>-0.43316979999999999</v>
      </c>
      <c r="U197">
        <v>-7.8704830000000003E-2</v>
      </c>
      <c r="V197">
        <v>-7.2000239999999993E-2</v>
      </c>
      <c r="W197">
        <v>3.2176009999999998E-2</v>
      </c>
      <c r="X197">
        <v>0.99688549999999998</v>
      </c>
      <c r="Y197">
        <v>2.8595120000000002E-2</v>
      </c>
      <c r="Z197">
        <v>-2.4519679999999901E-3</v>
      </c>
      <c r="AA197">
        <v>0.99958809999999998</v>
      </c>
      <c r="AB197">
        <v>44</v>
      </c>
      <c r="AC197">
        <v>0.51060000000001005</v>
      </c>
      <c r="AD197">
        <v>-0.1126235</v>
      </c>
      <c r="AE197">
        <v>-2.15000000000031E-2</v>
      </c>
      <c r="AF197">
        <v>2.1931353183721899E-2</v>
      </c>
      <c r="AG197">
        <v>-0.1126235</v>
      </c>
      <c r="AH197">
        <v>0.48688883386464898</v>
      </c>
      <c r="AI197">
        <v>103.011425951524</v>
      </c>
      <c r="AJ197">
        <v>87.420920176275104</v>
      </c>
      <c r="AK197">
        <v>0.50022572259610698</v>
      </c>
    </row>
    <row r="198" spans="1:37" x14ac:dyDescent="0.2">
      <c r="A198" t="str">
        <f>"20200111154032753"</f>
        <v>20200111154032753</v>
      </c>
      <c r="B198" t="str">
        <f>"1578728432746403"</f>
        <v>1578728432746403</v>
      </c>
      <c r="C198" t="s">
        <v>37</v>
      </c>
      <c r="D198">
        <v>5.0975950000000001</v>
      </c>
      <c r="E198">
        <v>0.53428750000000003</v>
      </c>
      <c r="F198" t="s">
        <v>38</v>
      </c>
      <c r="G198">
        <v>-426.35320000000002</v>
      </c>
      <c r="H198">
        <v>0.93179149999999999</v>
      </c>
      <c r="I198">
        <v>367.45069999999998</v>
      </c>
      <c r="J198">
        <v>-426.8501</v>
      </c>
      <c r="K198">
        <v>1.0591649999999999</v>
      </c>
      <c r="L198">
        <v>367.4753</v>
      </c>
      <c r="M198">
        <v>0.9999884</v>
      </c>
      <c r="N198">
        <v>0</v>
      </c>
      <c r="O198">
        <v>2.6952170000000002E-3</v>
      </c>
      <c r="P198">
        <v>0.99680299999999999</v>
      </c>
      <c r="Q198">
        <v>2.8567840000000001E-2</v>
      </c>
      <c r="R198">
        <v>7.461914E-2</v>
      </c>
      <c r="S198">
        <v>3.027679</v>
      </c>
      <c r="T198">
        <v>-0.43016939999999998</v>
      </c>
      <c r="U198">
        <v>-7.9254149999999995E-2</v>
      </c>
      <c r="V198">
        <v>-7.1906949999999997E-2</v>
      </c>
      <c r="W198">
        <v>3.2634490000000002E-2</v>
      </c>
      <c r="X198">
        <v>0.99687729999999997</v>
      </c>
      <c r="Y198">
        <v>2.8548219999999999E-2</v>
      </c>
      <c r="Z198">
        <v>-2.3985389999999999E-3</v>
      </c>
      <c r="AA198">
        <v>0.99958959999999997</v>
      </c>
      <c r="AB198">
        <v>44</v>
      </c>
      <c r="AC198">
        <v>0.49689999999998202</v>
      </c>
      <c r="AD198">
        <v>-0.127373499999999</v>
      </c>
      <c r="AE198">
        <v>-2.46000000000208E-2</v>
      </c>
      <c r="AF198">
        <v>2.43435147582634E-2</v>
      </c>
      <c r="AG198">
        <v>-0.127373499999999</v>
      </c>
      <c r="AH198">
        <v>0.466269057029435</v>
      </c>
      <c r="AI198">
        <v>105.25923251473399</v>
      </c>
      <c r="AJ198">
        <v>87.011349121612596</v>
      </c>
      <c r="AK198">
        <v>0.48396637151371802</v>
      </c>
    </row>
    <row r="199" spans="1:37" x14ac:dyDescent="0.2">
      <c r="A199" t="str">
        <f>"20200111154032766"</f>
        <v>20200111154032766</v>
      </c>
      <c r="B199" t="str">
        <f>"1578728432756162"</f>
        <v>1578728432756162</v>
      </c>
      <c r="C199" t="s">
        <v>37</v>
      </c>
      <c r="D199">
        <v>5.1352789999999997</v>
      </c>
      <c r="E199">
        <v>0.53418489999999996</v>
      </c>
      <c r="F199" t="s">
        <v>38</v>
      </c>
      <c r="G199">
        <v>-425.95710000000003</v>
      </c>
      <c r="H199">
        <v>0.93299529999999997</v>
      </c>
      <c r="I199">
        <v>367.45150000000001</v>
      </c>
      <c r="J199">
        <v>-426.58600000000001</v>
      </c>
      <c r="K199">
        <v>1.0590599999999999</v>
      </c>
      <c r="L199">
        <v>367.476</v>
      </c>
      <c r="M199">
        <v>0.99998889999999996</v>
      </c>
      <c r="N199">
        <v>0</v>
      </c>
      <c r="O199">
        <v>2.5400789999999898E-3</v>
      </c>
      <c r="P199">
        <v>0.99683709999999903</v>
      </c>
      <c r="Q199">
        <v>2.868064E-2</v>
      </c>
      <c r="R199">
        <v>7.4116600000000005E-2</v>
      </c>
      <c r="S199">
        <v>3.0278019999999999</v>
      </c>
      <c r="T199">
        <v>-0.42803940000000001</v>
      </c>
      <c r="U199">
        <v>-7.8918459999999996E-2</v>
      </c>
      <c r="V199">
        <v>-7.1559280000000003E-2</v>
      </c>
      <c r="W199">
        <v>3.2715510000000003E-2</v>
      </c>
      <c r="X199">
        <v>0.99689969999999895</v>
      </c>
      <c r="Y199">
        <v>2.8288569999999999E-2</v>
      </c>
      <c r="Z199">
        <v>-2.346608E-3</v>
      </c>
      <c r="AA199">
        <v>0.99959709999999902</v>
      </c>
      <c r="AB199">
        <v>44</v>
      </c>
      <c r="AC199">
        <v>0.62889999999998702</v>
      </c>
      <c r="AD199">
        <v>-0.1260647</v>
      </c>
      <c r="AE199">
        <v>-2.4499999999988999E-2</v>
      </c>
      <c r="AF199">
        <v>2.5090738877059399E-2</v>
      </c>
      <c r="AG199">
        <v>-0.1260647</v>
      </c>
      <c r="AH199">
        <v>0.60457976012771497</v>
      </c>
      <c r="AI199">
        <v>101.768485119513</v>
      </c>
      <c r="AJ199">
        <v>87.623524560284494</v>
      </c>
      <c r="AK199">
        <v>0.61809266305269495</v>
      </c>
    </row>
    <row r="200" spans="1:37" x14ac:dyDescent="0.2">
      <c r="A200" t="str">
        <f>"20200111154032788"</f>
        <v>20200111154032788</v>
      </c>
      <c r="B200" t="str">
        <f>"1578728432776658"</f>
        <v>1578728432776658</v>
      </c>
      <c r="C200" t="s">
        <v>37</v>
      </c>
      <c r="D200">
        <v>5.063396</v>
      </c>
      <c r="E200">
        <v>0.53394619999999904</v>
      </c>
      <c r="F200" t="s">
        <v>38</v>
      </c>
      <c r="G200">
        <v>-425.5686</v>
      </c>
      <c r="H200">
        <v>0.91548339999999995</v>
      </c>
      <c r="I200">
        <v>367.44889999999998</v>
      </c>
      <c r="J200">
        <v>-426.1506</v>
      </c>
      <c r="K200">
        <v>1.0589139999999999</v>
      </c>
      <c r="L200">
        <v>367.4769</v>
      </c>
      <c r="M200">
        <v>0.99998969999999898</v>
      </c>
      <c r="N200">
        <v>0</v>
      </c>
      <c r="O200">
        <v>2.284407E-3</v>
      </c>
      <c r="P200">
        <v>0.99686799999999998</v>
      </c>
      <c r="Q200">
        <v>2.8880449999999998E-2</v>
      </c>
      <c r="R200">
        <v>7.3623770000000005E-2</v>
      </c>
      <c r="S200">
        <v>3.0277400000000001</v>
      </c>
      <c r="T200">
        <v>-0.42739519999999998</v>
      </c>
      <c r="U200">
        <v>-7.9864500000000005E-2</v>
      </c>
      <c r="V200">
        <v>-7.1320759999999997E-2</v>
      </c>
      <c r="W200">
        <v>3.2874210000000001E-2</v>
      </c>
      <c r="X200">
        <v>0.99691149999999995</v>
      </c>
      <c r="Y200">
        <v>2.8348499999999999E-2</v>
      </c>
      <c r="Z200">
        <v>-2.3114490000000001E-3</v>
      </c>
      <c r="AA200">
        <v>0.99959540000000002</v>
      </c>
      <c r="AB200">
        <v>44</v>
      </c>
      <c r="AC200">
        <v>0.58199999999999297</v>
      </c>
      <c r="AD200">
        <v>-0.14343059999999899</v>
      </c>
      <c r="AE200">
        <v>-2.8000000000019998E-2</v>
      </c>
      <c r="AF200">
        <v>2.7653792707295899E-2</v>
      </c>
      <c r="AG200">
        <v>-0.14343059999999899</v>
      </c>
      <c r="AH200">
        <v>0.54868706745848395</v>
      </c>
      <c r="AI200">
        <v>104.63192355392</v>
      </c>
      <c r="AJ200">
        <v>87.114737769136497</v>
      </c>
      <c r="AK200">
        <v>0.56779799864357405</v>
      </c>
    </row>
    <row r="201" spans="1:37" x14ac:dyDescent="0.2">
      <c r="A201" t="str">
        <f>"20200111154032809"</f>
        <v>20200111154032809</v>
      </c>
      <c r="B201" t="str">
        <f>"1578728432806915"</f>
        <v>1578728432806915</v>
      </c>
      <c r="C201" t="s">
        <v>37</v>
      </c>
      <c r="D201">
        <v>5.1126379999999996</v>
      </c>
      <c r="E201">
        <v>0.52534519999999996</v>
      </c>
      <c r="F201" t="s">
        <v>38</v>
      </c>
      <c r="G201">
        <v>-425.16820000000001</v>
      </c>
      <c r="H201">
        <v>0.92021730000000002</v>
      </c>
      <c r="I201">
        <v>367.45089999999999</v>
      </c>
      <c r="J201">
        <v>-425.7294</v>
      </c>
      <c r="K201">
        <v>1.0587979999999999</v>
      </c>
      <c r="L201">
        <v>367.47770000000003</v>
      </c>
      <c r="M201">
        <v>0.99999039999999995</v>
      </c>
      <c r="N201">
        <v>0</v>
      </c>
      <c r="O201">
        <v>2.037231E-3</v>
      </c>
      <c r="P201">
        <v>0.99685140000000005</v>
      </c>
      <c r="Q201">
        <v>2.9144280000000002E-2</v>
      </c>
      <c r="R201">
        <v>7.3743619999999996E-2</v>
      </c>
      <c r="S201">
        <v>3.0276489999999998</v>
      </c>
      <c r="T201">
        <v>-0.42757799999999901</v>
      </c>
      <c r="U201">
        <v>-7.8796389999999994E-2</v>
      </c>
      <c r="V201">
        <v>-7.1686699999999895E-2</v>
      </c>
      <c r="W201">
        <v>3.3108690000000003E-2</v>
      </c>
      <c r="X201">
        <v>0.99687760000000003</v>
      </c>
      <c r="Y201">
        <v>2.7757830000000001E-2</v>
      </c>
      <c r="Z201">
        <v>-2.2362829999999999E-3</v>
      </c>
      <c r="AA201">
        <v>0.99961219999999995</v>
      </c>
      <c r="AB201">
        <v>44</v>
      </c>
      <c r="AC201">
        <v>0.56119999999998504</v>
      </c>
      <c r="AD201">
        <v>-0.138580699999999</v>
      </c>
      <c r="AE201">
        <v>-2.6800000000036999E-2</v>
      </c>
      <c r="AF201">
        <v>2.6340708988309699E-2</v>
      </c>
      <c r="AG201">
        <v>-0.138580699999999</v>
      </c>
      <c r="AH201">
        <v>0.52896275938210502</v>
      </c>
      <c r="AI201">
        <v>104.663350011264</v>
      </c>
      <c r="AJ201">
        <v>87.149202282174898</v>
      </c>
      <c r="AK201">
        <v>0.54744866807366299</v>
      </c>
    </row>
    <row r="202" spans="1:37" x14ac:dyDescent="0.2">
      <c r="A202" t="str">
        <f>"20200111154032834"</f>
        <v>20200111154032834</v>
      </c>
      <c r="B202" t="str">
        <f>"1578728432826435"</f>
        <v>1578728432826435</v>
      </c>
      <c r="C202" t="s">
        <v>37</v>
      </c>
      <c r="D202">
        <v>5.1318159999999997</v>
      </c>
      <c r="E202">
        <v>0.52379019999999998</v>
      </c>
      <c r="F202" t="s">
        <v>38</v>
      </c>
      <c r="G202">
        <v>-424.73050000000001</v>
      </c>
      <c r="H202">
        <v>0.99409959999999997</v>
      </c>
      <c r="I202">
        <v>367.4787</v>
      </c>
      <c r="J202">
        <v>-425.25369999999998</v>
      </c>
      <c r="K202">
        <v>1.058686</v>
      </c>
      <c r="L202">
        <v>367.4785</v>
      </c>
      <c r="M202">
        <v>0.99999090000000002</v>
      </c>
      <c r="N202">
        <v>0</v>
      </c>
      <c r="O202">
        <v>1.7583879999999901E-3</v>
      </c>
      <c r="P202">
        <v>0.99686249999999998</v>
      </c>
      <c r="Q202">
        <v>2.8678530000000001E-2</v>
      </c>
      <c r="R202">
        <v>7.3776170000000002E-2</v>
      </c>
      <c r="S202">
        <v>3.014923</v>
      </c>
      <c r="T202">
        <v>-0.195248799999999</v>
      </c>
      <c r="U202">
        <v>3.3874509999999901E-3</v>
      </c>
      <c r="V202">
        <v>-7.19973E-2</v>
      </c>
      <c r="W202">
        <v>3.2620669999999997E-2</v>
      </c>
      <c r="X202">
        <v>0.99687119999999996</v>
      </c>
      <c r="Y202">
        <v>6.2983829999999996E-4</v>
      </c>
      <c r="Z202">
        <v>-1.341293E-4</v>
      </c>
      <c r="AA202">
        <v>0.99999979999999999</v>
      </c>
      <c r="AB202">
        <v>45</v>
      </c>
      <c r="AC202">
        <v>0.52319999999997402</v>
      </c>
      <c r="AD202">
        <v>-6.4586400000000002E-2</v>
      </c>
      <c r="AE202">
        <v>2.0000000000663901E-4</v>
      </c>
      <c r="AF202">
        <v>7.0918877771876301E-4</v>
      </c>
      <c r="AG202">
        <v>-6.4586400000000002E-2</v>
      </c>
      <c r="AH202">
        <v>0.51534635773940296</v>
      </c>
      <c r="AI202">
        <v>97.143411185471095</v>
      </c>
      <c r="AJ202">
        <v>89.921153031197207</v>
      </c>
      <c r="AK202">
        <v>0.51937825758203604</v>
      </c>
    </row>
    <row r="203" spans="1:37" x14ac:dyDescent="0.2">
      <c r="A203" t="str">
        <f>"20200111154032854"</f>
        <v>20200111154032854</v>
      </c>
      <c r="B203" t="str">
        <f>"1578728432846931"</f>
        <v>1578728432846931</v>
      </c>
      <c r="C203" t="s">
        <v>37</v>
      </c>
      <c r="D203">
        <v>5.1538789999999999</v>
      </c>
      <c r="E203">
        <v>0.52377010000000002</v>
      </c>
      <c r="F203" t="s">
        <v>40</v>
      </c>
      <c r="G203">
        <v>-403.04570000000001</v>
      </c>
      <c r="H203">
        <v>-0.05</v>
      </c>
      <c r="I203">
        <v>367.61259999999999</v>
      </c>
      <c r="J203">
        <v>-424.82639999999998</v>
      </c>
      <c r="K203">
        <v>1.0586</v>
      </c>
      <c r="L203">
        <v>367.47919999999999</v>
      </c>
      <c r="M203">
        <v>0.99999139999999997</v>
      </c>
      <c r="N203">
        <v>0</v>
      </c>
      <c r="O203">
        <v>1.5082470000000001E-3</v>
      </c>
      <c r="P203">
        <v>0.99689660000000002</v>
      </c>
      <c r="Q203">
        <v>2.764583E-2</v>
      </c>
      <c r="R203">
        <v>7.3709179999999999E-2</v>
      </c>
      <c r="S203">
        <v>3.012451</v>
      </c>
      <c r="T203">
        <v>-0.15038989999999999</v>
      </c>
      <c r="U203">
        <v>1.818848E-2</v>
      </c>
      <c r="V203">
        <v>-7.2180830000000001E-2</v>
      </c>
      <c r="W203">
        <v>3.1576939999999998E-2</v>
      </c>
      <c r="X203">
        <v>0.99689159999999899</v>
      </c>
      <c r="Y203">
        <v>-4.5256609999999899E-3</v>
      </c>
      <c r="Z203" s="1">
        <v>3.7646630000000002E-5</v>
      </c>
      <c r="AA203">
        <v>0.99998969999999898</v>
      </c>
      <c r="AB203">
        <v>45</v>
      </c>
      <c r="AC203">
        <v>21.7806999999999</v>
      </c>
      <c r="AD203">
        <v>-1.1086</v>
      </c>
      <c r="AE203">
        <v>0.133399999999994</v>
      </c>
      <c r="AF203">
        <v>-0.10028912499817801</v>
      </c>
      <c r="AG203">
        <v>-1.1086</v>
      </c>
      <c r="AH203">
        <v>21.724598053822799</v>
      </c>
      <c r="AI203">
        <v>92.921222181618703</v>
      </c>
      <c r="AJ203">
        <v>90.264497541497306</v>
      </c>
      <c r="AK203">
        <v>21.753096617924399</v>
      </c>
    </row>
    <row r="204" spans="1:37" x14ac:dyDescent="0.2">
      <c r="A204" t="str">
        <f>"20200111154032877"</f>
        <v>20200111154032877</v>
      </c>
      <c r="B204" t="str">
        <f>"1578728432866450"</f>
        <v>1578728432866450</v>
      </c>
      <c r="C204" t="s">
        <v>37</v>
      </c>
      <c r="D204">
        <v>5.129194</v>
      </c>
      <c r="E204">
        <v>0.52400230000000003</v>
      </c>
      <c r="F204" t="s">
        <v>40</v>
      </c>
      <c r="G204">
        <v>-400.67509999999999</v>
      </c>
      <c r="H204">
        <v>-0.05</v>
      </c>
      <c r="I204">
        <v>367.62939999999998</v>
      </c>
      <c r="J204">
        <v>-424.37909999999999</v>
      </c>
      <c r="K204">
        <v>1.058538</v>
      </c>
      <c r="L204">
        <v>367.47969999999998</v>
      </c>
      <c r="M204">
        <v>0.99999179999999999</v>
      </c>
      <c r="N204">
        <v>0</v>
      </c>
      <c r="O204">
        <v>1.2467649999999999E-3</v>
      </c>
      <c r="P204">
        <v>0.99692979999999998</v>
      </c>
      <c r="Q204">
        <v>2.7522520000000002E-2</v>
      </c>
      <c r="R204">
        <v>7.3306389999999999E-2</v>
      </c>
      <c r="S204">
        <v>3.0117799999999999</v>
      </c>
      <c r="T204">
        <v>-0.13824819999999999</v>
      </c>
      <c r="U204">
        <v>1.8737790000000001E-2</v>
      </c>
      <c r="V204">
        <v>-7.203851E-2</v>
      </c>
      <c r="W204">
        <v>3.1448730000000001E-2</v>
      </c>
      <c r="X204">
        <v>0.99690590000000001</v>
      </c>
      <c r="Y204">
        <v>-4.9707070000000004E-3</v>
      </c>
      <c r="Z204" s="1">
        <v>5.682347E-5</v>
      </c>
      <c r="AA204">
        <v>0.99998770000000003</v>
      </c>
      <c r="AB204">
        <v>45</v>
      </c>
      <c r="AC204">
        <v>23.704000000000001</v>
      </c>
      <c r="AD204">
        <v>-1.108538</v>
      </c>
      <c r="AE204">
        <v>0.149699999999995</v>
      </c>
      <c r="AF204">
        <v>-0.119884165008305</v>
      </c>
      <c r="AG204">
        <v>-1.108538</v>
      </c>
      <c r="AH204">
        <v>23.652441307649301</v>
      </c>
      <c r="AI204">
        <v>92.683329385776105</v>
      </c>
      <c r="AJ204">
        <v>90.290405450145698</v>
      </c>
      <c r="AK204">
        <v>23.678707914965699</v>
      </c>
    </row>
    <row r="205" spans="1:37" x14ac:dyDescent="0.2">
      <c r="A205" t="str">
        <f>"20200111154032899"</f>
        <v>20200111154032899</v>
      </c>
      <c r="B205" t="str">
        <f>"1578728432886950"</f>
        <v>1578728432886950</v>
      </c>
      <c r="C205" t="s">
        <v>37</v>
      </c>
      <c r="D205">
        <v>5.1241580000000004</v>
      </c>
      <c r="E205">
        <v>0.52402579999999999</v>
      </c>
      <c r="F205" t="s">
        <v>40</v>
      </c>
      <c r="G205">
        <v>-399.26409999999998</v>
      </c>
      <c r="H205">
        <v>-0.05</v>
      </c>
      <c r="I205">
        <v>367.611999999999</v>
      </c>
      <c r="J205">
        <v>-423.93079999999998</v>
      </c>
      <c r="K205">
        <v>1.058481</v>
      </c>
      <c r="L205">
        <v>367.48009999999999</v>
      </c>
      <c r="M205">
        <v>0.99999199999999999</v>
      </c>
      <c r="N205">
        <v>0</v>
      </c>
      <c r="O205">
        <v>9.8526499999999993E-4</v>
      </c>
      <c r="P205">
        <v>0.99692590000000003</v>
      </c>
      <c r="Q205">
        <v>2.822233E-2</v>
      </c>
      <c r="R205">
        <v>7.309061E-2</v>
      </c>
      <c r="S205">
        <v>3.0117799999999999</v>
      </c>
      <c r="T205">
        <v>-0.13293550000000001</v>
      </c>
      <c r="U205">
        <v>1.586914E-2</v>
      </c>
      <c r="V205">
        <v>-7.2083010000000003E-2</v>
      </c>
      <c r="W205">
        <v>3.2151230000000003E-2</v>
      </c>
      <c r="X205">
        <v>0.99688029999999905</v>
      </c>
      <c r="Y205">
        <v>-4.2804829999999999E-3</v>
      </c>
      <c r="Z205" s="1">
        <v>5.0953499999999999E-5</v>
      </c>
      <c r="AA205">
        <v>0.99999079999999996</v>
      </c>
      <c r="AB205">
        <v>45</v>
      </c>
      <c r="AC205">
        <v>24.666699999999899</v>
      </c>
      <c r="AD205">
        <v>-1.108481</v>
      </c>
      <c r="AE205">
        <v>0.13189999999997301</v>
      </c>
      <c r="AF205">
        <v>-0.107379674839385</v>
      </c>
      <c r="AG205">
        <v>-1.108481</v>
      </c>
      <c r="AH205">
        <v>24.6171062423034</v>
      </c>
      <c r="AI205">
        <v>92.578199335325905</v>
      </c>
      <c r="AJ205">
        <v>90.249922273280205</v>
      </c>
      <c r="AK205">
        <v>24.6422843962727</v>
      </c>
    </row>
    <row r="206" spans="1:37" x14ac:dyDescent="0.2">
      <c r="A206" t="str">
        <f>"20200111154032921"</f>
        <v>20200111154032921</v>
      </c>
      <c r="B206" t="str">
        <f>"1578728432916227"</f>
        <v>1578728432916227</v>
      </c>
      <c r="C206" t="s">
        <v>37</v>
      </c>
      <c r="D206">
        <v>5.0808519999999904</v>
      </c>
      <c r="E206">
        <v>0.52401540000000002</v>
      </c>
      <c r="F206" t="s">
        <v>39</v>
      </c>
      <c r="G206">
        <v>-399.34019999999998</v>
      </c>
      <c r="H206" s="1">
        <v>-7.4582769999999896E-7</v>
      </c>
      <c r="I206">
        <v>367.6046</v>
      </c>
      <c r="J206">
        <v>-423.49099999999999</v>
      </c>
      <c r="K206">
        <v>1.0584359999999999</v>
      </c>
      <c r="L206">
        <v>367.4803</v>
      </c>
      <c r="M206">
        <v>0.99999229999999995</v>
      </c>
      <c r="N206">
        <v>0</v>
      </c>
      <c r="O206">
        <v>7.2875830000000003E-4</v>
      </c>
      <c r="P206">
        <v>0.99696119999999899</v>
      </c>
      <c r="Q206">
        <v>2.8377619999999999E-2</v>
      </c>
      <c r="R206">
        <v>7.2549740000000001E-2</v>
      </c>
      <c r="S206">
        <v>3.0118099999999899</v>
      </c>
      <c r="T206">
        <v>-0.12964059999999999</v>
      </c>
      <c r="U206">
        <v>1.525879E-2</v>
      </c>
      <c r="V206">
        <v>-7.1797420000000001E-2</v>
      </c>
      <c r="W206">
        <v>3.2314700000000002E-2</v>
      </c>
      <c r="X206">
        <v>0.99689559999999999</v>
      </c>
      <c r="Y206">
        <v>-4.3341589999999998E-3</v>
      </c>
      <c r="Z206" s="1">
        <v>6.1881909999999995E-5</v>
      </c>
      <c r="AA206">
        <v>0.99999059999999995</v>
      </c>
      <c r="AB206">
        <v>45</v>
      </c>
      <c r="AC206">
        <v>24.1508</v>
      </c>
      <c r="AD206">
        <v>-1.0584367458277</v>
      </c>
      <c r="AE206">
        <v>0.124300000000005</v>
      </c>
      <c r="AF206">
        <v>-0.106495196877057</v>
      </c>
      <c r="AG206">
        <v>-1.0584367458277</v>
      </c>
      <c r="AH206">
        <v>24.104586946716601</v>
      </c>
      <c r="AI206">
        <v>92.514228388036798</v>
      </c>
      <c r="AJ206">
        <v>90.253133797035403</v>
      </c>
      <c r="AK206">
        <v>24.128048852812299</v>
      </c>
    </row>
    <row r="207" spans="1:37" x14ac:dyDescent="0.2">
      <c r="A207" t="str">
        <f>"20200111154032944"</f>
        <v>20200111154032944</v>
      </c>
      <c r="B207" t="str">
        <f>"1578728432936723"</f>
        <v>1578728432936723</v>
      </c>
      <c r="C207" t="s">
        <v>37</v>
      </c>
      <c r="D207">
        <v>5.0021959999999996</v>
      </c>
      <c r="E207">
        <v>0.52400649999999904</v>
      </c>
      <c r="F207" t="s">
        <v>39</v>
      </c>
      <c r="G207">
        <v>-399.35449999999997</v>
      </c>
      <c r="H207" s="1">
        <v>-7.4522459999999996E-7</v>
      </c>
      <c r="I207">
        <v>367.58859999999999</v>
      </c>
      <c r="J207">
        <v>-423.02969999999999</v>
      </c>
      <c r="K207">
        <v>1.058397</v>
      </c>
      <c r="L207">
        <v>367.48059999999998</v>
      </c>
      <c r="M207">
        <v>0.99999229999999995</v>
      </c>
      <c r="N207">
        <v>0</v>
      </c>
      <c r="O207">
        <v>4.6025729999999999E-4</v>
      </c>
      <c r="P207">
        <v>0.9969652</v>
      </c>
      <c r="Q207">
        <v>2.834658E-2</v>
      </c>
      <c r="R207">
        <v>7.250289E-2</v>
      </c>
      <c r="S207">
        <v>3.0119630000000002</v>
      </c>
      <c r="T207">
        <v>-0.1320807</v>
      </c>
      <c r="U207">
        <v>1.351929E-2</v>
      </c>
      <c r="V207">
        <v>-7.2018020000000002E-2</v>
      </c>
      <c r="W207">
        <v>3.229754E-2</v>
      </c>
      <c r="X207">
        <v>0.99688029999999905</v>
      </c>
      <c r="Y207">
        <v>-4.02480299999999E-3</v>
      </c>
      <c r="Z207" s="1">
        <v>6.8031470000000005E-5</v>
      </c>
      <c r="AA207">
        <v>0.99999189999999905</v>
      </c>
      <c r="AB207">
        <v>45</v>
      </c>
      <c r="AC207">
        <v>23.6752</v>
      </c>
      <c r="AD207">
        <v>-1.0583977452246001</v>
      </c>
      <c r="AE207">
        <v>0.108000000000004</v>
      </c>
      <c r="AF207">
        <v>-9.6909549645795595E-2</v>
      </c>
      <c r="AG207">
        <v>-1.0583977452246001</v>
      </c>
      <c r="AH207">
        <v>23.628026881345399</v>
      </c>
      <c r="AI207">
        <v>92.564780560241005</v>
      </c>
      <c r="AJ207">
        <v>90.234995375729298</v>
      </c>
      <c r="AK207">
        <v>23.651918559674801</v>
      </c>
    </row>
    <row r="208" spans="1:37" x14ac:dyDescent="0.2">
      <c r="A208" t="str">
        <f>"20200111154032966"</f>
        <v>20200111154032966</v>
      </c>
      <c r="B208" t="str">
        <f>"1578728432956964"</f>
        <v>1578728432956964</v>
      </c>
      <c r="C208" t="s">
        <v>37</v>
      </c>
      <c r="D208">
        <v>5.0178349999999998</v>
      </c>
      <c r="E208">
        <v>0.52411160000000001</v>
      </c>
      <c r="F208" t="s">
        <v>39</v>
      </c>
      <c r="G208">
        <v>-399.02870000000001</v>
      </c>
      <c r="H208" s="1">
        <v>-8.5634400000000001E-7</v>
      </c>
      <c r="I208">
        <v>367.58769999999998</v>
      </c>
      <c r="J208">
        <v>-422.56180000000001</v>
      </c>
      <c r="K208">
        <v>1.0583719999999901</v>
      </c>
      <c r="L208">
        <v>367.48070000000001</v>
      </c>
      <c r="M208">
        <v>0.99999229999999995</v>
      </c>
      <c r="N208">
        <v>0</v>
      </c>
      <c r="O208">
        <v>1.8781059999999999E-4</v>
      </c>
      <c r="P208">
        <v>0.99696870000000004</v>
      </c>
      <c r="Q208">
        <v>2.9280190000000001E-2</v>
      </c>
      <c r="R208">
        <v>7.2084629999999997E-2</v>
      </c>
      <c r="S208">
        <v>3.0119319999999998</v>
      </c>
      <c r="T208">
        <v>-0.13281989999999999</v>
      </c>
      <c r="U208">
        <v>1.345825E-2</v>
      </c>
      <c r="V208">
        <v>-7.1870790000000004E-2</v>
      </c>
      <c r="W208">
        <v>3.3250229999999999E-2</v>
      </c>
      <c r="X208">
        <v>0.99685959999999996</v>
      </c>
      <c r="Y208">
        <v>-4.2764830000000002E-3</v>
      </c>
      <c r="Z208" s="1">
        <v>8.5967640000000003E-5</v>
      </c>
      <c r="AA208">
        <v>0.99999090000000002</v>
      </c>
      <c r="AB208">
        <v>46</v>
      </c>
      <c r="AC208">
        <v>23.533099999999902</v>
      </c>
      <c r="AD208">
        <v>-1.05837285634399</v>
      </c>
      <c r="AE208">
        <v>0.10699999999996999</v>
      </c>
      <c r="AF208">
        <v>-0.10237313855800299</v>
      </c>
      <c r="AG208">
        <v>-1.05837285634399</v>
      </c>
      <c r="AH208">
        <v>23.485617656936199</v>
      </c>
      <c r="AI208">
        <v>92.580248205308294</v>
      </c>
      <c r="AJ208">
        <v>90.2497490894756</v>
      </c>
      <c r="AK208">
        <v>23.509676094968501</v>
      </c>
    </row>
    <row r="209" spans="1:37" x14ac:dyDescent="0.2">
      <c r="A209" t="str">
        <f>"20200111154032988"</f>
        <v>20200111154032988</v>
      </c>
      <c r="B209" t="str">
        <f>"1578728432976481"</f>
        <v>1578728432976481</v>
      </c>
      <c r="C209" t="s">
        <v>37</v>
      </c>
      <c r="D209">
        <v>4.9965589999999898</v>
      </c>
      <c r="E209">
        <v>0.52427840000000003</v>
      </c>
      <c r="F209" t="s">
        <v>39</v>
      </c>
      <c r="G209">
        <v>-398.25020000000001</v>
      </c>
      <c r="H209" s="1">
        <v>-1.124862E-6</v>
      </c>
      <c r="I209">
        <v>367.57420000000002</v>
      </c>
      <c r="J209">
        <v>-422.12079999999997</v>
      </c>
      <c r="K209">
        <v>1.05836</v>
      </c>
      <c r="L209">
        <v>367.48059999999998</v>
      </c>
      <c r="M209">
        <v>0.999992199999999</v>
      </c>
      <c r="N209">
        <v>0</v>
      </c>
      <c r="O209" s="1">
        <v>-6.8491380000000005E-5</v>
      </c>
      <c r="P209">
        <v>0.99695599999999995</v>
      </c>
      <c r="Q209">
        <v>3.117779E-2</v>
      </c>
      <c r="R209">
        <v>7.1461140000000006E-2</v>
      </c>
      <c r="S209">
        <v>3.0121769999999999</v>
      </c>
      <c r="T209">
        <v>-0.13113060000000001</v>
      </c>
      <c r="U209">
        <v>1.159668E-2</v>
      </c>
      <c r="V209">
        <v>-7.1501019999999998E-2</v>
      </c>
      <c r="W209">
        <v>3.5169800000000001E-2</v>
      </c>
      <c r="X209">
        <v>0.99682029999999999</v>
      </c>
      <c r="Y209">
        <v>-3.9146240000000002E-3</v>
      </c>
      <c r="Z209" s="1">
        <v>8.8148280000000003E-5</v>
      </c>
      <c r="AA209">
        <v>0.99999229999999995</v>
      </c>
      <c r="AB209">
        <v>46</v>
      </c>
      <c r="AC209">
        <v>23.8705999999999</v>
      </c>
      <c r="AD209">
        <v>-1.058361124862</v>
      </c>
      <c r="AE209">
        <v>9.3600000000037598E-2</v>
      </c>
      <c r="AF209">
        <v>-9.5048099427676794E-2</v>
      </c>
      <c r="AG209">
        <v>-1.058361124862</v>
      </c>
      <c r="AH209">
        <v>23.823761313773499</v>
      </c>
      <c r="AI209">
        <v>92.543649539426198</v>
      </c>
      <c r="AJ209">
        <v>90.228588004315199</v>
      </c>
      <c r="AK209">
        <v>23.847447778483001</v>
      </c>
    </row>
    <row r="210" spans="1:37" x14ac:dyDescent="0.2">
      <c r="A210" t="str">
        <f>"20200111154032999"</f>
        <v>20200111154032999</v>
      </c>
      <c r="B210" t="str">
        <f>"1578728432996977"</f>
        <v>1578728432996977</v>
      </c>
      <c r="C210" t="s">
        <v>37</v>
      </c>
      <c r="D210">
        <v>5.0335929999999998</v>
      </c>
      <c r="E210">
        <v>0.52441669999999996</v>
      </c>
      <c r="F210" t="s">
        <v>39</v>
      </c>
      <c r="G210">
        <v>-396.56810000000002</v>
      </c>
      <c r="H210" s="1">
        <v>-1.821182E-6</v>
      </c>
      <c r="I210">
        <v>367.5496</v>
      </c>
      <c r="J210">
        <v>-421.86169999999998</v>
      </c>
      <c r="K210">
        <v>1.0583530000000001</v>
      </c>
      <c r="L210">
        <v>367.48050000000001</v>
      </c>
      <c r="M210">
        <v>0.99999229999999995</v>
      </c>
      <c r="N210">
        <v>0</v>
      </c>
      <c r="O210">
        <v>-2.1933130000000001E-4</v>
      </c>
      <c r="P210">
        <v>0.99696679999999904</v>
      </c>
      <c r="Q210">
        <v>3.1975509999999999E-2</v>
      </c>
      <c r="R210">
        <v>7.0955779999999996E-2</v>
      </c>
      <c r="S210">
        <v>3.0124819999999999</v>
      </c>
      <c r="T210">
        <v>-0.124772699999999</v>
      </c>
      <c r="U210">
        <v>8.1481929999999998E-3</v>
      </c>
      <c r="V210">
        <v>-7.1144840000000001E-2</v>
      </c>
      <c r="W210">
        <v>3.598229E-2</v>
      </c>
      <c r="X210">
        <v>0.99681679999999995</v>
      </c>
      <c r="Y210">
        <v>-2.9214409999999999E-3</v>
      </c>
      <c r="Z210" s="1">
        <v>6.9555459999999999E-5</v>
      </c>
      <c r="AA210">
        <v>0.99999570000000004</v>
      </c>
      <c r="AB210">
        <v>46</v>
      </c>
      <c r="AC210">
        <v>25.293599999999898</v>
      </c>
      <c r="AD210">
        <v>-1.058354821182</v>
      </c>
      <c r="AE210">
        <v>6.9099999999991696E-2</v>
      </c>
      <c r="AF210">
        <v>-7.4517253828963403E-2</v>
      </c>
      <c r="AG210">
        <v>-1.058354821182</v>
      </c>
      <c r="AH210">
        <v>25.249377471572</v>
      </c>
      <c r="AI210">
        <v>92.400198768826797</v>
      </c>
      <c r="AJ210">
        <v>90.169093743182003</v>
      </c>
      <c r="AK210">
        <v>25.271658640670299</v>
      </c>
    </row>
    <row r="211" spans="1:37" x14ac:dyDescent="0.2">
      <c r="A211" t="str">
        <f>"20200111154033020"</f>
        <v>20200111154033020</v>
      </c>
      <c r="B211" t="str">
        <f>"1578728433016498"</f>
        <v>1578728433016498</v>
      </c>
      <c r="C211" t="s">
        <v>37</v>
      </c>
      <c r="D211">
        <v>4.998704</v>
      </c>
      <c r="E211">
        <v>0.52442959999999905</v>
      </c>
      <c r="F211" t="s">
        <v>39</v>
      </c>
      <c r="G211">
        <v>-395.66890000000001</v>
      </c>
      <c r="H211" s="1">
        <v>-2.2102719999999999E-6</v>
      </c>
      <c r="I211">
        <v>367.53089999999997</v>
      </c>
      <c r="J211">
        <v>-421.44900000000001</v>
      </c>
      <c r="K211">
        <v>1.0583400000000001</v>
      </c>
      <c r="L211">
        <v>367.4803</v>
      </c>
      <c r="M211">
        <v>0.99999210000000005</v>
      </c>
      <c r="N211">
        <v>0</v>
      </c>
      <c r="O211">
        <v>-4.5877299999999999E-4</v>
      </c>
      <c r="P211">
        <v>0.99697969999999903</v>
      </c>
      <c r="Q211">
        <v>3.2683299999999998E-2</v>
      </c>
      <c r="R211">
        <v>7.045411E-2</v>
      </c>
      <c r="S211">
        <v>3.0126650000000001</v>
      </c>
      <c r="T211">
        <v>-0.12173009999999999</v>
      </c>
      <c r="U211">
        <v>5.7983399999999999E-3</v>
      </c>
      <c r="V211">
        <v>-7.0881540000000007E-2</v>
      </c>
      <c r="W211">
        <v>3.6715190000000002E-2</v>
      </c>
      <c r="X211">
        <v>0.99680879999999905</v>
      </c>
      <c r="Y211">
        <v>-2.3811089999999902E-3</v>
      </c>
      <c r="Z211" s="1">
        <v>6.6615840000000003E-5</v>
      </c>
      <c r="AA211">
        <v>0.99999709999999997</v>
      </c>
      <c r="AB211">
        <v>46</v>
      </c>
      <c r="AC211">
        <v>25.780100000000001</v>
      </c>
      <c r="AD211">
        <v>-1.0583422102719999</v>
      </c>
      <c r="AE211">
        <v>5.0599999999974402E-2</v>
      </c>
      <c r="AF211">
        <v>-6.23222679623672E-2</v>
      </c>
      <c r="AG211">
        <v>-1.0583422102719999</v>
      </c>
      <c r="AH211">
        <v>25.736699598943201</v>
      </c>
      <c r="AI211">
        <v>92.354778191086893</v>
      </c>
      <c r="AJ211">
        <v>90.138743350937602</v>
      </c>
      <c r="AK211">
        <v>25.7585263271285</v>
      </c>
    </row>
    <row r="212" spans="1:37" x14ac:dyDescent="0.2">
      <c r="A212" t="str">
        <f>"20200111154033034"</f>
        <v>20200111154033034</v>
      </c>
      <c r="B212" t="str">
        <f>"1578728433026258"</f>
        <v>1578728433026258</v>
      </c>
      <c r="C212" t="s">
        <v>37</v>
      </c>
      <c r="D212">
        <v>4.9853079999999999</v>
      </c>
      <c r="E212">
        <v>0.52434040000000004</v>
      </c>
      <c r="F212" t="s">
        <v>39</v>
      </c>
      <c r="G212">
        <v>-394.73059999999998</v>
      </c>
      <c r="H212" s="1">
        <v>-2.615676E-6</v>
      </c>
      <c r="I212">
        <v>367.51459999999997</v>
      </c>
      <c r="J212">
        <v>-421.17509999999999</v>
      </c>
      <c r="K212">
        <v>1.0583320000000001</v>
      </c>
      <c r="L212">
        <v>367.48009999999999</v>
      </c>
      <c r="M212">
        <v>0.99999179999999999</v>
      </c>
      <c r="N212">
        <v>0</v>
      </c>
      <c r="O212">
        <v>-6.1749039999999997E-4</v>
      </c>
      <c r="P212">
        <v>0.99699269999999995</v>
      </c>
      <c r="Q212">
        <v>3.2587049999999999E-2</v>
      </c>
      <c r="R212">
        <v>7.0312470000000002E-2</v>
      </c>
      <c r="S212">
        <v>3.0127259999999998</v>
      </c>
      <c r="T212">
        <v>-0.119336699999999</v>
      </c>
      <c r="U212">
        <v>3.8757319999999998E-3</v>
      </c>
      <c r="V212">
        <v>-7.0897890000000005E-2</v>
      </c>
      <c r="W212">
        <v>3.6637509999999998E-2</v>
      </c>
      <c r="X212">
        <v>0.99681049999999904</v>
      </c>
      <c r="Y212">
        <v>-1.901972E-3</v>
      </c>
      <c r="Z212" s="1">
        <v>6.2104499999999995E-5</v>
      </c>
      <c r="AA212">
        <v>0.99999819999999995</v>
      </c>
      <c r="AB212">
        <v>46</v>
      </c>
      <c r="AC212">
        <v>26.444500000000001</v>
      </c>
      <c r="AD212">
        <v>-1.0583346156760001</v>
      </c>
      <c r="AE212">
        <v>3.4499999999979901E-2</v>
      </c>
      <c r="AF212">
        <v>-5.0748067155068702E-2</v>
      </c>
      <c r="AG212">
        <v>-1.0583346156760001</v>
      </c>
      <c r="AH212">
        <v>26.402185919391801</v>
      </c>
      <c r="AI212">
        <v>92.295474636736003</v>
      </c>
      <c r="AJ212">
        <v>90.110129005776898</v>
      </c>
      <c r="AK212">
        <v>26.4234378695731</v>
      </c>
    </row>
    <row r="213" spans="1:37" x14ac:dyDescent="0.2">
      <c r="A213" t="str">
        <f>"20200111154033047"</f>
        <v>20200111154033047</v>
      </c>
      <c r="B213" t="str">
        <f>"1578728433036994"</f>
        <v>1578728433036994</v>
      </c>
      <c r="C213" t="s">
        <v>37</v>
      </c>
      <c r="D213">
        <v>5.0001939999999996</v>
      </c>
      <c r="E213">
        <v>0.52432449999999997</v>
      </c>
      <c r="F213" t="s">
        <v>39</v>
      </c>
      <c r="G213">
        <v>-394.67579999999998</v>
      </c>
      <c r="H213" s="1">
        <v>-2.6395799999999898E-6</v>
      </c>
      <c r="I213">
        <v>367.51220000000001</v>
      </c>
      <c r="J213">
        <v>-420.89030000000002</v>
      </c>
      <c r="K213">
        <v>1.0583229999999999</v>
      </c>
      <c r="L213">
        <v>367.47980000000001</v>
      </c>
      <c r="M213">
        <v>0.99999169999999904</v>
      </c>
      <c r="N213">
        <v>0</v>
      </c>
      <c r="O213">
        <v>-7.8264899999999995E-4</v>
      </c>
      <c r="P213">
        <v>0.99699680000000002</v>
      </c>
      <c r="Q213">
        <v>3.2623369999999999E-2</v>
      </c>
      <c r="R213">
        <v>7.0239209999999996E-2</v>
      </c>
      <c r="S213">
        <v>3.012756</v>
      </c>
      <c r="T213">
        <v>-0.12032379999999999</v>
      </c>
      <c r="U213">
        <v>3.6621090000000002E-3</v>
      </c>
      <c r="V213">
        <v>-7.0989010000000005E-2</v>
      </c>
      <c r="W213">
        <v>3.6693740000000002E-2</v>
      </c>
      <c r="X213">
        <v>0.99680199999999997</v>
      </c>
      <c r="Y213">
        <v>-1.9959729999999998E-3</v>
      </c>
      <c r="Z213" s="1">
        <v>7.1087130000000001E-5</v>
      </c>
      <c r="AA213">
        <v>0.99999799999999905</v>
      </c>
      <c r="AB213">
        <v>46</v>
      </c>
      <c r="AC213">
        <v>26.214500000000001</v>
      </c>
      <c r="AD213">
        <v>-1.05832563957999</v>
      </c>
      <c r="AE213">
        <v>3.2399999999995502E-2</v>
      </c>
      <c r="AF213">
        <v>-5.2830798593602103E-2</v>
      </c>
      <c r="AG213">
        <v>-1.05832563957999</v>
      </c>
      <c r="AH213">
        <v>26.171809783943001</v>
      </c>
      <c r="AI213">
        <v>92.315638486529906</v>
      </c>
      <c r="AJ213">
        <v>90.115657942697297</v>
      </c>
      <c r="AK213">
        <v>26.193252406289101</v>
      </c>
    </row>
    <row r="214" spans="1:37" x14ac:dyDescent="0.2">
      <c r="A214" t="str">
        <f>"20200111154033067"</f>
        <v>20200111154033067</v>
      </c>
      <c r="B214" t="str">
        <f>"1578728433056518"</f>
        <v>1578728433056518</v>
      </c>
      <c r="C214" t="s">
        <v>37</v>
      </c>
      <c r="D214">
        <v>5.0012099999999897</v>
      </c>
      <c r="E214">
        <v>0.52422800000000003</v>
      </c>
      <c r="F214" t="s">
        <v>39</v>
      </c>
      <c r="G214">
        <v>-394.4787</v>
      </c>
      <c r="H214" s="1">
        <v>-2.7241109999999898E-6</v>
      </c>
      <c r="I214">
        <v>367.51240000000001</v>
      </c>
      <c r="J214">
        <v>-420.48579999999998</v>
      </c>
      <c r="K214">
        <v>1.0583149999999999</v>
      </c>
      <c r="L214">
        <v>367.4794</v>
      </c>
      <c r="M214">
        <v>0.99999119999999997</v>
      </c>
      <c r="N214">
        <v>0</v>
      </c>
      <c r="O214">
        <v>-1.0168569999999999E-3</v>
      </c>
      <c r="P214">
        <v>0.99695849999999897</v>
      </c>
      <c r="Q214">
        <v>3.3191760000000001E-2</v>
      </c>
      <c r="R214">
        <v>7.051288E-2</v>
      </c>
      <c r="S214">
        <v>3.0127259999999998</v>
      </c>
      <c r="T214">
        <v>-0.12072099999999999</v>
      </c>
      <c r="U214">
        <v>3.7231450000000002E-3</v>
      </c>
      <c r="V214">
        <v>-7.1495520000000007E-2</v>
      </c>
      <c r="W214">
        <v>3.7292249999999999E-2</v>
      </c>
      <c r="X214">
        <v>0.99674359999999995</v>
      </c>
      <c r="Y214">
        <v>-2.2500469999999998E-3</v>
      </c>
      <c r="Z214" s="1">
        <v>8.5791829999999996E-5</v>
      </c>
      <c r="AA214">
        <v>0.99999740000000004</v>
      </c>
      <c r="AB214">
        <v>46</v>
      </c>
      <c r="AC214">
        <v>26.007099999999902</v>
      </c>
      <c r="AD214">
        <v>-1.058317724111</v>
      </c>
      <c r="AE214">
        <v>3.3000000000015399E-2</v>
      </c>
      <c r="AF214">
        <v>-5.9347427218547001E-2</v>
      </c>
      <c r="AG214">
        <v>-1.058317724111</v>
      </c>
      <c r="AH214">
        <v>25.964057779941001</v>
      </c>
      <c r="AI214">
        <v>92.334127929763795</v>
      </c>
      <c r="AJ214">
        <v>90.130963781220501</v>
      </c>
      <c r="AK214">
        <v>25.985685577302</v>
      </c>
    </row>
    <row r="215" spans="1:37" x14ac:dyDescent="0.2">
      <c r="A215" t="str">
        <f>"20200111154033088"</f>
        <v>20200111154033088</v>
      </c>
      <c r="B215" t="str">
        <f>"1578728433077017"</f>
        <v>1578728433077017</v>
      </c>
      <c r="C215" t="s">
        <v>37</v>
      </c>
      <c r="D215">
        <v>4.971476</v>
      </c>
      <c r="E215">
        <v>0.52420159999999905</v>
      </c>
      <c r="F215" t="s">
        <v>39</v>
      </c>
      <c r="G215">
        <v>-394.16879999999998</v>
      </c>
      <c r="H215" s="1">
        <v>-2.8549599999999999E-6</v>
      </c>
      <c r="I215">
        <v>367.52440000000001</v>
      </c>
      <c r="J215">
        <v>-420.0403</v>
      </c>
      <c r="K215">
        <v>1.058303</v>
      </c>
      <c r="L215">
        <v>367.47890000000001</v>
      </c>
      <c r="M215">
        <v>0.99999099999999996</v>
      </c>
      <c r="N215">
        <v>0</v>
      </c>
      <c r="O215">
        <v>-1.274683E-3</v>
      </c>
      <c r="P215">
        <v>0.99692190000000003</v>
      </c>
      <c r="Q215">
        <v>3.466114E-2</v>
      </c>
      <c r="R215">
        <v>7.0325659999999998E-2</v>
      </c>
      <c r="S215">
        <v>3.0127869999999999</v>
      </c>
      <c r="T215">
        <v>-0.1211561</v>
      </c>
      <c r="U215">
        <v>5.1574709999999899E-3</v>
      </c>
      <c r="V215">
        <v>-7.1563660000000001E-2</v>
      </c>
      <c r="W215">
        <v>3.8796530000000003E-2</v>
      </c>
      <c r="X215">
        <v>0.99668120000000004</v>
      </c>
      <c r="Y215">
        <v>-2.983107E-3</v>
      </c>
      <c r="Z215">
        <v>1.1119670000000001E-4</v>
      </c>
      <c r="AA215">
        <v>0.99999550000000004</v>
      </c>
      <c r="AB215">
        <v>46</v>
      </c>
      <c r="AC215">
        <v>25.871500000000001</v>
      </c>
      <c r="AD215">
        <v>-1.05830585496</v>
      </c>
      <c r="AE215">
        <v>4.5500000000004003E-2</v>
      </c>
      <c r="AF215">
        <v>-7.8347094872613696E-2</v>
      </c>
      <c r="AG215">
        <v>-1.05830585496</v>
      </c>
      <c r="AH215">
        <v>25.8282022515371</v>
      </c>
      <c r="AI215">
        <v>92.346360736626906</v>
      </c>
      <c r="AJ215">
        <v>90.1738000988735</v>
      </c>
      <c r="AK215">
        <v>25.849993831647701</v>
      </c>
    </row>
    <row r="216" spans="1:37" x14ac:dyDescent="0.2">
      <c r="A216" t="str">
        <f>"20200111154033110"</f>
        <v>20200111154033110</v>
      </c>
      <c r="B216" t="str">
        <f>"1578728433096533"</f>
        <v>1578728433096533</v>
      </c>
      <c r="C216" t="s">
        <v>37</v>
      </c>
      <c r="D216">
        <v>4.9918550000000002</v>
      </c>
      <c r="E216">
        <v>0.52410119999999905</v>
      </c>
      <c r="F216" t="s">
        <v>39</v>
      </c>
      <c r="G216">
        <v>-393.04649999999998</v>
      </c>
      <c r="H216" s="1">
        <v>-3.3367190000000001E-6</v>
      </c>
      <c r="I216">
        <v>367.52260000000001</v>
      </c>
      <c r="J216">
        <v>-419.5917</v>
      </c>
      <c r="K216">
        <v>1.0582989999999901</v>
      </c>
      <c r="L216">
        <v>367.47809999999998</v>
      </c>
      <c r="M216">
        <v>0.9999905</v>
      </c>
      <c r="N216">
        <v>0</v>
      </c>
      <c r="O216">
        <v>-1.5335889999999999E-3</v>
      </c>
      <c r="P216">
        <v>0.99686849999999905</v>
      </c>
      <c r="Q216">
        <v>3.5999719999999999E-2</v>
      </c>
      <c r="R216">
        <v>7.0410459999999994E-2</v>
      </c>
      <c r="S216">
        <v>3.0130309999999998</v>
      </c>
      <c r="T216">
        <v>-0.1181273</v>
      </c>
      <c r="U216">
        <v>4.8828129999999997E-3</v>
      </c>
      <c r="V216">
        <v>-7.1905259999999999E-2</v>
      </c>
      <c r="W216">
        <v>4.0171600000000002E-2</v>
      </c>
      <c r="X216">
        <v>0.99660219999999899</v>
      </c>
      <c r="Y216">
        <v>-3.150562E-3</v>
      </c>
      <c r="Z216">
        <v>1.218384E-4</v>
      </c>
      <c r="AA216">
        <v>0.99999509999999903</v>
      </c>
      <c r="AB216">
        <v>46</v>
      </c>
      <c r="AC216">
        <v>26.545200000000001</v>
      </c>
      <c r="AD216">
        <v>-1.0583023367190001</v>
      </c>
      <c r="AE216">
        <v>4.4500000000027698E-2</v>
      </c>
      <c r="AF216">
        <v>-8.5074491793116699E-2</v>
      </c>
      <c r="AG216">
        <v>-1.0583023367190001</v>
      </c>
      <c r="AH216">
        <v>26.5029754408164</v>
      </c>
      <c r="AI216">
        <v>92.286677123503395</v>
      </c>
      <c r="AJ216">
        <v>90.1839186921802</v>
      </c>
      <c r="AK216">
        <v>26.524233235318501</v>
      </c>
    </row>
    <row r="217" spans="1:37" x14ac:dyDescent="0.2">
      <c r="A217" t="str">
        <f>"20200111154033133"</f>
        <v>20200111154033133</v>
      </c>
      <c r="B217" t="str">
        <f>"1578728433126790"</f>
        <v>1578728433126790</v>
      </c>
      <c r="C217" t="s">
        <v>37</v>
      </c>
      <c r="D217">
        <v>4.9884199999999996</v>
      </c>
      <c r="E217">
        <v>0.523117099999999</v>
      </c>
      <c r="F217" t="s">
        <v>39</v>
      </c>
      <c r="G217">
        <v>-392.05770000000001</v>
      </c>
      <c r="H217" s="1">
        <v>-3.7593149999999999E-6</v>
      </c>
      <c r="I217">
        <v>367.53160000000003</v>
      </c>
      <c r="J217">
        <v>-419.10469999999998</v>
      </c>
      <c r="K217">
        <v>1.058287</v>
      </c>
      <c r="L217">
        <v>367.47730000000001</v>
      </c>
      <c r="M217">
        <v>0.99998969999999898</v>
      </c>
      <c r="N217">
        <v>0</v>
      </c>
      <c r="O217">
        <v>-1.814436E-3</v>
      </c>
      <c r="P217">
        <v>0.99677959999999999</v>
      </c>
      <c r="Q217">
        <v>3.578659E-2</v>
      </c>
      <c r="R217">
        <v>7.1762370000000006E-2</v>
      </c>
      <c r="S217">
        <v>3.0131839999999999</v>
      </c>
      <c r="T217">
        <v>-0.115815</v>
      </c>
      <c r="U217">
        <v>5.859375E-3</v>
      </c>
      <c r="V217">
        <v>-7.3537080000000005E-2</v>
      </c>
      <c r="W217">
        <v>3.9999130000000001E-2</v>
      </c>
      <c r="X217">
        <v>0.99648999999999999</v>
      </c>
      <c r="Y217">
        <v>-3.7549079999999999E-3</v>
      </c>
      <c r="Z217">
        <v>1.4185000000000001E-4</v>
      </c>
      <c r="AA217">
        <v>0.99999300000000002</v>
      </c>
      <c r="AB217">
        <v>47</v>
      </c>
      <c r="AC217">
        <v>27.046999999999901</v>
      </c>
      <c r="AD217">
        <v>-1.0582907593149999</v>
      </c>
      <c r="AE217">
        <v>5.4300000000011998E-2</v>
      </c>
      <c r="AF217">
        <v>-0.10321736188924199</v>
      </c>
      <c r="AG217">
        <v>-1.0582907593149999</v>
      </c>
      <c r="AH217">
        <v>27.005512002691201</v>
      </c>
      <c r="AI217">
        <v>92.244139681053596</v>
      </c>
      <c r="AJ217">
        <v>90.218988272130801</v>
      </c>
      <c r="AK217">
        <v>27.026437273206099</v>
      </c>
    </row>
    <row r="218" spans="1:37" x14ac:dyDescent="0.2">
      <c r="A218" t="str">
        <f>"20200111154033156"</f>
        <v>20200111154033156</v>
      </c>
      <c r="B218" t="str">
        <f>"1578728433146310"</f>
        <v>1578728433146310</v>
      </c>
      <c r="C218" t="s">
        <v>37</v>
      </c>
      <c r="D218">
        <v>4.9510769999999997</v>
      </c>
      <c r="E218">
        <v>0.495116</v>
      </c>
      <c r="F218" t="s">
        <v>39</v>
      </c>
      <c r="G218">
        <v>-392.18090000000001</v>
      </c>
      <c r="H218" s="1">
        <v>-3.688256E-6</v>
      </c>
      <c r="I218">
        <v>367.6343</v>
      </c>
      <c r="J218">
        <v>-418.6146</v>
      </c>
      <c r="K218">
        <v>1.0582750000000001</v>
      </c>
      <c r="L218">
        <v>367.47620000000001</v>
      </c>
      <c r="M218">
        <v>0.99998899999999902</v>
      </c>
      <c r="N218">
        <v>0</v>
      </c>
      <c r="O218">
        <v>-2.097064E-3</v>
      </c>
      <c r="P218">
        <v>0.99656929999999999</v>
      </c>
      <c r="Q218">
        <v>3.5648829999999999E-2</v>
      </c>
      <c r="R218">
        <v>7.4690790000000007E-2</v>
      </c>
      <c r="S218">
        <v>3.0126650000000001</v>
      </c>
      <c r="T218">
        <v>-0.11841789999999899</v>
      </c>
      <c r="U218">
        <v>1.7578130000000001E-2</v>
      </c>
      <c r="V218">
        <v>-7.6746259999999997E-2</v>
      </c>
      <c r="W218">
        <v>3.9899549999999999E-2</v>
      </c>
      <c r="X218">
        <v>0.99625200000000003</v>
      </c>
      <c r="Y218">
        <v>-7.9239380000000002E-3</v>
      </c>
      <c r="Z218">
        <v>2.380673E-4</v>
      </c>
      <c r="AA218">
        <v>0.99996859999999999</v>
      </c>
      <c r="AB218">
        <v>47</v>
      </c>
      <c r="AC218">
        <v>26.433699999999899</v>
      </c>
      <c r="AD218">
        <v>-1.058278688256</v>
      </c>
      <c r="AE218">
        <v>0.15809999999999</v>
      </c>
      <c r="AF218">
        <v>-0.21319160579205401</v>
      </c>
      <c r="AG218">
        <v>-1.058278688256</v>
      </c>
      <c r="AH218">
        <v>26.391011853348299</v>
      </c>
      <c r="AI218">
        <v>92.296253680230905</v>
      </c>
      <c r="AJ218">
        <v>90.462836120602702</v>
      </c>
      <c r="AK218">
        <v>26.413082195881</v>
      </c>
    </row>
    <row r="219" spans="1:37" x14ac:dyDescent="0.2">
      <c r="A219" t="str">
        <f>"20200111154033170"</f>
        <v>20200111154033170</v>
      </c>
      <c r="B219" t="str">
        <f>"1578728433157049"</f>
        <v>1578728433157049</v>
      </c>
      <c r="C219" t="s">
        <v>37</v>
      </c>
      <c r="D219">
        <v>4.9882099999999996</v>
      </c>
      <c r="E219">
        <v>0.49523050000000002</v>
      </c>
      <c r="F219" t="s">
        <v>40</v>
      </c>
      <c r="G219">
        <v>-402.11829999999998</v>
      </c>
      <c r="H219">
        <v>-0.05</v>
      </c>
      <c r="I219">
        <v>368.8152</v>
      </c>
      <c r="J219">
        <v>-418.34219999999999</v>
      </c>
      <c r="K219">
        <v>1.0582739999999999</v>
      </c>
      <c r="L219">
        <v>367.47559999999999</v>
      </c>
      <c r="M219">
        <v>0.99998860000000001</v>
      </c>
      <c r="N219">
        <v>0</v>
      </c>
      <c r="O219">
        <v>-2.2541549999999999E-3</v>
      </c>
      <c r="P219">
        <v>0.99643599999999999</v>
      </c>
      <c r="Q219">
        <v>3.594468E-2</v>
      </c>
      <c r="R219">
        <v>7.6311480000000001E-2</v>
      </c>
      <c r="S219">
        <v>2.9992679999999998</v>
      </c>
      <c r="T219">
        <v>-0.20150019999999999</v>
      </c>
      <c r="U219">
        <v>0.24343870000000001</v>
      </c>
      <c r="V219">
        <v>-7.8522729999999999E-2</v>
      </c>
      <c r="W219">
        <v>4.0230679999999998E-2</v>
      </c>
      <c r="X219">
        <v>0.99610019999999999</v>
      </c>
      <c r="Y219">
        <v>-8.2955760000000003E-2</v>
      </c>
      <c r="Z219">
        <v>2.9299500000000002E-3</v>
      </c>
      <c r="AA219">
        <v>0.99654900000000002</v>
      </c>
      <c r="AB219">
        <v>47</v>
      </c>
      <c r="AC219">
        <v>16.2239</v>
      </c>
      <c r="AD219">
        <v>-1.108274</v>
      </c>
      <c r="AE219">
        <v>1.3396000000000099</v>
      </c>
      <c r="AF219">
        <v>-1.3698192396317299</v>
      </c>
      <c r="AG219">
        <v>-1.108274</v>
      </c>
      <c r="AH219">
        <v>16.1460052526974</v>
      </c>
      <c r="AI219">
        <v>93.912654425304694</v>
      </c>
      <c r="AJ219">
        <v>94.849333586905999</v>
      </c>
      <c r="AK219">
        <v>16.2418644751295</v>
      </c>
    </row>
    <row r="220" spans="1:37" x14ac:dyDescent="0.2">
      <c r="A220" t="str">
        <f>"20200111154033188"</f>
        <v>20200111154033188</v>
      </c>
      <c r="B220" t="str">
        <f>"1578728433176578"</f>
        <v>1578728433176578</v>
      </c>
      <c r="C220" t="s">
        <v>37</v>
      </c>
      <c r="D220">
        <v>4.9907430000000002</v>
      </c>
      <c r="E220">
        <v>0.49728829999999902</v>
      </c>
      <c r="F220" t="s">
        <v>40</v>
      </c>
      <c r="G220">
        <v>-401.12009999999998</v>
      </c>
      <c r="H220">
        <v>-0.05</v>
      </c>
      <c r="I220">
        <v>368.8954</v>
      </c>
      <c r="J220">
        <v>-417.94560000000001</v>
      </c>
      <c r="K220">
        <v>1.0582989999999901</v>
      </c>
      <c r="L220">
        <v>367.47460000000001</v>
      </c>
      <c r="M220">
        <v>0.99998770000000003</v>
      </c>
      <c r="N220">
        <v>0</v>
      </c>
      <c r="O220">
        <v>-2.4821140000000001E-3</v>
      </c>
      <c r="P220">
        <v>0.99619449999999998</v>
      </c>
      <c r="Q220">
        <v>3.5146169999999997E-2</v>
      </c>
      <c r="R220">
        <v>7.9758449999999995E-2</v>
      </c>
      <c r="S220">
        <v>2.9987789999999999</v>
      </c>
      <c r="T220">
        <v>-0.19297690000000001</v>
      </c>
      <c r="U220">
        <v>0.247222899999999</v>
      </c>
      <c r="V220">
        <v>-8.2196530000000004E-2</v>
      </c>
      <c r="W220">
        <v>3.9535059999999997E-2</v>
      </c>
      <c r="X220">
        <v>0.99583169999999899</v>
      </c>
      <c r="Y220">
        <v>-8.4457320000000002E-2</v>
      </c>
      <c r="Z220">
        <v>2.8693999999999998E-3</v>
      </c>
      <c r="AA220">
        <v>0.996422899999999</v>
      </c>
      <c r="AB220">
        <v>47</v>
      </c>
      <c r="AC220">
        <v>16.825500000000002</v>
      </c>
      <c r="AD220">
        <v>-1.1082989999999999</v>
      </c>
      <c r="AE220">
        <v>1.4207999999999801</v>
      </c>
      <c r="AF220">
        <v>-1.4562849049111599</v>
      </c>
      <c r="AG220">
        <v>-1.1082989999999999</v>
      </c>
      <c r="AH220">
        <v>16.7497608522939</v>
      </c>
      <c r="AI220">
        <v>93.771445216419494</v>
      </c>
      <c r="AJ220">
        <v>94.969007271111195</v>
      </c>
      <c r="AK220">
        <v>16.849438596188001</v>
      </c>
    </row>
    <row r="221" spans="1:37" x14ac:dyDescent="0.2">
      <c r="A221" t="str">
        <f>"20200111154033201"</f>
        <v>20200111154033201</v>
      </c>
      <c r="B221" t="str">
        <f>"1578728433197062"</f>
        <v>1578728433197062</v>
      </c>
      <c r="C221" t="s">
        <v>37</v>
      </c>
      <c r="D221">
        <v>4.9851349999999996</v>
      </c>
      <c r="E221">
        <v>0.4974017</v>
      </c>
      <c r="F221" t="s">
        <v>40</v>
      </c>
      <c r="G221">
        <v>-402.10340000000002</v>
      </c>
      <c r="H221">
        <v>-0.05</v>
      </c>
      <c r="I221">
        <v>368.73919999999998</v>
      </c>
      <c r="J221">
        <v>-417.66789999999997</v>
      </c>
      <c r="K221">
        <v>1.058327</v>
      </c>
      <c r="L221">
        <v>367.47390000000001</v>
      </c>
      <c r="M221">
        <v>0.99998659999999995</v>
      </c>
      <c r="N221">
        <v>0</v>
      </c>
      <c r="O221">
        <v>-2.6408769999999998E-3</v>
      </c>
      <c r="P221">
        <v>0.99600679999999997</v>
      </c>
      <c r="Q221">
        <v>3.4760199999999998E-2</v>
      </c>
      <c r="R221">
        <v>8.2233550000000002E-2</v>
      </c>
      <c r="S221">
        <v>2.9997250000000002</v>
      </c>
      <c r="T221">
        <v>-0.20985689999999901</v>
      </c>
      <c r="U221">
        <v>0.23944090000000001</v>
      </c>
      <c r="V221">
        <v>-8.4829669999999996E-2</v>
      </c>
      <c r="W221">
        <v>3.9272519999999998E-2</v>
      </c>
      <c r="X221">
        <v>0.99562119999999998</v>
      </c>
      <c r="Y221">
        <v>-8.1994579999999997E-2</v>
      </c>
      <c r="Z221">
        <v>3.044326E-3</v>
      </c>
      <c r="AA221">
        <v>0.99662809999999902</v>
      </c>
      <c r="AB221">
        <v>47</v>
      </c>
      <c r="AC221">
        <v>15.564499999999899</v>
      </c>
      <c r="AD221">
        <v>-1.1083270000000001</v>
      </c>
      <c r="AE221">
        <v>1.2652999999999599</v>
      </c>
      <c r="AF221">
        <v>-1.2998520751092799</v>
      </c>
      <c r="AG221">
        <v>-1.1083270000000001</v>
      </c>
      <c r="AH221">
        <v>15.4831098662044</v>
      </c>
      <c r="AI221">
        <v>94.080113675794905</v>
      </c>
      <c r="AJ221">
        <v>94.798893986745895</v>
      </c>
      <c r="AK221">
        <v>15.5770566951864</v>
      </c>
    </row>
    <row r="222" spans="1:37" x14ac:dyDescent="0.2">
      <c r="A222" t="str">
        <f>"20200111154033233"</f>
        <v>20200111154033233</v>
      </c>
      <c r="B222" t="str">
        <f>"1578728433226342"</f>
        <v>1578728433226342</v>
      </c>
      <c r="C222" t="s">
        <v>37</v>
      </c>
      <c r="D222">
        <v>4.975746</v>
      </c>
      <c r="E222">
        <v>0.49761049999999901</v>
      </c>
      <c r="F222" t="s">
        <v>40</v>
      </c>
      <c r="G222">
        <v>-401.70940000000002</v>
      </c>
      <c r="H222">
        <v>-0.05</v>
      </c>
      <c r="I222">
        <v>368.78289999999998</v>
      </c>
      <c r="J222">
        <v>-417.00049999999999</v>
      </c>
      <c r="K222">
        <v>1.058465</v>
      </c>
      <c r="L222">
        <v>367.47199999999998</v>
      </c>
      <c r="M222">
        <v>0.999982699999999</v>
      </c>
      <c r="N222">
        <v>0</v>
      </c>
      <c r="O222">
        <v>-3.0217740000000001E-3</v>
      </c>
      <c r="P222">
        <v>0.99582899999999996</v>
      </c>
      <c r="Q222">
        <v>3.4433980000000003E-2</v>
      </c>
      <c r="R222">
        <v>8.4492789999999998E-2</v>
      </c>
      <c r="S222">
        <v>2.998993</v>
      </c>
      <c r="T222">
        <v>-0.2082821</v>
      </c>
      <c r="U222">
        <v>0.2460022</v>
      </c>
      <c r="V222">
        <v>-8.7466520000000006E-2</v>
      </c>
      <c r="W222">
        <v>3.9573169999999998E-2</v>
      </c>
      <c r="X222">
        <v>0.99538110000000002</v>
      </c>
      <c r="Y222">
        <v>-8.4555450000000004E-2</v>
      </c>
      <c r="Z222">
        <v>3.1370559999999901E-3</v>
      </c>
      <c r="AA222">
        <v>0.99641380000000002</v>
      </c>
      <c r="AB222">
        <v>47</v>
      </c>
      <c r="AC222">
        <v>15.291099999999901</v>
      </c>
      <c r="AD222">
        <v>-1.108465</v>
      </c>
      <c r="AE222">
        <v>1.3109</v>
      </c>
      <c r="AF222">
        <v>-1.35005815819551</v>
      </c>
      <c r="AG222">
        <v>-1.108465</v>
      </c>
      <c r="AH222">
        <v>15.207736438085799</v>
      </c>
      <c r="AI222">
        <v>94.152542559665903</v>
      </c>
      <c r="AJ222">
        <v>95.073101284170605</v>
      </c>
      <c r="AK222">
        <v>15.3077300491294</v>
      </c>
    </row>
    <row r="223" spans="1:37" x14ac:dyDescent="0.2">
      <c r="A223" t="str">
        <f>"20200111154033256"</f>
        <v>20200111154033256</v>
      </c>
      <c r="B223" t="str">
        <f>"1578728433246845"</f>
        <v>1578728433246845</v>
      </c>
      <c r="C223" t="s">
        <v>37</v>
      </c>
      <c r="D223">
        <v>5.0009559999999897</v>
      </c>
      <c r="E223">
        <v>0.497847599999999</v>
      </c>
      <c r="F223" t="s">
        <v>40</v>
      </c>
      <c r="G223">
        <v>-401.2285</v>
      </c>
      <c r="H223">
        <v>-0.05</v>
      </c>
      <c r="I223">
        <v>368.79680000000002</v>
      </c>
      <c r="J223">
        <v>-416.50650000000002</v>
      </c>
      <c r="K223">
        <v>1.058622</v>
      </c>
      <c r="L223">
        <v>367.47030000000001</v>
      </c>
      <c r="M223">
        <v>0.99997760000000002</v>
      </c>
      <c r="N223">
        <v>0</v>
      </c>
      <c r="O223">
        <v>-3.2996340000000001E-3</v>
      </c>
      <c r="P223">
        <v>0.99571010000000004</v>
      </c>
      <c r="Q223">
        <v>3.4145380000000003E-2</v>
      </c>
      <c r="R223">
        <v>8.5997480000000001E-2</v>
      </c>
      <c r="S223">
        <v>2.9984439999999899</v>
      </c>
      <c r="T223">
        <v>-0.210733</v>
      </c>
      <c r="U223">
        <v>0.25186160000000002</v>
      </c>
      <c r="V223">
        <v>-8.9246590000000001E-2</v>
      </c>
      <c r="W223">
        <v>4.0014859999999999E-2</v>
      </c>
      <c r="X223">
        <v>0.99520549999999997</v>
      </c>
      <c r="Y223">
        <v>-8.6769689999999997E-2</v>
      </c>
      <c r="Z223">
        <v>3.271253E-3</v>
      </c>
      <c r="AA223">
        <v>0.99622299999999997</v>
      </c>
      <c r="AB223">
        <v>47</v>
      </c>
      <c r="AC223">
        <v>15.278</v>
      </c>
      <c r="AD223">
        <v>-1.108622</v>
      </c>
      <c r="AE223">
        <v>1.32650000000001</v>
      </c>
      <c r="AF223">
        <v>-1.3697470947575401</v>
      </c>
      <c r="AG223">
        <v>-1.108622</v>
      </c>
      <c r="AH223">
        <v>15.194134701759699</v>
      </c>
      <c r="AI223">
        <v>94.156327923103504</v>
      </c>
      <c r="AJ223">
        <v>95.151274237632606</v>
      </c>
      <c r="AK223">
        <v>15.2959791833573</v>
      </c>
    </row>
    <row r="224" spans="1:37" x14ac:dyDescent="0.2">
      <c r="A224" t="str">
        <f>"20200111154033277"</f>
        <v>20200111154033277</v>
      </c>
      <c r="B224" t="str">
        <f>"1578728433266361"</f>
        <v>1578728433266361</v>
      </c>
      <c r="C224" t="s">
        <v>37</v>
      </c>
      <c r="D224">
        <v>4.9872550000000002</v>
      </c>
      <c r="E224">
        <v>0.49790990000000002</v>
      </c>
      <c r="F224" t="s">
        <v>40</v>
      </c>
      <c r="G224">
        <v>-400.74180000000001</v>
      </c>
      <c r="H224">
        <v>-0.05</v>
      </c>
      <c r="I224">
        <v>368.80529999999999</v>
      </c>
      <c r="J224">
        <v>-416.06450000000001</v>
      </c>
      <c r="K224">
        <v>1.0587200000000001</v>
      </c>
      <c r="L224">
        <v>367.46870000000001</v>
      </c>
      <c r="M224">
        <v>0.99997329999999995</v>
      </c>
      <c r="N224">
        <v>0</v>
      </c>
      <c r="O224">
        <v>-3.5479929999999902E-3</v>
      </c>
      <c r="P224">
        <v>0.99562510000000004</v>
      </c>
      <c r="Q224">
        <v>3.501017E-2</v>
      </c>
      <c r="R224">
        <v>8.6631810000000004E-2</v>
      </c>
      <c r="S224">
        <v>2.99823</v>
      </c>
      <c r="T224">
        <v>-0.21084420000000001</v>
      </c>
      <c r="U224">
        <v>0.25390629999999997</v>
      </c>
      <c r="V224">
        <v>-9.0126280000000003E-2</v>
      </c>
      <c r="W224">
        <v>4.1459419999999997E-2</v>
      </c>
      <c r="X224">
        <v>0.99506700000000003</v>
      </c>
      <c r="Y224">
        <v>-8.7694469999999997E-2</v>
      </c>
      <c r="Z224">
        <v>3.3229470000000001E-3</v>
      </c>
      <c r="AA224">
        <v>0.99614190000000002</v>
      </c>
      <c r="AB224">
        <v>47</v>
      </c>
      <c r="AC224">
        <v>15.3226999999999</v>
      </c>
      <c r="AD224">
        <v>-1.1087199999999999</v>
      </c>
      <c r="AE224">
        <v>1.33659999999997</v>
      </c>
      <c r="AF224">
        <v>-1.38376727600769</v>
      </c>
      <c r="AG224">
        <v>-1.1087199999999999</v>
      </c>
      <c r="AH224">
        <v>15.2386788544525</v>
      </c>
      <c r="AI224">
        <v>94.144342690250397</v>
      </c>
      <c r="AJ224">
        <v>95.188584780135798</v>
      </c>
      <c r="AK224">
        <v>15.341492924148101</v>
      </c>
    </row>
    <row r="225" spans="1:37" x14ac:dyDescent="0.2">
      <c r="A225" t="str">
        <f>"20200111154033299"</f>
        <v>20200111154033299</v>
      </c>
      <c r="B225" t="str">
        <f>"1578728433286861"</f>
        <v>1578728433286861</v>
      </c>
      <c r="C225" t="s">
        <v>37</v>
      </c>
      <c r="D225">
        <v>5.0309169999999996</v>
      </c>
      <c r="E225">
        <v>0.49830790000000003</v>
      </c>
      <c r="F225" t="s">
        <v>40</v>
      </c>
      <c r="G225">
        <v>-399.99680000000001</v>
      </c>
      <c r="H225">
        <v>-0.05</v>
      </c>
      <c r="I225">
        <v>368.83670000000001</v>
      </c>
      <c r="J225">
        <v>-415.59960000000001</v>
      </c>
      <c r="K225">
        <v>1.058775</v>
      </c>
      <c r="L225">
        <v>367.46679999999998</v>
      </c>
      <c r="M225">
        <v>0.999969199999999</v>
      </c>
      <c r="N225">
        <v>0</v>
      </c>
      <c r="O225">
        <v>-3.8052889999999999E-3</v>
      </c>
      <c r="P225">
        <v>0.99566149999999998</v>
      </c>
      <c r="Q225">
        <v>3.6475599999999997E-2</v>
      </c>
      <c r="R225">
        <v>8.5603650000000003E-2</v>
      </c>
      <c r="S225">
        <v>2.9982599999999899</v>
      </c>
      <c r="T225">
        <v>-0.20688889999999999</v>
      </c>
      <c r="U225">
        <v>0.25527949999999999</v>
      </c>
      <c r="V225">
        <v>-8.9351669999999994E-2</v>
      </c>
      <c r="W225">
        <v>4.3395549999999998E-2</v>
      </c>
      <c r="X225">
        <v>0.99505429999999995</v>
      </c>
      <c r="Y225">
        <v>-8.8408940000000005E-2</v>
      </c>
      <c r="Z225">
        <v>3.3029449999999998E-3</v>
      </c>
      <c r="AA225">
        <v>0.99607880000000004</v>
      </c>
      <c r="AB225">
        <v>47</v>
      </c>
      <c r="AC225">
        <v>15.6028</v>
      </c>
      <c r="AD225">
        <v>-1.1087750000000001</v>
      </c>
      <c r="AE225">
        <v>1.3699000000000201</v>
      </c>
      <c r="AF225">
        <v>-1.42213794217497</v>
      </c>
      <c r="AG225">
        <v>-1.1087750000000001</v>
      </c>
      <c r="AH225">
        <v>15.519700804217001</v>
      </c>
      <c r="AI225">
        <v>94.069451065329602</v>
      </c>
      <c r="AJ225">
        <v>95.235640785320797</v>
      </c>
      <c r="AK225">
        <v>15.6241150590877</v>
      </c>
    </row>
    <row r="226" spans="1:37" x14ac:dyDescent="0.2">
      <c r="A226" t="str">
        <f>"20200111154033323"</f>
        <v>20200111154033323</v>
      </c>
      <c r="B226" t="str">
        <f>"1578728433317114"</f>
        <v>1578728433317114</v>
      </c>
      <c r="C226" t="s">
        <v>37</v>
      </c>
      <c r="D226">
        <v>5.0508119999999996</v>
      </c>
      <c r="E226">
        <v>0.49884399999999901</v>
      </c>
      <c r="F226" t="s">
        <v>39</v>
      </c>
      <c r="G226">
        <v>-399.79930000000002</v>
      </c>
      <c r="H226" s="1">
        <v>-2.7599989999999999E-7</v>
      </c>
      <c r="I226">
        <v>368.7833</v>
      </c>
      <c r="J226">
        <v>-415.0856</v>
      </c>
      <c r="K226">
        <v>1.0588309999999901</v>
      </c>
      <c r="L226">
        <v>367.46460000000002</v>
      </c>
      <c r="M226">
        <v>0.99996430000000003</v>
      </c>
      <c r="N226">
        <v>0</v>
      </c>
      <c r="O226">
        <v>-4.0933039999999999E-3</v>
      </c>
      <c r="P226">
        <v>0.995851499999999</v>
      </c>
      <c r="Q226">
        <v>3.629665E-2</v>
      </c>
      <c r="R226">
        <v>8.3442669999999997E-2</v>
      </c>
      <c r="S226">
        <v>2.9989319999999999</v>
      </c>
      <c r="T226">
        <v>-0.20095629999999901</v>
      </c>
      <c r="U226">
        <v>0.24987789999999999</v>
      </c>
      <c r="V226">
        <v>-8.7477869999999999E-2</v>
      </c>
      <c r="W226">
        <v>4.3744249999999998E-2</v>
      </c>
      <c r="X226">
        <v>0.99520549999999997</v>
      </c>
      <c r="Y226">
        <v>-8.6910459999999995E-2</v>
      </c>
      <c r="Z226">
        <v>3.1771579999999998E-3</v>
      </c>
      <c r="AA226">
        <v>0.99621109999999902</v>
      </c>
      <c r="AB226">
        <v>47</v>
      </c>
      <c r="AC226">
        <v>15.286299999999899</v>
      </c>
      <c r="AD226">
        <v>-1.0588312759998999</v>
      </c>
      <c r="AE226">
        <v>1.31869999999997</v>
      </c>
      <c r="AF226">
        <v>-1.3747151478724799</v>
      </c>
      <c r="AG226">
        <v>-1.0588312759998999</v>
      </c>
      <c r="AH226">
        <v>15.2083452424681</v>
      </c>
      <c r="AI226">
        <v>93.966485003940207</v>
      </c>
      <c r="AJ226">
        <v>95.165052244930393</v>
      </c>
      <c r="AK226">
        <v>15.3070157255727</v>
      </c>
    </row>
    <row r="227" spans="1:37" x14ac:dyDescent="0.2">
      <c r="A227" t="str">
        <f>"20200111154033345"</f>
        <v>20200111154033345</v>
      </c>
      <c r="B227" t="str">
        <f>"1578728433336637"</f>
        <v>1578728433336637</v>
      </c>
      <c r="C227" t="s">
        <v>37</v>
      </c>
      <c r="D227">
        <v>5.079307</v>
      </c>
      <c r="E227">
        <v>0.4987991</v>
      </c>
      <c r="F227" t="s">
        <v>39</v>
      </c>
      <c r="G227">
        <v>-399.46210000000002</v>
      </c>
      <c r="H227" s="1">
        <v>-4.1004150000000003E-7</v>
      </c>
      <c r="I227">
        <v>368.71080000000001</v>
      </c>
      <c r="J227">
        <v>-414.62909999999999</v>
      </c>
      <c r="K227">
        <v>1.0588919999999999</v>
      </c>
      <c r="L227">
        <v>367.46249999999998</v>
      </c>
      <c r="M227">
        <v>0.99995909999999999</v>
      </c>
      <c r="N227">
        <v>0</v>
      </c>
      <c r="O227">
        <v>-4.3632719999999996E-3</v>
      </c>
      <c r="P227">
        <v>0.99599680000000002</v>
      </c>
      <c r="Q227">
        <v>3.6101319999999999E-2</v>
      </c>
      <c r="R227">
        <v>8.1772869999999998E-2</v>
      </c>
      <c r="S227">
        <v>2.9998469999999999</v>
      </c>
      <c r="T227">
        <v>-0.20330329999999999</v>
      </c>
      <c r="U227">
        <v>0.23928829999999901</v>
      </c>
      <c r="V227">
        <v>-8.6077119999999993E-2</v>
      </c>
      <c r="W227">
        <v>4.406533E-2</v>
      </c>
      <c r="X227">
        <v>0.99531349999999996</v>
      </c>
      <c r="Y227">
        <v>-8.3662470000000003E-2</v>
      </c>
      <c r="Z227">
        <v>3.1221509999999901E-3</v>
      </c>
      <c r="AA227">
        <v>0.99648930000000002</v>
      </c>
      <c r="AB227">
        <v>47</v>
      </c>
      <c r="AC227">
        <v>15.1669999999999</v>
      </c>
      <c r="AD227">
        <v>-1.0588924100415</v>
      </c>
      <c r="AE227">
        <v>1.2483000000000199</v>
      </c>
      <c r="AF227">
        <v>-1.3081347161207799</v>
      </c>
      <c r="AG227">
        <v>-1.0588924100415</v>
      </c>
      <c r="AH227">
        <v>15.088359753335</v>
      </c>
      <c r="AI227">
        <v>93.999448964994997</v>
      </c>
      <c r="AJ227">
        <v>94.955054818240498</v>
      </c>
      <c r="AK227">
        <v>15.181932341359699</v>
      </c>
    </row>
    <row r="228" spans="1:37" x14ac:dyDescent="0.2">
      <c r="A228" t="str">
        <f>"20200111154033367"</f>
        <v>20200111154033367</v>
      </c>
      <c r="B228" t="str">
        <f>"1578728433357154"</f>
        <v>1578728433357154</v>
      </c>
      <c r="C228" t="s">
        <v>37</v>
      </c>
      <c r="D228">
        <v>5.009843</v>
      </c>
      <c r="E228">
        <v>0.49888169999999998</v>
      </c>
      <c r="F228" t="s">
        <v>39</v>
      </c>
      <c r="G228">
        <v>-399.22</v>
      </c>
      <c r="H228" s="1">
        <v>-5.04454E-7</v>
      </c>
      <c r="I228">
        <v>368.66559999999998</v>
      </c>
      <c r="J228">
        <v>-414.15679999999998</v>
      </c>
      <c r="K228">
        <v>1.0589469999999901</v>
      </c>
      <c r="L228">
        <v>367.46019999999999</v>
      </c>
      <c r="M228">
        <v>0.99995349999999905</v>
      </c>
      <c r="N228">
        <v>0</v>
      </c>
      <c r="O228">
        <v>-4.6412140000000003E-3</v>
      </c>
      <c r="P228">
        <v>0.99606740000000005</v>
      </c>
      <c r="Q228">
        <v>3.5951799999999999E-2</v>
      </c>
      <c r="R228">
        <v>8.0978229999999998E-2</v>
      </c>
      <c r="S228">
        <v>3.000305</v>
      </c>
      <c r="T228">
        <v>-0.20617550000000001</v>
      </c>
      <c r="U228">
        <v>0.23425289999999999</v>
      </c>
      <c r="V228">
        <v>-8.5558809999999999E-2</v>
      </c>
      <c r="W228">
        <v>4.4450719999999999E-2</v>
      </c>
      <c r="X228">
        <v>0.99534109999999998</v>
      </c>
      <c r="Y228">
        <v>-8.2262210000000002E-2</v>
      </c>
      <c r="Z228">
        <v>3.136954E-3</v>
      </c>
      <c r="AA228">
        <v>0.99660579999999999</v>
      </c>
      <c r="AB228">
        <v>47</v>
      </c>
      <c r="AC228">
        <v>14.9367999999999</v>
      </c>
      <c r="AD228">
        <v>-1.05894750445399</v>
      </c>
      <c r="AE228">
        <v>1.20539999999999</v>
      </c>
      <c r="AF228">
        <v>-1.2683805815231</v>
      </c>
      <c r="AG228">
        <v>-1.05894750445399</v>
      </c>
      <c r="AH228">
        <v>14.8568550628257</v>
      </c>
      <c r="AI228">
        <v>94.062231477172404</v>
      </c>
      <c r="AJ228">
        <v>94.879704373963904</v>
      </c>
      <c r="AK228">
        <v>14.948454818963199</v>
      </c>
    </row>
    <row r="229" spans="1:37" x14ac:dyDescent="0.2">
      <c r="A229" t="str">
        <f>"20200111154033389"</f>
        <v>20200111154033389</v>
      </c>
      <c r="B229" t="str">
        <f>"1578728433376674"</f>
        <v>1578728433376674</v>
      </c>
      <c r="C229" t="s">
        <v>37</v>
      </c>
      <c r="D229">
        <v>5.1519890000000004</v>
      </c>
      <c r="E229">
        <v>0.4990174</v>
      </c>
      <c r="F229" t="s">
        <v>39</v>
      </c>
      <c r="G229">
        <v>-398.86939999999998</v>
      </c>
      <c r="H229" s="1">
        <v>-6.4113579999999899E-7</v>
      </c>
      <c r="I229">
        <v>368.63639999999998</v>
      </c>
      <c r="J229">
        <v>-413.70960000000002</v>
      </c>
      <c r="K229">
        <v>1.0589959999999901</v>
      </c>
      <c r="L229">
        <v>367.4579</v>
      </c>
      <c r="M229">
        <v>0.99994819999999995</v>
      </c>
      <c r="N229">
        <v>0</v>
      </c>
      <c r="O229">
        <v>-4.887593E-3</v>
      </c>
      <c r="P229">
        <v>0.99611559999999899</v>
      </c>
      <c r="Q229">
        <v>3.5619739999999997E-2</v>
      </c>
      <c r="R229">
        <v>8.0531309999999995E-2</v>
      </c>
      <c r="S229">
        <v>3.0005799999999998</v>
      </c>
      <c r="T229">
        <v>-0.20784829999999899</v>
      </c>
      <c r="U229">
        <v>0.2308655</v>
      </c>
      <c r="V229">
        <v>-8.5357989999999995E-2</v>
      </c>
      <c r="W229">
        <v>4.4592680000000003E-2</v>
      </c>
      <c r="X229">
        <v>0.99535200000000001</v>
      </c>
      <c r="Y229">
        <v>-8.1380499999999995E-2</v>
      </c>
      <c r="Z229">
        <v>3.1487619999999998E-3</v>
      </c>
      <c r="AA229">
        <v>0.99667809999999901</v>
      </c>
      <c r="AB229">
        <v>47</v>
      </c>
      <c r="AC229">
        <v>14.840199999999999</v>
      </c>
      <c r="AD229">
        <v>-1.0589966411357901</v>
      </c>
      <c r="AE229">
        <v>1.1784999999999799</v>
      </c>
      <c r="AF229">
        <v>-1.24472295349054</v>
      </c>
      <c r="AG229">
        <v>-1.0589966411357901</v>
      </c>
      <c r="AH229">
        <v>14.759574053684201</v>
      </c>
      <c r="AI229">
        <v>94.089461525268703</v>
      </c>
      <c r="AJ229">
        <v>94.820533263118406</v>
      </c>
      <c r="AK229">
        <v>14.8497755997548</v>
      </c>
    </row>
    <row r="230" spans="1:37" x14ac:dyDescent="0.2">
      <c r="A230" t="str">
        <f>"20200111154033411"</f>
        <v>20200111154033411</v>
      </c>
      <c r="B230" t="str">
        <f>"1578728433406927"</f>
        <v>1578728433406927</v>
      </c>
      <c r="C230" t="s">
        <v>37</v>
      </c>
      <c r="D230">
        <v>5.0729509999999998</v>
      </c>
      <c r="E230">
        <v>0.53013520000000003</v>
      </c>
      <c r="F230" t="s">
        <v>39</v>
      </c>
      <c r="G230">
        <v>-398.55579999999998</v>
      </c>
      <c r="H230" s="1">
        <v>-7.7989259999999999E-7</v>
      </c>
      <c r="I230">
        <v>368.61270000000002</v>
      </c>
      <c r="J230">
        <v>-413.23079999999999</v>
      </c>
      <c r="K230">
        <v>1.0590469999999901</v>
      </c>
      <c r="L230">
        <v>367.4554</v>
      </c>
      <c r="M230">
        <v>0.99994289999999997</v>
      </c>
      <c r="N230">
        <v>0</v>
      </c>
      <c r="O230">
        <v>-5.1069399999999999E-3</v>
      </c>
      <c r="P230">
        <v>0.99620209999999998</v>
      </c>
      <c r="Q230">
        <v>3.4212770000000003E-2</v>
      </c>
      <c r="R230">
        <v>8.0068299999999995E-2</v>
      </c>
      <c r="S230">
        <v>3.000702</v>
      </c>
      <c r="T230">
        <v>-0.2096982</v>
      </c>
      <c r="U230">
        <v>0.22866819999999999</v>
      </c>
      <c r="V230">
        <v>-8.5117120000000004E-2</v>
      </c>
      <c r="W230">
        <v>4.3641840000000001E-2</v>
      </c>
      <c r="X230">
        <v>0.99541469999999899</v>
      </c>
      <c r="Y230">
        <v>-8.0867530000000007E-2</v>
      </c>
      <c r="Z230">
        <v>3.1740940000000001E-3</v>
      </c>
      <c r="AA230">
        <v>0.99671980000000004</v>
      </c>
      <c r="AB230">
        <v>47</v>
      </c>
      <c r="AC230">
        <v>14.675000000000001</v>
      </c>
      <c r="AD230">
        <v>-1.0590477798925999</v>
      </c>
      <c r="AE230">
        <v>1.15730000000002</v>
      </c>
      <c r="AF230">
        <v>-1.2258875347515901</v>
      </c>
      <c r="AG230">
        <v>-1.0590477798925999</v>
      </c>
      <c r="AH230">
        <v>14.5933649195782</v>
      </c>
      <c r="AI230">
        <v>94.136189936269403</v>
      </c>
      <c r="AJ230">
        <v>94.801748326842301</v>
      </c>
      <c r="AK230">
        <v>14.6830065764451</v>
      </c>
    </row>
    <row r="231" spans="1:37" x14ac:dyDescent="0.2">
      <c r="A231" t="str">
        <f>"20200111154033436"</f>
        <v>20200111154033436</v>
      </c>
      <c r="B231" t="str">
        <f>"1578728433426446"</f>
        <v>1578728433426446</v>
      </c>
      <c r="C231" t="s">
        <v>37</v>
      </c>
      <c r="D231">
        <v>5.096031</v>
      </c>
      <c r="E231">
        <v>0.53046210000000005</v>
      </c>
      <c r="F231" t="s">
        <v>39</v>
      </c>
      <c r="G231">
        <v>-397.18950000000001</v>
      </c>
      <c r="H231" s="1">
        <v>-1.589376E-6</v>
      </c>
      <c r="I231">
        <v>367.3535</v>
      </c>
      <c r="J231">
        <v>-412.71879999999999</v>
      </c>
      <c r="K231">
        <v>1.059113</v>
      </c>
      <c r="L231">
        <v>367.45249999999999</v>
      </c>
      <c r="M231">
        <v>0.99993790000000005</v>
      </c>
      <c r="N231">
        <v>0</v>
      </c>
      <c r="O231">
        <v>-5.2617219999999999E-3</v>
      </c>
      <c r="P231">
        <v>0.9962799</v>
      </c>
      <c r="Q231">
        <v>3.178599E-2</v>
      </c>
      <c r="R231">
        <v>8.0101820000000004E-2</v>
      </c>
      <c r="S231">
        <v>3.0198669999999899</v>
      </c>
      <c r="T231">
        <v>-0.19937160000000001</v>
      </c>
      <c r="U231">
        <v>-1.9165040000000001E-2</v>
      </c>
      <c r="V231">
        <v>-8.5312369999999998E-2</v>
      </c>
      <c r="W231">
        <v>4.1642850000000002E-2</v>
      </c>
      <c r="X231">
        <v>0.99548359999999902</v>
      </c>
      <c r="Y231">
        <v>1.0933080000000001E-3</v>
      </c>
      <c r="Z231">
        <v>3.1096139999999998E-4</v>
      </c>
      <c r="AA231">
        <v>0.99999930000000004</v>
      </c>
      <c r="AB231">
        <v>47</v>
      </c>
      <c r="AC231">
        <v>15.5292999999999</v>
      </c>
      <c r="AD231">
        <v>-1.0591145893759999</v>
      </c>
      <c r="AE231">
        <v>-9.8999999999989499E-2</v>
      </c>
      <c r="AF231">
        <v>1.7203808442786801E-2</v>
      </c>
      <c r="AG231">
        <v>-1.0591145893759999</v>
      </c>
      <c r="AH231">
        <v>15.457709133334101</v>
      </c>
      <c r="AI231">
        <v>93.919601850884604</v>
      </c>
      <c r="AJ231">
        <v>89.936232128588401</v>
      </c>
      <c r="AK231">
        <v>15.4939598339228</v>
      </c>
    </row>
    <row r="232" spans="1:37" x14ac:dyDescent="0.2">
      <c r="A232" t="str">
        <f>"20200111154033457"</f>
        <v>20200111154033457</v>
      </c>
      <c r="B232" t="str">
        <f>"1578728433446942"</f>
        <v>1578728433446942</v>
      </c>
      <c r="C232" t="s">
        <v>37</v>
      </c>
      <c r="D232">
        <v>5.1333419999999998</v>
      </c>
      <c r="E232">
        <v>0.53028149999999996</v>
      </c>
      <c r="F232" t="s">
        <v>39</v>
      </c>
      <c r="G232">
        <v>-396.31259999999997</v>
      </c>
      <c r="H232" s="1">
        <v>-1.968104E-6</v>
      </c>
      <c r="I232">
        <v>367.33940000000001</v>
      </c>
      <c r="J232">
        <v>-412.2473</v>
      </c>
      <c r="K232">
        <v>1.0591930000000001</v>
      </c>
      <c r="L232">
        <v>367.44990000000001</v>
      </c>
      <c r="M232">
        <v>0.99993399999999999</v>
      </c>
      <c r="N232">
        <v>0</v>
      </c>
      <c r="O232">
        <v>-5.3097090000000001E-3</v>
      </c>
      <c r="P232">
        <v>0.99631419999999904</v>
      </c>
      <c r="Q232">
        <v>2.932065E-2</v>
      </c>
      <c r="R232">
        <v>8.0612870000000003E-2</v>
      </c>
      <c r="S232">
        <v>3.019104</v>
      </c>
      <c r="T232">
        <v>-0.19489879999999901</v>
      </c>
      <c r="U232">
        <v>-2.081299E-2</v>
      </c>
      <c r="V232">
        <v>-8.5880380000000006E-2</v>
      </c>
      <c r="W232">
        <v>3.9518860000000003E-2</v>
      </c>
      <c r="X232">
        <v>0.9955214</v>
      </c>
      <c r="Y232">
        <v>1.5913829999999901E-3</v>
      </c>
      <c r="Z232">
        <v>2.9111179999999999E-4</v>
      </c>
      <c r="AA232">
        <v>0.99999869999999902</v>
      </c>
      <c r="AB232">
        <v>47</v>
      </c>
      <c r="AC232">
        <v>15.934699999999999</v>
      </c>
      <c r="AD232">
        <v>-1.059194968104</v>
      </c>
      <c r="AE232">
        <v>-0.110500000000001</v>
      </c>
      <c r="AF232">
        <v>2.5771567164594101E-2</v>
      </c>
      <c r="AG232">
        <v>-1.059194968104</v>
      </c>
      <c r="AH232">
        <v>15.864967862173</v>
      </c>
      <c r="AI232">
        <v>93.819572463177906</v>
      </c>
      <c r="AJ232">
        <v>89.906926963610005</v>
      </c>
      <c r="AK232">
        <v>15.900307022882</v>
      </c>
    </row>
    <row r="233" spans="1:37" x14ac:dyDescent="0.2">
      <c r="A233" t="str">
        <f>"20200111154033478"</f>
        <v>20200111154033478</v>
      </c>
      <c r="B233" t="str">
        <f>"1578728433466462"</f>
        <v>1578728433466462</v>
      </c>
      <c r="C233" t="s">
        <v>37</v>
      </c>
      <c r="D233">
        <v>5.1024580000000004</v>
      </c>
      <c r="E233">
        <v>0.52984929999999997</v>
      </c>
      <c r="F233" t="s">
        <v>39</v>
      </c>
      <c r="G233">
        <v>-396.43220000000002</v>
      </c>
      <c r="H233" s="1">
        <v>-1.9135890000000001E-6</v>
      </c>
      <c r="I233">
        <v>367.35730000000001</v>
      </c>
      <c r="J233">
        <v>-411.81810000000002</v>
      </c>
      <c r="K233">
        <v>1.059291</v>
      </c>
      <c r="L233">
        <v>367.44760000000002</v>
      </c>
      <c r="M233">
        <v>0.99993129999999997</v>
      </c>
      <c r="N233">
        <v>0</v>
      </c>
      <c r="O233">
        <v>-5.2569039999999997E-3</v>
      </c>
      <c r="P233">
        <v>0.99646970000000001</v>
      </c>
      <c r="Q233">
        <v>2.6788909999999999E-2</v>
      </c>
      <c r="R233">
        <v>7.9566230000000002E-2</v>
      </c>
      <c r="S233">
        <v>3.0184329999999999</v>
      </c>
      <c r="T233">
        <v>-0.202154799999999</v>
      </c>
      <c r="U233">
        <v>-1.766968E-2</v>
      </c>
      <c r="V233">
        <v>-8.479159E-2</v>
      </c>
      <c r="W233">
        <v>3.7258409999999999E-2</v>
      </c>
      <c r="X233">
        <v>0.99570179999999997</v>
      </c>
      <c r="Y233">
        <v>6.0705779999999999E-4</v>
      </c>
      <c r="Z233">
        <v>3.313872E-4</v>
      </c>
      <c r="AA233">
        <v>0.99999979999999999</v>
      </c>
      <c r="AB233">
        <v>47</v>
      </c>
      <c r="AC233">
        <v>15.3858999999999</v>
      </c>
      <c r="AD233">
        <v>-1.0592929135889999</v>
      </c>
      <c r="AE233">
        <v>-9.03000000000133E-2</v>
      </c>
      <c r="AF233">
        <v>9.3677114496575897E-3</v>
      </c>
      <c r="AG233">
        <v>-1.0592929135889999</v>
      </c>
      <c r="AH233">
        <v>15.3135769163405</v>
      </c>
      <c r="AI233">
        <v>93.957042470088496</v>
      </c>
      <c r="AJ233">
        <v>89.964950692725495</v>
      </c>
      <c r="AK233">
        <v>15.3501735235624</v>
      </c>
    </row>
    <row r="234" spans="1:37" x14ac:dyDescent="0.2">
      <c r="A234" t="str">
        <f>"20200111154033501"</f>
        <v>20200111154033501</v>
      </c>
      <c r="B234" t="str">
        <f>"1578728433496719"</f>
        <v>1578728433496719</v>
      </c>
      <c r="C234" t="s">
        <v>37</v>
      </c>
      <c r="D234">
        <v>5.0770759999999999</v>
      </c>
      <c r="E234">
        <v>0.52937129999999999</v>
      </c>
      <c r="F234" t="s">
        <v>39</v>
      </c>
      <c r="G234">
        <v>-396.31079999999997</v>
      </c>
      <c r="H234" s="1">
        <v>-1.9646830000000002E-6</v>
      </c>
      <c r="I234">
        <v>367.36290000000002</v>
      </c>
      <c r="J234">
        <v>-411.346</v>
      </c>
      <c r="K234">
        <v>1.059426</v>
      </c>
      <c r="L234">
        <v>367.4452</v>
      </c>
      <c r="M234">
        <v>0.99992909999999902</v>
      </c>
      <c r="N234">
        <v>0</v>
      </c>
      <c r="O234">
        <v>-5.0955820000000004E-3</v>
      </c>
      <c r="P234">
        <v>0.996641</v>
      </c>
      <c r="Q234">
        <v>2.5803400000000001E-2</v>
      </c>
      <c r="R234">
        <v>7.7724810000000005E-2</v>
      </c>
      <c r="S234">
        <v>3.017487</v>
      </c>
      <c r="T234">
        <v>-0.206121999999999</v>
      </c>
      <c r="U234">
        <v>-1.6479489999999999E-2</v>
      </c>
      <c r="V234">
        <v>-8.2800020000000002E-2</v>
      </c>
      <c r="W234">
        <v>3.6534589999999999E-2</v>
      </c>
      <c r="X234">
        <v>0.99589629999999996</v>
      </c>
      <c r="Y234">
        <v>3.7637510000000001E-4</v>
      </c>
      <c r="Z234">
        <v>3.3484519999999899E-4</v>
      </c>
      <c r="AA234">
        <v>0.99999989999999905</v>
      </c>
      <c r="AB234">
        <v>47</v>
      </c>
      <c r="AC234">
        <v>15.0352</v>
      </c>
      <c r="AD234">
        <v>-1.059427964683</v>
      </c>
      <c r="AE234">
        <v>-8.2299999999975101E-2</v>
      </c>
      <c r="AF234">
        <v>5.6533312073362403E-3</v>
      </c>
      <c r="AG234">
        <v>-1.059427964683</v>
      </c>
      <c r="AH234">
        <v>14.961143432954801</v>
      </c>
      <c r="AI234">
        <v>94.0504653429157</v>
      </c>
      <c r="AJ234">
        <v>89.978349782929001</v>
      </c>
      <c r="AK234">
        <v>14.998607681846799</v>
      </c>
    </row>
    <row r="235" spans="1:37" x14ac:dyDescent="0.2">
      <c r="A235" t="str">
        <f>"20200111154033524"</f>
        <v>20200111154033524</v>
      </c>
      <c r="B235" t="str">
        <f>"1578728433516239"</f>
        <v>1578728433516239</v>
      </c>
      <c r="C235" t="s">
        <v>37</v>
      </c>
      <c r="D235">
        <v>5.1591019999999999</v>
      </c>
      <c r="E235">
        <v>0.52906779999999998</v>
      </c>
      <c r="F235" t="s">
        <v>39</v>
      </c>
      <c r="G235">
        <v>-396.2353</v>
      </c>
      <c r="H235" s="1">
        <v>-1.9982260000000001E-6</v>
      </c>
      <c r="I235">
        <v>367.35629999999998</v>
      </c>
      <c r="J235">
        <v>-410.8648</v>
      </c>
      <c r="K235">
        <v>1.059561</v>
      </c>
      <c r="L235">
        <v>367.44290000000001</v>
      </c>
      <c r="M235">
        <v>0.99992760000000003</v>
      </c>
      <c r="N235">
        <v>0</v>
      </c>
      <c r="O235">
        <v>-4.8310209999999996E-3</v>
      </c>
      <c r="P235">
        <v>0.99670110000000001</v>
      </c>
      <c r="Q235">
        <v>2.7019850000000002E-2</v>
      </c>
      <c r="R235">
        <v>7.6530230000000005E-2</v>
      </c>
      <c r="S235">
        <v>3.0169980000000001</v>
      </c>
      <c r="T235">
        <v>-0.2115244</v>
      </c>
      <c r="U235">
        <v>-1.773071E-2</v>
      </c>
      <c r="V235">
        <v>-8.1352369999999993E-2</v>
      </c>
      <c r="W235">
        <v>3.7983160000000002E-2</v>
      </c>
      <c r="X235">
        <v>0.9959614</v>
      </c>
      <c r="Y235">
        <v>1.0548070000000001E-3</v>
      </c>
      <c r="Z235">
        <v>3.0137639999999998E-4</v>
      </c>
      <c r="AA235">
        <v>0.99999939999999998</v>
      </c>
      <c r="AB235">
        <v>47</v>
      </c>
      <c r="AC235">
        <v>14.6295</v>
      </c>
      <c r="AD235">
        <v>-1.059562998226</v>
      </c>
      <c r="AE235">
        <v>-8.6600000000032595E-2</v>
      </c>
      <c r="AF235">
        <v>1.5836207823633399E-2</v>
      </c>
      <c r="AG235">
        <v>-1.059562998226</v>
      </c>
      <c r="AH235">
        <v>14.553409065464299</v>
      </c>
      <c r="AI235">
        <v>94.164077858330799</v>
      </c>
      <c r="AJ235">
        <v>89.937653953820103</v>
      </c>
      <c r="AK235">
        <v>14.5919374984759</v>
      </c>
    </row>
    <row r="236" spans="1:37" x14ac:dyDescent="0.2">
      <c r="A236" t="str">
        <f>"20200111154033546"</f>
        <v>20200111154033546</v>
      </c>
      <c r="B236" t="str">
        <f>"1578728433536738"</f>
        <v>1578728433536738</v>
      </c>
      <c r="C236" t="s">
        <v>37</v>
      </c>
      <c r="D236">
        <v>5.1868059999999998</v>
      </c>
      <c r="E236">
        <v>0.52896580000000004</v>
      </c>
      <c r="F236" t="s">
        <v>38</v>
      </c>
      <c r="G236">
        <v>-409.72730000000001</v>
      </c>
      <c r="H236">
        <v>0.98268650000000002</v>
      </c>
      <c r="I236">
        <v>367.43579999999997</v>
      </c>
      <c r="J236">
        <v>-410.39080000000001</v>
      </c>
      <c r="K236">
        <v>1.0596840000000001</v>
      </c>
      <c r="L236">
        <v>367.4409</v>
      </c>
      <c r="M236">
        <v>0.99992689999999995</v>
      </c>
      <c r="N236">
        <v>0</v>
      </c>
      <c r="O236">
        <v>-4.48459599999999E-3</v>
      </c>
      <c r="P236">
        <v>0.99660249999999995</v>
      </c>
      <c r="Q236">
        <v>3.0028030000000001E-2</v>
      </c>
      <c r="R236">
        <v>7.6695639999999995E-2</v>
      </c>
      <c r="S236">
        <v>3.0168759999999999</v>
      </c>
      <c r="T236">
        <v>-0.20396229999999901</v>
      </c>
      <c r="U236">
        <v>-1.843262E-2</v>
      </c>
      <c r="V236">
        <v>-8.1182009999999999E-2</v>
      </c>
      <c r="W236">
        <v>4.1187380000000003E-2</v>
      </c>
      <c r="X236">
        <v>0.99584789999999901</v>
      </c>
      <c r="Y236">
        <v>1.6313789999999901E-3</v>
      </c>
      <c r="Z236">
        <v>2.4777650000000002E-4</v>
      </c>
      <c r="AA236">
        <v>0.99999859999999896</v>
      </c>
      <c r="AB236">
        <v>47</v>
      </c>
      <c r="AC236">
        <v>0.66349999999999898</v>
      </c>
      <c r="AD236">
        <v>-7.6997499999999997E-2</v>
      </c>
      <c r="AE236">
        <v>-5.1000000000271904E-3</v>
      </c>
      <c r="AF236">
        <v>2.0960063780484099E-3</v>
      </c>
      <c r="AG236">
        <v>-7.6997499999999997E-2</v>
      </c>
      <c r="AH236">
        <v>0.65469986691612603</v>
      </c>
      <c r="AI236">
        <v>96.707557233279601</v>
      </c>
      <c r="AJ236">
        <v>89.816569522811506</v>
      </c>
      <c r="AK236">
        <v>0.659215385127638</v>
      </c>
    </row>
    <row r="237" spans="1:37" x14ac:dyDescent="0.2">
      <c r="A237" t="str">
        <f>"20200111154033567"</f>
        <v>20200111154033567</v>
      </c>
      <c r="B237" t="str">
        <f>"1578728433556745"</f>
        <v>1578728433556745</v>
      </c>
      <c r="C237" t="s">
        <v>37</v>
      </c>
      <c r="D237">
        <v>5.1933590000000001</v>
      </c>
      <c r="E237">
        <v>0.52871849999999998</v>
      </c>
      <c r="F237" t="s">
        <v>38</v>
      </c>
      <c r="G237">
        <v>-409.29849999999999</v>
      </c>
      <c r="H237">
        <v>0.99080249999999903</v>
      </c>
      <c r="I237">
        <v>367.43470000000002</v>
      </c>
      <c r="J237">
        <v>-409.93790000000001</v>
      </c>
      <c r="K237">
        <v>1.0597840000000001</v>
      </c>
      <c r="L237">
        <v>367.4391</v>
      </c>
      <c r="M237">
        <v>0.99992639999999999</v>
      </c>
      <c r="N237">
        <v>0</v>
      </c>
      <c r="O237">
        <v>-4.1047649999999998E-3</v>
      </c>
      <c r="P237">
        <v>0.99650269999999996</v>
      </c>
      <c r="Q237">
        <v>3.3405909999999997E-2</v>
      </c>
      <c r="R237">
        <v>7.6594010000000004E-2</v>
      </c>
      <c r="S237">
        <v>3.0172119999999998</v>
      </c>
      <c r="T237">
        <v>-0.19050159999999999</v>
      </c>
      <c r="U237">
        <v>-1.6052250000000001E-2</v>
      </c>
      <c r="V237">
        <v>-8.0710009999999999E-2</v>
      </c>
      <c r="W237">
        <v>4.473415E-2</v>
      </c>
      <c r="X237">
        <v>0.99573330000000004</v>
      </c>
      <c r="Y237">
        <v>1.220874E-3</v>
      </c>
      <c r="Z237">
        <v>2.2042049999999999E-4</v>
      </c>
      <c r="AA237">
        <v>0.99999919999999998</v>
      </c>
      <c r="AB237">
        <v>47</v>
      </c>
      <c r="AC237">
        <v>0.63940000000002295</v>
      </c>
      <c r="AD237">
        <v>-6.8981500000000098E-2</v>
      </c>
      <c r="AE237">
        <v>-4.3999999999755303E-3</v>
      </c>
      <c r="AF237">
        <v>1.75478197357203E-3</v>
      </c>
      <c r="AG237">
        <v>-6.8981500000000098E-2</v>
      </c>
      <c r="AH237">
        <v>0.63205644471039002</v>
      </c>
      <c r="AI237">
        <v>96.228482698376695</v>
      </c>
      <c r="AJ237">
        <v>89.8409298037014</v>
      </c>
      <c r="AK237">
        <v>0.63581198156527596</v>
      </c>
    </row>
    <row r="238" spans="1:37" x14ac:dyDescent="0.2">
      <c r="A238" t="str">
        <f>"20200111154033589"</f>
        <v>20200111154033589</v>
      </c>
      <c r="B238" t="str">
        <f>"1578728433586998"</f>
        <v>1578728433586998</v>
      </c>
      <c r="C238" t="s">
        <v>37</v>
      </c>
      <c r="D238">
        <v>5.2005119999999998</v>
      </c>
      <c r="E238">
        <v>0.52820690000000003</v>
      </c>
      <c r="F238" t="s">
        <v>39</v>
      </c>
      <c r="G238">
        <v>-391.93079999999998</v>
      </c>
      <c r="H238" s="1">
        <v>-3.8445530000000002E-6</v>
      </c>
      <c r="I238">
        <v>367.358</v>
      </c>
      <c r="J238">
        <v>-409.46390000000002</v>
      </c>
      <c r="K238">
        <v>1.0597589999999999</v>
      </c>
      <c r="L238">
        <v>367.43740000000003</v>
      </c>
      <c r="M238">
        <v>0.99992979999999998</v>
      </c>
      <c r="N238">
        <v>0</v>
      </c>
      <c r="O238">
        <v>-3.6970100000000001E-3</v>
      </c>
      <c r="P238">
        <v>0.99642779999999997</v>
      </c>
      <c r="Q238">
        <v>3.4988249999999999E-2</v>
      </c>
      <c r="R238">
        <v>7.6861929999999995E-2</v>
      </c>
      <c r="S238">
        <v>3.0175480000000001</v>
      </c>
      <c r="T238">
        <v>-0.177593899999999</v>
      </c>
      <c r="U238">
        <v>-1.358032E-2</v>
      </c>
      <c r="V238">
        <v>-8.0577079999999995E-2</v>
      </c>
      <c r="W238">
        <v>4.6153659999999999E-2</v>
      </c>
      <c r="X238">
        <v>0.99567929999999905</v>
      </c>
      <c r="Y238">
        <v>8.0816579999999996E-4</v>
      </c>
      <c r="Z238">
        <v>1.936455E-4</v>
      </c>
      <c r="AA238">
        <v>0.99999959999999899</v>
      </c>
      <c r="AB238">
        <v>47</v>
      </c>
      <c r="AC238">
        <v>17.533100000000001</v>
      </c>
      <c r="AD238">
        <v>-1.0597628445530001</v>
      </c>
      <c r="AE238">
        <v>-7.9400000000020995E-2</v>
      </c>
      <c r="AF238">
        <v>1.4522248832082999E-2</v>
      </c>
      <c r="AG238">
        <v>-1.0597628445530001</v>
      </c>
      <c r="AH238">
        <v>17.4694517375261</v>
      </c>
      <c r="AI238">
        <v>93.471522593219504</v>
      </c>
      <c r="AJ238">
        <v>89.952370378420895</v>
      </c>
      <c r="AK238">
        <v>17.501572849094401</v>
      </c>
    </row>
    <row r="239" spans="1:37" x14ac:dyDescent="0.2">
      <c r="A239" t="str">
        <f>"20200111154033613"</f>
        <v>20200111154033613</v>
      </c>
      <c r="B239" t="str">
        <f>"1578728433606518"</f>
        <v>1578728433606518</v>
      </c>
      <c r="C239" t="s">
        <v>37</v>
      </c>
      <c r="D239">
        <v>5.2025940000000004</v>
      </c>
      <c r="E239">
        <v>0.52788449999999998</v>
      </c>
      <c r="F239" t="s">
        <v>39</v>
      </c>
      <c r="G239">
        <v>-390.76080000000002</v>
      </c>
      <c r="H239" s="1">
        <v>-4.341221E-6</v>
      </c>
      <c r="I239">
        <v>367.38760000000002</v>
      </c>
      <c r="J239">
        <v>-408.96960000000001</v>
      </c>
      <c r="K239">
        <v>1.059436</v>
      </c>
      <c r="L239">
        <v>367.43579999999997</v>
      </c>
      <c r="M239">
        <v>0.99994340000000004</v>
      </c>
      <c r="N239">
        <v>0</v>
      </c>
      <c r="O239">
        <v>-3.2999169999999999E-3</v>
      </c>
      <c r="P239">
        <v>0.99630090000000004</v>
      </c>
      <c r="Q239">
        <v>3.6357359999999998E-2</v>
      </c>
      <c r="R239">
        <v>7.7864779999999995E-2</v>
      </c>
      <c r="S239">
        <v>3.017395</v>
      </c>
      <c r="T239">
        <v>-0.1709726</v>
      </c>
      <c r="U239">
        <v>-8.0261229999999996E-3</v>
      </c>
      <c r="V239">
        <v>-8.1184409999999999E-2</v>
      </c>
      <c r="W239">
        <v>4.6381350000000002E-2</v>
      </c>
      <c r="X239">
        <v>0.99561939999999904</v>
      </c>
      <c r="Y239">
        <v>-6.3383690000000002E-4</v>
      </c>
      <c r="Z239">
        <v>2.0478289999999999E-4</v>
      </c>
      <c r="AA239">
        <v>0.99999979999999999</v>
      </c>
      <c r="AB239">
        <v>47</v>
      </c>
      <c r="AC239">
        <v>18.2088</v>
      </c>
      <c r="AD239">
        <v>-1.0594403412210001</v>
      </c>
      <c r="AE239">
        <v>-4.8199999999951601E-2</v>
      </c>
      <c r="AF239">
        <v>-1.18507476399739E-2</v>
      </c>
      <c r="AG239">
        <v>-1.0594403412210001</v>
      </c>
      <c r="AH239">
        <v>18.147426820280501</v>
      </c>
      <c r="AI239">
        <v>93.341114308592594</v>
      </c>
      <c r="AJ239">
        <v>90.037415647631505</v>
      </c>
      <c r="AK239">
        <v>18.178329254204399</v>
      </c>
    </row>
    <row r="240" spans="1:37" x14ac:dyDescent="0.2">
      <c r="A240" t="str">
        <f>"20200111154033636"</f>
        <v>20200111154033636</v>
      </c>
      <c r="B240" t="str">
        <f>"1578728433627014"</f>
        <v>1578728433627014</v>
      </c>
      <c r="C240" t="s">
        <v>37</v>
      </c>
      <c r="D240">
        <v>5.2297289999999998</v>
      </c>
      <c r="E240">
        <v>0.52762410000000004</v>
      </c>
      <c r="F240" t="s">
        <v>39</v>
      </c>
      <c r="G240">
        <v>-389.640999999999</v>
      </c>
      <c r="H240" s="1">
        <v>-6.9237719999999896E-7</v>
      </c>
      <c r="I240">
        <v>367.42090000000002</v>
      </c>
      <c r="J240">
        <v>-408.4699</v>
      </c>
      <c r="K240">
        <v>1.0590820000000001</v>
      </c>
      <c r="L240">
        <v>367.43430000000001</v>
      </c>
      <c r="M240">
        <v>0.99995750000000005</v>
      </c>
      <c r="N240">
        <v>0</v>
      </c>
      <c r="O240">
        <v>-2.9477869999999999E-3</v>
      </c>
      <c r="P240">
        <v>0.99619930000000001</v>
      </c>
      <c r="Q240">
        <v>3.6450980000000001E-2</v>
      </c>
      <c r="R240">
        <v>7.910992E-2</v>
      </c>
      <c r="S240">
        <v>3.0173649999999999</v>
      </c>
      <c r="T240">
        <v>-0.16538639999999999</v>
      </c>
      <c r="U240">
        <v>-2.319336E-3</v>
      </c>
      <c r="V240">
        <v>-8.2075540000000002E-2</v>
      </c>
      <c r="W240">
        <v>4.5100469999999997E-2</v>
      </c>
      <c r="X240">
        <v>0.99560509999999902</v>
      </c>
      <c r="Y240">
        <v>-2.1715549999999999E-3</v>
      </c>
      <c r="Z240">
        <v>2.20925999999999E-4</v>
      </c>
      <c r="AA240">
        <v>0.99999760000000004</v>
      </c>
      <c r="AB240">
        <v>48</v>
      </c>
      <c r="AC240">
        <v>18.828900000000001</v>
      </c>
      <c r="AD240">
        <v>-1.0590826923772001</v>
      </c>
      <c r="AE240">
        <v>-1.339999999999E-2</v>
      </c>
      <c r="AF240">
        <v>-4.1972968432284798E-2</v>
      </c>
      <c r="AG240">
        <v>-1.0590826923772001</v>
      </c>
      <c r="AH240">
        <v>18.769474742534101</v>
      </c>
      <c r="AI240">
        <v>93.229527764191502</v>
      </c>
      <c r="AJ240">
        <v>90.128126650802997</v>
      </c>
      <c r="AK240">
        <v>18.7993776490074</v>
      </c>
    </row>
    <row r="241" spans="1:37" x14ac:dyDescent="0.2">
      <c r="A241" t="str">
        <f>"20200111154033657"</f>
        <v>20200111154033657</v>
      </c>
      <c r="B241" t="str">
        <f>"1578728433646534"</f>
        <v>1578728433646534</v>
      </c>
      <c r="C241" t="s">
        <v>37</v>
      </c>
      <c r="D241">
        <v>5.214016</v>
      </c>
      <c r="E241">
        <v>0.52733109999999905</v>
      </c>
      <c r="F241" t="s">
        <v>39</v>
      </c>
      <c r="G241">
        <v>-389.42320000000001</v>
      </c>
      <c r="H241" s="1">
        <v>-7.5697969999999996E-7</v>
      </c>
      <c r="I241">
        <v>367.45659999999998</v>
      </c>
      <c r="J241">
        <v>-408.02609999999999</v>
      </c>
      <c r="K241">
        <v>1.0588409999999999</v>
      </c>
      <c r="L241">
        <v>367.43299999999999</v>
      </c>
      <c r="M241">
        <v>0.99996739999999995</v>
      </c>
      <c r="N241">
        <v>0</v>
      </c>
      <c r="O241">
        <v>-2.6914420000000001E-3</v>
      </c>
      <c r="P241">
        <v>0.99609419999999904</v>
      </c>
      <c r="Q241">
        <v>3.7044420000000002E-2</v>
      </c>
      <c r="R241">
        <v>8.0153550000000004E-2</v>
      </c>
      <c r="S241">
        <v>3.0173030000000001</v>
      </c>
      <c r="T241">
        <v>-0.1677749</v>
      </c>
      <c r="U241">
        <v>3.540039E-3</v>
      </c>
      <c r="V241">
        <v>-8.286077E-2</v>
      </c>
      <c r="W241">
        <v>4.4584100000000002E-2</v>
      </c>
      <c r="X241">
        <v>0.99556329999999904</v>
      </c>
      <c r="Y241">
        <v>-3.8546470000000001E-3</v>
      </c>
      <c r="Z241">
        <v>2.5662900000000003E-4</v>
      </c>
      <c r="AA241">
        <v>0.99999249999999995</v>
      </c>
      <c r="AB241">
        <v>48</v>
      </c>
      <c r="AC241">
        <v>18.602899999999899</v>
      </c>
      <c r="AD241">
        <v>-1.0588417569797</v>
      </c>
      <c r="AE241">
        <v>2.3599999999930701E-2</v>
      </c>
      <c r="AF241">
        <v>-7.3432096427328702E-2</v>
      </c>
      <c r="AG241">
        <v>-1.0588417569797</v>
      </c>
      <c r="AH241">
        <v>18.542696969379101</v>
      </c>
      <c r="AI241">
        <v>93.268180379443294</v>
      </c>
      <c r="AJ241">
        <v>90.226899421307195</v>
      </c>
      <c r="AK241">
        <v>18.573048996794501</v>
      </c>
    </row>
    <row r="242" spans="1:37" x14ac:dyDescent="0.2">
      <c r="A242" t="str">
        <f>"20200111154033678"</f>
        <v>20200111154033678</v>
      </c>
      <c r="B242" t="str">
        <f>"1578728433667031"</f>
        <v>1578728433667031</v>
      </c>
      <c r="C242" t="s">
        <v>37</v>
      </c>
      <c r="D242">
        <v>5.2254139999999998</v>
      </c>
      <c r="E242">
        <v>0.527171099999999</v>
      </c>
      <c r="F242" t="s">
        <v>39</v>
      </c>
      <c r="G242">
        <v>-389.05880000000002</v>
      </c>
      <c r="H242" s="1">
        <v>-8.719003E-7</v>
      </c>
      <c r="I242">
        <v>367.4907</v>
      </c>
      <c r="J242">
        <v>-407.55520000000001</v>
      </c>
      <c r="K242">
        <v>1.058684</v>
      </c>
      <c r="L242">
        <v>367.4316</v>
      </c>
      <c r="M242">
        <v>0.99997459999999905</v>
      </c>
      <c r="N242">
        <v>0</v>
      </c>
      <c r="O242">
        <v>-2.4967959999999999E-3</v>
      </c>
      <c r="P242">
        <v>0.99609919999999996</v>
      </c>
      <c r="Q242">
        <v>3.82814E-2</v>
      </c>
      <c r="R242">
        <v>7.9506149999999998E-2</v>
      </c>
      <c r="S242">
        <v>3.0172729999999999</v>
      </c>
      <c r="T242">
        <v>-0.1684377</v>
      </c>
      <c r="U242">
        <v>9.1857910000000004E-3</v>
      </c>
      <c r="V242">
        <v>-8.2016450000000005E-2</v>
      </c>
      <c r="W242">
        <v>4.4902780000000003E-2</v>
      </c>
      <c r="X242">
        <v>0.99561889999999997</v>
      </c>
      <c r="Y242">
        <v>-5.5287230000000001E-3</v>
      </c>
      <c r="Z242">
        <v>2.9347539999999999E-4</v>
      </c>
      <c r="AA242">
        <v>0.99998469999999995</v>
      </c>
      <c r="AB242">
        <v>48</v>
      </c>
      <c r="AC242">
        <v>18.496399999999898</v>
      </c>
      <c r="AD242">
        <v>-1.0586848719002999</v>
      </c>
      <c r="AE242">
        <v>5.9100000000000798E-2</v>
      </c>
      <c r="AF242">
        <v>-0.10493879446199</v>
      </c>
      <c r="AG242">
        <v>-1.0586848719002999</v>
      </c>
      <c r="AH242">
        <v>18.4357976233612</v>
      </c>
      <c r="AI242">
        <v>93.286575996937501</v>
      </c>
      <c r="AJ242">
        <v>90.326130998936407</v>
      </c>
      <c r="AK242">
        <v>18.466468525901298</v>
      </c>
    </row>
    <row r="243" spans="1:37" x14ac:dyDescent="0.2">
      <c r="A243" t="str">
        <f>"20200111154033702"</f>
        <v>20200111154033702</v>
      </c>
      <c r="B243" t="str">
        <f>"1578728433696310"</f>
        <v>1578728433696310</v>
      </c>
      <c r="C243" t="s">
        <v>37</v>
      </c>
      <c r="D243">
        <v>5.2986079999999998</v>
      </c>
      <c r="E243">
        <v>0.52710579999999996</v>
      </c>
      <c r="F243" t="s">
        <v>39</v>
      </c>
      <c r="G243">
        <v>-388.4366</v>
      </c>
      <c r="H243" s="1">
        <v>-1.083289E-6</v>
      </c>
      <c r="I243">
        <v>367.49209999999999</v>
      </c>
      <c r="J243">
        <v>-407.06169999999997</v>
      </c>
      <c r="K243">
        <v>1.05862099999999</v>
      </c>
      <c r="L243">
        <v>367.43029999999999</v>
      </c>
      <c r="M243">
        <v>0.99997899999999995</v>
      </c>
      <c r="N243">
        <v>0</v>
      </c>
      <c r="O243">
        <v>-2.3817929999999901E-3</v>
      </c>
      <c r="P243">
        <v>0.99625779999999997</v>
      </c>
      <c r="Q243">
        <v>3.837455E-2</v>
      </c>
      <c r="R243">
        <v>7.7445910000000007E-2</v>
      </c>
      <c r="S243">
        <v>3.017395</v>
      </c>
      <c r="T243">
        <v>-0.16708580000000001</v>
      </c>
      <c r="U243">
        <v>9.55200199999999E-3</v>
      </c>
      <c r="V243">
        <v>-7.9838690000000004E-2</v>
      </c>
      <c r="W243">
        <v>4.4342109999999997E-2</v>
      </c>
      <c r="X243">
        <v>0.99582109999999902</v>
      </c>
      <c r="Y243">
        <v>-5.5353160000000002E-3</v>
      </c>
      <c r="Z243">
        <v>2.849301E-4</v>
      </c>
      <c r="AA243">
        <v>0.9999846</v>
      </c>
      <c r="AB243">
        <v>48</v>
      </c>
      <c r="AC243">
        <v>18.6250999999999</v>
      </c>
      <c r="AD243">
        <v>-1.0586220832889901</v>
      </c>
      <c r="AE243">
        <v>6.1800000000005101E-2</v>
      </c>
      <c r="AF243">
        <v>-0.105819904084804</v>
      </c>
      <c r="AG243">
        <v>-1.0586220832889901</v>
      </c>
      <c r="AH243">
        <v>18.564924581103199</v>
      </c>
      <c r="AI243">
        <v>93.263572756334398</v>
      </c>
      <c r="AJ243">
        <v>90.326581893983999</v>
      </c>
      <c r="AK243">
        <v>18.595383923688601</v>
      </c>
    </row>
    <row r="244" spans="1:37" x14ac:dyDescent="0.2">
      <c r="A244" t="str">
        <f>"20200111154033725"</f>
        <v>20200111154033725</v>
      </c>
      <c r="B244" t="str">
        <f>"1578728433716809"</f>
        <v>1578728433716809</v>
      </c>
      <c r="C244" t="s">
        <v>37</v>
      </c>
      <c r="D244">
        <v>5.2345100000000002</v>
      </c>
      <c r="E244">
        <v>0.52704139999999999</v>
      </c>
      <c r="F244" t="s">
        <v>39</v>
      </c>
      <c r="G244">
        <v>-388.0752</v>
      </c>
      <c r="H244" s="1">
        <v>-1.215607E-6</v>
      </c>
      <c r="I244">
        <v>367.45690000000002</v>
      </c>
      <c r="J244">
        <v>-406.53829999999999</v>
      </c>
      <c r="K244">
        <v>1.058622</v>
      </c>
      <c r="L244">
        <v>367.42899999999997</v>
      </c>
      <c r="M244">
        <v>0.99998180000000003</v>
      </c>
      <c r="N244">
        <v>0</v>
      </c>
      <c r="O244">
        <v>-2.341311E-3</v>
      </c>
      <c r="P244">
        <v>0.99626139999999996</v>
      </c>
      <c r="Q244">
        <v>3.8606429999999997E-2</v>
      </c>
      <c r="R244">
        <v>7.7285530000000005E-2</v>
      </c>
      <c r="S244">
        <v>3.0174259999999999</v>
      </c>
      <c r="T244">
        <v>-0.1682409</v>
      </c>
      <c r="U244">
        <v>4.2419429999999998E-3</v>
      </c>
      <c r="V244">
        <v>-7.9635230000000001E-2</v>
      </c>
      <c r="W244">
        <v>4.4134409999999999E-2</v>
      </c>
      <c r="X244">
        <v>0.99584660000000003</v>
      </c>
      <c r="Y244">
        <v>-3.7377129999999902E-3</v>
      </c>
      <c r="Z244">
        <v>2.3456369999999999E-4</v>
      </c>
      <c r="AA244">
        <v>0.99999300000000002</v>
      </c>
      <c r="AB244">
        <v>49</v>
      </c>
      <c r="AC244">
        <v>18.463100000000001</v>
      </c>
      <c r="AD244">
        <v>-1.0586232156069999</v>
      </c>
      <c r="AE244">
        <v>2.7899999999988202E-2</v>
      </c>
      <c r="AF244">
        <v>-7.0895378701644696E-2</v>
      </c>
      <c r="AG244">
        <v>-1.0586232156069999</v>
      </c>
      <c r="AH244">
        <v>18.402484949050599</v>
      </c>
      <c r="AI244">
        <v>93.292349878828304</v>
      </c>
      <c r="AJ244">
        <v>90.220730292802997</v>
      </c>
      <c r="AK244">
        <v>18.4330453687766</v>
      </c>
    </row>
    <row r="245" spans="1:37" x14ac:dyDescent="0.2">
      <c r="A245" t="str">
        <f>"20200111154033747"</f>
        <v>20200111154033747</v>
      </c>
      <c r="B245" t="str">
        <f>"1578728433736326"</f>
        <v>1578728433736326</v>
      </c>
      <c r="C245" t="s">
        <v>37</v>
      </c>
      <c r="D245">
        <v>5.2344470000000003</v>
      </c>
      <c r="E245">
        <v>0.52707150000000003</v>
      </c>
      <c r="F245" t="s">
        <v>39</v>
      </c>
      <c r="G245">
        <v>-387.5736</v>
      </c>
      <c r="H245" s="1">
        <v>-1.4078049999999901E-6</v>
      </c>
      <c r="I245">
        <v>367.44810000000001</v>
      </c>
      <c r="J245">
        <v>-406.07389999999998</v>
      </c>
      <c r="K245">
        <v>1.058643</v>
      </c>
      <c r="L245">
        <v>367.42779999999999</v>
      </c>
      <c r="M245">
        <v>0.99998319999999996</v>
      </c>
      <c r="N245">
        <v>0</v>
      </c>
      <c r="O245">
        <v>-2.3483710000000001E-3</v>
      </c>
      <c r="P245">
        <v>0.99625969999999997</v>
      </c>
      <c r="Q245">
        <v>3.9279130000000002E-2</v>
      </c>
      <c r="R245">
        <v>7.6965259999999994E-2</v>
      </c>
      <c r="S245">
        <v>3.0175169999999998</v>
      </c>
      <c r="T245">
        <v>-0.1684397</v>
      </c>
      <c r="U245">
        <v>3.0517579999999999E-3</v>
      </c>
      <c r="V245">
        <v>-7.9319479999999998E-2</v>
      </c>
      <c r="W245">
        <v>4.453265E-2</v>
      </c>
      <c r="X245">
        <v>0.99585400000000002</v>
      </c>
      <c r="Y245">
        <v>-3.3508750000000001E-3</v>
      </c>
      <c r="Z245">
        <v>2.244386E-4</v>
      </c>
      <c r="AA245">
        <v>0.9999943</v>
      </c>
      <c r="AB245">
        <v>49</v>
      </c>
      <c r="AC245">
        <v>18.5002999999999</v>
      </c>
      <c r="AD245">
        <v>-1.0586444078049999</v>
      </c>
      <c r="AE245">
        <v>2.0300000000020101E-2</v>
      </c>
      <c r="AF245">
        <v>-6.3538068086986199E-2</v>
      </c>
      <c r="AG245">
        <v>-1.0586444078049999</v>
      </c>
      <c r="AH245">
        <v>18.439820515884399</v>
      </c>
      <c r="AI245">
        <v>93.285768893184496</v>
      </c>
      <c r="AJ245">
        <v>90.197423219451593</v>
      </c>
      <c r="AK245">
        <v>18.470293601518701</v>
      </c>
    </row>
    <row r="246" spans="1:37" x14ac:dyDescent="0.2">
      <c r="A246" t="str">
        <f>"20200111154033759"</f>
        <v>20200111154033759</v>
      </c>
      <c r="B246" t="str">
        <f>"1578728433756822"</f>
        <v>1578728433756822</v>
      </c>
      <c r="C246" t="s">
        <v>37</v>
      </c>
      <c r="D246">
        <v>5.266114</v>
      </c>
      <c r="E246">
        <v>0.52703580000000005</v>
      </c>
      <c r="F246" t="s">
        <v>39</v>
      </c>
      <c r="G246">
        <v>-387.10840000000002</v>
      </c>
      <c r="H246" s="1">
        <v>-1.609323E-6</v>
      </c>
      <c r="I246">
        <v>367.43729999999999</v>
      </c>
      <c r="J246">
        <v>-405.78379999999999</v>
      </c>
      <c r="K246">
        <v>1.0586500000000001</v>
      </c>
      <c r="L246">
        <v>367.4271</v>
      </c>
      <c r="M246">
        <v>0.99998399999999998</v>
      </c>
      <c r="N246">
        <v>0</v>
      </c>
      <c r="O246">
        <v>-2.3659829999999999E-3</v>
      </c>
      <c r="P246">
        <v>0.99626949999999903</v>
      </c>
      <c r="Q246">
        <v>3.9874890000000003E-2</v>
      </c>
      <c r="R246">
        <v>7.6532569999999994E-2</v>
      </c>
      <c r="S246">
        <v>3.0178219999999998</v>
      </c>
      <c r="T246">
        <v>-0.1684522</v>
      </c>
      <c r="U246">
        <v>1.525879E-3</v>
      </c>
      <c r="V246">
        <v>-7.8903319999999999E-2</v>
      </c>
      <c r="W246">
        <v>4.4988050000000002E-2</v>
      </c>
      <c r="X246">
        <v>0.99586669999999999</v>
      </c>
      <c r="Y246">
        <v>-2.8634950000000002E-3</v>
      </c>
      <c r="Z246">
        <v>2.1182279999999999E-4</v>
      </c>
      <c r="AA246">
        <v>0.99999590000000005</v>
      </c>
      <c r="AB246">
        <v>49</v>
      </c>
      <c r="AC246">
        <v>18.6753999999999</v>
      </c>
      <c r="AD246">
        <v>-1.0586516093230001</v>
      </c>
      <c r="AE246">
        <v>1.0199999999997499E-2</v>
      </c>
      <c r="AF246">
        <v>-5.4212028187060397E-2</v>
      </c>
      <c r="AG246">
        <v>-1.0586516093230001</v>
      </c>
      <c r="AH246">
        <v>18.615504342171199</v>
      </c>
      <c r="AI246">
        <v>93.254854037240705</v>
      </c>
      <c r="AJ246">
        <v>90.166856163336703</v>
      </c>
      <c r="AK246">
        <v>18.645661267096902</v>
      </c>
    </row>
    <row r="247" spans="1:37" x14ac:dyDescent="0.2">
      <c r="A247" t="str">
        <f>"20200111154033772"</f>
        <v>20200111154033772</v>
      </c>
      <c r="B247" t="str">
        <f>"1578728433766582"</f>
        <v>1578728433766582</v>
      </c>
      <c r="C247" t="s">
        <v>37</v>
      </c>
      <c r="D247">
        <v>5.2821569999999998</v>
      </c>
      <c r="E247">
        <v>0.52702059999999995</v>
      </c>
      <c r="F247" t="s">
        <v>39</v>
      </c>
      <c r="G247">
        <v>-386.85489999999999</v>
      </c>
      <c r="H247" s="1">
        <v>-1.7193879999999899E-6</v>
      </c>
      <c r="I247">
        <v>367.42989999999998</v>
      </c>
      <c r="J247">
        <v>-405.5027</v>
      </c>
      <c r="K247">
        <v>1.058659</v>
      </c>
      <c r="L247">
        <v>367.4264</v>
      </c>
      <c r="M247">
        <v>0.9999846</v>
      </c>
      <c r="N247">
        <v>0</v>
      </c>
      <c r="O247">
        <v>-2.389497E-3</v>
      </c>
      <c r="P247">
        <v>0.99631419999999904</v>
      </c>
      <c r="Q247">
        <v>4.024179E-2</v>
      </c>
      <c r="R247">
        <v>7.57549E-2</v>
      </c>
      <c r="S247">
        <v>3.01791399999999</v>
      </c>
      <c r="T247">
        <v>-0.16878479999999901</v>
      </c>
      <c r="U247">
        <v>4.577637E-4</v>
      </c>
      <c r="V247">
        <v>-7.8147359999999999E-2</v>
      </c>
      <c r="W247">
        <v>4.523862E-2</v>
      </c>
      <c r="X247">
        <v>0.99591489999999905</v>
      </c>
      <c r="Y247">
        <v>-2.5335150000000001E-3</v>
      </c>
      <c r="Z247">
        <v>2.0432759999999901E-4</v>
      </c>
      <c r="AA247">
        <v>0.99999680000000002</v>
      </c>
      <c r="AB247">
        <v>49</v>
      </c>
      <c r="AC247">
        <v>18.6478</v>
      </c>
      <c r="AD247">
        <v>-1.058660719388</v>
      </c>
      <c r="AE247">
        <v>3.4999999999740798E-3</v>
      </c>
      <c r="AF247">
        <v>-4.7905013992460603E-2</v>
      </c>
      <c r="AG247">
        <v>-1.058660719388</v>
      </c>
      <c r="AH247">
        <v>18.587830088134901</v>
      </c>
      <c r="AI247">
        <v>93.259720523801803</v>
      </c>
      <c r="AJ247">
        <v>90.147663768676907</v>
      </c>
      <c r="AK247">
        <v>18.6180150605405</v>
      </c>
    </row>
    <row r="248" spans="1:37" x14ac:dyDescent="0.2">
      <c r="A248" t="str">
        <f>"20200111154033792"</f>
        <v>20200111154033792</v>
      </c>
      <c r="B248" t="str">
        <f>"1578728433787078"</f>
        <v>1578728433787078</v>
      </c>
      <c r="C248" t="s">
        <v>37</v>
      </c>
      <c r="D248">
        <v>5.2576210000000003</v>
      </c>
      <c r="E248">
        <v>0.52709969999999995</v>
      </c>
      <c r="F248" t="s">
        <v>39</v>
      </c>
      <c r="G248">
        <v>-386.58010000000002</v>
      </c>
      <c r="H248" s="1">
        <v>-1.8396200000000001E-6</v>
      </c>
      <c r="I248">
        <v>367.41660000000002</v>
      </c>
      <c r="J248">
        <v>-405.06599999999997</v>
      </c>
      <c r="K248">
        <v>1.0586659999999899</v>
      </c>
      <c r="L248">
        <v>367.42529999999999</v>
      </c>
      <c r="M248">
        <v>0.99998509999999996</v>
      </c>
      <c r="N248">
        <v>0</v>
      </c>
      <c r="O248">
        <v>-2.4328739999999998E-3</v>
      </c>
      <c r="P248">
        <v>0.99634089999999997</v>
      </c>
      <c r="Q248">
        <v>4.0956890000000003E-2</v>
      </c>
      <c r="R248">
        <v>7.5014559999999994E-2</v>
      </c>
      <c r="S248">
        <v>3.0180359999999999</v>
      </c>
      <c r="T248">
        <v>-0.1688499</v>
      </c>
      <c r="U248">
        <v>-1.556396E-3</v>
      </c>
      <c r="V248">
        <v>-7.7448699999999995E-2</v>
      </c>
      <c r="W248">
        <v>4.5799270000000003E-2</v>
      </c>
      <c r="X248">
        <v>0.99594380000000005</v>
      </c>
      <c r="Y248">
        <v>-1.910414E-3</v>
      </c>
      <c r="Z248">
        <v>1.894062E-4</v>
      </c>
      <c r="AA248">
        <v>0.99999819999999995</v>
      </c>
      <c r="AB248">
        <v>49</v>
      </c>
      <c r="AC248">
        <v>18.485899999999901</v>
      </c>
      <c r="AD248">
        <v>-1.05866783962</v>
      </c>
      <c r="AE248">
        <v>-8.6999999999761695E-3</v>
      </c>
      <c r="AF248">
        <v>-3.6155846812283503E-2</v>
      </c>
      <c r="AG248">
        <v>-1.05866783962</v>
      </c>
      <c r="AH248">
        <v>18.425435994414201</v>
      </c>
      <c r="AI248">
        <v>93.288414212110794</v>
      </c>
      <c r="AJ248">
        <v>90.112430162781607</v>
      </c>
      <c r="AK248">
        <v>18.4558602190241</v>
      </c>
    </row>
    <row r="249" spans="1:37" x14ac:dyDescent="0.2">
      <c r="A249" t="str">
        <f>"20200111154033806"</f>
        <v>20200111154033806</v>
      </c>
      <c r="B249" t="str">
        <f>"1578728433796840"</f>
        <v>1578728433796840</v>
      </c>
      <c r="C249" t="s">
        <v>37</v>
      </c>
      <c r="D249">
        <v>5.2709199999999896</v>
      </c>
      <c r="E249">
        <v>0.52712019999999904</v>
      </c>
      <c r="F249" t="s">
        <v>39</v>
      </c>
      <c r="G249">
        <v>-386.14929999999998</v>
      </c>
      <c r="H249" s="1">
        <v>-2.0280089999999999E-6</v>
      </c>
      <c r="I249">
        <v>367.3965</v>
      </c>
      <c r="J249">
        <v>-404.74169999999998</v>
      </c>
      <c r="K249">
        <v>1.05867</v>
      </c>
      <c r="L249">
        <v>367.42439999999999</v>
      </c>
      <c r="M249">
        <v>0.99998549999999997</v>
      </c>
      <c r="N249">
        <v>0</v>
      </c>
      <c r="O249">
        <v>-2.4686179999999901E-3</v>
      </c>
      <c r="P249">
        <v>0.99630419999999997</v>
      </c>
      <c r="Q249">
        <v>4.0958769999999999E-2</v>
      </c>
      <c r="R249">
        <v>7.5500410000000004E-2</v>
      </c>
      <c r="S249">
        <v>3.0183409999999999</v>
      </c>
      <c r="T249">
        <v>-0.16891999999999999</v>
      </c>
      <c r="U249">
        <v>-4.5776369999999999E-3</v>
      </c>
      <c r="V249">
        <v>-7.7968099999999999E-2</v>
      </c>
      <c r="W249">
        <v>4.5705900000000001E-2</v>
      </c>
      <c r="X249">
        <v>0.995907599999999</v>
      </c>
      <c r="Y249">
        <v>-9.4669830000000004E-4</v>
      </c>
      <c r="Z249">
        <v>1.6451829999999999E-4</v>
      </c>
      <c r="AA249">
        <v>0.99999950000000004</v>
      </c>
      <c r="AB249">
        <v>49</v>
      </c>
      <c r="AC249">
        <v>18.592400000000001</v>
      </c>
      <c r="AD249">
        <v>-1.0586720280090001</v>
      </c>
      <c r="AE249">
        <v>-2.7899999999988202E-2</v>
      </c>
      <c r="AF249">
        <v>-1.7939977491014301E-2</v>
      </c>
      <c r="AG249">
        <v>-1.0586720280090001</v>
      </c>
      <c r="AH249">
        <v>18.5323251694311</v>
      </c>
      <c r="AI249">
        <v>93.269506499815094</v>
      </c>
      <c r="AJ249">
        <v>90.055464420374705</v>
      </c>
      <c r="AK249">
        <v>18.5625478986913</v>
      </c>
    </row>
    <row r="250" spans="1:37" x14ac:dyDescent="0.2">
      <c r="A250" t="str">
        <f>"20200111154033827"</f>
        <v>20200111154033827</v>
      </c>
      <c r="B250" t="str">
        <f>"1578728433816358"</f>
        <v>1578728433816358</v>
      </c>
      <c r="C250" t="s">
        <v>37</v>
      </c>
      <c r="D250">
        <v>5.2529309999999896</v>
      </c>
      <c r="E250">
        <v>0.52726649999999997</v>
      </c>
      <c r="F250" t="s">
        <v>39</v>
      </c>
      <c r="G250">
        <v>-385.93490000000003</v>
      </c>
      <c r="H250" s="1">
        <v>-2.1186310000000001E-6</v>
      </c>
      <c r="I250">
        <v>367.404</v>
      </c>
      <c r="J250">
        <v>-404.30770000000001</v>
      </c>
      <c r="K250">
        <v>1.0586719999999901</v>
      </c>
      <c r="L250">
        <v>367.42340000000002</v>
      </c>
      <c r="M250">
        <v>0.99998600000000004</v>
      </c>
      <c r="N250">
        <v>0</v>
      </c>
      <c r="O250">
        <v>-2.5190400000000002E-3</v>
      </c>
      <c r="P250">
        <v>0.99617710000000004</v>
      </c>
      <c r="Q250">
        <v>4.150413E-2</v>
      </c>
      <c r="R250">
        <v>7.6870309999999997E-2</v>
      </c>
      <c r="S250">
        <v>3.0183719999999998</v>
      </c>
      <c r="T250">
        <v>-0.1699098</v>
      </c>
      <c r="U250">
        <v>-3.2653809999999999E-3</v>
      </c>
      <c r="V250">
        <v>-7.9385360000000002E-2</v>
      </c>
      <c r="W250">
        <v>4.6149370000000002E-2</v>
      </c>
      <c r="X250">
        <v>0.99577519999999997</v>
      </c>
      <c r="Y250">
        <v>-1.430981E-3</v>
      </c>
      <c r="Z250">
        <v>1.8193509999999999E-4</v>
      </c>
      <c r="AA250">
        <v>0.99999899999999997</v>
      </c>
      <c r="AB250">
        <v>49</v>
      </c>
      <c r="AC250">
        <v>18.372799999999899</v>
      </c>
      <c r="AD250">
        <v>-1.05867411863099</v>
      </c>
      <c r="AE250">
        <v>-1.9400000000018701E-2</v>
      </c>
      <c r="AF250">
        <v>-2.6793419383411E-2</v>
      </c>
      <c r="AG250">
        <v>-1.05867411863099</v>
      </c>
      <c r="AH250">
        <v>18.311989823615502</v>
      </c>
      <c r="AI250">
        <v>93.308763826678998</v>
      </c>
      <c r="AJ250">
        <v>90.083832984218304</v>
      </c>
      <c r="AK250">
        <v>18.3425865154558</v>
      </c>
    </row>
    <row r="251" spans="1:37" x14ac:dyDescent="0.2">
      <c r="A251" t="str">
        <f>"20200111154033847"</f>
        <v>20200111154033847</v>
      </c>
      <c r="B251" t="str">
        <f>"1578728433836854"</f>
        <v>1578728433836854</v>
      </c>
      <c r="C251" t="s">
        <v>37</v>
      </c>
      <c r="D251">
        <v>5.2762570000000002</v>
      </c>
      <c r="E251">
        <v>0.52739159999999996</v>
      </c>
      <c r="F251" t="s">
        <v>39</v>
      </c>
      <c r="G251">
        <v>-385.46230000000003</v>
      </c>
      <c r="H251" s="1">
        <v>-2.3180250000000001E-6</v>
      </c>
      <c r="I251">
        <v>367.42290000000003</v>
      </c>
      <c r="J251">
        <v>-403.83589999999998</v>
      </c>
      <c r="K251">
        <v>1.058665</v>
      </c>
      <c r="L251">
        <v>367.42219999999998</v>
      </c>
      <c r="M251">
        <v>0.99998619999999905</v>
      </c>
      <c r="N251">
        <v>0</v>
      </c>
      <c r="O251">
        <v>-2.5729699999999999E-3</v>
      </c>
      <c r="P251">
        <v>0.99613269999999998</v>
      </c>
      <c r="Q251">
        <v>4.2209150000000001E-2</v>
      </c>
      <c r="R251">
        <v>7.7060130000000004E-2</v>
      </c>
      <c r="S251">
        <v>3.0185849999999999</v>
      </c>
      <c r="T251">
        <v>-0.16957429999999901</v>
      </c>
      <c r="U251" s="1">
        <v>-6.1035159999999999E-5</v>
      </c>
      <c r="V251">
        <v>-7.9626639999999999E-2</v>
      </c>
      <c r="W251">
        <v>4.67705E-2</v>
      </c>
      <c r="X251">
        <v>0.99572689999999997</v>
      </c>
      <c r="Y251">
        <v>-2.544709E-3</v>
      </c>
      <c r="Z251">
        <v>2.1584910000000001E-4</v>
      </c>
      <c r="AA251">
        <v>0.99999669999999896</v>
      </c>
      <c r="AB251">
        <v>50</v>
      </c>
      <c r="AC251">
        <v>18.3735999999999</v>
      </c>
      <c r="AD251">
        <v>-1.0586673180249999</v>
      </c>
      <c r="AE251">
        <v>7.0000000005165897E-4</v>
      </c>
      <c r="AF251">
        <v>-4.7816467287718198E-2</v>
      </c>
      <c r="AG251">
        <v>-1.0586673180249999</v>
      </c>
      <c r="AH251">
        <v>18.312740144095599</v>
      </c>
      <c r="AI251">
        <v>93.308599632827693</v>
      </c>
      <c r="AJ251">
        <v>90.149604893588801</v>
      </c>
      <c r="AK251">
        <v>18.343377946549801</v>
      </c>
    </row>
    <row r="252" spans="1:37" x14ac:dyDescent="0.2">
      <c r="A252" t="str">
        <f>"20200111154033861"</f>
        <v>20200111154033861</v>
      </c>
      <c r="B252" t="str">
        <f>"1578728433856374"</f>
        <v>1578728433856374</v>
      </c>
      <c r="C252" t="s">
        <v>37</v>
      </c>
      <c r="D252">
        <v>5.248837</v>
      </c>
      <c r="E252">
        <v>0.5275109</v>
      </c>
      <c r="F252" t="s">
        <v>39</v>
      </c>
      <c r="G252">
        <v>-384.9006</v>
      </c>
      <c r="H252" s="1">
        <v>-2.5592890000000001E-6</v>
      </c>
      <c r="I252">
        <v>367.4212</v>
      </c>
      <c r="J252">
        <v>-403.54079999999999</v>
      </c>
      <c r="K252">
        <v>1.058657</v>
      </c>
      <c r="L252">
        <v>367.42140000000001</v>
      </c>
      <c r="M252">
        <v>0.99998639999999905</v>
      </c>
      <c r="N252">
        <v>0</v>
      </c>
      <c r="O252">
        <v>-2.607158E-3</v>
      </c>
      <c r="P252">
        <v>0.99612959999999995</v>
      </c>
      <c r="Q252">
        <v>4.2073020000000003E-2</v>
      </c>
      <c r="R252">
        <v>7.7173660000000005E-2</v>
      </c>
      <c r="S252">
        <v>3.0188290000000002</v>
      </c>
      <c r="T252">
        <v>-0.1687815</v>
      </c>
      <c r="U252">
        <v>-1.5258789999999999E-4</v>
      </c>
      <c r="V252">
        <v>-7.9772099999999999E-2</v>
      </c>
      <c r="W252">
        <v>4.6592349999999998E-2</v>
      </c>
      <c r="X252">
        <v>0.99572369999999899</v>
      </c>
      <c r="Y252">
        <v>-2.5485880000000001E-3</v>
      </c>
      <c r="Z252">
        <v>2.168424E-4</v>
      </c>
      <c r="AA252">
        <v>0.99999669999999896</v>
      </c>
      <c r="AB252">
        <v>50</v>
      </c>
      <c r="AC252">
        <v>18.6402</v>
      </c>
      <c r="AD252">
        <v>-1.058659559289</v>
      </c>
      <c r="AE252">
        <v>-2.0000000000663901E-4</v>
      </c>
      <c r="AF252">
        <v>-4.82428305669209E-2</v>
      </c>
      <c r="AG252">
        <v>-1.058659559289</v>
      </c>
      <c r="AH252">
        <v>18.580204722329299</v>
      </c>
      <c r="AI252">
        <v>93.261051707391999</v>
      </c>
      <c r="AJ252">
        <v>90.148766088051701</v>
      </c>
      <c r="AK252">
        <v>18.6104028692783</v>
      </c>
    </row>
    <row r="253" spans="1:37" x14ac:dyDescent="0.2">
      <c r="A253" t="str">
        <f>"20200111154033882"</f>
        <v>20200111154033882</v>
      </c>
      <c r="B253" t="str">
        <f>"1578728433876870"</f>
        <v>1578728433876870</v>
      </c>
      <c r="C253" t="s">
        <v>37</v>
      </c>
      <c r="D253">
        <v>5.265174</v>
      </c>
      <c r="E253">
        <v>0.52764769999999905</v>
      </c>
      <c r="F253" t="s">
        <v>39</v>
      </c>
      <c r="G253">
        <v>-384.83530000000002</v>
      </c>
      <c r="H253" s="1">
        <v>-2.5880869999999899E-6</v>
      </c>
      <c r="I253">
        <v>367.41680000000002</v>
      </c>
      <c r="J253">
        <v>-403.08</v>
      </c>
      <c r="K253">
        <v>1.058638</v>
      </c>
      <c r="L253">
        <v>367.4203</v>
      </c>
      <c r="M253">
        <v>0.9999865</v>
      </c>
      <c r="N253">
        <v>0</v>
      </c>
      <c r="O253">
        <v>-2.6591229999999898E-3</v>
      </c>
      <c r="P253">
        <v>0.99622690000000003</v>
      </c>
      <c r="Q253">
        <v>4.0564790000000003E-2</v>
      </c>
      <c r="R253">
        <v>7.6723990000000006E-2</v>
      </c>
      <c r="S253">
        <v>3.01892099999999</v>
      </c>
      <c r="T253">
        <v>-0.17085919999999999</v>
      </c>
      <c r="U253">
        <v>-7.3242190000000001E-4</v>
      </c>
      <c r="V253">
        <v>-7.9372310000000001E-2</v>
      </c>
      <c r="W253">
        <v>4.5033789999999997E-2</v>
      </c>
      <c r="X253">
        <v>0.99582729999999997</v>
      </c>
      <c r="Y253">
        <v>-2.4084309999999999E-3</v>
      </c>
      <c r="Z253">
        <v>2.1847650000000001E-4</v>
      </c>
      <c r="AA253">
        <v>0.99999709999999997</v>
      </c>
      <c r="AB253">
        <v>50</v>
      </c>
      <c r="AC253">
        <v>18.244699999999899</v>
      </c>
      <c r="AD253">
        <v>-1.058640588087</v>
      </c>
      <c r="AE253">
        <v>-3.4999999999740798E-3</v>
      </c>
      <c r="AF253">
        <v>-4.4864345735395703E-2</v>
      </c>
      <c r="AG253">
        <v>-1.058640588087</v>
      </c>
      <c r="AH253">
        <v>18.183423963071899</v>
      </c>
      <c r="AI253">
        <v>93.331994047106306</v>
      </c>
      <c r="AJ253">
        <v>90.141366799250505</v>
      </c>
      <c r="AK253">
        <v>18.214270222138499</v>
      </c>
    </row>
    <row r="254" spans="1:37" x14ac:dyDescent="0.2">
      <c r="A254" t="str">
        <f>"20200111154033895"</f>
        <v>20200111154033895</v>
      </c>
      <c r="B254" t="str">
        <f>"1578728433886632"</f>
        <v>1578728433886632</v>
      </c>
      <c r="C254" t="s">
        <v>37</v>
      </c>
      <c r="D254">
        <v>5.2788209999999998</v>
      </c>
      <c r="E254">
        <v>0.52771109999999999</v>
      </c>
      <c r="F254" t="s">
        <v>39</v>
      </c>
      <c r="G254">
        <v>-385.01420000000002</v>
      </c>
      <c r="H254" s="1">
        <v>-2.5139129999999999E-6</v>
      </c>
      <c r="I254">
        <v>367.40230000000003</v>
      </c>
      <c r="J254">
        <v>-402.77339999999998</v>
      </c>
      <c r="K254">
        <v>1.05862099999999</v>
      </c>
      <c r="L254">
        <v>367.4194</v>
      </c>
      <c r="M254">
        <v>0.9999865</v>
      </c>
      <c r="N254">
        <v>0</v>
      </c>
      <c r="O254">
        <v>-2.6932229999999998E-3</v>
      </c>
      <c r="P254">
        <v>0.99628439999999996</v>
      </c>
      <c r="Q254">
        <v>3.9688500000000002E-2</v>
      </c>
      <c r="R254">
        <v>7.6435550000000005E-2</v>
      </c>
      <c r="S254">
        <v>3.0187680000000001</v>
      </c>
      <c r="T254">
        <v>-0.1768972</v>
      </c>
      <c r="U254">
        <v>-2.9907229999999998E-3</v>
      </c>
      <c r="V254">
        <v>-7.9116690000000003E-2</v>
      </c>
      <c r="W254">
        <v>4.4132499999999998E-2</v>
      </c>
      <c r="X254">
        <v>0.995887999999999</v>
      </c>
      <c r="Y254">
        <v>-1.695015E-3</v>
      </c>
      <c r="Z254">
        <v>2.0730729999999999E-4</v>
      </c>
      <c r="AA254">
        <v>0.99999859999999896</v>
      </c>
      <c r="AB254">
        <v>50</v>
      </c>
      <c r="AC254">
        <v>17.7591999999999</v>
      </c>
      <c r="AD254">
        <v>-1.05862351391299</v>
      </c>
      <c r="AE254">
        <v>-1.7099999999970798E-2</v>
      </c>
      <c r="AF254">
        <v>-3.06212127993001E-2</v>
      </c>
      <c r="AG254">
        <v>-1.05862351391299</v>
      </c>
      <c r="AH254">
        <v>17.696300801016399</v>
      </c>
      <c r="AI254">
        <v>93.423448259481205</v>
      </c>
      <c r="AJ254">
        <v>90.099143008792197</v>
      </c>
      <c r="AK254">
        <v>17.7279633190882</v>
      </c>
    </row>
    <row r="255" spans="1:37" x14ac:dyDescent="0.2">
      <c r="A255" t="str">
        <f>"20200111154033914"</f>
        <v>20200111154033914</v>
      </c>
      <c r="B255" t="str">
        <f>"1578728433907126"</f>
        <v>1578728433907126</v>
      </c>
      <c r="C255" t="s">
        <v>37</v>
      </c>
      <c r="D255">
        <v>5.4666829999999997</v>
      </c>
      <c r="E255">
        <v>0.52774900000000002</v>
      </c>
      <c r="F255" t="s">
        <v>39</v>
      </c>
      <c r="G255">
        <v>-385.0102</v>
      </c>
      <c r="H255" s="1">
        <v>-2.5174179999999999E-6</v>
      </c>
      <c r="I255">
        <v>367.3922</v>
      </c>
      <c r="J255">
        <v>-402.33159999999998</v>
      </c>
      <c r="K255">
        <v>1.0585979999999999</v>
      </c>
      <c r="L255">
        <v>367.41820000000001</v>
      </c>
      <c r="M255">
        <v>0.9999865</v>
      </c>
      <c r="N255">
        <v>0</v>
      </c>
      <c r="O255">
        <v>-2.7425919999999999E-3</v>
      </c>
      <c r="P255">
        <v>0.99634239999999996</v>
      </c>
      <c r="Q255">
        <v>3.8301370000000001E-2</v>
      </c>
      <c r="R255">
        <v>7.6384190000000005E-2</v>
      </c>
      <c r="S255">
        <v>3.0186459999999999</v>
      </c>
      <c r="T255">
        <v>-0.17990029999999901</v>
      </c>
      <c r="U255">
        <v>-4.6081539999999997E-3</v>
      </c>
      <c r="V255">
        <v>-7.9112539999999995E-2</v>
      </c>
      <c r="W255">
        <v>4.271573E-2</v>
      </c>
      <c r="X255">
        <v>0.99595009999999995</v>
      </c>
      <c r="Y255">
        <v>-1.2090479999999999E-3</v>
      </c>
      <c r="Z255">
        <v>1.9930039999999999E-4</v>
      </c>
      <c r="AA255">
        <v>0.99999919999999998</v>
      </c>
      <c r="AB255">
        <v>50</v>
      </c>
      <c r="AC255">
        <v>17.321399999999901</v>
      </c>
      <c r="AD255">
        <v>-1.058600517418</v>
      </c>
      <c r="AE255">
        <v>-2.60000000000104E-2</v>
      </c>
      <c r="AF255">
        <v>-2.1426065938381599E-2</v>
      </c>
      <c r="AG255">
        <v>-1.058600517418</v>
      </c>
      <c r="AH255">
        <v>17.256950467471</v>
      </c>
      <c r="AI255">
        <v>93.5103181673676</v>
      </c>
      <c r="AJ255">
        <v>90.071137859573696</v>
      </c>
      <c r="AK255">
        <v>17.289402348506101</v>
      </c>
    </row>
    <row r="256" spans="1:37" x14ac:dyDescent="0.2">
      <c r="A256" t="str">
        <f>"20200111154033927"</f>
        <v>20200111154033927</v>
      </c>
      <c r="B256" t="str">
        <f>"1578728433916887"</f>
        <v>1578728433916887</v>
      </c>
      <c r="C256" t="s">
        <v>37</v>
      </c>
      <c r="D256">
        <v>5.2657910000000001</v>
      </c>
      <c r="E256">
        <v>0.52778239999999998</v>
      </c>
      <c r="F256" t="s">
        <v>39</v>
      </c>
      <c r="G256">
        <v>-385.0258</v>
      </c>
      <c r="H256" s="1">
        <v>-2.5113899999999999E-6</v>
      </c>
      <c r="I256">
        <v>367.38839999999999</v>
      </c>
      <c r="J256">
        <v>-402.04430000000002</v>
      </c>
      <c r="K256">
        <v>1.0585879999999901</v>
      </c>
      <c r="L256">
        <v>367.41739999999999</v>
      </c>
      <c r="M256">
        <v>0.9999865</v>
      </c>
      <c r="N256">
        <v>0</v>
      </c>
      <c r="O256">
        <v>-2.7747919999999999E-3</v>
      </c>
      <c r="P256">
        <v>0.99631740000000002</v>
      </c>
      <c r="Q256">
        <v>3.8835210000000002E-2</v>
      </c>
      <c r="R256">
        <v>7.6444880000000007E-2</v>
      </c>
      <c r="S256">
        <v>3.0184630000000001</v>
      </c>
      <c r="T256">
        <v>-0.18463979999999999</v>
      </c>
      <c r="U256">
        <v>-5.1879880000000001E-3</v>
      </c>
      <c r="V256">
        <v>-7.9204800000000006E-2</v>
      </c>
      <c r="W256">
        <v>4.323548E-2</v>
      </c>
      <c r="X256">
        <v>0.99592029999999998</v>
      </c>
      <c r="Y256">
        <v>-1.048925E-3</v>
      </c>
      <c r="Z256">
        <v>2.0162859999999999E-4</v>
      </c>
      <c r="AA256">
        <v>0.99999939999999998</v>
      </c>
      <c r="AB256">
        <v>50</v>
      </c>
      <c r="AC256">
        <v>17.0185</v>
      </c>
      <c r="AD256">
        <v>-1.0585905113899901</v>
      </c>
      <c r="AE256">
        <v>-2.89999999999963E-2</v>
      </c>
      <c r="AF256">
        <v>-1.8153128383396E-2</v>
      </c>
      <c r="AG256">
        <v>-1.0585905113899901</v>
      </c>
      <c r="AH256">
        <v>16.952922065546101</v>
      </c>
      <c r="AI256">
        <v>93.573076471376297</v>
      </c>
      <c r="AJ256">
        <v>90.061352092564306</v>
      </c>
      <c r="AK256">
        <v>16.985950369860301</v>
      </c>
    </row>
    <row r="257" spans="1:37" x14ac:dyDescent="0.2">
      <c r="A257" t="str">
        <f>"20200111154033958"</f>
        <v>20200111154033958</v>
      </c>
      <c r="B257" t="str">
        <f>"1578728433947142"</f>
        <v>1578728433947142</v>
      </c>
      <c r="C257" t="s">
        <v>37</v>
      </c>
      <c r="D257">
        <v>5.2296189999999996</v>
      </c>
      <c r="E257">
        <v>0.52787320000000004</v>
      </c>
      <c r="F257" t="s">
        <v>38</v>
      </c>
      <c r="G257">
        <v>-400.96690000000001</v>
      </c>
      <c r="H257">
        <v>0.9933883</v>
      </c>
      <c r="I257">
        <v>367.41559999999998</v>
      </c>
      <c r="J257">
        <v>-401.3433</v>
      </c>
      <c r="K257">
        <v>1.0585639999999901</v>
      </c>
      <c r="L257">
        <v>367.41550000000001</v>
      </c>
      <c r="M257">
        <v>0.99998639999999905</v>
      </c>
      <c r="N257">
        <v>0</v>
      </c>
      <c r="O257">
        <v>-2.8549420000000001E-3</v>
      </c>
      <c r="P257">
        <v>0.99610900000000002</v>
      </c>
      <c r="Q257">
        <v>4.098284E-2</v>
      </c>
      <c r="R257">
        <v>7.8020629999999994E-2</v>
      </c>
      <c r="S257">
        <v>3.0186160000000002</v>
      </c>
      <c r="T257">
        <v>-0.18261440000000001</v>
      </c>
      <c r="U257">
        <v>-5.1879880000000001E-3</v>
      </c>
      <c r="V257">
        <v>-8.0857289999999998E-2</v>
      </c>
      <c r="W257">
        <v>4.53596E-2</v>
      </c>
      <c r="X257">
        <v>0.99569300000000005</v>
      </c>
      <c r="Y257">
        <v>-1.1290269999999999E-3</v>
      </c>
      <c r="Z257">
        <v>2.0667599999999901E-4</v>
      </c>
      <c r="AA257">
        <v>0.99999930000000004</v>
      </c>
      <c r="AB257">
        <v>50</v>
      </c>
      <c r="AC257">
        <v>0.37639999999998902</v>
      </c>
      <c r="AD257">
        <v>-6.5175699999999795E-2</v>
      </c>
      <c r="AE257" s="1">
        <v>9.9999999974897906E-5</v>
      </c>
      <c r="AF257">
        <v>-1.1404171016994699E-3</v>
      </c>
      <c r="AG257">
        <v>-6.5175699999999795E-2</v>
      </c>
      <c r="AH257">
        <v>0.36544123018833702</v>
      </c>
      <c r="AI257">
        <v>100.11221513324</v>
      </c>
      <c r="AJ257">
        <v>90.178799952789305</v>
      </c>
      <c r="AK257">
        <v>0.37120946262618398</v>
      </c>
    </row>
    <row r="258" spans="1:37" x14ac:dyDescent="0.2">
      <c r="A258" t="str">
        <f>"20200111154033971"</f>
        <v>20200111154033971</v>
      </c>
      <c r="B258" t="str">
        <f>"1578728433966663"</f>
        <v>1578728433966663</v>
      </c>
      <c r="C258" t="s">
        <v>37</v>
      </c>
      <c r="D258">
        <v>5.2847939999999998</v>
      </c>
      <c r="E258">
        <v>0.52798310000000004</v>
      </c>
      <c r="F258" t="s">
        <v>39</v>
      </c>
      <c r="G258">
        <v>-383.2183</v>
      </c>
      <c r="H258" s="1">
        <v>-3.2836569999999999E-6</v>
      </c>
      <c r="I258">
        <v>367.40629999999999</v>
      </c>
      <c r="J258">
        <v>-401.05650000000003</v>
      </c>
      <c r="K258">
        <v>1.058708</v>
      </c>
      <c r="L258">
        <v>367.41469999999998</v>
      </c>
      <c r="M258">
        <v>0.99998369999999903</v>
      </c>
      <c r="N258">
        <v>0</v>
      </c>
      <c r="O258">
        <v>-2.8836249999999999E-3</v>
      </c>
      <c r="P258">
        <v>0.99607670000000004</v>
      </c>
      <c r="Q258">
        <v>4.0534149999999998E-2</v>
      </c>
      <c r="R258">
        <v>7.8668189999999999E-2</v>
      </c>
      <c r="S258">
        <v>3.0191349999999999</v>
      </c>
      <c r="T258">
        <v>-0.1763285</v>
      </c>
      <c r="U258">
        <v>-1.525879E-3</v>
      </c>
      <c r="V258">
        <v>-8.1532939999999998E-2</v>
      </c>
      <c r="W258">
        <v>4.5474880000000002E-2</v>
      </c>
      <c r="X258">
        <v>0.99563259999999898</v>
      </c>
      <c r="Y258">
        <v>-2.3693080000000001E-3</v>
      </c>
      <c r="Z258">
        <v>2.37402E-4</v>
      </c>
      <c r="AA258">
        <v>0.99999709999999997</v>
      </c>
      <c r="AB258">
        <v>50</v>
      </c>
      <c r="AC258">
        <v>17.838200000000001</v>
      </c>
      <c r="AD258">
        <v>-1.0587112836570001</v>
      </c>
      <c r="AE258">
        <v>-8.3999999999946305E-3</v>
      </c>
      <c r="AF258">
        <v>-4.28882644093668E-2</v>
      </c>
      <c r="AG258">
        <v>-1.0587112836570001</v>
      </c>
      <c r="AH258">
        <v>17.7755354542916</v>
      </c>
      <c r="AI258">
        <v>93.408501352488102</v>
      </c>
      <c r="AJ258">
        <v>90.138241223688993</v>
      </c>
      <c r="AK258">
        <v>17.8070876246551</v>
      </c>
    </row>
    <row r="259" spans="1:37" x14ac:dyDescent="0.2">
      <c r="A259" t="str">
        <f>"20200111154033983"</f>
        <v>20200111154033983</v>
      </c>
      <c r="B259" t="str">
        <f>"1578728433976423"</f>
        <v>1578728433976423</v>
      </c>
      <c r="C259" t="s">
        <v>37</v>
      </c>
      <c r="D259">
        <v>5.2460990000000001</v>
      </c>
      <c r="E259">
        <v>0.52803239999999996</v>
      </c>
      <c r="F259" t="s">
        <v>39</v>
      </c>
      <c r="G259">
        <v>-383.15050000000002</v>
      </c>
      <c r="H259" s="1">
        <v>-3.3116280000000001E-6</v>
      </c>
      <c r="I259">
        <v>367.4126</v>
      </c>
      <c r="J259">
        <v>-400.7826</v>
      </c>
      <c r="K259">
        <v>1.0589389999999901</v>
      </c>
      <c r="L259">
        <v>367.41390000000001</v>
      </c>
      <c r="M259">
        <v>0.99997909999999901</v>
      </c>
      <c r="N259">
        <v>0</v>
      </c>
      <c r="O259">
        <v>-2.909043E-3</v>
      </c>
      <c r="P259">
        <v>0.99607330000000005</v>
      </c>
      <c r="Q259">
        <v>3.9154880000000003E-2</v>
      </c>
      <c r="R259">
        <v>7.9404589999999997E-2</v>
      </c>
      <c r="S259">
        <v>3.0190730000000001</v>
      </c>
      <c r="T259">
        <v>-0.17850479999999999</v>
      </c>
      <c r="U259">
        <v>-3.3569339999999902E-4</v>
      </c>
      <c r="V259">
        <v>-8.2294599999999996E-2</v>
      </c>
      <c r="W259">
        <v>4.4917550000000001E-2</v>
      </c>
      <c r="X259">
        <v>0.99559529999999996</v>
      </c>
      <c r="Y259">
        <v>-2.7879519999999998E-3</v>
      </c>
      <c r="Z259">
        <v>2.541997E-4</v>
      </c>
      <c r="AA259">
        <v>0.99999609999999906</v>
      </c>
      <c r="AB259">
        <v>51</v>
      </c>
      <c r="AC259">
        <v>17.632099999999902</v>
      </c>
      <c r="AD259">
        <v>-1.0589423116279999</v>
      </c>
      <c r="AE259">
        <v>-1.3000000000147299E-3</v>
      </c>
      <c r="AF259">
        <v>-4.9813723453348398E-2</v>
      </c>
      <c r="AG259">
        <v>-1.0589423116279999</v>
      </c>
      <c r="AH259">
        <v>17.5686604189452</v>
      </c>
      <c r="AI259">
        <v>93.449287838136001</v>
      </c>
      <c r="AJ259">
        <v>90.162454529786402</v>
      </c>
      <c r="AK259">
        <v>17.600615589876799</v>
      </c>
    </row>
    <row r="260" spans="1:37" x14ac:dyDescent="0.2">
      <c r="A260" t="str">
        <f>"20200111154033996"</f>
        <v>20200111154033996</v>
      </c>
      <c r="B260" t="str">
        <f>"1578728433987159"</f>
        <v>1578728433987159</v>
      </c>
      <c r="C260" t="s">
        <v>37</v>
      </c>
      <c r="D260">
        <v>5.2801770000000001</v>
      </c>
      <c r="E260">
        <v>0.52811189999999997</v>
      </c>
      <c r="F260" t="s">
        <v>38</v>
      </c>
      <c r="G260">
        <v>-399.62369999999999</v>
      </c>
      <c r="H260">
        <v>0.98868869999999898</v>
      </c>
      <c r="I260">
        <v>367.41419999999999</v>
      </c>
      <c r="J260">
        <v>-400.47289999999998</v>
      </c>
      <c r="K260">
        <v>1.059412</v>
      </c>
      <c r="L260">
        <v>367.41300000000001</v>
      </c>
      <c r="M260">
        <v>0.99997230000000004</v>
      </c>
      <c r="N260">
        <v>0</v>
      </c>
      <c r="O260">
        <v>-2.9393639999999999E-3</v>
      </c>
      <c r="P260">
        <v>0.99605880000000002</v>
      </c>
      <c r="Q260">
        <v>3.7671650000000001E-2</v>
      </c>
      <c r="R260">
        <v>8.0300369999999996E-2</v>
      </c>
      <c r="S260">
        <v>3.0189509999999999</v>
      </c>
      <c r="T260">
        <v>-0.18316859999999999</v>
      </c>
      <c r="U260">
        <v>1.2207030000000001E-3</v>
      </c>
      <c r="V260">
        <v>-8.3220409999999995E-2</v>
      </c>
      <c r="W260">
        <v>4.4505980000000001E-2</v>
      </c>
      <c r="X260">
        <v>0.9955368</v>
      </c>
      <c r="Y260">
        <v>-3.3322439999999998E-3</v>
      </c>
      <c r="Z260">
        <v>2.7917559999999998E-4</v>
      </c>
      <c r="AA260">
        <v>0.99999439999999995</v>
      </c>
      <c r="AB260">
        <v>50</v>
      </c>
      <c r="AC260">
        <v>0.84919999999999596</v>
      </c>
      <c r="AD260">
        <v>-7.07233000000001E-2</v>
      </c>
      <c r="AE260">
        <v>1.1999999999829901E-3</v>
      </c>
      <c r="AF260">
        <v>-3.6707013866550801E-3</v>
      </c>
      <c r="AG260">
        <v>-7.07233000000001E-2</v>
      </c>
      <c r="AH260">
        <v>0.84334343976319803</v>
      </c>
      <c r="AI260">
        <v>94.793597878863807</v>
      </c>
      <c r="AJ260">
        <v>90.249381638938502</v>
      </c>
      <c r="AK260">
        <v>0.84631165453583501</v>
      </c>
    </row>
    <row r="261" spans="1:37" x14ac:dyDescent="0.2">
      <c r="A261" t="str">
        <f>"20200111154034016"</f>
        <v>20200111154034016</v>
      </c>
      <c r="B261" t="str">
        <f>"1578728434006678"</f>
        <v>1578728434006678</v>
      </c>
      <c r="C261" t="s">
        <v>37</v>
      </c>
      <c r="D261">
        <v>5.2916339999999904</v>
      </c>
      <c r="E261">
        <v>0.52824289999999996</v>
      </c>
      <c r="F261" t="s">
        <v>39</v>
      </c>
      <c r="G261">
        <v>-383.47660000000002</v>
      </c>
      <c r="H261" s="1">
        <v>-3.1682239999999998E-6</v>
      </c>
      <c r="I261">
        <v>367.4323</v>
      </c>
      <c r="J261">
        <v>-400.06400000000002</v>
      </c>
      <c r="K261">
        <v>1.059917</v>
      </c>
      <c r="L261">
        <v>367.41180000000003</v>
      </c>
      <c r="M261">
        <v>0.99997099999999906</v>
      </c>
      <c r="N261">
        <v>0</v>
      </c>
      <c r="O261">
        <v>-2.98137599999999E-3</v>
      </c>
      <c r="P261">
        <v>0.9959616</v>
      </c>
      <c r="Q261">
        <v>3.7275410000000002E-2</v>
      </c>
      <c r="R261">
        <v>8.1677570000000005E-2</v>
      </c>
      <c r="S261">
        <v>3.018707</v>
      </c>
      <c r="T261">
        <v>-0.188161299999999</v>
      </c>
      <c r="U261">
        <v>3.4484859999999902E-3</v>
      </c>
      <c r="V261">
        <v>-8.4638669999999999E-2</v>
      </c>
      <c r="W261">
        <v>4.4276370000000002E-2</v>
      </c>
      <c r="X261">
        <v>0.99542749999999902</v>
      </c>
      <c r="Y261">
        <v>-4.1100499999999996E-3</v>
      </c>
      <c r="Z261">
        <v>3.1362769999999999E-4</v>
      </c>
      <c r="AA261">
        <v>0.99999150000000003</v>
      </c>
      <c r="AB261">
        <v>50</v>
      </c>
      <c r="AC261">
        <v>16.587399999999999</v>
      </c>
      <c r="AD261">
        <v>-1.059920168224</v>
      </c>
      <c r="AE261">
        <v>2.04999999999699E-2</v>
      </c>
      <c r="AF261">
        <v>-6.9669930895383397E-2</v>
      </c>
      <c r="AG261">
        <v>-1.059920168224</v>
      </c>
      <c r="AH261">
        <v>16.5198132633573</v>
      </c>
      <c r="AI261">
        <v>93.671063764840298</v>
      </c>
      <c r="AJ261">
        <v>90.241635257599995</v>
      </c>
      <c r="AK261">
        <v>16.553927477142</v>
      </c>
    </row>
    <row r="262" spans="1:37" x14ac:dyDescent="0.2">
      <c r="A262" t="str">
        <f>"20200111154034030"</f>
        <v>20200111154034030</v>
      </c>
      <c r="B262" t="str">
        <f>"1578728434026198"</f>
        <v>1578728434026198</v>
      </c>
      <c r="C262" t="s">
        <v>37</v>
      </c>
      <c r="D262">
        <v>5.2662079999999998</v>
      </c>
      <c r="E262">
        <v>0.528340699999999</v>
      </c>
      <c r="F262" t="s">
        <v>39</v>
      </c>
      <c r="G262">
        <v>-383.29559999999998</v>
      </c>
      <c r="H262" s="1">
        <v>-3.2431360000000001E-6</v>
      </c>
      <c r="I262">
        <v>367.44779999999997</v>
      </c>
      <c r="J262">
        <v>-399.75790000000001</v>
      </c>
      <c r="K262">
        <v>1.060281</v>
      </c>
      <c r="L262">
        <v>367.41079999999999</v>
      </c>
      <c r="M262">
        <v>0.99997499999999995</v>
      </c>
      <c r="N262">
        <v>0</v>
      </c>
      <c r="O262">
        <v>-3.0078769999999999E-3</v>
      </c>
      <c r="P262">
        <v>0.99586960000000002</v>
      </c>
      <c r="Q262">
        <v>3.875659E-2</v>
      </c>
      <c r="R262">
        <v>8.2109059999999998E-2</v>
      </c>
      <c r="S262">
        <v>3.018707</v>
      </c>
      <c r="T262">
        <v>-0.1908097</v>
      </c>
      <c r="U262">
        <v>6.5002439999999996E-3</v>
      </c>
      <c r="V262">
        <v>-8.5094879999999998E-2</v>
      </c>
      <c r="W262">
        <v>4.5130959999999998E-2</v>
      </c>
      <c r="X262">
        <v>0.99535019999999996</v>
      </c>
      <c r="Y262">
        <v>-5.1449670000000003E-3</v>
      </c>
      <c r="Z262">
        <v>3.5238129999999899E-4</v>
      </c>
      <c r="AA262">
        <v>0.99998670000000001</v>
      </c>
      <c r="AB262">
        <v>50</v>
      </c>
      <c r="AC262">
        <v>16.462299999999999</v>
      </c>
      <c r="AD262">
        <v>-1.060284243136</v>
      </c>
      <c r="AE262">
        <v>3.6999999999977697E-2</v>
      </c>
      <c r="AF262">
        <v>-8.6160009728253606E-2</v>
      </c>
      <c r="AG262">
        <v>-1.060284243136</v>
      </c>
      <c r="AH262">
        <v>16.394107926857199</v>
      </c>
      <c r="AI262">
        <v>93.700383524776299</v>
      </c>
      <c r="AJ262">
        <v>90.301117907241903</v>
      </c>
      <c r="AK262">
        <v>16.4285848733529</v>
      </c>
    </row>
    <row r="263" spans="1:37" x14ac:dyDescent="0.2">
      <c r="A263" t="str">
        <f>"20200111154034047"</f>
        <v>20200111154034047</v>
      </c>
      <c r="B263" t="str">
        <f>"1578728434036937"</f>
        <v>1578728434036937</v>
      </c>
      <c r="C263" t="s">
        <v>37</v>
      </c>
      <c r="D263">
        <v>5.3004670000000003</v>
      </c>
      <c r="E263">
        <v>0.528340699999999</v>
      </c>
      <c r="F263" t="s">
        <v>38</v>
      </c>
      <c r="G263">
        <v>-398.71749999999997</v>
      </c>
      <c r="H263">
        <v>0.99555159999999998</v>
      </c>
      <c r="I263">
        <v>367.41289999999998</v>
      </c>
      <c r="J263">
        <v>-399.34410000000003</v>
      </c>
      <c r="K263">
        <v>1.0608799999999901</v>
      </c>
      <c r="L263">
        <v>367.40949999999998</v>
      </c>
      <c r="M263">
        <v>0.99998339999999997</v>
      </c>
      <c r="N263">
        <v>0</v>
      </c>
      <c r="O263">
        <v>-3.0357000000000001E-3</v>
      </c>
      <c r="P263">
        <v>0.99558449999999998</v>
      </c>
      <c r="Q263">
        <v>4.2528530000000002E-2</v>
      </c>
      <c r="R263">
        <v>8.3684060000000005E-2</v>
      </c>
      <c r="S263">
        <v>3.019196</v>
      </c>
      <c r="T263">
        <v>-0.18810189999999999</v>
      </c>
      <c r="U263">
        <v>6.8969729999999998E-3</v>
      </c>
      <c r="V263">
        <v>-8.6694939999999998E-2</v>
      </c>
      <c r="W263">
        <v>4.7438290000000001E-2</v>
      </c>
      <c r="X263">
        <v>0.99510480000000001</v>
      </c>
      <c r="Y263">
        <v>-5.3039169999999896E-3</v>
      </c>
      <c r="Z263">
        <v>3.54011E-4</v>
      </c>
      <c r="AA263">
        <v>0.99998589999999998</v>
      </c>
      <c r="AB263">
        <v>50</v>
      </c>
      <c r="AC263">
        <v>0.626600000000053</v>
      </c>
      <c r="AD263">
        <v>-6.5328399999999801E-2</v>
      </c>
      <c r="AE263">
        <v>3.3999999999991802E-3</v>
      </c>
      <c r="AF263">
        <v>-5.2451643317267703E-3</v>
      </c>
      <c r="AG263">
        <v>-6.5328399999999801E-2</v>
      </c>
      <c r="AH263">
        <v>0.61984932487520805</v>
      </c>
      <c r="AI263">
        <v>96.016206611625506</v>
      </c>
      <c r="AJ263">
        <v>90.484825253842104</v>
      </c>
      <c r="AK263">
        <v>0.62330449793313603</v>
      </c>
    </row>
    <row r="264" spans="1:37" x14ac:dyDescent="0.2">
      <c r="A264" t="str">
        <f>"20200111154034061"</f>
        <v>20200111154034061</v>
      </c>
      <c r="B264" t="str">
        <f>"1578728434056454"</f>
        <v>1578728434056454</v>
      </c>
      <c r="C264" t="s">
        <v>37</v>
      </c>
      <c r="D264">
        <v>5.1393559999999896</v>
      </c>
      <c r="E264">
        <v>0.49735980000000002</v>
      </c>
      <c r="F264" t="s">
        <v>38</v>
      </c>
      <c r="G264">
        <v>-398.25619999999998</v>
      </c>
      <c r="H264">
        <v>0.99732269999999901</v>
      </c>
      <c r="I264">
        <v>367.4135</v>
      </c>
      <c r="J264">
        <v>-399.02530000000002</v>
      </c>
      <c r="K264">
        <v>1.0614859999999999</v>
      </c>
      <c r="L264">
        <v>367.4085</v>
      </c>
      <c r="M264">
        <v>0.99998889999999996</v>
      </c>
      <c r="N264">
        <v>0</v>
      </c>
      <c r="O264">
        <v>-3.0575789999999999E-3</v>
      </c>
      <c r="P264">
        <v>0.99531539999999996</v>
      </c>
      <c r="Q264">
        <v>4.5210229999999997E-2</v>
      </c>
      <c r="R264">
        <v>8.5460629999999996E-2</v>
      </c>
      <c r="S264">
        <v>3.0198360000000002</v>
      </c>
      <c r="T264">
        <v>-0.17651910000000001</v>
      </c>
      <c r="U264">
        <v>1.1627200000000001E-2</v>
      </c>
      <c r="V264">
        <v>-8.849245E-2</v>
      </c>
      <c r="W264">
        <v>4.882189E-2</v>
      </c>
      <c r="X264">
        <v>0.99487969999999903</v>
      </c>
      <c r="Y264">
        <v>-6.8908219999999996E-3</v>
      </c>
      <c r="Z264">
        <v>3.7979620000000002E-4</v>
      </c>
      <c r="AA264">
        <v>0.99997619999999898</v>
      </c>
      <c r="AB264">
        <v>51</v>
      </c>
      <c r="AC264">
        <v>0.76910000000003698</v>
      </c>
      <c r="AD264">
        <v>-6.4163300000000201E-2</v>
      </c>
      <c r="AE264">
        <v>4.9999999999954499E-3</v>
      </c>
      <c r="AF264">
        <v>-7.30076474471746E-3</v>
      </c>
      <c r="AG264">
        <v>-6.4163300000000201E-2</v>
      </c>
      <c r="AH264">
        <v>0.76376555138728996</v>
      </c>
      <c r="AI264">
        <v>94.801875972752796</v>
      </c>
      <c r="AJ264">
        <v>90.547668412818098</v>
      </c>
      <c r="AK264">
        <v>0.76649073557263403</v>
      </c>
    </row>
    <row r="265" spans="1:37" x14ac:dyDescent="0.2">
      <c r="A265" t="str">
        <f>"20200111154034074"</f>
        <v>20200111154034074</v>
      </c>
      <c r="B265" t="str">
        <f>"1578728434066214"</f>
        <v>1578728434066214</v>
      </c>
      <c r="C265" t="s">
        <v>37</v>
      </c>
      <c r="D265">
        <v>5.0339640000000001</v>
      </c>
      <c r="E265">
        <v>0.44013449999999998</v>
      </c>
      <c r="F265" t="s">
        <v>39</v>
      </c>
      <c r="G265">
        <v>-384.61090000000002</v>
      </c>
      <c r="H265" s="1">
        <v>-2.4636E-6</v>
      </c>
      <c r="I265">
        <v>368.66129999999998</v>
      </c>
      <c r="J265">
        <v>-398.74250000000001</v>
      </c>
      <c r="K265">
        <v>1.0621750000000001</v>
      </c>
      <c r="L265">
        <v>367.40769999999998</v>
      </c>
      <c r="M265">
        <v>0.99999229999999995</v>
      </c>
      <c r="N265">
        <v>0</v>
      </c>
      <c r="O265">
        <v>-3.0766890000000001E-3</v>
      </c>
      <c r="P265">
        <v>0.99502579999999996</v>
      </c>
      <c r="Q265">
        <v>4.7588279999999997E-2</v>
      </c>
      <c r="R265">
        <v>8.7517300000000006E-2</v>
      </c>
      <c r="S265">
        <v>3.00177</v>
      </c>
      <c r="T265">
        <v>-0.2210531</v>
      </c>
      <c r="U265">
        <v>0.26089479999999998</v>
      </c>
      <c r="V265">
        <v>-9.0567380000000003E-2</v>
      </c>
      <c r="W265">
        <v>5.0066819999999998E-2</v>
      </c>
      <c r="X265">
        <v>0.99463099999999904</v>
      </c>
      <c r="Y265">
        <v>-8.9403399999999994E-2</v>
      </c>
      <c r="Z265">
        <v>3.5071120000000002E-3</v>
      </c>
      <c r="AA265">
        <v>0.99598929999999997</v>
      </c>
      <c r="AB265">
        <v>51</v>
      </c>
      <c r="AC265">
        <v>14.131599999999899</v>
      </c>
      <c r="AD265">
        <v>-1.0621774636000001</v>
      </c>
      <c r="AE265">
        <v>1.2536</v>
      </c>
      <c r="AF265">
        <v>-1.2898426387821</v>
      </c>
      <c r="AG265">
        <v>-1.0621774636000001</v>
      </c>
      <c r="AH265">
        <v>14.0489261926661</v>
      </c>
      <c r="AI265">
        <v>94.305616000323894</v>
      </c>
      <c r="AJ265">
        <v>95.245663298127695</v>
      </c>
      <c r="AK265">
        <v>14.1479412694561</v>
      </c>
    </row>
    <row r="266" spans="1:37" x14ac:dyDescent="0.2">
      <c r="A266" t="str">
        <f>"20200111154034093"</f>
        <v>20200111154034093</v>
      </c>
      <c r="B266" t="str">
        <f>"1578728434086711"</f>
        <v>1578728434086711</v>
      </c>
      <c r="C266" t="s">
        <v>37</v>
      </c>
      <c r="D266">
        <v>4.710375</v>
      </c>
      <c r="E266">
        <v>0.35412319999999903</v>
      </c>
      <c r="F266" t="s">
        <v>39</v>
      </c>
      <c r="G266">
        <v>-384.44450000000001</v>
      </c>
      <c r="H266" s="1">
        <v>-2.7049659999999998E-6</v>
      </c>
      <c r="I266">
        <v>370.89150000000001</v>
      </c>
      <c r="J266">
        <v>-398.30990000000003</v>
      </c>
      <c r="K266">
        <v>1.0634250000000001</v>
      </c>
      <c r="L266">
        <v>367.40629999999999</v>
      </c>
      <c r="M266">
        <v>0.99999459999999996</v>
      </c>
      <c r="N266">
        <v>0</v>
      </c>
      <c r="O266">
        <v>-3.1030540000000001E-3</v>
      </c>
      <c r="P266">
        <v>0.99436840000000004</v>
      </c>
      <c r="Q266">
        <v>5.1302069999999998E-2</v>
      </c>
      <c r="R266">
        <v>9.2734940000000002E-2</v>
      </c>
      <c r="S266">
        <v>2.9620060000000001</v>
      </c>
      <c r="T266">
        <v>-0.220042299999999</v>
      </c>
      <c r="U266">
        <v>0.72174069999999901</v>
      </c>
      <c r="V266">
        <v>-9.581017E-2</v>
      </c>
      <c r="W266">
        <v>5.2375959999999999E-2</v>
      </c>
      <c r="X266">
        <v>0.99402069999999998</v>
      </c>
      <c r="Y266">
        <v>-0.23912310000000001</v>
      </c>
      <c r="Z266">
        <v>8.9693429999999994E-3</v>
      </c>
      <c r="AA266">
        <v>0.97094789999999997</v>
      </c>
      <c r="AB266">
        <v>51</v>
      </c>
      <c r="AC266">
        <v>13.865399999999999</v>
      </c>
      <c r="AD266">
        <v>-1.0634277049659999</v>
      </c>
      <c r="AE266">
        <v>3.4852000000000198</v>
      </c>
      <c r="AF266">
        <v>-3.5087949276343702</v>
      </c>
      <c r="AG266">
        <v>-1.0634277049659999</v>
      </c>
      <c r="AH266">
        <v>13.7782861991302</v>
      </c>
      <c r="AI266">
        <v>94.277429158261299</v>
      </c>
      <c r="AJ266">
        <v>104.287323862721</v>
      </c>
      <c r="AK266">
        <v>14.2577589723288</v>
      </c>
    </row>
    <row r="267" spans="1:37" x14ac:dyDescent="0.2">
      <c r="A267" t="str">
        <f>"20200111154034107"</f>
        <v>20200111154034107</v>
      </c>
      <c r="B267" t="str">
        <f>"1578728434096471"</f>
        <v>1578728434096471</v>
      </c>
      <c r="C267" t="s">
        <v>37</v>
      </c>
      <c r="D267">
        <v>4.9420820000000001</v>
      </c>
      <c r="E267">
        <v>0.34500959999999897</v>
      </c>
      <c r="F267" t="s">
        <v>38</v>
      </c>
      <c r="G267">
        <v>-397.3578</v>
      </c>
      <c r="H267">
        <v>0.97536599999999996</v>
      </c>
      <c r="I267">
        <v>367.87199999999899</v>
      </c>
      <c r="J267">
        <v>-397.99509999999998</v>
      </c>
      <c r="K267">
        <v>1.0645610000000001</v>
      </c>
      <c r="L267">
        <v>367.40530000000001</v>
      </c>
      <c r="M267">
        <v>0.99999509999999903</v>
      </c>
      <c r="N267">
        <v>0</v>
      </c>
      <c r="O267">
        <v>-3.1197949999999999E-3</v>
      </c>
      <c r="P267">
        <v>0.99430479999999999</v>
      </c>
      <c r="Q267">
        <v>5.1517649999999998E-2</v>
      </c>
      <c r="R267">
        <v>9.3293760000000003E-2</v>
      </c>
      <c r="S267">
        <v>2.8985289999999999</v>
      </c>
      <c r="T267">
        <v>-0.26809850000000002</v>
      </c>
      <c r="U267">
        <v>1.4180299999999999</v>
      </c>
      <c r="V267">
        <v>-9.6386310000000003E-2</v>
      </c>
      <c r="W267">
        <v>5.1949780000000001E-2</v>
      </c>
      <c r="X267">
        <v>0.99398739999999997</v>
      </c>
      <c r="Y267">
        <v>-0.44072339999999999</v>
      </c>
      <c r="Z267">
        <v>1.9527630000000001E-2</v>
      </c>
      <c r="AA267">
        <v>0.89743050000000002</v>
      </c>
      <c r="AB267">
        <v>51</v>
      </c>
      <c r="AC267">
        <v>0.63729999999998199</v>
      </c>
      <c r="AD267">
        <v>-8.9195000000000094E-2</v>
      </c>
      <c r="AE267">
        <v>0.46669999999994599</v>
      </c>
      <c r="AF267">
        <v>-0.46278527229621902</v>
      </c>
      <c r="AG267">
        <v>-8.9195000000000094E-2</v>
      </c>
      <c r="AH267">
        <v>0.62783572731642201</v>
      </c>
      <c r="AI267">
        <v>96.523859438298004</v>
      </c>
      <c r="AJ267">
        <v>126.394374261533</v>
      </c>
      <c r="AK267">
        <v>0.78505009825757399</v>
      </c>
    </row>
    <row r="268" spans="1:37" x14ac:dyDescent="0.2">
      <c r="A268" t="str">
        <f>"20200111154034239"</f>
        <v>20200111154034239</v>
      </c>
      <c r="B268" t="str">
        <f>"1578728434237015"</f>
        <v>1578728434237015</v>
      </c>
      <c r="C268" t="s">
        <v>37</v>
      </c>
      <c r="D268">
        <v>4.8934439999999997</v>
      </c>
      <c r="E268">
        <v>0.3319529</v>
      </c>
      <c r="F268" t="s">
        <v>38</v>
      </c>
      <c r="G268">
        <v>-394.15589999999997</v>
      </c>
      <c r="H268">
        <v>0.95384880000000005</v>
      </c>
      <c r="I268">
        <v>367.98439999999999</v>
      </c>
      <c r="J268">
        <v>-394.92140000000001</v>
      </c>
      <c r="K268">
        <v>1.082894</v>
      </c>
      <c r="L268">
        <v>367.3956</v>
      </c>
      <c r="M268">
        <v>0.99999450000000001</v>
      </c>
      <c r="N268">
        <v>0</v>
      </c>
      <c r="O268">
        <v>-3.3101109999999902E-3</v>
      </c>
      <c r="P268">
        <v>0.99274819999999997</v>
      </c>
      <c r="Q268">
        <v>5.3800840000000003E-2</v>
      </c>
      <c r="R268">
        <v>0.1075019</v>
      </c>
      <c r="S268">
        <v>2.8713679999999999</v>
      </c>
      <c r="T268">
        <v>-0.33931699999999998</v>
      </c>
      <c r="U268">
        <v>1.569672</v>
      </c>
      <c r="V268">
        <v>-0.1107799</v>
      </c>
      <c r="W268">
        <v>5.3997780000000002E-2</v>
      </c>
      <c r="X268">
        <v>0.99237699999999995</v>
      </c>
      <c r="Y268">
        <v>-0.47997879999999998</v>
      </c>
      <c r="Z268">
        <v>2.679813E-2</v>
      </c>
      <c r="AA268">
        <v>0.8768707</v>
      </c>
      <c r="AB268">
        <v>52</v>
      </c>
      <c r="AC268">
        <v>0.76550000000003104</v>
      </c>
      <c r="AD268">
        <v>-0.129045199999999</v>
      </c>
      <c r="AE268">
        <v>0.588799999999992</v>
      </c>
      <c r="AF268">
        <v>-0.58095782481381197</v>
      </c>
      <c r="AG268">
        <v>-0.129045199999999</v>
      </c>
      <c r="AH268">
        <v>0.75015304009365502</v>
      </c>
      <c r="AI268">
        <v>97.745123013594295</v>
      </c>
      <c r="AJ268">
        <v>127.756077406088</v>
      </c>
      <c r="AK268">
        <v>0.95754594741828902</v>
      </c>
    </row>
    <row r="269" spans="1:37" x14ac:dyDescent="0.2">
      <c r="A269" t="str">
        <f>"20200111154034253"</f>
        <v>20200111154034253</v>
      </c>
      <c r="B269" t="str">
        <f>"1578728434246775"</f>
        <v>1578728434246775</v>
      </c>
      <c r="C269" t="s">
        <v>37</v>
      </c>
      <c r="D269">
        <v>4.8708289999999996</v>
      </c>
      <c r="E269">
        <v>0.32993660000000002</v>
      </c>
      <c r="F269" t="s">
        <v>38</v>
      </c>
      <c r="G269">
        <v>-394.12699999999899</v>
      </c>
      <c r="H269">
        <v>0.97823069999999901</v>
      </c>
      <c r="I269">
        <v>367.84679999999997</v>
      </c>
      <c r="J269">
        <v>-394.6268</v>
      </c>
      <c r="K269">
        <v>1.0846340000000001</v>
      </c>
      <c r="L269">
        <v>367.39460000000003</v>
      </c>
      <c r="M269">
        <v>0.99999439999999995</v>
      </c>
      <c r="N269">
        <v>0</v>
      </c>
      <c r="O269">
        <v>-3.3333669999999998E-3</v>
      </c>
      <c r="P269">
        <v>0.99270700000000001</v>
      </c>
      <c r="Q269">
        <v>5.3496210000000002E-2</v>
      </c>
      <c r="R269">
        <v>0.1080323</v>
      </c>
      <c r="S269">
        <v>2.8659970000000001</v>
      </c>
      <c r="T269">
        <v>-0.37749569999999999</v>
      </c>
      <c r="U269">
        <v>1.6286929999999999</v>
      </c>
      <c r="V269">
        <v>-0.11133270000000001</v>
      </c>
      <c r="W269">
        <v>5.3741610000000002E-2</v>
      </c>
      <c r="X269">
        <v>0.99232900000000002</v>
      </c>
      <c r="Y269">
        <v>-0.4937201</v>
      </c>
      <c r="Z269">
        <v>3.0545719999999998E-2</v>
      </c>
      <c r="AA269">
        <v>0.86908419999999897</v>
      </c>
      <c r="AB269">
        <v>52</v>
      </c>
      <c r="AC269">
        <v>0.49980000000004998</v>
      </c>
      <c r="AD269">
        <v>-0.10640330000000001</v>
      </c>
      <c r="AE269">
        <v>0.45219999999994798</v>
      </c>
      <c r="AF269">
        <v>-0.44282738540574501</v>
      </c>
      <c r="AG269">
        <v>-0.10640330000000001</v>
      </c>
      <c r="AH269">
        <v>0.48617348633903801</v>
      </c>
      <c r="AI269">
        <v>99.190873902571894</v>
      </c>
      <c r="AJ269">
        <v>132.328582996704</v>
      </c>
      <c r="AK269">
        <v>0.66616995904591303</v>
      </c>
    </row>
    <row r="270" spans="1:37" x14ac:dyDescent="0.2">
      <c r="A270" t="str">
        <f>"20200111154034272"</f>
        <v>20200111154034272</v>
      </c>
      <c r="B270" t="str">
        <f>"1578728434266294"</f>
        <v>1578728434266294</v>
      </c>
      <c r="C270" t="s">
        <v>37</v>
      </c>
      <c r="D270">
        <v>4.9289290000000001</v>
      </c>
      <c r="E270">
        <v>0.32754109999999997</v>
      </c>
      <c r="F270" t="s">
        <v>38</v>
      </c>
      <c r="G270">
        <v>-393.67809999999997</v>
      </c>
      <c r="H270">
        <v>0.95545869999999999</v>
      </c>
      <c r="I270">
        <v>367.9393</v>
      </c>
      <c r="J270">
        <v>-394.17849999999999</v>
      </c>
      <c r="K270">
        <v>1.0871789999999999</v>
      </c>
      <c r="L270">
        <v>367.3931</v>
      </c>
      <c r="M270">
        <v>0.9999943</v>
      </c>
      <c r="N270">
        <v>0</v>
      </c>
      <c r="O270">
        <v>-3.3651050000000002E-3</v>
      </c>
      <c r="P270">
        <v>0.99259560000000002</v>
      </c>
      <c r="Q270">
        <v>5.3666409999999998E-2</v>
      </c>
      <c r="R270">
        <v>0.10896739999999901</v>
      </c>
      <c r="S270">
        <v>2.8640439999999998</v>
      </c>
      <c r="T270">
        <v>-0.38994489999999998</v>
      </c>
      <c r="U270">
        <v>1.6447750000000001</v>
      </c>
      <c r="V270">
        <v>-0.1122985</v>
      </c>
      <c r="W270">
        <v>5.4035390000000003E-2</v>
      </c>
      <c r="X270">
        <v>0.99220419999999998</v>
      </c>
      <c r="Y270">
        <v>-0.49743979999999999</v>
      </c>
      <c r="Z270">
        <v>3.1762220000000001E-2</v>
      </c>
      <c r="AA270">
        <v>0.86691679999999904</v>
      </c>
      <c r="AB270">
        <v>52</v>
      </c>
      <c r="AC270">
        <v>0.50040000000001295</v>
      </c>
      <c r="AD270">
        <v>-0.13172030000000001</v>
      </c>
      <c r="AE270">
        <v>0.54619999999999802</v>
      </c>
      <c r="AF270">
        <v>-0.53108851370943799</v>
      </c>
      <c r="AG270">
        <v>-0.13172030000000001</v>
      </c>
      <c r="AH270">
        <v>0.48327853997117598</v>
      </c>
      <c r="AI270">
        <v>100.394692650675</v>
      </c>
      <c r="AJ270">
        <v>137.69851425333599</v>
      </c>
      <c r="AK270">
        <v>0.73004341927234895</v>
      </c>
    </row>
    <row r="271" spans="1:37" x14ac:dyDescent="0.2">
      <c r="A271" t="str">
        <f>"20200111154034284"</f>
        <v>20200111154034284</v>
      </c>
      <c r="B271" t="str">
        <f>"1578728434277031"</f>
        <v>1578728434277031</v>
      </c>
      <c r="C271" t="s">
        <v>37</v>
      </c>
      <c r="D271">
        <v>4.8748440000000004</v>
      </c>
      <c r="E271">
        <v>0.32665499999999997</v>
      </c>
      <c r="F271" t="s">
        <v>38</v>
      </c>
      <c r="G271">
        <v>-393.21170000000001</v>
      </c>
      <c r="H271">
        <v>0.94939830000000003</v>
      </c>
      <c r="I271">
        <v>367.9554</v>
      </c>
      <c r="J271">
        <v>-393.86239999999998</v>
      </c>
      <c r="K271">
        <v>1.088894</v>
      </c>
      <c r="L271">
        <v>367.392</v>
      </c>
      <c r="M271">
        <v>0.99999419999999895</v>
      </c>
      <c r="N271">
        <v>0</v>
      </c>
      <c r="O271">
        <v>-3.3837339999999998E-3</v>
      </c>
      <c r="P271">
        <v>0.99256520000000004</v>
      </c>
      <c r="Q271">
        <v>5.3737E-2</v>
      </c>
      <c r="R271">
        <v>0.1092104</v>
      </c>
      <c r="S271">
        <v>2.86166399999999</v>
      </c>
      <c r="T271">
        <v>-0.40780379999999999</v>
      </c>
      <c r="U271">
        <v>1.6644589999999999</v>
      </c>
      <c r="V271">
        <v>-0.11255989999999901</v>
      </c>
      <c r="W271">
        <v>5.4222979999999997E-2</v>
      </c>
      <c r="X271">
        <v>0.99216439999999995</v>
      </c>
      <c r="Y271">
        <v>-0.50187990000000005</v>
      </c>
      <c r="Z271">
        <v>3.3471359999999999E-2</v>
      </c>
      <c r="AA271">
        <v>0.86428950000000004</v>
      </c>
      <c r="AB271">
        <v>52</v>
      </c>
      <c r="AC271">
        <v>0.65069999999997197</v>
      </c>
      <c r="AD271">
        <v>-0.1394957</v>
      </c>
      <c r="AE271">
        <v>0.56340000000000101</v>
      </c>
      <c r="AF271">
        <v>-0.55112248365660699</v>
      </c>
      <c r="AG271">
        <v>-0.1394957</v>
      </c>
      <c r="AH271">
        <v>0.63218457067360101</v>
      </c>
      <c r="AI271">
        <v>99.4433631660971</v>
      </c>
      <c r="AJ271">
        <v>131.08109287270901</v>
      </c>
      <c r="AK271">
        <v>0.85020725338477499</v>
      </c>
    </row>
    <row r="272" spans="1:37" x14ac:dyDescent="0.2">
      <c r="A272" t="str">
        <f>"20200111154034296"</f>
        <v>20200111154034296</v>
      </c>
      <c r="B272" t="str">
        <f>"1578728434286791"</f>
        <v>1578728434286791</v>
      </c>
      <c r="C272" t="s">
        <v>37</v>
      </c>
      <c r="D272">
        <v>4.8464089999999898</v>
      </c>
      <c r="E272">
        <v>0.32584550000000001</v>
      </c>
      <c r="F272" t="s">
        <v>39</v>
      </c>
      <c r="G272">
        <v>-386.30689999999998</v>
      </c>
      <c r="H272" s="1">
        <v>-2.1494600000000001E-6</v>
      </c>
      <c r="I272">
        <v>371.80650000000003</v>
      </c>
      <c r="J272">
        <v>-393.58109999999999</v>
      </c>
      <c r="K272">
        <v>1.090325</v>
      </c>
      <c r="L272">
        <v>367.39109999999999</v>
      </c>
      <c r="M272">
        <v>0.99999419999999895</v>
      </c>
      <c r="N272">
        <v>0</v>
      </c>
      <c r="O272">
        <v>-3.3929529999999898E-3</v>
      </c>
      <c r="P272">
        <v>0.99254330000000002</v>
      </c>
      <c r="Q272">
        <v>5.4108389999999999E-2</v>
      </c>
      <c r="R272">
        <v>0.1092257</v>
      </c>
      <c r="S272">
        <v>2.8609309999999999</v>
      </c>
      <c r="T272">
        <v>-0.41231200000000001</v>
      </c>
      <c r="U272">
        <v>1.67157</v>
      </c>
      <c r="V272">
        <v>-0.1125848</v>
      </c>
      <c r="W272">
        <v>5.4721970000000002E-2</v>
      </c>
      <c r="X272">
        <v>0.99213419999999897</v>
      </c>
      <c r="Y272">
        <v>-0.50349279999999996</v>
      </c>
      <c r="Z272">
        <v>3.3934880000000001E-2</v>
      </c>
      <c r="AA272">
        <v>0.86333269999999995</v>
      </c>
      <c r="AB272">
        <v>53</v>
      </c>
      <c r="AC272">
        <v>7.2742000000000004</v>
      </c>
      <c r="AD272">
        <v>-1.09032714946</v>
      </c>
      <c r="AE272">
        <v>4.4154000000000302</v>
      </c>
      <c r="AF272">
        <v>-4.3683368451698996</v>
      </c>
      <c r="AG272">
        <v>-1.09032714946</v>
      </c>
      <c r="AH272">
        <v>7.1419217848596803</v>
      </c>
      <c r="AI272">
        <v>97.4202014449464</v>
      </c>
      <c r="AJ272">
        <v>121.451926255864</v>
      </c>
      <c r="AK272">
        <v>8.4426433577862294</v>
      </c>
    </row>
    <row r="273" spans="1:37" x14ac:dyDescent="0.2">
      <c r="A273" t="str">
        <f>"20200111154034309"</f>
        <v>20200111154034309</v>
      </c>
      <c r="B273" t="str">
        <f>"1578728434306311"</f>
        <v>1578728434306311</v>
      </c>
      <c r="C273" t="s">
        <v>37</v>
      </c>
      <c r="D273">
        <v>4.8494769999999896</v>
      </c>
      <c r="E273">
        <v>0.32454699999999997</v>
      </c>
      <c r="F273" t="s">
        <v>38</v>
      </c>
      <c r="G273">
        <v>-392.72710000000001</v>
      </c>
      <c r="H273">
        <v>0.96618909999999902</v>
      </c>
      <c r="I273">
        <v>367.89159999999998</v>
      </c>
      <c r="J273">
        <v>-393.29289999999997</v>
      </c>
      <c r="K273">
        <v>1.0917269999999999</v>
      </c>
      <c r="L273">
        <v>367.39010000000002</v>
      </c>
      <c r="M273">
        <v>0.99999400000000005</v>
      </c>
      <c r="N273">
        <v>0</v>
      </c>
      <c r="O273">
        <v>-3.3946720000000001E-3</v>
      </c>
      <c r="P273">
        <v>0.99251239999999996</v>
      </c>
      <c r="Q273">
        <v>5.4416880000000001E-2</v>
      </c>
      <c r="R273">
        <v>0.1093538</v>
      </c>
      <c r="S273">
        <v>2.8606259999999999</v>
      </c>
      <c r="T273">
        <v>-0.41580529999999999</v>
      </c>
      <c r="U273">
        <v>1.677216</v>
      </c>
      <c r="V273">
        <v>-0.11271589999999999</v>
      </c>
      <c r="W273">
        <v>5.5169990000000002E-2</v>
      </c>
      <c r="X273">
        <v>0.99209449999999999</v>
      </c>
      <c r="Y273">
        <v>-0.50473069999999998</v>
      </c>
      <c r="Z273">
        <v>3.4290719999999997E-2</v>
      </c>
      <c r="AA273">
        <v>0.86259560000000002</v>
      </c>
      <c r="AB273">
        <v>53</v>
      </c>
      <c r="AC273">
        <v>0.565799999999967</v>
      </c>
      <c r="AD273">
        <v>-0.12553790000000001</v>
      </c>
      <c r="AE273">
        <v>0.50149999999996397</v>
      </c>
      <c r="AF273">
        <v>-0.48991107662364702</v>
      </c>
      <c r="AG273">
        <v>-0.12553790000000001</v>
      </c>
      <c r="AH273">
        <v>0.54895961669972904</v>
      </c>
      <c r="AI273">
        <v>99.682524061971293</v>
      </c>
      <c r="AJ273">
        <v>131.74685616911299</v>
      </c>
      <c r="AK273">
        <v>0.74641093782317003</v>
      </c>
    </row>
    <row r="274" spans="1:37" x14ac:dyDescent="0.2">
      <c r="A274" t="str">
        <f>"20200111154034326"</f>
        <v>20200111154034326</v>
      </c>
      <c r="B274" t="str">
        <f>"1578728434317046"</f>
        <v>1578728434317046</v>
      </c>
      <c r="C274" t="s">
        <v>37</v>
      </c>
      <c r="D274">
        <v>4.8102019999999897</v>
      </c>
      <c r="E274">
        <v>0.32394790000000001</v>
      </c>
      <c r="F274" t="s">
        <v>39</v>
      </c>
      <c r="G274">
        <v>-385.89599999999899</v>
      </c>
      <c r="H274" s="1">
        <v>-2.3112200000000001E-6</v>
      </c>
      <c r="I274">
        <v>371.75199999999899</v>
      </c>
      <c r="J274">
        <v>-392.87860000000001</v>
      </c>
      <c r="K274">
        <v>1.09361</v>
      </c>
      <c r="L274">
        <v>367.38869999999997</v>
      </c>
      <c r="M274">
        <v>0.99999389999999999</v>
      </c>
      <c r="N274">
        <v>0</v>
      </c>
      <c r="O274">
        <v>-3.38296E-3</v>
      </c>
      <c r="P274">
        <v>0.99251849999999997</v>
      </c>
      <c r="Q274">
        <v>5.4578509999999997E-2</v>
      </c>
      <c r="R274">
        <v>0.10921649999999999</v>
      </c>
      <c r="S274">
        <v>2.859985</v>
      </c>
      <c r="T274">
        <v>-0.42210839999999999</v>
      </c>
      <c r="U274">
        <v>1.686523</v>
      </c>
      <c r="V274">
        <v>-0.1125688</v>
      </c>
      <c r="W274">
        <v>5.5546119999999997E-2</v>
      </c>
      <c r="X274">
        <v>0.99209020000000003</v>
      </c>
      <c r="Y274">
        <v>-0.50675800000000004</v>
      </c>
      <c r="Z274">
        <v>3.4922790000000002E-2</v>
      </c>
      <c r="AA274">
        <v>0.861380699999999</v>
      </c>
      <c r="AB274">
        <v>53</v>
      </c>
      <c r="AC274">
        <v>6.9826000000000397</v>
      </c>
      <c r="AD274">
        <v>-1.09361231122</v>
      </c>
      <c r="AE274">
        <v>4.3632999999999802</v>
      </c>
      <c r="AF274">
        <v>-4.3108482875696996</v>
      </c>
      <c r="AG274">
        <v>-1.09361231122</v>
      </c>
      <c r="AH274">
        <v>6.8470095871658003</v>
      </c>
      <c r="AI274">
        <v>97.697639534606196</v>
      </c>
      <c r="AJ274">
        <v>122.194344736068</v>
      </c>
      <c r="AK274">
        <v>8.1646151858146396</v>
      </c>
    </row>
    <row r="275" spans="1:37" x14ac:dyDescent="0.2">
      <c r="A275" t="str">
        <f>"20200111154034338"</f>
        <v>20200111154034338</v>
      </c>
      <c r="B275" t="str">
        <f>"1578728434326807"</f>
        <v>1578728434326807</v>
      </c>
      <c r="C275" t="s">
        <v>37</v>
      </c>
      <c r="D275">
        <v>4.8936109999999999</v>
      </c>
      <c r="E275">
        <v>0.32389829999999997</v>
      </c>
      <c r="F275" t="s">
        <v>39</v>
      </c>
      <c r="G275">
        <v>-385.51740000000001</v>
      </c>
      <c r="H275" s="1">
        <v>-2.4699439999999998E-6</v>
      </c>
      <c r="I275">
        <v>371.73820000000001</v>
      </c>
      <c r="J275">
        <v>-392.59480000000002</v>
      </c>
      <c r="K275">
        <v>1.094805</v>
      </c>
      <c r="L275">
        <v>367.38780000000003</v>
      </c>
      <c r="M275">
        <v>0.99999389999999999</v>
      </c>
      <c r="N275">
        <v>0</v>
      </c>
      <c r="O275">
        <v>-3.3637209999999901E-3</v>
      </c>
      <c r="P275">
        <v>0.99254359999999997</v>
      </c>
      <c r="Q275">
        <v>5.4522920000000002E-2</v>
      </c>
      <c r="R275">
        <v>0.109017</v>
      </c>
      <c r="S275">
        <v>2.859985</v>
      </c>
      <c r="T275">
        <v>-0.42489129999999897</v>
      </c>
      <c r="U275">
        <v>1.6898799999999901</v>
      </c>
      <c r="V275">
        <v>-0.11235199999999999</v>
      </c>
      <c r="W275">
        <v>5.5645149999999997E-2</v>
      </c>
      <c r="X275">
        <v>0.99210919999999903</v>
      </c>
      <c r="Y275">
        <v>-0.50743439999999995</v>
      </c>
      <c r="Z275">
        <v>3.5185109999999999E-2</v>
      </c>
      <c r="AA275">
        <v>0.86097179999999995</v>
      </c>
      <c r="AB275">
        <v>53</v>
      </c>
      <c r="AC275">
        <v>7.0774000000000097</v>
      </c>
      <c r="AD275">
        <v>-1.094807469944</v>
      </c>
      <c r="AE275">
        <v>4.3503999999999703</v>
      </c>
      <c r="AF275">
        <v>-4.2995115591586002</v>
      </c>
      <c r="AG275">
        <v>-1.094807469944</v>
      </c>
      <c r="AH275">
        <v>6.9421609104835804</v>
      </c>
      <c r="AI275">
        <v>97.636289106244405</v>
      </c>
      <c r="AJ275">
        <v>121.771312852466</v>
      </c>
      <c r="AK275">
        <v>8.2388106635988301</v>
      </c>
    </row>
    <row r="276" spans="1:37" x14ac:dyDescent="0.2">
      <c r="A276" t="str">
        <f>"20200111154034351"</f>
        <v>20200111154034351</v>
      </c>
      <c r="B276" t="str">
        <f>"1578728434346327"</f>
        <v>1578728434346327</v>
      </c>
      <c r="C276" t="s">
        <v>37</v>
      </c>
      <c r="D276">
        <v>4.8782290000000001</v>
      </c>
      <c r="E276">
        <v>0.38917889999999999</v>
      </c>
      <c r="F276" t="s">
        <v>38</v>
      </c>
      <c r="G276">
        <v>-391.77659999999997</v>
      </c>
      <c r="H276">
        <v>0.97278180000000003</v>
      </c>
      <c r="I276">
        <v>367.87110000000001</v>
      </c>
      <c r="J276">
        <v>-392.30939999999998</v>
      </c>
      <c r="K276">
        <v>1.09592</v>
      </c>
      <c r="L276">
        <v>367.38679999999999</v>
      </c>
      <c r="M276">
        <v>0.99999359999999904</v>
      </c>
      <c r="N276">
        <v>0</v>
      </c>
      <c r="O276">
        <v>-3.3351929999999902E-3</v>
      </c>
      <c r="P276">
        <v>0.99259140000000001</v>
      </c>
      <c r="Q276">
        <v>5.4432990000000001E-2</v>
      </c>
      <c r="R276">
        <v>0.1086261</v>
      </c>
      <c r="S276">
        <v>2.8603519999999998</v>
      </c>
      <c r="T276">
        <v>-0.42654730000000002</v>
      </c>
      <c r="U276">
        <v>1.6896359999999999</v>
      </c>
      <c r="V276">
        <v>-0.1119348</v>
      </c>
      <c r="W276">
        <v>5.571276E-2</v>
      </c>
      <c r="X276">
        <v>0.99215259999999905</v>
      </c>
      <c r="Y276">
        <v>-0.50727679999999997</v>
      </c>
      <c r="Z276">
        <v>3.5303149999999998E-2</v>
      </c>
      <c r="AA276">
        <v>0.86105969999999998</v>
      </c>
      <c r="AB276">
        <v>53</v>
      </c>
      <c r="AC276">
        <v>0.53280000000000804</v>
      </c>
      <c r="AD276">
        <v>-0.123138199999999</v>
      </c>
      <c r="AE276">
        <v>0.48430000000001799</v>
      </c>
      <c r="AF276">
        <v>-0.47226141470809502</v>
      </c>
      <c r="AG276">
        <v>-0.123138199999999</v>
      </c>
      <c r="AH276">
        <v>0.51608708714396101</v>
      </c>
      <c r="AI276">
        <v>99.983146394793096</v>
      </c>
      <c r="AJ276">
        <v>132.46103501199499</v>
      </c>
      <c r="AK276">
        <v>0.71030960970415602</v>
      </c>
    </row>
    <row r="277" spans="1:37" x14ac:dyDescent="0.2">
      <c r="A277" t="str">
        <f>"20200111154034363"</f>
        <v>20200111154034363</v>
      </c>
      <c r="B277" t="str">
        <f>"1578728434357063"</f>
        <v>1578728434357063</v>
      </c>
      <c r="C277" t="s">
        <v>37</v>
      </c>
      <c r="D277">
        <v>5.0256589999999903</v>
      </c>
      <c r="E277">
        <v>0.38917889999999999</v>
      </c>
      <c r="F277" t="s">
        <v>38</v>
      </c>
      <c r="G277">
        <v>-391.25799999999998</v>
      </c>
      <c r="H277">
        <v>0.97526049999999997</v>
      </c>
      <c r="I277">
        <v>367.81110000000001</v>
      </c>
      <c r="J277">
        <v>-392.00900000000001</v>
      </c>
      <c r="K277">
        <v>1.0970469999999899</v>
      </c>
      <c r="L277">
        <v>367.38589999999999</v>
      </c>
      <c r="M277">
        <v>0.99999369999999999</v>
      </c>
      <c r="N277">
        <v>0</v>
      </c>
      <c r="O277">
        <v>-3.2998849999999998E-3</v>
      </c>
      <c r="P277">
        <v>0.99268500000000004</v>
      </c>
      <c r="Q277">
        <v>5.4190589999999997E-2</v>
      </c>
      <c r="R277">
        <v>0.107890899999999</v>
      </c>
      <c r="S277">
        <v>2.912048</v>
      </c>
      <c r="T277">
        <v>-0.3341018</v>
      </c>
      <c r="U277">
        <v>1.175781</v>
      </c>
      <c r="V277">
        <v>-0.1111664</v>
      </c>
      <c r="W277">
        <v>5.5638479999999997E-2</v>
      </c>
      <c r="X277">
        <v>0.99224310000000004</v>
      </c>
      <c r="Y277">
        <v>-0.3753184</v>
      </c>
      <c r="Z277">
        <v>2.10206E-2</v>
      </c>
      <c r="AA277">
        <v>0.92665759999999897</v>
      </c>
      <c r="AB277">
        <v>53</v>
      </c>
      <c r="AC277">
        <v>0.75099999999997602</v>
      </c>
      <c r="AD277">
        <v>-0.12178649999999901</v>
      </c>
      <c r="AE277">
        <v>0.42520000000001801</v>
      </c>
      <c r="AF277">
        <v>-0.41932540765812099</v>
      </c>
      <c r="AG277">
        <v>-0.12178649999999901</v>
      </c>
      <c r="AH277">
        <v>0.73495678716800705</v>
      </c>
      <c r="AI277">
        <v>98.190199113366305</v>
      </c>
      <c r="AJ277">
        <v>119.70667323461601</v>
      </c>
      <c r="AK277">
        <v>0.85488433609127501</v>
      </c>
    </row>
    <row r="278" spans="1:37" x14ac:dyDescent="0.2">
      <c r="A278" t="str">
        <f>"20200111154034375"</f>
        <v>20200111154034375</v>
      </c>
      <c r="B278" t="str">
        <f>"1578728434366822"</f>
        <v>1578728434366822</v>
      </c>
      <c r="C278" t="s">
        <v>37</v>
      </c>
      <c r="D278">
        <v>5.0736730000000003</v>
      </c>
      <c r="E278">
        <v>0.47289209999999898</v>
      </c>
      <c r="F278" t="s">
        <v>38</v>
      </c>
      <c r="G278">
        <v>-390.82369999999997</v>
      </c>
      <c r="H278">
        <v>0.96097759999999999</v>
      </c>
      <c r="I278">
        <v>367.86360000000002</v>
      </c>
      <c r="J278">
        <v>-391.70400000000001</v>
      </c>
      <c r="K278">
        <v>1.098068</v>
      </c>
      <c r="L278">
        <v>367.38490000000002</v>
      </c>
      <c r="M278">
        <v>0.99999340000000003</v>
      </c>
      <c r="N278">
        <v>0</v>
      </c>
      <c r="O278">
        <v>-3.252787E-3</v>
      </c>
      <c r="P278">
        <v>0.99277009999999899</v>
      </c>
      <c r="Q278">
        <v>5.4343410000000002E-2</v>
      </c>
      <c r="R278">
        <v>0.1070247</v>
      </c>
      <c r="S278">
        <v>2.9127809999999998</v>
      </c>
      <c r="T278">
        <v>-0.33440920000000002</v>
      </c>
      <c r="U278">
        <v>1.173889</v>
      </c>
      <c r="V278">
        <v>-0.11025499999999901</v>
      </c>
      <c r="W278">
        <v>5.5960790000000003E-2</v>
      </c>
      <c r="X278">
        <v>0.99232670000000001</v>
      </c>
      <c r="Y278">
        <v>-0.37467640000000002</v>
      </c>
      <c r="Z278">
        <v>2.0996839999999999E-2</v>
      </c>
      <c r="AA278">
        <v>0.92691789999999996</v>
      </c>
      <c r="AB278">
        <v>53</v>
      </c>
      <c r="AC278">
        <v>0.88030000000003295</v>
      </c>
      <c r="AD278">
        <v>-0.1370904</v>
      </c>
      <c r="AE278">
        <v>0.47870000000000301</v>
      </c>
      <c r="AF278">
        <v>-0.47271295284724801</v>
      </c>
      <c r="AG278">
        <v>-0.1370904</v>
      </c>
      <c r="AH278">
        <v>0.86259275742129404</v>
      </c>
      <c r="AI278">
        <v>97.934329604127797</v>
      </c>
      <c r="AJ278">
        <v>118.723360491864</v>
      </c>
      <c r="AK278">
        <v>0.99313522680317601</v>
      </c>
    </row>
    <row r="279" spans="1:37" x14ac:dyDescent="0.2">
      <c r="A279" t="str">
        <f>"20200111154034395"</f>
        <v>20200111154034395</v>
      </c>
      <c r="B279" t="str">
        <f>"1578728434386342"</f>
        <v>1578728434386342</v>
      </c>
      <c r="C279" t="s">
        <v>37</v>
      </c>
      <c r="D279">
        <v>4.935816</v>
      </c>
      <c r="E279">
        <v>0.53827170000000002</v>
      </c>
      <c r="F279" t="s">
        <v>39</v>
      </c>
      <c r="G279">
        <v>-379.43889999999999</v>
      </c>
      <c r="H279" s="1">
        <v>-2.4639810000000003E-7</v>
      </c>
      <c r="I279">
        <v>369.48450000000003</v>
      </c>
      <c r="J279">
        <v>-391.26429999999999</v>
      </c>
      <c r="K279">
        <v>1.0994250000000001</v>
      </c>
      <c r="L279">
        <v>367.38350000000003</v>
      </c>
      <c r="M279">
        <v>0.99999329999999997</v>
      </c>
      <c r="N279">
        <v>0</v>
      </c>
      <c r="O279">
        <v>-3.1760709999999999E-3</v>
      </c>
      <c r="P279">
        <v>0.99293349999999903</v>
      </c>
      <c r="Q279">
        <v>5.507956E-2</v>
      </c>
      <c r="R279">
        <v>0.1051178</v>
      </c>
      <c r="S279">
        <v>2.9814449999999999</v>
      </c>
      <c r="T279">
        <v>-0.26692080000000001</v>
      </c>
      <c r="U279">
        <v>0.51040649999999999</v>
      </c>
      <c r="V279">
        <v>-0.1082752</v>
      </c>
      <c r="W279">
        <v>5.6938179999999998E-2</v>
      </c>
      <c r="X279">
        <v>0.99248899999999995</v>
      </c>
      <c r="Y279">
        <v>-0.1711915</v>
      </c>
      <c r="Z279">
        <v>7.8747209999999995E-3</v>
      </c>
      <c r="AA279">
        <v>0.98520629999999998</v>
      </c>
      <c r="AB279">
        <v>53</v>
      </c>
      <c r="AC279">
        <v>11.8254</v>
      </c>
      <c r="AD279">
        <v>-1.0994252463981</v>
      </c>
      <c r="AE279">
        <v>2.1009999999999902</v>
      </c>
      <c r="AF279">
        <v>-2.12077735245383</v>
      </c>
      <c r="AG279">
        <v>-1.0994252463981</v>
      </c>
      <c r="AH279">
        <v>11.7204593177114</v>
      </c>
      <c r="AI279">
        <v>95.273742952385106</v>
      </c>
      <c r="AJ279">
        <v>100.256499537663</v>
      </c>
      <c r="AK279">
        <v>11.961421281320501</v>
      </c>
    </row>
    <row r="280" spans="1:37" x14ac:dyDescent="0.2">
      <c r="A280" t="str">
        <f>"20200111154034406"</f>
        <v>20200111154034406</v>
      </c>
      <c r="B280" t="str">
        <f>"1578728434397079"</f>
        <v>1578728434397079</v>
      </c>
      <c r="C280" t="s">
        <v>37</v>
      </c>
      <c r="D280">
        <v>5.0244330000000001</v>
      </c>
      <c r="E280">
        <v>0.54234700000000002</v>
      </c>
      <c r="F280" t="s">
        <v>38</v>
      </c>
      <c r="G280">
        <v>-390.32819999999998</v>
      </c>
      <c r="H280">
        <v>1.0394049999999999</v>
      </c>
      <c r="I280">
        <v>367.37990000000002</v>
      </c>
      <c r="J280">
        <v>-390.983</v>
      </c>
      <c r="K280">
        <v>1.1002190000000001</v>
      </c>
      <c r="L280">
        <v>367.3827</v>
      </c>
      <c r="M280">
        <v>0.99999319999999903</v>
      </c>
      <c r="N280">
        <v>0</v>
      </c>
      <c r="O280">
        <v>-3.1214759999999898E-3</v>
      </c>
      <c r="P280">
        <v>0.99304249999999905</v>
      </c>
      <c r="Q280">
        <v>5.5184699999999899E-2</v>
      </c>
      <c r="R280">
        <v>0.1040272</v>
      </c>
      <c r="S280">
        <v>3.0333559999999999</v>
      </c>
      <c r="T280">
        <v>-0.19467119999999999</v>
      </c>
      <c r="U280">
        <v>-1.107788E-2</v>
      </c>
      <c r="V280">
        <v>-0.10713250000000001</v>
      </c>
      <c r="W280">
        <v>5.7194300000000003E-2</v>
      </c>
      <c r="X280">
        <v>0.99259839999999999</v>
      </c>
      <c r="Y280">
        <v>5.3583769999999997E-4</v>
      </c>
      <c r="Z280">
        <v>1.8294329999999999E-4</v>
      </c>
      <c r="AA280">
        <v>0.99999979999999999</v>
      </c>
      <c r="AB280">
        <v>53</v>
      </c>
      <c r="AC280">
        <v>0.65480000000002203</v>
      </c>
      <c r="AD280">
        <v>-6.0814000000000097E-2</v>
      </c>
      <c r="AE280">
        <v>-2.7999999999792601E-3</v>
      </c>
      <c r="AF280">
        <v>7.4957451404795701E-4</v>
      </c>
      <c r="AG280">
        <v>-6.0814000000000097E-2</v>
      </c>
      <c r="AH280">
        <v>0.649205856193521</v>
      </c>
      <c r="AI280">
        <v>95.3515303513323</v>
      </c>
      <c r="AJ280">
        <v>89.933846195946401</v>
      </c>
      <c r="AK280">
        <v>0.65204842471546098</v>
      </c>
    </row>
    <row r="281" spans="1:37" x14ac:dyDescent="0.2">
      <c r="A281" t="str">
        <f>"20200111154034417"</f>
        <v>20200111154034417</v>
      </c>
      <c r="B281" t="str">
        <f>"1578728434406839"</f>
        <v>1578728434406839</v>
      </c>
      <c r="C281" t="s">
        <v>37</v>
      </c>
      <c r="D281">
        <v>4.9225719999999997</v>
      </c>
      <c r="E281">
        <v>0.54503059999999903</v>
      </c>
      <c r="F281" t="s">
        <v>38</v>
      </c>
      <c r="G281">
        <v>-389.86340000000001</v>
      </c>
      <c r="H281">
        <v>1.027911</v>
      </c>
      <c r="I281">
        <v>367.36529999999999</v>
      </c>
      <c r="J281">
        <v>-390.69959999999998</v>
      </c>
      <c r="K281">
        <v>1.100949</v>
      </c>
      <c r="L281">
        <v>367.3818</v>
      </c>
      <c r="M281">
        <v>0.99999309999999997</v>
      </c>
      <c r="N281">
        <v>0</v>
      </c>
      <c r="O281">
        <v>-3.0614040000000002E-3</v>
      </c>
      <c r="P281">
        <v>0.99314740000000001</v>
      </c>
      <c r="Q281">
        <v>5.521293E-2</v>
      </c>
      <c r="R281">
        <v>0.1030056</v>
      </c>
      <c r="S281">
        <v>3.0368040000000001</v>
      </c>
      <c r="T281">
        <v>-0.19619909999999999</v>
      </c>
      <c r="U281">
        <v>-4.6875E-2</v>
      </c>
      <c r="V281">
        <v>-0.1060527</v>
      </c>
      <c r="W281">
        <v>5.7371390000000001E-2</v>
      </c>
      <c r="X281">
        <v>0.99270400000000003</v>
      </c>
      <c r="Y281">
        <v>1.2353309999999999E-2</v>
      </c>
      <c r="Z281">
        <v>-2.0104659999999999E-4</v>
      </c>
      <c r="AA281">
        <v>0.99992359999999902</v>
      </c>
      <c r="AB281">
        <v>53</v>
      </c>
      <c r="AC281">
        <v>0.83619999999996197</v>
      </c>
      <c r="AD281">
        <v>-7.3037999999999895E-2</v>
      </c>
      <c r="AE281">
        <v>-1.6500000000007699E-2</v>
      </c>
      <c r="AF281">
        <v>1.3834466537801E-2</v>
      </c>
      <c r="AG281">
        <v>-7.3037999999999895E-2</v>
      </c>
      <c r="AH281">
        <v>0.82991747567585605</v>
      </c>
      <c r="AI281">
        <v>95.028739019436202</v>
      </c>
      <c r="AJ281">
        <v>89.044985605014006</v>
      </c>
      <c r="AK281">
        <v>0.83324003644842404</v>
      </c>
    </row>
    <row r="282" spans="1:37" x14ac:dyDescent="0.2">
      <c r="A282" t="str">
        <f>"20200111154034430"</f>
        <v>20200111154034430</v>
      </c>
      <c r="B282" t="str">
        <f>"1578728434426358"</f>
        <v>1578728434426358</v>
      </c>
      <c r="C282" t="s">
        <v>37</v>
      </c>
      <c r="D282">
        <v>5.006119</v>
      </c>
      <c r="E282">
        <v>0.54252679999999998</v>
      </c>
      <c r="F282" t="s">
        <v>39</v>
      </c>
      <c r="G282">
        <v>-372.65260000000001</v>
      </c>
      <c r="H282" s="1">
        <v>-3.6051710000000001E-6</v>
      </c>
      <c r="I282">
        <v>366.96190000000001</v>
      </c>
      <c r="J282">
        <v>-390.41680000000002</v>
      </c>
      <c r="K282">
        <v>1.1016189999999999</v>
      </c>
      <c r="L282">
        <v>367.38099999999997</v>
      </c>
      <c r="M282">
        <v>0.99999280000000002</v>
      </c>
      <c r="N282">
        <v>0</v>
      </c>
      <c r="O282">
        <v>-2.9983570000000001E-3</v>
      </c>
      <c r="P282">
        <v>0.99325069999999904</v>
      </c>
      <c r="Q282">
        <v>5.5008540000000002E-2</v>
      </c>
      <c r="R282">
        <v>0.10211430000000001</v>
      </c>
      <c r="S282">
        <v>3.0383610000000001</v>
      </c>
      <c r="T282">
        <v>-0.18535409999999999</v>
      </c>
      <c r="U282">
        <v>-7.0678710000000006E-2</v>
      </c>
      <c r="V282">
        <v>-0.1051001</v>
      </c>
      <c r="W282">
        <v>5.7310939999999998E-2</v>
      </c>
      <c r="X282">
        <v>0.99280889999999999</v>
      </c>
      <c r="Y282">
        <v>2.022616E-2</v>
      </c>
      <c r="Z282">
        <v>-4.3357089999999899E-4</v>
      </c>
      <c r="AA282">
        <v>0.99979530000000005</v>
      </c>
      <c r="AB282">
        <v>53</v>
      </c>
      <c r="AC282">
        <v>17.764199999999999</v>
      </c>
      <c r="AD282">
        <v>-1.1016226051710001</v>
      </c>
      <c r="AE282">
        <v>-0.41909999999995701</v>
      </c>
      <c r="AF282">
        <v>0.364433838370123</v>
      </c>
      <c r="AG282">
        <v>-1.1016226051710001</v>
      </c>
      <c r="AH282">
        <v>17.697356062809</v>
      </c>
      <c r="AI282">
        <v>93.561190961646901</v>
      </c>
      <c r="AJ282">
        <v>88.820300047008502</v>
      </c>
      <c r="AK282">
        <v>17.7353544086555</v>
      </c>
    </row>
    <row r="283" spans="1:37" x14ac:dyDescent="0.2">
      <c r="A283" t="str">
        <f>"20200111154034441"</f>
        <v>20200111154034441</v>
      </c>
      <c r="B283" t="str">
        <f>"1578728434437095"</f>
        <v>1578728434437095</v>
      </c>
      <c r="C283" t="s">
        <v>37</v>
      </c>
      <c r="D283">
        <v>5.0044360000000001</v>
      </c>
      <c r="E283">
        <v>0.54074519999999904</v>
      </c>
      <c r="F283" t="s">
        <v>38</v>
      </c>
      <c r="G283">
        <v>-389.3811</v>
      </c>
      <c r="H283">
        <v>1.0331349999999999</v>
      </c>
      <c r="I283">
        <v>367.3621</v>
      </c>
      <c r="J283">
        <v>-390.11799999999999</v>
      </c>
      <c r="K283">
        <v>1.1022829999999999</v>
      </c>
      <c r="L283">
        <v>367.38</v>
      </c>
      <c r="M283">
        <v>0.99999269999999996</v>
      </c>
      <c r="N283">
        <v>0</v>
      </c>
      <c r="O283">
        <v>-2.9299579999999999E-3</v>
      </c>
      <c r="P283">
        <v>0.99333289999999996</v>
      </c>
      <c r="Q283">
        <v>5.4777739999999998E-2</v>
      </c>
      <c r="R283">
        <v>0.1014371</v>
      </c>
      <c r="S283">
        <v>3.0371090000000001</v>
      </c>
      <c r="T283">
        <v>-0.20100279999999901</v>
      </c>
      <c r="U283">
        <v>-5.4595949999999997E-2</v>
      </c>
      <c r="V283">
        <v>-0.1043569</v>
      </c>
      <c r="W283">
        <v>5.7229530000000001E-2</v>
      </c>
      <c r="X283">
        <v>0.992892</v>
      </c>
      <c r="Y283">
        <v>1.501738E-2</v>
      </c>
      <c r="Z283">
        <v>-3.0267610000000002E-4</v>
      </c>
      <c r="AA283">
        <v>0.99988719999999998</v>
      </c>
      <c r="AB283">
        <v>54</v>
      </c>
      <c r="AC283">
        <v>0.73690000000004796</v>
      </c>
      <c r="AD283">
        <v>-6.9147999999999696E-2</v>
      </c>
      <c r="AE283">
        <v>-1.78999999999973E-2</v>
      </c>
      <c r="AF283">
        <v>1.56035186213413E-2</v>
      </c>
      <c r="AG283">
        <v>-6.9147999999999696E-2</v>
      </c>
      <c r="AH283">
        <v>0.73052065304374902</v>
      </c>
      <c r="AI283">
        <v>95.406040002346799</v>
      </c>
      <c r="AJ283">
        <v>88.776379780265799</v>
      </c>
      <c r="AK283">
        <v>0.73395186505712495</v>
      </c>
    </row>
    <row r="284" spans="1:37" x14ac:dyDescent="0.2">
      <c r="A284" t="str">
        <f>"20200111154034460"</f>
        <v>20200111154034460</v>
      </c>
      <c r="B284" t="str">
        <f>"1578728434446854"</f>
        <v>1578728434446854</v>
      </c>
      <c r="C284" t="s">
        <v>37</v>
      </c>
      <c r="D284">
        <v>5.0030950000000001</v>
      </c>
      <c r="E284">
        <v>0.53923180000000004</v>
      </c>
      <c r="F284" t="s">
        <v>39</v>
      </c>
      <c r="G284">
        <v>-373.8501</v>
      </c>
      <c r="H284" s="1">
        <v>-3.0579469999999998E-6</v>
      </c>
      <c r="I284">
        <v>367.15069999999997</v>
      </c>
      <c r="J284">
        <v>-389.70139999999998</v>
      </c>
      <c r="K284">
        <v>1.103094</v>
      </c>
      <c r="L284">
        <v>367.37889999999999</v>
      </c>
      <c r="M284">
        <v>0.99999249999999995</v>
      </c>
      <c r="N284">
        <v>0</v>
      </c>
      <c r="O284">
        <v>-2.8288369999999998E-3</v>
      </c>
      <c r="P284">
        <v>0.99349359999999998</v>
      </c>
      <c r="Q284">
        <v>5.4665529999999997E-2</v>
      </c>
      <c r="R284">
        <v>9.9912399999999901E-2</v>
      </c>
      <c r="S284">
        <v>3.0358580000000002</v>
      </c>
      <c r="T284">
        <v>-0.2057049</v>
      </c>
      <c r="U284">
        <v>-4.278564E-2</v>
      </c>
      <c r="V284">
        <v>-0.1027337</v>
      </c>
      <c r="W284">
        <v>5.7313320000000001E-2</v>
      </c>
      <c r="X284">
        <v>0.99305639999999995</v>
      </c>
      <c r="Y284">
        <v>1.124411E-2</v>
      </c>
      <c r="Z284">
        <v>-1.890385E-4</v>
      </c>
      <c r="AA284">
        <v>0.99993679999999996</v>
      </c>
      <c r="AB284">
        <v>54</v>
      </c>
      <c r="AC284">
        <v>15.851299999999901</v>
      </c>
      <c r="AD284">
        <v>-1.1030970579470001</v>
      </c>
      <c r="AE284">
        <v>-0.228200000000015</v>
      </c>
      <c r="AF284">
        <v>0.18247467850004601</v>
      </c>
      <c r="AG284">
        <v>-1.1030970579470001</v>
      </c>
      <c r="AH284">
        <v>15.775500155045799</v>
      </c>
      <c r="AI284">
        <v>93.999612688501202</v>
      </c>
      <c r="AJ284">
        <v>89.337291204406498</v>
      </c>
      <c r="AK284">
        <v>15.815072724126001</v>
      </c>
    </row>
    <row r="285" spans="1:37" x14ac:dyDescent="0.2">
      <c r="A285" t="str">
        <f>"20200111154034473"</f>
        <v>20200111154034473</v>
      </c>
      <c r="B285" t="str">
        <f>"1578728434466375"</f>
        <v>1578728434466375</v>
      </c>
      <c r="C285" t="s">
        <v>37</v>
      </c>
      <c r="D285">
        <v>4.9709059999999896</v>
      </c>
      <c r="E285">
        <v>0.53831929999999995</v>
      </c>
      <c r="F285" t="s">
        <v>39</v>
      </c>
      <c r="G285">
        <v>-373.67869999999999</v>
      </c>
      <c r="H285" s="1">
        <v>-3.1242889999999998E-6</v>
      </c>
      <c r="I285">
        <v>367.19119999999998</v>
      </c>
      <c r="J285">
        <v>-389.40010000000001</v>
      </c>
      <c r="K285">
        <v>1.1036170000000001</v>
      </c>
      <c r="L285">
        <v>367.37799999999999</v>
      </c>
      <c r="M285">
        <v>0.99999229999999995</v>
      </c>
      <c r="N285">
        <v>0</v>
      </c>
      <c r="O285">
        <v>-2.7537659999999999E-3</v>
      </c>
      <c r="P285">
        <v>0.99356029999999995</v>
      </c>
      <c r="Q285">
        <v>5.4282299999999999E-2</v>
      </c>
      <c r="R285">
        <v>9.9454490000000006E-2</v>
      </c>
      <c r="S285">
        <v>3.034729</v>
      </c>
      <c r="T285">
        <v>-0.20892839999999999</v>
      </c>
      <c r="U285">
        <v>-3.5522459999999999E-2</v>
      </c>
      <c r="V285">
        <v>-0.102202399999999</v>
      </c>
      <c r="W285">
        <v>5.7065289999999998E-2</v>
      </c>
      <c r="X285">
        <v>0.993125499999999</v>
      </c>
      <c r="Y285">
        <v>8.9362509999999992E-3</v>
      </c>
      <c r="Z285">
        <v>-1.17883099999999E-4</v>
      </c>
      <c r="AA285">
        <v>0.99996010000000002</v>
      </c>
      <c r="AB285">
        <v>54</v>
      </c>
      <c r="AC285">
        <v>15.721399999999999</v>
      </c>
      <c r="AD285">
        <v>-1.103620124289</v>
      </c>
      <c r="AE285">
        <v>-0.186800000000062</v>
      </c>
      <c r="AF285">
        <v>0.1428024570909</v>
      </c>
      <c r="AG285">
        <v>-1.103620124289</v>
      </c>
      <c r="AH285">
        <v>15.644770717710699</v>
      </c>
      <c r="AI285">
        <v>94.034931575345396</v>
      </c>
      <c r="AJ285">
        <v>89.477029671951001</v>
      </c>
      <c r="AK285">
        <v>15.6842985412235</v>
      </c>
    </row>
    <row r="286" spans="1:37" x14ac:dyDescent="0.2">
      <c r="A286" t="str">
        <f>"20200111154034486"</f>
        <v>20200111154034486</v>
      </c>
      <c r="B286" t="str">
        <f>"1578728434477110"</f>
        <v>1578728434477110</v>
      </c>
      <c r="C286" t="s">
        <v>37</v>
      </c>
      <c r="D286">
        <v>4.9610669999999999</v>
      </c>
      <c r="E286">
        <v>0.53785590000000005</v>
      </c>
      <c r="F286" t="s">
        <v>38</v>
      </c>
      <c r="G286">
        <v>-388.41399999999999</v>
      </c>
      <c r="H286">
        <v>1.0380370000000001</v>
      </c>
      <c r="I286">
        <v>367.36829999999998</v>
      </c>
      <c r="J286">
        <v>-389.05810000000002</v>
      </c>
      <c r="K286">
        <v>1.104166</v>
      </c>
      <c r="L286">
        <v>367.37709999999998</v>
      </c>
      <c r="M286">
        <v>0.99999210000000005</v>
      </c>
      <c r="N286">
        <v>0</v>
      </c>
      <c r="O286">
        <v>-2.667272E-3</v>
      </c>
      <c r="P286">
        <v>0.99360939999999998</v>
      </c>
      <c r="Q286">
        <v>5.4080419999999997E-2</v>
      </c>
      <c r="R286">
        <v>9.9074809999999999E-2</v>
      </c>
      <c r="S286">
        <v>3.0334469999999998</v>
      </c>
      <c r="T286">
        <v>-0.20186899999999999</v>
      </c>
      <c r="U286">
        <v>-2.9235839999999999E-2</v>
      </c>
      <c r="V286">
        <v>-0.1017382</v>
      </c>
      <c r="W286">
        <v>5.7011020000000003E-2</v>
      </c>
      <c r="X286">
        <v>0.99317630000000001</v>
      </c>
      <c r="Y286">
        <v>6.9606900000000003E-3</v>
      </c>
      <c r="Z286" s="1">
        <v>-5.4047109999999899E-5</v>
      </c>
      <c r="AA286">
        <v>0.99997579999999997</v>
      </c>
      <c r="AB286">
        <v>54</v>
      </c>
      <c r="AC286">
        <v>0.64410000000003698</v>
      </c>
      <c r="AD286">
        <v>-6.6128999999999799E-2</v>
      </c>
      <c r="AE286">
        <v>-8.8000000000079091E-3</v>
      </c>
      <c r="AF286">
        <v>7.0081133695787702E-3</v>
      </c>
      <c r="AG286">
        <v>-6.6128999999999799E-2</v>
      </c>
      <c r="AH286">
        <v>0.63740363275677103</v>
      </c>
      <c r="AI286">
        <v>95.922744946549301</v>
      </c>
      <c r="AJ286">
        <v>89.370070832559804</v>
      </c>
      <c r="AK286">
        <v>0.64086312840225901</v>
      </c>
    </row>
    <row r="287" spans="1:37" x14ac:dyDescent="0.2">
      <c r="A287" t="str">
        <f>"20200111154034499"</f>
        <v>20200111154034499</v>
      </c>
      <c r="B287" t="str">
        <f>"1578728434496630"</f>
        <v>1578728434496630</v>
      </c>
      <c r="C287" t="s">
        <v>37</v>
      </c>
      <c r="D287">
        <v>4.9502660000000001</v>
      </c>
      <c r="E287">
        <v>0.53712090000000001</v>
      </c>
      <c r="F287" t="s">
        <v>38</v>
      </c>
      <c r="G287">
        <v>-387.93549999999999</v>
      </c>
      <c r="H287">
        <v>1.030373</v>
      </c>
      <c r="I287">
        <v>367.366999999999</v>
      </c>
      <c r="J287">
        <v>-388.73379999999997</v>
      </c>
      <c r="K287">
        <v>1.1046309999999999</v>
      </c>
      <c r="L287">
        <v>367.37630000000001</v>
      </c>
      <c r="M287">
        <v>0.99999189999999905</v>
      </c>
      <c r="N287">
        <v>0</v>
      </c>
      <c r="O287">
        <v>-2.5841060000000001E-3</v>
      </c>
      <c r="P287">
        <v>0.99365149999999902</v>
      </c>
      <c r="Q287">
        <v>5.3671169999999997E-2</v>
      </c>
      <c r="R287">
        <v>9.8873589999999997E-2</v>
      </c>
      <c r="S287">
        <v>3.0328059999999999</v>
      </c>
      <c r="T287">
        <v>-0.19956209999999999</v>
      </c>
      <c r="U287">
        <v>-2.6855469999999999E-2</v>
      </c>
      <c r="V287">
        <v>-0.1014552</v>
      </c>
      <c r="W287">
        <v>5.6734420000000001E-2</v>
      </c>
      <c r="X287">
        <v>0.99322099999999902</v>
      </c>
      <c r="Y287">
        <v>6.2626409999999898E-3</v>
      </c>
      <c r="Z287" s="1">
        <v>-3.5967589999999997E-5</v>
      </c>
      <c r="AA287">
        <v>0.99998039999999999</v>
      </c>
      <c r="AB287">
        <v>54</v>
      </c>
      <c r="AC287">
        <v>0.79829999999998302</v>
      </c>
      <c r="AD287">
        <v>-7.4257999999999894E-2</v>
      </c>
      <c r="AE287">
        <v>-9.3000000000529204E-3</v>
      </c>
      <c r="AF287">
        <v>7.1749923054770202E-3</v>
      </c>
      <c r="AG287">
        <v>-7.4257999999999894E-2</v>
      </c>
      <c r="AH287">
        <v>0.791473869413163</v>
      </c>
      <c r="AI287">
        <v>95.359719723939506</v>
      </c>
      <c r="AJ287">
        <v>89.480607595297002</v>
      </c>
      <c r="AK287">
        <v>0.794982148882871</v>
      </c>
    </row>
    <row r="288" spans="1:37" x14ac:dyDescent="0.2">
      <c r="A288" t="str">
        <f>"20200111154034517"</f>
        <v>20200111154034517</v>
      </c>
      <c r="B288" t="str">
        <f>"1578728434506390"</f>
        <v>1578728434506390</v>
      </c>
      <c r="C288" t="s">
        <v>37</v>
      </c>
      <c r="D288">
        <v>4.9568680000000001</v>
      </c>
      <c r="E288">
        <v>0.53668389999999999</v>
      </c>
      <c r="F288" t="s">
        <v>39</v>
      </c>
      <c r="G288">
        <v>-371.49130000000002</v>
      </c>
      <c r="H288" s="1">
        <v>-4.0513880000000004E-6</v>
      </c>
      <c r="I288">
        <v>367.25490000000002</v>
      </c>
      <c r="J288">
        <v>-388.33150000000001</v>
      </c>
      <c r="K288">
        <v>1.1051409999999999</v>
      </c>
      <c r="L288">
        <v>367.37520000000001</v>
      </c>
      <c r="M288">
        <v>0.99999169999999904</v>
      </c>
      <c r="N288">
        <v>0</v>
      </c>
      <c r="O288">
        <v>-2.4799929999999898E-3</v>
      </c>
      <c r="P288">
        <v>0.99370700000000001</v>
      </c>
      <c r="Q288">
        <v>5.2706070000000001E-2</v>
      </c>
      <c r="R288">
        <v>9.8837229999999998E-2</v>
      </c>
      <c r="S288">
        <v>3.0317689999999899</v>
      </c>
      <c r="T288">
        <v>-0.19422909999999999</v>
      </c>
      <c r="U288">
        <v>-2.133179E-2</v>
      </c>
      <c r="V288">
        <v>-0.1013168</v>
      </c>
      <c r="W288">
        <v>5.592461E-2</v>
      </c>
      <c r="X288">
        <v>0.99328109999999903</v>
      </c>
      <c r="Y288">
        <v>4.5516979999999999E-3</v>
      </c>
      <c r="Z288" s="1">
        <v>1.30652E-5</v>
      </c>
      <c r="AA288">
        <v>0.99998960000000003</v>
      </c>
      <c r="AB288">
        <v>54</v>
      </c>
      <c r="AC288">
        <v>16.8401999999999</v>
      </c>
      <c r="AD288">
        <v>-1.1051450513879999</v>
      </c>
      <c r="AE288">
        <v>-0.120299999999986</v>
      </c>
      <c r="AF288">
        <v>7.8199071391421807E-2</v>
      </c>
      <c r="AG288">
        <v>-1.1051450513879999</v>
      </c>
      <c r="AH288">
        <v>16.768234577032199</v>
      </c>
      <c r="AI288">
        <v>93.770702123920003</v>
      </c>
      <c r="AJ288">
        <v>89.732801670249998</v>
      </c>
      <c r="AK288">
        <v>16.804795491458702</v>
      </c>
    </row>
    <row r="289" spans="1:37" x14ac:dyDescent="0.2">
      <c r="A289" t="str">
        <f>"20200111154034530"</f>
        <v>20200111154034530</v>
      </c>
      <c r="B289" t="str">
        <f>"1578728434526886"</f>
        <v>1578728434526886</v>
      </c>
      <c r="C289" t="s">
        <v>37</v>
      </c>
      <c r="D289">
        <v>4.9366269999999997</v>
      </c>
      <c r="E289">
        <v>0.53594710000000001</v>
      </c>
      <c r="F289" t="s">
        <v>39</v>
      </c>
      <c r="G289">
        <v>-371.18130000000002</v>
      </c>
      <c r="H289" s="1">
        <v>-4.1809080000000003E-6</v>
      </c>
      <c r="I289">
        <v>367.27449999999999</v>
      </c>
      <c r="J289">
        <v>-388.00080000000003</v>
      </c>
      <c r="K289">
        <v>1.1055139999999899</v>
      </c>
      <c r="L289">
        <v>367.37439999999998</v>
      </c>
      <c r="M289">
        <v>0.99999150000000003</v>
      </c>
      <c r="N289">
        <v>0</v>
      </c>
      <c r="O289">
        <v>-2.3942009999999999E-3</v>
      </c>
      <c r="P289">
        <v>0.99373840000000002</v>
      </c>
      <c r="Q289">
        <v>5.1961809999999997E-2</v>
      </c>
      <c r="R289">
        <v>9.8914360000000007E-2</v>
      </c>
      <c r="S289">
        <v>3.0310969999999999</v>
      </c>
      <c r="T289">
        <v>-0.19532149999999901</v>
      </c>
      <c r="U289">
        <v>-1.7791749999999999E-2</v>
      </c>
      <c r="V289">
        <v>-0.10130989999999999</v>
      </c>
      <c r="W289">
        <v>5.5299969999999997E-2</v>
      </c>
      <c r="X289">
        <v>0.9933168</v>
      </c>
      <c r="Y289">
        <v>3.4732090000000001E-3</v>
      </c>
      <c r="Z289" s="1">
        <v>4.233121E-5</v>
      </c>
      <c r="AA289">
        <v>0.99999400000000005</v>
      </c>
      <c r="AB289">
        <v>54</v>
      </c>
      <c r="AC289">
        <v>16.819500000000001</v>
      </c>
      <c r="AD289">
        <v>-1.1055181809079999</v>
      </c>
      <c r="AE289">
        <v>-9.9899999999990996E-2</v>
      </c>
      <c r="AF289">
        <v>5.9373724721740802E-2</v>
      </c>
      <c r="AG289">
        <v>-1.1055181809079999</v>
      </c>
      <c r="AH289">
        <v>16.7473413694496</v>
      </c>
      <c r="AI289">
        <v>93.776680959995602</v>
      </c>
      <c r="AJ289">
        <v>89.796872260913403</v>
      </c>
      <c r="AK289">
        <v>16.783895216319198</v>
      </c>
    </row>
    <row r="290" spans="1:37" x14ac:dyDescent="0.2">
      <c r="A290" t="str">
        <f>"20200111154034543"</f>
        <v>20200111154034543</v>
      </c>
      <c r="B290" t="str">
        <f>"1578728434536648"</f>
        <v>1578728434536648</v>
      </c>
      <c r="C290" t="s">
        <v>37</v>
      </c>
      <c r="D290">
        <v>4.9797469999999997</v>
      </c>
      <c r="E290">
        <v>0.53541649999999996</v>
      </c>
      <c r="F290" t="s">
        <v>38</v>
      </c>
      <c r="G290">
        <v>-386.95909999999998</v>
      </c>
      <c r="H290">
        <v>1.0388819999999901</v>
      </c>
      <c r="I290">
        <v>367.37049999999999</v>
      </c>
      <c r="J290">
        <v>-387.6771</v>
      </c>
      <c r="K290">
        <v>1.105856</v>
      </c>
      <c r="L290">
        <v>367.37360000000001</v>
      </c>
      <c r="M290">
        <v>0.99999130000000003</v>
      </c>
      <c r="N290">
        <v>0</v>
      </c>
      <c r="O290">
        <v>-2.3103099999999999E-3</v>
      </c>
      <c r="P290">
        <v>0.99381569999999997</v>
      </c>
      <c r="Q290">
        <v>5.1106039999999998E-2</v>
      </c>
      <c r="R290">
        <v>9.8583770000000001E-2</v>
      </c>
      <c r="S290">
        <v>3.030151</v>
      </c>
      <c r="T290">
        <v>-0.19385369999999999</v>
      </c>
      <c r="U290">
        <v>-1.132202E-2</v>
      </c>
      <c r="V290">
        <v>-0.10089669999999901</v>
      </c>
      <c r="W290">
        <v>5.4558179999999998E-2</v>
      </c>
      <c r="X290">
        <v>0.9933999</v>
      </c>
      <c r="Y290">
        <v>1.427914E-3</v>
      </c>
      <c r="Z290">
        <v>1.0202259999999999E-4</v>
      </c>
      <c r="AA290">
        <v>0.99999899999999997</v>
      </c>
      <c r="AB290">
        <v>54</v>
      </c>
      <c r="AC290">
        <v>0.71800000000001696</v>
      </c>
      <c r="AD290">
        <v>-6.6974000000000006E-2</v>
      </c>
      <c r="AE290">
        <v>-3.1000000000176399E-3</v>
      </c>
      <c r="AF290">
        <v>1.4287479972538201E-3</v>
      </c>
      <c r="AG290">
        <v>-6.6974000000000006E-2</v>
      </c>
      <c r="AH290">
        <v>0.711811964945534</v>
      </c>
      <c r="AI290">
        <v>95.375093568782205</v>
      </c>
      <c r="AJ290">
        <v>89.884996144590602</v>
      </c>
      <c r="AK290">
        <v>0.71495722350114199</v>
      </c>
    </row>
    <row r="291" spans="1:37" x14ac:dyDescent="0.2">
      <c r="A291" t="str">
        <f>"20200111154034554"</f>
        <v>20200111154034554</v>
      </c>
      <c r="B291" t="str">
        <f>"1578728434546406"</f>
        <v>1578728434546406</v>
      </c>
      <c r="C291" t="s">
        <v>37</v>
      </c>
      <c r="D291">
        <v>4.9870159999999997</v>
      </c>
      <c r="E291">
        <v>0.53499169999999996</v>
      </c>
      <c r="F291" t="s">
        <v>38</v>
      </c>
      <c r="G291">
        <v>-386.47879999999998</v>
      </c>
      <c r="H291">
        <v>1.0282450000000001</v>
      </c>
      <c r="I291">
        <v>367.37029999999999</v>
      </c>
      <c r="J291">
        <v>-387.3931</v>
      </c>
      <c r="K291">
        <v>1.1061080000000001</v>
      </c>
      <c r="L291">
        <v>367.37299999999999</v>
      </c>
      <c r="M291">
        <v>0.99999110000000002</v>
      </c>
      <c r="N291">
        <v>0</v>
      </c>
      <c r="O291">
        <v>-2.23617E-3</v>
      </c>
      <c r="P291">
        <v>0.99389680000000002</v>
      </c>
      <c r="Q291">
        <v>5.037001E-2</v>
      </c>
      <c r="R291">
        <v>9.814312E-2</v>
      </c>
      <c r="S291">
        <v>3.0295719999999999</v>
      </c>
      <c r="T291">
        <v>-0.1963442</v>
      </c>
      <c r="U291">
        <v>-7.9956049999999994E-3</v>
      </c>
      <c r="V291">
        <v>-0.1003834</v>
      </c>
      <c r="W291">
        <v>5.3913969999999999E-2</v>
      </c>
      <c r="X291">
        <v>0.99348700000000001</v>
      </c>
      <c r="Y291">
        <v>4.0683260000000003E-4</v>
      </c>
      <c r="Z291">
        <v>1.3160369999999999E-4</v>
      </c>
      <c r="AA291">
        <v>0.99999989999999905</v>
      </c>
      <c r="AB291">
        <v>54</v>
      </c>
      <c r="AC291">
        <v>0.91430000000002498</v>
      </c>
      <c r="AD291">
        <v>-7.7863000000000002E-2</v>
      </c>
      <c r="AE291">
        <v>-2.7000000000611999E-3</v>
      </c>
      <c r="AF291">
        <v>6.5073058302060702E-4</v>
      </c>
      <c r="AG291">
        <v>-7.7863000000000002E-2</v>
      </c>
      <c r="AH291">
        <v>0.90772060953036204</v>
      </c>
      <c r="AI291">
        <v>94.9027490488849</v>
      </c>
      <c r="AJ291">
        <v>89.958925566712196</v>
      </c>
      <c r="AK291">
        <v>0.91105421089277905</v>
      </c>
    </row>
    <row r="292" spans="1:37" x14ac:dyDescent="0.2">
      <c r="A292" t="str">
        <f>"20200111154034572"</f>
        <v>20200111154034572</v>
      </c>
      <c r="B292" t="str">
        <f>"1578728434566903"</f>
        <v>1578728434566903</v>
      </c>
      <c r="C292" t="s">
        <v>37</v>
      </c>
      <c r="D292">
        <v>4.9752199999999904</v>
      </c>
      <c r="E292">
        <v>0.53444119999999995</v>
      </c>
      <c r="F292" t="s">
        <v>39</v>
      </c>
      <c r="G292">
        <v>-370.52730000000003</v>
      </c>
      <c r="H292" s="1">
        <v>-4.4497550000000004E-6</v>
      </c>
      <c r="I292">
        <v>367.34059999999999</v>
      </c>
      <c r="J292">
        <v>-386.96609999999998</v>
      </c>
      <c r="K292">
        <v>1.106449</v>
      </c>
      <c r="L292">
        <v>367.37199999999899</v>
      </c>
      <c r="M292">
        <v>0.99999079999999996</v>
      </c>
      <c r="N292">
        <v>0</v>
      </c>
      <c r="O292">
        <v>-2.1240639999999902E-3</v>
      </c>
      <c r="P292">
        <v>0.99407520000000005</v>
      </c>
      <c r="Q292">
        <v>4.9150739999999998E-2</v>
      </c>
      <c r="R292">
        <v>9.6945779999999995E-2</v>
      </c>
      <c r="S292">
        <v>3.02905299999999</v>
      </c>
      <c r="T292">
        <v>-0.19865369999999999</v>
      </c>
      <c r="U292">
        <v>-5.7983399999999999E-3</v>
      </c>
      <c r="V292">
        <v>-9.9075440000000001E-2</v>
      </c>
      <c r="W292">
        <v>5.2827850000000003E-2</v>
      </c>
      <c r="X292">
        <v>0.99367669999999997</v>
      </c>
      <c r="Y292">
        <v>-2.048374E-4</v>
      </c>
      <c r="Z292">
        <v>1.458629E-4</v>
      </c>
      <c r="AA292">
        <v>0.99999989999999905</v>
      </c>
      <c r="AB292">
        <v>54</v>
      </c>
      <c r="AC292">
        <v>16.438799999999901</v>
      </c>
      <c r="AD292">
        <v>-1.106453449755</v>
      </c>
      <c r="AE292">
        <v>-3.1399999999962298E-2</v>
      </c>
      <c r="AF292">
        <v>-3.5015137710516899E-3</v>
      </c>
      <c r="AG292">
        <v>-1.106453449755</v>
      </c>
      <c r="AH292">
        <v>16.364693066127298</v>
      </c>
      <c r="AI292">
        <v>93.868008616392999</v>
      </c>
      <c r="AJ292">
        <v>90.012259439093398</v>
      </c>
      <c r="AK292">
        <v>16.4020556835303</v>
      </c>
    </row>
    <row r="293" spans="1:37" x14ac:dyDescent="0.2">
      <c r="A293" t="str">
        <f>"20200111154034585"</f>
        <v>20200111154034585</v>
      </c>
      <c r="B293" t="str">
        <f>"1578728434576662"</f>
        <v>1578728434576662</v>
      </c>
      <c r="C293" t="s">
        <v>37</v>
      </c>
      <c r="D293">
        <v>5.056317</v>
      </c>
      <c r="E293">
        <v>0.5338792</v>
      </c>
      <c r="F293" t="s">
        <v>38</v>
      </c>
      <c r="G293">
        <v>-385.9812</v>
      </c>
      <c r="H293">
        <v>1.0418989999999999</v>
      </c>
      <c r="I293">
        <v>367.37040000000002</v>
      </c>
      <c r="J293">
        <v>-386.6653</v>
      </c>
      <c r="K293">
        <v>1.106668</v>
      </c>
      <c r="L293">
        <v>367.37130000000002</v>
      </c>
      <c r="M293">
        <v>0.99999059999999995</v>
      </c>
      <c r="N293">
        <v>0</v>
      </c>
      <c r="O293">
        <v>-2.0450389999999998E-3</v>
      </c>
      <c r="P293">
        <v>0.99415949999999997</v>
      </c>
      <c r="Q293">
        <v>4.8544799999999999E-2</v>
      </c>
      <c r="R293">
        <v>9.6386470000000002E-2</v>
      </c>
      <c r="S293">
        <v>3.0281370000000001</v>
      </c>
      <c r="T293">
        <v>-0.1985517</v>
      </c>
      <c r="U293">
        <v>-4.6386719999999999E-3</v>
      </c>
      <c r="V293">
        <v>-9.8438910000000004E-2</v>
      </c>
      <c r="W293">
        <v>5.2310250000000003E-2</v>
      </c>
      <c r="X293">
        <v>0.99376730000000002</v>
      </c>
      <c r="Y293">
        <v>-5.0771819999999995E-4</v>
      </c>
      <c r="Z293">
        <v>1.5057539999999999E-4</v>
      </c>
      <c r="AA293">
        <v>0.99999989999999905</v>
      </c>
      <c r="AB293">
        <v>54</v>
      </c>
      <c r="AC293">
        <v>0.68410000000000004</v>
      </c>
      <c r="AD293">
        <v>-6.4768999999999993E-2</v>
      </c>
      <c r="AE293">
        <v>-9.0000000000145497E-4</v>
      </c>
      <c r="AF293">
        <v>-4.9458985921611604E-4</v>
      </c>
      <c r="AG293">
        <v>-6.4768999999999993E-2</v>
      </c>
      <c r="AH293">
        <v>0.678022717880715</v>
      </c>
      <c r="AI293">
        <v>95.456694497976301</v>
      </c>
      <c r="AJ293">
        <v>90.041794921835802</v>
      </c>
      <c r="AK293">
        <v>0.68110944343951196</v>
      </c>
    </row>
    <row r="294" spans="1:37" x14ac:dyDescent="0.2">
      <c r="A294" t="str">
        <f>"20200111154034596"</f>
        <v>20200111154034596</v>
      </c>
      <c r="B294" t="str">
        <f>"1578728434586423"</f>
        <v>1578728434586423</v>
      </c>
      <c r="C294" t="s">
        <v>37</v>
      </c>
      <c r="D294">
        <v>5.0165360000000003</v>
      </c>
      <c r="E294">
        <v>0.53382890000000005</v>
      </c>
      <c r="F294" t="s">
        <v>38</v>
      </c>
      <c r="G294">
        <v>-385.50099999999998</v>
      </c>
      <c r="H294">
        <v>1.0285329999999999</v>
      </c>
      <c r="I294">
        <v>367.37049999999999</v>
      </c>
      <c r="J294">
        <v>-386.36470000000003</v>
      </c>
      <c r="K294">
        <v>1.106859</v>
      </c>
      <c r="L294">
        <v>367.3707</v>
      </c>
      <c r="M294">
        <v>0.99999059999999995</v>
      </c>
      <c r="N294">
        <v>0</v>
      </c>
      <c r="O294">
        <v>-1.966008E-3</v>
      </c>
      <c r="P294">
        <v>0.99425759999999996</v>
      </c>
      <c r="Q294">
        <v>4.8007109999999999E-2</v>
      </c>
      <c r="R294">
        <v>9.5643279999999997E-2</v>
      </c>
      <c r="S294">
        <v>3.0277099999999999</v>
      </c>
      <c r="T294">
        <v>-0.20335139999999999</v>
      </c>
      <c r="U294">
        <v>-1.739502E-3</v>
      </c>
      <c r="V294">
        <v>-9.7617609999999994E-2</v>
      </c>
      <c r="W294">
        <v>5.1855480000000002E-2</v>
      </c>
      <c r="X294">
        <v>0.99387209999999904</v>
      </c>
      <c r="Y294">
        <v>-1.3839499999999999E-3</v>
      </c>
      <c r="Z294">
        <v>1.783194E-4</v>
      </c>
      <c r="AA294">
        <v>0.99999899999999997</v>
      </c>
      <c r="AB294">
        <v>55</v>
      </c>
      <c r="AC294">
        <v>0.86370000000005098</v>
      </c>
      <c r="AD294">
        <v>-7.8326000000000104E-2</v>
      </c>
      <c r="AE294">
        <v>-2.0000000000663901E-4</v>
      </c>
      <c r="AF294">
        <v>-1.4858345899712E-3</v>
      </c>
      <c r="AG294">
        <v>-7.8326000000000104E-2</v>
      </c>
      <c r="AH294">
        <v>0.85665355756903605</v>
      </c>
      <c r="AI294">
        <v>95.224164571363403</v>
      </c>
      <c r="AJ294">
        <v>90.099377356153397</v>
      </c>
      <c r="AK294">
        <v>0.86022816024361504</v>
      </c>
    </row>
    <row r="295" spans="1:37" x14ac:dyDescent="0.2">
      <c r="A295" t="str">
        <f>"20200111154034609"</f>
        <v>20200111154034609</v>
      </c>
      <c r="B295" t="str">
        <f>"1578728434597159"</f>
        <v>1578728434597159</v>
      </c>
      <c r="C295" t="s">
        <v>37</v>
      </c>
      <c r="D295">
        <v>5.0194869999999998</v>
      </c>
      <c r="E295">
        <v>0.53378059999999905</v>
      </c>
      <c r="F295" t="s">
        <v>39</v>
      </c>
      <c r="G295">
        <v>-369.9434</v>
      </c>
      <c r="H295" s="1">
        <v>-6.0824769999999998E-7</v>
      </c>
      <c r="I295">
        <v>367.3503</v>
      </c>
      <c r="J295">
        <v>-386.06819999999999</v>
      </c>
      <c r="K295">
        <v>1.107035</v>
      </c>
      <c r="L295">
        <v>367.37009999999998</v>
      </c>
      <c r="M295">
        <v>0.99999039999999995</v>
      </c>
      <c r="N295">
        <v>0</v>
      </c>
      <c r="O295">
        <v>-1.887927E-3</v>
      </c>
      <c r="P295">
        <v>0.99437419999999999</v>
      </c>
      <c r="Q295">
        <v>4.7524660000000003E-2</v>
      </c>
      <c r="R295">
        <v>9.4667669999999995E-2</v>
      </c>
      <c r="S295">
        <v>3.0275569999999998</v>
      </c>
      <c r="T295">
        <v>-0.20406759999999999</v>
      </c>
      <c r="U295">
        <v>-3.7536620000000001E-3</v>
      </c>
      <c r="V295">
        <v>-9.6565120000000004E-2</v>
      </c>
      <c r="W295">
        <v>5.1452150000000002E-2</v>
      </c>
      <c r="X295">
        <v>0.99399590000000004</v>
      </c>
      <c r="Y295">
        <v>-6.4237069999999999E-4</v>
      </c>
      <c r="Z295">
        <v>1.4873379999999999E-4</v>
      </c>
      <c r="AA295">
        <v>0.99999979999999999</v>
      </c>
      <c r="AB295">
        <v>55</v>
      </c>
      <c r="AC295">
        <v>16.124799999999901</v>
      </c>
      <c r="AD295">
        <v>-1.1070356082477</v>
      </c>
      <c r="AE295">
        <v>-1.9799999999975101E-2</v>
      </c>
      <c r="AF295">
        <v>-1.05927905649077E-2</v>
      </c>
      <c r="AG295">
        <v>-1.1070356082477</v>
      </c>
      <c r="AH295">
        <v>16.049162598720802</v>
      </c>
      <c r="AI295">
        <v>93.945884654792906</v>
      </c>
      <c r="AJ295">
        <v>90.037816434394699</v>
      </c>
      <c r="AK295">
        <v>16.087301208261099</v>
      </c>
    </row>
    <row r="296" spans="1:37" x14ac:dyDescent="0.2">
      <c r="A296" t="str">
        <f>"20200111154034621"</f>
        <v>20200111154034621</v>
      </c>
      <c r="B296" t="str">
        <f>"1578728434616678"</f>
        <v>1578728434616678</v>
      </c>
      <c r="C296" t="s">
        <v>37</v>
      </c>
      <c r="D296">
        <v>5.0217700000000001</v>
      </c>
      <c r="E296">
        <v>0.53371119999999905</v>
      </c>
      <c r="F296" t="s">
        <v>38</v>
      </c>
      <c r="G296">
        <v>-385.00699999999898</v>
      </c>
      <c r="H296">
        <v>1.035488</v>
      </c>
      <c r="I296">
        <v>367.36790000000002</v>
      </c>
      <c r="J296">
        <v>-385.77390000000003</v>
      </c>
      <c r="K296">
        <v>1.107192</v>
      </c>
      <c r="L296">
        <v>367.36959999999999</v>
      </c>
      <c r="M296">
        <v>0.99998999999999905</v>
      </c>
      <c r="N296">
        <v>0</v>
      </c>
      <c r="O296">
        <v>-1.80984299999999E-3</v>
      </c>
      <c r="P296">
        <v>0.99448419999999904</v>
      </c>
      <c r="Q296">
        <v>4.700091E-2</v>
      </c>
      <c r="R296">
        <v>9.3766959999999996E-2</v>
      </c>
      <c r="S296">
        <v>3.0273129999999999</v>
      </c>
      <c r="T296">
        <v>-0.20424400000000001</v>
      </c>
      <c r="U296">
        <v>-6.0424800000000002E-3</v>
      </c>
      <c r="V296">
        <v>-9.5587110000000003E-2</v>
      </c>
      <c r="W296">
        <v>5.1003079999999999E-2</v>
      </c>
      <c r="X296">
        <v>0.99411360000000004</v>
      </c>
      <c r="Y296">
        <v>1.8980860000000001E-4</v>
      </c>
      <c r="Z296">
        <v>1.155714E-4</v>
      </c>
      <c r="AA296">
        <v>1</v>
      </c>
      <c r="AB296">
        <v>55</v>
      </c>
      <c r="AC296">
        <v>0.76690000000007696</v>
      </c>
      <c r="AD296">
        <v>-7.1703999999999907E-2</v>
      </c>
      <c r="AE296">
        <v>-1.6999999999711599E-3</v>
      </c>
      <c r="AF296">
        <v>3.0931302069267698E-4</v>
      </c>
      <c r="AG296">
        <v>-7.1703999999999907E-2</v>
      </c>
      <c r="AH296">
        <v>0.76025572100029304</v>
      </c>
      <c r="AI296">
        <v>95.387948965800604</v>
      </c>
      <c r="AJ296">
        <v>89.976688988761595</v>
      </c>
      <c r="AK296">
        <v>0.76362970123235796</v>
      </c>
    </row>
    <row r="297" spans="1:37" x14ac:dyDescent="0.2">
      <c r="A297" t="str">
        <f>"20200111154034640"</f>
        <v>20200111154034640</v>
      </c>
      <c r="B297" t="str">
        <f>"1578728434637174"</f>
        <v>1578728434637174</v>
      </c>
      <c r="C297" t="s">
        <v>37</v>
      </c>
      <c r="D297">
        <v>5.0457769999999904</v>
      </c>
      <c r="E297">
        <v>0.53368649999999995</v>
      </c>
      <c r="F297" t="s">
        <v>39</v>
      </c>
      <c r="G297">
        <v>-369.40140000000002</v>
      </c>
      <c r="H297" s="1">
        <v>-7.9895979999999996E-7</v>
      </c>
      <c r="I297">
        <v>367.32679999999999</v>
      </c>
      <c r="J297">
        <v>-385.31869999999998</v>
      </c>
      <c r="K297">
        <v>1.1073999999999999</v>
      </c>
      <c r="L297">
        <v>367.36869999999999</v>
      </c>
      <c r="M297">
        <v>0.99998999999999905</v>
      </c>
      <c r="N297">
        <v>0</v>
      </c>
      <c r="O297">
        <v>-1.6896139999999899E-3</v>
      </c>
      <c r="P297">
        <v>0.994708499999999</v>
      </c>
      <c r="Q297">
        <v>4.6442579999999997E-2</v>
      </c>
      <c r="R297">
        <v>9.1641990000000006E-2</v>
      </c>
      <c r="S297">
        <v>3.027069</v>
      </c>
      <c r="T297">
        <v>-0.20470550000000001</v>
      </c>
      <c r="U297">
        <v>-7.9040529999999994E-3</v>
      </c>
      <c r="V297">
        <v>-9.3343519999999999E-2</v>
      </c>
      <c r="W297">
        <v>5.0553050000000002E-2</v>
      </c>
      <c r="X297">
        <v>0.994349699999999</v>
      </c>
      <c r="Y297">
        <v>9.232388E-4</v>
      </c>
      <c r="Z297" s="1">
        <v>8.2949130000000004E-5</v>
      </c>
      <c r="AA297">
        <v>0.99999959999999899</v>
      </c>
      <c r="AB297">
        <v>55</v>
      </c>
      <c r="AC297">
        <v>15.9172999999999</v>
      </c>
      <c r="AD297">
        <v>-1.1074007989598</v>
      </c>
      <c r="AE297">
        <v>-4.1899999999998203E-2</v>
      </c>
      <c r="AF297">
        <v>1.4933335627248599E-2</v>
      </c>
      <c r="AG297">
        <v>-1.1074007989598</v>
      </c>
      <c r="AH297">
        <v>15.840675236040299</v>
      </c>
      <c r="AI297">
        <v>93.9989647691893</v>
      </c>
      <c r="AJ297">
        <v>89.945986087128503</v>
      </c>
      <c r="AK297">
        <v>15.8793435464993</v>
      </c>
    </row>
    <row r="298" spans="1:37" x14ac:dyDescent="0.2">
      <c r="A298" t="str">
        <f>"20200111154034661"</f>
        <v>20200111154034661</v>
      </c>
      <c r="B298" t="str">
        <f>"1578728434656694"</f>
        <v>1578728434656694</v>
      </c>
      <c r="C298" t="s">
        <v>37</v>
      </c>
      <c r="D298">
        <v>5.0542249999999997</v>
      </c>
      <c r="E298">
        <v>0.533524199999999</v>
      </c>
      <c r="F298" t="s">
        <v>39</v>
      </c>
      <c r="G298">
        <v>-369.07260000000002</v>
      </c>
      <c r="H298" s="1">
        <v>-9.2006000000000005E-7</v>
      </c>
      <c r="I298">
        <v>367.29219999999998</v>
      </c>
      <c r="J298">
        <v>-384.78699999999998</v>
      </c>
      <c r="K298">
        <v>1.107613</v>
      </c>
      <c r="L298">
        <v>367.36790000000002</v>
      </c>
      <c r="M298">
        <v>0.99998980000000004</v>
      </c>
      <c r="N298">
        <v>0</v>
      </c>
      <c r="O298">
        <v>-1.5478289999999999E-3</v>
      </c>
      <c r="P298">
        <v>0.99487590000000004</v>
      </c>
      <c r="Q298">
        <v>4.6595339999999999E-2</v>
      </c>
      <c r="R298">
        <v>8.9727619999999994E-2</v>
      </c>
      <c r="S298">
        <v>3.0269469999999998</v>
      </c>
      <c r="T298">
        <v>-0.20632819999999999</v>
      </c>
      <c r="U298">
        <v>-1.4251710000000001E-2</v>
      </c>
      <c r="V298">
        <v>-9.1289510000000004E-2</v>
      </c>
      <c r="W298">
        <v>5.0822119999999998E-2</v>
      </c>
      <c r="X298">
        <v>0.99452669999999999</v>
      </c>
      <c r="Y298">
        <v>3.1566609999999998E-3</v>
      </c>
      <c r="Z298" s="1">
        <v>-2.0758090000000001E-6</v>
      </c>
      <c r="AA298">
        <v>0.99999499999999997</v>
      </c>
      <c r="AB298">
        <v>55</v>
      </c>
      <c r="AC298">
        <v>15.7143999999999</v>
      </c>
      <c r="AD298">
        <v>-1.1076139200599999</v>
      </c>
      <c r="AE298">
        <v>-7.5700000000040193E-2</v>
      </c>
      <c r="AF298">
        <v>5.11225157786118E-2</v>
      </c>
      <c r="AG298">
        <v>-1.1076139200599999</v>
      </c>
      <c r="AH298">
        <v>15.6368165142169</v>
      </c>
      <c r="AI298">
        <v>94.0516844363638</v>
      </c>
      <c r="AJ298">
        <v>89.812679649119403</v>
      </c>
      <c r="AK298">
        <v>15.676078999763201</v>
      </c>
    </row>
    <row r="299" spans="1:37" x14ac:dyDescent="0.2">
      <c r="A299" t="str">
        <f>"20200111154034674"</f>
        <v>20200111154034674</v>
      </c>
      <c r="B299" t="str">
        <f>"1578728434667432"</f>
        <v>1578728434667432</v>
      </c>
      <c r="C299" t="s">
        <v>37</v>
      </c>
      <c r="D299">
        <v>5.0540900000000004</v>
      </c>
      <c r="E299">
        <v>0.53349119999999906</v>
      </c>
      <c r="F299" t="s">
        <v>39</v>
      </c>
      <c r="G299">
        <v>-368.52010000000001</v>
      </c>
      <c r="H299" s="1">
        <v>-1.114298E-6</v>
      </c>
      <c r="I299">
        <v>367.26870000000002</v>
      </c>
      <c r="J299">
        <v>-384.48169999999999</v>
      </c>
      <c r="K299">
        <v>1.1077170000000001</v>
      </c>
      <c r="L299">
        <v>367.36739999999998</v>
      </c>
      <c r="M299">
        <v>0.99998960000000003</v>
      </c>
      <c r="N299">
        <v>0</v>
      </c>
      <c r="O299">
        <v>-1.4661570000000001E-3</v>
      </c>
      <c r="P299">
        <v>0.99492760000000002</v>
      </c>
      <c r="Q299">
        <v>4.7376750000000002E-2</v>
      </c>
      <c r="R299">
        <v>8.8739940000000003E-2</v>
      </c>
      <c r="S299">
        <v>3.026764</v>
      </c>
      <c r="T299">
        <v>-0.2060912</v>
      </c>
      <c r="U299">
        <v>-1.843262E-2</v>
      </c>
      <c r="V299">
        <v>-9.0221380000000004E-2</v>
      </c>
      <c r="W299">
        <v>5.166453E-2</v>
      </c>
      <c r="X299">
        <v>0.99458069999999899</v>
      </c>
      <c r="Y299">
        <v>4.6163200000000001E-3</v>
      </c>
      <c r="Z299" s="1">
        <v>-5.726401E-5</v>
      </c>
      <c r="AA299">
        <v>0.99998929999999997</v>
      </c>
      <c r="AB299">
        <v>55</v>
      </c>
      <c r="AC299">
        <v>15.961599999999899</v>
      </c>
      <c r="AD299">
        <v>-1.1077181142979999</v>
      </c>
      <c r="AE299">
        <v>-9.8699999999951105E-2</v>
      </c>
      <c r="AF299">
        <v>7.49365674541147E-2</v>
      </c>
      <c r="AG299">
        <v>-1.1077181142979999</v>
      </c>
      <c r="AH299">
        <v>15.885223861544301</v>
      </c>
      <c r="AI299">
        <v>93.988882780541701</v>
      </c>
      <c r="AJ299">
        <v>89.729716292628595</v>
      </c>
      <c r="AK299">
        <v>15.9239753843461</v>
      </c>
    </row>
    <row r="300" spans="1:37" x14ac:dyDescent="0.2">
      <c r="A300" t="str">
        <f>"20200111154034686"</f>
        <v>20200111154034686</v>
      </c>
      <c r="B300" t="str">
        <f>"1578728434677191"</f>
        <v>1578728434677191</v>
      </c>
      <c r="C300" t="s">
        <v>37</v>
      </c>
      <c r="D300">
        <v>5.0501509999999996</v>
      </c>
      <c r="E300">
        <v>0.53343189999999996</v>
      </c>
      <c r="F300" t="s">
        <v>38</v>
      </c>
      <c r="G300">
        <v>-383.52249999999998</v>
      </c>
      <c r="H300">
        <v>1.0432489999999901</v>
      </c>
      <c r="I300">
        <v>367.36040000000003</v>
      </c>
      <c r="J300">
        <v>-384.15980000000002</v>
      </c>
      <c r="K300">
        <v>1.1078209999999999</v>
      </c>
      <c r="L300">
        <v>367.36689999999999</v>
      </c>
      <c r="M300">
        <v>0.99998940000000003</v>
      </c>
      <c r="N300">
        <v>0</v>
      </c>
      <c r="O300">
        <v>-1.3798389999999999E-3</v>
      </c>
      <c r="P300">
        <v>0.99496779999999996</v>
      </c>
      <c r="Q300">
        <v>4.8267360000000002E-2</v>
      </c>
      <c r="R300">
        <v>8.7804789999999994E-2</v>
      </c>
      <c r="S300">
        <v>3.0268549999999999</v>
      </c>
      <c r="T300">
        <v>-0.20374300000000001</v>
      </c>
      <c r="U300">
        <v>-2.1087649999999999E-2</v>
      </c>
      <c r="V300">
        <v>-8.9201509999999998E-2</v>
      </c>
      <c r="W300">
        <v>5.261739E-2</v>
      </c>
      <c r="X300">
        <v>0.99462280000000003</v>
      </c>
      <c r="Y300">
        <v>5.5773569999999998E-3</v>
      </c>
      <c r="Z300" s="1">
        <v>-9.4722369999999896E-5</v>
      </c>
      <c r="AA300">
        <v>0.9999844</v>
      </c>
      <c r="AB300">
        <v>55</v>
      </c>
      <c r="AC300">
        <v>0.63730000000003795</v>
      </c>
      <c r="AD300">
        <v>-6.4572000000000004E-2</v>
      </c>
      <c r="AE300">
        <v>-6.4999999999599796E-3</v>
      </c>
      <c r="AF300">
        <v>5.5635050129507497E-3</v>
      </c>
      <c r="AG300">
        <v>-6.4572000000000004E-2</v>
      </c>
      <c r="AH300">
        <v>0.63083291449832901</v>
      </c>
      <c r="AI300">
        <v>95.844210027084301</v>
      </c>
      <c r="AJ300">
        <v>89.494704405759293</v>
      </c>
      <c r="AK300">
        <v>0.63415350017679895</v>
      </c>
    </row>
    <row r="301" spans="1:37" x14ac:dyDescent="0.2">
      <c r="A301" t="str">
        <f>"20200111154034698"</f>
        <v>20200111154034698</v>
      </c>
      <c r="B301" t="str">
        <f>"1578728434686950"</f>
        <v>1578728434686950</v>
      </c>
      <c r="C301" t="s">
        <v>37</v>
      </c>
      <c r="D301">
        <v>5.1012930000000001</v>
      </c>
      <c r="E301">
        <v>0.53340080000000001</v>
      </c>
      <c r="F301" t="s">
        <v>38</v>
      </c>
      <c r="G301">
        <v>-383.03449999999998</v>
      </c>
      <c r="H301">
        <v>1.0332059999999901</v>
      </c>
      <c r="I301">
        <v>367.35789999999997</v>
      </c>
      <c r="J301">
        <v>-383.86399999999998</v>
      </c>
      <c r="K301">
        <v>1.107907</v>
      </c>
      <c r="L301">
        <v>367.36649999999997</v>
      </c>
      <c r="M301">
        <v>0.99998920000000002</v>
      </c>
      <c r="N301">
        <v>0</v>
      </c>
      <c r="O301">
        <v>-1.300304E-3</v>
      </c>
      <c r="P301">
        <v>0.99497969999999902</v>
      </c>
      <c r="Q301">
        <v>4.9730950000000003E-2</v>
      </c>
      <c r="R301">
        <v>8.6846690000000004E-2</v>
      </c>
      <c r="S301">
        <v>3.0270079999999999</v>
      </c>
      <c r="T301">
        <v>-0.20084099999999999</v>
      </c>
      <c r="U301">
        <v>-2.3529049999999999E-2</v>
      </c>
      <c r="V301">
        <v>-8.816512E-2</v>
      </c>
      <c r="W301">
        <v>5.4135370000000002E-2</v>
      </c>
      <c r="X301">
        <v>0.99463369999999995</v>
      </c>
      <c r="Y301">
        <v>6.4611740000000001E-3</v>
      </c>
      <c r="Z301">
        <v>-1.279303E-4</v>
      </c>
      <c r="AA301">
        <v>0.99997909999999901</v>
      </c>
      <c r="AB301">
        <v>55</v>
      </c>
      <c r="AC301">
        <v>0.82950000000005197</v>
      </c>
      <c r="AD301">
        <v>-7.4701000000000101E-2</v>
      </c>
      <c r="AE301">
        <v>-8.6000000000012698E-3</v>
      </c>
      <c r="AF301">
        <v>7.4608787131128897E-3</v>
      </c>
      <c r="AG301">
        <v>-7.4701000000000101E-2</v>
      </c>
      <c r="AH301">
        <v>0.82283799488579001</v>
      </c>
      <c r="AI301">
        <v>95.187141168361507</v>
      </c>
      <c r="AJ301">
        <v>89.480499016883499</v>
      </c>
      <c r="AK301">
        <v>0.82625557180562403</v>
      </c>
    </row>
    <row r="302" spans="1:37" x14ac:dyDescent="0.2">
      <c r="A302" t="str">
        <f>"20200111154034710"</f>
        <v>20200111154034710</v>
      </c>
      <c r="B302" t="str">
        <f>"1578728434706470"</f>
        <v>1578728434706470</v>
      </c>
      <c r="C302" t="s">
        <v>37</v>
      </c>
      <c r="D302">
        <v>5.1014669999999898</v>
      </c>
      <c r="E302">
        <v>0.53325400000000001</v>
      </c>
      <c r="F302" t="s">
        <v>39</v>
      </c>
      <c r="G302">
        <v>-366.80059999999997</v>
      </c>
      <c r="H302" s="1">
        <v>-1.779752E-6</v>
      </c>
      <c r="I302">
        <v>367.2208</v>
      </c>
      <c r="J302">
        <v>-383.58069999999998</v>
      </c>
      <c r="K302">
        <v>1.1079829999999999</v>
      </c>
      <c r="L302">
        <v>367.36610000000002</v>
      </c>
      <c r="M302">
        <v>0.99998920000000002</v>
      </c>
      <c r="N302">
        <v>0</v>
      </c>
      <c r="O302">
        <v>-1.2239799999999999E-3</v>
      </c>
      <c r="P302">
        <v>0.99497469999999999</v>
      </c>
      <c r="Q302">
        <v>5.123689E-2</v>
      </c>
      <c r="R302">
        <v>8.6026619999999998E-2</v>
      </c>
      <c r="S302">
        <v>3.0272220000000001</v>
      </c>
      <c r="T302">
        <v>-0.19655329999999999</v>
      </c>
      <c r="U302">
        <v>-2.581787E-2</v>
      </c>
      <c r="V302">
        <v>-8.7270239999999999E-2</v>
      </c>
      <c r="W302">
        <v>5.5689900000000001E-2</v>
      </c>
      <c r="X302">
        <v>0.99462680000000003</v>
      </c>
      <c r="Y302">
        <v>7.2915300000000001E-3</v>
      </c>
      <c r="Z302">
        <v>-1.5707420000000001E-4</v>
      </c>
      <c r="AA302">
        <v>0.99997340000000001</v>
      </c>
      <c r="AB302">
        <v>55</v>
      </c>
      <c r="AC302">
        <v>16.780100000000001</v>
      </c>
      <c r="AD302">
        <v>-1.1079847797519999</v>
      </c>
      <c r="AE302">
        <v>-0.14530000000002</v>
      </c>
      <c r="AF302">
        <v>0.12421963090515201</v>
      </c>
      <c r="AG302">
        <v>-1.1079847797519999</v>
      </c>
      <c r="AH302">
        <v>16.7074276930956</v>
      </c>
      <c r="AI302">
        <v>93.794018225378494</v>
      </c>
      <c r="AJ302">
        <v>89.574014050919502</v>
      </c>
      <c r="AK302">
        <v>16.744587212256999</v>
      </c>
    </row>
    <row r="303" spans="1:37" x14ac:dyDescent="0.2">
      <c r="A303" t="str">
        <f>"20200111154034728"</f>
        <v>20200111154034728</v>
      </c>
      <c r="B303" t="str">
        <f>"1578728434717206"</f>
        <v>1578728434717206</v>
      </c>
      <c r="C303" t="s">
        <v>37</v>
      </c>
      <c r="D303">
        <v>5.1190629999999997</v>
      </c>
      <c r="E303">
        <v>0.50622339999999999</v>
      </c>
      <c r="F303" t="s">
        <v>38</v>
      </c>
      <c r="G303">
        <v>-382.53300000000002</v>
      </c>
      <c r="H303">
        <v>1.0413159999999999</v>
      </c>
      <c r="I303">
        <v>367.35640000000001</v>
      </c>
      <c r="J303">
        <v>-383.12959999999998</v>
      </c>
      <c r="K303">
        <v>1.108093</v>
      </c>
      <c r="L303">
        <v>367.3655</v>
      </c>
      <c r="M303">
        <v>0.99998889999999996</v>
      </c>
      <c r="N303">
        <v>0</v>
      </c>
      <c r="O303">
        <v>-1.1024050000000001E-3</v>
      </c>
      <c r="P303">
        <v>0.99494359999999904</v>
      </c>
      <c r="Q303">
        <v>5.3384479999999998E-2</v>
      </c>
      <c r="R303">
        <v>8.5074510000000006E-2</v>
      </c>
      <c r="S303">
        <v>3.0274349999999899</v>
      </c>
      <c r="T303">
        <v>-0.1928889</v>
      </c>
      <c r="U303">
        <v>-2.6977540000000001E-2</v>
      </c>
      <c r="V303">
        <v>-8.6198339999999998E-2</v>
      </c>
      <c r="W303">
        <v>5.7911219999999999E-2</v>
      </c>
      <c r="X303">
        <v>0.99459339999999996</v>
      </c>
      <c r="Y303">
        <v>7.7947199999999998E-3</v>
      </c>
      <c r="Z303">
        <v>-1.7789220000000001E-4</v>
      </c>
      <c r="AA303">
        <v>0.99996960000000001</v>
      </c>
      <c r="AB303">
        <v>55</v>
      </c>
      <c r="AC303">
        <v>0.59659999999996605</v>
      </c>
      <c r="AD303">
        <v>-6.6777000000000003E-2</v>
      </c>
      <c r="AE303">
        <v>-9.0999999999894499E-3</v>
      </c>
      <c r="AF303">
        <v>8.3378590073877792E-3</v>
      </c>
      <c r="AG303">
        <v>-6.6777000000000003E-2</v>
      </c>
      <c r="AH303">
        <v>0.58922942567945902</v>
      </c>
      <c r="AI303">
        <v>96.465066181328694</v>
      </c>
      <c r="AJ303">
        <v>89.189293289515305</v>
      </c>
      <c r="AK303">
        <v>0.593059865197749</v>
      </c>
    </row>
    <row r="304" spans="1:37" x14ac:dyDescent="0.2">
      <c r="A304" t="str">
        <f>"20200111154034741"</f>
        <v>20200111154034741</v>
      </c>
      <c r="B304" t="str">
        <f>"1578728434736726"</f>
        <v>1578728434736726</v>
      </c>
      <c r="C304" t="s">
        <v>37</v>
      </c>
      <c r="D304">
        <v>5.1125439999999998</v>
      </c>
      <c r="E304">
        <v>0.50238170000000004</v>
      </c>
      <c r="F304" t="s">
        <v>39</v>
      </c>
      <c r="G304">
        <v>-365.7448</v>
      </c>
      <c r="H304" s="1">
        <v>-2.017147E-6</v>
      </c>
      <c r="I304">
        <v>368.43619999999999</v>
      </c>
      <c r="J304">
        <v>-382.80930000000001</v>
      </c>
      <c r="K304">
        <v>1.108155</v>
      </c>
      <c r="L304">
        <v>367.36509999999998</v>
      </c>
      <c r="M304">
        <v>0.99998869999999895</v>
      </c>
      <c r="N304">
        <v>0</v>
      </c>
      <c r="O304">
        <v>-1.0157149999999999E-3</v>
      </c>
      <c r="P304">
        <v>0.99491909999999895</v>
      </c>
      <c r="Q304">
        <v>5.3904099999999899E-2</v>
      </c>
      <c r="R304">
        <v>8.5032839999999998E-2</v>
      </c>
      <c r="S304">
        <v>3.009735</v>
      </c>
      <c r="T304">
        <v>-0.19183620000000001</v>
      </c>
      <c r="U304">
        <v>0.1853638</v>
      </c>
      <c r="V304">
        <v>-8.6071209999999995E-2</v>
      </c>
      <c r="W304">
        <v>5.8480079999999997E-2</v>
      </c>
      <c r="X304">
        <v>0.99457109999999904</v>
      </c>
      <c r="Y304">
        <v>-6.2357250000000003E-2</v>
      </c>
      <c r="Z304">
        <v>2.048008E-3</v>
      </c>
      <c r="AA304">
        <v>0.99805180000000004</v>
      </c>
      <c r="AB304">
        <v>56</v>
      </c>
      <c r="AC304">
        <v>17.064499999999999</v>
      </c>
      <c r="AD304">
        <v>-1.1081570171470001</v>
      </c>
      <c r="AE304">
        <v>1.0710999999999999</v>
      </c>
      <c r="AF304">
        <v>-1.0838793962092299</v>
      </c>
      <c r="AG304">
        <v>-1.1081570171470001</v>
      </c>
      <c r="AH304">
        <v>16.992027123968299</v>
      </c>
      <c r="AI304">
        <v>93.7237876141767</v>
      </c>
      <c r="AJ304">
        <v>93.649811290205804</v>
      </c>
      <c r="AK304">
        <v>17.062584572738501</v>
      </c>
    </row>
    <row r="305" spans="1:37" x14ac:dyDescent="0.2">
      <c r="A305" t="str">
        <f>"20200111154034754"</f>
        <v>20200111154034754</v>
      </c>
      <c r="B305" t="str">
        <f>"1578728434746487"</f>
        <v>1578728434746487</v>
      </c>
      <c r="C305" t="s">
        <v>37</v>
      </c>
      <c r="D305">
        <v>5.1114839999999999</v>
      </c>
      <c r="E305">
        <v>0.50249109999999997</v>
      </c>
      <c r="F305" t="s">
        <v>39</v>
      </c>
      <c r="G305">
        <v>-362.56580000000002</v>
      </c>
      <c r="H305" s="1">
        <v>-3.3116900000000001E-6</v>
      </c>
      <c r="I305">
        <v>368.82639999999998</v>
      </c>
      <c r="J305">
        <v>-382.48970000000003</v>
      </c>
      <c r="K305">
        <v>1.108209</v>
      </c>
      <c r="L305">
        <v>367.36489999999998</v>
      </c>
      <c r="M305">
        <v>0.99998869999999895</v>
      </c>
      <c r="N305">
        <v>0</v>
      </c>
      <c r="O305">
        <v>-9.2925850000000003E-4</v>
      </c>
      <c r="P305">
        <v>0.99488909999999997</v>
      </c>
      <c r="Q305">
        <v>5.4087150000000001E-2</v>
      </c>
      <c r="R305">
        <v>8.5266380000000003E-2</v>
      </c>
      <c r="S305">
        <v>3.0056759999999998</v>
      </c>
      <c r="T305">
        <v>-0.16453409999999999</v>
      </c>
      <c r="U305">
        <v>0.21698000000000001</v>
      </c>
      <c r="V305">
        <v>-8.6218959999999997E-2</v>
      </c>
      <c r="W305">
        <v>5.8709039999999997E-2</v>
      </c>
      <c r="X305">
        <v>0.99454489999999995</v>
      </c>
      <c r="Y305">
        <v>-7.2819679999999998E-2</v>
      </c>
      <c r="Z305">
        <v>2.0398079999999902E-3</v>
      </c>
      <c r="AA305">
        <v>0.99734310000000004</v>
      </c>
      <c r="AB305">
        <v>56</v>
      </c>
      <c r="AC305">
        <v>19.9239</v>
      </c>
      <c r="AD305">
        <v>-1.10821231169</v>
      </c>
      <c r="AE305">
        <v>1.4615</v>
      </c>
      <c r="AF305">
        <v>-1.4754735822229501</v>
      </c>
      <c r="AG305">
        <v>-1.10821231169</v>
      </c>
      <c r="AH305">
        <v>19.861414191908199</v>
      </c>
      <c r="AI305">
        <v>93.184877376290601</v>
      </c>
      <c r="AJ305">
        <v>94.248610147452993</v>
      </c>
      <c r="AK305">
        <v>19.946952913218301</v>
      </c>
    </row>
    <row r="306" spans="1:37" x14ac:dyDescent="0.2">
      <c r="A306" t="str">
        <f>"20200111154034766"</f>
        <v>20200111154034766</v>
      </c>
      <c r="B306" t="str">
        <f>"1578728434757222"</f>
        <v>1578728434757222</v>
      </c>
      <c r="C306" t="s">
        <v>37</v>
      </c>
      <c r="D306">
        <v>5.1347779999999998</v>
      </c>
      <c r="E306">
        <v>0.50308640000000004</v>
      </c>
      <c r="F306" t="s">
        <v>39</v>
      </c>
      <c r="G306">
        <v>-361.64330000000001</v>
      </c>
      <c r="H306" s="1">
        <v>-3.6998460000000001E-6</v>
      </c>
      <c r="I306">
        <v>368.8691</v>
      </c>
      <c r="J306">
        <v>-382.17320000000001</v>
      </c>
      <c r="K306">
        <v>1.1082540000000001</v>
      </c>
      <c r="L306">
        <v>367.36450000000002</v>
      </c>
      <c r="M306">
        <v>0.99998849999999995</v>
      </c>
      <c r="N306">
        <v>0</v>
      </c>
      <c r="O306">
        <v>-8.4339539999999996E-4</v>
      </c>
      <c r="P306">
        <v>0.99485199999999996</v>
      </c>
      <c r="Q306">
        <v>5.4345829999999998E-2</v>
      </c>
      <c r="R306">
        <v>8.5535459999999994E-2</v>
      </c>
      <c r="S306">
        <v>3.005493</v>
      </c>
      <c r="T306">
        <v>-0.15977420000000001</v>
      </c>
      <c r="U306">
        <v>0.21688840000000001</v>
      </c>
      <c r="V306">
        <v>-8.6402850000000003E-2</v>
      </c>
      <c r="W306">
        <v>5.9011790000000001E-2</v>
      </c>
      <c r="X306">
        <v>0.99451100000000003</v>
      </c>
      <c r="Y306">
        <v>-7.2714710000000002E-2</v>
      </c>
      <c r="Z306">
        <v>1.9736630000000001E-3</v>
      </c>
      <c r="AA306">
        <v>0.99735079999999998</v>
      </c>
      <c r="AB306">
        <v>56</v>
      </c>
      <c r="AC306">
        <v>20.529900000000001</v>
      </c>
      <c r="AD306">
        <v>-1.1082576998460001</v>
      </c>
      <c r="AE306">
        <v>1.50459999999998</v>
      </c>
      <c r="AF306">
        <v>-1.51751587906486</v>
      </c>
      <c r="AG306">
        <v>-1.1082576998460001</v>
      </c>
      <c r="AH306">
        <v>20.469292358526399</v>
      </c>
      <c r="AI306">
        <v>93.090642953367706</v>
      </c>
      <c r="AJ306">
        <v>94.239935821698793</v>
      </c>
      <c r="AK306">
        <v>20.555364731167099</v>
      </c>
    </row>
    <row r="307" spans="1:37" x14ac:dyDescent="0.2">
      <c r="A307" t="str">
        <f>"20200111154034778"</f>
        <v>20200111154034778</v>
      </c>
      <c r="B307" t="str">
        <f>"1578728434766983"</f>
        <v>1578728434766983</v>
      </c>
      <c r="C307" t="s">
        <v>37</v>
      </c>
      <c r="D307">
        <v>5.0733169999999896</v>
      </c>
      <c r="E307">
        <v>0.50344440000000001</v>
      </c>
      <c r="F307" t="s">
        <v>39</v>
      </c>
      <c r="G307">
        <v>-360.70359999999999</v>
      </c>
      <c r="H307" s="1">
        <v>-4.0998979999999999E-6</v>
      </c>
      <c r="I307">
        <v>368.88639999999998</v>
      </c>
      <c r="J307">
        <v>-381.8723</v>
      </c>
      <c r="K307">
        <v>1.108293</v>
      </c>
      <c r="L307">
        <v>367.36430000000001</v>
      </c>
      <c r="M307">
        <v>0.9999884</v>
      </c>
      <c r="N307">
        <v>0</v>
      </c>
      <c r="O307">
        <v>-7.616977E-4</v>
      </c>
      <c r="P307">
        <v>0.9948264</v>
      </c>
      <c r="Q307">
        <v>5.4231920000000003E-2</v>
      </c>
      <c r="R307">
        <v>8.5904919999999996E-2</v>
      </c>
      <c r="S307">
        <v>3.0056759999999998</v>
      </c>
      <c r="T307">
        <v>-0.15515229999999999</v>
      </c>
      <c r="U307">
        <v>0.2130737</v>
      </c>
      <c r="V307">
        <v>-8.6691080000000004E-2</v>
      </c>
      <c r="W307">
        <v>5.8936580000000002E-2</v>
      </c>
      <c r="X307">
        <v>0.9944904</v>
      </c>
      <c r="Y307">
        <v>-7.1377209999999996E-2</v>
      </c>
      <c r="Z307">
        <v>1.8779529999999999E-3</v>
      </c>
      <c r="AA307">
        <v>0.99744759999999999</v>
      </c>
      <c r="AB307">
        <v>56</v>
      </c>
      <c r="AC307">
        <v>21.168700000000001</v>
      </c>
      <c r="AD307">
        <v>-1.108297099898</v>
      </c>
      <c r="AE307">
        <v>1.52209999999996</v>
      </c>
      <c r="AF307">
        <v>-1.5340405688013099</v>
      </c>
      <c r="AG307">
        <v>-1.108297099898</v>
      </c>
      <c r="AH307">
        <v>21.109967673750798</v>
      </c>
      <c r="AI307">
        <v>92.997444232274603</v>
      </c>
      <c r="AJ307">
        <v>94.156321950480802</v>
      </c>
      <c r="AK307">
        <v>21.194629935792101</v>
      </c>
    </row>
    <row r="308" spans="1:37" x14ac:dyDescent="0.2">
      <c r="A308" t="str">
        <f>"20200111154034797"</f>
        <v>20200111154034797</v>
      </c>
      <c r="B308" t="str">
        <f>"1578728434786502"</f>
        <v>1578728434786502</v>
      </c>
      <c r="C308" t="s">
        <v>37</v>
      </c>
      <c r="D308">
        <v>5.114795</v>
      </c>
      <c r="E308">
        <v>0.50406309999999999</v>
      </c>
      <c r="F308" t="s">
        <v>39</v>
      </c>
      <c r="G308">
        <v>-360.37220000000002</v>
      </c>
      <c r="H308" s="1">
        <v>-4.244193E-6</v>
      </c>
      <c r="I308">
        <v>368.87450000000001</v>
      </c>
      <c r="J308">
        <v>-381.42410000000001</v>
      </c>
      <c r="K308">
        <v>1.1083350000000001</v>
      </c>
      <c r="L308">
        <v>367.36399999999998</v>
      </c>
      <c r="M308">
        <v>0.99998829999999905</v>
      </c>
      <c r="N308">
        <v>0</v>
      </c>
      <c r="O308">
        <v>-6.3985929999999999E-4</v>
      </c>
      <c r="P308">
        <v>0.99469549999999995</v>
      </c>
      <c r="Q308">
        <v>5.4528189999999997E-2</v>
      </c>
      <c r="R308">
        <v>8.7222049999999995E-2</v>
      </c>
      <c r="S308">
        <v>3.0058590000000001</v>
      </c>
      <c r="T308">
        <v>-0.15494669999999999</v>
      </c>
      <c r="U308">
        <v>0.21115110000000001</v>
      </c>
      <c r="V308">
        <v>-8.7887519999999997E-2</v>
      </c>
      <c r="W308">
        <v>5.9287880000000001E-2</v>
      </c>
      <c r="X308">
        <v>0.99436449999999998</v>
      </c>
      <c r="Y308">
        <v>-7.0617970000000002E-2</v>
      </c>
      <c r="Z308">
        <v>1.8495969999999999E-3</v>
      </c>
      <c r="AA308">
        <v>0.99750169999999905</v>
      </c>
      <c r="AB308">
        <v>56</v>
      </c>
      <c r="AC308">
        <v>21.0518999999999</v>
      </c>
      <c r="AD308">
        <v>-1.108339244193</v>
      </c>
      <c r="AE308">
        <v>1.51049999999997</v>
      </c>
      <c r="AF308">
        <v>-1.5197791427814999</v>
      </c>
      <c r="AG308">
        <v>-1.108339244193</v>
      </c>
      <c r="AH308">
        <v>20.993038576922199</v>
      </c>
      <c r="AI308">
        <v>93.014283003686401</v>
      </c>
      <c r="AJ308">
        <v>94.1406719120708</v>
      </c>
      <c r="AK308">
        <v>21.0771395880749</v>
      </c>
    </row>
    <row r="309" spans="1:37" x14ac:dyDescent="0.2">
      <c r="A309" t="str">
        <f>"20200111154034812"</f>
        <v>20200111154034812</v>
      </c>
      <c r="B309" t="str">
        <f>"1578728434807000"</f>
        <v>1578728434807000</v>
      </c>
      <c r="C309" t="s">
        <v>37</v>
      </c>
      <c r="D309">
        <v>5.1363640000000004</v>
      </c>
      <c r="E309">
        <v>0.50460000000000005</v>
      </c>
      <c r="F309" t="s">
        <v>39</v>
      </c>
      <c r="G309">
        <v>-359.50099999999998</v>
      </c>
      <c r="H309" s="1">
        <v>-3.4678809999999999E-7</v>
      </c>
      <c r="I309">
        <v>368.89879999999999</v>
      </c>
      <c r="J309">
        <v>-381.03210000000001</v>
      </c>
      <c r="K309">
        <v>1.1083639999999999</v>
      </c>
      <c r="L309">
        <v>367.36380000000003</v>
      </c>
      <c r="M309">
        <v>0.99998799999999899</v>
      </c>
      <c r="N309">
        <v>0</v>
      </c>
      <c r="O309">
        <v>-5.3337980000000001E-4</v>
      </c>
      <c r="P309">
        <v>0.99465509999999902</v>
      </c>
      <c r="Q309">
        <v>5.4559240000000002E-2</v>
      </c>
      <c r="R309">
        <v>8.7661829999999996E-2</v>
      </c>
      <c r="S309">
        <v>3.0059200000000001</v>
      </c>
      <c r="T309">
        <v>-0.15196570000000001</v>
      </c>
      <c r="U309">
        <v>0.2104492</v>
      </c>
      <c r="V309">
        <v>-8.8221369999999993E-2</v>
      </c>
      <c r="W309">
        <v>5.9364979999999998E-2</v>
      </c>
      <c r="X309">
        <v>0.9943303</v>
      </c>
      <c r="Y309">
        <v>-7.028268E-2</v>
      </c>
      <c r="Z309">
        <v>1.80020299999999E-3</v>
      </c>
      <c r="AA309">
        <v>0.99752549999999995</v>
      </c>
      <c r="AB309">
        <v>56</v>
      </c>
      <c r="AC309">
        <v>21.531099999999999</v>
      </c>
      <c r="AD309">
        <v>-1.1083643467880999</v>
      </c>
      <c r="AE309">
        <v>1.53499999999996</v>
      </c>
      <c r="AF309">
        <v>-1.54241755837636</v>
      </c>
      <c r="AG309">
        <v>-1.1083643467880999</v>
      </c>
      <c r="AH309">
        <v>21.473662469534599</v>
      </c>
      <c r="AI309">
        <v>92.947123644644805</v>
      </c>
      <c r="AJ309">
        <v>94.108404992215497</v>
      </c>
      <c r="AK309">
        <v>21.5574976123185</v>
      </c>
    </row>
    <row r="310" spans="1:37" x14ac:dyDescent="0.2">
      <c r="A310" t="str">
        <f>"20200111154034829"</f>
        <v>20200111154034829</v>
      </c>
      <c r="B310" t="str">
        <f>"1578728434816758"</f>
        <v>1578728434816758</v>
      </c>
      <c r="C310" t="s">
        <v>37</v>
      </c>
      <c r="D310">
        <v>5.1917119999999999</v>
      </c>
      <c r="E310">
        <v>0.50503220000000004</v>
      </c>
      <c r="F310" t="s">
        <v>39</v>
      </c>
      <c r="G310">
        <v>-359.07459999999998</v>
      </c>
      <c r="H310" s="1">
        <v>-5.1058089999999999E-7</v>
      </c>
      <c r="I310">
        <v>368.87630000000001</v>
      </c>
      <c r="J310">
        <v>-380.60649999999998</v>
      </c>
      <c r="K310">
        <v>1.1084049999999901</v>
      </c>
      <c r="L310">
        <v>367.36360000000002</v>
      </c>
      <c r="M310">
        <v>0.99998770000000003</v>
      </c>
      <c r="N310">
        <v>0</v>
      </c>
      <c r="O310">
        <v>-4.1760579999999999E-4</v>
      </c>
      <c r="P310">
        <v>0.99448519999999896</v>
      </c>
      <c r="Q310">
        <v>5.5037330000000002E-2</v>
      </c>
      <c r="R310">
        <v>8.9273850000000002E-2</v>
      </c>
      <c r="S310">
        <v>3.006195</v>
      </c>
      <c r="T310">
        <v>-0.15174509999999999</v>
      </c>
      <c r="U310">
        <v>0.20709229999999901</v>
      </c>
      <c r="V310">
        <v>-8.9718619999999999E-2</v>
      </c>
      <c r="W310">
        <v>5.9888570000000002E-2</v>
      </c>
      <c r="X310">
        <v>0.99416489999999902</v>
      </c>
      <c r="Y310">
        <v>-6.9054219999999999E-2</v>
      </c>
      <c r="Z310">
        <v>1.7607160000000001E-3</v>
      </c>
      <c r="AA310">
        <v>0.99761129999999998</v>
      </c>
      <c r="AB310">
        <v>56</v>
      </c>
      <c r="AC310">
        <v>21.5319</v>
      </c>
      <c r="AD310">
        <v>-1.1084055105808901</v>
      </c>
      <c r="AE310">
        <v>1.5126999999999899</v>
      </c>
      <c r="AF310">
        <v>-1.5176898210546801</v>
      </c>
      <c r="AG310">
        <v>-1.1084055105808901</v>
      </c>
      <c r="AH310">
        <v>21.4746398271487</v>
      </c>
      <c r="AI310">
        <v>92.947339846274204</v>
      </c>
      <c r="AJ310">
        <v>94.042576624829195</v>
      </c>
      <c r="AK310">
        <v>21.556718230625499</v>
      </c>
    </row>
    <row r="311" spans="1:37" x14ac:dyDescent="0.2">
      <c r="A311" t="str">
        <f>"20200111154034845"</f>
        <v>20200111154034845</v>
      </c>
      <c r="B311" t="str">
        <f>"1578728434836279"</f>
        <v>1578728434836279</v>
      </c>
      <c r="C311" t="s">
        <v>37</v>
      </c>
      <c r="D311">
        <v>5.1845829999999999</v>
      </c>
      <c r="E311">
        <v>0.5054128</v>
      </c>
      <c r="F311" t="s">
        <v>39</v>
      </c>
      <c r="G311">
        <v>-358.50630000000001</v>
      </c>
      <c r="H311" s="1">
        <v>-7.4978119999999904E-7</v>
      </c>
      <c r="I311">
        <v>368.90230000000003</v>
      </c>
      <c r="J311">
        <v>-380.22160000000002</v>
      </c>
      <c r="K311">
        <v>1.10843799999999</v>
      </c>
      <c r="L311">
        <v>367.36340000000001</v>
      </c>
      <c r="M311">
        <v>0.99998759999999998</v>
      </c>
      <c r="N311">
        <v>0</v>
      </c>
      <c r="O311">
        <v>-3.1302469999999998E-4</v>
      </c>
      <c r="P311">
        <v>0.99439080000000002</v>
      </c>
      <c r="Q311">
        <v>5.5419399999999903E-2</v>
      </c>
      <c r="R311">
        <v>9.0087600000000004E-2</v>
      </c>
      <c r="S311">
        <v>3.006195</v>
      </c>
      <c r="T311">
        <v>-0.15077079999999901</v>
      </c>
      <c r="U311">
        <v>0.20932010000000001</v>
      </c>
      <c r="V311">
        <v>-9.0429280000000001E-2</v>
      </c>
      <c r="W311">
        <v>6.0310759999999998E-2</v>
      </c>
      <c r="X311">
        <v>0.99407500000000004</v>
      </c>
      <c r="Y311">
        <v>-6.9686079999999997E-2</v>
      </c>
      <c r="Z311">
        <v>1.7599619999999999E-3</v>
      </c>
      <c r="AA311">
        <v>0.99756739999999999</v>
      </c>
      <c r="AB311">
        <v>56</v>
      </c>
      <c r="AC311">
        <v>21.715299999999999</v>
      </c>
      <c r="AD311">
        <v>-1.1084387497811901</v>
      </c>
      <c r="AE311">
        <v>1.5389000000000099</v>
      </c>
      <c r="AF311">
        <v>-1.54170059953379</v>
      </c>
      <c r="AG311">
        <v>-1.1084387497811901</v>
      </c>
      <c r="AH311">
        <v>21.6586674653594</v>
      </c>
      <c r="AI311">
        <v>92.922323593012194</v>
      </c>
      <c r="AJ311">
        <v>94.071543194414303</v>
      </c>
      <c r="AK311">
        <v>21.741742192741601</v>
      </c>
    </row>
    <row r="312" spans="1:37" x14ac:dyDescent="0.2">
      <c r="A312" t="str">
        <f>"20200111154034857"</f>
        <v>20200111154034857</v>
      </c>
      <c r="B312" t="str">
        <f>"1578728434847016"</f>
        <v>1578728434847016</v>
      </c>
      <c r="C312" t="s">
        <v>37</v>
      </c>
      <c r="D312">
        <v>5.1990930000000004</v>
      </c>
      <c r="E312">
        <v>0.50557019999999997</v>
      </c>
      <c r="F312" t="s">
        <v>39</v>
      </c>
      <c r="G312">
        <v>-358.2724</v>
      </c>
      <c r="H312" s="1">
        <v>-8.5293979999999998E-7</v>
      </c>
      <c r="I312">
        <v>368.88639999999998</v>
      </c>
      <c r="J312">
        <v>-379.87819999999999</v>
      </c>
      <c r="K312">
        <v>1.1084579999999999</v>
      </c>
      <c r="L312">
        <v>367.36329999999998</v>
      </c>
      <c r="M312">
        <v>0.99998759999999998</v>
      </c>
      <c r="N312">
        <v>0</v>
      </c>
      <c r="O312">
        <v>-2.1987459999999999E-4</v>
      </c>
      <c r="P312">
        <v>0.99427330000000003</v>
      </c>
      <c r="Q312">
        <v>5.6110859999999999E-2</v>
      </c>
      <c r="R312">
        <v>9.0953930000000002E-2</v>
      </c>
      <c r="S312">
        <v>3.0064700000000002</v>
      </c>
      <c r="T312">
        <v>-0.1518265</v>
      </c>
      <c r="U312">
        <v>0.2086182</v>
      </c>
      <c r="V312">
        <v>-9.1203090000000001E-2</v>
      </c>
      <c r="W312">
        <v>6.1035159999999998E-2</v>
      </c>
      <c r="X312">
        <v>0.99396010000000001</v>
      </c>
      <c r="Y312">
        <v>-6.9354399999999997E-2</v>
      </c>
      <c r="Z312">
        <v>1.759067E-3</v>
      </c>
      <c r="AA312">
        <v>0.99759050000000005</v>
      </c>
      <c r="AB312">
        <v>56</v>
      </c>
      <c r="AC312">
        <v>21.605799999999899</v>
      </c>
      <c r="AD312">
        <v>-1.1084588529397901</v>
      </c>
      <c r="AE312">
        <v>1.5230999999999899</v>
      </c>
      <c r="AF312">
        <v>-1.5238595081761199</v>
      </c>
      <c r="AG312">
        <v>-1.1084588529397901</v>
      </c>
      <c r="AH312">
        <v>21.5490263761473</v>
      </c>
      <c r="AI312">
        <v>92.937315940656902</v>
      </c>
      <c r="AJ312">
        <v>94.044990827138307</v>
      </c>
      <c r="AK312">
        <v>21.631259015351201</v>
      </c>
    </row>
    <row r="313" spans="1:37" x14ac:dyDescent="0.2">
      <c r="A313" t="str">
        <f>"20200111154034875"</f>
        <v>20200111154034875</v>
      </c>
      <c r="B313" t="str">
        <f>"1578728434866534"</f>
        <v>1578728434866534</v>
      </c>
      <c r="C313" t="s">
        <v>37</v>
      </c>
      <c r="D313">
        <v>5.1909559999999999</v>
      </c>
      <c r="E313">
        <v>0.50587590000000004</v>
      </c>
      <c r="F313" t="s">
        <v>39</v>
      </c>
      <c r="G313">
        <v>-357.6404</v>
      </c>
      <c r="H313" s="1">
        <v>-1.1185529999999999E-6</v>
      </c>
      <c r="I313">
        <v>368.91750000000002</v>
      </c>
      <c r="J313">
        <v>-379.4504</v>
      </c>
      <c r="K313">
        <v>1.108487</v>
      </c>
      <c r="L313">
        <v>367.36320000000001</v>
      </c>
      <c r="M313">
        <v>0.99998750000000003</v>
      </c>
      <c r="N313">
        <v>0</v>
      </c>
      <c r="O313">
        <v>-1.037316E-4</v>
      </c>
      <c r="P313">
        <v>0.99409009999999998</v>
      </c>
      <c r="Q313">
        <v>5.6713640000000003E-2</v>
      </c>
      <c r="R313">
        <v>9.2566670000000004E-2</v>
      </c>
      <c r="S313">
        <v>3.0065</v>
      </c>
      <c r="T313">
        <v>-0.149860299999999</v>
      </c>
      <c r="U313">
        <v>0.210144</v>
      </c>
      <c r="V313">
        <v>-9.2700809999999995E-2</v>
      </c>
      <c r="W313">
        <v>6.1677210000000003E-2</v>
      </c>
      <c r="X313">
        <v>0.9937819</v>
      </c>
      <c r="Y313">
        <v>-6.9743650000000004E-2</v>
      </c>
      <c r="Z313">
        <v>1.7401719999999999E-3</v>
      </c>
      <c r="AA313">
        <v>0.99756339999999999</v>
      </c>
      <c r="AB313">
        <v>56</v>
      </c>
      <c r="AC313">
        <v>21.81</v>
      </c>
      <c r="AD313">
        <v>-1.108488118553</v>
      </c>
      <c r="AE313">
        <v>1.55430000000001</v>
      </c>
      <c r="AF313">
        <v>-1.5525721346383301</v>
      </c>
      <c r="AG313">
        <v>-1.108488118553</v>
      </c>
      <c r="AH313">
        <v>21.753928796669801</v>
      </c>
      <c r="AI313">
        <v>92.909639288714999</v>
      </c>
      <c r="AJ313">
        <v>94.082262802166099</v>
      </c>
      <c r="AK313">
        <v>21.837413863202901</v>
      </c>
    </row>
    <row r="314" spans="1:37" x14ac:dyDescent="0.2">
      <c r="A314" t="str">
        <f>"20200111154034888"</f>
        <v>20200111154034888</v>
      </c>
      <c r="B314" t="str">
        <f>"1578728434876294"</f>
        <v>1578728434876294</v>
      </c>
      <c r="C314" t="s">
        <v>37</v>
      </c>
      <c r="D314">
        <v>5.1951159999999996</v>
      </c>
      <c r="E314">
        <v>0.50601859999999999</v>
      </c>
      <c r="F314" t="s">
        <v>39</v>
      </c>
      <c r="G314">
        <v>-357.08749999999998</v>
      </c>
      <c r="H314" s="1">
        <v>-1.3510610000000001E-6</v>
      </c>
      <c r="I314">
        <v>368.94389999999999</v>
      </c>
      <c r="J314">
        <v>-379.12509999999997</v>
      </c>
      <c r="K314">
        <v>1.1085020000000001</v>
      </c>
      <c r="L314">
        <v>367.36320000000001</v>
      </c>
      <c r="M314">
        <v>0.99998719999999996</v>
      </c>
      <c r="N314">
        <v>0</v>
      </c>
      <c r="O314" s="1">
        <v>-1.5460649999999999E-5</v>
      </c>
      <c r="P314">
        <v>0.99399359999999903</v>
      </c>
      <c r="Q314">
        <v>5.6937679999999997E-2</v>
      </c>
      <c r="R314">
        <v>9.3461550000000004E-2</v>
      </c>
      <c r="S314">
        <v>3.006561</v>
      </c>
      <c r="T314">
        <v>-0.14902889999999999</v>
      </c>
      <c r="U314">
        <v>0.2125244</v>
      </c>
      <c r="V314">
        <v>-9.3508209999999994E-2</v>
      </c>
      <c r="W314">
        <v>6.1929449999999997E-2</v>
      </c>
      <c r="X314">
        <v>0.99369059999999898</v>
      </c>
      <c r="Y314">
        <v>-7.0440279999999994E-2</v>
      </c>
      <c r="Z314">
        <v>1.7433119999999999E-3</v>
      </c>
      <c r="AA314">
        <v>0.99751449999999997</v>
      </c>
      <c r="AB314">
        <v>56</v>
      </c>
      <c r="AC314">
        <v>22.037600000000001</v>
      </c>
      <c r="AD314">
        <v>-1.1085033510609901</v>
      </c>
      <c r="AE314">
        <v>1.58069999999997</v>
      </c>
      <c r="AF314">
        <v>-1.5770709253961499</v>
      </c>
      <c r="AG314">
        <v>-1.1085033510609901</v>
      </c>
      <c r="AH314">
        <v>21.9822419778897</v>
      </c>
      <c r="AI314">
        <v>92.879433280310906</v>
      </c>
      <c r="AJ314">
        <v>94.103537609269097</v>
      </c>
      <c r="AK314">
        <v>22.066601341338</v>
      </c>
    </row>
    <row r="315" spans="1:37" x14ac:dyDescent="0.2">
      <c r="A315" t="str">
        <f>"20200111154034907"</f>
        <v>20200111154034907</v>
      </c>
      <c r="B315" t="str">
        <f>"1578728434896789"</f>
        <v>1578728434896789</v>
      </c>
      <c r="C315" t="s">
        <v>37</v>
      </c>
      <c r="D315">
        <v>5.2284540000000002</v>
      </c>
      <c r="E315">
        <v>0.50635810000000003</v>
      </c>
      <c r="F315" t="s">
        <v>39</v>
      </c>
      <c r="G315">
        <v>-356.75810000000001</v>
      </c>
      <c r="H315" s="1">
        <v>-1.4900989999999999E-6</v>
      </c>
      <c r="I315">
        <v>368.95670000000001</v>
      </c>
      <c r="J315">
        <v>-378.63260000000002</v>
      </c>
      <c r="K315">
        <v>1.108525</v>
      </c>
      <c r="L315">
        <v>367.36309999999997</v>
      </c>
      <c r="M315">
        <v>0.99998690000000001</v>
      </c>
      <c r="N315">
        <v>0</v>
      </c>
      <c r="O315">
        <v>1.181411E-4</v>
      </c>
      <c r="P315">
        <v>0.99370059999999905</v>
      </c>
      <c r="Q315">
        <v>5.7381090000000003E-2</v>
      </c>
      <c r="R315">
        <v>9.6262829999999994E-2</v>
      </c>
      <c r="S315">
        <v>3.006561</v>
      </c>
      <c r="T315">
        <v>-0.14900389999999999</v>
      </c>
      <c r="U315">
        <v>0.2142029</v>
      </c>
      <c r="V315">
        <v>-9.6177369999999998E-2</v>
      </c>
      <c r="W315">
        <v>6.2412509999999997E-2</v>
      </c>
      <c r="X315">
        <v>0.9934056</v>
      </c>
      <c r="Y315">
        <v>-7.0860779999999998E-2</v>
      </c>
      <c r="Z315">
        <v>1.7467769999999999E-3</v>
      </c>
      <c r="AA315">
        <v>0.9974847</v>
      </c>
      <c r="AB315">
        <v>57</v>
      </c>
      <c r="AC315">
        <v>21.874500000000001</v>
      </c>
      <c r="AD315">
        <v>-1.108526490099</v>
      </c>
      <c r="AE315">
        <v>1.5936000000000301</v>
      </c>
      <c r="AF315">
        <v>-1.58696168039381</v>
      </c>
      <c r="AG315">
        <v>-1.108526490099</v>
      </c>
      <c r="AH315">
        <v>21.8189501875978</v>
      </c>
      <c r="AI315">
        <v>92.900800496053805</v>
      </c>
      <c r="AJ315">
        <v>94.159979102536695</v>
      </c>
      <c r="AK315">
        <v>21.904653972230701</v>
      </c>
    </row>
    <row r="316" spans="1:37" x14ac:dyDescent="0.2">
      <c r="A316" t="str">
        <f>"20200111154034920"</f>
        <v>20200111154034920</v>
      </c>
      <c r="B316" t="str">
        <f>"1578728434916310"</f>
        <v>1578728434916310</v>
      </c>
      <c r="C316" t="s">
        <v>37</v>
      </c>
      <c r="D316">
        <v>4.8983860000000004</v>
      </c>
      <c r="E316">
        <v>0.4724527</v>
      </c>
      <c r="F316" t="s">
        <v>39</v>
      </c>
      <c r="G316">
        <v>-356.08659999999998</v>
      </c>
      <c r="H316" s="1">
        <v>-1.7691219999999999E-6</v>
      </c>
      <c r="I316">
        <v>369.0077</v>
      </c>
      <c r="J316">
        <v>-378.31319999999999</v>
      </c>
      <c r="K316">
        <v>1.108536</v>
      </c>
      <c r="L316">
        <v>367.36320000000001</v>
      </c>
      <c r="M316">
        <v>0.99998679999999995</v>
      </c>
      <c r="N316">
        <v>0</v>
      </c>
      <c r="O316">
        <v>2.0456979999999999E-4</v>
      </c>
      <c r="P316">
        <v>0.99349979999999904</v>
      </c>
      <c r="Q316">
        <v>5.7532079999999999E-2</v>
      </c>
      <c r="R316">
        <v>9.8226399999999894E-2</v>
      </c>
      <c r="S316">
        <v>3.006348</v>
      </c>
      <c r="T316">
        <v>-0.14781359999999999</v>
      </c>
      <c r="U316">
        <v>0.2192993</v>
      </c>
      <c r="V316">
        <v>-9.8055249999999997E-2</v>
      </c>
      <c r="W316">
        <v>6.2588599999999994E-2</v>
      </c>
      <c r="X316">
        <v>0.99321090000000001</v>
      </c>
      <c r="Y316">
        <v>-7.2461280000000003E-2</v>
      </c>
      <c r="Z316">
        <v>1.767886E-3</v>
      </c>
      <c r="AA316">
        <v>0.99736959999999997</v>
      </c>
      <c r="AB316">
        <v>57</v>
      </c>
      <c r="AC316">
        <v>22.226600000000001</v>
      </c>
      <c r="AD316">
        <v>-1.108537769122</v>
      </c>
      <c r="AE316">
        <v>1.6444999999999901</v>
      </c>
      <c r="AF316">
        <v>-1.6359059296834</v>
      </c>
      <c r="AG316">
        <v>-1.108537769122</v>
      </c>
      <c r="AH316">
        <v>22.172084202358899</v>
      </c>
      <c r="AI316">
        <v>92.854487735588506</v>
      </c>
      <c r="AJ316">
        <v>94.219764549219093</v>
      </c>
      <c r="AK316">
        <v>22.259972193891802</v>
      </c>
    </row>
    <row r="317" spans="1:37" x14ac:dyDescent="0.2">
      <c r="A317" t="str">
        <f>"20200111154034932"</f>
        <v>20200111154034932</v>
      </c>
      <c r="B317" t="str">
        <f>"1578728434927047"</f>
        <v>1578728434927047</v>
      </c>
      <c r="C317" t="s">
        <v>37</v>
      </c>
      <c r="D317">
        <v>4.8828269999999998</v>
      </c>
      <c r="E317">
        <v>0.40084409999999998</v>
      </c>
      <c r="F317" t="s">
        <v>39</v>
      </c>
      <c r="G317">
        <v>-365.80329999999998</v>
      </c>
      <c r="H317" s="1">
        <v>-1.8200520000000001E-6</v>
      </c>
      <c r="I317">
        <v>369.4058</v>
      </c>
      <c r="J317">
        <v>-377.99889999999999</v>
      </c>
      <c r="K317">
        <v>1.1085449999999999</v>
      </c>
      <c r="L317">
        <v>367.36329999999998</v>
      </c>
      <c r="M317">
        <v>0.99998659999999995</v>
      </c>
      <c r="N317">
        <v>0</v>
      </c>
      <c r="O317">
        <v>2.8963019999999999E-4</v>
      </c>
      <c r="P317">
        <v>0.99324409999999896</v>
      </c>
      <c r="Q317">
        <v>5.7406619999999998E-2</v>
      </c>
      <c r="R317">
        <v>0.1008502</v>
      </c>
      <c r="S317">
        <v>2.9867249999999999</v>
      </c>
      <c r="T317">
        <v>-0.26465889999999997</v>
      </c>
      <c r="U317">
        <v>0.48767089999999902</v>
      </c>
      <c r="V317">
        <v>-0.10059460000000001</v>
      </c>
      <c r="W317">
        <v>6.2485329999999999E-2</v>
      </c>
      <c r="X317">
        <v>0.99296340000000005</v>
      </c>
      <c r="Y317">
        <v>-0.16024910000000001</v>
      </c>
      <c r="Z317">
        <v>7.0143069999999896E-3</v>
      </c>
      <c r="AA317">
        <v>0.98705169999999998</v>
      </c>
      <c r="AB317">
        <v>57</v>
      </c>
      <c r="AC317">
        <v>12.195600000000001</v>
      </c>
      <c r="AD317">
        <v>-1.1085468200519999</v>
      </c>
      <c r="AE317">
        <v>2.0425000000000102</v>
      </c>
      <c r="AF317">
        <v>-2.02271134867873</v>
      </c>
      <c r="AG317">
        <v>-1.1085468200519999</v>
      </c>
      <c r="AH317">
        <v>12.098953135778499</v>
      </c>
      <c r="AI317">
        <v>95.163746826532602</v>
      </c>
      <c r="AJ317">
        <v>99.490975271773607</v>
      </c>
      <c r="AK317">
        <v>12.316854478075401</v>
      </c>
    </row>
    <row r="318" spans="1:37" x14ac:dyDescent="0.2">
      <c r="A318" t="str">
        <f>"20200111154034945"</f>
        <v>20200111154034945</v>
      </c>
      <c r="B318" t="str">
        <f>"1578728434936807"</f>
        <v>1578728434936807</v>
      </c>
      <c r="C318" t="s">
        <v>37</v>
      </c>
      <c r="D318">
        <v>4.9707369999999997</v>
      </c>
      <c r="E318">
        <v>0.40084409999999998</v>
      </c>
      <c r="F318" t="s">
        <v>39</v>
      </c>
      <c r="G318">
        <v>-360.08300000000003</v>
      </c>
      <c r="H318" s="1">
        <v>-5.0116910000000002E-6</v>
      </c>
      <c r="I318">
        <v>373.9228</v>
      </c>
      <c r="J318">
        <v>-377.65609999999998</v>
      </c>
      <c r="K318">
        <v>1.1085510000000001</v>
      </c>
      <c r="L318">
        <v>367.36340000000001</v>
      </c>
      <c r="M318">
        <v>0.99998639999999905</v>
      </c>
      <c r="N318">
        <v>0</v>
      </c>
      <c r="O318">
        <v>3.8261399999999998E-4</v>
      </c>
      <c r="P318">
        <v>0.99296249999999997</v>
      </c>
      <c r="Q318">
        <v>5.6964180000000003E-2</v>
      </c>
      <c r="R318">
        <v>0.10383009999999999</v>
      </c>
      <c r="S318">
        <v>2.9222410000000001</v>
      </c>
      <c r="T318">
        <v>-0.180813</v>
      </c>
      <c r="U318">
        <v>1.0699160000000001</v>
      </c>
      <c r="V318">
        <v>-0.103482199999999</v>
      </c>
      <c r="W318">
        <v>6.2066990000000002E-2</v>
      </c>
      <c r="X318">
        <v>0.99269289999999999</v>
      </c>
      <c r="Y318">
        <v>-0.34287220000000002</v>
      </c>
      <c r="Z318">
        <v>1.024224E-2</v>
      </c>
      <c r="AA318">
        <v>0.939326199999999</v>
      </c>
      <c r="AB318">
        <v>57</v>
      </c>
      <c r="AC318">
        <v>17.573099999999901</v>
      </c>
      <c r="AD318">
        <v>-1.108556011691</v>
      </c>
      <c r="AE318">
        <v>6.5593999999999797</v>
      </c>
      <c r="AF318">
        <v>-6.5298683544391398</v>
      </c>
      <c r="AG318">
        <v>-1.108556011691</v>
      </c>
      <c r="AH318">
        <v>17.5144344884615</v>
      </c>
      <c r="AI318">
        <v>93.394015232528005</v>
      </c>
      <c r="AJ318">
        <v>110.446854396465</v>
      </c>
      <c r="AK318">
        <v>18.7249430602064</v>
      </c>
    </row>
    <row r="319" spans="1:37" x14ac:dyDescent="0.2">
      <c r="A319" t="str">
        <f>"20200111154034957"</f>
        <v>20200111154034957</v>
      </c>
      <c r="B319" t="str">
        <f>"1578728434946568"</f>
        <v>1578728434946568</v>
      </c>
      <c r="C319" t="s">
        <v>37</v>
      </c>
      <c r="D319">
        <v>5.2666589999999998</v>
      </c>
      <c r="E319">
        <v>0.3338449</v>
      </c>
      <c r="F319" t="s">
        <v>38</v>
      </c>
      <c r="G319">
        <v>-376.48829999999998</v>
      </c>
      <c r="H319">
        <v>1.0357719999999999</v>
      </c>
      <c r="I319">
        <v>367.79480000000001</v>
      </c>
      <c r="J319">
        <v>-377.33839999999998</v>
      </c>
      <c r="K319">
        <v>1.1085559999999901</v>
      </c>
      <c r="L319">
        <v>367.36349999999999</v>
      </c>
      <c r="M319">
        <v>0.99998639999999905</v>
      </c>
      <c r="N319">
        <v>0</v>
      </c>
      <c r="O319">
        <v>4.685108E-4</v>
      </c>
      <c r="P319">
        <v>0.99266379999999999</v>
      </c>
      <c r="Q319">
        <v>5.6539619999999999E-2</v>
      </c>
      <c r="R319">
        <v>0.1068737</v>
      </c>
      <c r="S319">
        <v>2.9189150000000001</v>
      </c>
      <c r="T319">
        <v>-0.18188859999999901</v>
      </c>
      <c r="U319">
        <v>1.0788879999999901</v>
      </c>
      <c r="V319">
        <v>-0.10644049999999999</v>
      </c>
      <c r="W319">
        <v>6.1663889999999999E-2</v>
      </c>
      <c r="X319">
        <v>0.99240519999999999</v>
      </c>
      <c r="Y319">
        <v>-0.34566629999999998</v>
      </c>
      <c r="Z319">
        <v>1.03877999999999E-2</v>
      </c>
      <c r="AA319">
        <v>0.93830000000000002</v>
      </c>
      <c r="AB319">
        <v>57</v>
      </c>
      <c r="AC319">
        <v>0.85009999999999697</v>
      </c>
      <c r="AD319">
        <v>-7.2783999999999904E-2</v>
      </c>
      <c r="AE319">
        <v>0.431300000000021</v>
      </c>
      <c r="AF319">
        <v>-0.42840414097408602</v>
      </c>
      <c r="AG319">
        <v>-7.2783999999999904E-2</v>
      </c>
      <c r="AH319">
        <v>0.84537358992543499</v>
      </c>
      <c r="AI319">
        <v>94.391608459940201</v>
      </c>
      <c r="AJ319">
        <v>116.87420948406699</v>
      </c>
      <c r="AK319">
        <v>0.95051781950848302</v>
      </c>
    </row>
    <row r="320" spans="1:37" x14ac:dyDescent="0.2">
      <c r="A320" t="str">
        <f>"20200111154034975"</f>
        <v>20200111154034975</v>
      </c>
      <c r="B320" t="str">
        <f>"1578728434966703"</f>
        <v>1578728434966703</v>
      </c>
      <c r="C320" t="s">
        <v>37</v>
      </c>
      <c r="D320">
        <v>5.211767</v>
      </c>
      <c r="E320">
        <v>0.32367259999999998</v>
      </c>
      <c r="F320" t="s">
        <v>38</v>
      </c>
      <c r="G320">
        <v>-376.4973</v>
      </c>
      <c r="H320">
        <v>1.0135399999999899</v>
      </c>
      <c r="I320">
        <v>367.83640000000003</v>
      </c>
      <c r="J320">
        <v>-376.89920000000001</v>
      </c>
      <c r="K320">
        <v>1.108565</v>
      </c>
      <c r="L320">
        <v>367.36380000000003</v>
      </c>
      <c r="M320">
        <v>0.99998609999999899</v>
      </c>
      <c r="N320">
        <v>0</v>
      </c>
      <c r="O320">
        <v>5.8746959999999996E-4</v>
      </c>
      <c r="P320">
        <v>0.99209009999999997</v>
      </c>
      <c r="Q320">
        <v>5.5567310000000002E-2</v>
      </c>
      <c r="R320">
        <v>0.112558399999999</v>
      </c>
      <c r="S320">
        <v>2.867035</v>
      </c>
      <c r="T320">
        <v>-0.32379940000000001</v>
      </c>
      <c r="U320">
        <v>1.612244</v>
      </c>
      <c r="V320">
        <v>-0.112007</v>
      </c>
      <c r="W320">
        <v>6.0717239999999999E-2</v>
      </c>
      <c r="X320">
        <v>0.99185069999999997</v>
      </c>
      <c r="Y320">
        <v>-0.48728969999999999</v>
      </c>
      <c r="Z320">
        <v>2.5502070000000002E-2</v>
      </c>
      <c r="AA320">
        <v>0.87286790000000003</v>
      </c>
      <c r="AB320">
        <v>57</v>
      </c>
      <c r="AC320">
        <v>0.40190000000001103</v>
      </c>
      <c r="AD320">
        <v>-9.5025000000000096E-2</v>
      </c>
      <c r="AE320">
        <v>0.47259999999999902</v>
      </c>
      <c r="AF320">
        <v>-0.46153547200092898</v>
      </c>
      <c r="AG320">
        <v>-9.5025000000000096E-2</v>
      </c>
      <c r="AH320">
        <v>0.39295816360910801</v>
      </c>
      <c r="AI320">
        <v>98.909477315960501</v>
      </c>
      <c r="AJ320">
        <v>139.58843325815599</v>
      </c>
      <c r="AK320">
        <v>0.61356406420777598</v>
      </c>
    </row>
    <row r="321" spans="1:37" x14ac:dyDescent="0.2">
      <c r="A321" t="str">
        <f>"20200111154034986"</f>
        <v>20200111154034986</v>
      </c>
      <c r="B321" t="str">
        <f>"1578728434976464"</f>
        <v>1578728434976464</v>
      </c>
      <c r="C321" t="s">
        <v>37</v>
      </c>
      <c r="D321">
        <v>5.1088680000000002</v>
      </c>
      <c r="E321">
        <v>0.3227949</v>
      </c>
      <c r="F321" t="s">
        <v>38</v>
      </c>
      <c r="G321">
        <v>-376.00049999999999</v>
      </c>
      <c r="H321">
        <v>0.99101790000000001</v>
      </c>
      <c r="I321">
        <v>367.90190000000001</v>
      </c>
      <c r="J321">
        <v>-376.61219999999997</v>
      </c>
      <c r="K321">
        <v>1.1085670000000001</v>
      </c>
      <c r="L321">
        <v>367.3639</v>
      </c>
      <c r="M321">
        <v>0.99998600000000004</v>
      </c>
      <c r="N321">
        <v>0</v>
      </c>
      <c r="O321">
        <v>6.6490970000000001E-4</v>
      </c>
      <c r="P321">
        <v>0.99180999999999997</v>
      </c>
      <c r="Q321">
        <v>5.5160529999999999E-2</v>
      </c>
      <c r="R321">
        <v>0.1151985</v>
      </c>
      <c r="S321">
        <v>2.851105</v>
      </c>
      <c r="T321">
        <v>-0.3728689</v>
      </c>
      <c r="U321">
        <v>1.707306</v>
      </c>
      <c r="V321">
        <v>-0.114570399999999</v>
      </c>
      <c r="W321">
        <v>6.0328359999999998E-2</v>
      </c>
      <c r="X321">
        <v>0.99158159999999895</v>
      </c>
      <c r="Y321">
        <v>-0.50998659999999996</v>
      </c>
      <c r="Z321">
        <v>3.0614590000000001E-2</v>
      </c>
      <c r="AA321">
        <v>0.85963729999999905</v>
      </c>
      <c r="AB321">
        <v>57</v>
      </c>
      <c r="AC321">
        <v>0.61169999999998403</v>
      </c>
      <c r="AD321">
        <v>-0.1175491</v>
      </c>
      <c r="AE321">
        <v>0.53800000000001003</v>
      </c>
      <c r="AF321">
        <v>-0.52662780388588504</v>
      </c>
      <c r="AG321">
        <v>-0.1175491</v>
      </c>
      <c r="AH321">
        <v>0.59957338545872896</v>
      </c>
      <c r="AI321">
        <v>98.379534771778197</v>
      </c>
      <c r="AJ321">
        <v>131.29405126706601</v>
      </c>
      <c r="AK321">
        <v>0.80662437310493096</v>
      </c>
    </row>
    <row r="322" spans="1:37" x14ac:dyDescent="0.2">
      <c r="A322" t="str">
        <f>"20200111154034997"</f>
        <v>20200111154034997</v>
      </c>
      <c r="B322" t="str">
        <f>"1578728434987200"</f>
        <v>1578728434987200</v>
      </c>
      <c r="C322" t="s">
        <v>37</v>
      </c>
      <c r="D322">
        <v>5.0845070000000003</v>
      </c>
      <c r="E322">
        <v>0.3220517</v>
      </c>
      <c r="F322" t="s">
        <v>39</v>
      </c>
      <c r="G322">
        <v>-368.4699</v>
      </c>
      <c r="H322" s="1">
        <v>-1.3495139999999999E-6</v>
      </c>
      <c r="I322">
        <v>372.2876</v>
      </c>
      <c r="J322">
        <v>-376.31380000000001</v>
      </c>
      <c r="K322">
        <v>1.1085659999999999</v>
      </c>
      <c r="L322">
        <v>367.36410000000001</v>
      </c>
      <c r="M322">
        <v>0.99998580000000004</v>
      </c>
      <c r="N322">
        <v>0</v>
      </c>
      <c r="O322">
        <v>7.4574669999999995E-4</v>
      </c>
      <c r="P322">
        <v>0.99153519999999995</v>
      </c>
      <c r="Q322">
        <v>5.4568760000000001E-2</v>
      </c>
      <c r="R322">
        <v>0.11781459999999901</v>
      </c>
      <c r="S322">
        <v>2.8464360000000002</v>
      </c>
      <c r="T322">
        <v>-0.38753270000000001</v>
      </c>
      <c r="U322">
        <v>1.721252</v>
      </c>
      <c r="V322">
        <v>-0.1171065</v>
      </c>
      <c r="W322">
        <v>5.9754349999999998E-2</v>
      </c>
      <c r="X322">
        <v>0.99132009999999904</v>
      </c>
      <c r="Y322">
        <v>-0.51334780000000002</v>
      </c>
      <c r="Z322">
        <v>3.2017839999999999E-2</v>
      </c>
      <c r="AA322">
        <v>0.85758319999999999</v>
      </c>
      <c r="AB322">
        <v>57</v>
      </c>
      <c r="AC322">
        <v>7.8439000000000103</v>
      </c>
      <c r="AD322">
        <v>-1.108567349514</v>
      </c>
      <c r="AE322">
        <v>4.92349999999999</v>
      </c>
      <c r="AF322">
        <v>-4.8481818008078701</v>
      </c>
      <c r="AG322">
        <v>-1.108567349514</v>
      </c>
      <c r="AH322">
        <v>7.7367140258529297</v>
      </c>
      <c r="AI322">
        <v>96.922788237415006</v>
      </c>
      <c r="AJ322">
        <v>122.073155449693</v>
      </c>
      <c r="AK322">
        <v>9.1973111429331702</v>
      </c>
    </row>
    <row r="323" spans="1:37" x14ac:dyDescent="0.2">
      <c r="A323" t="str">
        <f>"20200111154035010"</f>
        <v>20200111154035010</v>
      </c>
      <c r="B323" t="str">
        <f>"1578728435006719"</f>
        <v>1578728435006719</v>
      </c>
      <c r="C323" t="s">
        <v>37</v>
      </c>
      <c r="D323">
        <v>5.181273</v>
      </c>
      <c r="E323">
        <v>0.31819819999999999</v>
      </c>
      <c r="F323" t="s">
        <v>38</v>
      </c>
      <c r="G323">
        <v>-375.481999999999</v>
      </c>
      <c r="H323">
        <v>0.99261869999999996</v>
      </c>
      <c r="I323">
        <v>367.87189999999998</v>
      </c>
      <c r="J323">
        <v>-376.01400000000001</v>
      </c>
      <c r="K323">
        <v>1.1085670000000001</v>
      </c>
      <c r="L323">
        <v>367.36439999999999</v>
      </c>
      <c r="M323">
        <v>0.99998560000000003</v>
      </c>
      <c r="N323">
        <v>0</v>
      </c>
      <c r="O323">
        <v>8.2694159999999997E-4</v>
      </c>
      <c r="P323">
        <v>0.99128169999999904</v>
      </c>
      <c r="Q323">
        <v>5.395581E-2</v>
      </c>
      <c r="R323">
        <v>0.12020649999999999</v>
      </c>
      <c r="S323">
        <v>2.84124799999999</v>
      </c>
      <c r="T323">
        <v>-0.39602389999999998</v>
      </c>
      <c r="U323">
        <v>1.7347109999999999</v>
      </c>
      <c r="V323">
        <v>-0.1194181</v>
      </c>
      <c r="W323">
        <v>5.9158879999999997E-2</v>
      </c>
      <c r="X323">
        <v>0.99107999999999996</v>
      </c>
      <c r="Y323">
        <v>-0.51675499999999996</v>
      </c>
      <c r="Z323">
        <v>3.2935609999999997E-2</v>
      </c>
      <c r="AA323">
        <v>0.85549959999999903</v>
      </c>
      <c r="AB323">
        <v>57</v>
      </c>
      <c r="AC323">
        <v>0.532000000000039</v>
      </c>
      <c r="AD323">
        <v>-0.1159483</v>
      </c>
      <c r="AE323">
        <v>0.50749999999999296</v>
      </c>
      <c r="AF323">
        <v>-0.49475552122349398</v>
      </c>
      <c r="AG323">
        <v>-0.1159483</v>
      </c>
      <c r="AH323">
        <v>0.519499751893994</v>
      </c>
      <c r="AI323">
        <v>99.180918403374804</v>
      </c>
      <c r="AJ323">
        <v>133.60246345346201</v>
      </c>
      <c r="AK323">
        <v>0.72670972628136898</v>
      </c>
    </row>
    <row r="324" spans="1:37" x14ac:dyDescent="0.2">
      <c r="A324" t="str">
        <f>"20200111154035021"</f>
        <v>20200111154035021</v>
      </c>
      <c r="B324" t="str">
        <f>"1578728435016480"</f>
        <v>1578728435016480</v>
      </c>
      <c r="C324" t="s">
        <v>37</v>
      </c>
      <c r="D324">
        <v>5.257752</v>
      </c>
      <c r="E324">
        <v>0.31580239999999998</v>
      </c>
      <c r="F324" t="s">
        <v>39</v>
      </c>
      <c r="G324">
        <v>-368.50639999999999</v>
      </c>
      <c r="H324" s="1">
        <v>-1.2723299999999899E-6</v>
      </c>
      <c r="I324">
        <v>372.05630000000002</v>
      </c>
      <c r="J324">
        <v>-375.71969999999999</v>
      </c>
      <c r="K324">
        <v>1.1085639999999899</v>
      </c>
      <c r="L324">
        <v>367.3646</v>
      </c>
      <c r="M324">
        <v>0.99998549999999997</v>
      </c>
      <c r="N324">
        <v>0</v>
      </c>
      <c r="O324">
        <v>9.0658809999999998E-4</v>
      </c>
      <c r="P324">
        <v>0.99103449999999904</v>
      </c>
      <c r="Q324">
        <v>5.2855439999999997E-2</v>
      </c>
      <c r="R324">
        <v>0.12270689999999999</v>
      </c>
      <c r="S324">
        <v>2.8343509999999998</v>
      </c>
      <c r="T324">
        <v>-0.41850850000000001</v>
      </c>
      <c r="U324">
        <v>1.7713319999999999</v>
      </c>
      <c r="V324">
        <v>-0.121839</v>
      </c>
      <c r="W324">
        <v>5.807594E-2</v>
      </c>
      <c r="X324">
        <v>0.99084939999999999</v>
      </c>
      <c r="Y324">
        <v>-0.52510760000000001</v>
      </c>
      <c r="Z324">
        <v>3.5307280000000003E-2</v>
      </c>
      <c r="AA324">
        <v>0.85030319999999904</v>
      </c>
      <c r="AB324">
        <v>57</v>
      </c>
      <c r="AC324">
        <v>7.2133000000000003</v>
      </c>
      <c r="AD324">
        <v>-1.1085652723299999</v>
      </c>
      <c r="AE324">
        <v>4.6917000000000204</v>
      </c>
      <c r="AF324">
        <v>-4.6086676273781002</v>
      </c>
      <c r="AG324">
        <v>-1.1085652723299999</v>
      </c>
      <c r="AH324">
        <v>7.0997153214361601</v>
      </c>
      <c r="AI324">
        <v>97.461459221315707</v>
      </c>
      <c r="AJ324">
        <v>122.988978608409</v>
      </c>
      <c r="AK324">
        <v>8.5366674942915797</v>
      </c>
    </row>
    <row r="325" spans="1:37" x14ac:dyDescent="0.2">
      <c r="A325" t="str">
        <f>"20200111154035033"</f>
        <v>20200111154035033</v>
      </c>
      <c r="B325" t="str">
        <f>"1578728435027216"</f>
        <v>1578728435027216</v>
      </c>
      <c r="C325" t="s">
        <v>37</v>
      </c>
      <c r="D325">
        <v>5.2007539999999999</v>
      </c>
      <c r="E325">
        <v>0.3142144</v>
      </c>
      <c r="F325" t="s">
        <v>38</v>
      </c>
      <c r="G325">
        <v>-374.9631</v>
      </c>
      <c r="H325">
        <v>0.99218519999999899</v>
      </c>
      <c r="I325">
        <v>367.84539999999998</v>
      </c>
      <c r="J325">
        <v>-375.43759999999997</v>
      </c>
      <c r="K325">
        <v>1.1085609999999999</v>
      </c>
      <c r="L325">
        <v>367.36489999999998</v>
      </c>
      <c r="M325">
        <v>0.99998519999999902</v>
      </c>
      <c r="N325">
        <v>0</v>
      </c>
      <c r="O325">
        <v>9.8343549999999991E-4</v>
      </c>
      <c r="P325">
        <v>0.99077559999999998</v>
      </c>
      <c r="Q325">
        <v>5.2223600000000002E-2</v>
      </c>
      <c r="R325">
        <v>0.12504599999999999</v>
      </c>
      <c r="S325">
        <v>2.82782</v>
      </c>
      <c r="T325">
        <v>-0.43498019999999998</v>
      </c>
      <c r="U325">
        <v>1.7970889999999999</v>
      </c>
      <c r="V325">
        <v>-0.1241025</v>
      </c>
      <c r="W325">
        <v>5.7459469999999999E-2</v>
      </c>
      <c r="X325">
        <v>0.99060429999999999</v>
      </c>
      <c r="Y325">
        <v>-0.53108049999999996</v>
      </c>
      <c r="Z325">
        <v>3.7082900000000002E-2</v>
      </c>
      <c r="AA325">
        <v>0.84650959999999997</v>
      </c>
      <c r="AB325">
        <v>57</v>
      </c>
      <c r="AC325">
        <v>0.474499999999977</v>
      </c>
      <c r="AD325">
        <v>-0.1163758</v>
      </c>
      <c r="AE325">
        <v>0.48050000000000598</v>
      </c>
      <c r="AF325">
        <v>-0.46618812973440399</v>
      </c>
      <c r="AG325">
        <v>-0.1163758</v>
      </c>
      <c r="AH325">
        <v>0.46127328934788803</v>
      </c>
      <c r="AI325">
        <v>100.06238575671399</v>
      </c>
      <c r="AJ325">
        <v>135.30362122825099</v>
      </c>
      <c r="AK325">
        <v>0.66606887526495495</v>
      </c>
    </row>
    <row r="326" spans="1:37" x14ac:dyDescent="0.2">
      <c r="A326" t="str">
        <f>"20200111154035044"</f>
        <v>20200111154035044</v>
      </c>
      <c r="B326" t="str">
        <f>"1578728435036977"</f>
        <v>1578728435036977</v>
      </c>
      <c r="C326" t="s">
        <v>37</v>
      </c>
      <c r="D326">
        <v>5.1804180000000004</v>
      </c>
      <c r="E326">
        <v>0.31317590000000001</v>
      </c>
      <c r="F326" t="s">
        <v>39</v>
      </c>
      <c r="G326">
        <v>-368.4778</v>
      </c>
      <c r="H326" s="1">
        <v>-1.227367E-6</v>
      </c>
      <c r="I326">
        <v>371.84140000000002</v>
      </c>
      <c r="J326">
        <v>-375.12799999999999</v>
      </c>
      <c r="K326">
        <v>1.1085590000000001</v>
      </c>
      <c r="L326">
        <v>367.36520000000002</v>
      </c>
      <c r="M326">
        <v>0.99998500000000001</v>
      </c>
      <c r="N326">
        <v>0</v>
      </c>
      <c r="O326">
        <v>1.067969E-3</v>
      </c>
      <c r="P326">
        <v>0.99050499999999997</v>
      </c>
      <c r="Q326">
        <v>5.1362779999999997E-2</v>
      </c>
      <c r="R326">
        <v>0.12752179999999999</v>
      </c>
      <c r="S326">
        <v>2.8225099999999999</v>
      </c>
      <c r="T326">
        <v>-0.44956980000000002</v>
      </c>
      <c r="U326">
        <v>1.8154299999999901</v>
      </c>
      <c r="V326">
        <v>-0.1264941</v>
      </c>
      <c r="W326">
        <v>5.661588E-2</v>
      </c>
      <c r="X326">
        <v>0.99035039999999996</v>
      </c>
      <c r="Y326">
        <v>-0.53528989999999999</v>
      </c>
      <c r="Z326">
        <v>3.860719E-2</v>
      </c>
      <c r="AA326">
        <v>0.84378560000000002</v>
      </c>
      <c r="AB326">
        <v>57</v>
      </c>
      <c r="AC326">
        <v>6.6502000000000399</v>
      </c>
      <c r="AD326">
        <v>-1.1085602273670001</v>
      </c>
      <c r="AE326">
        <v>4.4762000000000004</v>
      </c>
      <c r="AF326">
        <v>-4.3852340808828503</v>
      </c>
      <c r="AG326">
        <v>-1.1085602273670001</v>
      </c>
      <c r="AH326">
        <v>6.5300983353479802</v>
      </c>
      <c r="AI326">
        <v>98.021994666824099</v>
      </c>
      <c r="AJ326">
        <v>123.883011752332</v>
      </c>
      <c r="AK326">
        <v>7.9436369498581101</v>
      </c>
    </row>
    <row r="327" spans="1:37" x14ac:dyDescent="0.2">
      <c r="A327" t="str">
        <f>"20200111154035055"</f>
        <v>20200111154035055</v>
      </c>
      <c r="B327" t="str">
        <f>"1578728435046736"</f>
        <v>1578728435046736</v>
      </c>
      <c r="C327" t="s">
        <v>37</v>
      </c>
      <c r="D327">
        <v>5.1262809999999996</v>
      </c>
      <c r="E327">
        <v>0.31269609999999998</v>
      </c>
      <c r="F327" t="s">
        <v>39</v>
      </c>
      <c r="G327">
        <v>-368.32400000000001</v>
      </c>
      <c r="H327" s="1">
        <v>-1.278727E-6</v>
      </c>
      <c r="I327">
        <v>371.78629999999998</v>
      </c>
      <c r="J327">
        <v>-374.8381</v>
      </c>
      <c r="K327">
        <v>1.1085590000000001</v>
      </c>
      <c r="L327">
        <v>367.3655</v>
      </c>
      <c r="M327">
        <v>0.99998489999999995</v>
      </c>
      <c r="N327">
        <v>0</v>
      </c>
      <c r="O327">
        <v>1.1482809999999999E-3</v>
      </c>
      <c r="P327">
        <v>0.99025859999999899</v>
      </c>
      <c r="Q327">
        <v>5.0489159999999998E-2</v>
      </c>
      <c r="R327">
        <v>0.12976599999999999</v>
      </c>
      <c r="S327">
        <v>2.8168950000000001</v>
      </c>
      <c r="T327">
        <v>-0.45894239999999997</v>
      </c>
      <c r="U327">
        <v>1.8303830000000001</v>
      </c>
      <c r="V327">
        <v>-0.1286591</v>
      </c>
      <c r="W327">
        <v>5.5757500000000002E-2</v>
      </c>
      <c r="X327">
        <v>0.99012019999999901</v>
      </c>
      <c r="Y327">
        <v>-0.53890569999999904</v>
      </c>
      <c r="Z327">
        <v>3.9673779999999999E-2</v>
      </c>
      <c r="AA327">
        <v>0.84143129999999999</v>
      </c>
      <c r="AB327">
        <v>58</v>
      </c>
      <c r="AC327">
        <v>6.5140999999999796</v>
      </c>
      <c r="AD327">
        <v>-1.1085602787269999</v>
      </c>
      <c r="AE327">
        <v>4.4207999999999803</v>
      </c>
      <c r="AF327">
        <v>-4.3275092561183497</v>
      </c>
      <c r="AG327">
        <v>-1.1085602787269999</v>
      </c>
      <c r="AH327">
        <v>6.39242045307103</v>
      </c>
      <c r="AI327">
        <v>98.172121405807403</v>
      </c>
      <c r="AJ327">
        <v>124.09702061977499</v>
      </c>
      <c r="AK327">
        <v>7.7986717780787602</v>
      </c>
    </row>
    <row r="328" spans="1:37" x14ac:dyDescent="0.2">
      <c r="A328" t="str">
        <f>"20200111154035066"</f>
        <v>20200111154035066</v>
      </c>
      <c r="B328" t="str">
        <f>"1578728435057048"</f>
        <v>1578728435057048</v>
      </c>
      <c r="C328" t="s">
        <v>37</v>
      </c>
      <c r="D328">
        <v>5.1316389999999998</v>
      </c>
      <c r="E328">
        <v>0.3124304</v>
      </c>
      <c r="F328" t="s">
        <v>38</v>
      </c>
      <c r="G328">
        <v>-373.95370000000003</v>
      </c>
      <c r="H328">
        <v>0.96117249999999999</v>
      </c>
      <c r="I328">
        <v>367.9443</v>
      </c>
      <c r="J328">
        <v>-374.55470000000003</v>
      </c>
      <c r="K328">
        <v>1.108557</v>
      </c>
      <c r="L328">
        <v>367.36579999999998</v>
      </c>
      <c r="M328">
        <v>0.99998469999999995</v>
      </c>
      <c r="N328">
        <v>0</v>
      </c>
      <c r="O328">
        <v>1.228477E-3</v>
      </c>
      <c r="P328">
        <v>0.99002019999999902</v>
      </c>
      <c r="Q328">
        <v>5.0217520000000002E-2</v>
      </c>
      <c r="R328">
        <v>0.13167619999999999</v>
      </c>
      <c r="S328">
        <v>2.8122560000000001</v>
      </c>
      <c r="T328">
        <v>-0.46869650000000002</v>
      </c>
      <c r="U328">
        <v>1.8403020000000001</v>
      </c>
      <c r="V328">
        <v>-0.1304903</v>
      </c>
      <c r="W328">
        <v>5.550041E-2</v>
      </c>
      <c r="X328">
        <v>0.98989490000000002</v>
      </c>
      <c r="Y328">
        <v>-0.54131209999999996</v>
      </c>
      <c r="Z328">
        <v>4.0698289999999998E-2</v>
      </c>
      <c r="AA328">
        <v>0.83983619999999903</v>
      </c>
      <c r="AB328">
        <v>58</v>
      </c>
      <c r="AC328">
        <v>0.60099999999999898</v>
      </c>
      <c r="AD328">
        <v>-0.1473845</v>
      </c>
      <c r="AE328">
        <v>0.578500000000019</v>
      </c>
      <c r="AF328">
        <v>-0.56027169720872005</v>
      </c>
      <c r="AG328">
        <v>-0.1473845</v>
      </c>
      <c r="AH328">
        <v>0.58349572456418997</v>
      </c>
      <c r="AI328">
        <v>100.325816993644</v>
      </c>
      <c r="AJ328">
        <v>133.836777563064</v>
      </c>
      <c r="AK328">
        <v>0.82224924817118505</v>
      </c>
    </row>
    <row r="329" spans="1:37" x14ac:dyDescent="0.2">
      <c r="A329" t="str">
        <f>"20200111154035077"</f>
        <v>20200111154035077</v>
      </c>
      <c r="B329" t="str">
        <f>"1578728435066808"</f>
        <v>1578728435066808</v>
      </c>
      <c r="C329" t="s">
        <v>37</v>
      </c>
      <c r="D329">
        <v>5.1674920000000002</v>
      </c>
      <c r="E329">
        <v>0.31255119999999997</v>
      </c>
      <c r="F329" t="s">
        <v>39</v>
      </c>
      <c r="G329">
        <v>-367.97680000000003</v>
      </c>
      <c r="H329" s="1">
        <v>-1.402778E-6</v>
      </c>
      <c r="I329">
        <v>371.69279999999998</v>
      </c>
      <c r="J329">
        <v>-374.26170000000002</v>
      </c>
      <c r="K329">
        <v>1.108554</v>
      </c>
      <c r="L329">
        <v>367.36619999999999</v>
      </c>
      <c r="M329">
        <v>0.99998449999999905</v>
      </c>
      <c r="N329">
        <v>0</v>
      </c>
      <c r="O329">
        <v>1.3138609999999999E-3</v>
      </c>
      <c r="P329">
        <v>0.98979719999999904</v>
      </c>
      <c r="Q329">
        <v>4.9862089999999998E-2</v>
      </c>
      <c r="R329">
        <v>0.1334745</v>
      </c>
      <c r="S329">
        <v>2.8085629999999999</v>
      </c>
      <c r="T329">
        <v>-0.47331059999999903</v>
      </c>
      <c r="U329">
        <v>1.8474729999999999</v>
      </c>
      <c r="V329">
        <v>-0.13220370000000001</v>
      </c>
      <c r="W329">
        <v>5.5160000000000001E-2</v>
      </c>
      <c r="X329">
        <v>0.98968659999999997</v>
      </c>
      <c r="Y329">
        <v>-0.54312059999999995</v>
      </c>
      <c r="Z329">
        <v>4.1238570000000002E-2</v>
      </c>
      <c r="AA329">
        <v>0.83864139999999998</v>
      </c>
      <c r="AB329">
        <v>58</v>
      </c>
      <c r="AC329">
        <v>6.2848999999999897</v>
      </c>
      <c r="AD329">
        <v>-1.108555402778</v>
      </c>
      <c r="AE329">
        <v>4.3265999999999796</v>
      </c>
      <c r="AF329">
        <v>-4.2290714745533604</v>
      </c>
      <c r="AG329">
        <v>-1.108555402778</v>
      </c>
      <c r="AH329">
        <v>6.1605425580843098</v>
      </c>
      <c r="AI329">
        <v>98.438429771150496</v>
      </c>
      <c r="AJ329">
        <v>124.468707141895</v>
      </c>
      <c r="AK329">
        <v>7.5542190349418199</v>
      </c>
    </row>
    <row r="330" spans="1:37" x14ac:dyDescent="0.2">
      <c r="A330" t="str">
        <f>"20200111154035090"</f>
        <v>20200111154035090</v>
      </c>
      <c r="B330" t="str">
        <f>"1578728435086329"</f>
        <v>1578728435086329</v>
      </c>
      <c r="C330" t="s">
        <v>37</v>
      </c>
      <c r="D330">
        <v>5.1586980000000002</v>
      </c>
      <c r="E330">
        <v>0.31264189999999997</v>
      </c>
      <c r="F330" t="s">
        <v>38</v>
      </c>
      <c r="G330">
        <v>-373.43169999999998</v>
      </c>
      <c r="H330">
        <v>0.96716939999999996</v>
      </c>
      <c r="I330">
        <v>367.91390000000001</v>
      </c>
      <c r="J330">
        <v>-373.95830000000001</v>
      </c>
      <c r="K330">
        <v>1.108555</v>
      </c>
      <c r="L330">
        <v>367.36660000000001</v>
      </c>
      <c r="M330">
        <v>0.99998419999999899</v>
      </c>
      <c r="N330">
        <v>0</v>
      </c>
      <c r="O330">
        <v>1.406168E-3</v>
      </c>
      <c r="P330">
        <v>0.98961379999999999</v>
      </c>
      <c r="Q330">
        <v>4.9473490000000002E-2</v>
      </c>
      <c r="R330">
        <v>0.13497020000000001</v>
      </c>
      <c r="S330">
        <v>2.8053590000000002</v>
      </c>
      <c r="T330">
        <v>-0.47780050000000002</v>
      </c>
      <c r="U330">
        <v>1.8513790000000001</v>
      </c>
      <c r="V330">
        <v>-0.13360929999999999</v>
      </c>
      <c r="W330">
        <v>5.4786719999999997E-2</v>
      </c>
      <c r="X330">
        <v>0.98951859999999903</v>
      </c>
      <c r="Y330">
        <v>-0.5441802</v>
      </c>
      <c r="Z330">
        <v>4.1717990000000003E-2</v>
      </c>
      <c r="AA330">
        <v>0.83793050000000002</v>
      </c>
      <c r="AB330">
        <v>58</v>
      </c>
      <c r="AC330">
        <v>0.52660000000003004</v>
      </c>
      <c r="AD330">
        <v>-0.1413856</v>
      </c>
      <c r="AE330">
        <v>0.547300000000007</v>
      </c>
      <c r="AF330">
        <v>-0.52825296719606296</v>
      </c>
      <c r="AG330">
        <v>-0.1413856</v>
      </c>
      <c r="AH330">
        <v>0.50970582355186</v>
      </c>
      <c r="AI330">
        <v>100.90203116024099</v>
      </c>
      <c r="AJ330">
        <v>136.02370150092199</v>
      </c>
      <c r="AK330">
        <v>0.74755676159171003</v>
      </c>
    </row>
    <row r="331" spans="1:37" x14ac:dyDescent="0.2">
      <c r="A331" t="str">
        <f>"20200111154035101"</f>
        <v>20200111154035101</v>
      </c>
      <c r="B331" t="str">
        <f>"1578728435097064"</f>
        <v>1578728435097064</v>
      </c>
      <c r="C331" t="s">
        <v>37</v>
      </c>
      <c r="D331">
        <v>5.1484170000000002</v>
      </c>
      <c r="E331">
        <v>0.31261679999999997</v>
      </c>
      <c r="F331" t="s">
        <v>39</v>
      </c>
      <c r="G331">
        <v>-367.53019999999998</v>
      </c>
      <c r="H331" s="1">
        <v>-1.5749449999999999E-6</v>
      </c>
      <c r="I331">
        <v>371.6198</v>
      </c>
      <c r="J331">
        <v>-373.64249999999998</v>
      </c>
      <c r="K331">
        <v>1.108557</v>
      </c>
      <c r="L331">
        <v>367.36709999999999</v>
      </c>
      <c r="M331">
        <v>0.99998399999999998</v>
      </c>
      <c r="N331">
        <v>0</v>
      </c>
      <c r="O331">
        <v>1.504678E-3</v>
      </c>
      <c r="P331">
        <v>0.98942589999999997</v>
      </c>
      <c r="Q331">
        <v>4.9119330000000003E-2</v>
      </c>
      <c r="R331">
        <v>0.136468899999999</v>
      </c>
      <c r="S331">
        <v>2.802765</v>
      </c>
      <c r="T331">
        <v>-0.48334499999999903</v>
      </c>
      <c r="U331">
        <v>1.8544619999999901</v>
      </c>
      <c r="V331">
        <v>-0.13501070000000001</v>
      </c>
      <c r="W331">
        <v>5.444773E-2</v>
      </c>
      <c r="X331">
        <v>0.98934699999999998</v>
      </c>
      <c r="Y331">
        <v>-0.54495700000000002</v>
      </c>
      <c r="Z331">
        <v>4.2262760000000003E-2</v>
      </c>
      <c r="AA331">
        <v>0.83739819999999998</v>
      </c>
      <c r="AB331">
        <v>58</v>
      </c>
      <c r="AC331">
        <v>6.1123000000000003</v>
      </c>
      <c r="AD331">
        <v>-1.108558574945</v>
      </c>
      <c r="AE331">
        <v>4.2526999999999999</v>
      </c>
      <c r="AF331">
        <v>-4.1514841869413504</v>
      </c>
      <c r="AG331">
        <v>-1.108558574945</v>
      </c>
      <c r="AH331">
        <v>5.9860175606249504</v>
      </c>
      <c r="AI331">
        <v>98.652644596836097</v>
      </c>
      <c r="AJ331">
        <v>124.742478040884</v>
      </c>
      <c r="AK331">
        <v>7.3685907271756204</v>
      </c>
    </row>
    <row r="332" spans="1:37" x14ac:dyDescent="0.2">
      <c r="A332" t="str">
        <f>"20200111154035121"</f>
        <v>20200111154035121</v>
      </c>
      <c r="B332" t="str">
        <f>"1578728435116584"</f>
        <v>1578728435116584</v>
      </c>
      <c r="C332" t="s">
        <v>37</v>
      </c>
      <c r="D332">
        <v>5.1711619999999998</v>
      </c>
      <c r="E332">
        <v>0.31288070000000001</v>
      </c>
      <c r="F332" t="s">
        <v>38</v>
      </c>
      <c r="G332">
        <v>-372.90219999999999</v>
      </c>
      <c r="H332">
        <v>0.97999699999999901</v>
      </c>
      <c r="I332">
        <v>367.8587</v>
      </c>
      <c r="J332">
        <v>-373.166</v>
      </c>
      <c r="K332">
        <v>1.108557</v>
      </c>
      <c r="L332">
        <v>367.36790000000002</v>
      </c>
      <c r="M332">
        <v>0.99998369999999903</v>
      </c>
      <c r="N332">
        <v>0</v>
      </c>
      <c r="O332">
        <v>1.6655489999999999E-3</v>
      </c>
      <c r="P332">
        <v>0.98919449999999998</v>
      </c>
      <c r="Q332">
        <v>4.785027E-2</v>
      </c>
      <c r="R332">
        <v>0.13858110000000001</v>
      </c>
      <c r="S332">
        <v>2.7998050000000001</v>
      </c>
      <c r="T332">
        <v>-0.4862244</v>
      </c>
      <c r="U332">
        <v>1.8590089999999999</v>
      </c>
      <c r="V332">
        <v>-0.13696469999999999</v>
      </c>
      <c r="W332">
        <v>5.3199740000000002E-2</v>
      </c>
      <c r="X332">
        <v>0.98914639999999998</v>
      </c>
      <c r="Y332">
        <v>-0.54609350000000001</v>
      </c>
      <c r="Z332">
        <v>4.2595670000000002E-2</v>
      </c>
      <c r="AA332">
        <v>0.83664059999999996</v>
      </c>
      <c r="AB332">
        <v>58</v>
      </c>
      <c r="AC332">
        <v>0.26380000000000298</v>
      </c>
      <c r="AD332">
        <v>-0.12856000000000001</v>
      </c>
      <c r="AE332">
        <v>0.49079999999997798</v>
      </c>
      <c r="AF332">
        <v>-0.465575718208666</v>
      </c>
      <c r="AG332">
        <v>-0.12856000000000001</v>
      </c>
      <c r="AH332">
        <v>0.25124257726573201</v>
      </c>
      <c r="AI332">
        <v>103.658477430787</v>
      </c>
      <c r="AJ332">
        <v>151.64699285458201</v>
      </c>
      <c r="AK332">
        <v>0.54443664058974095</v>
      </c>
    </row>
    <row r="333" spans="1:37" x14ac:dyDescent="0.2">
      <c r="A333" t="str">
        <f>"20200111154035133"</f>
        <v>20200111154035133</v>
      </c>
      <c r="B333" t="str">
        <f>"1578728435126343"</f>
        <v>1578728435126343</v>
      </c>
      <c r="C333" t="s">
        <v>37</v>
      </c>
      <c r="D333">
        <v>5.1536530000000003</v>
      </c>
      <c r="E333">
        <v>0.31289489999999998</v>
      </c>
      <c r="F333" t="s">
        <v>38</v>
      </c>
      <c r="G333">
        <v>-372.38920000000002</v>
      </c>
      <c r="H333">
        <v>0.97136009999999995</v>
      </c>
      <c r="I333">
        <v>367.8852</v>
      </c>
      <c r="J333">
        <v>-372.82830000000001</v>
      </c>
      <c r="K333">
        <v>1.108562</v>
      </c>
      <c r="L333">
        <v>367.36840000000001</v>
      </c>
      <c r="M333">
        <v>0.99998330000000002</v>
      </c>
      <c r="N333">
        <v>0</v>
      </c>
      <c r="O333">
        <v>1.788701E-3</v>
      </c>
      <c r="P333">
        <v>0.98907659999999997</v>
      </c>
      <c r="Q333">
        <v>4.6808790000000003E-2</v>
      </c>
      <c r="R333">
        <v>0.1397726</v>
      </c>
      <c r="S333">
        <v>2.7957459999999998</v>
      </c>
      <c r="T333">
        <v>-0.49377539999999998</v>
      </c>
      <c r="U333">
        <v>1.8623049999999901</v>
      </c>
      <c r="V333">
        <v>-0.13803570000000001</v>
      </c>
      <c r="W333">
        <v>5.2173110000000002E-2</v>
      </c>
      <c r="X333">
        <v>0.98905209999999999</v>
      </c>
      <c r="Y333">
        <v>-0.54703889999999999</v>
      </c>
      <c r="Z333">
        <v>4.3344430000000003E-2</v>
      </c>
      <c r="AA333">
        <v>0.83598430000000001</v>
      </c>
      <c r="AB333">
        <v>58</v>
      </c>
      <c r="AC333">
        <v>0.43909999999999599</v>
      </c>
      <c r="AD333">
        <v>-0.13720189999999999</v>
      </c>
      <c r="AE333">
        <v>0.51679999999998905</v>
      </c>
      <c r="AF333">
        <v>-0.49572271195428302</v>
      </c>
      <c r="AG333">
        <v>-0.13720189999999999</v>
      </c>
      <c r="AH333">
        <v>0.42272081118163501</v>
      </c>
      <c r="AI333">
        <v>101.89261363324999</v>
      </c>
      <c r="AJ333">
        <v>139.544564261185</v>
      </c>
      <c r="AK333">
        <v>0.66577642847804297</v>
      </c>
    </row>
    <row r="334" spans="1:37" x14ac:dyDescent="0.2">
      <c r="A334" t="str">
        <f>"20200111154035145"</f>
        <v>20200111154035145</v>
      </c>
      <c r="B334" t="str">
        <f>"1578728435137080"</f>
        <v>1578728435137080</v>
      </c>
      <c r="C334" t="s">
        <v>37</v>
      </c>
      <c r="D334">
        <v>5.1723780000000001</v>
      </c>
      <c r="E334">
        <v>0.31301030000000002</v>
      </c>
      <c r="F334" t="s">
        <v>39</v>
      </c>
      <c r="G334">
        <v>-366.60820000000001</v>
      </c>
      <c r="H334" s="1">
        <v>-1.9443589999999999E-6</v>
      </c>
      <c r="I334">
        <v>371.52159999999998</v>
      </c>
      <c r="J334">
        <v>-372.50540000000001</v>
      </c>
      <c r="K334">
        <v>1.1085639999999899</v>
      </c>
      <c r="L334">
        <v>367.36900000000003</v>
      </c>
      <c r="M334">
        <v>0.99998299999999996</v>
      </c>
      <c r="N334">
        <v>0</v>
      </c>
      <c r="O334">
        <v>1.9106629999999999E-3</v>
      </c>
      <c r="P334">
        <v>0.98896430000000002</v>
      </c>
      <c r="Q334">
        <v>4.5827710000000001E-2</v>
      </c>
      <c r="R334">
        <v>0.14088779999999901</v>
      </c>
      <c r="S334">
        <v>2.79312099999999</v>
      </c>
      <c r="T334">
        <v>-0.49778800000000001</v>
      </c>
      <c r="U334">
        <v>1.8649899999999999</v>
      </c>
      <c r="V334">
        <v>-0.1390306</v>
      </c>
      <c r="W334">
        <v>5.1206420000000002E-2</v>
      </c>
      <c r="X334">
        <v>0.98896329999999999</v>
      </c>
      <c r="Y334">
        <v>-0.54774869999999898</v>
      </c>
      <c r="Z334">
        <v>4.375337E-2</v>
      </c>
      <c r="AA334">
        <v>0.83549799999999996</v>
      </c>
      <c r="AB334">
        <v>58</v>
      </c>
      <c r="AC334">
        <v>5.89719999999999</v>
      </c>
      <c r="AD334">
        <v>-1.1085659443589999</v>
      </c>
      <c r="AE334">
        <v>4.1525999999999499</v>
      </c>
      <c r="AF334">
        <v>-4.0457499847166298</v>
      </c>
      <c r="AG334">
        <v>-1.1085659443589999</v>
      </c>
      <c r="AH334">
        <v>5.7688434059515403</v>
      </c>
      <c r="AI334">
        <v>98.941067145509805</v>
      </c>
      <c r="AJ334">
        <v>125.042379426826</v>
      </c>
      <c r="AK334">
        <v>7.1327810589010596</v>
      </c>
    </row>
    <row r="335" spans="1:37" x14ac:dyDescent="0.2">
      <c r="A335" t="str">
        <f>"20200111154035157"</f>
        <v>20200111154035157</v>
      </c>
      <c r="B335" t="str">
        <f>"1578728435146841"</f>
        <v>1578728435146841</v>
      </c>
      <c r="C335" t="s">
        <v>37</v>
      </c>
      <c r="D335">
        <v>5.1403660000000002</v>
      </c>
      <c r="E335">
        <v>0.31306450000000002</v>
      </c>
      <c r="F335" t="s">
        <v>39</v>
      </c>
      <c r="G335">
        <v>-366.3449</v>
      </c>
      <c r="H335" s="1">
        <v>-2.0486920000000002E-6</v>
      </c>
      <c r="I335">
        <v>371.48930000000001</v>
      </c>
      <c r="J335">
        <v>-372.2</v>
      </c>
      <c r="K335">
        <v>1.1085700000000001</v>
      </c>
      <c r="L335">
        <v>367.36959999999999</v>
      </c>
      <c r="M335">
        <v>0.999982699999999</v>
      </c>
      <c r="N335">
        <v>0</v>
      </c>
      <c r="O335">
        <v>2.0331070000000001E-3</v>
      </c>
      <c r="P335">
        <v>0.98886260000000004</v>
      </c>
      <c r="Q335">
        <v>4.486503E-2</v>
      </c>
      <c r="R335">
        <v>0.1419086</v>
      </c>
      <c r="S335">
        <v>2.7908330000000001</v>
      </c>
      <c r="T335">
        <v>-0.50219480000000005</v>
      </c>
      <c r="U335">
        <v>1.8665769999999999</v>
      </c>
      <c r="V335">
        <v>-0.13993139999999901</v>
      </c>
      <c r="W335">
        <v>5.0255399999999999E-2</v>
      </c>
      <c r="X335">
        <v>0.98888500000000001</v>
      </c>
      <c r="Y335">
        <v>-0.54817680000000002</v>
      </c>
      <c r="Z335">
        <v>4.4174499999999998E-2</v>
      </c>
      <c r="AA335">
        <v>0.83519509999999897</v>
      </c>
      <c r="AB335">
        <v>58</v>
      </c>
      <c r="AC335">
        <v>5.8550999999999904</v>
      </c>
      <c r="AD335">
        <v>-1.1085720486920001</v>
      </c>
      <c r="AE335">
        <v>4.1197000000000203</v>
      </c>
      <c r="AF335">
        <v>-4.01160019354929</v>
      </c>
      <c r="AG335">
        <v>-1.1085720486920001</v>
      </c>
      <c r="AH335">
        <v>5.7261662056119</v>
      </c>
      <c r="AI335">
        <v>99.009734434771303</v>
      </c>
      <c r="AJ335">
        <v>125.014066648259</v>
      </c>
      <c r="AK335">
        <v>7.0789015754082696</v>
      </c>
    </row>
    <row r="336" spans="1:37" x14ac:dyDescent="0.2">
      <c r="A336" t="str">
        <f>"20200111154035168"</f>
        <v>20200111154035168</v>
      </c>
      <c r="B336" t="str">
        <f>"1578728435156271"</f>
        <v>1578728435156271</v>
      </c>
      <c r="C336" t="s">
        <v>37</v>
      </c>
      <c r="D336">
        <v>5.0810719999999998</v>
      </c>
      <c r="E336">
        <v>0.31303839999999999</v>
      </c>
      <c r="F336" t="s">
        <v>39</v>
      </c>
      <c r="G336">
        <v>-366.11009999999999</v>
      </c>
      <c r="H336" s="1">
        <v>-2.1390690000000002E-6</v>
      </c>
      <c r="I336">
        <v>371.45030000000003</v>
      </c>
      <c r="J336">
        <v>-371.91469999999998</v>
      </c>
      <c r="K336">
        <v>1.108576</v>
      </c>
      <c r="L336">
        <v>367.37020000000001</v>
      </c>
      <c r="M336">
        <v>0.99998240000000005</v>
      </c>
      <c r="N336">
        <v>0</v>
      </c>
      <c r="O336">
        <v>2.152036E-3</v>
      </c>
      <c r="P336">
        <v>0.98877039999999905</v>
      </c>
      <c r="Q336">
        <v>4.4344880000000003E-2</v>
      </c>
      <c r="R336">
        <v>0.1427117</v>
      </c>
      <c r="S336">
        <v>2.7886660000000001</v>
      </c>
      <c r="T336">
        <v>-0.50762529999999995</v>
      </c>
      <c r="U336">
        <v>1.868622</v>
      </c>
      <c r="V336">
        <v>-0.14061779999999999</v>
      </c>
      <c r="W336">
        <v>4.974725E-2</v>
      </c>
      <c r="X336">
        <v>0.98881330000000001</v>
      </c>
      <c r="Y336">
        <v>-0.54866000000000004</v>
      </c>
      <c r="Z336">
        <v>4.4686879999999998E-2</v>
      </c>
      <c r="AA336">
        <v>0.83485039999999999</v>
      </c>
      <c r="AB336">
        <v>58</v>
      </c>
      <c r="AC336">
        <v>5.80459999999999</v>
      </c>
      <c r="AD336">
        <v>-1.1085781390689999</v>
      </c>
      <c r="AE336">
        <v>4.0801000000000096</v>
      </c>
      <c r="AF336">
        <v>-3.97066436226417</v>
      </c>
      <c r="AG336">
        <v>-1.1085781390689999</v>
      </c>
      <c r="AH336">
        <v>5.6748297939451904</v>
      </c>
      <c r="AI336">
        <v>99.093613031962505</v>
      </c>
      <c r="AJ336">
        <v>124.980387314517</v>
      </c>
      <c r="AK336">
        <v>7.0141866355568601</v>
      </c>
    </row>
    <row r="337" spans="1:37" x14ac:dyDescent="0.2">
      <c r="A337" t="str">
        <f>"20200111154035179"</f>
        <v>20200111154035179</v>
      </c>
      <c r="B337" t="str">
        <f>"1578728435176767"</f>
        <v>1578728435176767</v>
      </c>
      <c r="C337" t="s">
        <v>37</v>
      </c>
      <c r="D337">
        <v>5.1805000000000003</v>
      </c>
      <c r="E337">
        <v>0.31325059999999999</v>
      </c>
      <c r="F337" t="s">
        <v>39</v>
      </c>
      <c r="G337">
        <v>-365.86360000000002</v>
      </c>
      <c r="H337" s="1">
        <v>-2.2397610000000001E-6</v>
      </c>
      <c r="I337">
        <v>371.43130000000002</v>
      </c>
      <c r="J337">
        <v>-371.61380000000003</v>
      </c>
      <c r="K337">
        <v>1.108582</v>
      </c>
      <c r="L337">
        <v>367.37079999999997</v>
      </c>
      <c r="M337">
        <v>0.99998199999999904</v>
      </c>
      <c r="N337">
        <v>0</v>
      </c>
      <c r="O337">
        <v>2.281875E-3</v>
      </c>
      <c r="P337">
        <v>0.98866749999999903</v>
      </c>
      <c r="Q337">
        <v>4.3594580000000001E-2</v>
      </c>
      <c r="R337">
        <v>0.14365310000000001</v>
      </c>
      <c r="S337">
        <v>2.7870180000000002</v>
      </c>
      <c r="T337">
        <v>-0.5105826</v>
      </c>
      <c r="U337">
        <v>1.8704829999999999</v>
      </c>
      <c r="V337">
        <v>-0.14143149999999999</v>
      </c>
      <c r="W337">
        <v>4.9008589999999998E-2</v>
      </c>
      <c r="X337">
        <v>0.98873419999999901</v>
      </c>
      <c r="Y337">
        <v>-0.54908590000000002</v>
      </c>
      <c r="Z337">
        <v>4.4972089999999999E-2</v>
      </c>
      <c r="AA337">
        <v>0.83455509999999999</v>
      </c>
      <c r="AB337">
        <v>58</v>
      </c>
      <c r="AC337">
        <v>5.7502000000000004</v>
      </c>
      <c r="AD337">
        <v>-1.108584239761</v>
      </c>
      <c r="AE337">
        <v>4.0605000000000402</v>
      </c>
      <c r="AF337">
        <v>-3.9494178042320098</v>
      </c>
      <c r="AG337">
        <v>-1.108584239761</v>
      </c>
      <c r="AH337">
        <v>5.6200664976407504</v>
      </c>
      <c r="AI337">
        <v>99.167894162875697</v>
      </c>
      <c r="AJ337">
        <v>125.09705811428501</v>
      </c>
      <c r="AK337">
        <v>6.9578737734264298</v>
      </c>
    </row>
    <row r="338" spans="1:37" x14ac:dyDescent="0.2">
      <c r="A338" t="str">
        <f>"20200111154035197"</f>
        <v>20200111154035197</v>
      </c>
      <c r="B338" t="str">
        <f>"1578728435186527"</f>
        <v>1578728435186527</v>
      </c>
      <c r="C338" t="s">
        <v>37</v>
      </c>
      <c r="D338">
        <v>5.1463089999999996</v>
      </c>
      <c r="E338">
        <v>0.31332989999999999</v>
      </c>
      <c r="F338" t="s">
        <v>38</v>
      </c>
      <c r="G338">
        <v>-370.82929999999999</v>
      </c>
      <c r="H338">
        <v>0.96353869999999897</v>
      </c>
      <c r="I338">
        <v>367.89789999999999</v>
      </c>
      <c r="J338">
        <v>-371.17660000000001</v>
      </c>
      <c r="K338">
        <v>1.1086009999999999</v>
      </c>
      <c r="L338">
        <v>367.37189999999998</v>
      </c>
      <c r="M338">
        <v>0.99998129999999996</v>
      </c>
      <c r="N338">
        <v>0</v>
      </c>
      <c r="O338">
        <v>2.4824769999999999E-3</v>
      </c>
      <c r="P338">
        <v>0.98837160000000002</v>
      </c>
      <c r="Q338">
        <v>4.3557180000000001E-2</v>
      </c>
      <c r="R338">
        <v>0.14568619999999999</v>
      </c>
      <c r="S338">
        <v>2.7852169999999998</v>
      </c>
      <c r="T338">
        <v>-0.51485760000000003</v>
      </c>
      <c r="U338">
        <v>1.8708799999999901</v>
      </c>
      <c r="V338">
        <v>-0.1432687</v>
      </c>
      <c r="W338">
        <v>4.8986679999999998E-2</v>
      </c>
      <c r="X338">
        <v>0.98847070000000004</v>
      </c>
      <c r="Y338">
        <v>-0.54914130000000005</v>
      </c>
      <c r="Z338">
        <v>4.5337549999999997E-2</v>
      </c>
      <c r="AA338">
        <v>0.83449879999999999</v>
      </c>
      <c r="AB338">
        <v>58</v>
      </c>
      <c r="AC338">
        <v>0.34730000000001798</v>
      </c>
      <c r="AD338">
        <v>-0.14506230000000001</v>
      </c>
      <c r="AE338">
        <v>0.52600000000001002</v>
      </c>
      <c r="AF338">
        <v>-0.498720906604946</v>
      </c>
      <c r="AG338">
        <v>-0.14506230000000001</v>
      </c>
      <c r="AH338">
        <v>0.33106928844337002</v>
      </c>
      <c r="AI338">
        <v>103.622080358262</v>
      </c>
      <c r="AJ338">
        <v>146.422329678886</v>
      </c>
      <c r="AK338">
        <v>0.61593221000086396</v>
      </c>
    </row>
    <row r="339" spans="1:37" x14ac:dyDescent="0.2">
      <c r="A339" t="str">
        <f>"20200111154035208"</f>
        <v>20200111154035208</v>
      </c>
      <c r="B339" t="str">
        <f>"1578728435196288"</f>
        <v>1578728435196288</v>
      </c>
      <c r="C339" t="s">
        <v>37</v>
      </c>
      <c r="D339">
        <v>5.1598579999999998</v>
      </c>
      <c r="E339">
        <v>0.31343899999999902</v>
      </c>
      <c r="F339" t="s">
        <v>39</v>
      </c>
      <c r="G339">
        <v>-365.1918</v>
      </c>
      <c r="H339" s="1">
        <v>-2.521465E-6</v>
      </c>
      <c r="I339">
        <v>371.40699999999998</v>
      </c>
      <c r="J339">
        <v>-370.89280000000002</v>
      </c>
      <c r="K339">
        <v>1.108609</v>
      </c>
      <c r="L339">
        <v>367.37259999999998</v>
      </c>
      <c r="M339">
        <v>0.99998089999999995</v>
      </c>
      <c r="N339">
        <v>0</v>
      </c>
      <c r="O339">
        <v>2.6180420000000001E-3</v>
      </c>
      <c r="P339">
        <v>0.9882398</v>
      </c>
      <c r="Q339">
        <v>4.365906E-2</v>
      </c>
      <c r="R339">
        <v>0.1465476</v>
      </c>
      <c r="S339">
        <v>2.781555</v>
      </c>
      <c r="T339">
        <v>-0.51524150000000002</v>
      </c>
      <c r="U339">
        <v>1.875397</v>
      </c>
      <c r="V339">
        <v>-0.1439985</v>
      </c>
      <c r="W339">
        <v>4.9098599999999999E-2</v>
      </c>
      <c r="X339">
        <v>0.98835919999999899</v>
      </c>
      <c r="Y339">
        <v>-0.55043850000000005</v>
      </c>
      <c r="Z339">
        <v>4.5487199999999998E-2</v>
      </c>
      <c r="AA339">
        <v>0.83363560000000003</v>
      </c>
      <c r="AB339">
        <v>58</v>
      </c>
      <c r="AC339">
        <v>5.7010000000000201</v>
      </c>
      <c r="AD339">
        <v>-1.1086115214650001</v>
      </c>
      <c r="AE339">
        <v>4.0343999999999998</v>
      </c>
      <c r="AF339">
        <v>-3.9206740179086199</v>
      </c>
      <c r="AG339">
        <v>-1.1086115214650001</v>
      </c>
      <c r="AH339">
        <v>5.5711700058360698</v>
      </c>
      <c r="AI339">
        <v>99.242887016804801</v>
      </c>
      <c r="AJ339">
        <v>125.135713468985</v>
      </c>
      <c r="AK339">
        <v>6.9020750136575701</v>
      </c>
    </row>
    <row r="340" spans="1:37" x14ac:dyDescent="0.2">
      <c r="A340" t="str">
        <f>"20200111154035218"</f>
        <v>20200111154035218</v>
      </c>
      <c r="B340" t="str">
        <f>"1578728435216783"</f>
        <v>1578728435216783</v>
      </c>
      <c r="C340" t="s">
        <v>37</v>
      </c>
      <c r="D340">
        <v>5.1745660000000004</v>
      </c>
      <c r="E340">
        <v>0.31371209999999899</v>
      </c>
      <c r="F340" t="s">
        <v>39</v>
      </c>
      <c r="G340">
        <v>-364.90300000000002</v>
      </c>
      <c r="H340" s="1">
        <v>-2.64819399999999E-6</v>
      </c>
      <c r="I340">
        <v>371.41739999999999</v>
      </c>
      <c r="J340">
        <v>-370.58760000000001</v>
      </c>
      <c r="K340">
        <v>1.1086180000000001</v>
      </c>
      <c r="L340">
        <v>367.3734</v>
      </c>
      <c r="M340">
        <v>0.99998029999999904</v>
      </c>
      <c r="N340">
        <v>0</v>
      </c>
      <c r="O340">
        <v>2.7694059999999999E-3</v>
      </c>
      <c r="P340">
        <v>0.98810049999999905</v>
      </c>
      <c r="Q340">
        <v>4.3445049999999999E-2</v>
      </c>
      <c r="R340">
        <v>0.1475466</v>
      </c>
      <c r="S340">
        <v>2.7800289999999999</v>
      </c>
      <c r="T340">
        <v>-0.51452509999999996</v>
      </c>
      <c r="U340">
        <v>1.877319</v>
      </c>
      <c r="V340">
        <v>-0.14484910000000001</v>
      </c>
      <c r="W340">
        <v>4.8895229999999998E-2</v>
      </c>
      <c r="X340">
        <v>0.98824489999999998</v>
      </c>
      <c r="Y340">
        <v>-0.55093179999999997</v>
      </c>
      <c r="Z340">
        <v>4.5453250000000001E-2</v>
      </c>
      <c r="AA340">
        <v>0.83331160000000004</v>
      </c>
      <c r="AB340">
        <v>58</v>
      </c>
      <c r="AC340">
        <v>5.6845999999999801</v>
      </c>
      <c r="AD340">
        <v>-1.108620648194</v>
      </c>
      <c r="AE340">
        <v>4.0439999999999801</v>
      </c>
      <c r="AF340">
        <v>-3.9290208055164602</v>
      </c>
      <c r="AG340">
        <v>-1.108620648194</v>
      </c>
      <c r="AH340">
        <v>5.5554839350950704</v>
      </c>
      <c r="AI340">
        <v>99.253648556328201</v>
      </c>
      <c r="AJ340">
        <v>125.269205344691</v>
      </c>
      <c r="AK340">
        <v>6.8941747863600602</v>
      </c>
    </row>
    <row r="341" spans="1:37" x14ac:dyDescent="0.2">
      <c r="A341" t="str">
        <f>"20200111154035230"</f>
        <v>20200111154035230</v>
      </c>
      <c r="B341" t="str">
        <f>"1578728435226544"</f>
        <v>1578728435226544</v>
      </c>
      <c r="C341" t="s">
        <v>37</v>
      </c>
      <c r="D341">
        <v>5.158881</v>
      </c>
      <c r="E341">
        <v>0.31380219999999998</v>
      </c>
      <c r="F341" t="s">
        <v>39</v>
      </c>
      <c r="G341">
        <v>-364.62029999999999</v>
      </c>
      <c r="H341" s="1">
        <v>-2.7664080000000001E-6</v>
      </c>
      <c r="I341">
        <v>371.40600000000001</v>
      </c>
      <c r="J341">
        <v>-370.3048</v>
      </c>
      <c r="K341">
        <v>1.108627</v>
      </c>
      <c r="L341">
        <v>367.37419999999997</v>
      </c>
      <c r="M341">
        <v>0.99997990000000003</v>
      </c>
      <c r="N341">
        <v>0</v>
      </c>
      <c r="O341">
        <v>2.9146889999999998E-3</v>
      </c>
      <c r="P341">
        <v>0.98801049999999901</v>
      </c>
      <c r="Q341">
        <v>4.3192059999999997E-2</v>
      </c>
      <c r="R341">
        <v>0.14822270000000001</v>
      </c>
      <c r="S341">
        <v>2.7784419999999899</v>
      </c>
      <c r="T341">
        <v>-0.51617389999999996</v>
      </c>
      <c r="U341">
        <v>1.8776250000000001</v>
      </c>
      <c r="V341">
        <v>-0.14538329999999999</v>
      </c>
      <c r="W341">
        <v>4.8652809999999998E-2</v>
      </c>
      <c r="X341">
        <v>0.98817840000000001</v>
      </c>
      <c r="Y341">
        <v>-0.55104889999999995</v>
      </c>
      <c r="Z341">
        <v>4.560264E-2</v>
      </c>
      <c r="AA341">
        <v>0.83322600000000002</v>
      </c>
      <c r="AB341">
        <v>58</v>
      </c>
      <c r="AC341">
        <v>5.6845000000000097</v>
      </c>
      <c r="AD341">
        <v>-1.108629766408</v>
      </c>
      <c r="AE341">
        <v>4.0318000000000298</v>
      </c>
      <c r="AF341">
        <v>-3.91611494692948</v>
      </c>
      <c r="AG341">
        <v>-1.108629766408</v>
      </c>
      <c r="AH341">
        <v>5.5556394366667003</v>
      </c>
      <c r="AI341">
        <v>99.263511980514096</v>
      </c>
      <c r="AJ341">
        <v>125.179628184514</v>
      </c>
      <c r="AK341">
        <v>6.8869547542274896</v>
      </c>
    </row>
    <row r="342" spans="1:37" x14ac:dyDescent="0.2">
      <c r="A342" t="str">
        <f>"20200111154035242"</f>
        <v>20200111154035242</v>
      </c>
      <c r="B342" t="str">
        <f>"1578728435236304"</f>
        <v>1578728435236304</v>
      </c>
      <c r="C342" t="s">
        <v>37</v>
      </c>
      <c r="D342">
        <v>5.3827199999999999</v>
      </c>
      <c r="E342">
        <v>0.31416159999999999</v>
      </c>
      <c r="F342" t="s">
        <v>39</v>
      </c>
      <c r="G342">
        <v>-364.35079999999999</v>
      </c>
      <c r="H342" s="1">
        <v>-2.8810750000000002E-6</v>
      </c>
      <c r="I342">
        <v>371.40249999999997</v>
      </c>
      <c r="J342">
        <v>-369.99079999999998</v>
      </c>
      <c r="K342">
        <v>1.1086339999999999</v>
      </c>
      <c r="L342">
        <v>367.37509999999997</v>
      </c>
      <c r="M342">
        <v>0.99997919999999996</v>
      </c>
      <c r="N342">
        <v>0</v>
      </c>
      <c r="O342">
        <v>3.0790489999999999E-3</v>
      </c>
      <c r="P342">
        <v>0.98794899999999997</v>
      </c>
      <c r="Q342">
        <v>4.2743250000000003E-2</v>
      </c>
      <c r="R342">
        <v>0.14876110000000001</v>
      </c>
      <c r="S342">
        <v>2.7771300000000001</v>
      </c>
      <c r="T342">
        <v>-0.51708909999999997</v>
      </c>
      <c r="U342">
        <v>1.8789369999999901</v>
      </c>
      <c r="V342">
        <v>-0.14576</v>
      </c>
      <c r="W342">
        <v>4.8215590000000003E-2</v>
      </c>
      <c r="X342">
        <v>0.98814429999999998</v>
      </c>
      <c r="Y342">
        <v>-0.55133799999999999</v>
      </c>
      <c r="Z342">
        <v>4.5691450000000002E-2</v>
      </c>
      <c r="AA342">
        <v>0.83302980000000004</v>
      </c>
      <c r="AB342">
        <v>59</v>
      </c>
      <c r="AC342">
        <v>5.6399999999999801</v>
      </c>
      <c r="AD342">
        <v>-1.108636881075</v>
      </c>
      <c r="AE342">
        <v>4.0274000000000001</v>
      </c>
      <c r="AF342">
        <v>-3.9099589810448698</v>
      </c>
      <c r="AG342">
        <v>-1.108636881075</v>
      </c>
      <c r="AH342">
        <v>5.5113389160957498</v>
      </c>
      <c r="AI342">
        <v>99.317075705782798</v>
      </c>
      <c r="AJ342">
        <v>125.353377438892</v>
      </c>
      <c r="AK342">
        <v>6.8477523039026904</v>
      </c>
    </row>
    <row r="343" spans="1:37" x14ac:dyDescent="0.2">
      <c r="A343" t="str">
        <f>"20200111154035253"</f>
        <v>20200111154035253</v>
      </c>
      <c r="B343" t="str">
        <f>"1578728435247039"</f>
        <v>1578728435247039</v>
      </c>
      <c r="C343" t="s">
        <v>37</v>
      </c>
      <c r="D343">
        <v>5.3633150000000001</v>
      </c>
      <c r="E343">
        <v>0.31416159999999999</v>
      </c>
      <c r="F343" t="s">
        <v>38</v>
      </c>
      <c r="G343">
        <v>-369.25170000000003</v>
      </c>
      <c r="H343">
        <v>0.97031659999999997</v>
      </c>
      <c r="I343">
        <v>367.87470000000002</v>
      </c>
      <c r="J343">
        <v>-369.68400000000003</v>
      </c>
      <c r="K343">
        <v>1.1086419999999999</v>
      </c>
      <c r="L343">
        <v>367.37610000000001</v>
      </c>
      <c r="M343">
        <v>0.99997860000000005</v>
      </c>
      <c r="N343">
        <v>0</v>
      </c>
      <c r="O343">
        <v>3.2456729999999902E-3</v>
      </c>
      <c r="P343">
        <v>0.98786640000000003</v>
      </c>
      <c r="Q343">
        <v>4.2196360000000002E-2</v>
      </c>
      <c r="R343">
        <v>0.14946329999999999</v>
      </c>
      <c r="S343">
        <v>2.776367</v>
      </c>
      <c r="T343">
        <v>-0.5194588</v>
      </c>
      <c r="U343">
        <v>1.8775329999999999</v>
      </c>
      <c r="V343">
        <v>-0.1462986</v>
      </c>
      <c r="W343">
        <v>4.7679760000000002E-2</v>
      </c>
      <c r="X343">
        <v>0.98809080000000005</v>
      </c>
      <c r="Y343">
        <v>-0.55095959999999999</v>
      </c>
      <c r="Z343">
        <v>4.585434E-2</v>
      </c>
      <c r="AA343">
        <v>0.83327119999999999</v>
      </c>
      <c r="AB343">
        <v>59</v>
      </c>
      <c r="AC343">
        <v>0.43229999999999702</v>
      </c>
      <c r="AD343">
        <v>-0.13832539999999899</v>
      </c>
      <c r="AE343">
        <v>0.49860000000000998</v>
      </c>
      <c r="AF343">
        <v>-0.47626843925823498</v>
      </c>
      <c r="AG343">
        <v>-0.13832539999999899</v>
      </c>
      <c r="AH343">
        <v>0.41565347406994801</v>
      </c>
      <c r="AI343">
        <v>102.342983298237</v>
      </c>
      <c r="AJ343">
        <v>138.88784004342699</v>
      </c>
      <c r="AK343">
        <v>0.64709609257439704</v>
      </c>
    </row>
    <row r="344" spans="1:37" x14ac:dyDescent="0.2">
      <c r="A344" t="str">
        <f>"20200111154035265"</f>
        <v>20200111154035265</v>
      </c>
      <c r="B344" t="str">
        <f>"1578728435256425"</f>
        <v>1578728435256425</v>
      </c>
      <c r="C344" t="s">
        <v>37</v>
      </c>
      <c r="D344">
        <v>5.5103770000000001</v>
      </c>
      <c r="E344">
        <v>0.40883559999999902</v>
      </c>
      <c r="F344" t="s">
        <v>39</v>
      </c>
      <c r="G344">
        <v>-363.78190000000001</v>
      </c>
      <c r="H344" s="1">
        <v>-3.1174469999999998E-6</v>
      </c>
      <c r="I344">
        <v>371.37360000000001</v>
      </c>
      <c r="J344">
        <v>-369.37150000000003</v>
      </c>
      <c r="K344">
        <v>1.1086479999999901</v>
      </c>
      <c r="L344">
        <v>367.37709999999998</v>
      </c>
      <c r="M344">
        <v>0.99997789999999998</v>
      </c>
      <c r="N344">
        <v>0</v>
      </c>
      <c r="O344">
        <v>3.4172450000000002E-3</v>
      </c>
      <c r="P344">
        <v>0.98785499999999904</v>
      </c>
      <c r="Q344">
        <v>4.1671850000000003E-2</v>
      </c>
      <c r="R344">
        <v>0.14968619999999999</v>
      </c>
      <c r="S344">
        <v>2.7747799999999998</v>
      </c>
      <c r="T344">
        <v>-0.5212021</v>
      </c>
      <c r="U344">
        <v>1.879364</v>
      </c>
      <c r="V344">
        <v>-0.14635300000000001</v>
      </c>
      <c r="W344">
        <v>4.7166779999999998E-2</v>
      </c>
      <c r="X344">
        <v>0.98810730000000002</v>
      </c>
      <c r="Y344">
        <v>-0.55136580000000002</v>
      </c>
      <c r="Z344">
        <v>4.6025539999999997E-2</v>
      </c>
      <c r="AA344">
        <v>0.83299310000000004</v>
      </c>
      <c r="AB344">
        <v>59</v>
      </c>
      <c r="AC344">
        <v>5.5896000000000097</v>
      </c>
      <c r="AD344">
        <v>-1.108651117447</v>
      </c>
      <c r="AE344">
        <v>3.9965000000000201</v>
      </c>
      <c r="AF344">
        <v>-3.8764640506688699</v>
      </c>
      <c r="AG344">
        <v>-1.108651117447</v>
      </c>
      <c r="AH344">
        <v>5.4610633876517101</v>
      </c>
      <c r="AI344">
        <v>99.399710934403601</v>
      </c>
      <c r="AJ344">
        <v>125.368536606701</v>
      </c>
      <c r="AK344">
        <v>6.7881731091873698</v>
      </c>
    </row>
    <row r="345" spans="1:37" x14ac:dyDescent="0.2">
      <c r="A345" t="str">
        <f>"20200111154035276"</f>
        <v>20200111154035276</v>
      </c>
      <c r="B345" t="str">
        <f>"1578728435267161"</f>
        <v>1578728435267161</v>
      </c>
      <c r="C345" t="s">
        <v>37</v>
      </c>
      <c r="D345">
        <v>5.2382910000000003</v>
      </c>
      <c r="E345">
        <v>0.40883559999999902</v>
      </c>
      <c r="F345" t="s">
        <v>38</v>
      </c>
      <c r="G345">
        <v>-368.19159999999999</v>
      </c>
      <c r="H345">
        <v>0.97471810000000003</v>
      </c>
      <c r="I345">
        <v>367.84570000000002</v>
      </c>
      <c r="J345">
        <v>-369.07510000000002</v>
      </c>
      <c r="K345">
        <v>1.1086559999999901</v>
      </c>
      <c r="L345">
        <v>367.37810000000002</v>
      </c>
      <c r="M345">
        <v>0.99997729999999996</v>
      </c>
      <c r="N345">
        <v>0</v>
      </c>
      <c r="O345">
        <v>3.5840429999999999E-3</v>
      </c>
      <c r="P345">
        <v>0.98784309999999997</v>
      </c>
      <c r="Q345">
        <v>4.1271189999999999E-2</v>
      </c>
      <c r="R345">
        <v>0.14987539999999999</v>
      </c>
      <c r="S345">
        <v>2.8774410000000001</v>
      </c>
      <c r="T345">
        <v>-0.32659260000000001</v>
      </c>
      <c r="U345">
        <v>1.1430659999999999</v>
      </c>
      <c r="V345">
        <v>-0.14637829999999999</v>
      </c>
      <c r="W345">
        <v>4.677717E-2</v>
      </c>
      <c r="X345">
        <v>0.9881221</v>
      </c>
      <c r="Y345">
        <v>-0.36385590000000001</v>
      </c>
      <c r="Z345">
        <v>1.9445179999999999E-2</v>
      </c>
      <c r="AA345">
        <v>0.93125219999999898</v>
      </c>
      <c r="AB345">
        <v>59</v>
      </c>
      <c r="AC345">
        <v>0.88350000000002604</v>
      </c>
      <c r="AD345">
        <v>-0.133937899999999</v>
      </c>
      <c r="AE345">
        <v>0.46760000000000401</v>
      </c>
      <c r="AF345">
        <v>-0.45623942677936802</v>
      </c>
      <c r="AG345">
        <v>-0.133937899999999</v>
      </c>
      <c r="AH345">
        <v>0.86955877671729997</v>
      </c>
      <c r="AI345">
        <v>97.766963883644493</v>
      </c>
      <c r="AJ345">
        <v>117.68506311345701</v>
      </c>
      <c r="AK345">
        <v>0.99107327769971898</v>
      </c>
    </row>
    <row r="346" spans="1:37" x14ac:dyDescent="0.2">
      <c r="A346" t="str">
        <f>"20200111154035288"</f>
        <v>20200111154035288</v>
      </c>
      <c r="B346" t="str">
        <f>"1578728435286682"</f>
        <v>1578728435286682</v>
      </c>
      <c r="C346" t="s">
        <v>37</v>
      </c>
      <c r="D346">
        <v>5.4092839999999898</v>
      </c>
      <c r="E346">
        <v>0.48869819999999897</v>
      </c>
      <c r="F346" t="s">
        <v>39</v>
      </c>
      <c r="G346">
        <v>-359.35239999999999</v>
      </c>
      <c r="H346" s="1">
        <v>-6.9279730000000001E-7</v>
      </c>
      <c r="I346">
        <v>371.2423</v>
      </c>
      <c r="J346">
        <v>-368.75259999999997</v>
      </c>
      <c r="K346">
        <v>1.1086639999999901</v>
      </c>
      <c r="L346">
        <v>367.3793</v>
      </c>
      <c r="M346">
        <v>0.99997649999999905</v>
      </c>
      <c r="N346">
        <v>0</v>
      </c>
      <c r="O346">
        <v>3.7678299999999998E-3</v>
      </c>
      <c r="P346">
        <v>0.98790449999999996</v>
      </c>
      <c r="Q346">
        <v>4.0541399999999998E-2</v>
      </c>
      <c r="R346">
        <v>0.14966940000000001</v>
      </c>
      <c r="S346">
        <v>2.8771360000000001</v>
      </c>
      <c r="T346">
        <v>-0.32806809999999997</v>
      </c>
      <c r="U346">
        <v>1.143494</v>
      </c>
      <c r="V346">
        <v>-0.14599119999999999</v>
      </c>
      <c r="W346">
        <v>4.6060770000000001E-2</v>
      </c>
      <c r="X346">
        <v>0.98821299999999901</v>
      </c>
      <c r="Y346">
        <v>-0.36382109999999901</v>
      </c>
      <c r="Z346">
        <v>1.9511899999999999E-2</v>
      </c>
      <c r="AA346">
        <v>0.93126450000000005</v>
      </c>
      <c r="AB346">
        <v>59</v>
      </c>
      <c r="AC346">
        <v>9.4001999999999803</v>
      </c>
      <c r="AD346">
        <v>-1.1086646927972901</v>
      </c>
      <c r="AE346">
        <v>3.863</v>
      </c>
      <c r="AF346">
        <v>-3.7825403965438902</v>
      </c>
      <c r="AG346">
        <v>-1.1086646927972901</v>
      </c>
      <c r="AH346">
        <v>9.3039689126755505</v>
      </c>
      <c r="AI346">
        <v>96.299179408057896</v>
      </c>
      <c r="AJ346">
        <v>112.12426312876801</v>
      </c>
      <c r="AK346">
        <v>10.104483498951</v>
      </c>
    </row>
    <row r="347" spans="1:37" x14ac:dyDescent="0.2">
      <c r="A347" t="str">
        <f>"20200111154035300"</f>
        <v>20200111154035300</v>
      </c>
      <c r="B347" t="str">
        <f>"1578728435296441"</f>
        <v>1578728435296441</v>
      </c>
      <c r="C347" t="s">
        <v>37</v>
      </c>
      <c r="D347">
        <v>5.7861060000000002</v>
      </c>
      <c r="E347">
        <v>0.5575116</v>
      </c>
      <c r="F347" t="s">
        <v>39</v>
      </c>
      <c r="G347">
        <v>-354.4914</v>
      </c>
      <c r="H347" s="1">
        <v>-2.412032E-6</v>
      </c>
      <c r="I347">
        <v>369.8664</v>
      </c>
      <c r="J347">
        <v>-368.4631</v>
      </c>
      <c r="K347">
        <v>1.1086689999999999</v>
      </c>
      <c r="L347">
        <v>367.38040000000001</v>
      </c>
      <c r="M347">
        <v>0.99997579999999997</v>
      </c>
      <c r="N347">
        <v>0</v>
      </c>
      <c r="O347">
        <v>3.9349240000000002E-3</v>
      </c>
      <c r="P347">
        <v>0.98796640000000002</v>
      </c>
      <c r="Q347">
        <v>4.0120370000000002E-2</v>
      </c>
      <c r="R347">
        <v>0.14937549999999999</v>
      </c>
      <c r="S347">
        <v>2.9678040000000001</v>
      </c>
      <c r="T347">
        <v>-0.23071459999999999</v>
      </c>
      <c r="U347">
        <v>0.51757810000000004</v>
      </c>
      <c r="V347">
        <v>-0.14553260000000001</v>
      </c>
      <c r="W347">
        <v>4.5651610000000002E-2</v>
      </c>
      <c r="X347">
        <v>0.988299699999999</v>
      </c>
      <c r="Y347">
        <v>-0.16744809999999999</v>
      </c>
      <c r="Z347">
        <v>6.1472330000000002E-3</v>
      </c>
      <c r="AA347">
        <v>0.98586169999999995</v>
      </c>
      <c r="AB347">
        <v>59</v>
      </c>
      <c r="AC347">
        <v>13.971699999999901</v>
      </c>
      <c r="AD347">
        <v>-1.108671412032</v>
      </c>
      <c r="AE347">
        <v>2.48599999999999</v>
      </c>
      <c r="AF347">
        <v>-2.41625493463046</v>
      </c>
      <c r="AG347">
        <v>-1.108671412032</v>
      </c>
      <c r="AH347">
        <v>13.896558156254001</v>
      </c>
      <c r="AI347">
        <v>94.4942648844101</v>
      </c>
      <c r="AJ347">
        <v>99.863654713208504</v>
      </c>
      <c r="AK347">
        <v>14.148560661746901</v>
      </c>
    </row>
    <row r="348" spans="1:37" x14ac:dyDescent="0.2">
      <c r="A348" t="str">
        <f>"20200111154035312"</f>
        <v>20200111154035312</v>
      </c>
      <c r="B348" t="str">
        <f>"1578728435307177"</f>
        <v>1578728435307177</v>
      </c>
      <c r="C348" t="s">
        <v>37</v>
      </c>
      <c r="D348">
        <v>5.7274979999999998</v>
      </c>
      <c r="E348">
        <v>0.56474309999999905</v>
      </c>
      <c r="F348" t="s">
        <v>39</v>
      </c>
      <c r="G348">
        <v>-350.48820000000001</v>
      </c>
      <c r="H348" s="1">
        <v>-4.4853920000000001E-6</v>
      </c>
      <c r="I348">
        <v>367.23419999999999</v>
      </c>
      <c r="J348">
        <v>-368.15159999999997</v>
      </c>
      <c r="K348">
        <v>1.1086719999999901</v>
      </c>
      <c r="L348">
        <v>367.38159999999999</v>
      </c>
      <c r="M348">
        <v>0.99997499999999995</v>
      </c>
      <c r="N348">
        <v>0</v>
      </c>
      <c r="O348">
        <v>4.1176340000000002E-3</v>
      </c>
      <c r="P348">
        <v>0.9880544</v>
      </c>
      <c r="Q348">
        <v>3.9631050000000001E-2</v>
      </c>
      <c r="R348">
        <v>0.1489231</v>
      </c>
      <c r="S348">
        <v>3.047882</v>
      </c>
      <c r="T348">
        <v>-0.18798909999999999</v>
      </c>
      <c r="U348">
        <v>-2.478027E-2</v>
      </c>
      <c r="V348">
        <v>-0.1449</v>
      </c>
      <c r="W348">
        <v>4.5175260000000002E-2</v>
      </c>
      <c r="X348">
        <v>0.98841449999999997</v>
      </c>
      <c r="Y348">
        <v>1.221652E-2</v>
      </c>
      <c r="Z348">
        <v>-6.3011449999999896E-4</v>
      </c>
      <c r="AA348">
        <v>0.99992519999999996</v>
      </c>
      <c r="AB348">
        <v>59</v>
      </c>
      <c r="AC348">
        <v>17.6633999999999</v>
      </c>
      <c r="AD348">
        <v>-1.1086764853919999</v>
      </c>
      <c r="AE348">
        <v>-0.147400000000004</v>
      </c>
      <c r="AF348">
        <v>0.21926758429000801</v>
      </c>
      <c r="AG348">
        <v>-1.1086764853919999</v>
      </c>
      <c r="AH348">
        <v>17.593335998218201</v>
      </c>
      <c r="AI348">
        <v>93.605551823865497</v>
      </c>
      <c r="AJ348">
        <v>89.285953684154904</v>
      </c>
      <c r="AK348">
        <v>17.629597651931299</v>
      </c>
    </row>
    <row r="349" spans="1:37" x14ac:dyDescent="0.2">
      <c r="A349" t="str">
        <f>"20200111154035323"</f>
        <v>20200111154035323</v>
      </c>
      <c r="B349" t="str">
        <f>"1578728435316937"</f>
        <v>1578728435316937</v>
      </c>
      <c r="C349" t="s">
        <v>37</v>
      </c>
      <c r="D349">
        <v>5.9350350000000001</v>
      </c>
      <c r="E349">
        <v>0.56623999999999997</v>
      </c>
      <c r="F349" t="s">
        <v>38</v>
      </c>
      <c r="G349">
        <v>-367.12920000000003</v>
      </c>
      <c r="H349">
        <v>1.0365329999999999</v>
      </c>
      <c r="I349">
        <v>367.3528</v>
      </c>
      <c r="J349">
        <v>-367.8492</v>
      </c>
      <c r="K349">
        <v>1.1086780000000001</v>
      </c>
      <c r="L349">
        <v>367.38279999999997</v>
      </c>
      <c r="M349">
        <v>0.99997420000000004</v>
      </c>
      <c r="N349">
        <v>0</v>
      </c>
      <c r="O349">
        <v>4.2959900000000004E-3</v>
      </c>
      <c r="P349">
        <v>0.98818989999999995</v>
      </c>
      <c r="Q349">
        <v>3.8907839999999999E-2</v>
      </c>
      <c r="R349">
        <v>0.14821199999999901</v>
      </c>
      <c r="S349">
        <v>3.0576479999999999</v>
      </c>
      <c r="T349">
        <v>-0.21606620000000001</v>
      </c>
      <c r="U349">
        <v>-8.4686280000000003E-2</v>
      </c>
      <c r="V349">
        <v>-0.14401229999999901</v>
      </c>
      <c r="W349">
        <v>4.4465490000000003E-2</v>
      </c>
      <c r="X349">
        <v>0.98857640000000002</v>
      </c>
      <c r="Y349">
        <v>3.1889929999999997E-2</v>
      </c>
      <c r="Z349">
        <v>-1.4282660000000001E-3</v>
      </c>
      <c r="AA349">
        <v>0.9994904</v>
      </c>
      <c r="AB349">
        <v>59</v>
      </c>
      <c r="AC349">
        <v>0.71999999999997</v>
      </c>
      <c r="AD349">
        <v>-7.2145000000000098E-2</v>
      </c>
      <c r="AE349">
        <v>-2.9999999999972701E-2</v>
      </c>
      <c r="AF349">
        <v>3.2764491424197302E-2</v>
      </c>
      <c r="AG349">
        <v>-7.2145000000000098E-2</v>
      </c>
      <c r="AH349">
        <v>0.71272093087668198</v>
      </c>
      <c r="AI349">
        <v>95.774006347908994</v>
      </c>
      <c r="AJ349">
        <v>87.367909037480899</v>
      </c>
      <c r="AK349">
        <v>0.71711194260938904</v>
      </c>
    </row>
    <row r="350" spans="1:37" x14ac:dyDescent="0.2">
      <c r="A350" t="str">
        <f>"20200111154035335"</f>
        <v>20200111154035335</v>
      </c>
      <c r="B350" t="str">
        <f>"1578728435326697"</f>
        <v>1578728435326697</v>
      </c>
      <c r="C350" t="s">
        <v>37</v>
      </c>
      <c r="D350">
        <v>5.7341059999999997</v>
      </c>
      <c r="E350">
        <v>0.56836489999999995</v>
      </c>
      <c r="F350" t="s">
        <v>38</v>
      </c>
      <c r="G350">
        <v>-366.6114</v>
      </c>
      <c r="H350">
        <v>1.010672</v>
      </c>
      <c r="I350">
        <v>367.34199999999998</v>
      </c>
      <c r="J350">
        <v>-367.515999999999</v>
      </c>
      <c r="K350">
        <v>1.1086819999999999</v>
      </c>
      <c r="L350">
        <v>367.38420000000002</v>
      </c>
      <c r="M350">
        <v>0.99997320000000001</v>
      </c>
      <c r="N350">
        <v>0</v>
      </c>
      <c r="O350">
        <v>4.4946719999999999E-3</v>
      </c>
      <c r="P350">
        <v>0.98831139999999995</v>
      </c>
      <c r="Q350">
        <v>3.8611199999999998E-2</v>
      </c>
      <c r="R350">
        <v>0.14747759999999999</v>
      </c>
      <c r="S350">
        <v>3.060486</v>
      </c>
      <c r="T350">
        <v>-0.24235879999999899</v>
      </c>
      <c r="U350">
        <v>-0.10046389999999999</v>
      </c>
      <c r="V350">
        <v>-0.14308109999999999</v>
      </c>
      <c r="W350">
        <v>4.4183479999999997E-2</v>
      </c>
      <c r="X350">
        <v>0.98872420000000005</v>
      </c>
      <c r="Y350">
        <v>3.7170139999999997E-2</v>
      </c>
      <c r="Z350">
        <v>-1.824343E-3</v>
      </c>
      <c r="AA350">
        <v>0.99930730000000001</v>
      </c>
      <c r="AB350">
        <v>59</v>
      </c>
      <c r="AC350">
        <v>0.90459999999995899</v>
      </c>
      <c r="AD350">
        <v>-9.8009999999999903E-2</v>
      </c>
      <c r="AE350">
        <v>-4.2200000000036597E-2</v>
      </c>
      <c r="AF350">
        <v>4.5729869012649998E-2</v>
      </c>
      <c r="AG350">
        <v>-9.8009999999999903E-2</v>
      </c>
      <c r="AH350">
        <v>0.89393020916576404</v>
      </c>
      <c r="AI350">
        <v>96.248779414239706</v>
      </c>
      <c r="AJ350">
        <v>87.071531446259996</v>
      </c>
      <c r="AK350">
        <v>0.90044899904384501</v>
      </c>
    </row>
    <row r="351" spans="1:37" x14ac:dyDescent="0.2">
      <c r="A351" t="str">
        <f>"20200111154035347"</f>
        <v>20200111154035347</v>
      </c>
      <c r="B351" t="str">
        <f>"1578728435336457"</f>
        <v>1578728435336457</v>
      </c>
      <c r="C351" t="s">
        <v>37</v>
      </c>
      <c r="D351">
        <v>5.7389580000000002</v>
      </c>
      <c r="E351">
        <v>0.56871729999999998</v>
      </c>
      <c r="F351" t="s">
        <v>38</v>
      </c>
      <c r="G351">
        <v>-366.59969999999998</v>
      </c>
      <c r="H351">
        <v>1.034632</v>
      </c>
      <c r="I351">
        <v>367.34820000000002</v>
      </c>
      <c r="J351">
        <v>-367.21820000000002</v>
      </c>
      <c r="K351">
        <v>1.108687</v>
      </c>
      <c r="L351">
        <v>367.38549999999998</v>
      </c>
      <c r="M351">
        <v>0.99997230000000004</v>
      </c>
      <c r="N351">
        <v>0</v>
      </c>
      <c r="O351">
        <v>4.6731450000000001E-3</v>
      </c>
      <c r="P351">
        <v>0.98846939999999905</v>
      </c>
      <c r="Q351">
        <v>3.8156519999999999E-2</v>
      </c>
      <c r="R351">
        <v>0.1465349</v>
      </c>
      <c r="S351">
        <v>3.06311</v>
      </c>
      <c r="T351">
        <v>-0.24763779999999899</v>
      </c>
      <c r="U351">
        <v>-0.1201782</v>
      </c>
      <c r="V351">
        <v>-0.14196220000000001</v>
      </c>
      <c r="W351">
        <v>4.3742349999999999E-2</v>
      </c>
      <c r="X351">
        <v>0.98890509999999998</v>
      </c>
      <c r="Y351">
        <v>4.3715450000000003E-2</v>
      </c>
      <c r="Z351">
        <v>-2.1405949999999999E-3</v>
      </c>
      <c r="AA351">
        <v>0.99904169999999903</v>
      </c>
      <c r="AB351">
        <v>59</v>
      </c>
      <c r="AC351">
        <v>0.61850000000004002</v>
      </c>
      <c r="AD351">
        <v>-7.4054999999999899E-2</v>
      </c>
      <c r="AE351">
        <v>-3.7299999999959199E-2</v>
      </c>
      <c r="AF351">
        <v>3.9623988581720199E-2</v>
      </c>
      <c r="AG351">
        <v>-7.4054999999999899E-2</v>
      </c>
      <c r="AH351">
        <v>0.60961119106024098</v>
      </c>
      <c r="AI351">
        <v>96.911856331059397</v>
      </c>
      <c r="AJ351">
        <v>86.281075176089303</v>
      </c>
      <c r="AK351">
        <v>0.61536981382093403</v>
      </c>
    </row>
    <row r="352" spans="1:37" x14ac:dyDescent="0.2">
      <c r="A352" t="str">
        <f>"20200111154035357"</f>
        <v>20200111154035357</v>
      </c>
      <c r="B352" t="str">
        <f>"1578728435347194"</f>
        <v>1578728435347194</v>
      </c>
      <c r="C352" t="s">
        <v>37</v>
      </c>
      <c r="D352">
        <v>5.705972</v>
      </c>
      <c r="E352">
        <v>0.56864979999999998</v>
      </c>
      <c r="F352" t="s">
        <v>38</v>
      </c>
      <c r="G352">
        <v>-366.07819999999998</v>
      </c>
      <c r="H352">
        <v>1.0144340000000001</v>
      </c>
      <c r="I352">
        <v>367.3383</v>
      </c>
      <c r="J352">
        <v>-366.90980000000002</v>
      </c>
      <c r="K352">
        <v>1.1086940000000001</v>
      </c>
      <c r="L352">
        <v>367.38690000000003</v>
      </c>
      <c r="M352">
        <v>0.99997130000000001</v>
      </c>
      <c r="N352">
        <v>0</v>
      </c>
      <c r="O352">
        <v>4.8590059999999999E-3</v>
      </c>
      <c r="P352">
        <v>0.9885948</v>
      </c>
      <c r="Q352">
        <v>3.7692490000000002E-2</v>
      </c>
      <c r="R352">
        <v>0.1458062</v>
      </c>
      <c r="S352">
        <v>3.063507</v>
      </c>
      <c r="T352">
        <v>-0.25353720000000002</v>
      </c>
      <c r="U352">
        <v>-0.12600710000000001</v>
      </c>
      <c r="V352">
        <v>-0.14104920000000001</v>
      </c>
      <c r="W352">
        <v>4.3292160000000003E-2</v>
      </c>
      <c r="X352">
        <v>0.98905560000000003</v>
      </c>
      <c r="Y352">
        <v>4.5778550000000001E-2</v>
      </c>
      <c r="Z352">
        <v>-2.2915929999999902E-3</v>
      </c>
      <c r="AA352">
        <v>0.99894899999999998</v>
      </c>
      <c r="AB352">
        <v>59</v>
      </c>
      <c r="AC352">
        <v>0.83160000000003698</v>
      </c>
      <c r="AD352">
        <v>-9.4259999999999997E-2</v>
      </c>
      <c r="AE352">
        <v>-4.8600000000021702E-2</v>
      </c>
      <c r="AF352">
        <v>5.1974759892592502E-2</v>
      </c>
      <c r="AG352">
        <v>-9.4259999999999997E-2</v>
      </c>
      <c r="AH352">
        <v>0.82084395758550999</v>
      </c>
      <c r="AI352">
        <v>96.537775485284996</v>
      </c>
      <c r="AJ352">
        <v>86.376943346143506</v>
      </c>
      <c r="AK352">
        <v>0.827871442900729</v>
      </c>
    </row>
    <row r="353" spans="1:37" x14ac:dyDescent="0.2">
      <c r="A353" t="str">
        <f>"20200111154035370"</f>
        <v>20200111154035370</v>
      </c>
      <c r="B353" t="str">
        <f>"1578728435366713"</f>
        <v>1578728435366713</v>
      </c>
      <c r="C353" t="s">
        <v>37</v>
      </c>
      <c r="D353">
        <v>5.7343199999999896</v>
      </c>
      <c r="E353">
        <v>0.56818780000000002</v>
      </c>
      <c r="F353" t="s">
        <v>38</v>
      </c>
      <c r="G353">
        <v>-366.06659999999999</v>
      </c>
      <c r="H353">
        <v>1.0382899999999999</v>
      </c>
      <c r="I353">
        <v>367.35129999999998</v>
      </c>
      <c r="J353">
        <v>-366.62349999999998</v>
      </c>
      <c r="K353">
        <v>1.1086989999999901</v>
      </c>
      <c r="L353">
        <v>367.38830000000002</v>
      </c>
      <c r="M353">
        <v>0.99997029999999998</v>
      </c>
      <c r="N353">
        <v>0</v>
      </c>
      <c r="O353">
        <v>5.0324089999999998E-3</v>
      </c>
      <c r="P353">
        <v>0.98874740000000005</v>
      </c>
      <c r="Q353">
        <v>3.7522270000000003E-2</v>
      </c>
      <c r="R353">
        <v>0.14481329999999901</v>
      </c>
      <c r="S353">
        <v>3.0632630000000001</v>
      </c>
      <c r="T353">
        <v>-0.2560655</v>
      </c>
      <c r="U353">
        <v>-0.12805179999999999</v>
      </c>
      <c r="V353">
        <v>-0.1398847</v>
      </c>
      <c r="W353">
        <v>4.313591E-2</v>
      </c>
      <c r="X353">
        <v>0.98922779999999999</v>
      </c>
      <c r="Y353">
        <v>4.6613670000000003E-2</v>
      </c>
      <c r="Z353">
        <v>-2.3638119999999999E-3</v>
      </c>
      <c r="AA353">
        <v>0.99891019999999897</v>
      </c>
      <c r="AB353">
        <v>59</v>
      </c>
      <c r="AC353">
        <v>0.55689999999998396</v>
      </c>
      <c r="AD353">
        <v>-7.0408999999999902E-2</v>
      </c>
      <c r="AE353">
        <v>-3.7000000000034498E-2</v>
      </c>
      <c r="AF353">
        <v>3.9178625173427802E-2</v>
      </c>
      <c r="AG353">
        <v>-7.0408999999999902E-2</v>
      </c>
      <c r="AH353">
        <v>0.54798590254851898</v>
      </c>
      <c r="AI353">
        <v>97.303201400251297</v>
      </c>
      <c r="AJ353">
        <v>85.910557672518905</v>
      </c>
      <c r="AK353">
        <v>0.55387809249273801</v>
      </c>
    </row>
    <row r="354" spans="1:37" x14ac:dyDescent="0.2">
      <c r="A354" t="str">
        <f>"20200111154035381"</f>
        <v>20200111154035381</v>
      </c>
      <c r="B354" t="str">
        <f>"1578728435376473"</f>
        <v>1578728435376473</v>
      </c>
      <c r="C354" t="s">
        <v>37</v>
      </c>
      <c r="D354">
        <v>5.7013099999999897</v>
      </c>
      <c r="E354">
        <v>0.56784579999999996</v>
      </c>
      <c r="F354" t="s">
        <v>38</v>
      </c>
      <c r="G354">
        <v>-365.54379999999998</v>
      </c>
      <c r="H354">
        <v>1.018494</v>
      </c>
      <c r="I354">
        <v>367.34339999999997</v>
      </c>
      <c r="J354">
        <v>-366.30860000000001</v>
      </c>
      <c r="K354">
        <v>1.1087049999999901</v>
      </c>
      <c r="L354">
        <v>367.38990000000001</v>
      </c>
      <c r="M354">
        <v>0.99996939999999901</v>
      </c>
      <c r="N354">
        <v>0</v>
      </c>
      <c r="O354">
        <v>5.223274E-3</v>
      </c>
      <c r="P354">
        <v>0.98888500000000001</v>
      </c>
      <c r="Q354">
        <v>3.6986829999999998E-2</v>
      </c>
      <c r="R354">
        <v>0.14400969999999999</v>
      </c>
      <c r="S354">
        <v>3.0625309999999999</v>
      </c>
      <c r="T354">
        <v>-0.2558725</v>
      </c>
      <c r="U354">
        <v>-0.12710569999999999</v>
      </c>
      <c r="V354">
        <v>-0.1388924</v>
      </c>
      <c r="W354">
        <v>4.2614730000000003E-2</v>
      </c>
      <c r="X354">
        <v>0.98939009999999905</v>
      </c>
      <c r="Y354">
        <v>4.6506159999999998E-2</v>
      </c>
      <c r="Z354">
        <v>-2.374045E-3</v>
      </c>
      <c r="AA354">
        <v>0.9989152</v>
      </c>
      <c r="AB354">
        <v>59</v>
      </c>
      <c r="AC354">
        <v>0.76480000000003601</v>
      </c>
      <c r="AD354">
        <v>-9.0210999999999805E-2</v>
      </c>
      <c r="AE354">
        <v>-4.6500000000037199E-2</v>
      </c>
      <c r="AF354">
        <v>4.9803820959997497E-2</v>
      </c>
      <c r="AG354">
        <v>-9.0210999999999805E-2</v>
      </c>
      <c r="AH354">
        <v>0.75409355915738197</v>
      </c>
      <c r="AI354">
        <v>96.807093031189794</v>
      </c>
      <c r="AJ354">
        <v>86.221409693831106</v>
      </c>
      <c r="AK354">
        <v>0.761101531377952</v>
      </c>
    </row>
    <row r="355" spans="1:37" x14ac:dyDescent="0.2">
      <c r="A355" t="str">
        <f>"20200111154035397"</f>
        <v>20200111154035397</v>
      </c>
      <c r="B355" t="str">
        <f>"1578728435387209"</f>
        <v>1578728435387209</v>
      </c>
      <c r="C355" t="s">
        <v>37</v>
      </c>
      <c r="D355">
        <v>5.7005869999999996</v>
      </c>
      <c r="E355">
        <v>0.5674401</v>
      </c>
      <c r="F355" t="s">
        <v>38</v>
      </c>
      <c r="G355">
        <v>-365.53179999999998</v>
      </c>
      <c r="H355">
        <v>1.043123</v>
      </c>
      <c r="I355">
        <v>367.35739999999998</v>
      </c>
      <c r="J355">
        <v>-365.86930000000001</v>
      </c>
      <c r="K355">
        <v>1.1087089999999999</v>
      </c>
      <c r="L355">
        <v>367.3922</v>
      </c>
      <c r="M355">
        <v>0.99996779999999996</v>
      </c>
      <c r="N355">
        <v>0</v>
      </c>
      <c r="O355">
        <v>5.4911480000000004E-3</v>
      </c>
      <c r="P355">
        <v>0.98913969999999996</v>
      </c>
      <c r="Q355">
        <v>3.6580769999999999E-2</v>
      </c>
      <c r="R355">
        <v>0.14235349999999999</v>
      </c>
      <c r="S355">
        <v>3.0619200000000002</v>
      </c>
      <c r="T355">
        <v>-0.25858579999999998</v>
      </c>
      <c r="U355">
        <v>-0.12728879999999901</v>
      </c>
      <c r="V355">
        <v>-0.13697000000000001</v>
      </c>
      <c r="W355">
        <v>4.2229790000000003E-2</v>
      </c>
      <c r="X355">
        <v>0.98967459999999996</v>
      </c>
      <c r="Y355">
        <v>4.683561E-2</v>
      </c>
      <c r="Z355">
        <v>-2.436059E-3</v>
      </c>
      <c r="AA355">
        <v>0.998899599999999</v>
      </c>
      <c r="AB355">
        <v>59</v>
      </c>
      <c r="AC355">
        <v>0.337500000000034</v>
      </c>
      <c r="AD355">
        <v>-6.5585999999999894E-2</v>
      </c>
      <c r="AE355">
        <v>-3.4800000000018302E-2</v>
      </c>
      <c r="AF355">
        <v>3.5332519026736203E-2</v>
      </c>
      <c r="AG355">
        <v>-6.5585999999999894E-2</v>
      </c>
      <c r="AH355">
        <v>0.32515396975057198</v>
      </c>
      <c r="AI355">
        <v>101.338968246375</v>
      </c>
      <c r="AJ355">
        <v>83.798346543906007</v>
      </c>
      <c r="AK355">
        <v>0.33357909757856602</v>
      </c>
    </row>
    <row r="356" spans="1:37" x14ac:dyDescent="0.2">
      <c r="A356" t="str">
        <f>"20200111154035408"</f>
        <v>20200111154035408</v>
      </c>
      <c r="B356" t="str">
        <f>"1578728435396970"</f>
        <v>1578728435396970</v>
      </c>
      <c r="C356" t="s">
        <v>37</v>
      </c>
      <c r="D356">
        <v>5.7423849999999996</v>
      </c>
      <c r="E356">
        <v>0.56697799999999998</v>
      </c>
      <c r="F356" t="s">
        <v>38</v>
      </c>
      <c r="G356">
        <v>-365.00240000000002</v>
      </c>
      <c r="H356">
        <v>1.034769</v>
      </c>
      <c r="I356">
        <v>367.35500000000002</v>
      </c>
      <c r="J356">
        <v>-365.57369999999997</v>
      </c>
      <c r="K356">
        <v>1.108714</v>
      </c>
      <c r="L356">
        <v>367.39370000000002</v>
      </c>
      <c r="M356">
        <v>0.99996659999999904</v>
      </c>
      <c r="N356">
        <v>0</v>
      </c>
      <c r="O356">
        <v>5.6715169999999896E-3</v>
      </c>
      <c r="P356">
        <v>0.9892185</v>
      </c>
      <c r="Q356">
        <v>3.641353E-2</v>
      </c>
      <c r="R356">
        <v>0.141848799999999</v>
      </c>
      <c r="S356">
        <v>3.0612490000000001</v>
      </c>
      <c r="T356">
        <v>-0.26144089999999998</v>
      </c>
      <c r="U356">
        <v>-0.12951660000000001</v>
      </c>
      <c r="V356">
        <v>-0.13628699999999999</v>
      </c>
      <c r="W356">
        <v>4.2076389999999998E-2</v>
      </c>
      <c r="X356">
        <v>0.98977539999999997</v>
      </c>
      <c r="Y356">
        <v>4.7742369999999999E-2</v>
      </c>
      <c r="Z356">
        <v>-2.517362E-3</v>
      </c>
      <c r="AA356">
        <v>0.99885650000000004</v>
      </c>
      <c r="AB356">
        <v>60</v>
      </c>
      <c r="AC356">
        <v>0.57129999999995096</v>
      </c>
      <c r="AD356">
        <v>-7.39449999999999E-2</v>
      </c>
      <c r="AE356">
        <v>-3.8700000000005702E-2</v>
      </c>
      <c r="AF356">
        <v>4.1251644670371901E-2</v>
      </c>
      <c r="AG356">
        <v>-7.39449999999999E-2</v>
      </c>
      <c r="AH356">
        <v>0.561704147674287</v>
      </c>
      <c r="AI356">
        <v>97.479608970807504</v>
      </c>
      <c r="AJ356">
        <v>85.799729059275506</v>
      </c>
      <c r="AK356">
        <v>0.56805027130308405</v>
      </c>
    </row>
    <row r="357" spans="1:37" x14ac:dyDescent="0.2">
      <c r="A357" t="str">
        <f>"20200111154035419"</f>
        <v>20200111154035419</v>
      </c>
      <c r="B357" t="str">
        <f>"1578728435416490"</f>
        <v>1578728435416490</v>
      </c>
      <c r="C357" t="s">
        <v>37</v>
      </c>
      <c r="D357">
        <v>5.848821</v>
      </c>
      <c r="E357">
        <v>0.56557979999999997</v>
      </c>
      <c r="F357" t="s">
        <v>38</v>
      </c>
      <c r="G357">
        <v>-364.4776</v>
      </c>
      <c r="H357">
        <v>1.0146649999999999</v>
      </c>
      <c r="I357">
        <v>367.34780000000001</v>
      </c>
      <c r="J357">
        <v>-365.27519999999998</v>
      </c>
      <c r="K357">
        <v>1.1087199999999999</v>
      </c>
      <c r="L357">
        <v>367.3954</v>
      </c>
      <c r="M357">
        <v>0.99996559999999901</v>
      </c>
      <c r="N357">
        <v>0</v>
      </c>
      <c r="O357">
        <v>5.853614E-3</v>
      </c>
      <c r="P357">
        <v>0.98934920000000004</v>
      </c>
      <c r="Q357">
        <v>3.6134100000000002E-2</v>
      </c>
      <c r="R357">
        <v>0.1410063</v>
      </c>
      <c r="S357">
        <v>3.0606689999999999</v>
      </c>
      <c r="T357">
        <v>-0.26274940000000002</v>
      </c>
      <c r="U357">
        <v>-0.12753299999999901</v>
      </c>
      <c r="V357">
        <v>-0.13526340000000001</v>
      </c>
      <c r="W357">
        <v>4.1810550000000002E-2</v>
      </c>
      <c r="X357">
        <v>0.98992709999999995</v>
      </c>
      <c r="Y357">
        <v>4.7285010000000002E-2</v>
      </c>
      <c r="Z357">
        <v>-2.5264390000000001E-3</v>
      </c>
      <c r="AA357">
        <v>0.99887819999999905</v>
      </c>
      <c r="AB357">
        <v>60</v>
      </c>
      <c r="AC357">
        <v>0.79759999999998799</v>
      </c>
      <c r="AD357">
        <v>-9.4055000000000194E-2</v>
      </c>
      <c r="AE357">
        <v>-4.7599999999988499E-2</v>
      </c>
      <c r="AF357">
        <v>5.1553759666397303E-2</v>
      </c>
      <c r="AG357">
        <v>-9.4055000000000194E-2</v>
      </c>
      <c r="AH357">
        <v>0.78641089781382201</v>
      </c>
      <c r="AI357">
        <v>96.805726940997005</v>
      </c>
      <c r="AJ357">
        <v>86.249298757728297</v>
      </c>
      <c r="AK357">
        <v>0.79369152279779498</v>
      </c>
    </row>
    <row r="358" spans="1:37" x14ac:dyDescent="0.2">
      <c r="A358" t="str">
        <f>"20200111154035432"</f>
        <v>20200111154035432</v>
      </c>
      <c r="B358" t="str">
        <f>"1578728435427225"</f>
        <v>1578728435427225</v>
      </c>
      <c r="C358" t="s">
        <v>37</v>
      </c>
      <c r="D358">
        <v>5.8849650000000002</v>
      </c>
      <c r="E358">
        <v>0.56470019999999999</v>
      </c>
      <c r="F358" t="s">
        <v>38</v>
      </c>
      <c r="G358">
        <v>-364.46660000000003</v>
      </c>
      <c r="H358">
        <v>1.0373680000000001</v>
      </c>
      <c r="I358">
        <v>367.36349999999999</v>
      </c>
      <c r="J358">
        <v>-364.96469999999999</v>
      </c>
      <c r="K358">
        <v>1.108727</v>
      </c>
      <c r="L358">
        <v>367.3972</v>
      </c>
      <c r="M358">
        <v>0.99996430000000003</v>
      </c>
      <c r="N358">
        <v>0</v>
      </c>
      <c r="O358">
        <v>6.0435159999999996E-3</v>
      </c>
      <c r="P358">
        <v>0.98943009999999998</v>
      </c>
      <c r="Q358">
        <v>3.6225260000000002E-2</v>
      </c>
      <c r="R358">
        <v>0.1404136</v>
      </c>
      <c r="S358">
        <v>3.0592039999999998</v>
      </c>
      <c r="T358">
        <v>-0.27011809999999897</v>
      </c>
      <c r="U358">
        <v>-0.119689899999999</v>
      </c>
      <c r="V358">
        <v>-0.134483399999999</v>
      </c>
      <c r="W358">
        <v>4.1915840000000003E-2</v>
      </c>
      <c r="X358">
        <v>0.99002889999999999</v>
      </c>
      <c r="Y358">
        <v>4.4934870000000002E-2</v>
      </c>
      <c r="Z358">
        <v>-2.5116069999999999E-3</v>
      </c>
      <c r="AA358">
        <v>0.99898679999999995</v>
      </c>
      <c r="AB358">
        <v>60</v>
      </c>
      <c r="AC358">
        <v>0.49809999999996502</v>
      </c>
      <c r="AD358">
        <v>-7.1358999999999895E-2</v>
      </c>
      <c r="AE358">
        <v>-3.3700000000010201E-2</v>
      </c>
      <c r="AF358">
        <v>3.5974727315689597E-2</v>
      </c>
      <c r="AG358">
        <v>-7.1358999999999895E-2</v>
      </c>
      <c r="AH358">
        <v>0.48791876320881999</v>
      </c>
      <c r="AI358">
        <v>98.298410324072293</v>
      </c>
      <c r="AJ358">
        <v>85.783156410116803</v>
      </c>
      <c r="AK358">
        <v>0.49441986952150602</v>
      </c>
    </row>
    <row r="359" spans="1:37" x14ac:dyDescent="0.2">
      <c r="A359" t="str">
        <f>"20200111154035443"</f>
        <v>20200111154035443</v>
      </c>
      <c r="B359" t="str">
        <f>"1578728435436985"</f>
        <v>1578728435436985</v>
      </c>
      <c r="C359" t="s">
        <v>37</v>
      </c>
      <c r="D359">
        <v>5.8901969999999997</v>
      </c>
      <c r="E359">
        <v>0.56393490000000002</v>
      </c>
      <c r="F359" t="s">
        <v>38</v>
      </c>
      <c r="G359">
        <v>-363.9409</v>
      </c>
      <c r="H359">
        <v>1.0170920000000001</v>
      </c>
      <c r="I359">
        <v>367.35840000000002</v>
      </c>
      <c r="J359">
        <v>-364.63979999999998</v>
      </c>
      <c r="K359">
        <v>1.108733</v>
      </c>
      <c r="L359">
        <v>367.39909999999998</v>
      </c>
      <c r="M359">
        <v>0.99996289999999999</v>
      </c>
      <c r="N359">
        <v>0</v>
      </c>
      <c r="O359">
        <v>6.2425359999999999E-3</v>
      </c>
      <c r="P359">
        <v>0.98949039999999999</v>
      </c>
      <c r="Q359">
        <v>3.6357720000000003E-2</v>
      </c>
      <c r="R359">
        <v>0.13995289999999999</v>
      </c>
      <c r="S359">
        <v>3.058411</v>
      </c>
      <c r="T359">
        <v>-0.27394409999999902</v>
      </c>
      <c r="U359">
        <v>-0.1148376</v>
      </c>
      <c r="V359">
        <v>-0.13382629999999901</v>
      </c>
      <c r="W359">
        <v>4.2063530000000002E-2</v>
      </c>
      <c r="X359">
        <v>0.99011170000000004</v>
      </c>
      <c r="Y359">
        <v>4.3560109999999999E-2</v>
      </c>
      <c r="Z359">
        <v>-2.5041360000000001E-3</v>
      </c>
      <c r="AA359">
        <v>0.99904769999999898</v>
      </c>
      <c r="AB359">
        <v>60</v>
      </c>
      <c r="AC359">
        <v>0.69889999999997998</v>
      </c>
      <c r="AD359">
        <v>-9.1640999999999806E-2</v>
      </c>
      <c r="AE359">
        <v>-4.0699999999958401E-2</v>
      </c>
      <c r="AF359">
        <v>4.4303067628452902E-2</v>
      </c>
      <c r="AG359">
        <v>-9.1640999999999806E-2</v>
      </c>
      <c r="AH359">
        <v>0.68686303931741</v>
      </c>
      <c r="AI359">
        <v>97.583924923052194</v>
      </c>
      <c r="AJ359">
        <v>86.309500948717101</v>
      </c>
      <c r="AK359">
        <v>0.69436421960138495</v>
      </c>
    </row>
    <row r="360" spans="1:37" x14ac:dyDescent="0.2">
      <c r="A360" t="str">
        <f>"20200111154035454"</f>
        <v>20200111154035454</v>
      </c>
      <c r="B360" t="str">
        <f>"1578728435446745"</f>
        <v>1578728435446745</v>
      </c>
      <c r="C360" t="s">
        <v>37</v>
      </c>
      <c r="D360">
        <v>5.8744740000000002</v>
      </c>
      <c r="E360">
        <v>0.56330340000000001</v>
      </c>
      <c r="F360" t="s">
        <v>38</v>
      </c>
      <c r="G360">
        <v>-363.41370000000001</v>
      </c>
      <c r="H360">
        <v>0.99748969999999904</v>
      </c>
      <c r="I360">
        <v>367.35480000000001</v>
      </c>
      <c r="J360">
        <v>-364.33139999999997</v>
      </c>
      <c r="K360">
        <v>1.1087389999999999</v>
      </c>
      <c r="L360">
        <v>367.40100000000001</v>
      </c>
      <c r="M360">
        <v>0.99996180000000001</v>
      </c>
      <c r="N360">
        <v>0</v>
      </c>
      <c r="O360">
        <v>6.4317169999999896E-3</v>
      </c>
      <c r="P360">
        <v>0.98958519999999905</v>
      </c>
      <c r="Q360">
        <v>3.659486E-2</v>
      </c>
      <c r="R360">
        <v>0.13922109999999999</v>
      </c>
      <c r="S360">
        <v>3.057709</v>
      </c>
      <c r="T360">
        <v>-0.27745039999999999</v>
      </c>
      <c r="U360">
        <v>-0.1104126</v>
      </c>
      <c r="V360">
        <v>-0.1329071</v>
      </c>
      <c r="W360">
        <v>4.2315070000000003E-2</v>
      </c>
      <c r="X360">
        <v>0.99022479999999902</v>
      </c>
      <c r="Y360">
        <v>4.2312959999999997E-2</v>
      </c>
      <c r="Z360">
        <v>-2.4973819999999998E-3</v>
      </c>
      <c r="AA360">
        <v>0.99910129999999997</v>
      </c>
      <c r="AB360">
        <v>60</v>
      </c>
      <c r="AC360">
        <v>0.91769999999996799</v>
      </c>
      <c r="AD360">
        <v>-0.1112493</v>
      </c>
      <c r="AE360">
        <v>-4.6199999999998902E-2</v>
      </c>
      <c r="AF360">
        <v>5.1348830217013898E-2</v>
      </c>
      <c r="AG360">
        <v>-0.1112493</v>
      </c>
      <c r="AH360">
        <v>0.90413053933049703</v>
      </c>
      <c r="AI360">
        <v>97.003561198599499</v>
      </c>
      <c r="AJ360">
        <v>86.749458176296301</v>
      </c>
      <c r="AK360">
        <v>0.91239527687576305</v>
      </c>
    </row>
    <row r="361" spans="1:37" x14ac:dyDescent="0.2">
      <c r="A361" t="str">
        <f>"20200111154035466"</f>
        <v>20200111154035466</v>
      </c>
      <c r="B361" t="str">
        <f>"1578728435456506"</f>
        <v>1578728435456506</v>
      </c>
      <c r="C361" t="s">
        <v>37</v>
      </c>
      <c r="D361">
        <v>5.8952470000000003</v>
      </c>
      <c r="E361">
        <v>0.56268680000000004</v>
      </c>
      <c r="F361" t="s">
        <v>38</v>
      </c>
      <c r="G361">
        <v>-363.40120000000002</v>
      </c>
      <c r="H361">
        <v>1.0234219999999901</v>
      </c>
      <c r="I361">
        <v>367.3682</v>
      </c>
      <c r="J361">
        <v>-364.04129999999998</v>
      </c>
      <c r="K361">
        <v>1.108744</v>
      </c>
      <c r="L361">
        <v>367.40289999999999</v>
      </c>
      <c r="M361">
        <v>0.99996049999999903</v>
      </c>
      <c r="N361">
        <v>0</v>
      </c>
      <c r="O361">
        <v>6.6100500000000001E-3</v>
      </c>
      <c r="P361">
        <v>0.98963659999999998</v>
      </c>
      <c r="Q361">
        <v>3.6930009999999999E-2</v>
      </c>
      <c r="R361">
        <v>0.13876520000000001</v>
      </c>
      <c r="S361">
        <v>3.0571290000000002</v>
      </c>
      <c r="T361">
        <v>-0.28041100000000002</v>
      </c>
      <c r="U361">
        <v>-0.1077881</v>
      </c>
      <c r="V361">
        <v>-0.13227520000000001</v>
      </c>
      <c r="W361">
        <v>4.2663800000000002E-2</v>
      </c>
      <c r="X361">
        <v>0.99029449999999997</v>
      </c>
      <c r="Y361">
        <v>4.1639049999999997E-2</v>
      </c>
      <c r="Z361">
        <v>-2.509921E-3</v>
      </c>
      <c r="AA361">
        <v>0.99912959999999995</v>
      </c>
      <c r="AB361">
        <v>60</v>
      </c>
      <c r="AC361">
        <v>0.64009999999996103</v>
      </c>
      <c r="AD361">
        <v>-8.5322000000000106E-2</v>
      </c>
      <c r="AE361">
        <v>-3.4699999999986603E-2</v>
      </c>
      <c r="AF361">
        <v>3.8252745311670902E-2</v>
      </c>
      <c r="AG361">
        <v>-8.5322000000000106E-2</v>
      </c>
      <c r="AH361">
        <v>0.62871861470036405</v>
      </c>
      <c r="AI361">
        <v>97.714177587419101</v>
      </c>
      <c r="AJ361">
        <v>86.518279615440704</v>
      </c>
      <c r="AK361">
        <v>0.63563370952036902</v>
      </c>
    </row>
    <row r="362" spans="1:37" x14ac:dyDescent="0.2">
      <c r="A362" t="str">
        <f>"20200111154035476"</f>
        <v>20200111154035476</v>
      </c>
      <c r="B362" t="str">
        <f>"1578728435467241"</f>
        <v>1578728435467241</v>
      </c>
      <c r="C362" t="s">
        <v>37</v>
      </c>
      <c r="D362">
        <v>5.8918109999999997</v>
      </c>
      <c r="E362">
        <v>0.56225190000000003</v>
      </c>
      <c r="F362" t="s">
        <v>38</v>
      </c>
      <c r="G362">
        <v>-362.87439999999998</v>
      </c>
      <c r="H362">
        <v>1.001017</v>
      </c>
      <c r="I362">
        <v>367.36270000000002</v>
      </c>
      <c r="J362">
        <v>-363.7466</v>
      </c>
      <c r="K362">
        <v>1.1087480000000001</v>
      </c>
      <c r="L362">
        <v>367.40480000000002</v>
      </c>
      <c r="M362">
        <v>0.99995909999999999</v>
      </c>
      <c r="N362">
        <v>0</v>
      </c>
      <c r="O362">
        <v>6.7913009999999996E-3</v>
      </c>
      <c r="P362">
        <v>0.98969949999999995</v>
      </c>
      <c r="Q362">
        <v>3.7210739999999999E-2</v>
      </c>
      <c r="R362">
        <v>0.13823929999999901</v>
      </c>
      <c r="S362">
        <v>3.0565799999999999</v>
      </c>
      <c r="T362">
        <v>-0.28234049999999999</v>
      </c>
      <c r="U362">
        <v>-0.10437009999999999</v>
      </c>
      <c r="V362">
        <v>-0.13156989999999999</v>
      </c>
      <c r="W362">
        <v>4.2958209999999997E-2</v>
      </c>
      <c r="X362">
        <v>0.99037559999999902</v>
      </c>
      <c r="Y362">
        <v>4.0710839999999998E-2</v>
      </c>
      <c r="Z362">
        <v>-2.5015549999999999E-3</v>
      </c>
      <c r="AA362">
        <v>0.9991679</v>
      </c>
      <c r="AB362">
        <v>60</v>
      </c>
      <c r="AC362">
        <v>0.87220000000001996</v>
      </c>
      <c r="AD362">
        <v>-0.10773099999999999</v>
      </c>
      <c r="AE362">
        <v>-4.2100000000004897E-2</v>
      </c>
      <c r="AF362">
        <v>4.7302523474404903E-2</v>
      </c>
      <c r="AG362">
        <v>-0.10773099999999999</v>
      </c>
      <c r="AH362">
        <v>0.85882197688297801</v>
      </c>
      <c r="AI362">
        <v>97.139153013578294</v>
      </c>
      <c r="AJ362">
        <v>86.847426601745099</v>
      </c>
      <c r="AK362">
        <v>0.86684409501664905</v>
      </c>
    </row>
    <row r="363" spans="1:37" x14ac:dyDescent="0.2">
      <c r="A363" t="str">
        <f>"20200111154035487"</f>
        <v>20200111154035487</v>
      </c>
      <c r="B363" t="str">
        <f>"1578728435477001"</f>
        <v>1578728435477001</v>
      </c>
      <c r="C363" t="s">
        <v>37</v>
      </c>
      <c r="D363">
        <v>5.9023029999999999</v>
      </c>
      <c r="E363">
        <v>0.56171610000000005</v>
      </c>
      <c r="F363" t="s">
        <v>38</v>
      </c>
      <c r="G363">
        <v>-362.861999999999</v>
      </c>
      <c r="H363">
        <v>1.0265120000000001</v>
      </c>
      <c r="I363">
        <v>367.37479999999999</v>
      </c>
      <c r="J363">
        <v>-363.45639999999997</v>
      </c>
      <c r="K363">
        <v>1.108751</v>
      </c>
      <c r="L363">
        <v>367.40660000000003</v>
      </c>
      <c r="M363">
        <v>0.99995769999999995</v>
      </c>
      <c r="N363">
        <v>0</v>
      </c>
      <c r="O363">
        <v>6.9697489999999999E-3</v>
      </c>
      <c r="P363">
        <v>0.98969669999999899</v>
      </c>
      <c r="Q363">
        <v>3.7628429999999997E-2</v>
      </c>
      <c r="R363">
        <v>0.1381464</v>
      </c>
      <c r="S363">
        <v>3.056244</v>
      </c>
      <c r="T363">
        <v>-0.28439340000000002</v>
      </c>
      <c r="U363">
        <v>-0.10266110000000001</v>
      </c>
      <c r="V363">
        <v>-0.13130159999999999</v>
      </c>
      <c r="W363">
        <v>4.3388389999999999E-2</v>
      </c>
      <c r="X363">
        <v>0.99039249999999901</v>
      </c>
      <c r="Y363">
        <v>4.0332680000000003E-2</v>
      </c>
      <c r="Z363">
        <v>-2.5189800000000001E-3</v>
      </c>
      <c r="AA363">
        <v>0.99918309999999999</v>
      </c>
      <c r="AB363">
        <v>60</v>
      </c>
      <c r="AC363">
        <v>0.59440000000000703</v>
      </c>
      <c r="AD363">
        <v>-8.2238999999999896E-2</v>
      </c>
      <c r="AE363">
        <v>-3.18000000000324E-2</v>
      </c>
      <c r="AF363">
        <v>3.5268913621067002E-2</v>
      </c>
      <c r="AG363">
        <v>-8.2238999999999896E-2</v>
      </c>
      <c r="AH363">
        <v>0.58303504048453803</v>
      </c>
      <c r="AI363">
        <v>98.014330688496301</v>
      </c>
      <c r="AJ363">
        <v>86.538286177759801</v>
      </c>
      <c r="AK363">
        <v>0.58986185486248999</v>
      </c>
    </row>
    <row r="364" spans="1:37" x14ac:dyDescent="0.2">
      <c r="A364" t="str">
        <f>"20200111154035499"</f>
        <v>20200111154035499</v>
      </c>
      <c r="B364" t="str">
        <f>"1578728435496521"</f>
        <v>1578728435496521</v>
      </c>
      <c r="C364" t="s">
        <v>37</v>
      </c>
      <c r="D364">
        <v>5.849831</v>
      </c>
      <c r="E364">
        <v>0.56082980000000004</v>
      </c>
      <c r="F364" t="s">
        <v>38</v>
      </c>
      <c r="G364">
        <v>-362.33420000000001</v>
      </c>
      <c r="H364">
        <v>1.004087</v>
      </c>
      <c r="I364">
        <v>367.36989999999997</v>
      </c>
      <c r="J364">
        <v>-363.1345</v>
      </c>
      <c r="K364">
        <v>1.108754</v>
      </c>
      <c r="L364">
        <v>367.40890000000002</v>
      </c>
      <c r="M364">
        <v>0.99995639999999997</v>
      </c>
      <c r="N364">
        <v>0</v>
      </c>
      <c r="O364">
        <v>7.1672699999999999E-3</v>
      </c>
      <c r="P364">
        <v>0.98968369999999894</v>
      </c>
      <c r="Q364">
        <v>3.7525929999999999E-2</v>
      </c>
      <c r="R364">
        <v>0.1382681</v>
      </c>
      <c r="S364">
        <v>3.0559080000000001</v>
      </c>
      <c r="T364">
        <v>-0.28515740000000001</v>
      </c>
      <c r="U364">
        <v>-9.9090579999999998E-2</v>
      </c>
      <c r="V364">
        <v>-0.1312284</v>
      </c>
      <c r="W364">
        <v>4.3299780000000003E-2</v>
      </c>
      <c r="X364">
        <v>0.99040609999999996</v>
      </c>
      <c r="Y364">
        <v>3.9369699999999903E-2</v>
      </c>
      <c r="Z364">
        <v>-2.499608E-3</v>
      </c>
      <c r="AA364">
        <v>0.99922160000000004</v>
      </c>
      <c r="AB364">
        <v>60</v>
      </c>
      <c r="AC364">
        <v>0.80029999999999202</v>
      </c>
      <c r="AD364">
        <v>-0.104666999999999</v>
      </c>
      <c r="AE364">
        <v>-3.9000000000044097E-2</v>
      </c>
      <c r="AF364">
        <v>4.3984510404598498E-2</v>
      </c>
      <c r="AG364">
        <v>-0.104666999999999</v>
      </c>
      <c r="AH364">
        <v>0.78657766259922102</v>
      </c>
      <c r="AI364">
        <v>97.567926141844595</v>
      </c>
      <c r="AJ364">
        <v>86.799419682441197</v>
      </c>
      <c r="AK364">
        <v>0.79472903391318594</v>
      </c>
    </row>
    <row r="365" spans="1:37" x14ac:dyDescent="0.2">
      <c r="A365" t="str">
        <f>"20200111154035511"</f>
        <v>20200111154035511</v>
      </c>
      <c r="B365" t="str">
        <f>"1578728435507258"</f>
        <v>1578728435507258</v>
      </c>
      <c r="C365" t="s">
        <v>37</v>
      </c>
      <c r="D365">
        <v>5.7019019999999996</v>
      </c>
      <c r="E365">
        <v>0.56082180000000004</v>
      </c>
      <c r="F365" t="s">
        <v>38</v>
      </c>
      <c r="G365">
        <v>-362.32069999999999</v>
      </c>
      <c r="H365">
        <v>1.0317989999999999</v>
      </c>
      <c r="I365">
        <v>367.38409999999999</v>
      </c>
      <c r="J365">
        <v>-362.82749999999999</v>
      </c>
      <c r="K365">
        <v>1.108757</v>
      </c>
      <c r="L365">
        <v>367.411</v>
      </c>
      <c r="M365">
        <v>0.99995489999999998</v>
      </c>
      <c r="N365">
        <v>0</v>
      </c>
      <c r="O365">
        <v>7.3563839999999997E-3</v>
      </c>
      <c r="P365">
        <v>0.98973469999999997</v>
      </c>
      <c r="Q365">
        <v>3.7605300000000001E-2</v>
      </c>
      <c r="R365">
        <v>0.1378809</v>
      </c>
      <c r="S365">
        <v>3.0550839999999999</v>
      </c>
      <c r="T365">
        <v>-0.28913179999999999</v>
      </c>
      <c r="U365">
        <v>-9.1827389999999995E-2</v>
      </c>
      <c r="V365">
        <v>-0.1306541</v>
      </c>
      <c r="W365">
        <v>4.3393149999999998E-2</v>
      </c>
      <c r="X365">
        <v>0.99047790000000002</v>
      </c>
      <c r="Y365">
        <v>3.7197139999999997E-2</v>
      </c>
      <c r="Z365">
        <v>-2.4503659999999998E-3</v>
      </c>
      <c r="AA365">
        <v>0.999304999999999</v>
      </c>
      <c r="AB365">
        <v>60</v>
      </c>
      <c r="AC365">
        <v>0.50679999999999803</v>
      </c>
      <c r="AD365">
        <v>-7.6957999999999999E-2</v>
      </c>
      <c r="AE365">
        <v>-2.6900000000011901E-2</v>
      </c>
      <c r="AF365">
        <v>2.9939137426546001E-2</v>
      </c>
      <c r="AG365">
        <v>-7.6957999999999999E-2</v>
      </c>
      <c r="AH365">
        <v>0.495201778840545</v>
      </c>
      <c r="AI365">
        <v>98.8176769759433</v>
      </c>
      <c r="AJ365">
        <v>86.540196702293699</v>
      </c>
      <c r="AK365">
        <v>0.50203952780701</v>
      </c>
    </row>
    <row r="366" spans="1:37" x14ac:dyDescent="0.2">
      <c r="A366" t="str">
        <f>"20200111154035523"</f>
        <v>20200111154035523</v>
      </c>
      <c r="B366" t="str">
        <f>"1578728435517017"</f>
        <v>1578728435517017</v>
      </c>
      <c r="C366" t="s">
        <v>37</v>
      </c>
      <c r="D366">
        <v>5.6933030000000002</v>
      </c>
      <c r="E366">
        <v>0.56082829999999995</v>
      </c>
      <c r="F366" t="s">
        <v>38</v>
      </c>
      <c r="G366">
        <v>-361.7912</v>
      </c>
      <c r="H366">
        <v>1.0108999999999999</v>
      </c>
      <c r="I366">
        <v>367.3793</v>
      </c>
      <c r="J366">
        <v>-362.49520000000001</v>
      </c>
      <c r="K366">
        <v>1.1087590000000001</v>
      </c>
      <c r="L366">
        <v>367.41340000000002</v>
      </c>
      <c r="M366">
        <v>0.99995319999999899</v>
      </c>
      <c r="N366">
        <v>0</v>
      </c>
      <c r="O366">
        <v>7.5611109999999997E-3</v>
      </c>
      <c r="P366">
        <v>0.98973609999999901</v>
      </c>
      <c r="Q366">
        <v>3.7628549999999997E-2</v>
      </c>
      <c r="R366">
        <v>0.13786470000000001</v>
      </c>
      <c r="S366">
        <v>3.05496199999999</v>
      </c>
      <c r="T366">
        <v>-0.28860140000000001</v>
      </c>
      <c r="U366">
        <v>-9.2742920000000006E-2</v>
      </c>
      <c r="V366">
        <v>-0.130435199999999</v>
      </c>
      <c r="W366">
        <v>4.3431749999999998E-2</v>
      </c>
      <c r="X366">
        <v>0.99050509999999903</v>
      </c>
      <c r="Y366">
        <v>3.7699699999999899E-2</v>
      </c>
      <c r="Z366">
        <v>-2.488952E-3</v>
      </c>
      <c r="AA366">
        <v>0.99928600000000001</v>
      </c>
      <c r="AB366">
        <v>60</v>
      </c>
      <c r="AC366">
        <v>0.70400000000000695</v>
      </c>
      <c r="AD366">
        <v>-9.7859000000000099E-2</v>
      </c>
      <c r="AE366">
        <v>-3.41000000000235E-2</v>
      </c>
      <c r="AF366">
        <v>3.8676577561799798E-2</v>
      </c>
      <c r="AG366">
        <v>-9.7859000000000099E-2</v>
      </c>
      <c r="AH366">
        <v>0.69041297501593901</v>
      </c>
      <c r="AI366">
        <v>98.054891325901295</v>
      </c>
      <c r="AJ366">
        <v>86.793671295653297</v>
      </c>
      <c r="AK366">
        <v>0.69838552218903605</v>
      </c>
    </row>
    <row r="367" spans="1:37" x14ac:dyDescent="0.2">
      <c r="A367" t="str">
        <f>"20200111154035535"</f>
        <v>20200111154035535</v>
      </c>
      <c r="B367" t="str">
        <f>"1578728435526778"</f>
        <v>1578728435526778</v>
      </c>
      <c r="C367" t="s">
        <v>37</v>
      </c>
      <c r="D367">
        <v>5.8869410000000002</v>
      </c>
      <c r="E367">
        <v>0.56084529999999999</v>
      </c>
      <c r="F367" t="s">
        <v>38</v>
      </c>
      <c r="G367">
        <v>-361.25959999999998</v>
      </c>
      <c r="H367">
        <v>0.99197080000000004</v>
      </c>
      <c r="I367">
        <v>367.37560000000002</v>
      </c>
      <c r="J367">
        <v>-362.16289999999998</v>
      </c>
      <c r="K367">
        <v>1.108765</v>
      </c>
      <c r="L367">
        <v>367.416</v>
      </c>
      <c r="M367">
        <v>0.9999517</v>
      </c>
      <c r="N367">
        <v>0</v>
      </c>
      <c r="O367">
        <v>7.7658369999999899E-3</v>
      </c>
      <c r="P367">
        <v>0.98974099999999998</v>
      </c>
      <c r="Q367">
        <v>3.7770289999999998E-2</v>
      </c>
      <c r="R367">
        <v>0.13779040000000001</v>
      </c>
      <c r="S367">
        <v>3.0550839999999999</v>
      </c>
      <c r="T367">
        <v>-0.28892199999999901</v>
      </c>
      <c r="U367">
        <v>-9.2987059999999996E-2</v>
      </c>
      <c r="V367">
        <v>-0.13015850000000001</v>
      </c>
      <c r="W367">
        <v>4.3588010000000003E-2</v>
      </c>
      <c r="X367">
        <v>0.99053469999999999</v>
      </c>
      <c r="Y367">
        <v>3.7980269999999997E-2</v>
      </c>
      <c r="Z367">
        <v>-2.5241510000000001E-3</v>
      </c>
      <c r="AA367">
        <v>0.99927529999999998</v>
      </c>
      <c r="AB367">
        <v>60</v>
      </c>
      <c r="AC367">
        <v>0.90330000000000099</v>
      </c>
      <c r="AD367">
        <v>-0.116794199999999</v>
      </c>
      <c r="AE367">
        <v>-4.0399999999976899E-2</v>
      </c>
      <c r="AF367">
        <v>4.66357007311912E-2</v>
      </c>
      <c r="AG367">
        <v>-0.116794199999999</v>
      </c>
      <c r="AH367">
        <v>0.88814091388872196</v>
      </c>
      <c r="AI367">
        <v>97.481453991164699</v>
      </c>
      <c r="AJ367">
        <v>86.994196485390205</v>
      </c>
      <c r="AK367">
        <v>0.89700058899614099</v>
      </c>
    </row>
    <row r="368" spans="1:37" x14ac:dyDescent="0.2">
      <c r="A368" t="str">
        <f>"20200111154035556"</f>
        <v>20200111154035556</v>
      </c>
      <c r="B368" t="str">
        <f>"1578728435546296"</f>
        <v>1578728435546296</v>
      </c>
      <c r="C368" t="s">
        <v>37</v>
      </c>
      <c r="D368">
        <v>5.7136449999999996</v>
      </c>
      <c r="E368">
        <v>0.50502799999999903</v>
      </c>
      <c r="F368" t="s">
        <v>38</v>
      </c>
      <c r="G368">
        <v>-361.24459999999999</v>
      </c>
      <c r="H368">
        <v>1.023037</v>
      </c>
      <c r="I368">
        <v>367.38780000000003</v>
      </c>
      <c r="J368">
        <v>-361.61149999999998</v>
      </c>
      <c r="K368">
        <v>1.1087689999999999</v>
      </c>
      <c r="L368">
        <v>367.42020000000002</v>
      </c>
      <c r="M368">
        <v>0.99994859999999897</v>
      </c>
      <c r="N368">
        <v>0</v>
      </c>
      <c r="O368">
        <v>8.105971E-3</v>
      </c>
      <c r="P368">
        <v>0.98975279999999999</v>
      </c>
      <c r="Q368">
        <v>3.8016349999999997E-2</v>
      </c>
      <c r="R368">
        <v>0.13763699999999901</v>
      </c>
      <c r="S368">
        <v>3.054932</v>
      </c>
      <c r="T368">
        <v>-0.28535719999999998</v>
      </c>
      <c r="U368">
        <v>-9.3017580000000002E-2</v>
      </c>
      <c r="V368">
        <v>-0.12966939999999999</v>
      </c>
      <c r="W368">
        <v>4.3859540000000002E-2</v>
      </c>
      <c r="X368">
        <v>0.99058679999999999</v>
      </c>
      <c r="Y368">
        <v>3.8333609999999997E-2</v>
      </c>
      <c r="Z368">
        <v>-2.5414280000000001E-3</v>
      </c>
      <c r="AA368">
        <v>0.99926170000000003</v>
      </c>
      <c r="AB368">
        <v>60</v>
      </c>
      <c r="AC368">
        <v>0.36689999999998602</v>
      </c>
      <c r="AD368">
        <v>-8.57320000000001E-2</v>
      </c>
      <c r="AE368">
        <v>-3.2399999999995502E-2</v>
      </c>
      <c r="AF368">
        <v>3.35551460805339E-2</v>
      </c>
      <c r="AG368">
        <v>-8.57320000000001E-2</v>
      </c>
      <c r="AH368">
        <v>0.34778336307119301</v>
      </c>
      <c r="AI368">
        <v>103.786317134558</v>
      </c>
      <c r="AJ368">
        <v>84.488995567995502</v>
      </c>
      <c r="AK368">
        <v>0.35976268745048501</v>
      </c>
    </row>
    <row r="369" spans="1:37" x14ac:dyDescent="0.2">
      <c r="A369" t="str">
        <f>"20200111154035566"</f>
        <v>20200111154035566</v>
      </c>
      <c r="B369" t="str">
        <f>"1578728435556240"</f>
        <v>1578728435556240</v>
      </c>
      <c r="C369" t="s">
        <v>37</v>
      </c>
      <c r="D369">
        <v>5.4654800000000003</v>
      </c>
      <c r="E369">
        <v>0.50291269999999999</v>
      </c>
      <c r="F369" t="s">
        <v>39</v>
      </c>
      <c r="G369">
        <v>-350.29059999999998</v>
      </c>
      <c r="H369" s="1">
        <v>-4.3039259999999999E-6</v>
      </c>
      <c r="I369">
        <v>368.73500000000001</v>
      </c>
      <c r="J369">
        <v>-361.3</v>
      </c>
      <c r="K369">
        <v>1.1087739999999999</v>
      </c>
      <c r="L369">
        <v>367.42270000000002</v>
      </c>
      <c r="M369">
        <v>0.99994709999999998</v>
      </c>
      <c r="N369">
        <v>0</v>
      </c>
      <c r="O369">
        <v>8.298059E-3</v>
      </c>
      <c r="P369">
        <v>0.98975149999999901</v>
      </c>
      <c r="Q369">
        <v>3.8249610000000003E-2</v>
      </c>
      <c r="R369">
        <v>0.13758299999999901</v>
      </c>
      <c r="S369">
        <v>2.9939879999999999</v>
      </c>
      <c r="T369">
        <v>-0.2932321</v>
      </c>
      <c r="U369">
        <v>0.3477478</v>
      </c>
      <c r="V369">
        <v>-0.12942580000000001</v>
      </c>
      <c r="W369">
        <v>4.4106300000000001E-2</v>
      </c>
      <c r="X369">
        <v>0.99060769999999998</v>
      </c>
      <c r="Y369">
        <v>-0.10666199999999899</v>
      </c>
      <c r="Z369">
        <v>4.3854690000000003E-3</v>
      </c>
      <c r="AA369">
        <v>0.99428559999999999</v>
      </c>
      <c r="AB369">
        <v>60</v>
      </c>
      <c r="AC369">
        <v>11.009399999999999</v>
      </c>
      <c r="AD369">
        <v>-1.108778303926</v>
      </c>
      <c r="AE369">
        <v>1.31229999999999</v>
      </c>
      <c r="AF369">
        <v>-1.2088074293033999</v>
      </c>
      <c r="AG369">
        <v>-1.108778303926</v>
      </c>
      <c r="AH369">
        <v>10.910793944016101</v>
      </c>
      <c r="AI369">
        <v>95.767551539022904</v>
      </c>
      <c r="AJ369">
        <v>96.322020112048804</v>
      </c>
      <c r="AK369">
        <v>11.033405150595</v>
      </c>
    </row>
    <row r="370" spans="1:37" x14ac:dyDescent="0.2">
      <c r="A370" t="str">
        <f>"20200111154035578"</f>
        <v>20200111154035578</v>
      </c>
      <c r="B370" t="str">
        <f>"1578728435566977"</f>
        <v>1578728435566977</v>
      </c>
      <c r="C370" t="s">
        <v>37</v>
      </c>
      <c r="D370">
        <v>5.5324859999999996</v>
      </c>
      <c r="E370">
        <v>0.50235560000000001</v>
      </c>
      <c r="F370" t="s">
        <v>39</v>
      </c>
      <c r="G370">
        <v>-348.9051</v>
      </c>
      <c r="H370" s="1">
        <v>-6.1784889999999997E-7</v>
      </c>
      <c r="I370">
        <v>368.9409</v>
      </c>
      <c r="J370">
        <v>-360.988</v>
      </c>
      <c r="K370">
        <v>1.108776</v>
      </c>
      <c r="L370">
        <v>367.42520000000002</v>
      </c>
      <c r="M370">
        <v>0.99994530000000004</v>
      </c>
      <c r="N370">
        <v>0</v>
      </c>
      <c r="O370">
        <v>8.4907400000000001E-3</v>
      </c>
      <c r="P370">
        <v>0.98977019999999905</v>
      </c>
      <c r="Q370">
        <v>3.8585800000000003E-2</v>
      </c>
      <c r="R370">
        <v>0.137353799999999</v>
      </c>
      <c r="S370">
        <v>2.9904790000000001</v>
      </c>
      <c r="T370">
        <v>-0.26751039999999998</v>
      </c>
      <c r="U370">
        <v>0.36630249999999998</v>
      </c>
      <c r="V370">
        <v>-0.1290066</v>
      </c>
      <c r="W370">
        <v>4.4456900000000001E-2</v>
      </c>
      <c r="X370">
        <v>0.99064669999999899</v>
      </c>
      <c r="Y370">
        <v>-0.11273859999999999</v>
      </c>
      <c r="Z370">
        <v>4.2586680000000002E-3</v>
      </c>
      <c r="AA370">
        <v>0.99361559999999904</v>
      </c>
      <c r="AB370">
        <v>61</v>
      </c>
      <c r="AC370">
        <v>12.0829</v>
      </c>
      <c r="AD370">
        <v>-1.1087766178489</v>
      </c>
      <c r="AE370">
        <v>1.5156999999999801</v>
      </c>
      <c r="AF370">
        <v>-1.40143252801463</v>
      </c>
      <c r="AG370">
        <v>-1.1087766178489</v>
      </c>
      <c r="AH370">
        <v>11.995885780217501</v>
      </c>
      <c r="AI370">
        <v>95.245356807685297</v>
      </c>
      <c r="AJ370">
        <v>96.663436959900395</v>
      </c>
      <c r="AK370">
        <v>12.1282593298004</v>
      </c>
    </row>
    <row r="371" spans="1:37" x14ac:dyDescent="0.2">
      <c r="A371" t="str">
        <f>"20200111154035591"</f>
        <v>20200111154035591</v>
      </c>
      <c r="B371" t="str">
        <f>"1578728435586497"</f>
        <v>1578728435586497</v>
      </c>
      <c r="C371" t="s">
        <v>37</v>
      </c>
      <c r="D371">
        <v>5.3457460000000001</v>
      </c>
      <c r="E371">
        <v>0.50335180000000002</v>
      </c>
      <c r="F371" t="s">
        <v>39</v>
      </c>
      <c r="G371">
        <v>-347.61239999999998</v>
      </c>
      <c r="H371" s="1">
        <v>-1.203187E-6</v>
      </c>
      <c r="I371">
        <v>369.08600000000001</v>
      </c>
      <c r="J371">
        <v>-360.673</v>
      </c>
      <c r="K371">
        <v>1.108778</v>
      </c>
      <c r="L371">
        <v>367.42790000000002</v>
      </c>
      <c r="M371">
        <v>0.99994359999999904</v>
      </c>
      <c r="N371">
        <v>0</v>
      </c>
      <c r="O371">
        <v>8.6850899999999995E-3</v>
      </c>
      <c r="P371">
        <v>0.98977340000000003</v>
      </c>
      <c r="Q371">
        <v>3.8882609999999998E-2</v>
      </c>
      <c r="R371">
        <v>0.137247799999999</v>
      </c>
      <c r="S371">
        <v>2.989166</v>
      </c>
      <c r="T371">
        <v>-0.24778829999999999</v>
      </c>
      <c r="U371">
        <v>0.37115479999999901</v>
      </c>
      <c r="V371">
        <v>-0.12870819999999999</v>
      </c>
      <c r="W371">
        <v>4.4768450000000001E-2</v>
      </c>
      <c r="X371">
        <v>0.99067150000000004</v>
      </c>
      <c r="Y371">
        <v>-0.1142402</v>
      </c>
      <c r="Z371">
        <v>3.9930069999999998E-3</v>
      </c>
      <c r="AA371">
        <v>0.99344519999999903</v>
      </c>
      <c r="AB371">
        <v>61</v>
      </c>
      <c r="AC371">
        <v>13.060600000000001</v>
      </c>
      <c r="AD371">
        <v>-1.1087792031870001</v>
      </c>
      <c r="AE371">
        <v>1.6580999999999899</v>
      </c>
      <c r="AF371">
        <v>-1.5337243972954699</v>
      </c>
      <c r="AG371">
        <v>-1.1087792031870001</v>
      </c>
      <c r="AH371">
        <v>12.9824261676424</v>
      </c>
      <c r="AI371">
        <v>94.848015034577799</v>
      </c>
      <c r="AJ371">
        <v>96.737608513626896</v>
      </c>
      <c r="AK371">
        <v>13.1196452332586</v>
      </c>
    </row>
    <row r="372" spans="1:37" x14ac:dyDescent="0.2">
      <c r="A372" t="str">
        <f>"20200111154035602"</f>
        <v>20200111154035602</v>
      </c>
      <c r="B372" t="str">
        <f>"1578728435597233"</f>
        <v>1578728435597233</v>
      </c>
      <c r="C372" t="s">
        <v>37</v>
      </c>
      <c r="D372">
        <v>5.3267259999999998</v>
      </c>
      <c r="E372">
        <v>0.50369540000000002</v>
      </c>
      <c r="F372" t="s">
        <v>39</v>
      </c>
      <c r="G372">
        <v>-346.48820000000001</v>
      </c>
      <c r="H372" s="1">
        <v>-1.7226809999999999E-6</v>
      </c>
      <c r="I372">
        <v>369.1533</v>
      </c>
      <c r="J372">
        <v>-360.34800000000001</v>
      </c>
      <c r="K372">
        <v>1.108781</v>
      </c>
      <c r="L372">
        <v>367.43060000000003</v>
      </c>
      <c r="M372">
        <v>0.99994169999999905</v>
      </c>
      <c r="N372">
        <v>0</v>
      </c>
      <c r="O372">
        <v>8.8856969999999997E-3</v>
      </c>
      <c r="P372">
        <v>0.98978509999999997</v>
      </c>
      <c r="Q372">
        <v>3.8897050000000002E-2</v>
      </c>
      <c r="R372">
        <v>0.137159</v>
      </c>
      <c r="S372">
        <v>2.9897459999999998</v>
      </c>
      <c r="T372">
        <v>-0.23369870000000001</v>
      </c>
      <c r="U372">
        <v>0.363678</v>
      </c>
      <c r="V372">
        <v>-0.1284208</v>
      </c>
      <c r="W372">
        <v>4.4797990000000003E-2</v>
      </c>
      <c r="X372">
        <v>0.99070749999999996</v>
      </c>
      <c r="Y372">
        <v>-0.1116173</v>
      </c>
      <c r="Z372">
        <v>3.6489309999999998E-3</v>
      </c>
      <c r="AA372">
        <v>0.99374459999999998</v>
      </c>
      <c r="AB372">
        <v>61</v>
      </c>
      <c r="AC372">
        <v>13.8598</v>
      </c>
      <c r="AD372">
        <v>-1.1087827226810001</v>
      </c>
      <c r="AE372">
        <v>1.7226999999999699</v>
      </c>
      <c r="AF372">
        <v>-1.58945794497987</v>
      </c>
      <c r="AG372">
        <v>-1.1087827226810001</v>
      </c>
      <c r="AH372">
        <v>13.7876621656129</v>
      </c>
      <c r="AI372">
        <v>94.567622833280396</v>
      </c>
      <c r="AJ372">
        <v>96.576095963010999</v>
      </c>
      <c r="AK372">
        <v>13.923196604158401</v>
      </c>
    </row>
    <row r="373" spans="1:37" x14ac:dyDescent="0.2">
      <c r="A373" t="str">
        <f>"20200111154035614"</f>
        <v>20200111154035614</v>
      </c>
      <c r="B373" t="str">
        <f>"1578728435606993"</f>
        <v>1578728435606993</v>
      </c>
      <c r="C373" t="s">
        <v>37</v>
      </c>
      <c r="D373">
        <v>5.2992049999999997</v>
      </c>
      <c r="E373">
        <v>0.50426669999999996</v>
      </c>
      <c r="F373" t="s">
        <v>39</v>
      </c>
      <c r="G373">
        <v>-346.40440000000001</v>
      </c>
      <c r="H373" s="1">
        <v>-1.769624E-6</v>
      </c>
      <c r="I373">
        <v>369.111999999999</v>
      </c>
      <c r="J373">
        <v>-360.00630000000001</v>
      </c>
      <c r="K373">
        <v>1.1087830000000001</v>
      </c>
      <c r="L373">
        <v>367.43360000000001</v>
      </c>
      <c r="M373">
        <v>0.99993980000000005</v>
      </c>
      <c r="N373">
        <v>0</v>
      </c>
      <c r="O373">
        <v>9.0964329999999993E-3</v>
      </c>
      <c r="P373">
        <v>0.98980970000000001</v>
      </c>
      <c r="Q373">
        <v>3.9042599999999997E-2</v>
      </c>
      <c r="R373">
        <v>0.1369406</v>
      </c>
      <c r="S373">
        <v>2.9903869999999899</v>
      </c>
      <c r="T373">
        <v>-0.23779249999999999</v>
      </c>
      <c r="U373">
        <v>0.36059570000000002</v>
      </c>
      <c r="V373">
        <v>-0.1279942</v>
      </c>
      <c r="W373">
        <v>4.4959470000000001E-2</v>
      </c>
      <c r="X373">
        <v>0.99075530000000001</v>
      </c>
      <c r="Y373">
        <v>-0.1103666</v>
      </c>
      <c r="Z373">
        <v>3.645953E-3</v>
      </c>
      <c r="AA373">
        <v>0.99388430000000005</v>
      </c>
      <c r="AB373">
        <v>61</v>
      </c>
      <c r="AC373">
        <v>13.601900000000001</v>
      </c>
      <c r="AD373">
        <v>-1.1087847696240001</v>
      </c>
      <c r="AE373">
        <v>1.6783999999999499</v>
      </c>
      <c r="AF373">
        <v>-1.54449023383355</v>
      </c>
      <c r="AG373">
        <v>-1.1087847696240001</v>
      </c>
      <c r="AH373">
        <v>13.5280591513168</v>
      </c>
      <c r="AI373">
        <v>94.655485817104093</v>
      </c>
      <c r="AJ373">
        <v>96.513222589643206</v>
      </c>
      <c r="AK373">
        <v>13.6610116078306</v>
      </c>
    </row>
    <row r="374" spans="1:37" x14ac:dyDescent="0.2">
      <c r="A374" t="str">
        <f>"20200111154035627"</f>
        <v>20200111154035627</v>
      </c>
      <c r="B374" t="str">
        <f>"1578728435616753"</f>
        <v>1578728435616753</v>
      </c>
      <c r="C374" t="s">
        <v>37</v>
      </c>
      <c r="D374">
        <v>5.3194589999999904</v>
      </c>
      <c r="E374">
        <v>0.50472209999999995</v>
      </c>
      <c r="F374" t="s">
        <v>39</v>
      </c>
      <c r="G374">
        <v>-346.01220000000001</v>
      </c>
      <c r="H374" s="1">
        <v>-1.95769399999999E-6</v>
      </c>
      <c r="I374">
        <v>369.09690000000001</v>
      </c>
      <c r="J374">
        <v>-359.68459999999999</v>
      </c>
      <c r="K374">
        <v>1.108784</v>
      </c>
      <c r="L374">
        <v>367.43650000000002</v>
      </c>
      <c r="M374">
        <v>0.99993790000000005</v>
      </c>
      <c r="N374">
        <v>0</v>
      </c>
      <c r="O374">
        <v>9.2947740000000004E-3</v>
      </c>
      <c r="P374">
        <v>0.98987749999999997</v>
      </c>
      <c r="Q374">
        <v>3.9241419999999999E-2</v>
      </c>
      <c r="R374">
        <v>0.13639309999999999</v>
      </c>
      <c r="S374">
        <v>2.991028</v>
      </c>
      <c r="T374">
        <v>-0.23698649999999999</v>
      </c>
      <c r="U374">
        <v>0.35549930000000002</v>
      </c>
      <c r="V374">
        <v>-0.12725029999999901</v>
      </c>
      <c r="W374">
        <v>4.5174300000000001E-2</v>
      </c>
      <c r="X374">
        <v>0.99084139999999998</v>
      </c>
      <c r="Y374">
        <v>-0.108483</v>
      </c>
      <c r="Z374">
        <v>3.543352E-3</v>
      </c>
      <c r="AA374">
        <v>0.99409199999999998</v>
      </c>
      <c r="AB374">
        <v>61</v>
      </c>
      <c r="AC374">
        <v>13.6723999999999</v>
      </c>
      <c r="AD374">
        <v>-1.108785957694</v>
      </c>
      <c r="AE374">
        <v>1.6603999999999799</v>
      </c>
      <c r="AF374">
        <v>-1.52337090680867</v>
      </c>
      <c r="AG374">
        <v>-1.108785957694</v>
      </c>
      <c r="AH374">
        <v>13.599105748420101</v>
      </c>
      <c r="AI374">
        <v>94.632381813254398</v>
      </c>
      <c r="AJ374">
        <v>96.391623206960304</v>
      </c>
      <c r="AK374">
        <v>13.729010975900801</v>
      </c>
    </row>
    <row r="375" spans="1:37" x14ac:dyDescent="0.2">
      <c r="A375" t="str">
        <f>"20200111154035637"</f>
        <v>20200111154035637</v>
      </c>
      <c r="B375" t="str">
        <f>"1578728435626512"</f>
        <v>1578728435626512</v>
      </c>
      <c r="C375" t="s">
        <v>37</v>
      </c>
      <c r="D375">
        <v>5.2879820000000004</v>
      </c>
      <c r="E375">
        <v>0.50508770000000003</v>
      </c>
      <c r="F375" t="s">
        <v>39</v>
      </c>
      <c r="G375">
        <v>-345.6508</v>
      </c>
      <c r="H375" s="1">
        <v>-2.1315369999999998E-6</v>
      </c>
      <c r="I375">
        <v>369.08</v>
      </c>
      <c r="J375">
        <v>-359.37389999999999</v>
      </c>
      <c r="K375">
        <v>1.1087830000000001</v>
      </c>
      <c r="L375">
        <v>367.4393</v>
      </c>
      <c r="M375">
        <v>0.999936099999999</v>
      </c>
      <c r="N375">
        <v>0</v>
      </c>
      <c r="O375">
        <v>9.4862019999999991E-3</v>
      </c>
      <c r="P375">
        <v>0.9899384</v>
      </c>
      <c r="Q375">
        <v>3.9611149999999998E-2</v>
      </c>
      <c r="R375">
        <v>0.1358422</v>
      </c>
      <c r="S375">
        <v>2.9918209999999998</v>
      </c>
      <c r="T375">
        <v>-0.236377799999999</v>
      </c>
      <c r="U375">
        <v>0.35037229999999903</v>
      </c>
      <c r="V375">
        <v>-0.1265096</v>
      </c>
      <c r="W375">
        <v>4.5558719999999997E-2</v>
      </c>
      <c r="X375">
        <v>0.99091859999999998</v>
      </c>
      <c r="Y375">
        <v>-0.1065895</v>
      </c>
      <c r="Z375">
        <v>3.4442240000000001E-3</v>
      </c>
      <c r="AA375">
        <v>0.99429709999999905</v>
      </c>
      <c r="AB375">
        <v>61</v>
      </c>
      <c r="AC375">
        <v>13.723099999999899</v>
      </c>
      <c r="AD375">
        <v>-1.1087851315370001</v>
      </c>
      <c r="AE375">
        <v>1.6406999999999801</v>
      </c>
      <c r="AF375">
        <v>-1.50078433410225</v>
      </c>
      <c r="AG375">
        <v>-1.1087851315370001</v>
      </c>
      <c r="AH375">
        <v>13.6501920637442</v>
      </c>
      <c r="AI375">
        <v>94.616161485625099</v>
      </c>
      <c r="AJ375">
        <v>96.2742428056645</v>
      </c>
      <c r="AK375">
        <v>13.77713691093</v>
      </c>
    </row>
    <row r="376" spans="1:37" x14ac:dyDescent="0.2">
      <c r="A376" t="str">
        <f>"20200111154035655"</f>
        <v>20200111154035655</v>
      </c>
      <c r="B376" t="str">
        <f>"1578728435647010"</f>
        <v>1578728435647010</v>
      </c>
      <c r="C376" t="s">
        <v>37</v>
      </c>
      <c r="D376">
        <v>5.3246440000000002</v>
      </c>
      <c r="E376">
        <v>0.50571319999999997</v>
      </c>
      <c r="F376" t="s">
        <v>39</v>
      </c>
      <c r="G376">
        <v>-345.26499999999999</v>
      </c>
      <c r="H376" s="1">
        <v>-2.3156080000000001E-6</v>
      </c>
      <c r="I376">
        <v>369.07040000000001</v>
      </c>
      <c r="J376">
        <v>-358.89659999999998</v>
      </c>
      <c r="K376">
        <v>1.108789</v>
      </c>
      <c r="L376">
        <v>367.44380000000001</v>
      </c>
      <c r="M376">
        <v>0.99993299999999996</v>
      </c>
      <c r="N376">
        <v>0</v>
      </c>
      <c r="O376">
        <v>9.7810880000000003E-3</v>
      </c>
      <c r="P376">
        <v>0.99013019999999996</v>
      </c>
      <c r="Q376">
        <v>4.0059940000000002E-2</v>
      </c>
      <c r="R376">
        <v>0.13430420000000001</v>
      </c>
      <c r="S376">
        <v>2.99246199999999</v>
      </c>
      <c r="T376">
        <v>-0.23517009999999999</v>
      </c>
      <c r="U376">
        <v>0.34594730000000001</v>
      </c>
      <c r="V376">
        <v>-0.1246785</v>
      </c>
      <c r="W376">
        <v>4.6033150000000002E-2</v>
      </c>
      <c r="X376">
        <v>0.99112869999999997</v>
      </c>
      <c r="Y376">
        <v>-0.104830199999999</v>
      </c>
      <c r="Z376">
        <v>3.3343919999999998E-3</v>
      </c>
      <c r="AA376">
        <v>0.99448449999999899</v>
      </c>
      <c r="AB376">
        <v>61</v>
      </c>
      <c r="AC376">
        <v>13.631599999999899</v>
      </c>
      <c r="AD376">
        <v>-1.108791315608</v>
      </c>
      <c r="AE376">
        <v>1.6265999999999901</v>
      </c>
      <c r="AF376">
        <v>-1.48351040342323</v>
      </c>
      <c r="AG376">
        <v>-1.108791315608</v>
      </c>
      <c r="AH376">
        <v>13.558412833975501</v>
      </c>
      <c r="AI376">
        <v>94.647564146906305</v>
      </c>
      <c r="AJ376">
        <v>96.244248659062094</v>
      </c>
      <c r="AK376">
        <v>13.6843260658004</v>
      </c>
    </row>
    <row r="377" spans="1:37" x14ac:dyDescent="0.2">
      <c r="A377" t="str">
        <f>"20200111154035666"</f>
        <v>20200111154035666</v>
      </c>
      <c r="B377" t="str">
        <f>"1578728435656768"</f>
        <v>1578728435656768</v>
      </c>
      <c r="C377" t="s">
        <v>37</v>
      </c>
      <c r="D377">
        <v>5.257854</v>
      </c>
      <c r="E377">
        <v>0.50565309999999997</v>
      </c>
      <c r="F377" t="s">
        <v>39</v>
      </c>
      <c r="G377">
        <v>-344.72030000000001</v>
      </c>
      <c r="H377" s="1">
        <v>-2.5790830000000002E-6</v>
      </c>
      <c r="I377">
        <v>369.03649999999999</v>
      </c>
      <c r="J377">
        <v>-358.60140000000001</v>
      </c>
      <c r="K377">
        <v>1.1087899999999999</v>
      </c>
      <c r="L377">
        <v>367.44670000000002</v>
      </c>
      <c r="M377">
        <v>0.99993109999999996</v>
      </c>
      <c r="N377">
        <v>0</v>
      </c>
      <c r="O377">
        <v>9.9633940000000004E-3</v>
      </c>
      <c r="P377">
        <v>0.99021619999999999</v>
      </c>
      <c r="Q377">
        <v>4.0216380000000003E-2</v>
      </c>
      <c r="R377">
        <v>0.1336212</v>
      </c>
      <c r="S377">
        <v>2.993744</v>
      </c>
      <c r="T377">
        <v>-0.234154799999999</v>
      </c>
      <c r="U377">
        <v>0.33633420000000003</v>
      </c>
      <c r="V377">
        <v>-0.12381449999999999</v>
      </c>
      <c r="W377">
        <v>4.6204149999999999E-2</v>
      </c>
      <c r="X377">
        <v>0.99122909999999997</v>
      </c>
      <c r="Y377">
        <v>-0.1014606</v>
      </c>
      <c r="Z377">
        <v>3.1738769999999999E-3</v>
      </c>
      <c r="AA377">
        <v>0.99483449999999995</v>
      </c>
      <c r="AB377">
        <v>61</v>
      </c>
      <c r="AC377">
        <v>13.8811</v>
      </c>
      <c r="AD377">
        <v>-1.108792579083</v>
      </c>
      <c r="AE377">
        <v>1.5897999999999599</v>
      </c>
      <c r="AF377">
        <v>-1.44233194407247</v>
      </c>
      <c r="AG377">
        <v>-1.108792579083</v>
      </c>
      <c r="AH377">
        <v>13.8092821136716</v>
      </c>
      <c r="AI377">
        <v>94.565886424521906</v>
      </c>
      <c r="AJ377">
        <v>95.962726878917593</v>
      </c>
      <c r="AK377">
        <v>13.9286041983858</v>
      </c>
    </row>
    <row r="378" spans="1:37" x14ac:dyDescent="0.2">
      <c r="A378" t="str">
        <f>"20200111154035677"</f>
        <v>20200111154035677</v>
      </c>
      <c r="B378" t="str">
        <f>"1578728435666528"</f>
        <v>1578728435666528</v>
      </c>
      <c r="C378" t="s">
        <v>37</v>
      </c>
      <c r="D378">
        <v>5.2963800000000001</v>
      </c>
      <c r="E378">
        <v>0.50568999999999997</v>
      </c>
      <c r="F378" t="s">
        <v>39</v>
      </c>
      <c r="G378">
        <v>-344.5256</v>
      </c>
      <c r="H378" s="1">
        <v>-2.673856E-6</v>
      </c>
      <c r="I378">
        <v>369.02109999999999</v>
      </c>
      <c r="J378">
        <v>-358.28550000000001</v>
      </c>
      <c r="K378">
        <v>1.108792</v>
      </c>
      <c r="L378">
        <v>367.44979999999998</v>
      </c>
      <c r="M378">
        <v>0.99992909999999902</v>
      </c>
      <c r="N378">
        <v>0</v>
      </c>
      <c r="O378">
        <v>1.0158159999999999E-2</v>
      </c>
      <c r="P378">
        <v>0.99032030000000004</v>
      </c>
      <c r="Q378">
        <v>4.061215E-2</v>
      </c>
      <c r="R378">
        <v>0.13272799999999901</v>
      </c>
      <c r="S378">
        <v>2.99401899999999</v>
      </c>
      <c r="T378">
        <v>-0.2358469</v>
      </c>
      <c r="U378">
        <v>0.33489989999999997</v>
      </c>
      <c r="V378">
        <v>-0.1227283</v>
      </c>
      <c r="W378">
        <v>4.6616169999999998E-2</v>
      </c>
      <c r="X378">
        <v>0.99134489999999997</v>
      </c>
      <c r="Y378">
        <v>-0.1007847</v>
      </c>
      <c r="Z378">
        <v>3.1547709999999998E-3</v>
      </c>
      <c r="AA378">
        <v>0.99490330000000005</v>
      </c>
      <c r="AB378">
        <v>61</v>
      </c>
      <c r="AC378">
        <v>13.7599</v>
      </c>
      <c r="AD378">
        <v>-1.1087946738559999</v>
      </c>
      <c r="AE378">
        <v>1.5712999999999999</v>
      </c>
      <c r="AF378">
        <v>-1.4223241371145601</v>
      </c>
      <c r="AG378">
        <v>-1.1087946738559999</v>
      </c>
      <c r="AH378">
        <v>13.6874181347568</v>
      </c>
      <c r="AI378">
        <v>94.606624040388198</v>
      </c>
      <c r="AJ378">
        <v>95.932581800809501</v>
      </c>
      <c r="AK378">
        <v>13.8057179014878</v>
      </c>
    </row>
    <row r="379" spans="1:37" x14ac:dyDescent="0.2">
      <c r="A379" t="str">
        <f>"20200111154035688"</f>
        <v>20200111154035688</v>
      </c>
      <c r="B379" t="str">
        <f>"1578728435687026"</f>
        <v>1578728435687026</v>
      </c>
      <c r="C379" t="s">
        <v>37</v>
      </c>
      <c r="D379">
        <v>5.3001709999999997</v>
      </c>
      <c r="E379">
        <v>0.50583829999999996</v>
      </c>
      <c r="F379" t="s">
        <v>39</v>
      </c>
      <c r="G379">
        <v>-344.22190000000001</v>
      </c>
      <c r="H379" s="1">
        <v>-2.8197529999999999E-6</v>
      </c>
      <c r="I379">
        <v>369.00799999999998</v>
      </c>
      <c r="J379">
        <v>-357.98009999999999</v>
      </c>
      <c r="K379">
        <v>1.108797</v>
      </c>
      <c r="L379">
        <v>367.4529</v>
      </c>
      <c r="M379">
        <v>0.99992700000000001</v>
      </c>
      <c r="N379">
        <v>0</v>
      </c>
      <c r="O379">
        <v>1.034648E-2</v>
      </c>
      <c r="P379">
        <v>0.99045159999999999</v>
      </c>
      <c r="Q379">
        <v>4.0803150000000003E-2</v>
      </c>
      <c r="R379">
        <v>0.1316841</v>
      </c>
      <c r="S379">
        <v>2.9945369999999998</v>
      </c>
      <c r="T379">
        <v>-0.2360941</v>
      </c>
      <c r="U379">
        <v>0.331787099999999</v>
      </c>
      <c r="V379">
        <v>-0.12149649999999999</v>
      </c>
      <c r="W379">
        <v>4.6823360000000001E-2</v>
      </c>
      <c r="X379">
        <v>0.9914868</v>
      </c>
      <c r="Y379">
        <v>-9.9560510000000005E-2</v>
      </c>
      <c r="Z379">
        <v>3.0948909999999998E-3</v>
      </c>
      <c r="AA379">
        <v>0.99502669999999904</v>
      </c>
      <c r="AB379">
        <v>61</v>
      </c>
      <c r="AC379">
        <v>13.758199999999899</v>
      </c>
      <c r="AD379">
        <v>-1.108799819753</v>
      </c>
      <c r="AE379">
        <v>1.5551000000000299</v>
      </c>
      <c r="AF379">
        <v>-1.40366317818576</v>
      </c>
      <c r="AG379">
        <v>-1.108799819753</v>
      </c>
      <c r="AH379">
        <v>13.685785026853599</v>
      </c>
      <c r="AI379">
        <v>94.607825848988398</v>
      </c>
      <c r="AJ379">
        <v>95.855984249382999</v>
      </c>
      <c r="AK379">
        <v>13.802188926374299</v>
      </c>
    </row>
    <row r="380" spans="1:37" x14ac:dyDescent="0.2">
      <c r="A380" t="str">
        <f>"20200111154035700"</f>
        <v>20200111154035700</v>
      </c>
      <c r="B380" t="str">
        <f>"1578728435696784"</f>
        <v>1578728435696784</v>
      </c>
      <c r="C380" t="s">
        <v>37</v>
      </c>
      <c r="D380">
        <v>5.2516030000000002</v>
      </c>
      <c r="E380">
        <v>0.50589549999999905</v>
      </c>
      <c r="F380" t="s">
        <v>39</v>
      </c>
      <c r="G380">
        <v>-343.79829999999998</v>
      </c>
      <c r="H380" s="1">
        <v>-3.0205970000000001E-6</v>
      </c>
      <c r="I380">
        <v>369.00459999999998</v>
      </c>
      <c r="J380">
        <v>-357.67349999999999</v>
      </c>
      <c r="K380">
        <v>1.108797</v>
      </c>
      <c r="L380">
        <v>367.45589999999999</v>
      </c>
      <c r="M380">
        <v>0.99992499999999995</v>
      </c>
      <c r="N380">
        <v>0</v>
      </c>
      <c r="O380">
        <v>1.0535579999999999E-2</v>
      </c>
      <c r="P380">
        <v>0.99056919999999904</v>
      </c>
      <c r="Q380">
        <v>4.101817E-2</v>
      </c>
      <c r="R380">
        <v>0.13072929999999999</v>
      </c>
      <c r="S380">
        <v>2.9949340000000002</v>
      </c>
      <c r="T380">
        <v>-0.23415709999999901</v>
      </c>
      <c r="U380">
        <v>0.32769779999999998</v>
      </c>
      <c r="V380">
        <v>-0.120353399999999</v>
      </c>
      <c r="W380">
        <v>4.705438E-2</v>
      </c>
      <c r="X380">
        <v>0.99161529999999998</v>
      </c>
      <c r="Y380">
        <v>-9.8025119999999993E-2</v>
      </c>
      <c r="Z380">
        <v>2.9949320000000001E-3</v>
      </c>
      <c r="AA380">
        <v>0.99517939999999905</v>
      </c>
      <c r="AB380">
        <v>61</v>
      </c>
      <c r="AC380">
        <v>13.8752</v>
      </c>
      <c r="AD380">
        <v>-1.1088000205969999</v>
      </c>
      <c r="AE380">
        <v>1.54869999999999</v>
      </c>
      <c r="AF380">
        <v>-1.39363767304445</v>
      </c>
      <c r="AG380">
        <v>-1.1088000205969999</v>
      </c>
      <c r="AH380">
        <v>13.803681225232401</v>
      </c>
      <c r="AI380">
        <v>94.569373124520396</v>
      </c>
      <c r="AJ380">
        <v>95.765121327846103</v>
      </c>
      <c r="AK380">
        <v>13.918091780744801</v>
      </c>
    </row>
    <row r="381" spans="1:37" x14ac:dyDescent="0.2">
      <c r="A381" t="str">
        <f>"20200111154035712"</f>
        <v>20200111154035712</v>
      </c>
      <c r="B381" t="str">
        <f>"1578728435706544"</f>
        <v>1578728435706544</v>
      </c>
      <c r="C381" t="s">
        <v>37</v>
      </c>
      <c r="D381">
        <v>5.2643009999999997</v>
      </c>
      <c r="E381">
        <v>0.50583929999999999</v>
      </c>
      <c r="F381" t="s">
        <v>39</v>
      </c>
      <c r="G381">
        <v>-343.46210000000002</v>
      </c>
      <c r="H381" s="1">
        <v>-3.180911E-6</v>
      </c>
      <c r="I381">
        <v>368.9966</v>
      </c>
      <c r="J381">
        <v>-357.3587</v>
      </c>
      <c r="K381">
        <v>1.108798</v>
      </c>
      <c r="L381">
        <v>367.45920000000001</v>
      </c>
      <c r="M381">
        <v>0.9999228</v>
      </c>
      <c r="N381">
        <v>0</v>
      </c>
      <c r="O381">
        <v>1.072945E-2</v>
      </c>
      <c r="P381">
        <v>0.99070349999999996</v>
      </c>
      <c r="Q381">
        <v>4.1096359999999998E-2</v>
      </c>
      <c r="R381">
        <v>0.12968360000000001</v>
      </c>
      <c r="S381">
        <v>2.9953919999999998</v>
      </c>
      <c r="T381">
        <v>-0.2337072</v>
      </c>
      <c r="U381">
        <v>0.32473750000000001</v>
      </c>
      <c r="V381">
        <v>-0.1191144</v>
      </c>
      <c r="W381">
        <v>4.7149160000000002E-2</v>
      </c>
      <c r="X381">
        <v>0.99176039999999999</v>
      </c>
      <c r="Y381">
        <v>-9.6848879999999998E-2</v>
      </c>
      <c r="Z381">
        <v>2.9281620000000002E-3</v>
      </c>
      <c r="AA381">
        <v>0.99529480000000004</v>
      </c>
      <c r="AB381">
        <v>61</v>
      </c>
      <c r="AC381">
        <v>13.8965999999999</v>
      </c>
      <c r="AD381">
        <v>-1.1088011809110001</v>
      </c>
      <c r="AE381">
        <v>1.5373999999999901</v>
      </c>
      <c r="AF381">
        <v>-1.37952932909041</v>
      </c>
      <c r="AG381">
        <v>-1.1088011809110001</v>
      </c>
      <c r="AH381">
        <v>13.8253431504604</v>
      </c>
      <c r="AI381">
        <v>94.562780832312797</v>
      </c>
      <c r="AJ381">
        <v>95.698262738640494</v>
      </c>
      <c r="AK381">
        <v>13.938172565174799</v>
      </c>
    </row>
    <row r="382" spans="1:37" x14ac:dyDescent="0.2">
      <c r="A382" t="str">
        <f>"20200111154035724"</f>
        <v>20200111154035724</v>
      </c>
      <c r="B382" t="str">
        <f>"1578728435716304"</f>
        <v>1578728435716304</v>
      </c>
      <c r="C382" t="s">
        <v>37</v>
      </c>
      <c r="D382">
        <v>5.326854</v>
      </c>
      <c r="E382">
        <v>0.50582130000000003</v>
      </c>
      <c r="F382" t="s">
        <v>39</v>
      </c>
      <c r="G382">
        <v>-343.1789</v>
      </c>
      <c r="H382" s="1">
        <v>-3.3173489999999999E-6</v>
      </c>
      <c r="I382">
        <v>368.98230000000001</v>
      </c>
      <c r="J382">
        <v>-357.02609999999999</v>
      </c>
      <c r="K382">
        <v>1.1087989999999901</v>
      </c>
      <c r="L382">
        <v>367.46269999999998</v>
      </c>
      <c r="M382">
        <v>0.99992049999999999</v>
      </c>
      <c r="N382">
        <v>0</v>
      </c>
      <c r="O382">
        <v>1.09341E-2</v>
      </c>
      <c r="P382">
        <v>0.99084570000000005</v>
      </c>
      <c r="Q382">
        <v>4.1146790000000003E-2</v>
      </c>
      <c r="R382">
        <v>0.12857759999999999</v>
      </c>
      <c r="S382">
        <v>2.9957579999999999</v>
      </c>
      <c r="T382">
        <v>-0.23425599999999999</v>
      </c>
      <c r="U382">
        <v>0.32177729999999999</v>
      </c>
      <c r="V382">
        <v>-0.11780399999999901</v>
      </c>
      <c r="W382">
        <v>4.721728E-2</v>
      </c>
      <c r="X382">
        <v>0.99191369999999901</v>
      </c>
      <c r="Y382">
        <v>-9.5662910000000004E-2</v>
      </c>
      <c r="Z382">
        <v>2.872721E-3</v>
      </c>
      <c r="AA382">
        <v>0.99540969999999995</v>
      </c>
      <c r="AB382">
        <v>61</v>
      </c>
      <c r="AC382">
        <v>13.8471999999999</v>
      </c>
      <c r="AD382">
        <v>-1.10880231734899</v>
      </c>
      <c r="AE382">
        <v>1.51960000000002</v>
      </c>
      <c r="AF382">
        <v>-1.3594863864248501</v>
      </c>
      <c r="AG382">
        <v>-1.10880231734899</v>
      </c>
      <c r="AH382">
        <v>13.775711067046799</v>
      </c>
      <c r="AI382">
        <v>94.579645677966198</v>
      </c>
      <c r="AJ382">
        <v>95.636110467283004</v>
      </c>
      <c r="AK382">
        <v>13.8869673153136</v>
      </c>
    </row>
    <row r="383" spans="1:37" x14ac:dyDescent="0.2">
      <c r="A383" t="str">
        <f>"20200111154035734"</f>
        <v>20200111154035734</v>
      </c>
      <c r="B383" t="str">
        <f>"1578728435727040"</f>
        <v>1578728435727040</v>
      </c>
      <c r="C383" t="s">
        <v>37</v>
      </c>
      <c r="D383">
        <v>5.2677120000000004</v>
      </c>
      <c r="E383">
        <v>0.50553720000000002</v>
      </c>
      <c r="F383" t="s">
        <v>39</v>
      </c>
      <c r="G383">
        <v>-342.70429999999999</v>
      </c>
      <c r="H383" s="1">
        <v>-3.540777E-6</v>
      </c>
      <c r="I383">
        <v>368.98750000000001</v>
      </c>
      <c r="J383">
        <v>-356.70530000000002</v>
      </c>
      <c r="K383">
        <v>1.1088039999999999</v>
      </c>
      <c r="L383">
        <v>367.46620000000001</v>
      </c>
      <c r="M383">
        <v>0.99991819999999898</v>
      </c>
      <c r="N383">
        <v>0</v>
      </c>
      <c r="O383">
        <v>1.1132080000000001E-2</v>
      </c>
      <c r="P383">
        <v>0.99098129999999995</v>
      </c>
      <c r="Q383">
        <v>4.1230780000000002E-2</v>
      </c>
      <c r="R383">
        <v>0.12749929999999901</v>
      </c>
      <c r="S383">
        <v>2.9960019999999998</v>
      </c>
      <c r="T383">
        <v>-0.23195149999999901</v>
      </c>
      <c r="U383">
        <v>0.31896970000000002</v>
      </c>
      <c r="V383">
        <v>-0.1165282</v>
      </c>
      <c r="W383">
        <v>4.7318249999999999E-2</v>
      </c>
      <c r="X383">
        <v>0.99205959999999904</v>
      </c>
      <c r="Y383">
        <v>-9.4543790000000003E-2</v>
      </c>
      <c r="Z383">
        <v>2.7860620000000002E-3</v>
      </c>
      <c r="AA383">
        <v>0.99551679999999998</v>
      </c>
      <c r="AB383">
        <v>62</v>
      </c>
      <c r="AC383">
        <v>14.000999999999999</v>
      </c>
      <c r="AD383">
        <v>-1.1088075407769999</v>
      </c>
      <c r="AE383">
        <v>1.5212999999999901</v>
      </c>
      <c r="AF383">
        <v>-1.3569312502054101</v>
      </c>
      <c r="AG383">
        <v>-1.1088075407769999</v>
      </c>
      <c r="AH383">
        <v>13.930716395712899</v>
      </c>
      <c r="AI383">
        <v>94.529484269483106</v>
      </c>
      <c r="AJ383">
        <v>95.563385193547802</v>
      </c>
      <c r="AK383">
        <v>14.0404977076332</v>
      </c>
    </row>
    <row r="384" spans="1:37" x14ac:dyDescent="0.2">
      <c r="A384" t="str">
        <f>"20200111154035747"</f>
        <v>20200111154035747</v>
      </c>
      <c r="B384" t="str">
        <f>"1578728435736799"</f>
        <v>1578728435736799</v>
      </c>
      <c r="C384" t="s">
        <v>37</v>
      </c>
      <c r="D384">
        <v>5.2586349999999999</v>
      </c>
      <c r="E384">
        <v>0.50542710000000002</v>
      </c>
      <c r="F384" t="s">
        <v>39</v>
      </c>
      <c r="G384">
        <v>-342.52789999999999</v>
      </c>
      <c r="H384" s="1">
        <v>-3.6272939999999998E-6</v>
      </c>
      <c r="I384">
        <v>368.96969999999999</v>
      </c>
      <c r="J384">
        <v>-356.38560000000001</v>
      </c>
      <c r="K384">
        <v>1.108803</v>
      </c>
      <c r="L384">
        <v>367.46960000000001</v>
      </c>
      <c r="M384">
        <v>0.99991589999999997</v>
      </c>
      <c r="N384">
        <v>0</v>
      </c>
      <c r="O384">
        <v>1.132904E-2</v>
      </c>
      <c r="P384">
        <v>0.9910814</v>
      </c>
      <c r="Q384">
        <v>4.1250050000000003E-2</v>
      </c>
      <c r="R384">
        <v>0.1267143</v>
      </c>
      <c r="S384">
        <v>2.9961849999999899</v>
      </c>
      <c r="T384">
        <v>-0.2343307</v>
      </c>
      <c r="U384">
        <v>0.317749</v>
      </c>
      <c r="V384">
        <v>-0.11554729999999901</v>
      </c>
      <c r="W384">
        <v>4.7353970000000002E-2</v>
      </c>
      <c r="X384">
        <v>0.99217259999999996</v>
      </c>
      <c r="Y384">
        <v>-9.3937580000000007E-2</v>
      </c>
      <c r="Z384">
        <v>2.775507E-3</v>
      </c>
      <c r="AA384">
        <v>0.99557419999999996</v>
      </c>
      <c r="AB384">
        <v>62</v>
      </c>
      <c r="AC384">
        <v>13.857699999999999</v>
      </c>
      <c r="AD384">
        <v>-1.108806627294</v>
      </c>
      <c r="AE384">
        <v>1.50009999999997</v>
      </c>
      <c r="AF384">
        <v>-1.3345609943811101</v>
      </c>
      <c r="AG384">
        <v>-1.108806627294</v>
      </c>
      <c r="AH384">
        <v>13.7865636288606</v>
      </c>
      <c r="AI384">
        <v>94.576905643621799</v>
      </c>
      <c r="AJ384">
        <v>95.529094108768504</v>
      </c>
      <c r="AK384">
        <v>13.8953172643548</v>
      </c>
    </row>
    <row r="385" spans="1:37" x14ac:dyDescent="0.2">
      <c r="A385" t="str">
        <f>"20200111154035758"</f>
        <v>20200111154035758</v>
      </c>
      <c r="B385" t="str">
        <f>"1578728435746560"</f>
        <v>1578728435746560</v>
      </c>
      <c r="C385" t="s">
        <v>37</v>
      </c>
      <c r="D385">
        <v>5.3181609999999999</v>
      </c>
      <c r="E385">
        <v>0.50542640000000005</v>
      </c>
      <c r="F385" t="s">
        <v>39</v>
      </c>
      <c r="G385">
        <v>-342.29149999999998</v>
      </c>
      <c r="H385" s="1">
        <v>-3.74152499999999E-6</v>
      </c>
      <c r="I385">
        <v>368.95569999999998</v>
      </c>
      <c r="J385">
        <v>-356.05799999999999</v>
      </c>
      <c r="K385">
        <v>1.108803</v>
      </c>
      <c r="L385">
        <v>367.47329999999999</v>
      </c>
      <c r="M385">
        <v>0.99991359999999996</v>
      </c>
      <c r="N385">
        <v>0</v>
      </c>
      <c r="O385">
        <v>1.1530469999999999E-2</v>
      </c>
      <c r="P385">
        <v>0.9912126</v>
      </c>
      <c r="Q385">
        <v>4.1214960000000002E-2</v>
      </c>
      <c r="R385">
        <v>0.12569420000000001</v>
      </c>
      <c r="S385">
        <v>2.9963989999999998</v>
      </c>
      <c r="T385">
        <v>-0.2357321</v>
      </c>
      <c r="U385">
        <v>0.31594850000000002</v>
      </c>
      <c r="V385">
        <v>-0.1143252</v>
      </c>
      <c r="W385">
        <v>4.7335879999999997E-2</v>
      </c>
      <c r="X385">
        <v>0.99231499999999995</v>
      </c>
      <c r="Y385">
        <v>-9.3137979999999995E-2</v>
      </c>
      <c r="Z385">
        <v>2.744851E-3</v>
      </c>
      <c r="AA385">
        <v>0.99564949999999997</v>
      </c>
      <c r="AB385">
        <v>62</v>
      </c>
      <c r="AC385">
        <v>13.766500000000001</v>
      </c>
      <c r="AD385">
        <v>-1.108806741525</v>
      </c>
      <c r="AE385">
        <v>1.48239999999998</v>
      </c>
      <c r="AF385">
        <v>-1.31513020806832</v>
      </c>
      <c r="AG385">
        <v>-1.108806741525</v>
      </c>
      <c r="AH385">
        <v>13.6948534995134</v>
      </c>
      <c r="AI385">
        <v>94.607762406586801</v>
      </c>
      <c r="AJ385">
        <v>95.485349276322694</v>
      </c>
      <c r="AK385">
        <v>13.802464715671601</v>
      </c>
    </row>
    <row r="386" spans="1:37" x14ac:dyDescent="0.2">
      <c r="A386" t="str">
        <f>"20200111154035770"</f>
        <v>20200111154035770</v>
      </c>
      <c r="B386" t="str">
        <f>"1578728435766588"</f>
        <v>1578728435766588</v>
      </c>
      <c r="C386" t="s">
        <v>37</v>
      </c>
      <c r="D386">
        <v>5.2879509999999996</v>
      </c>
      <c r="E386">
        <v>0.50514879999999995</v>
      </c>
      <c r="F386" t="s">
        <v>39</v>
      </c>
      <c r="G386">
        <v>-341.95479999999998</v>
      </c>
      <c r="H386" s="1">
        <v>-3.902343E-6</v>
      </c>
      <c r="I386">
        <v>368.94650000000001</v>
      </c>
      <c r="J386">
        <v>-355.73829999999998</v>
      </c>
      <c r="K386">
        <v>1.108803</v>
      </c>
      <c r="L386">
        <v>367.47699999999998</v>
      </c>
      <c r="M386">
        <v>0.99991109999999905</v>
      </c>
      <c r="N386">
        <v>0</v>
      </c>
      <c r="O386">
        <v>1.172774E-2</v>
      </c>
      <c r="P386">
        <v>0.991326499999999</v>
      </c>
      <c r="Q386">
        <v>4.1351810000000003E-2</v>
      </c>
      <c r="R386">
        <v>0.1247472</v>
      </c>
      <c r="S386">
        <v>2.9967039999999998</v>
      </c>
      <c r="T386">
        <v>-0.23560249999999999</v>
      </c>
      <c r="U386">
        <v>0.31301879999999999</v>
      </c>
      <c r="V386">
        <v>-0.11318159999999999</v>
      </c>
      <c r="W386">
        <v>4.7489719999999999E-2</v>
      </c>
      <c r="X386">
        <v>0.99243869999999901</v>
      </c>
      <c r="Y386">
        <v>-9.1972600000000002E-2</v>
      </c>
      <c r="Z386">
        <v>2.6821530000000001E-3</v>
      </c>
      <c r="AA386">
        <v>0.99575789999999997</v>
      </c>
      <c r="AB386">
        <v>62</v>
      </c>
      <c r="AC386">
        <v>13.7835</v>
      </c>
      <c r="AD386">
        <v>-1.1088069023430001</v>
      </c>
      <c r="AE386">
        <v>1.46950000000003</v>
      </c>
      <c r="AF386">
        <v>-1.2994318447519</v>
      </c>
      <c r="AG386">
        <v>-1.1088069023430001</v>
      </c>
      <c r="AH386">
        <v>13.7120485134606</v>
      </c>
      <c r="AI386">
        <v>94.602557883889602</v>
      </c>
      <c r="AJ386">
        <v>95.413507747124498</v>
      </c>
      <c r="AK386">
        <v>13.8180407548008</v>
      </c>
    </row>
    <row r="387" spans="1:37" x14ac:dyDescent="0.2">
      <c r="A387" t="str">
        <f>"20200111154035789"</f>
        <v>20200111154035789</v>
      </c>
      <c r="B387" t="str">
        <f>"1578728435776348"</f>
        <v>1578728435776348</v>
      </c>
      <c r="C387" t="s">
        <v>37</v>
      </c>
      <c r="D387">
        <v>5.2662459999999998</v>
      </c>
      <c r="E387">
        <v>0.50493770000000004</v>
      </c>
      <c r="F387" t="s">
        <v>39</v>
      </c>
      <c r="G387">
        <v>-341.43459999999999</v>
      </c>
      <c r="H387" s="1">
        <v>-4.1440200000000002E-6</v>
      </c>
      <c r="I387">
        <v>368.97019999999998</v>
      </c>
      <c r="J387">
        <v>-355.22730000000001</v>
      </c>
      <c r="K387">
        <v>1.1088</v>
      </c>
      <c r="L387">
        <v>367.48289999999997</v>
      </c>
      <c r="M387">
        <v>0.9999072</v>
      </c>
      <c r="N387">
        <v>0</v>
      </c>
      <c r="O387">
        <v>1.20424E-2</v>
      </c>
      <c r="P387">
        <v>0.99158880000000005</v>
      </c>
      <c r="Q387">
        <v>4.0978970000000003E-2</v>
      </c>
      <c r="R387">
        <v>0.12277009999999999</v>
      </c>
      <c r="S387">
        <v>2.996613</v>
      </c>
      <c r="T387">
        <v>-0.2322951</v>
      </c>
      <c r="U387">
        <v>0.31283569999999999</v>
      </c>
      <c r="V387">
        <v>-0.1108894</v>
      </c>
      <c r="W387">
        <v>4.7144400000000003E-2</v>
      </c>
      <c r="X387">
        <v>0.99271390000000004</v>
      </c>
      <c r="Y387">
        <v>-9.1611040000000005E-2</v>
      </c>
      <c r="Z387">
        <v>2.6064650000000001E-3</v>
      </c>
      <c r="AA387">
        <v>0.99579139999999999</v>
      </c>
      <c r="AB387">
        <v>62</v>
      </c>
      <c r="AC387">
        <v>13.7927</v>
      </c>
      <c r="AD387">
        <v>-1.10880414402</v>
      </c>
      <c r="AE387">
        <v>1.4873000000000001</v>
      </c>
      <c r="AF387">
        <v>-1.31270551423523</v>
      </c>
      <c r="AG387">
        <v>-1.10880414402</v>
      </c>
      <c r="AH387">
        <v>13.7219498955898</v>
      </c>
      <c r="AI387">
        <v>94.598851226268096</v>
      </c>
      <c r="AJ387">
        <v>95.464551076520607</v>
      </c>
      <c r="AK387">
        <v>13.8291196876004</v>
      </c>
    </row>
    <row r="388" spans="1:37" x14ac:dyDescent="0.2">
      <c r="A388" t="str">
        <f>"20200111154035801"</f>
        <v>20200111154035801</v>
      </c>
      <c r="B388" t="str">
        <f>"1578728435796844"</f>
        <v>1578728435796844</v>
      </c>
      <c r="C388" t="s">
        <v>37</v>
      </c>
      <c r="D388">
        <v>5.284599</v>
      </c>
      <c r="E388">
        <v>0.50476449999999995</v>
      </c>
      <c r="F388" t="s">
        <v>39</v>
      </c>
      <c r="G388">
        <v>-341.00790000000001</v>
      </c>
      <c r="H388" s="1">
        <v>-4.3497269999999997E-6</v>
      </c>
      <c r="I388">
        <v>368.9477</v>
      </c>
      <c r="J388">
        <v>-354.86900000000003</v>
      </c>
      <c r="K388">
        <v>1.1087929999999999</v>
      </c>
      <c r="L388">
        <v>367.4871</v>
      </c>
      <c r="M388">
        <v>0.99990449999999997</v>
      </c>
      <c r="N388">
        <v>0</v>
      </c>
      <c r="O388">
        <v>1.226272E-2</v>
      </c>
      <c r="P388">
        <v>0.99171109999999896</v>
      </c>
      <c r="Q388">
        <v>4.0619839999999997E-2</v>
      </c>
      <c r="R388">
        <v>0.1218983</v>
      </c>
      <c r="S388">
        <v>2.9968870000000001</v>
      </c>
      <c r="T388">
        <v>-0.23369179999999901</v>
      </c>
      <c r="U388">
        <v>0.30871579999999998</v>
      </c>
      <c r="V388">
        <v>-0.109796699999999</v>
      </c>
      <c r="W388">
        <v>4.6803829999999998E-2</v>
      </c>
      <c r="X388">
        <v>0.992851499999999</v>
      </c>
      <c r="Y388">
        <v>-9.0030269999999996E-2</v>
      </c>
      <c r="Z388">
        <v>2.5435509999999998E-3</v>
      </c>
      <c r="AA388">
        <v>0.99593580000000004</v>
      </c>
      <c r="AB388">
        <v>62</v>
      </c>
      <c r="AC388">
        <v>13.8611</v>
      </c>
      <c r="AD388">
        <v>-1.1087973497270001</v>
      </c>
      <c r="AE388">
        <v>1.4605999999999899</v>
      </c>
      <c r="AF388">
        <v>-1.28239605608233</v>
      </c>
      <c r="AG388">
        <v>-1.1087973497270001</v>
      </c>
      <c r="AH388">
        <v>13.7906921300004</v>
      </c>
      <c r="AI388">
        <v>94.577136687430297</v>
      </c>
      <c r="AJ388">
        <v>95.312654924543395</v>
      </c>
      <c r="AK388">
        <v>13.8945010933056</v>
      </c>
    </row>
    <row r="389" spans="1:37" x14ac:dyDescent="0.2">
      <c r="A389" t="str">
        <f>"20200111154035815"</f>
        <v>20200111154035815</v>
      </c>
      <c r="B389" t="str">
        <f>"1578728435806604"</f>
        <v>1578728435806604</v>
      </c>
      <c r="C389" t="s">
        <v>37</v>
      </c>
      <c r="D389">
        <v>5.2052550000000002</v>
      </c>
      <c r="E389">
        <v>0.50476449999999995</v>
      </c>
      <c r="F389" t="s">
        <v>39</v>
      </c>
      <c r="G389">
        <v>-340.74759999999998</v>
      </c>
      <c r="H389" s="1">
        <v>-4.4747030000000004E-6</v>
      </c>
      <c r="I389">
        <v>368.93689999999998</v>
      </c>
      <c r="J389">
        <v>-354.51609999999999</v>
      </c>
      <c r="K389">
        <v>1.1087899999999999</v>
      </c>
      <c r="L389">
        <v>367.4914</v>
      </c>
      <c r="M389">
        <v>0.9999017</v>
      </c>
      <c r="N389">
        <v>0</v>
      </c>
      <c r="O389">
        <v>1.2480130000000001E-2</v>
      </c>
      <c r="P389">
        <v>0.99177749999999998</v>
      </c>
      <c r="Q389">
        <v>4.042403E-2</v>
      </c>
      <c r="R389">
        <v>0.12142260000000001</v>
      </c>
      <c r="S389">
        <v>2.9968870000000001</v>
      </c>
      <c r="T389">
        <v>-0.23531250000000001</v>
      </c>
      <c r="U389">
        <v>0.30767820000000001</v>
      </c>
      <c r="V389">
        <v>-0.10910399999999899</v>
      </c>
      <c r="W389">
        <v>4.6625220000000002E-2</v>
      </c>
      <c r="X389">
        <v>0.99293629999999999</v>
      </c>
      <c r="Y389">
        <v>-8.9471609999999993E-2</v>
      </c>
      <c r="Z389">
        <v>2.5223469999999999E-3</v>
      </c>
      <c r="AA389">
        <v>0.99598619999999904</v>
      </c>
      <c r="AB389">
        <v>62</v>
      </c>
      <c r="AC389">
        <v>13.7685</v>
      </c>
      <c r="AD389">
        <v>-1.1087944747030001</v>
      </c>
      <c r="AE389">
        <v>1.44549999999998</v>
      </c>
      <c r="AF389">
        <v>-1.2654340140086899</v>
      </c>
      <c r="AG389">
        <v>-1.1087944747030001</v>
      </c>
      <c r="AH389">
        <v>13.6976036912385</v>
      </c>
      <c r="AI389">
        <v>94.608353015812597</v>
      </c>
      <c r="AJ389">
        <v>95.2782086781055</v>
      </c>
      <c r="AK389">
        <v>13.800546920799</v>
      </c>
    </row>
    <row r="390" spans="1:37" x14ac:dyDescent="0.2">
      <c r="A390" t="str">
        <f>"20200111154035828"</f>
        <v>20200111154035828</v>
      </c>
      <c r="B390" t="str">
        <f>"1578728435816364"</f>
        <v>1578728435816364</v>
      </c>
      <c r="C390" t="s">
        <v>37</v>
      </c>
      <c r="D390">
        <v>5.2659139999999898</v>
      </c>
      <c r="E390">
        <v>0.4688927</v>
      </c>
      <c r="F390" t="s">
        <v>39</v>
      </c>
      <c r="G390">
        <v>-340.42989999999998</v>
      </c>
      <c r="H390" s="1">
        <v>-4.6259679999999901E-6</v>
      </c>
      <c r="I390">
        <v>368.9307</v>
      </c>
      <c r="J390">
        <v>-354.15379999999999</v>
      </c>
      <c r="K390">
        <v>1.1087879999999899</v>
      </c>
      <c r="L390">
        <v>367.49590000000001</v>
      </c>
      <c r="M390">
        <v>0.99989879999999998</v>
      </c>
      <c r="N390">
        <v>0</v>
      </c>
      <c r="O390">
        <v>1.270307E-2</v>
      </c>
      <c r="P390">
        <v>0.99180829999999998</v>
      </c>
      <c r="Q390">
        <v>4.0050540000000003E-2</v>
      </c>
      <c r="R390">
        <v>0.1212966</v>
      </c>
      <c r="S390">
        <v>2.9969790000000001</v>
      </c>
      <c r="T390">
        <v>-0.23590729999999999</v>
      </c>
      <c r="U390">
        <v>0.30621340000000002</v>
      </c>
      <c r="V390">
        <v>-0.108756399999999</v>
      </c>
      <c r="W390">
        <v>4.626893E-2</v>
      </c>
      <c r="X390">
        <v>0.99299099999999996</v>
      </c>
      <c r="Y390">
        <v>-8.8766319999999996E-2</v>
      </c>
      <c r="Z390">
        <v>2.4835740000000001E-3</v>
      </c>
      <c r="AA390">
        <v>0.99604939999999997</v>
      </c>
      <c r="AB390">
        <v>62</v>
      </c>
      <c r="AC390">
        <v>13.7239</v>
      </c>
      <c r="AD390">
        <v>-1.1087926259680001</v>
      </c>
      <c r="AE390">
        <v>1.4347999999999901</v>
      </c>
      <c r="AF390">
        <v>-1.2522592676872499</v>
      </c>
      <c r="AG390">
        <v>-1.1087926259680001</v>
      </c>
      <c r="AH390">
        <v>13.652864101840899</v>
      </c>
      <c r="AI390">
        <v>94.623659541078794</v>
      </c>
      <c r="AJ390">
        <v>95.240583654373395</v>
      </c>
      <c r="AK390">
        <v>13.754936297353201</v>
      </c>
    </row>
    <row r="391" spans="1:37" x14ac:dyDescent="0.2">
      <c r="A391" t="str">
        <f>"20200111154035840"</f>
        <v>20200111154035840</v>
      </c>
      <c r="B391" t="str">
        <f>"1578728435836860"</f>
        <v>1578728435836860</v>
      </c>
      <c r="C391" t="s">
        <v>37</v>
      </c>
      <c r="D391">
        <v>5.1334200000000001</v>
      </c>
      <c r="E391">
        <v>0.369841799999999</v>
      </c>
      <c r="F391" t="s">
        <v>39</v>
      </c>
      <c r="G391">
        <v>-342.15260000000001</v>
      </c>
      <c r="H391" s="1">
        <v>-3.7599489999999899E-6</v>
      </c>
      <c r="I391">
        <v>369.87920000000003</v>
      </c>
      <c r="J391">
        <v>-353.77769999999998</v>
      </c>
      <c r="K391">
        <v>1.108786</v>
      </c>
      <c r="L391">
        <v>367.50060000000002</v>
      </c>
      <c r="M391">
        <v>0.99989570000000005</v>
      </c>
      <c r="N391">
        <v>0</v>
      </c>
      <c r="O391">
        <v>1.2933999999999999E-2</v>
      </c>
      <c r="P391">
        <v>0.99183410000000005</v>
      </c>
      <c r="Q391">
        <v>3.9799050000000002E-2</v>
      </c>
      <c r="R391">
        <v>0.121166699999999</v>
      </c>
      <c r="S391">
        <v>2.9638369999999998</v>
      </c>
      <c r="T391">
        <v>-0.27382719999999999</v>
      </c>
      <c r="U391">
        <v>0.58856200000000003</v>
      </c>
      <c r="V391">
        <v>-0.1083963</v>
      </c>
      <c r="W391">
        <v>4.6035060000000003E-2</v>
      </c>
      <c r="X391">
        <v>0.99304130000000002</v>
      </c>
      <c r="Y391">
        <v>-0.1813852</v>
      </c>
      <c r="Z391">
        <v>7.1002979999999997E-3</v>
      </c>
      <c r="AA391">
        <v>0.98338649999999905</v>
      </c>
      <c r="AB391">
        <v>62</v>
      </c>
      <c r="AC391">
        <v>11.6250999999999</v>
      </c>
      <c r="AD391">
        <v>-1.108789759949</v>
      </c>
      <c r="AE391">
        <v>2.3786</v>
      </c>
      <c r="AF391">
        <v>-2.2087529404867801</v>
      </c>
      <c r="AG391">
        <v>-1.108789759949</v>
      </c>
      <c r="AH391">
        <v>11.5540080637156</v>
      </c>
      <c r="AI391">
        <v>95.384728383307305</v>
      </c>
      <c r="AJ391">
        <v>100.822525436859</v>
      </c>
      <c r="AK391">
        <v>11.8153758560734</v>
      </c>
    </row>
    <row r="392" spans="1:37" x14ac:dyDescent="0.2">
      <c r="A392" t="str">
        <f>"20200111154035856"</f>
        <v>20200111154035856</v>
      </c>
      <c r="B392" t="str">
        <f>"1578728435846620"</f>
        <v>1578728435846620</v>
      </c>
      <c r="C392" t="s">
        <v>37</v>
      </c>
      <c r="D392">
        <v>5.2577809999999996</v>
      </c>
      <c r="E392">
        <v>0.36069639999999997</v>
      </c>
      <c r="F392" t="s">
        <v>39</v>
      </c>
      <c r="G392">
        <v>-337.5351</v>
      </c>
      <c r="H392" s="1">
        <v>-2.55572399999999E-6</v>
      </c>
      <c r="I392">
        <v>375.31380000000001</v>
      </c>
      <c r="J392">
        <v>-353.36509999999998</v>
      </c>
      <c r="K392">
        <v>1.1087799999999901</v>
      </c>
      <c r="L392">
        <v>367.5059</v>
      </c>
      <c r="M392">
        <v>0.99989219999999901</v>
      </c>
      <c r="N392">
        <v>0</v>
      </c>
      <c r="O392">
        <v>1.31874E-2</v>
      </c>
      <c r="P392">
        <v>0.99174799999999996</v>
      </c>
      <c r="Q392">
        <v>3.9443659999999998E-2</v>
      </c>
      <c r="R392">
        <v>0.121984</v>
      </c>
      <c r="S392">
        <v>2.864258</v>
      </c>
      <c r="T392">
        <v>-0.19552529999999901</v>
      </c>
      <c r="U392">
        <v>1.3778079999999999</v>
      </c>
      <c r="V392">
        <v>-0.1089628</v>
      </c>
      <c r="W392">
        <v>4.5696849999999997E-2</v>
      </c>
      <c r="X392">
        <v>0.99299490000000001</v>
      </c>
      <c r="Y392">
        <v>-0.42079759999999899</v>
      </c>
      <c r="Z392">
        <v>1.275046E-2</v>
      </c>
      <c r="AA392">
        <v>0.90706489999999995</v>
      </c>
      <c r="AB392">
        <v>62</v>
      </c>
      <c r="AC392">
        <v>15.829999999999901</v>
      </c>
      <c r="AD392">
        <v>-1.1087825557240001</v>
      </c>
      <c r="AE392">
        <v>7.8079000000000098</v>
      </c>
      <c r="AF392">
        <v>-7.5685941164248396</v>
      </c>
      <c r="AG392">
        <v>-1.1087825557240001</v>
      </c>
      <c r="AH392">
        <v>15.868971787334999</v>
      </c>
      <c r="AI392">
        <v>93.608603793176997</v>
      </c>
      <c r="AJ392">
        <v>115.49847883352101</v>
      </c>
      <c r="AK392">
        <v>17.6163924014622</v>
      </c>
    </row>
    <row r="393" spans="1:37" x14ac:dyDescent="0.2">
      <c r="A393" t="str">
        <f>"20200111154035868"</f>
        <v>20200111154035868</v>
      </c>
      <c r="B393" t="str">
        <f>"1578728435856380"</f>
        <v>1578728435856380</v>
      </c>
      <c r="C393" t="s">
        <v>37</v>
      </c>
      <c r="D393">
        <v>5.2363619999999997</v>
      </c>
      <c r="E393">
        <v>0.36069639999999997</v>
      </c>
      <c r="F393" t="s">
        <v>38</v>
      </c>
      <c r="G393">
        <v>-352.4554</v>
      </c>
      <c r="H393">
        <v>1.022268</v>
      </c>
      <c r="I393">
        <v>367.96710000000002</v>
      </c>
      <c r="J393">
        <v>-353.03070000000002</v>
      </c>
      <c r="K393">
        <v>1.1087830000000001</v>
      </c>
      <c r="L393">
        <v>367.51029999999997</v>
      </c>
      <c r="M393">
        <v>0.99988949999999999</v>
      </c>
      <c r="N393">
        <v>0</v>
      </c>
      <c r="O393">
        <v>1.3392650000000001E-2</v>
      </c>
      <c r="P393">
        <v>0.99168289999999903</v>
      </c>
      <c r="Q393">
        <v>3.9014409999999999E-2</v>
      </c>
      <c r="R393">
        <v>0.12265139999999999</v>
      </c>
      <c r="S393">
        <v>2.8575740000000001</v>
      </c>
      <c r="T393">
        <v>-0.27177289999999998</v>
      </c>
      <c r="U393">
        <v>1.4487000000000001</v>
      </c>
      <c r="V393">
        <v>-0.1094266</v>
      </c>
      <c r="W393">
        <v>4.5281009999999997E-2</v>
      </c>
      <c r="X393">
        <v>0.99296299999999904</v>
      </c>
      <c r="Y393">
        <v>-0.43866809999999901</v>
      </c>
      <c r="Z393">
        <v>1.8433430000000001E-2</v>
      </c>
      <c r="AA393">
        <v>0.89846009999999998</v>
      </c>
      <c r="AB393">
        <v>62</v>
      </c>
      <c r="AC393">
        <v>0.57530000000002701</v>
      </c>
      <c r="AD393">
        <v>-8.6515000000000106E-2</v>
      </c>
      <c r="AE393">
        <v>0.456800000000043</v>
      </c>
      <c r="AF393">
        <v>-0.44291083147729499</v>
      </c>
      <c r="AG393">
        <v>-8.6515000000000106E-2</v>
      </c>
      <c r="AH393">
        <v>0.57341295893969402</v>
      </c>
      <c r="AI393">
        <v>96.809174140947903</v>
      </c>
      <c r="AJ393">
        <v>127.682914717736</v>
      </c>
      <c r="AK393">
        <v>0.72969669818691396</v>
      </c>
    </row>
    <row r="394" spans="1:37" x14ac:dyDescent="0.2">
      <c r="A394" t="str">
        <f>"20200111154035879"</f>
        <v>20200111154035879</v>
      </c>
      <c r="B394" t="str">
        <f>"1578728435876876"</f>
        <v>1578728435876876</v>
      </c>
      <c r="C394" t="s">
        <v>37</v>
      </c>
      <c r="D394">
        <v>5.1723879999999998</v>
      </c>
      <c r="E394">
        <v>0.3064847</v>
      </c>
      <c r="F394" t="s">
        <v>38</v>
      </c>
      <c r="G394">
        <v>-351.92059999999998</v>
      </c>
      <c r="H394">
        <v>1.0028059999999901</v>
      </c>
      <c r="I394">
        <v>368.07389999999998</v>
      </c>
      <c r="J394">
        <v>-352.6986</v>
      </c>
      <c r="K394">
        <v>1.1087819999999999</v>
      </c>
      <c r="L394">
        <v>367.51459999999997</v>
      </c>
      <c r="M394">
        <v>0.99988659999999996</v>
      </c>
      <c r="N394">
        <v>0</v>
      </c>
      <c r="O394">
        <v>1.359658E-2</v>
      </c>
      <c r="P394">
        <v>0.991600499999999</v>
      </c>
      <c r="Q394">
        <v>3.9072000000000003E-2</v>
      </c>
      <c r="R394">
        <v>0.1232972</v>
      </c>
      <c r="S394">
        <v>2.8564759999999998</v>
      </c>
      <c r="T394">
        <v>-0.27266820000000003</v>
      </c>
      <c r="U394">
        <v>1.4506840000000001</v>
      </c>
      <c r="V394">
        <v>-0.1098708</v>
      </c>
      <c r="W394">
        <v>4.5352459999999997E-2</v>
      </c>
      <c r="X394">
        <v>0.99291059999999998</v>
      </c>
      <c r="Y394">
        <v>-0.43910909999999898</v>
      </c>
      <c r="Z394">
        <v>1.8499040000000001E-2</v>
      </c>
      <c r="AA394">
        <v>0.89824329999999997</v>
      </c>
      <c r="AB394">
        <v>62</v>
      </c>
      <c r="AC394">
        <v>0.77800000000002001</v>
      </c>
      <c r="AD394">
        <v>-0.105976</v>
      </c>
      <c r="AE394">
        <v>0.55930000000000701</v>
      </c>
      <c r="AF394">
        <v>-0.542039294145369</v>
      </c>
      <c r="AG394">
        <v>-0.105976</v>
      </c>
      <c r="AH394">
        <v>0.776039691560379</v>
      </c>
      <c r="AI394">
        <v>96.387938907401605</v>
      </c>
      <c r="AJ394">
        <v>124.933086951395</v>
      </c>
      <c r="AK394">
        <v>0.95250990118252199</v>
      </c>
    </row>
    <row r="395" spans="1:37" x14ac:dyDescent="0.2">
      <c r="A395" t="str">
        <f>"20200111154035892"</f>
        <v>20200111154035892</v>
      </c>
      <c r="B395" t="str">
        <f>"1578728435886636"</f>
        <v>1578728435886636</v>
      </c>
      <c r="C395" t="s">
        <v>37</v>
      </c>
      <c r="D395">
        <v>5.0395260000000004</v>
      </c>
      <c r="E395">
        <v>0.30787350000000002</v>
      </c>
      <c r="F395" t="s">
        <v>38</v>
      </c>
      <c r="G395">
        <v>-351.91250000000002</v>
      </c>
      <c r="H395">
        <v>0.971302</v>
      </c>
      <c r="I395">
        <v>368.03739999999999</v>
      </c>
      <c r="J395">
        <v>-352.37240000000003</v>
      </c>
      <c r="K395">
        <v>1.1087799999999901</v>
      </c>
      <c r="L395">
        <v>367.51900000000001</v>
      </c>
      <c r="M395">
        <v>0.99988379999999999</v>
      </c>
      <c r="N395">
        <v>0</v>
      </c>
      <c r="O395">
        <v>1.3796640000000001E-2</v>
      </c>
      <c r="P395">
        <v>0.99148579999999997</v>
      </c>
      <c r="Q395">
        <v>3.9259889999999999E-2</v>
      </c>
      <c r="R395">
        <v>0.12415619999999999</v>
      </c>
      <c r="S395">
        <v>2.812195</v>
      </c>
      <c r="T395">
        <v>-0.49174370000000001</v>
      </c>
      <c r="U395">
        <v>1.8706669999999901</v>
      </c>
      <c r="V395">
        <v>-0.1105331</v>
      </c>
      <c r="W395">
        <v>4.555348E-2</v>
      </c>
      <c r="X395">
        <v>0.99282800000000004</v>
      </c>
      <c r="Y395">
        <v>-0.53681159999999895</v>
      </c>
      <c r="Z395">
        <v>4.022568E-2</v>
      </c>
      <c r="AA395">
        <v>0.84274269999999996</v>
      </c>
      <c r="AB395">
        <v>62</v>
      </c>
      <c r="AC395">
        <v>0.45990000000000397</v>
      </c>
      <c r="AD395">
        <v>-0.13747799999999899</v>
      </c>
      <c r="AE395">
        <v>0.51839999999998498</v>
      </c>
      <c r="AF395">
        <v>-0.49261835488280198</v>
      </c>
      <c r="AG395">
        <v>-0.13747799999999899</v>
      </c>
      <c r="AH395">
        <v>0.44932526782791199</v>
      </c>
      <c r="AI395">
        <v>101.650476920363</v>
      </c>
      <c r="AJ395">
        <v>137.631544676044</v>
      </c>
      <c r="AK395">
        <v>0.68078354883183201</v>
      </c>
    </row>
    <row r="396" spans="1:37" x14ac:dyDescent="0.2">
      <c r="A396" t="str">
        <f>"20200111154035903"</f>
        <v>20200111154035903</v>
      </c>
      <c r="B396" t="str">
        <f>"1578728435896396"</f>
        <v>1578728435896396</v>
      </c>
      <c r="C396" t="s">
        <v>37</v>
      </c>
      <c r="D396">
        <v>5.0249420000000002</v>
      </c>
      <c r="E396">
        <v>0.30938009999999999</v>
      </c>
      <c r="F396" t="s">
        <v>39</v>
      </c>
      <c r="G396">
        <v>-346.04689999999999</v>
      </c>
      <c r="H396" s="1">
        <v>-2.4054560000000001E-6</v>
      </c>
      <c r="I396">
        <v>371.70710000000003</v>
      </c>
      <c r="J396">
        <v>-352.05079999999998</v>
      </c>
      <c r="K396">
        <v>1.1087830000000001</v>
      </c>
      <c r="L396">
        <v>367.52339999999998</v>
      </c>
      <c r="M396">
        <v>0.99988089999999996</v>
      </c>
      <c r="N396">
        <v>0</v>
      </c>
      <c r="O396">
        <v>1.399396E-2</v>
      </c>
      <c r="P396">
        <v>0.99139979999999905</v>
      </c>
      <c r="Q396">
        <v>3.9313170000000001E-2</v>
      </c>
      <c r="R396">
        <v>0.1248252</v>
      </c>
      <c r="S396">
        <v>2.8121339999999999</v>
      </c>
      <c r="T396">
        <v>-0.49293409999999899</v>
      </c>
      <c r="U396">
        <v>1.8619079999999999</v>
      </c>
      <c r="V396">
        <v>-0.1110076</v>
      </c>
      <c r="W396">
        <v>4.562016E-2</v>
      </c>
      <c r="X396">
        <v>0.99277190000000004</v>
      </c>
      <c r="Y396">
        <v>-0.53481690000000004</v>
      </c>
      <c r="Z396">
        <v>4.0164449999999997E-2</v>
      </c>
      <c r="AA396">
        <v>0.84401289999999995</v>
      </c>
      <c r="AB396">
        <v>62</v>
      </c>
      <c r="AC396">
        <v>6.0038999999999803</v>
      </c>
      <c r="AD396">
        <v>-1.108785405456</v>
      </c>
      <c r="AE396">
        <v>4.1837000000000399</v>
      </c>
      <c r="AF396">
        <v>-4.0072712289921704</v>
      </c>
      <c r="AG396">
        <v>-1.108785405456</v>
      </c>
      <c r="AH396">
        <v>5.9258149296243996</v>
      </c>
      <c r="AI396">
        <v>98.810597586710003</v>
      </c>
      <c r="AJ396">
        <v>124.06811802169</v>
      </c>
      <c r="AK396">
        <v>7.2389854508915796</v>
      </c>
    </row>
    <row r="397" spans="1:37" x14ac:dyDescent="0.2">
      <c r="A397" t="str">
        <f>"20200111154035915"</f>
        <v>20200111154035915</v>
      </c>
      <c r="B397" t="str">
        <f>"1578728435907132"</f>
        <v>1578728435907132</v>
      </c>
      <c r="C397" t="s">
        <v>37</v>
      </c>
      <c r="D397">
        <v>5.012124</v>
      </c>
      <c r="E397">
        <v>0.3108629</v>
      </c>
      <c r="F397" t="s">
        <v>39</v>
      </c>
      <c r="G397">
        <v>-345.6857</v>
      </c>
      <c r="H397" s="1">
        <v>-2.5782749999999999E-6</v>
      </c>
      <c r="I397">
        <v>371.7149</v>
      </c>
      <c r="J397">
        <v>-351.69490000000002</v>
      </c>
      <c r="K397">
        <v>1.1087819999999999</v>
      </c>
      <c r="L397">
        <v>367.52839999999998</v>
      </c>
      <c r="M397">
        <v>0.99987780000000004</v>
      </c>
      <c r="N397">
        <v>0</v>
      </c>
      <c r="O397">
        <v>1.421219E-2</v>
      </c>
      <c r="P397">
        <v>0.99130819999999997</v>
      </c>
      <c r="Q397">
        <v>3.958031E-2</v>
      </c>
      <c r="R397">
        <v>0.12546669999999999</v>
      </c>
      <c r="S397">
        <v>2.8122859999999998</v>
      </c>
      <c r="T397">
        <v>-0.48989759999999999</v>
      </c>
      <c r="U397">
        <v>1.8519589999999999</v>
      </c>
      <c r="V397">
        <v>-0.11143409999999999</v>
      </c>
      <c r="W397">
        <v>4.5902159999999997E-2</v>
      </c>
      <c r="X397">
        <v>0.99271119999999902</v>
      </c>
      <c r="Y397">
        <v>-0.532613</v>
      </c>
      <c r="Z397">
        <v>3.9744830000000002E-2</v>
      </c>
      <c r="AA397">
        <v>0.84542510000000004</v>
      </c>
      <c r="AB397">
        <v>63</v>
      </c>
      <c r="AC397">
        <v>6.0092000000000203</v>
      </c>
      <c r="AD397">
        <v>-1.1087845782750001</v>
      </c>
      <c r="AE397">
        <v>4.1865000000000201</v>
      </c>
      <c r="AF397">
        <v>-4.0087872741574602</v>
      </c>
      <c r="AG397">
        <v>-1.1087845782750001</v>
      </c>
      <c r="AH397">
        <v>5.9321252384319703</v>
      </c>
      <c r="AI397">
        <v>98.803230121571005</v>
      </c>
      <c r="AJ397">
        <v>124.049879709617</v>
      </c>
      <c r="AK397">
        <v>7.2449905793526703</v>
      </c>
    </row>
    <row r="398" spans="1:37" x14ac:dyDescent="0.2">
      <c r="A398" t="str">
        <f>"20200111154035928"</f>
        <v>20200111154035928</v>
      </c>
      <c r="B398" t="str">
        <f>"1578728435916892"</f>
        <v>1578728435916892</v>
      </c>
      <c r="C398" t="s">
        <v>37</v>
      </c>
      <c r="D398">
        <v>5.0341849999999999</v>
      </c>
      <c r="E398">
        <v>0.31250079999999902</v>
      </c>
      <c r="F398" t="s">
        <v>39</v>
      </c>
      <c r="G398">
        <v>-345.29349999999999</v>
      </c>
      <c r="H398" s="1">
        <v>-2.7655189999999999E-6</v>
      </c>
      <c r="I398">
        <v>371.72190000000001</v>
      </c>
      <c r="J398">
        <v>-351.3501</v>
      </c>
      <c r="K398">
        <v>1.108784</v>
      </c>
      <c r="L398">
        <v>367.53320000000002</v>
      </c>
      <c r="M398">
        <v>0.99987459999999995</v>
      </c>
      <c r="N398">
        <v>0</v>
      </c>
      <c r="O398">
        <v>1.442358E-2</v>
      </c>
      <c r="P398">
        <v>0.991232</v>
      </c>
      <c r="Q398">
        <v>3.927369E-2</v>
      </c>
      <c r="R398">
        <v>0.12616250000000001</v>
      </c>
      <c r="S398">
        <v>2.8125610000000001</v>
      </c>
      <c r="T398">
        <v>-0.48716320000000002</v>
      </c>
      <c r="U398">
        <v>1.8424990000000001</v>
      </c>
      <c r="V398">
        <v>-0.1119203</v>
      </c>
      <c r="W398">
        <v>4.5609690000000001E-2</v>
      </c>
      <c r="X398">
        <v>0.99266989999999999</v>
      </c>
      <c r="Y398">
        <v>-0.5304835</v>
      </c>
      <c r="Z398">
        <v>3.9354859999999998E-2</v>
      </c>
      <c r="AA398">
        <v>0.84678129999999996</v>
      </c>
      <c r="AB398">
        <v>63</v>
      </c>
      <c r="AC398">
        <v>6.0566000000000004</v>
      </c>
      <c r="AD398">
        <v>-1.108786765519</v>
      </c>
      <c r="AE398">
        <v>4.1886999999999803</v>
      </c>
      <c r="AF398">
        <v>-4.00999294984749</v>
      </c>
      <c r="AG398">
        <v>-1.108786765519</v>
      </c>
      <c r="AH398">
        <v>5.9807951332602904</v>
      </c>
      <c r="AI398">
        <v>98.753842752167301</v>
      </c>
      <c r="AJ398">
        <v>123.840992419012</v>
      </c>
      <c r="AK398">
        <v>7.2855584532173401</v>
      </c>
    </row>
    <row r="399" spans="1:37" x14ac:dyDescent="0.2">
      <c r="A399" t="str">
        <f>"20200111154035939"</f>
        <v>20200111154035939</v>
      </c>
      <c r="B399" t="str">
        <f>"1578728435936412"</f>
        <v>1578728435936412</v>
      </c>
      <c r="C399" t="s">
        <v>37</v>
      </c>
      <c r="D399">
        <v>4.9882860000000004</v>
      </c>
      <c r="E399">
        <v>0.31427139999999998</v>
      </c>
      <c r="F399" t="s">
        <v>39</v>
      </c>
      <c r="G399">
        <v>-344.90109999999999</v>
      </c>
      <c r="H399" s="1">
        <v>-2.9538349999999999E-6</v>
      </c>
      <c r="I399">
        <v>371.73259999999999</v>
      </c>
      <c r="J399">
        <v>-351.04230000000001</v>
      </c>
      <c r="K399">
        <v>1.1087799999999901</v>
      </c>
      <c r="L399">
        <v>367.5376</v>
      </c>
      <c r="M399">
        <v>0.99987190000000004</v>
      </c>
      <c r="N399">
        <v>0</v>
      </c>
      <c r="O399">
        <v>1.4611839999999999E-2</v>
      </c>
      <c r="P399">
        <v>0.9911761</v>
      </c>
      <c r="Q399">
        <v>3.9027640000000002E-2</v>
      </c>
      <c r="R399">
        <v>0.12667700000000001</v>
      </c>
      <c r="S399">
        <v>2.8126220000000002</v>
      </c>
      <c r="T399">
        <v>-0.48357869999999997</v>
      </c>
      <c r="U399">
        <v>1.8314820000000001</v>
      </c>
      <c r="V399">
        <v>-0.112248499999999</v>
      </c>
      <c r="W399">
        <v>4.5376270000000003E-2</v>
      </c>
      <c r="X399">
        <v>0.99264359999999996</v>
      </c>
      <c r="Y399">
        <v>-0.52808199999999905</v>
      </c>
      <c r="Z399">
        <v>3.8888859999999997E-2</v>
      </c>
      <c r="AA399">
        <v>0.84830249999999996</v>
      </c>
      <c r="AB399">
        <v>63</v>
      </c>
      <c r="AC399">
        <v>6.14120000000002</v>
      </c>
      <c r="AD399">
        <v>-1.10878295383499</v>
      </c>
      <c r="AE399">
        <v>4.1949999999999896</v>
      </c>
      <c r="AF399">
        <v>-4.0155640889750304</v>
      </c>
      <c r="AG399">
        <v>-1.10878295383499</v>
      </c>
      <c r="AH399">
        <v>6.0669943372790698</v>
      </c>
      <c r="AI399">
        <v>98.665154861983197</v>
      </c>
      <c r="AJ399">
        <v>123.499396739932</v>
      </c>
      <c r="AK399">
        <v>7.3595227345227503</v>
      </c>
    </row>
    <row r="400" spans="1:37" x14ac:dyDescent="0.2">
      <c r="A400" t="str">
        <f>"20200111154035955"</f>
        <v>20200111154035955</v>
      </c>
      <c r="B400" t="str">
        <f>"1578728435947148"</f>
        <v>1578728435947148</v>
      </c>
      <c r="C400" t="s">
        <v>37</v>
      </c>
      <c r="D400">
        <v>4.9488219999999998</v>
      </c>
      <c r="E400">
        <v>0.31502829999999998</v>
      </c>
      <c r="F400" t="s">
        <v>38</v>
      </c>
      <c r="G400">
        <v>-350.23390000000001</v>
      </c>
      <c r="H400">
        <v>0.97058049999999996</v>
      </c>
      <c r="I400">
        <v>368.06029999999998</v>
      </c>
      <c r="J400">
        <v>-350.56199999999899</v>
      </c>
      <c r="K400">
        <v>1.108776</v>
      </c>
      <c r="L400">
        <v>367.5446</v>
      </c>
      <c r="M400">
        <v>0.99986730000000001</v>
      </c>
      <c r="N400">
        <v>0</v>
      </c>
      <c r="O400">
        <v>1.490612E-2</v>
      </c>
      <c r="P400">
        <v>0.99111349999999998</v>
      </c>
      <c r="Q400">
        <v>3.8003559999999999E-2</v>
      </c>
      <c r="R400">
        <v>0.1274757</v>
      </c>
      <c r="S400">
        <v>2.8131409999999999</v>
      </c>
      <c r="T400">
        <v>-0.48089470000000001</v>
      </c>
      <c r="U400">
        <v>1.819183</v>
      </c>
      <c r="V400">
        <v>-0.11275439999999901</v>
      </c>
      <c r="W400">
        <v>4.4372599999999998E-2</v>
      </c>
      <c r="X400">
        <v>0.99263159999999895</v>
      </c>
      <c r="Y400">
        <v>-0.52522729999999995</v>
      </c>
      <c r="Z400">
        <v>3.8443739999999997E-2</v>
      </c>
      <c r="AA400">
        <v>0.85009319999999899</v>
      </c>
      <c r="AB400">
        <v>63</v>
      </c>
      <c r="AC400">
        <v>0.32809999999994899</v>
      </c>
      <c r="AD400">
        <v>-0.138195499999999</v>
      </c>
      <c r="AE400">
        <v>0.51569999999998095</v>
      </c>
      <c r="AF400">
        <v>-0.485912365785102</v>
      </c>
      <c r="AG400">
        <v>-0.138195499999999</v>
      </c>
      <c r="AH400">
        <v>0.31942214015273701</v>
      </c>
      <c r="AI400">
        <v>103.368560021791</v>
      </c>
      <c r="AJ400">
        <v>146.680451445252</v>
      </c>
      <c r="AK400">
        <v>0.59769501174334705</v>
      </c>
    </row>
    <row r="401" spans="1:37" x14ac:dyDescent="0.2">
      <c r="A401" t="str">
        <f>"20200111154035967"</f>
        <v>20200111154035967</v>
      </c>
      <c r="B401" t="str">
        <f>"1578728435956908"</f>
        <v>1578728435956908</v>
      </c>
      <c r="C401" t="s">
        <v>37</v>
      </c>
      <c r="D401">
        <v>4.99871</v>
      </c>
      <c r="E401">
        <v>0.3157606</v>
      </c>
      <c r="F401" t="s">
        <v>39</v>
      </c>
      <c r="G401">
        <v>-344.06220000000002</v>
      </c>
      <c r="H401" s="1">
        <v>-3.3532189999999998E-6</v>
      </c>
      <c r="I401">
        <v>371.74310000000003</v>
      </c>
      <c r="J401">
        <v>-350.25130000000001</v>
      </c>
      <c r="K401">
        <v>1.108776</v>
      </c>
      <c r="L401">
        <v>367.54910000000001</v>
      </c>
      <c r="M401">
        <v>0.99986430000000004</v>
      </c>
      <c r="N401">
        <v>0</v>
      </c>
      <c r="O401">
        <v>1.509652E-2</v>
      </c>
      <c r="P401">
        <v>0.99107869999999998</v>
      </c>
      <c r="Q401">
        <v>3.7093519999999998E-2</v>
      </c>
      <c r="R401">
        <v>0.12801319999999999</v>
      </c>
      <c r="S401">
        <v>2.8117070000000002</v>
      </c>
      <c r="T401">
        <v>-0.47964319999999999</v>
      </c>
      <c r="U401">
        <v>1.816254</v>
      </c>
      <c r="V401">
        <v>-0.11310249999999999</v>
      </c>
      <c r="W401">
        <v>4.347558E-2</v>
      </c>
      <c r="X401">
        <v>0.99263169999999901</v>
      </c>
      <c r="Y401">
        <v>-0.52466610000000002</v>
      </c>
      <c r="Z401">
        <v>3.8297900000000003E-2</v>
      </c>
      <c r="AA401">
        <v>0.85044619999999904</v>
      </c>
      <c r="AB401">
        <v>63</v>
      </c>
      <c r="AC401">
        <v>6.1890999999999901</v>
      </c>
      <c r="AD401">
        <v>-1.108779353219</v>
      </c>
      <c r="AE401">
        <v>4.1940000000000097</v>
      </c>
      <c r="AF401">
        <v>-4.0118462879669101</v>
      </c>
      <c r="AG401">
        <v>-1.108779353219</v>
      </c>
      <c r="AH401">
        <v>6.1171648952912898</v>
      </c>
      <c r="AI401">
        <v>98.6186355600138</v>
      </c>
      <c r="AJ401">
        <v>123.258234935614</v>
      </c>
      <c r="AK401">
        <v>7.3989194243877803</v>
      </c>
    </row>
    <row r="402" spans="1:37" x14ac:dyDescent="0.2">
      <c r="A402" t="str">
        <f>"20200111154035978"</f>
        <v>20200111154035978</v>
      </c>
      <c r="B402" t="str">
        <f>"1578728435966668"</f>
        <v>1578728435966668</v>
      </c>
      <c r="C402" t="s">
        <v>37</v>
      </c>
      <c r="D402">
        <v>4.9911139999999996</v>
      </c>
      <c r="E402">
        <v>0.31629869999999999</v>
      </c>
      <c r="F402" t="s">
        <v>39</v>
      </c>
      <c r="G402">
        <v>-343.774</v>
      </c>
      <c r="H402" s="1">
        <v>-3.4851380000000001E-6</v>
      </c>
      <c r="I402">
        <v>371.7269</v>
      </c>
      <c r="J402">
        <v>-349.94310000000002</v>
      </c>
      <c r="K402">
        <v>1.1087739999999999</v>
      </c>
      <c r="L402">
        <v>367.55369999999999</v>
      </c>
      <c r="M402">
        <v>0.99986140000000001</v>
      </c>
      <c r="N402">
        <v>0</v>
      </c>
      <c r="O402">
        <v>1.5285200000000001E-2</v>
      </c>
      <c r="P402">
        <v>0.99099859999999995</v>
      </c>
      <c r="Q402">
        <v>3.6646320000000003E-2</v>
      </c>
      <c r="R402">
        <v>0.12875919999999999</v>
      </c>
      <c r="S402">
        <v>2.8108219999999999</v>
      </c>
      <c r="T402">
        <v>-0.48115180000000002</v>
      </c>
      <c r="U402">
        <v>1.812927</v>
      </c>
      <c r="V402">
        <v>-0.1136612</v>
      </c>
      <c r="W402">
        <v>4.304111E-2</v>
      </c>
      <c r="X402">
        <v>0.99258679999999999</v>
      </c>
      <c r="Y402">
        <v>-0.52388849999999998</v>
      </c>
      <c r="Z402">
        <v>3.8348470000000003E-2</v>
      </c>
      <c r="AA402">
        <v>0.85092309999999904</v>
      </c>
      <c r="AB402">
        <v>63</v>
      </c>
      <c r="AC402">
        <v>6.16910000000001</v>
      </c>
      <c r="AD402">
        <v>-1.1087774851379999</v>
      </c>
      <c r="AE402">
        <v>4.1731999999999996</v>
      </c>
      <c r="AF402">
        <v>-3.9899893134771398</v>
      </c>
      <c r="AG402">
        <v>-1.1087774851379999</v>
      </c>
      <c r="AH402">
        <v>6.0970475966126099</v>
      </c>
      <c r="AI402">
        <v>98.652177829028403</v>
      </c>
      <c r="AJ402">
        <v>123.201270952794</v>
      </c>
      <c r="AK402">
        <v>7.3704403958359501</v>
      </c>
    </row>
    <row r="403" spans="1:37" x14ac:dyDescent="0.2">
      <c r="A403" t="str">
        <f>"20200111154035989"</f>
        <v>20200111154035989</v>
      </c>
      <c r="B403" t="str">
        <f>"1578728435987165"</f>
        <v>1578728435987165</v>
      </c>
      <c r="C403" t="s">
        <v>37</v>
      </c>
      <c r="D403">
        <v>5.0055519999999998</v>
      </c>
      <c r="E403">
        <v>0.31748119999999902</v>
      </c>
      <c r="F403" t="s">
        <v>38</v>
      </c>
      <c r="G403">
        <v>-349.11279999999999</v>
      </c>
      <c r="H403">
        <v>0.966996999999999</v>
      </c>
      <c r="I403">
        <v>368.08870000000002</v>
      </c>
      <c r="J403">
        <v>-349.63569999999999</v>
      </c>
      <c r="K403">
        <v>1.108771</v>
      </c>
      <c r="L403">
        <v>367.55829999999997</v>
      </c>
      <c r="M403">
        <v>0.99985840000000004</v>
      </c>
      <c r="N403">
        <v>0</v>
      </c>
      <c r="O403">
        <v>1.5472980000000001E-2</v>
      </c>
      <c r="P403">
        <v>0.99090579999999995</v>
      </c>
      <c r="Q403">
        <v>3.662837E-2</v>
      </c>
      <c r="R403">
        <v>0.12947690000000001</v>
      </c>
      <c r="S403">
        <v>2.80975299999999</v>
      </c>
      <c r="T403">
        <v>-0.47976249999999998</v>
      </c>
      <c r="U403">
        <v>1.811035</v>
      </c>
      <c r="V403">
        <v>-0.1141937</v>
      </c>
      <c r="W403">
        <v>4.3035379999999998E-2</v>
      </c>
      <c r="X403">
        <v>0.99252589999999996</v>
      </c>
      <c r="Y403">
        <v>-0.52350259999999904</v>
      </c>
      <c r="Z403">
        <v>3.8198339999999997E-2</v>
      </c>
      <c r="AA403">
        <v>0.85116740000000002</v>
      </c>
      <c r="AB403">
        <v>63</v>
      </c>
      <c r="AC403">
        <v>0.52289999999999204</v>
      </c>
      <c r="AD403">
        <v>-0.14177400000000001</v>
      </c>
      <c r="AE403">
        <v>0.53040000000004195</v>
      </c>
      <c r="AF403">
        <v>-0.50398492395496397</v>
      </c>
      <c r="AG403">
        <v>-0.14177400000000001</v>
      </c>
      <c r="AH403">
        <v>0.51247620879006595</v>
      </c>
      <c r="AI403">
        <v>101.15806507056401</v>
      </c>
      <c r="AJ403">
        <v>134.52137523878801</v>
      </c>
      <c r="AK403">
        <v>0.73262032133003896</v>
      </c>
    </row>
    <row r="404" spans="1:37" x14ac:dyDescent="0.2">
      <c r="A404" t="str">
        <f>"20200111154036000"</f>
        <v>20200111154036000</v>
      </c>
      <c r="B404" t="str">
        <f>"1578728435996925"</f>
        <v>1578728435996925</v>
      </c>
      <c r="C404" t="s">
        <v>37</v>
      </c>
      <c r="D404">
        <v>5.0472910000000004</v>
      </c>
      <c r="E404">
        <v>0.31811830000000002</v>
      </c>
      <c r="F404" t="s">
        <v>39</v>
      </c>
      <c r="G404">
        <v>-343.11020000000002</v>
      </c>
      <c r="H404" s="1">
        <v>-3.8050399999999998E-6</v>
      </c>
      <c r="I404">
        <v>371.74990000000003</v>
      </c>
      <c r="J404">
        <v>-349.30059999999997</v>
      </c>
      <c r="K404">
        <v>1.1087659999999999</v>
      </c>
      <c r="L404">
        <v>367.56349999999998</v>
      </c>
      <c r="M404">
        <v>0.9998551</v>
      </c>
      <c r="N404">
        <v>0</v>
      </c>
      <c r="O404">
        <v>1.5677569999999998E-2</v>
      </c>
      <c r="P404">
        <v>0.99079609999999996</v>
      </c>
      <c r="Q404">
        <v>3.6239830000000001E-2</v>
      </c>
      <c r="R404">
        <v>0.13042309999999999</v>
      </c>
      <c r="S404">
        <v>2.8093569999999999</v>
      </c>
      <c r="T404">
        <v>-0.47734690000000002</v>
      </c>
      <c r="U404">
        <v>1.80453499999999</v>
      </c>
      <c r="V404">
        <v>-0.1149386</v>
      </c>
      <c r="W404">
        <v>4.2659519999999999E-2</v>
      </c>
      <c r="X404">
        <v>0.99245620000000001</v>
      </c>
      <c r="Y404">
        <v>-0.52205079999999904</v>
      </c>
      <c r="Z404">
        <v>3.7890359999999998E-2</v>
      </c>
      <c r="AA404">
        <v>0.85207239999999995</v>
      </c>
      <c r="AB404">
        <v>63</v>
      </c>
      <c r="AC404">
        <v>6.1903999999999497</v>
      </c>
      <c r="AD404">
        <v>-1.1087698050399999</v>
      </c>
      <c r="AE404">
        <v>4.1864000000000399</v>
      </c>
      <c r="AF404">
        <v>-4.0007633438628396</v>
      </c>
      <c r="AG404">
        <v>-1.1087698050399999</v>
      </c>
      <c r="AH404">
        <v>6.1205405711503396</v>
      </c>
      <c r="AI404">
        <v>98.622331869510504</v>
      </c>
      <c r="AJ404">
        <v>123.171110211933</v>
      </c>
      <c r="AK404">
        <v>7.3957078564030896</v>
      </c>
    </row>
    <row r="405" spans="1:37" x14ac:dyDescent="0.2">
      <c r="A405" t="str">
        <f>"20200111154036012"</f>
        <v>20200111154036012</v>
      </c>
      <c r="B405" t="str">
        <f>"1578728436006684"</f>
        <v>1578728436006684</v>
      </c>
      <c r="C405" t="s">
        <v>37</v>
      </c>
      <c r="D405">
        <v>5.033747</v>
      </c>
      <c r="E405">
        <v>0.3185925</v>
      </c>
      <c r="F405" t="s">
        <v>38</v>
      </c>
      <c r="G405">
        <v>-348.53899999999999</v>
      </c>
      <c r="H405">
        <v>0.97927330000000001</v>
      </c>
      <c r="I405">
        <v>368.0521</v>
      </c>
      <c r="J405">
        <v>-348.97699999999998</v>
      </c>
      <c r="K405">
        <v>1.1087629999999999</v>
      </c>
      <c r="L405">
        <v>367.56849999999997</v>
      </c>
      <c r="M405">
        <v>0.99985179999999996</v>
      </c>
      <c r="N405">
        <v>0</v>
      </c>
      <c r="O405">
        <v>1.5875179999999999E-2</v>
      </c>
      <c r="P405">
        <v>0.99069869999999904</v>
      </c>
      <c r="Q405">
        <v>3.5842770000000003E-2</v>
      </c>
      <c r="R405">
        <v>0.1312681</v>
      </c>
      <c r="S405">
        <v>2.8080750000000001</v>
      </c>
      <c r="T405">
        <v>-0.47732399999999903</v>
      </c>
      <c r="U405">
        <v>1.802338</v>
      </c>
      <c r="V405">
        <v>-0.11558779999999901</v>
      </c>
      <c r="W405">
        <v>4.2275050000000002E-2</v>
      </c>
      <c r="X405">
        <v>0.99239719999999998</v>
      </c>
      <c r="Y405">
        <v>-0.52158879999999996</v>
      </c>
      <c r="Z405">
        <v>3.7844019999999999E-2</v>
      </c>
      <c r="AA405">
        <v>0.85235729999999998</v>
      </c>
      <c r="AB405">
        <v>63</v>
      </c>
      <c r="AC405">
        <v>0.43799999999998801</v>
      </c>
      <c r="AD405">
        <v>-0.12948969999999899</v>
      </c>
      <c r="AE405">
        <v>0.48360000000002401</v>
      </c>
      <c r="AF405">
        <v>-0.458525595932606</v>
      </c>
      <c r="AG405">
        <v>-0.12948969999999899</v>
      </c>
      <c r="AH405">
        <v>0.428735574417073</v>
      </c>
      <c r="AI405">
        <v>101.655410282115</v>
      </c>
      <c r="AJ405">
        <v>136.92299812233699</v>
      </c>
      <c r="AK405">
        <v>0.64095826486767404</v>
      </c>
    </row>
    <row r="406" spans="1:37" x14ac:dyDescent="0.2">
      <c r="A406" t="str">
        <f>"20200111154036024"</f>
        <v>20200111154036024</v>
      </c>
      <c r="B406" t="str">
        <f>"1578728436016444"</f>
        <v>1578728436016444</v>
      </c>
      <c r="C406" t="s">
        <v>37</v>
      </c>
      <c r="D406">
        <v>5.0132209999999997</v>
      </c>
      <c r="E406">
        <v>0.319050099999999</v>
      </c>
      <c r="F406" t="s">
        <v>39</v>
      </c>
      <c r="G406">
        <v>-342.45479999999998</v>
      </c>
      <c r="H406" s="1">
        <v>-4.1157869999999999E-6</v>
      </c>
      <c r="I406">
        <v>371.75349999999997</v>
      </c>
      <c r="J406">
        <v>-348.65100000000001</v>
      </c>
      <c r="K406">
        <v>1.108757</v>
      </c>
      <c r="L406">
        <v>367.5736</v>
      </c>
      <c r="M406">
        <v>0.99984850000000003</v>
      </c>
      <c r="N406">
        <v>0</v>
      </c>
      <c r="O406">
        <v>1.6074169999999999E-2</v>
      </c>
      <c r="P406">
        <v>0.99058939999999995</v>
      </c>
      <c r="Q406">
        <v>3.5385430000000002E-2</v>
      </c>
      <c r="R406">
        <v>0.132214</v>
      </c>
      <c r="S406">
        <v>2.8067929999999999</v>
      </c>
      <c r="T406">
        <v>-0.4771572</v>
      </c>
      <c r="U406">
        <v>1.8010250000000001</v>
      </c>
      <c r="V406">
        <v>-0.1163372</v>
      </c>
      <c r="W406">
        <v>4.1830560000000003E-2</v>
      </c>
      <c r="X406">
        <v>0.99232849999999995</v>
      </c>
      <c r="Y406">
        <v>-0.52131749999999999</v>
      </c>
      <c r="Z406">
        <v>3.779801E-2</v>
      </c>
      <c r="AA406">
        <v>0.85252519999999998</v>
      </c>
      <c r="AB406">
        <v>63</v>
      </c>
      <c r="AC406">
        <v>6.1962000000000304</v>
      </c>
      <c r="AD406">
        <v>-1.1087611157870001</v>
      </c>
      <c r="AE406">
        <v>4.1798999999999698</v>
      </c>
      <c r="AF406">
        <v>-3.9919130572903998</v>
      </c>
      <c r="AG406">
        <v>-1.1087611157870001</v>
      </c>
      <c r="AH406">
        <v>6.1277424753850598</v>
      </c>
      <c r="AI406">
        <v>98.620877910445898</v>
      </c>
      <c r="AJ406">
        <v>123.08220092928499</v>
      </c>
      <c r="AK406">
        <v>7.3968877856491098</v>
      </c>
    </row>
    <row r="407" spans="1:37" x14ac:dyDescent="0.2">
      <c r="A407" t="str">
        <f>"20200111154036034"</f>
        <v>20200111154036034</v>
      </c>
      <c r="B407" t="str">
        <f>"1578728436027180"</f>
        <v>1578728436027180</v>
      </c>
      <c r="C407" t="s">
        <v>37</v>
      </c>
      <c r="D407">
        <v>5.0150879999999898</v>
      </c>
      <c r="E407">
        <v>0.3194825</v>
      </c>
      <c r="F407" t="s">
        <v>39</v>
      </c>
      <c r="G407">
        <v>-342.15870000000001</v>
      </c>
      <c r="H407" s="1">
        <v>-4.2521469999999997E-6</v>
      </c>
      <c r="I407">
        <v>371.73989999999998</v>
      </c>
      <c r="J407">
        <v>-348.3537</v>
      </c>
      <c r="K407">
        <v>1.108749</v>
      </c>
      <c r="L407">
        <v>367.57830000000001</v>
      </c>
      <c r="M407">
        <v>0.9998456</v>
      </c>
      <c r="N407">
        <v>0</v>
      </c>
      <c r="O407">
        <v>1.6254560000000001E-2</v>
      </c>
      <c r="P407">
        <v>0.9904693</v>
      </c>
      <c r="Q407">
        <v>3.4834410000000003E-2</v>
      </c>
      <c r="R407">
        <v>0.13325709999999999</v>
      </c>
      <c r="S407">
        <v>2.8053279999999998</v>
      </c>
      <c r="T407">
        <v>-0.47910000000000003</v>
      </c>
      <c r="U407">
        <v>1.80026199999999</v>
      </c>
      <c r="V407">
        <v>-0.117202399999999</v>
      </c>
      <c r="W407">
        <v>4.1290769999999997E-2</v>
      </c>
      <c r="X407">
        <v>0.9922493</v>
      </c>
      <c r="Y407">
        <v>-0.52115909999999999</v>
      </c>
      <c r="Z407">
        <v>3.7928980000000001E-2</v>
      </c>
      <c r="AA407">
        <v>0.85261640000000005</v>
      </c>
      <c r="AB407">
        <v>63</v>
      </c>
      <c r="AC407">
        <v>6.1949999999999896</v>
      </c>
      <c r="AD407">
        <v>-1.108753252147</v>
      </c>
      <c r="AE407">
        <v>4.16159999999996</v>
      </c>
      <c r="AF407">
        <v>-3.9726668706088599</v>
      </c>
      <c r="AG407">
        <v>-1.108753252147</v>
      </c>
      <c r="AH407">
        <v>6.1266026261756803</v>
      </c>
      <c r="AI407">
        <v>98.634125339693696</v>
      </c>
      <c r="AJ407">
        <v>122.96054539952</v>
      </c>
      <c r="AK407">
        <v>7.38557212259433</v>
      </c>
    </row>
    <row r="408" spans="1:37" x14ac:dyDescent="0.2">
      <c r="A408" t="str">
        <f>"20200111154036045"</f>
        <v>20200111154036045</v>
      </c>
      <c r="B408" t="str">
        <f>"1578728436036940"</f>
        <v>1578728436036940</v>
      </c>
      <c r="C408" t="s">
        <v>37</v>
      </c>
      <c r="D408">
        <v>5.0368149999999998</v>
      </c>
      <c r="E408">
        <v>0.31995029999999902</v>
      </c>
      <c r="F408" t="s">
        <v>39</v>
      </c>
      <c r="G408">
        <v>-341.87549999999999</v>
      </c>
      <c r="H408" s="1">
        <v>-4.3672460000000003E-6</v>
      </c>
      <c r="I408">
        <v>371.73689999999999</v>
      </c>
      <c r="J408">
        <v>-348.03730000000002</v>
      </c>
      <c r="K408">
        <v>1.108744</v>
      </c>
      <c r="L408">
        <v>367.58339999999998</v>
      </c>
      <c r="M408">
        <v>0.99984240000000002</v>
      </c>
      <c r="N408">
        <v>0</v>
      </c>
      <c r="O408">
        <v>1.6446510000000001E-2</v>
      </c>
      <c r="P408">
        <v>0.99037350000000002</v>
      </c>
      <c r="Q408">
        <v>3.4216879999999998E-2</v>
      </c>
      <c r="R408">
        <v>0.13412589999999999</v>
      </c>
      <c r="S408">
        <v>2.8036189999999999</v>
      </c>
      <c r="T408">
        <v>-0.4798422</v>
      </c>
      <c r="U408">
        <v>1.79974399999999</v>
      </c>
      <c r="V408">
        <v>-0.117881399999999</v>
      </c>
      <c r="W408">
        <v>4.0685689999999997E-2</v>
      </c>
      <c r="X408">
        <v>0.99219389999999996</v>
      </c>
      <c r="Y408">
        <v>-0.5211015</v>
      </c>
      <c r="Z408">
        <v>3.7973819999999998E-2</v>
      </c>
      <c r="AA408">
        <v>0.85264959999999901</v>
      </c>
      <c r="AB408">
        <v>63</v>
      </c>
      <c r="AC408">
        <v>6.1618000000000199</v>
      </c>
      <c r="AD408">
        <v>-1.1087483672459999</v>
      </c>
      <c r="AE408">
        <v>4.1535000000000002</v>
      </c>
      <c r="AF408">
        <v>-3.9633613314273499</v>
      </c>
      <c r="AG408">
        <v>-1.1087483672459999</v>
      </c>
      <c r="AH408">
        <v>6.0936192093228803</v>
      </c>
      <c r="AI408">
        <v>98.672374258625794</v>
      </c>
      <c r="AJ408">
        <v>123.040447659078</v>
      </c>
      <c r="AK408">
        <v>7.3532136548282798</v>
      </c>
    </row>
    <row r="409" spans="1:37" x14ac:dyDescent="0.2">
      <c r="A409" t="str">
        <f>"20200111154036056"</f>
        <v>20200111154036056</v>
      </c>
      <c r="B409" t="str">
        <f>"1578728436046700"</f>
        <v>1578728436046700</v>
      </c>
      <c r="C409" t="s">
        <v>37</v>
      </c>
      <c r="D409">
        <v>5.0501069999999997</v>
      </c>
      <c r="E409">
        <v>0.31993499999999903</v>
      </c>
      <c r="F409" t="s">
        <v>39</v>
      </c>
      <c r="G409">
        <v>-341.58339999999998</v>
      </c>
      <c r="H409" s="1">
        <v>-4.477327E-6</v>
      </c>
      <c r="I409">
        <v>371.72519999999997</v>
      </c>
      <c r="J409">
        <v>-347.71949999999998</v>
      </c>
      <c r="K409">
        <v>1.1087389999999999</v>
      </c>
      <c r="L409">
        <v>367.58859999999999</v>
      </c>
      <c r="M409">
        <v>0.99983899999999903</v>
      </c>
      <c r="N409">
        <v>0</v>
      </c>
      <c r="O409">
        <v>1.663852E-2</v>
      </c>
      <c r="P409">
        <v>0.99028959999999999</v>
      </c>
      <c r="Q409">
        <v>3.3757120000000002E-2</v>
      </c>
      <c r="R409">
        <v>0.1348596</v>
      </c>
      <c r="S409">
        <v>2.8022459999999998</v>
      </c>
      <c r="T409">
        <v>-0.48141409999999901</v>
      </c>
      <c r="U409">
        <v>1.79834</v>
      </c>
      <c r="V409">
        <v>-0.11842519999999999</v>
      </c>
      <c r="W409">
        <v>4.0238780000000002E-2</v>
      </c>
      <c r="X409">
        <v>0.99214729999999995</v>
      </c>
      <c r="Y409">
        <v>-0.52079140000000002</v>
      </c>
      <c r="Z409">
        <v>3.806292E-2</v>
      </c>
      <c r="AA409">
        <v>0.85283500000000001</v>
      </c>
      <c r="AB409">
        <v>63</v>
      </c>
      <c r="AC409">
        <v>6.1360999999999901</v>
      </c>
      <c r="AD409">
        <v>-1.108743477327</v>
      </c>
      <c r="AE409">
        <v>4.1365999999999801</v>
      </c>
      <c r="AF409">
        <v>-3.9453647238372902</v>
      </c>
      <c r="AG409">
        <v>-1.108743477327</v>
      </c>
      <c r="AH409">
        <v>6.0678687899319801</v>
      </c>
      <c r="AI409">
        <v>98.709382874617106</v>
      </c>
      <c r="AJ409">
        <v>123.03216428496999</v>
      </c>
      <c r="AK409">
        <v>7.3221749879694498</v>
      </c>
    </row>
    <row r="410" spans="1:37" x14ac:dyDescent="0.2">
      <c r="A410" t="str">
        <f>"20200111154036068"</f>
        <v>20200111154036068</v>
      </c>
      <c r="B410" t="str">
        <f>"1578728436056460"</f>
        <v>1578728436056460</v>
      </c>
      <c r="C410" t="s">
        <v>37</v>
      </c>
      <c r="D410">
        <v>5.0128159999999999</v>
      </c>
      <c r="E410">
        <v>0.31993499999999903</v>
      </c>
      <c r="F410" t="s">
        <v>39</v>
      </c>
      <c r="G410">
        <v>-341.31479999999999</v>
      </c>
      <c r="H410" s="1">
        <v>-4.5771130000000003E-6</v>
      </c>
      <c r="I410">
        <v>371.70620000000002</v>
      </c>
      <c r="J410">
        <v>-347.41410000000002</v>
      </c>
      <c r="K410">
        <v>1.108738</v>
      </c>
      <c r="L410">
        <v>367.59359999999998</v>
      </c>
      <c r="M410">
        <v>0.99983599999999995</v>
      </c>
      <c r="N410">
        <v>0</v>
      </c>
      <c r="O410">
        <v>1.682254E-2</v>
      </c>
      <c r="P410">
        <v>0.9901953</v>
      </c>
      <c r="Q410">
        <v>3.353503E-2</v>
      </c>
      <c r="R410">
        <v>0.1356058</v>
      </c>
      <c r="S410">
        <v>2.8007200000000001</v>
      </c>
      <c r="T410">
        <v>-0.4848462</v>
      </c>
      <c r="U410">
        <v>1.8005979999999999</v>
      </c>
      <c r="V410">
        <v>-0.1189901</v>
      </c>
      <c r="W410">
        <v>4.0029149999999999E-2</v>
      </c>
      <c r="X410">
        <v>0.99208819999999998</v>
      </c>
      <c r="Y410">
        <v>-0.52125329999999903</v>
      </c>
      <c r="Z410">
        <v>3.8348550000000002E-2</v>
      </c>
      <c r="AA410">
        <v>0.85253999999999996</v>
      </c>
      <c r="AB410">
        <v>63</v>
      </c>
      <c r="AC410">
        <v>6.0993000000000199</v>
      </c>
      <c r="AD410">
        <v>-1.1087425771129999</v>
      </c>
      <c r="AE410">
        <v>4.1126000000000396</v>
      </c>
      <c r="AF410">
        <v>-3.920352700674</v>
      </c>
      <c r="AG410">
        <v>-1.1087425771129999</v>
      </c>
      <c r="AH410">
        <v>6.0306271469911099</v>
      </c>
      <c r="AI410">
        <v>98.762848939076306</v>
      </c>
      <c r="AJ410">
        <v>123.026839954373</v>
      </c>
      <c r="AK410">
        <v>7.2778389090451299</v>
      </c>
    </row>
    <row r="411" spans="1:37" x14ac:dyDescent="0.2">
      <c r="A411" t="str">
        <f>"20200111154036078"</f>
        <v>20200111154036078</v>
      </c>
      <c r="B411" t="str">
        <f>"1578728436076958"</f>
        <v>1578728436076958</v>
      </c>
      <c r="C411" t="s">
        <v>37</v>
      </c>
      <c r="D411">
        <v>5.0737690000000004</v>
      </c>
      <c r="E411">
        <v>0.30113259999999997</v>
      </c>
      <c r="F411" t="s">
        <v>39</v>
      </c>
      <c r="G411">
        <v>-341.02019999999999</v>
      </c>
      <c r="H411" s="1">
        <v>-4.6909939999999999E-6</v>
      </c>
      <c r="I411">
        <v>371.71039999999999</v>
      </c>
      <c r="J411">
        <v>-347.08609999999999</v>
      </c>
      <c r="K411">
        <v>1.1087340000000001</v>
      </c>
      <c r="L411">
        <v>367.59910000000002</v>
      </c>
      <c r="M411">
        <v>0.99983250000000001</v>
      </c>
      <c r="N411">
        <v>0</v>
      </c>
      <c r="O411">
        <v>1.7019909999999999E-2</v>
      </c>
      <c r="P411">
        <v>0.99010730000000002</v>
      </c>
      <c r="Q411">
        <v>3.3295999999999999E-2</v>
      </c>
      <c r="R411">
        <v>0.1363055</v>
      </c>
      <c r="S411">
        <v>2.799347</v>
      </c>
      <c r="T411">
        <v>-0.48542159999999901</v>
      </c>
      <c r="U411">
        <v>1.8023990000000001</v>
      </c>
      <c r="V411">
        <v>-0.119494499999999</v>
      </c>
      <c r="W411">
        <v>3.9803310000000001E-2</v>
      </c>
      <c r="X411">
        <v>0.99203660000000005</v>
      </c>
      <c r="Y411">
        <v>-0.52164679999999997</v>
      </c>
      <c r="Z411">
        <v>3.8403180000000002E-2</v>
      </c>
      <c r="AA411">
        <v>0.85229679999999997</v>
      </c>
      <c r="AB411">
        <v>63</v>
      </c>
      <c r="AC411">
        <v>6.0658999999999903</v>
      </c>
      <c r="AD411">
        <v>-1.108738690994</v>
      </c>
      <c r="AE411">
        <v>4.1112999999999698</v>
      </c>
      <c r="AF411">
        <v>-3.9177718750247701</v>
      </c>
      <c r="AG411">
        <v>-1.108738690994</v>
      </c>
      <c r="AH411">
        <v>5.9976922762159797</v>
      </c>
      <c r="AI411">
        <v>98.797740279031004</v>
      </c>
      <c r="AJ411">
        <v>123.153100335502</v>
      </c>
      <c r="AK411">
        <v>7.2491758559041104</v>
      </c>
    </row>
    <row r="412" spans="1:37" x14ac:dyDescent="0.2">
      <c r="A412" t="str">
        <f>"20200111154036090"</f>
        <v>20200111154036090</v>
      </c>
      <c r="B412" t="str">
        <f>"1578728436086717"</f>
        <v>1578728436086717</v>
      </c>
      <c r="C412" t="s">
        <v>37</v>
      </c>
      <c r="D412">
        <v>5.0260870000000004</v>
      </c>
      <c r="E412">
        <v>0.30143550000000002</v>
      </c>
      <c r="F412" t="s">
        <v>39</v>
      </c>
      <c r="G412">
        <v>-341.72309999999999</v>
      </c>
      <c r="H412" s="1">
        <v>-4.3561919999999997E-6</v>
      </c>
      <c r="I412">
        <v>371.3571</v>
      </c>
      <c r="J412">
        <v>-346.78730000000002</v>
      </c>
      <c r="K412">
        <v>1.10873</v>
      </c>
      <c r="L412">
        <v>367.60410000000002</v>
      </c>
      <c r="M412">
        <v>0.99982939999999998</v>
      </c>
      <c r="N412">
        <v>0</v>
      </c>
      <c r="O412">
        <v>1.7198749999999999E-2</v>
      </c>
      <c r="P412">
        <v>0.99006620000000001</v>
      </c>
      <c r="Q412">
        <v>3.3043240000000001E-2</v>
      </c>
      <c r="R412">
        <v>0.1366656</v>
      </c>
      <c r="S412">
        <v>2.7810060000000001</v>
      </c>
      <c r="T412">
        <v>-0.57494769999999995</v>
      </c>
      <c r="U412">
        <v>1.9487919999999901</v>
      </c>
      <c r="V412">
        <v>-0.1196778</v>
      </c>
      <c r="W412">
        <v>3.9563170000000002E-2</v>
      </c>
      <c r="X412">
        <v>0.99202420000000002</v>
      </c>
      <c r="Y412">
        <v>-0.55211489999999996</v>
      </c>
      <c r="Z412">
        <v>4.7819849999999997E-2</v>
      </c>
      <c r="AA412">
        <v>0.83239560000000001</v>
      </c>
      <c r="AB412">
        <v>63</v>
      </c>
      <c r="AC412">
        <v>5.06420000000002</v>
      </c>
      <c r="AD412">
        <v>-1.108734356192</v>
      </c>
      <c r="AE412">
        <v>3.7529999999999801</v>
      </c>
      <c r="AF412">
        <v>-3.5553417543525101</v>
      </c>
      <c r="AG412">
        <v>-1.108734356192</v>
      </c>
      <c r="AH412">
        <v>4.9740993246932996</v>
      </c>
      <c r="AI412">
        <v>100.27836799761199</v>
      </c>
      <c r="AJ412">
        <v>125.556083388861</v>
      </c>
      <c r="AK412">
        <v>6.2138080880211604</v>
      </c>
    </row>
    <row r="413" spans="1:37" x14ac:dyDescent="0.2">
      <c r="A413" t="str">
        <f>"20200111154036101"</f>
        <v>20200111154036101</v>
      </c>
      <c r="B413" t="str">
        <f>"1578728436096476"</f>
        <v>1578728436096476</v>
      </c>
      <c r="C413" t="s">
        <v>37</v>
      </c>
      <c r="D413">
        <v>4.9309820000000002</v>
      </c>
      <c r="E413">
        <v>0.30209720000000001</v>
      </c>
      <c r="F413" t="s">
        <v>39</v>
      </c>
      <c r="G413">
        <v>-341.39850000000001</v>
      </c>
      <c r="H413" s="1">
        <v>-4.4867650000000001E-6</v>
      </c>
      <c r="I413">
        <v>371.37819999999999</v>
      </c>
      <c r="J413">
        <v>-346.47210000000001</v>
      </c>
      <c r="K413">
        <v>1.1087279999999999</v>
      </c>
      <c r="L413">
        <v>367.60939999999999</v>
      </c>
      <c r="M413">
        <v>0.99982610000000005</v>
      </c>
      <c r="N413">
        <v>0</v>
      </c>
      <c r="O413">
        <v>1.7386700000000001E-2</v>
      </c>
      <c r="P413">
        <v>0.99003079999999999</v>
      </c>
      <c r="Q413">
        <v>3.3110729999999998E-2</v>
      </c>
      <c r="R413">
        <v>0.13690369999999999</v>
      </c>
      <c r="S413">
        <v>2.7803960000000001</v>
      </c>
      <c r="T413">
        <v>-0.57206509999999999</v>
      </c>
      <c r="U413">
        <v>1.9472959999999999</v>
      </c>
      <c r="V413">
        <v>-0.1197295</v>
      </c>
      <c r="W413">
        <v>3.9644169999999999E-2</v>
      </c>
      <c r="X413">
        <v>0.99201469999999903</v>
      </c>
      <c r="Y413">
        <v>-0.55182189999999998</v>
      </c>
      <c r="Z413">
        <v>4.7537280000000001E-2</v>
      </c>
      <c r="AA413">
        <v>0.83260599999999996</v>
      </c>
      <c r="AB413">
        <v>63</v>
      </c>
      <c r="AC413">
        <v>5.0735999999999901</v>
      </c>
      <c r="AD413">
        <v>-1.1087324867649999</v>
      </c>
      <c r="AE413">
        <v>3.7687999999999899</v>
      </c>
      <c r="AF413">
        <v>-3.5701463606494599</v>
      </c>
      <c r="AG413">
        <v>-1.1087324867649999</v>
      </c>
      <c r="AH413">
        <v>4.9849530834014102</v>
      </c>
      <c r="AI413">
        <v>100.249734171847</v>
      </c>
      <c r="AJ413">
        <v>125.609653072767</v>
      </c>
      <c r="AK413">
        <v>6.2309702300187499</v>
      </c>
    </row>
    <row r="414" spans="1:37" x14ac:dyDescent="0.2">
      <c r="A414" t="str">
        <f>"20200111154036114"</f>
        <v>20200111154036114</v>
      </c>
      <c r="B414" t="str">
        <f>"1578728436107213"</f>
        <v>1578728436107213</v>
      </c>
      <c r="C414" t="s">
        <v>37</v>
      </c>
      <c r="D414">
        <v>4.9498410000000002</v>
      </c>
      <c r="E414">
        <v>0.30236599999999902</v>
      </c>
      <c r="F414" t="s">
        <v>39</v>
      </c>
      <c r="G414">
        <v>-341.06950000000001</v>
      </c>
      <c r="H414" s="1">
        <v>-4.6142120000000001E-6</v>
      </c>
      <c r="I414">
        <v>371.38440000000003</v>
      </c>
      <c r="J414">
        <v>-346.12580000000003</v>
      </c>
      <c r="K414">
        <v>1.1087260000000001</v>
      </c>
      <c r="L414">
        <v>367.61540000000002</v>
      </c>
      <c r="M414">
        <v>0.99982229999999905</v>
      </c>
      <c r="N414">
        <v>0</v>
      </c>
      <c r="O414">
        <v>1.759289E-2</v>
      </c>
      <c r="P414">
        <v>0.99001539999999999</v>
      </c>
      <c r="Q414">
        <v>3.2899610000000003E-2</v>
      </c>
      <c r="R414">
        <v>0.13706699999999999</v>
      </c>
      <c r="S414">
        <v>2.7806090000000001</v>
      </c>
      <c r="T414">
        <v>-0.57063909999999995</v>
      </c>
      <c r="U414">
        <v>1.942871</v>
      </c>
      <c r="V414">
        <v>-0.1196888</v>
      </c>
      <c r="W414">
        <v>3.9448820000000002E-2</v>
      </c>
      <c r="X414">
        <v>0.992027399999999</v>
      </c>
      <c r="Y414">
        <v>-0.55077940000000003</v>
      </c>
      <c r="Z414">
        <v>4.7303339999999999E-2</v>
      </c>
      <c r="AA414">
        <v>0.83330939999999998</v>
      </c>
      <c r="AB414">
        <v>63</v>
      </c>
      <c r="AC414">
        <v>5.0563000000000198</v>
      </c>
      <c r="AD414">
        <v>-1.1087306142119999</v>
      </c>
      <c r="AE414">
        <v>3.7690000000000001</v>
      </c>
      <c r="AF414">
        <v>-3.5691423818477599</v>
      </c>
      <c r="AG414">
        <v>-1.1087306142119999</v>
      </c>
      <c r="AH414">
        <v>4.9682642905299499</v>
      </c>
      <c r="AI414">
        <v>100.272915008979</v>
      </c>
      <c r="AJ414">
        <v>125.69302014493201</v>
      </c>
      <c r="AK414">
        <v>6.2170500221043703</v>
      </c>
    </row>
    <row r="415" spans="1:37" x14ac:dyDescent="0.2">
      <c r="A415" t="str">
        <f>"20200111154036128"</f>
        <v>20200111154036128</v>
      </c>
      <c r="B415" t="str">
        <f>"1578728436116973"</f>
        <v>1578728436116973</v>
      </c>
      <c r="C415" t="s">
        <v>37</v>
      </c>
      <c r="D415">
        <v>4.9595909999999996</v>
      </c>
      <c r="E415">
        <v>0.30277589999999999</v>
      </c>
      <c r="F415" t="s">
        <v>39</v>
      </c>
      <c r="G415">
        <v>-340.70920000000001</v>
      </c>
      <c r="H415" s="1">
        <v>-4.7547369999999999E-6</v>
      </c>
      <c r="I415">
        <v>371.39659999999998</v>
      </c>
      <c r="J415">
        <v>-345.69990000000001</v>
      </c>
      <c r="K415">
        <v>1.108727</v>
      </c>
      <c r="L415">
        <v>367.62279999999998</v>
      </c>
      <c r="M415">
        <v>0.99981759999999997</v>
      </c>
      <c r="N415">
        <v>0</v>
      </c>
      <c r="O415">
        <v>1.78461E-2</v>
      </c>
      <c r="P415">
        <v>0.99000969999999999</v>
      </c>
      <c r="Q415">
        <v>3.2784849999999997E-2</v>
      </c>
      <c r="R415">
        <v>0.1371347</v>
      </c>
      <c r="S415">
        <v>2.7804869999999999</v>
      </c>
      <c r="T415">
        <v>-0.56914569999999998</v>
      </c>
      <c r="U415">
        <v>1.940979</v>
      </c>
      <c r="V415">
        <v>-0.11950470000000001</v>
      </c>
      <c r="W415">
        <v>3.9353050000000001E-2</v>
      </c>
      <c r="X415">
        <v>0.99205339999999997</v>
      </c>
      <c r="Y415">
        <v>-0.55025159999999995</v>
      </c>
      <c r="Z415">
        <v>4.7096680000000002E-2</v>
      </c>
      <c r="AA415">
        <v>0.83366960000000001</v>
      </c>
      <c r="AB415">
        <v>64</v>
      </c>
      <c r="AC415">
        <v>4.9907000000000004</v>
      </c>
      <c r="AD415">
        <v>-1.1087317547369999</v>
      </c>
      <c r="AE415">
        <v>3.7737999999999898</v>
      </c>
      <c r="AF415">
        <v>-3.5719708229092602</v>
      </c>
      <c r="AG415">
        <v>-1.1087317547369999</v>
      </c>
      <c r="AH415">
        <v>4.9032887712070998</v>
      </c>
      <c r="AI415">
        <v>100.357405705179</v>
      </c>
      <c r="AJ415">
        <v>126.072765120494</v>
      </c>
      <c r="AK415">
        <v>6.1668875810673702</v>
      </c>
    </row>
    <row r="416" spans="1:37" x14ac:dyDescent="0.2">
      <c r="A416" t="str">
        <f>"20200111154036139"</f>
        <v>20200111154036139</v>
      </c>
      <c r="B416" t="str">
        <f>"1578728436136493"</f>
        <v>1578728436136493</v>
      </c>
      <c r="C416" t="s">
        <v>37</v>
      </c>
      <c r="D416">
        <v>4.9960100000000001</v>
      </c>
      <c r="E416">
        <v>0.30369309999999899</v>
      </c>
      <c r="F416" t="s">
        <v>39</v>
      </c>
      <c r="G416">
        <v>-340.25909999999999</v>
      </c>
      <c r="H416" s="1">
        <v>-4.9306569999999999E-6</v>
      </c>
      <c r="I416">
        <v>371.41390000000001</v>
      </c>
      <c r="J416">
        <v>-345.36340000000001</v>
      </c>
      <c r="K416">
        <v>1.1087260000000001</v>
      </c>
      <c r="L416">
        <v>367.62880000000001</v>
      </c>
      <c r="M416">
        <v>0.99981399999999998</v>
      </c>
      <c r="N416">
        <v>0</v>
      </c>
      <c r="O416">
        <v>1.8045559999999999E-2</v>
      </c>
      <c r="P416">
        <v>0.9899966</v>
      </c>
      <c r="Q416">
        <v>3.2860029999999998E-2</v>
      </c>
      <c r="R416">
        <v>0.13721269999999999</v>
      </c>
      <c r="S416">
        <v>2.7806700000000002</v>
      </c>
      <c r="T416">
        <v>-0.56664769999999998</v>
      </c>
      <c r="U416">
        <v>1.9375610000000001</v>
      </c>
      <c r="V416">
        <v>-0.11938550000000001</v>
      </c>
      <c r="W416">
        <v>3.9443569999999997E-2</v>
      </c>
      <c r="X416">
        <v>0.99206419999999995</v>
      </c>
      <c r="Y416">
        <v>-0.54944459999999995</v>
      </c>
      <c r="Z416">
        <v>4.6795299999999998E-2</v>
      </c>
      <c r="AA416">
        <v>0.83421869999999998</v>
      </c>
      <c r="AB416">
        <v>64</v>
      </c>
      <c r="AC416">
        <v>5.1043000000000198</v>
      </c>
      <c r="AD416">
        <v>-1.1087309306569999</v>
      </c>
      <c r="AE416">
        <v>3.7850999999999999</v>
      </c>
      <c r="AF416">
        <v>-3.58328818460802</v>
      </c>
      <c r="AG416">
        <v>-1.1087309306569999</v>
      </c>
      <c r="AH416">
        <v>5.01898542494762</v>
      </c>
      <c r="AI416">
        <v>100.192238456379</v>
      </c>
      <c r="AJ416">
        <v>125.52481461330601</v>
      </c>
      <c r="AK416">
        <v>6.2657364440569703</v>
      </c>
    </row>
    <row r="417" spans="1:37" x14ac:dyDescent="0.2">
      <c r="A417" t="str">
        <f>"20200111154036152"</f>
        <v>20200111154036152</v>
      </c>
      <c r="B417" t="str">
        <f>"1578728436147228"</f>
        <v>1578728436147228</v>
      </c>
      <c r="C417" t="s">
        <v>37</v>
      </c>
      <c r="D417">
        <v>4.9903019999999998</v>
      </c>
      <c r="E417">
        <v>0.30413620000000002</v>
      </c>
      <c r="F417" t="s">
        <v>39</v>
      </c>
      <c r="G417">
        <v>-339.8741</v>
      </c>
      <c r="H417" s="1">
        <v>-5.2140079999999898E-7</v>
      </c>
      <c r="I417">
        <v>371.43950000000001</v>
      </c>
      <c r="J417">
        <v>-345.0283</v>
      </c>
      <c r="K417">
        <v>1.1087260000000001</v>
      </c>
      <c r="L417">
        <v>367.63479999999998</v>
      </c>
      <c r="M417">
        <v>0.99981019999999898</v>
      </c>
      <c r="N417">
        <v>0</v>
      </c>
      <c r="O417">
        <v>1.8244E-2</v>
      </c>
      <c r="P417">
        <v>0.98997630000000003</v>
      </c>
      <c r="Q417">
        <v>3.2854910000000001E-2</v>
      </c>
      <c r="R417">
        <v>0.13735990000000001</v>
      </c>
      <c r="S417">
        <v>2.781342</v>
      </c>
      <c r="T417">
        <v>-0.56176530000000002</v>
      </c>
      <c r="U417">
        <v>1.93081699999999</v>
      </c>
      <c r="V417">
        <v>-0.11933630000000001</v>
      </c>
      <c r="W417">
        <v>3.945311E-2</v>
      </c>
      <c r="X417">
        <v>0.99206970000000005</v>
      </c>
      <c r="Y417">
        <v>-0.54796129999999998</v>
      </c>
      <c r="Z417">
        <v>4.6247480000000001E-2</v>
      </c>
      <c r="AA417">
        <v>0.83522430000000003</v>
      </c>
      <c r="AB417">
        <v>64</v>
      </c>
      <c r="AC417">
        <v>5.1542000000000003</v>
      </c>
      <c r="AD417">
        <v>-1.1087265214008</v>
      </c>
      <c r="AE417">
        <v>3.80470000000002</v>
      </c>
      <c r="AF417">
        <v>-3.6021401073236201</v>
      </c>
      <c r="AG417">
        <v>-1.1087265214008</v>
      </c>
      <c r="AH417">
        <v>5.0708740035290196</v>
      </c>
      <c r="AI417">
        <v>100.106826802048</v>
      </c>
      <c r="AJ417">
        <v>125.388418336424</v>
      </c>
      <c r="AK417">
        <v>6.3181050174647604</v>
      </c>
    </row>
    <row r="418" spans="1:37" x14ac:dyDescent="0.2">
      <c r="A418" t="str">
        <f>"20200111154036164"</f>
        <v>20200111154036164</v>
      </c>
      <c r="B418" t="str">
        <f>"1578728436156988"</f>
        <v>1578728436156988</v>
      </c>
      <c r="C418" t="s">
        <v>37</v>
      </c>
      <c r="D418">
        <v>4.9917410000000002</v>
      </c>
      <c r="E418">
        <v>0.30444470000000001</v>
      </c>
      <c r="F418" t="s">
        <v>39</v>
      </c>
      <c r="G418">
        <v>-339.53309999999999</v>
      </c>
      <c r="H418" s="1">
        <v>-6.6852709999999998E-7</v>
      </c>
      <c r="I418">
        <v>371.44260000000003</v>
      </c>
      <c r="J418">
        <v>-344.65339999999998</v>
      </c>
      <c r="K418">
        <v>1.108724</v>
      </c>
      <c r="L418">
        <v>367.64150000000001</v>
      </c>
      <c r="M418">
        <v>0.99980599999999997</v>
      </c>
      <c r="N418">
        <v>0</v>
      </c>
      <c r="O418">
        <v>1.8465260000000001E-2</v>
      </c>
      <c r="P418">
        <v>0.98995759999999899</v>
      </c>
      <c r="Q418">
        <v>3.3015559999999999E-2</v>
      </c>
      <c r="R418">
        <v>0.1374561</v>
      </c>
      <c r="S418">
        <v>2.781555</v>
      </c>
      <c r="T418">
        <v>-0.56120369999999997</v>
      </c>
      <c r="U418">
        <v>1.9274290000000001</v>
      </c>
      <c r="V418">
        <v>-0.1192134</v>
      </c>
      <c r="W418">
        <v>3.9630350000000002E-2</v>
      </c>
      <c r="X418">
        <v>0.9920774</v>
      </c>
      <c r="Y418">
        <v>-0.54708519999999905</v>
      </c>
      <c r="Z418">
        <v>4.609419E-2</v>
      </c>
      <c r="AA418">
        <v>0.83580689999999902</v>
      </c>
      <c r="AB418">
        <v>64</v>
      </c>
      <c r="AC418">
        <v>5.1202999999999799</v>
      </c>
      <c r="AD418">
        <v>-1.1087246685270999</v>
      </c>
      <c r="AE418">
        <v>3.8011000000000199</v>
      </c>
      <c r="AF418">
        <v>-3.5971648151426199</v>
      </c>
      <c r="AG418">
        <v>-1.1087246685270999</v>
      </c>
      <c r="AH418">
        <v>5.03734512063083</v>
      </c>
      <c r="AI418">
        <v>100.15509133572</v>
      </c>
      <c r="AJ418">
        <v>125.53060621476</v>
      </c>
      <c r="AK418">
        <v>6.2883790409169702</v>
      </c>
    </row>
    <row r="419" spans="1:37" x14ac:dyDescent="0.2">
      <c r="A419" t="str">
        <f>"20200111154036179"</f>
        <v>20200111154036179</v>
      </c>
      <c r="B419" t="str">
        <f>"1578728436176508"</f>
        <v>1578728436176508</v>
      </c>
      <c r="C419" t="s">
        <v>37</v>
      </c>
      <c r="D419">
        <v>4.9700280000000001</v>
      </c>
      <c r="E419">
        <v>0.30486649999999998</v>
      </c>
      <c r="F419" t="s">
        <v>39</v>
      </c>
      <c r="G419">
        <v>-339.12790000000001</v>
      </c>
      <c r="H419" s="1">
        <v>-8.4859309999999997E-7</v>
      </c>
      <c r="I419">
        <v>371.46600000000001</v>
      </c>
      <c r="J419">
        <v>-344.23160000000001</v>
      </c>
      <c r="K419">
        <v>1.1087199999999999</v>
      </c>
      <c r="L419">
        <v>367.64929999999998</v>
      </c>
      <c r="M419">
        <v>0.9998013</v>
      </c>
      <c r="N419">
        <v>0</v>
      </c>
      <c r="O419">
        <v>1.8714359999999999E-2</v>
      </c>
      <c r="P419">
        <v>0.98994400000000005</v>
      </c>
      <c r="Q419">
        <v>3.3195420000000003E-2</v>
      </c>
      <c r="R419">
        <v>0.137511299999999</v>
      </c>
      <c r="S419">
        <v>2.7817080000000001</v>
      </c>
      <c r="T419">
        <v>-0.55815709999999996</v>
      </c>
      <c r="U419">
        <v>1.925354</v>
      </c>
      <c r="V419">
        <v>-0.1190218</v>
      </c>
      <c r="W419">
        <v>3.9829030000000001E-2</v>
      </c>
      <c r="X419">
        <v>0.99209249999999904</v>
      </c>
      <c r="Y419">
        <v>-0.54652080000000003</v>
      </c>
      <c r="Z419">
        <v>4.5758840000000002E-2</v>
      </c>
      <c r="AA419">
        <v>0.83619449999999995</v>
      </c>
      <c r="AB419">
        <v>64</v>
      </c>
      <c r="AC419">
        <v>5.1036999999999999</v>
      </c>
      <c r="AD419">
        <v>-1.1087208485930999</v>
      </c>
      <c r="AE419">
        <v>3.81670000000002</v>
      </c>
      <c r="AF419">
        <v>-3.6112188069522801</v>
      </c>
      <c r="AG419">
        <v>-1.1087208485930999</v>
      </c>
      <c r="AH419">
        <v>5.0222308857911298</v>
      </c>
      <c r="AI419">
        <v>100.161647253463</v>
      </c>
      <c r="AJ419">
        <v>125.717900840726</v>
      </c>
      <c r="AK419">
        <v>6.2843429459240401</v>
      </c>
    </row>
    <row r="420" spans="1:37" x14ac:dyDescent="0.2">
      <c r="A420" t="str">
        <f>"20200111154036192"</f>
        <v>20200111154036192</v>
      </c>
      <c r="B420" t="str">
        <f>"1578728436187244"</f>
        <v>1578728436187244</v>
      </c>
      <c r="C420" t="s">
        <v>37</v>
      </c>
      <c r="D420">
        <v>4.961195</v>
      </c>
      <c r="E420">
        <v>0.3050582</v>
      </c>
      <c r="F420" t="s">
        <v>39</v>
      </c>
      <c r="G420">
        <v>-338.70080000000002</v>
      </c>
      <c r="H420" s="1">
        <v>-1.033095E-6</v>
      </c>
      <c r="I420">
        <v>371.47089999999997</v>
      </c>
      <c r="J420">
        <v>-343.8938</v>
      </c>
      <c r="K420">
        <v>1.1087209999999901</v>
      </c>
      <c r="L420">
        <v>367.65550000000002</v>
      </c>
      <c r="M420">
        <v>0.99979750000000001</v>
      </c>
      <c r="N420">
        <v>0</v>
      </c>
      <c r="O420">
        <v>1.8913039999999999E-2</v>
      </c>
      <c r="P420">
        <v>0.98992959999999997</v>
      </c>
      <c r="Q420">
        <v>3.3261800000000001E-2</v>
      </c>
      <c r="R420">
        <v>0.13759859999999999</v>
      </c>
      <c r="S420">
        <v>2.7821349999999998</v>
      </c>
      <c r="T420">
        <v>-0.55771340000000003</v>
      </c>
      <c r="U420">
        <v>1.9223939999999999</v>
      </c>
      <c r="V420">
        <v>-0.1189127</v>
      </c>
      <c r="W420">
        <v>3.9910029999999999E-2</v>
      </c>
      <c r="X420">
        <v>0.99210229999999999</v>
      </c>
      <c r="Y420">
        <v>-0.54571530000000001</v>
      </c>
      <c r="Z420">
        <v>4.5621599999999998E-2</v>
      </c>
      <c r="AA420">
        <v>0.83672789999999997</v>
      </c>
      <c r="AB420">
        <v>64</v>
      </c>
      <c r="AC420">
        <v>5.1929999999999801</v>
      </c>
      <c r="AD420">
        <v>-1.1087220330949901</v>
      </c>
      <c r="AE420">
        <v>3.8153999999999502</v>
      </c>
      <c r="AF420">
        <v>-3.60964232060982</v>
      </c>
      <c r="AG420">
        <v>-1.1087220330949901</v>
      </c>
      <c r="AH420">
        <v>5.1128754395737301</v>
      </c>
      <c r="AI420">
        <v>100.04570723905201</v>
      </c>
      <c r="AJ420">
        <v>125.221734667571</v>
      </c>
      <c r="AK420">
        <v>6.3561212614301201</v>
      </c>
    </row>
    <row r="421" spans="1:37" x14ac:dyDescent="0.2">
      <c r="A421" t="str">
        <f>"20200111154036204"</f>
        <v>20200111154036204</v>
      </c>
      <c r="B421" t="str">
        <f>"1578728436197005"</f>
        <v>1578728436197005</v>
      </c>
      <c r="C421" t="s">
        <v>37</v>
      </c>
      <c r="D421">
        <v>4.968998</v>
      </c>
      <c r="E421">
        <v>0.30522859999999902</v>
      </c>
      <c r="F421" t="s">
        <v>39</v>
      </c>
      <c r="G421">
        <v>-338.35340000000002</v>
      </c>
      <c r="H421" s="1">
        <v>-1.1847109999999999E-6</v>
      </c>
      <c r="I421">
        <v>371.48050000000001</v>
      </c>
      <c r="J421">
        <v>-343.51609999999999</v>
      </c>
      <c r="K421">
        <v>1.108717</v>
      </c>
      <c r="L421">
        <v>367.6626</v>
      </c>
      <c r="M421">
        <v>0.99979309999999999</v>
      </c>
      <c r="N421">
        <v>0</v>
      </c>
      <c r="O421">
        <v>1.9134910000000002E-2</v>
      </c>
      <c r="P421">
        <v>0.98987809999999898</v>
      </c>
      <c r="Q421">
        <v>3.3417769999999999E-2</v>
      </c>
      <c r="R421">
        <v>0.13792979999999999</v>
      </c>
      <c r="S421">
        <v>2.7822879999999999</v>
      </c>
      <c r="T421">
        <v>-0.55677319999999997</v>
      </c>
      <c r="U421">
        <v>1.920868</v>
      </c>
      <c r="V421">
        <v>-0.1190239</v>
      </c>
      <c r="W421">
        <v>4.0082029999999998E-2</v>
      </c>
      <c r="X421">
        <v>0.99208200000000002</v>
      </c>
      <c r="Y421">
        <v>-0.54522969999999904</v>
      </c>
      <c r="Z421">
        <v>4.546683E-2</v>
      </c>
      <c r="AA421">
        <v>0.83705280000000004</v>
      </c>
      <c r="AB421">
        <v>64</v>
      </c>
      <c r="AC421">
        <v>5.1626999999999699</v>
      </c>
      <c r="AD421">
        <v>-1.1087181847109999</v>
      </c>
      <c r="AE421">
        <v>3.8178999999999998</v>
      </c>
      <c r="AF421">
        <v>-3.6107570767331598</v>
      </c>
      <c r="AG421">
        <v>-1.1087181847109999</v>
      </c>
      <c r="AH421">
        <v>5.0832557698282699</v>
      </c>
      <c r="AI421">
        <v>100.082803847536</v>
      </c>
      <c r="AJ421">
        <v>125.387080911783</v>
      </c>
      <c r="AK421">
        <v>6.3329544370522601</v>
      </c>
    </row>
    <row r="422" spans="1:37" x14ac:dyDescent="0.2">
      <c r="A422" t="str">
        <f>"20200111154036215"</f>
        <v>20200111154036215</v>
      </c>
      <c r="B422" t="str">
        <f>"1578728436206764"</f>
        <v>1578728436206764</v>
      </c>
      <c r="C422" t="s">
        <v>37</v>
      </c>
      <c r="D422">
        <v>4.9767029999999997</v>
      </c>
      <c r="E422">
        <v>0.30537049999999999</v>
      </c>
      <c r="F422" t="s">
        <v>39</v>
      </c>
      <c r="G422">
        <v>-337.96460000000002</v>
      </c>
      <c r="H422" s="1">
        <v>-1.355556E-6</v>
      </c>
      <c r="I422">
        <v>371.4957</v>
      </c>
      <c r="J422">
        <v>-343.19099999999997</v>
      </c>
      <c r="K422">
        <v>1.108716</v>
      </c>
      <c r="L422">
        <v>367.6687</v>
      </c>
      <c r="M422">
        <v>0.99978940000000005</v>
      </c>
      <c r="N422">
        <v>0</v>
      </c>
      <c r="O422">
        <v>1.9326079999999999E-2</v>
      </c>
      <c r="P422">
        <v>0.9898285</v>
      </c>
      <c r="Q422">
        <v>3.3393699999999998E-2</v>
      </c>
      <c r="R422">
        <v>0.13829159999999999</v>
      </c>
      <c r="S422">
        <v>2.7818299999999998</v>
      </c>
      <c r="T422">
        <v>-0.55555659999999996</v>
      </c>
      <c r="U422">
        <v>1.920715</v>
      </c>
      <c r="V422">
        <v>-0.1191976</v>
      </c>
      <c r="W422">
        <v>4.0072030000000002E-2</v>
      </c>
      <c r="X422">
        <v>0.99206159999999999</v>
      </c>
      <c r="Y422">
        <v>-0.54513630000000002</v>
      </c>
      <c r="Z422">
        <v>4.5333140000000001E-2</v>
      </c>
      <c r="AA422">
        <v>0.83712089999999995</v>
      </c>
      <c r="AB422">
        <v>64</v>
      </c>
      <c r="AC422">
        <v>5.2263999999999502</v>
      </c>
      <c r="AD422">
        <v>-1.1087173555559999</v>
      </c>
      <c r="AE422">
        <v>3.8269999999999902</v>
      </c>
      <c r="AF422">
        <v>-3.6192509185847102</v>
      </c>
      <c r="AG422">
        <v>-1.1087173555559999</v>
      </c>
      <c r="AH422">
        <v>5.1485593134184704</v>
      </c>
      <c r="AI422">
        <v>99.991386876541199</v>
      </c>
      <c r="AJ422">
        <v>125.10583093056501</v>
      </c>
      <c r="AK422">
        <v>6.3902968937268803</v>
      </c>
    </row>
    <row r="423" spans="1:37" x14ac:dyDescent="0.2">
      <c r="A423" t="str">
        <f>"20200111154036227"</f>
        <v>20200111154036227</v>
      </c>
      <c r="B423" t="str">
        <f>"1578728436216524"</f>
        <v>1578728436216524</v>
      </c>
      <c r="C423" t="s">
        <v>37</v>
      </c>
      <c r="D423">
        <v>4.9839349999999998</v>
      </c>
      <c r="E423">
        <v>0.30546059999999903</v>
      </c>
      <c r="F423" t="s">
        <v>39</v>
      </c>
      <c r="G423">
        <v>-337.63740000000001</v>
      </c>
      <c r="H423" s="1">
        <v>-1.4981779999999999E-6</v>
      </c>
      <c r="I423">
        <v>371.50420000000003</v>
      </c>
      <c r="J423">
        <v>-342.87790000000001</v>
      </c>
      <c r="K423">
        <v>1.1087119999999999</v>
      </c>
      <c r="L423">
        <v>367.67469999999997</v>
      </c>
      <c r="M423">
        <v>0.9997857</v>
      </c>
      <c r="N423">
        <v>0</v>
      </c>
      <c r="O423">
        <v>1.95097999999999E-2</v>
      </c>
      <c r="P423">
        <v>0.98980000000000001</v>
      </c>
      <c r="Q423">
        <v>3.3429750000000001E-2</v>
      </c>
      <c r="R423">
        <v>0.1384859</v>
      </c>
      <c r="S423">
        <v>2.7811889999999999</v>
      </c>
      <c r="T423">
        <v>-0.55522559999999999</v>
      </c>
      <c r="U423">
        <v>1.92077599999999</v>
      </c>
      <c r="V423">
        <v>-0.1192101</v>
      </c>
      <c r="W423">
        <v>4.0121579999999997E-2</v>
      </c>
      <c r="X423">
        <v>0.992058</v>
      </c>
      <c r="Y423">
        <v>-0.54509479999999999</v>
      </c>
      <c r="Z423">
        <v>4.5278279999999997E-2</v>
      </c>
      <c r="AA423">
        <v>0.83715090000000003</v>
      </c>
      <c r="AB423">
        <v>64</v>
      </c>
      <c r="AC423">
        <v>5.2404999999999902</v>
      </c>
      <c r="AD423">
        <v>-1.108713498178</v>
      </c>
      <c r="AE423">
        <v>3.8295000000000501</v>
      </c>
      <c r="AF423">
        <v>-3.62087443042501</v>
      </c>
      <c r="AG423">
        <v>-1.108713498178</v>
      </c>
      <c r="AH423">
        <v>5.1635504109547901</v>
      </c>
      <c r="AI423">
        <v>99.970857443028905</v>
      </c>
      <c r="AJ423">
        <v>125.039573212674</v>
      </c>
      <c r="AK423">
        <v>6.4032983772755001</v>
      </c>
    </row>
    <row r="424" spans="1:37" x14ac:dyDescent="0.2">
      <c r="A424" t="str">
        <f>"20200111154036237"</f>
        <v>20200111154036237</v>
      </c>
      <c r="B424" t="str">
        <f>"1578728436227261"</f>
        <v>1578728436227261</v>
      </c>
      <c r="C424" t="s">
        <v>37</v>
      </c>
      <c r="D424">
        <v>4.987838</v>
      </c>
      <c r="E424">
        <v>0.30559500000000001</v>
      </c>
      <c r="F424" t="s">
        <v>39</v>
      </c>
      <c r="G424">
        <v>-337.30860000000001</v>
      </c>
      <c r="H424" s="1">
        <v>-1.6436250000000001E-6</v>
      </c>
      <c r="I424">
        <v>371.52069999999998</v>
      </c>
      <c r="J424">
        <v>-342.5634</v>
      </c>
      <c r="K424">
        <v>1.1087119999999999</v>
      </c>
      <c r="L424">
        <v>367.68079999999998</v>
      </c>
      <c r="M424">
        <v>0.9997819</v>
      </c>
      <c r="N424">
        <v>0</v>
      </c>
      <c r="O424">
        <v>1.9694239999999998E-2</v>
      </c>
      <c r="P424">
        <v>0.98973519999999904</v>
      </c>
      <c r="Q424">
        <v>3.3800589999999998E-2</v>
      </c>
      <c r="R424">
        <v>0.1388588</v>
      </c>
      <c r="S424">
        <v>2.7809140000000001</v>
      </c>
      <c r="T424">
        <v>-0.55360279999999995</v>
      </c>
      <c r="U424">
        <v>1.92041</v>
      </c>
      <c r="V424">
        <v>-0.119401299999999</v>
      </c>
      <c r="W424">
        <v>4.0505109999999997E-2</v>
      </c>
      <c r="X424">
        <v>0.99201949999999905</v>
      </c>
      <c r="Y424">
        <v>-0.54494860000000001</v>
      </c>
      <c r="Z424">
        <v>4.5107120000000001E-2</v>
      </c>
      <c r="AA424">
        <v>0.83725519999999998</v>
      </c>
      <c r="AB424">
        <v>64</v>
      </c>
      <c r="AC424">
        <v>5.2547999999999799</v>
      </c>
      <c r="AD424">
        <v>-1.108713643625</v>
      </c>
      <c r="AE424">
        <v>3.8399000000000001</v>
      </c>
      <c r="AF424">
        <v>-3.6303097852589601</v>
      </c>
      <c r="AG424">
        <v>-1.108713643625</v>
      </c>
      <c r="AH424">
        <v>5.1791059428685804</v>
      </c>
      <c r="AI424">
        <v>99.942811840055498</v>
      </c>
      <c r="AJ424">
        <v>125.028649555285</v>
      </c>
      <c r="AK424">
        <v>6.42117850927412</v>
      </c>
    </row>
    <row r="425" spans="1:37" x14ac:dyDescent="0.2">
      <c r="A425" t="str">
        <f>"20200111154036247"</f>
        <v>20200111154036247</v>
      </c>
      <c r="B425" t="str">
        <f>"1578728436237020"</f>
        <v>1578728436237020</v>
      </c>
      <c r="C425" t="s">
        <v>37</v>
      </c>
      <c r="D425">
        <v>4.988391</v>
      </c>
      <c r="E425">
        <v>0.30572329999999998</v>
      </c>
      <c r="F425" t="s">
        <v>39</v>
      </c>
      <c r="G425">
        <v>-336.9769</v>
      </c>
      <c r="H425" s="1">
        <v>-1.790829E-6</v>
      </c>
      <c r="I425">
        <v>371.53919999999999</v>
      </c>
      <c r="J425">
        <v>-342.27949999999998</v>
      </c>
      <c r="K425">
        <v>1.1087149999999999</v>
      </c>
      <c r="L425">
        <v>367.68630000000002</v>
      </c>
      <c r="M425">
        <v>0.99977859999999996</v>
      </c>
      <c r="N425">
        <v>0</v>
      </c>
      <c r="O425">
        <v>1.986023E-2</v>
      </c>
      <c r="P425">
        <v>0.98971430000000005</v>
      </c>
      <c r="Q425">
        <v>3.3741979999999998E-2</v>
      </c>
      <c r="R425">
        <v>0.13902239999999999</v>
      </c>
      <c r="S425">
        <v>2.7804869999999999</v>
      </c>
      <c r="T425">
        <v>-0.55181440000000004</v>
      </c>
      <c r="U425">
        <v>1.92038</v>
      </c>
      <c r="V425">
        <v>-0.11940050000000001</v>
      </c>
      <c r="W425">
        <v>4.047034E-2</v>
      </c>
      <c r="X425">
        <v>0.99202099999999904</v>
      </c>
      <c r="Y425">
        <v>-0.54491000000000001</v>
      </c>
      <c r="Z425">
        <v>4.4936360000000002E-2</v>
      </c>
      <c r="AA425">
        <v>0.83728959999999997</v>
      </c>
      <c r="AB425">
        <v>64</v>
      </c>
      <c r="AC425">
        <v>5.3025999999999804</v>
      </c>
      <c r="AD425">
        <v>-1.1087167908290001</v>
      </c>
      <c r="AE425">
        <v>3.8528999999999698</v>
      </c>
      <c r="AF425">
        <v>-3.64260340526844</v>
      </c>
      <c r="AG425">
        <v>-1.1087167908290001</v>
      </c>
      <c r="AH425">
        <v>5.2284767189117698</v>
      </c>
      <c r="AI425">
        <v>99.870170353861894</v>
      </c>
      <c r="AJ425">
        <v>124.864363589416</v>
      </c>
      <c r="AK425">
        <v>6.4679812376460797</v>
      </c>
    </row>
    <row r="426" spans="1:37" x14ac:dyDescent="0.2">
      <c r="A426" t="str">
        <f>"20200111154036259"</f>
        <v>20200111154036259</v>
      </c>
      <c r="B426" t="str">
        <f>"1578728436256541"</f>
        <v>1578728436256541</v>
      </c>
      <c r="C426" t="s">
        <v>37</v>
      </c>
      <c r="D426">
        <v>4.9805549999999998</v>
      </c>
      <c r="E426">
        <v>0.30591760000000001</v>
      </c>
      <c r="F426" t="s">
        <v>39</v>
      </c>
      <c r="G426">
        <v>-336.68610000000001</v>
      </c>
      <c r="H426" s="1">
        <v>-1.91814199999999E-6</v>
      </c>
      <c r="I426">
        <v>371.54880000000003</v>
      </c>
      <c r="J426">
        <v>-341.9384</v>
      </c>
      <c r="K426">
        <v>1.1087209999999901</v>
      </c>
      <c r="L426">
        <v>367.69299999999998</v>
      </c>
      <c r="M426">
        <v>0.9997743</v>
      </c>
      <c r="N426">
        <v>0</v>
      </c>
      <c r="O426">
        <v>2.0059549999999999E-2</v>
      </c>
      <c r="P426">
        <v>0.98967510000000003</v>
      </c>
      <c r="Q426">
        <v>3.3688969999999999E-2</v>
      </c>
      <c r="R426">
        <v>0.13931479999999999</v>
      </c>
      <c r="S426">
        <v>2.78027299999999</v>
      </c>
      <c r="T426">
        <v>-0.55108869999999999</v>
      </c>
      <c r="U426">
        <v>1.919861</v>
      </c>
      <c r="V426">
        <v>-0.11949609999999999</v>
      </c>
      <c r="W426">
        <v>4.0459380000000003E-2</v>
      </c>
      <c r="X426">
        <v>0.9920099</v>
      </c>
      <c r="Y426">
        <v>-0.54469040000000002</v>
      </c>
      <c r="Z426">
        <v>4.4828199999999999E-2</v>
      </c>
      <c r="AA426">
        <v>0.83743829999999997</v>
      </c>
      <c r="AB426">
        <v>64</v>
      </c>
      <c r="AC426">
        <v>5.2522999999999902</v>
      </c>
      <c r="AD426">
        <v>-1.10872291814199</v>
      </c>
      <c r="AE426">
        <v>3.8557999999999799</v>
      </c>
      <c r="AF426">
        <v>-3.6441452312857798</v>
      </c>
      <c r="AG426">
        <v>-1.10872291814199</v>
      </c>
      <c r="AH426">
        <v>5.1786411997203601</v>
      </c>
      <c r="AI426">
        <v>99.931241675101404</v>
      </c>
      <c r="AJ426">
        <v>125.13357325406299</v>
      </c>
      <c r="AK426">
        <v>6.4286379312695301</v>
      </c>
    </row>
    <row r="427" spans="1:37" x14ac:dyDescent="0.2">
      <c r="A427" t="str">
        <f>"20200111154036270"</f>
        <v>20200111154036270</v>
      </c>
      <c r="B427" t="str">
        <f>"1578728436266300"</f>
        <v>1578728436266300</v>
      </c>
      <c r="C427" t="s">
        <v>37</v>
      </c>
      <c r="D427">
        <v>4.9936470000000002</v>
      </c>
      <c r="E427">
        <v>0.30601739999999999</v>
      </c>
      <c r="F427" t="s">
        <v>39</v>
      </c>
      <c r="G427">
        <v>-336.33139999999997</v>
      </c>
      <c r="H427" s="1">
        <v>-2.0742290000000001E-6</v>
      </c>
      <c r="I427">
        <v>371.56349999999998</v>
      </c>
      <c r="J427">
        <v>-341.6361</v>
      </c>
      <c r="K427">
        <v>1.108741</v>
      </c>
      <c r="L427">
        <v>367.69900000000001</v>
      </c>
      <c r="M427">
        <v>0.99977019999999905</v>
      </c>
      <c r="N427">
        <v>0</v>
      </c>
      <c r="O427">
        <v>2.0235599999999999E-2</v>
      </c>
      <c r="P427">
        <v>0.98965249999999905</v>
      </c>
      <c r="Q427">
        <v>3.3842079999999997E-2</v>
      </c>
      <c r="R427">
        <v>0.1394367</v>
      </c>
      <c r="S427">
        <v>2.7798769999999999</v>
      </c>
      <c r="T427">
        <v>-0.54967819999999901</v>
      </c>
      <c r="U427">
        <v>1.9189449999999999</v>
      </c>
      <c r="V427">
        <v>-0.11944439999999901</v>
      </c>
      <c r="W427">
        <v>4.0687599999999997E-2</v>
      </c>
      <c r="X427">
        <v>0.99200679999999997</v>
      </c>
      <c r="Y427">
        <v>-0.5444502</v>
      </c>
      <c r="Z427">
        <v>4.4671599999999999E-2</v>
      </c>
      <c r="AA427">
        <v>0.83760270000000003</v>
      </c>
      <c r="AB427">
        <v>64</v>
      </c>
      <c r="AC427">
        <v>5.30470000000002</v>
      </c>
      <c r="AD427">
        <v>-1.1087430742290001</v>
      </c>
      <c r="AE427">
        <v>3.8644999999999601</v>
      </c>
      <c r="AF427">
        <v>-3.65213257369295</v>
      </c>
      <c r="AG427">
        <v>-1.1087430742290001</v>
      </c>
      <c r="AH427">
        <v>5.23248430604552</v>
      </c>
      <c r="AI427">
        <v>99.857148908125197</v>
      </c>
      <c r="AJ427">
        <v>124.913999183152</v>
      </c>
      <c r="AK427">
        <v>6.4765944410231997</v>
      </c>
    </row>
    <row r="428" spans="1:37" x14ac:dyDescent="0.2">
      <c r="A428" t="str">
        <f>"20200111154036280"</f>
        <v>20200111154036280</v>
      </c>
      <c r="B428" t="str">
        <f>"1578728436277036"</f>
        <v>1578728436277036</v>
      </c>
      <c r="C428" t="s">
        <v>37</v>
      </c>
      <c r="D428">
        <v>4.9630349999999996</v>
      </c>
      <c r="E428">
        <v>0.30611459999999902</v>
      </c>
      <c r="F428" t="s">
        <v>39</v>
      </c>
      <c r="G428">
        <v>-336.01729999999998</v>
      </c>
      <c r="H428" s="1">
        <v>-2.2125029999999999E-6</v>
      </c>
      <c r="I428">
        <v>371.57679999999999</v>
      </c>
      <c r="J428">
        <v>-341.32080000000002</v>
      </c>
      <c r="K428">
        <v>1.1087629999999999</v>
      </c>
      <c r="L428">
        <v>367.7054</v>
      </c>
      <c r="M428">
        <v>0.99976589999999999</v>
      </c>
      <c r="N428">
        <v>0</v>
      </c>
      <c r="O428">
        <v>2.0418550000000001E-2</v>
      </c>
      <c r="P428">
        <v>0.98966069999999995</v>
      </c>
      <c r="Q428">
        <v>3.3779410000000003E-2</v>
      </c>
      <c r="R428">
        <v>0.13939509999999999</v>
      </c>
      <c r="S428">
        <v>2.779785</v>
      </c>
      <c r="T428">
        <v>-0.54851759999999905</v>
      </c>
      <c r="U428">
        <v>1.9184270000000001</v>
      </c>
      <c r="V428">
        <v>-0.11922139999999901</v>
      </c>
      <c r="W428">
        <v>4.0722380000000002E-2</v>
      </c>
      <c r="X428">
        <v>0.99203220000000003</v>
      </c>
      <c r="Y428">
        <v>-0.54423759999999999</v>
      </c>
      <c r="Z428">
        <v>4.4530819999999999E-2</v>
      </c>
      <c r="AA428">
        <v>0.83774850000000001</v>
      </c>
      <c r="AB428">
        <v>64</v>
      </c>
      <c r="AC428">
        <v>5.3035000000000396</v>
      </c>
      <c r="AD428">
        <v>-1.1087652125030001</v>
      </c>
      <c r="AE428">
        <v>3.8713999999999902</v>
      </c>
      <c r="AF428">
        <v>-3.6579975553708501</v>
      </c>
      <c r="AG428">
        <v>-1.1087652125030001</v>
      </c>
      <c r="AH428">
        <v>5.2322541791077501</v>
      </c>
      <c r="AI428">
        <v>99.852543216548398</v>
      </c>
      <c r="AJ428">
        <v>124.958343718639</v>
      </c>
      <c r="AK428">
        <v>6.4797214605526401</v>
      </c>
    </row>
    <row r="429" spans="1:37" x14ac:dyDescent="0.2">
      <c r="A429" t="str">
        <f>"20200111154036292"</f>
        <v>20200111154036292</v>
      </c>
      <c r="B429" t="str">
        <f>"1578728436286796"</f>
        <v>1578728436286796</v>
      </c>
      <c r="C429" t="s">
        <v>37</v>
      </c>
      <c r="D429">
        <v>4.980658</v>
      </c>
      <c r="E429">
        <v>0.30622459999999901</v>
      </c>
      <c r="F429" t="s">
        <v>39</v>
      </c>
      <c r="G429">
        <v>-335.69549999999998</v>
      </c>
      <c r="H429" s="1">
        <v>-2.3528449999999999E-6</v>
      </c>
      <c r="I429">
        <v>371.58539999999999</v>
      </c>
      <c r="J429">
        <v>-341.01859999999999</v>
      </c>
      <c r="K429">
        <v>1.1088009999999999</v>
      </c>
      <c r="L429">
        <v>367.7115</v>
      </c>
      <c r="M429">
        <v>0.99976100000000001</v>
      </c>
      <c r="N429">
        <v>0</v>
      </c>
      <c r="O429">
        <v>2.0593460000000001E-2</v>
      </c>
      <c r="P429">
        <v>0.9896353</v>
      </c>
      <c r="Q429">
        <v>3.3660349999999999E-2</v>
      </c>
      <c r="R429">
        <v>0.13960439999999999</v>
      </c>
      <c r="S429">
        <v>2.7799680000000002</v>
      </c>
      <c r="T429">
        <v>-0.54792969999999996</v>
      </c>
      <c r="U429">
        <v>1.9174500000000001</v>
      </c>
      <c r="V429">
        <v>-0.11925769999999999</v>
      </c>
      <c r="W429">
        <v>4.0756210000000001E-2</v>
      </c>
      <c r="X429">
        <v>0.99202649999999903</v>
      </c>
      <c r="Y429">
        <v>-0.54388729999999996</v>
      </c>
      <c r="Z429">
        <v>4.4423549999999999E-2</v>
      </c>
      <c r="AA429">
        <v>0.83798159999999899</v>
      </c>
      <c r="AB429">
        <v>64</v>
      </c>
      <c r="AC429">
        <v>5.3231000000000099</v>
      </c>
      <c r="AD429">
        <v>-1.1088033528450001</v>
      </c>
      <c r="AE429">
        <v>3.8738999999999901</v>
      </c>
      <c r="AF429">
        <v>-3.6596456234744399</v>
      </c>
      <c r="AG429">
        <v>-1.1088033528450001</v>
      </c>
      <c r="AH429">
        <v>5.25275168948715</v>
      </c>
      <c r="AI429">
        <v>99.82608769318</v>
      </c>
      <c r="AJ429">
        <v>124.86531970145801</v>
      </c>
      <c r="AK429">
        <v>6.4972187338973004</v>
      </c>
    </row>
    <row r="430" spans="1:37" x14ac:dyDescent="0.2">
      <c r="A430" t="str">
        <f>"20200111154036304"</f>
        <v>20200111154036304</v>
      </c>
      <c r="B430" t="str">
        <f>"1578728436296556"</f>
        <v>1578728436296556</v>
      </c>
      <c r="C430" t="s">
        <v>37</v>
      </c>
      <c r="D430">
        <v>5.0085069999999998</v>
      </c>
      <c r="E430">
        <v>0.30632619999999999</v>
      </c>
      <c r="F430" t="s">
        <v>39</v>
      </c>
      <c r="G430">
        <v>-335.39800000000002</v>
      </c>
      <c r="H430" s="1">
        <v>-2.481242E-6</v>
      </c>
      <c r="I430">
        <v>371.58839999999998</v>
      </c>
      <c r="J430">
        <v>-340.66699999999997</v>
      </c>
      <c r="K430">
        <v>1.108843</v>
      </c>
      <c r="L430">
        <v>367.71859999999998</v>
      </c>
      <c r="M430">
        <v>0.99975539999999996</v>
      </c>
      <c r="N430">
        <v>0</v>
      </c>
      <c r="O430">
        <v>2.07969E-2</v>
      </c>
      <c r="P430">
        <v>0.98968239999999996</v>
      </c>
      <c r="Q430">
        <v>3.323425E-2</v>
      </c>
      <c r="R430">
        <v>0.13937060000000001</v>
      </c>
      <c r="S430">
        <v>2.779633</v>
      </c>
      <c r="T430">
        <v>-0.54834959999999999</v>
      </c>
      <c r="U430">
        <v>1.9173279999999999</v>
      </c>
      <c r="V430">
        <v>-0.118820699999999</v>
      </c>
      <c r="W430">
        <v>4.053085E-2</v>
      </c>
      <c r="X430">
        <v>0.99208809999999903</v>
      </c>
      <c r="Y430">
        <v>-0.54373280000000002</v>
      </c>
      <c r="Z430">
        <v>4.4412430000000003E-2</v>
      </c>
      <c r="AA430">
        <v>0.83808249999999995</v>
      </c>
      <c r="AB430">
        <v>64</v>
      </c>
      <c r="AC430">
        <v>5.2689999999999397</v>
      </c>
      <c r="AD430">
        <v>-1.1088454812420001</v>
      </c>
      <c r="AE430">
        <v>3.8697999999999899</v>
      </c>
      <c r="AF430">
        <v>-3.65425044009051</v>
      </c>
      <c r="AG430">
        <v>-1.1088454812420001</v>
      </c>
      <c r="AH430">
        <v>5.1987768023250904</v>
      </c>
      <c r="AI430">
        <v>99.898178388930504</v>
      </c>
      <c r="AJ430">
        <v>125.103606570243</v>
      </c>
      <c r="AK430">
        <v>6.4506096472012704</v>
      </c>
    </row>
    <row r="431" spans="1:37" x14ac:dyDescent="0.2">
      <c r="A431" t="str">
        <f>"20200111154036315"</f>
        <v>20200111154036315</v>
      </c>
      <c r="B431" t="str">
        <f>"1578728436306316"</f>
        <v>1578728436306316</v>
      </c>
      <c r="C431" t="s">
        <v>37</v>
      </c>
      <c r="D431">
        <v>4.9791059999999998</v>
      </c>
      <c r="E431">
        <v>0.30636009999999902</v>
      </c>
      <c r="F431" t="s">
        <v>39</v>
      </c>
      <c r="G431">
        <v>-335.05970000000002</v>
      </c>
      <c r="H431" s="1">
        <v>-2.6248400000000001E-6</v>
      </c>
      <c r="I431">
        <v>371.58249999999998</v>
      </c>
      <c r="J431">
        <v>-340.33580000000001</v>
      </c>
      <c r="K431">
        <v>1.1089069999999901</v>
      </c>
      <c r="L431">
        <v>367.72550000000001</v>
      </c>
      <c r="M431">
        <v>0.9997492</v>
      </c>
      <c r="N431">
        <v>0</v>
      </c>
      <c r="O431">
        <v>2.0989440000000002E-2</v>
      </c>
      <c r="P431">
        <v>0.98969390000000002</v>
      </c>
      <c r="Q431">
        <v>3.279402E-2</v>
      </c>
      <c r="R431">
        <v>0.13939409999999999</v>
      </c>
      <c r="S431">
        <v>2.7799990000000001</v>
      </c>
      <c r="T431">
        <v>-0.54973079999999996</v>
      </c>
      <c r="U431">
        <v>1.915619</v>
      </c>
      <c r="V431">
        <v>-0.1186536</v>
      </c>
      <c r="W431">
        <v>4.0360279999999998E-2</v>
      </c>
      <c r="X431">
        <v>0.99211510000000003</v>
      </c>
      <c r="Y431">
        <v>-0.54314609999999997</v>
      </c>
      <c r="Z431">
        <v>4.4438770000000002E-2</v>
      </c>
      <c r="AA431">
        <v>0.83846139999999902</v>
      </c>
      <c r="AB431">
        <v>64</v>
      </c>
      <c r="AC431">
        <v>5.27609999999998</v>
      </c>
      <c r="AD431">
        <v>-1.1089096248399899</v>
      </c>
      <c r="AE431">
        <v>3.85699999999997</v>
      </c>
      <c r="AF431">
        <v>-3.6405956765884002</v>
      </c>
      <c r="AG431">
        <v>-1.1089096248399899</v>
      </c>
      <c r="AH431">
        <v>5.2060206379466596</v>
      </c>
      <c r="AI431">
        <v>99.901653046033005</v>
      </c>
      <c r="AJ431">
        <v>124.965281930499</v>
      </c>
      <c r="AK431">
        <v>6.4487416074133099</v>
      </c>
    </row>
    <row r="432" spans="1:37" x14ac:dyDescent="0.2">
      <c r="A432" t="str">
        <f>"20200111154036325"</f>
        <v>20200111154036325</v>
      </c>
      <c r="B432" t="str">
        <f>"1578728436317051"</f>
        <v>1578728436317051</v>
      </c>
      <c r="C432" t="s">
        <v>37</v>
      </c>
      <c r="D432">
        <v>5.0298360000000004</v>
      </c>
      <c r="E432">
        <v>0.30641469999999998</v>
      </c>
      <c r="F432" t="s">
        <v>39</v>
      </c>
      <c r="G432">
        <v>-334.74829999999997</v>
      </c>
      <c r="H432" s="1">
        <v>-2.7563830000000002E-6</v>
      </c>
      <c r="I432">
        <v>371.57490000000001</v>
      </c>
      <c r="J432">
        <v>-340.03620000000001</v>
      </c>
      <c r="K432">
        <v>1.1089659999999999</v>
      </c>
      <c r="L432">
        <v>367.73169999999999</v>
      </c>
      <c r="M432">
        <v>0.99974359999999995</v>
      </c>
      <c r="N432">
        <v>0</v>
      </c>
      <c r="O432">
        <v>2.1161579999999999E-2</v>
      </c>
      <c r="P432">
        <v>0.98973580000000005</v>
      </c>
      <c r="Q432">
        <v>3.2601699999999997E-2</v>
      </c>
      <c r="R432">
        <v>0.13914199999999999</v>
      </c>
      <c r="S432">
        <v>2.77975499999999</v>
      </c>
      <c r="T432">
        <v>-0.55166890000000002</v>
      </c>
      <c r="U432">
        <v>1.9150700000000001</v>
      </c>
      <c r="V432">
        <v>-0.1182299</v>
      </c>
      <c r="W432">
        <v>4.0429840000000002E-2</v>
      </c>
      <c r="X432">
        <v>0.99216289999999996</v>
      </c>
      <c r="Y432">
        <v>-0.54288040000000004</v>
      </c>
      <c r="Z432">
        <v>4.454441E-2</v>
      </c>
      <c r="AA432">
        <v>0.83862780000000003</v>
      </c>
      <c r="AB432">
        <v>64</v>
      </c>
      <c r="AC432">
        <v>5.2879000000000298</v>
      </c>
      <c r="AD432">
        <v>-1.108968756383</v>
      </c>
      <c r="AE432">
        <v>3.8432000000000199</v>
      </c>
      <c r="AF432">
        <v>-3.62607831798864</v>
      </c>
      <c r="AG432">
        <v>-1.108968756383</v>
      </c>
      <c r="AH432">
        <v>5.2178782047303196</v>
      </c>
      <c r="AI432">
        <v>99.899993590694606</v>
      </c>
      <c r="AJ432">
        <v>124.796730906148</v>
      </c>
      <c r="AK432">
        <v>6.4501557058896397</v>
      </c>
    </row>
    <row r="433" spans="1:37" x14ac:dyDescent="0.2">
      <c r="A433" t="str">
        <f>"20200111154036335"</f>
        <v>20200111154036335</v>
      </c>
      <c r="B433" t="str">
        <f>"1578728436326812"</f>
        <v>1578728436326812</v>
      </c>
      <c r="C433" t="s">
        <v>37</v>
      </c>
      <c r="D433">
        <v>4.9477129999999896</v>
      </c>
      <c r="E433">
        <v>0.3064868</v>
      </c>
      <c r="F433" t="s">
        <v>39</v>
      </c>
      <c r="G433">
        <v>-334.44880000000001</v>
      </c>
      <c r="H433" s="1">
        <v>-2.8855409999999998E-6</v>
      </c>
      <c r="I433">
        <v>371.57740000000001</v>
      </c>
      <c r="J433">
        <v>-339.73399999999998</v>
      </c>
      <c r="K433">
        <v>1.1090309999999901</v>
      </c>
      <c r="L433">
        <v>367.73809999999997</v>
      </c>
      <c r="M433">
        <v>0.9997374</v>
      </c>
      <c r="N433">
        <v>0</v>
      </c>
      <c r="O433">
        <v>2.1329460000000001E-2</v>
      </c>
      <c r="P433">
        <v>0.98974340000000005</v>
      </c>
      <c r="Q433">
        <v>3.2279740000000001E-2</v>
      </c>
      <c r="R433">
        <v>0.1391626</v>
      </c>
      <c r="S433">
        <v>2.78027299999999</v>
      </c>
      <c r="T433">
        <v>-0.55181720000000001</v>
      </c>
      <c r="U433">
        <v>1.91363499999999</v>
      </c>
      <c r="V433">
        <v>-0.118084199999999</v>
      </c>
      <c r="W433">
        <v>4.0421260000000001E-2</v>
      </c>
      <c r="X433">
        <v>0.99218050000000002</v>
      </c>
      <c r="Y433">
        <v>-0.54237869999999899</v>
      </c>
      <c r="Z433">
        <v>4.4480779999999998E-2</v>
      </c>
      <c r="AA433">
        <v>0.83895580000000003</v>
      </c>
      <c r="AB433">
        <v>64</v>
      </c>
      <c r="AC433">
        <v>5.2852000000000299</v>
      </c>
      <c r="AD433">
        <v>-1.10903388554099</v>
      </c>
      <c r="AE433">
        <v>3.8393000000000299</v>
      </c>
      <c r="AF433">
        <v>-3.6213169007383201</v>
      </c>
      <c r="AG433">
        <v>-1.10903388554099</v>
      </c>
      <c r="AH433">
        <v>5.2155652986311001</v>
      </c>
      <c r="AI433">
        <v>99.907618472135397</v>
      </c>
      <c r="AJ433">
        <v>124.773358761823</v>
      </c>
      <c r="AK433">
        <v>6.4456197249865799</v>
      </c>
    </row>
    <row r="434" spans="1:37" x14ac:dyDescent="0.2">
      <c r="A434" t="str">
        <f>"20200111154036347"</f>
        <v>20200111154036347</v>
      </c>
      <c r="B434" t="str">
        <f>"1578728436336572"</f>
        <v>1578728436336572</v>
      </c>
      <c r="C434" t="s">
        <v>37</v>
      </c>
      <c r="D434">
        <v>4.9866970000000004</v>
      </c>
      <c r="E434">
        <v>0.30654399999999998</v>
      </c>
      <c r="F434" t="s">
        <v>39</v>
      </c>
      <c r="G434">
        <v>-334.16559999999998</v>
      </c>
      <c r="H434" s="1">
        <v>-3.0050929999999998E-6</v>
      </c>
      <c r="I434">
        <v>371.57010000000002</v>
      </c>
      <c r="J434">
        <v>-339.42219999999998</v>
      </c>
      <c r="K434">
        <v>1.1090899999999999</v>
      </c>
      <c r="L434">
        <v>367.74470000000002</v>
      </c>
      <c r="M434">
        <v>0.99973109999999998</v>
      </c>
      <c r="N434">
        <v>0</v>
      </c>
      <c r="O434">
        <v>2.150291E-2</v>
      </c>
      <c r="P434">
        <v>0.98978670000000002</v>
      </c>
      <c r="Q434">
        <v>3.2055069999999998E-2</v>
      </c>
      <c r="R434">
        <v>0.13890569999999999</v>
      </c>
      <c r="S434">
        <v>2.7801209999999998</v>
      </c>
      <c r="T434">
        <v>-0.55369169999999901</v>
      </c>
      <c r="U434">
        <v>1.9131769999999999</v>
      </c>
      <c r="V434">
        <v>-0.1176548</v>
      </c>
      <c r="W434">
        <v>4.0488919999999998E-2</v>
      </c>
      <c r="X434">
        <v>0.99222880000000002</v>
      </c>
      <c r="Y434">
        <v>-0.54211940000000003</v>
      </c>
      <c r="Z434">
        <v>4.4579500000000001E-2</v>
      </c>
      <c r="AA434">
        <v>0.83911809999999998</v>
      </c>
      <c r="AB434">
        <v>64</v>
      </c>
      <c r="AC434">
        <v>5.2565999999999899</v>
      </c>
      <c r="AD434">
        <v>-1.1090930050929999</v>
      </c>
      <c r="AE434">
        <v>3.8254000000000001</v>
      </c>
      <c r="AF434">
        <v>-3.6065156961960199</v>
      </c>
      <c r="AG434">
        <v>-1.1090930050929999</v>
      </c>
      <c r="AH434">
        <v>5.1866924047819296</v>
      </c>
      <c r="AI434">
        <v>99.957563964740601</v>
      </c>
      <c r="AJ434">
        <v>124.812441554982</v>
      </c>
      <c r="AK434">
        <v>6.41395516531548</v>
      </c>
    </row>
    <row r="435" spans="1:37" x14ac:dyDescent="0.2">
      <c r="A435" t="str">
        <f>"20200111154036358"</f>
        <v>20200111154036358</v>
      </c>
      <c r="B435" t="str">
        <f>"1578728436346333"</f>
        <v>1578728436346333</v>
      </c>
      <c r="C435" t="s">
        <v>37</v>
      </c>
      <c r="D435">
        <v>4.9520349999999898</v>
      </c>
      <c r="E435">
        <v>0.30658279999999999</v>
      </c>
      <c r="F435" t="s">
        <v>39</v>
      </c>
      <c r="G435">
        <v>-333.8639</v>
      </c>
      <c r="H435" s="1">
        <v>-3.1333359999999999E-6</v>
      </c>
      <c r="I435">
        <v>371.56560000000002</v>
      </c>
      <c r="J435">
        <v>-339.09809999999999</v>
      </c>
      <c r="K435">
        <v>1.1091279999999999</v>
      </c>
      <c r="L435">
        <v>367.75170000000003</v>
      </c>
      <c r="M435">
        <v>0.99972490000000003</v>
      </c>
      <c r="N435">
        <v>0</v>
      </c>
      <c r="O435">
        <v>2.1682920000000001E-2</v>
      </c>
      <c r="P435">
        <v>0.98981889999999995</v>
      </c>
      <c r="Q435">
        <v>3.191654E-2</v>
      </c>
      <c r="R435">
        <v>0.1387072</v>
      </c>
      <c r="S435">
        <v>2.78064</v>
      </c>
      <c r="T435">
        <v>-0.55482949999999998</v>
      </c>
      <c r="U435">
        <v>1.9114689999999901</v>
      </c>
      <c r="V435">
        <v>-0.1172772</v>
      </c>
      <c r="W435">
        <v>4.0597080000000001E-2</v>
      </c>
      <c r="X435">
        <v>0.99226909999999902</v>
      </c>
      <c r="Y435">
        <v>-0.54152719999999999</v>
      </c>
      <c r="Z435">
        <v>4.4584749999999999E-2</v>
      </c>
      <c r="AA435">
        <v>0.83950020000000003</v>
      </c>
      <c r="AB435">
        <v>64</v>
      </c>
      <c r="AC435">
        <v>5.23419999999998</v>
      </c>
      <c r="AD435">
        <v>-1.1091311333360001</v>
      </c>
      <c r="AE435">
        <v>3.8138999999999799</v>
      </c>
      <c r="AF435">
        <v>-3.5940918802042101</v>
      </c>
      <c r="AG435">
        <v>-1.1091311333360001</v>
      </c>
      <c r="AH435">
        <v>5.1642038894349298</v>
      </c>
      <c r="AI435">
        <v>99.997531698210807</v>
      </c>
      <c r="AJ435">
        <v>124.836466588664</v>
      </c>
      <c r="AK435">
        <v>6.3887925405306296</v>
      </c>
    </row>
    <row r="436" spans="1:37" x14ac:dyDescent="0.2">
      <c r="A436" t="str">
        <f>"20200111154036369"</f>
        <v>20200111154036369</v>
      </c>
      <c r="B436" t="str">
        <f>"1578728436366828"</f>
        <v>1578728436366828</v>
      </c>
      <c r="C436" t="s">
        <v>37</v>
      </c>
      <c r="D436">
        <v>4.9547019999999904</v>
      </c>
      <c r="E436">
        <v>0.30671769999999998</v>
      </c>
      <c r="F436" t="s">
        <v>39</v>
      </c>
      <c r="G436">
        <v>-333.5521</v>
      </c>
      <c r="H436" s="1">
        <v>-3.2660969999999899E-6</v>
      </c>
      <c r="I436">
        <v>371.56189999999998</v>
      </c>
      <c r="J436">
        <v>-338.77600000000001</v>
      </c>
      <c r="K436">
        <v>1.1091629999999999</v>
      </c>
      <c r="L436">
        <v>367.7586</v>
      </c>
      <c r="M436">
        <v>0.99971929999999998</v>
      </c>
      <c r="N436">
        <v>0</v>
      </c>
      <c r="O436">
        <v>2.1858570000000001E-2</v>
      </c>
      <c r="P436">
        <v>0.98986969999999996</v>
      </c>
      <c r="Q436">
        <v>3.1858539999999998E-2</v>
      </c>
      <c r="R436">
        <v>0.13835919999999999</v>
      </c>
      <c r="S436">
        <v>2.78106699999999</v>
      </c>
      <c r="T436">
        <v>-0.55617759999999905</v>
      </c>
      <c r="U436">
        <v>1.910706</v>
      </c>
      <c r="V436">
        <v>-0.1167545</v>
      </c>
      <c r="W436">
        <v>4.075049E-2</v>
      </c>
      <c r="X436">
        <v>0.9923244</v>
      </c>
      <c r="Y436">
        <v>-0.54113820000000001</v>
      </c>
      <c r="Z436">
        <v>4.4622710000000003E-2</v>
      </c>
      <c r="AA436">
        <v>0.83974889999999902</v>
      </c>
      <c r="AB436">
        <v>64</v>
      </c>
      <c r="AC436">
        <v>5.2239000000000102</v>
      </c>
      <c r="AD436">
        <v>-1.1091662660969901</v>
      </c>
      <c r="AE436">
        <v>3.8032999999999699</v>
      </c>
      <c r="AF436">
        <v>-3.5826402551849799</v>
      </c>
      <c r="AG436">
        <v>-1.1091662660969901</v>
      </c>
      <c r="AH436">
        <v>5.1539340040084696</v>
      </c>
      <c r="AI436">
        <v>100.02120371602901</v>
      </c>
      <c r="AJ436">
        <v>124.80421857487001</v>
      </c>
      <c r="AK436">
        <v>6.3740565358015298</v>
      </c>
    </row>
    <row r="437" spans="1:37" x14ac:dyDescent="0.2">
      <c r="A437" t="str">
        <f>"20200111154036380"</f>
        <v>20200111154036380</v>
      </c>
      <c r="B437" t="str">
        <f>"1578728436376588"</f>
        <v>1578728436376588</v>
      </c>
      <c r="C437" t="s">
        <v>37</v>
      </c>
      <c r="D437">
        <v>4.9265080000000001</v>
      </c>
      <c r="E437">
        <v>0.30671599999999999</v>
      </c>
      <c r="F437" t="s">
        <v>39</v>
      </c>
      <c r="G437">
        <v>-333.23630000000003</v>
      </c>
      <c r="H437" s="1">
        <v>-3.40084099999999E-6</v>
      </c>
      <c r="I437">
        <v>371.55919999999998</v>
      </c>
      <c r="J437">
        <v>-338.46289999999999</v>
      </c>
      <c r="K437">
        <v>1.1091789999999999</v>
      </c>
      <c r="L437">
        <v>367.76549999999997</v>
      </c>
      <c r="M437">
        <v>0.99971379999999999</v>
      </c>
      <c r="N437">
        <v>0</v>
      </c>
      <c r="O437">
        <v>2.202747E-2</v>
      </c>
      <c r="P437">
        <v>0.98993299999999995</v>
      </c>
      <c r="Q437">
        <v>3.1824779999999997E-2</v>
      </c>
      <c r="R437">
        <v>0.13791339999999999</v>
      </c>
      <c r="S437">
        <v>2.7818299999999998</v>
      </c>
      <c r="T437">
        <v>-0.5569752</v>
      </c>
      <c r="U437">
        <v>1.9085080000000001</v>
      </c>
      <c r="V437">
        <v>-0.11614049999999999</v>
      </c>
      <c r="W437">
        <v>4.089914E-2</v>
      </c>
      <c r="X437">
        <v>0.99239040000000001</v>
      </c>
      <c r="Y437">
        <v>-0.54043009999999903</v>
      </c>
      <c r="Z437">
        <v>4.4590779999999997E-2</v>
      </c>
      <c r="AA437">
        <v>0.84020649999999997</v>
      </c>
      <c r="AB437">
        <v>64</v>
      </c>
      <c r="AC437">
        <v>5.2265999999999604</v>
      </c>
      <c r="AD437">
        <v>-1.1091824008409901</v>
      </c>
      <c r="AE437">
        <v>3.7936999999999999</v>
      </c>
      <c r="AF437">
        <v>-3.5722759169157801</v>
      </c>
      <c r="AG437">
        <v>-1.1091824008409901</v>
      </c>
      <c r="AH437">
        <v>5.1567934932023798</v>
      </c>
      <c r="AI437">
        <v>100.026917461412</v>
      </c>
      <c r="AJ437">
        <v>124.711584882249</v>
      </c>
      <c r="AK437">
        <v>6.37055413260466</v>
      </c>
    </row>
    <row r="438" spans="1:37" x14ac:dyDescent="0.2">
      <c r="A438" t="str">
        <f>"20200111154036392"</f>
        <v>20200111154036392</v>
      </c>
      <c r="B438" t="str">
        <f>"1578728436387325"</f>
        <v>1578728436387325</v>
      </c>
      <c r="C438" t="s">
        <v>37</v>
      </c>
      <c r="D438">
        <v>4.9705089999999998</v>
      </c>
      <c r="E438">
        <v>0.30676199999999998</v>
      </c>
      <c r="F438" t="s">
        <v>39</v>
      </c>
      <c r="G438">
        <v>-332.92250000000001</v>
      </c>
      <c r="H438" s="1">
        <v>-3.5366320000000002E-6</v>
      </c>
      <c r="I438">
        <v>371.56360000000001</v>
      </c>
      <c r="J438">
        <v>-338.13279999999997</v>
      </c>
      <c r="K438">
        <v>1.1091949999999999</v>
      </c>
      <c r="L438">
        <v>367.77269999999999</v>
      </c>
      <c r="M438">
        <v>0.99970820000000005</v>
      </c>
      <c r="N438">
        <v>0</v>
      </c>
      <c r="O438">
        <v>2.2205799999999901E-2</v>
      </c>
      <c r="P438">
        <v>0.98996790000000001</v>
      </c>
      <c r="Q438">
        <v>3.1324789999999998E-2</v>
      </c>
      <c r="R438">
        <v>0.13777690000000001</v>
      </c>
      <c r="S438">
        <v>2.7825929999999999</v>
      </c>
      <c r="T438">
        <v>-0.55706599999999995</v>
      </c>
      <c r="U438">
        <v>1.907562</v>
      </c>
      <c r="V438">
        <v>-0.1158259</v>
      </c>
      <c r="W438">
        <v>4.0581829999999999E-2</v>
      </c>
      <c r="X438">
        <v>0.99244019999999999</v>
      </c>
      <c r="Y438">
        <v>-0.53998679999999999</v>
      </c>
      <c r="Z438">
        <v>4.4520039999999997E-2</v>
      </c>
      <c r="AA438">
        <v>0.840495199999999</v>
      </c>
      <c r="AB438">
        <v>64</v>
      </c>
      <c r="AC438">
        <v>5.2102999999999602</v>
      </c>
      <c r="AD438">
        <v>-1.1091985366320001</v>
      </c>
      <c r="AE438">
        <v>3.7909000000000201</v>
      </c>
      <c r="AF438">
        <v>-3.5685140598257998</v>
      </c>
      <c r="AG438">
        <v>-1.1091985366320001</v>
      </c>
      <c r="AH438">
        <v>5.14085811269182</v>
      </c>
      <c r="AI438">
        <v>100.05097964225401</v>
      </c>
      <c r="AJ438">
        <v>124.766353428088</v>
      </c>
      <c r="AK438">
        <v>6.3555515986946602</v>
      </c>
    </row>
    <row r="439" spans="1:37" x14ac:dyDescent="0.2">
      <c r="A439" t="str">
        <f>"20200111154036402"</f>
        <v>20200111154036402</v>
      </c>
      <c r="B439" t="str">
        <f>"1578728436397084"</f>
        <v>1578728436397084</v>
      </c>
      <c r="C439" t="s">
        <v>37</v>
      </c>
      <c r="D439">
        <v>4.9669869999999996</v>
      </c>
      <c r="E439">
        <v>0.30667549999999999</v>
      </c>
      <c r="F439" t="s">
        <v>39</v>
      </c>
      <c r="G439">
        <v>-332.60820000000001</v>
      </c>
      <c r="H439" s="1">
        <v>-3.67006799999999E-6</v>
      </c>
      <c r="I439">
        <v>371.5582</v>
      </c>
      <c r="J439">
        <v>-337.80759999999998</v>
      </c>
      <c r="K439">
        <v>1.10921</v>
      </c>
      <c r="L439">
        <v>367.78</v>
      </c>
      <c r="M439">
        <v>0.9997026</v>
      </c>
      <c r="N439">
        <v>0</v>
      </c>
      <c r="O439">
        <v>2.2381740000000001E-2</v>
      </c>
      <c r="P439">
        <v>0.98997400000000002</v>
      </c>
      <c r="Q439">
        <v>3.1041349999999999E-2</v>
      </c>
      <c r="R439">
        <v>0.1377979</v>
      </c>
      <c r="S439">
        <v>2.782715</v>
      </c>
      <c r="T439">
        <v>-0.55868469999999903</v>
      </c>
      <c r="U439">
        <v>1.906738</v>
      </c>
      <c r="V439">
        <v>-0.115671699999999</v>
      </c>
      <c r="W439">
        <v>4.0475579999999997E-2</v>
      </c>
      <c r="X439">
        <v>0.99246250000000003</v>
      </c>
      <c r="Y439">
        <v>-0.53961939999999997</v>
      </c>
      <c r="Z439">
        <v>4.4584520000000002E-2</v>
      </c>
      <c r="AA439">
        <v>0.84072769999999997</v>
      </c>
      <c r="AB439">
        <v>64</v>
      </c>
      <c r="AC439">
        <v>5.1993999999999598</v>
      </c>
      <c r="AD439">
        <v>-1.109213670068</v>
      </c>
      <c r="AE439">
        <v>3.77820000000002</v>
      </c>
      <c r="AF439">
        <v>-3.5549926825877498</v>
      </c>
      <c r="AG439">
        <v>-1.109213670068</v>
      </c>
      <c r="AH439">
        <v>5.1298733219168398</v>
      </c>
      <c r="AI439">
        <v>100.077508448342</v>
      </c>
      <c r="AJ439">
        <v>124.72188736524799</v>
      </c>
      <c r="AK439">
        <v>6.3390794472093797</v>
      </c>
    </row>
    <row r="440" spans="1:37" x14ac:dyDescent="0.2">
      <c r="A440" t="str">
        <f>"20200111154036413"</f>
        <v>20200111154036413</v>
      </c>
      <c r="B440" t="str">
        <f>"1578728436406844"</f>
        <v>1578728436406844</v>
      </c>
      <c r="C440" t="s">
        <v>37</v>
      </c>
      <c r="D440">
        <v>5.5790369999999996</v>
      </c>
      <c r="E440">
        <v>0.30667549999999999</v>
      </c>
      <c r="F440" t="s">
        <v>39</v>
      </c>
      <c r="G440">
        <v>-332.28309999999999</v>
      </c>
      <c r="H440" s="1">
        <v>-3.8119369999999998E-6</v>
      </c>
      <c r="I440">
        <v>371.56729999999999</v>
      </c>
      <c r="J440">
        <v>-337.47199999999998</v>
      </c>
      <c r="K440">
        <v>1.1092229999999901</v>
      </c>
      <c r="L440">
        <v>367.78750000000002</v>
      </c>
      <c r="M440">
        <v>0.99969640000000004</v>
      </c>
      <c r="N440">
        <v>0</v>
      </c>
      <c r="O440">
        <v>2.2569619999999999E-2</v>
      </c>
      <c r="P440">
        <v>0.98997630000000003</v>
      </c>
      <c r="Q440">
        <v>3.052614E-2</v>
      </c>
      <c r="R440">
        <v>0.13789599999999999</v>
      </c>
      <c r="S440">
        <v>2.7823790000000002</v>
      </c>
      <c r="T440">
        <v>-0.55863369999999901</v>
      </c>
      <c r="U440">
        <v>1.90744</v>
      </c>
      <c r="V440">
        <v>-0.1155819</v>
      </c>
      <c r="W440">
        <v>4.0151119999999998E-2</v>
      </c>
      <c r="X440">
        <v>0.99248609999999904</v>
      </c>
      <c r="Y440">
        <v>-0.53965680000000005</v>
      </c>
      <c r="Z440">
        <v>4.4551710000000001E-2</v>
      </c>
      <c r="AA440">
        <v>0.84070549999999999</v>
      </c>
      <c r="AB440">
        <v>64</v>
      </c>
      <c r="AC440">
        <v>5.1888999999999896</v>
      </c>
      <c r="AD440">
        <v>-1.1092268119369999</v>
      </c>
      <c r="AE440">
        <v>3.7797999999999599</v>
      </c>
      <c r="AF440">
        <v>-3.5555673132069101</v>
      </c>
      <c r="AG440">
        <v>-1.1092268119369999</v>
      </c>
      <c r="AH440">
        <v>5.12003084576234</v>
      </c>
      <c r="AI440">
        <v>100.089912487444</v>
      </c>
      <c r="AJ440">
        <v>124.777758413756</v>
      </c>
      <c r="AK440">
        <v>6.3314420869674901</v>
      </c>
    </row>
    <row r="441" spans="1:37" x14ac:dyDescent="0.2">
      <c r="A441" t="str">
        <f>"20200111154036425"</f>
        <v>20200111154036425</v>
      </c>
      <c r="B441" t="str">
        <f>"1578728436416604"</f>
        <v>1578728436416604</v>
      </c>
      <c r="C441" t="s">
        <v>37</v>
      </c>
      <c r="D441">
        <v>5.2884979999999997</v>
      </c>
      <c r="E441">
        <v>0.34055069999999998</v>
      </c>
      <c r="F441" t="s">
        <v>39</v>
      </c>
      <c r="G441">
        <v>-331.95979999999997</v>
      </c>
      <c r="H441" s="1">
        <v>-3.9507839999999999E-6</v>
      </c>
      <c r="I441">
        <v>371.56790000000001</v>
      </c>
      <c r="J441">
        <v>-337.15320000000003</v>
      </c>
      <c r="K441">
        <v>1.1092360000000001</v>
      </c>
      <c r="L441">
        <v>367.79469999999998</v>
      </c>
      <c r="M441">
        <v>0.99969059999999899</v>
      </c>
      <c r="N441">
        <v>0</v>
      </c>
      <c r="O441">
        <v>2.274965E-2</v>
      </c>
      <c r="P441">
        <v>0.98993719999999996</v>
      </c>
      <c r="Q441">
        <v>3.041609E-2</v>
      </c>
      <c r="R441">
        <v>0.13820070000000001</v>
      </c>
      <c r="S441">
        <v>2.7818909999999999</v>
      </c>
      <c r="T441">
        <v>-0.55979060000000003</v>
      </c>
      <c r="U441">
        <v>1.90786699999999</v>
      </c>
      <c r="V441">
        <v>-0.1157088</v>
      </c>
      <c r="W441">
        <v>4.022307E-2</v>
      </c>
      <c r="X441">
        <v>0.99246840000000003</v>
      </c>
      <c r="Y441">
        <v>-0.53963539999999999</v>
      </c>
      <c r="Z441">
        <v>4.461296E-2</v>
      </c>
      <c r="AA441">
        <v>0.84071589999999996</v>
      </c>
      <c r="AB441">
        <v>64</v>
      </c>
      <c r="AC441">
        <v>5.1934000000000502</v>
      </c>
      <c r="AD441">
        <v>-1.1092399507840001</v>
      </c>
      <c r="AE441">
        <v>3.7732000000000299</v>
      </c>
      <c r="AF441">
        <v>-3.54812834680975</v>
      </c>
      <c r="AG441">
        <v>-1.1092399507840001</v>
      </c>
      <c r="AH441">
        <v>5.1248790162935096</v>
      </c>
      <c r="AI441">
        <v>100.090433341717</v>
      </c>
      <c r="AJ441">
        <v>124.696175171967</v>
      </c>
      <c r="AK441">
        <v>6.33119364460571</v>
      </c>
    </row>
    <row r="442" spans="1:37" x14ac:dyDescent="0.2">
      <c r="A442" t="str">
        <f>"20200111154036436"</f>
        <v>20200111154036436</v>
      </c>
      <c r="B442" t="str">
        <f>"1578728436426366"</f>
        <v>1578728436426366</v>
      </c>
      <c r="C442" t="s">
        <v>37</v>
      </c>
      <c r="D442">
        <v>5.0706739999999897</v>
      </c>
      <c r="E442">
        <v>0.35507620000000001</v>
      </c>
      <c r="F442" t="s">
        <v>39</v>
      </c>
      <c r="G442">
        <v>-330.78989999999999</v>
      </c>
      <c r="H442" s="1">
        <v>-4.343171E-6</v>
      </c>
      <c r="I442">
        <v>371.5102</v>
      </c>
      <c r="J442">
        <v>-336.83580000000001</v>
      </c>
      <c r="K442">
        <v>1.1092500000000001</v>
      </c>
      <c r="L442">
        <v>367.801999999999</v>
      </c>
      <c r="M442">
        <v>0.99968429999999997</v>
      </c>
      <c r="N442">
        <v>0</v>
      </c>
      <c r="O442">
        <v>2.2933749999999999E-2</v>
      </c>
      <c r="P442">
        <v>0.98992119999999995</v>
      </c>
      <c r="Q442">
        <v>3.02625999999999E-2</v>
      </c>
      <c r="R442">
        <v>0.1383482</v>
      </c>
      <c r="S442">
        <v>2.8160099999999999</v>
      </c>
      <c r="T442">
        <v>-0.490874799999999</v>
      </c>
      <c r="U442">
        <v>1.6442570000000001</v>
      </c>
      <c r="V442">
        <v>-0.1156737</v>
      </c>
      <c r="W442">
        <v>4.025546E-2</v>
      </c>
      <c r="X442">
        <v>0.9924712</v>
      </c>
      <c r="Y442">
        <v>-0.47917169999999998</v>
      </c>
      <c r="Z442">
        <v>3.4796380000000002E-2</v>
      </c>
      <c r="AA442">
        <v>0.87703120000000001</v>
      </c>
      <c r="AB442">
        <v>64</v>
      </c>
      <c r="AC442">
        <v>6.0459000000000103</v>
      </c>
      <c r="AD442">
        <v>-1.109254343171</v>
      </c>
      <c r="AE442">
        <v>3.7082000000000299</v>
      </c>
      <c r="AF442">
        <v>-3.4833579597437598</v>
      </c>
      <c r="AG442">
        <v>-1.109254343171</v>
      </c>
      <c r="AH442">
        <v>5.98301053625317</v>
      </c>
      <c r="AI442">
        <v>99.102768901258401</v>
      </c>
      <c r="AJ442">
        <v>120.208316258343</v>
      </c>
      <c r="AK442">
        <v>7.0114651072704097</v>
      </c>
    </row>
    <row r="443" spans="1:37" x14ac:dyDescent="0.2">
      <c r="A443" t="str">
        <f>"20200111154036447"</f>
        <v>20200111154036447</v>
      </c>
      <c r="B443" t="str">
        <f>"1578728436437100"</f>
        <v>1578728436437100</v>
      </c>
      <c r="C443" t="s">
        <v>37</v>
      </c>
      <c r="D443">
        <v>4.9907139999999997</v>
      </c>
      <c r="E443">
        <v>0.35507620000000001</v>
      </c>
      <c r="F443" t="s">
        <v>38</v>
      </c>
      <c r="G443">
        <v>-335.945999999999</v>
      </c>
      <c r="H443">
        <v>0.96651419999999999</v>
      </c>
      <c r="I443">
        <v>368.28339999999997</v>
      </c>
      <c r="J443">
        <v>-336.52019999999999</v>
      </c>
      <c r="K443">
        <v>1.109267</v>
      </c>
      <c r="L443">
        <v>367.80930000000001</v>
      </c>
      <c r="M443">
        <v>0.99967830000000002</v>
      </c>
      <c r="N443">
        <v>0</v>
      </c>
      <c r="O443">
        <v>2.3117840000000001E-2</v>
      </c>
      <c r="P443">
        <v>0.98994090000000001</v>
      </c>
      <c r="Q443">
        <v>2.9920660000000002E-2</v>
      </c>
      <c r="R443">
        <v>0.13828180000000001</v>
      </c>
      <c r="S443">
        <v>2.8303219999999998</v>
      </c>
      <c r="T443">
        <v>-0.453980199999999</v>
      </c>
      <c r="U443">
        <v>1.5320129999999901</v>
      </c>
      <c r="V443">
        <v>-0.1154231</v>
      </c>
      <c r="W443">
        <v>4.0098699999999897E-2</v>
      </c>
      <c r="X443">
        <v>0.99250669999999996</v>
      </c>
      <c r="Y443">
        <v>-0.45133899999999999</v>
      </c>
      <c r="Z443">
        <v>3.0250559999999999E-2</v>
      </c>
      <c r="AA443">
        <v>0.89183969999999901</v>
      </c>
      <c r="AB443">
        <v>64</v>
      </c>
      <c r="AC443">
        <v>0.57420000000001803</v>
      </c>
      <c r="AD443">
        <v>-0.14275280000000001</v>
      </c>
      <c r="AE443">
        <v>0.47409999999996399</v>
      </c>
      <c r="AF443">
        <v>-0.44436673396395499</v>
      </c>
      <c r="AG443">
        <v>-0.14275280000000001</v>
      </c>
      <c r="AH443">
        <v>0.56426902815822999</v>
      </c>
      <c r="AI443">
        <v>101.241328582002</v>
      </c>
      <c r="AJ443">
        <v>128.22073753922399</v>
      </c>
      <c r="AK443">
        <v>0.73228388777868503</v>
      </c>
    </row>
    <row r="444" spans="1:37" x14ac:dyDescent="0.2">
      <c r="A444" t="str">
        <f>"20200111154036459"</f>
        <v>20200111154036459</v>
      </c>
      <c r="B444" t="str">
        <f>"1578728436446860"</f>
        <v>1578728436446860</v>
      </c>
      <c r="C444" t="s">
        <v>37</v>
      </c>
      <c r="D444">
        <v>5.0199410000000002</v>
      </c>
      <c r="E444">
        <v>0.46399869999999999</v>
      </c>
      <c r="F444" t="s">
        <v>39</v>
      </c>
      <c r="G444">
        <v>-329.6148</v>
      </c>
      <c r="H444" s="1">
        <v>-6.6118880000000005E-7</v>
      </c>
      <c r="I444">
        <v>371.54669999999999</v>
      </c>
      <c r="J444">
        <v>-336.17529999999999</v>
      </c>
      <c r="K444">
        <v>1.1092839999999999</v>
      </c>
      <c r="L444">
        <v>367.81729999999999</v>
      </c>
      <c r="M444">
        <v>0.99967150000000005</v>
      </c>
      <c r="N444">
        <v>0</v>
      </c>
      <c r="O444">
        <v>2.332103E-2</v>
      </c>
      <c r="P444">
        <v>0.98996219999999902</v>
      </c>
      <c r="Q444">
        <v>2.9780480000000002E-2</v>
      </c>
      <c r="R444">
        <v>0.13816010000000001</v>
      </c>
      <c r="S444">
        <v>2.8302610000000001</v>
      </c>
      <c r="T444">
        <v>-0.45464339999999998</v>
      </c>
      <c r="U444">
        <v>1.53186</v>
      </c>
      <c r="V444">
        <v>-0.1150991</v>
      </c>
      <c r="W444">
        <v>4.0158260000000001E-2</v>
      </c>
      <c r="X444">
        <v>0.99254200000000004</v>
      </c>
      <c r="Y444">
        <v>-0.45112059999999998</v>
      </c>
      <c r="Z444">
        <v>3.0248589999999999E-2</v>
      </c>
      <c r="AA444">
        <v>0.89195020000000003</v>
      </c>
      <c r="AB444">
        <v>64</v>
      </c>
      <c r="AC444">
        <v>6.5604999999999896</v>
      </c>
      <c r="AD444">
        <v>-1.1092846611888001</v>
      </c>
      <c r="AE444">
        <v>3.7293999999999898</v>
      </c>
      <c r="AF444">
        <v>-3.4997585462212299</v>
      </c>
      <c r="AG444">
        <v>-1.1092846611888001</v>
      </c>
      <c r="AH444">
        <v>6.5051346584736596</v>
      </c>
      <c r="AI444">
        <v>98.540337854688602</v>
      </c>
      <c r="AJ444">
        <v>118.28022485182601</v>
      </c>
      <c r="AK444">
        <v>7.4696451901193104</v>
      </c>
    </row>
    <row r="445" spans="1:37" x14ac:dyDescent="0.2">
      <c r="A445" t="str">
        <f>"20200111154036471"</f>
        <v>20200111154036471</v>
      </c>
      <c r="B445" t="str">
        <f>"1578728436466380"</f>
        <v>1578728436466380</v>
      </c>
      <c r="C445" t="s">
        <v>37</v>
      </c>
      <c r="D445">
        <v>5.1533259999999999</v>
      </c>
      <c r="E445">
        <v>0.49167050000000001</v>
      </c>
      <c r="F445" t="s">
        <v>39</v>
      </c>
      <c r="G445">
        <v>-324.57010000000002</v>
      </c>
      <c r="H445" s="1">
        <v>-2.5455340000000001E-6</v>
      </c>
      <c r="I445">
        <v>370.49520000000001</v>
      </c>
      <c r="J445">
        <v>-335.84629999999999</v>
      </c>
      <c r="K445">
        <v>1.109294</v>
      </c>
      <c r="L445">
        <v>367.82499999999999</v>
      </c>
      <c r="M445">
        <v>0.99966499999999903</v>
      </c>
      <c r="N445">
        <v>0</v>
      </c>
      <c r="O445">
        <v>2.35157E-2</v>
      </c>
      <c r="P445">
        <v>0.99001969999999995</v>
      </c>
      <c r="Q445">
        <v>2.9568859999999999E-2</v>
      </c>
      <c r="R445">
        <v>0.13779359999999999</v>
      </c>
      <c r="S445">
        <v>2.9440919999999999</v>
      </c>
      <c r="T445">
        <v>-0.28141090000000002</v>
      </c>
      <c r="U445">
        <v>0.67935179999999995</v>
      </c>
      <c r="V445">
        <v>-0.1145374</v>
      </c>
      <c r="W445">
        <v>4.0130640000000002E-2</v>
      </c>
      <c r="X445">
        <v>0.99260800000000005</v>
      </c>
      <c r="Y445">
        <v>-0.2010979</v>
      </c>
      <c r="Z445">
        <v>7.2533369999999899E-3</v>
      </c>
      <c r="AA445">
        <v>0.97954430000000003</v>
      </c>
      <c r="AB445">
        <v>64</v>
      </c>
      <c r="AC445">
        <v>11.2761999999999</v>
      </c>
      <c r="AD445">
        <v>-1.109296545534</v>
      </c>
      <c r="AE445">
        <v>2.6702000000000199</v>
      </c>
      <c r="AF445">
        <v>-2.3824460314353901</v>
      </c>
      <c r="AG445">
        <v>-1.109296545534</v>
      </c>
      <c r="AH445">
        <v>11.2329403229721</v>
      </c>
      <c r="AI445">
        <v>95.517932814825798</v>
      </c>
      <c r="AJ445">
        <v>101.97467355578701</v>
      </c>
      <c r="AK445">
        <v>11.5362704639796</v>
      </c>
    </row>
    <row r="446" spans="1:37" x14ac:dyDescent="0.2">
      <c r="A446" t="str">
        <f>"20200111154036482"</f>
        <v>20200111154036482</v>
      </c>
      <c r="B446" t="str">
        <f>"1578728436477116"</f>
        <v>1578728436477116</v>
      </c>
      <c r="C446" t="s">
        <v>37</v>
      </c>
      <c r="D446">
        <v>5.3199670000000001</v>
      </c>
      <c r="E446">
        <v>0.49167050000000001</v>
      </c>
      <c r="F446" t="s">
        <v>39</v>
      </c>
      <c r="G446">
        <v>-321.8931</v>
      </c>
      <c r="H446" s="1">
        <v>-3.5600479999999999E-6</v>
      </c>
      <c r="I446">
        <v>369.99180000000001</v>
      </c>
      <c r="J446">
        <v>-335.51639999999998</v>
      </c>
      <c r="K446">
        <v>1.109308</v>
      </c>
      <c r="L446">
        <v>367.83280000000002</v>
      </c>
      <c r="M446">
        <v>0.9996583</v>
      </c>
      <c r="N446">
        <v>0</v>
      </c>
      <c r="O446">
        <v>2.3711019999999999E-2</v>
      </c>
      <c r="P446">
        <v>0.99005619999999905</v>
      </c>
      <c r="Q446">
        <v>2.9546449999999998E-2</v>
      </c>
      <c r="R446">
        <v>0.13753479999999901</v>
      </c>
      <c r="S446">
        <v>2.9730829999999999</v>
      </c>
      <c r="T446">
        <v>-0.2363632</v>
      </c>
      <c r="U446">
        <v>0.46170040000000001</v>
      </c>
      <c r="V446">
        <v>-0.1140837</v>
      </c>
      <c r="W446">
        <v>4.0289760000000001E-2</v>
      </c>
      <c r="X446">
        <v>0.99265380000000003</v>
      </c>
      <c r="Y446">
        <v>-0.1296533</v>
      </c>
      <c r="Z446">
        <v>3.2451059999999898E-3</v>
      </c>
      <c r="AA446">
        <v>0.99155409999999899</v>
      </c>
      <c r="AB446">
        <v>64</v>
      </c>
      <c r="AC446">
        <v>13.623299999999899</v>
      </c>
      <c r="AD446">
        <v>-1.1093115600479999</v>
      </c>
      <c r="AE446">
        <v>2.15899999999999</v>
      </c>
      <c r="AF446">
        <v>-1.82355628531365</v>
      </c>
      <c r="AG446">
        <v>-1.1093115600479999</v>
      </c>
      <c r="AH446">
        <v>13.5828110426694</v>
      </c>
      <c r="AI446">
        <v>94.627661954254293</v>
      </c>
      <c r="AJ446">
        <v>97.646505676100404</v>
      </c>
      <c r="AK446">
        <v>13.749497644780501</v>
      </c>
    </row>
    <row r="447" spans="1:37" x14ac:dyDescent="0.2">
      <c r="A447" t="str">
        <f>"20200111154036493"</f>
        <v>20200111154036493</v>
      </c>
      <c r="B447" t="str">
        <f>"1578728436486876"</f>
        <v>1578728436486876</v>
      </c>
      <c r="C447" t="s">
        <v>37</v>
      </c>
      <c r="D447">
        <v>5.4833299999999996</v>
      </c>
      <c r="E447">
        <v>0.56675710000000001</v>
      </c>
      <c r="F447" t="s">
        <v>39</v>
      </c>
      <c r="G447">
        <v>-321.56670000000003</v>
      </c>
      <c r="H447" s="1">
        <v>-3.7010039999999999E-6</v>
      </c>
      <c r="I447">
        <v>369.99529999999999</v>
      </c>
      <c r="J447">
        <v>-335.2</v>
      </c>
      <c r="K447">
        <v>1.109318</v>
      </c>
      <c r="L447">
        <v>367.84039999999999</v>
      </c>
      <c r="M447">
        <v>0.99965219999999899</v>
      </c>
      <c r="N447">
        <v>0</v>
      </c>
      <c r="O447">
        <v>2.38977999999999E-2</v>
      </c>
      <c r="P447">
        <v>0.99012889999999998</v>
      </c>
      <c r="Q447">
        <v>2.968063E-2</v>
      </c>
      <c r="R447">
        <v>0.136982299999999</v>
      </c>
      <c r="S447">
        <v>2.9731749999999999</v>
      </c>
      <c r="T447">
        <v>-0.2364308</v>
      </c>
      <c r="U447">
        <v>0.46090699999999901</v>
      </c>
      <c r="V447">
        <v>-0.113344899999999</v>
      </c>
      <c r="W447">
        <v>4.0585169999999997E-2</v>
      </c>
      <c r="X447">
        <v>0.99272640000000001</v>
      </c>
      <c r="Y447">
        <v>-0.12920670000000001</v>
      </c>
      <c r="Z447">
        <v>3.2136459999999901E-3</v>
      </c>
      <c r="AA447">
        <v>0.99161250000000001</v>
      </c>
      <c r="AB447">
        <v>64</v>
      </c>
      <c r="AC447">
        <v>13.633299999999901</v>
      </c>
      <c r="AD447">
        <v>-1.109321701004</v>
      </c>
      <c r="AE447">
        <v>2.1548999999999898</v>
      </c>
      <c r="AF447">
        <v>-1.8167233082960199</v>
      </c>
      <c r="AG447">
        <v>-1.109321701004</v>
      </c>
      <c r="AH447">
        <v>13.5931024140422</v>
      </c>
      <c r="AI447">
        <v>94.624581784351307</v>
      </c>
      <c r="AJ447">
        <v>97.612490784316194</v>
      </c>
      <c r="AK447">
        <v>13.7587612616058</v>
      </c>
    </row>
    <row r="448" spans="1:37" x14ac:dyDescent="0.2">
      <c r="A448" t="str">
        <f>"20200111154036506"</f>
        <v>20200111154036506</v>
      </c>
      <c r="B448" t="str">
        <f>"1578728436496636"</f>
        <v>1578728436496636</v>
      </c>
      <c r="C448" t="s">
        <v>37</v>
      </c>
      <c r="D448">
        <v>5.3639559999999999</v>
      </c>
      <c r="E448">
        <v>0.56949369999999999</v>
      </c>
      <c r="F448" t="s">
        <v>38</v>
      </c>
      <c r="G448">
        <v>-334.20749999999998</v>
      </c>
      <c r="H448">
        <v>1.027922</v>
      </c>
      <c r="I448">
        <v>367.7962</v>
      </c>
      <c r="J448">
        <v>-334.8442</v>
      </c>
      <c r="K448">
        <v>1.1093309999999901</v>
      </c>
      <c r="L448">
        <v>367.84890000000001</v>
      </c>
      <c r="M448">
        <v>0.99964509999999995</v>
      </c>
      <c r="N448">
        <v>0</v>
      </c>
      <c r="O448">
        <v>2.410808E-2</v>
      </c>
      <c r="P448">
        <v>0.99019059999999903</v>
      </c>
      <c r="Q448">
        <v>2.9699929999999999E-2</v>
      </c>
      <c r="R448">
        <v>0.13653009999999999</v>
      </c>
      <c r="S448">
        <v>3.0562130000000001</v>
      </c>
      <c r="T448">
        <v>-0.250726</v>
      </c>
      <c r="U448">
        <v>-0.1357727</v>
      </c>
      <c r="V448">
        <v>-0.112682199999999</v>
      </c>
      <c r="W448">
        <v>4.0780509999999999E-2</v>
      </c>
      <c r="X448">
        <v>0.99279390000000001</v>
      </c>
      <c r="Y448">
        <v>6.8144949999999996E-2</v>
      </c>
      <c r="Z448">
        <v>-4.7629289999999999E-3</v>
      </c>
      <c r="AA448">
        <v>0.997664</v>
      </c>
      <c r="AB448">
        <v>64</v>
      </c>
      <c r="AC448">
        <v>0.63670000000001803</v>
      </c>
      <c r="AD448">
        <v>-8.1408999999999801E-2</v>
      </c>
      <c r="AE448">
        <v>-5.27000000000157E-2</v>
      </c>
      <c r="AF448">
        <v>6.6948232973983599E-2</v>
      </c>
      <c r="AG448">
        <v>-8.1408999999999801E-2</v>
      </c>
      <c r="AH448">
        <v>0.62509458894770198</v>
      </c>
      <c r="AI448">
        <v>97.378407140921794</v>
      </c>
      <c r="AJ448">
        <v>83.886869511249699</v>
      </c>
      <c r="AK448">
        <v>0.63391855652838802</v>
      </c>
    </row>
    <row r="449" spans="1:37" x14ac:dyDescent="0.2">
      <c r="A449" t="str">
        <f>"20200111154036516"</f>
        <v>20200111154036516</v>
      </c>
      <c r="B449" t="str">
        <f>"1578728436506396"</f>
        <v>1578728436506396</v>
      </c>
      <c r="C449" t="s">
        <v>37</v>
      </c>
      <c r="D449">
        <v>5.3678229999999996</v>
      </c>
      <c r="E449">
        <v>0.56885200000000002</v>
      </c>
      <c r="F449" t="s">
        <v>38</v>
      </c>
      <c r="G449">
        <v>-333.64019999999999</v>
      </c>
      <c r="H449">
        <v>1.0100199999999999</v>
      </c>
      <c r="I449">
        <v>367.78629999999998</v>
      </c>
      <c r="J449">
        <v>-334.53980000000001</v>
      </c>
      <c r="K449">
        <v>1.109337</v>
      </c>
      <c r="L449">
        <v>367.85629999999998</v>
      </c>
      <c r="M449">
        <v>0.99963919999999995</v>
      </c>
      <c r="N449">
        <v>0</v>
      </c>
      <c r="O449">
        <v>2.4287360000000001E-2</v>
      </c>
      <c r="P449">
        <v>0.99026209999999903</v>
      </c>
      <c r="Q449">
        <v>2.950962E-2</v>
      </c>
      <c r="R449">
        <v>0.13605249999999999</v>
      </c>
      <c r="S449">
        <v>3.0591740000000001</v>
      </c>
      <c r="T449">
        <v>-0.25241799999999998</v>
      </c>
      <c r="U449">
        <v>-0.1588135</v>
      </c>
      <c r="V449">
        <v>-0.11202479999999999</v>
      </c>
      <c r="W449">
        <v>4.0730959999999997E-2</v>
      </c>
      <c r="X449">
        <v>0.99287029999999998</v>
      </c>
      <c r="Y449">
        <v>7.5745899999999894E-2</v>
      </c>
      <c r="Z449">
        <v>-5.1171319999999999E-3</v>
      </c>
      <c r="AA449">
        <v>0.99711399999999994</v>
      </c>
      <c r="AB449">
        <v>64</v>
      </c>
      <c r="AC449">
        <v>0.89960000000002005</v>
      </c>
      <c r="AD449">
        <v>-9.9316999999999794E-2</v>
      </c>
      <c r="AE449">
        <v>-6.9999999999993096E-2</v>
      </c>
      <c r="AF449">
        <v>9.0730487288509201E-2</v>
      </c>
      <c r="AG449">
        <v>-9.9316999999999794E-2</v>
      </c>
      <c r="AH449">
        <v>0.886889624451485</v>
      </c>
      <c r="AI449">
        <v>96.356658265795502</v>
      </c>
      <c r="AJ449">
        <v>84.158853929478994</v>
      </c>
      <c r="AK449">
        <v>0.89703349646058805</v>
      </c>
    </row>
    <row r="450" spans="1:37" x14ac:dyDescent="0.2">
      <c r="A450" t="str">
        <f>"20200111154036526"</f>
        <v>20200111154036526</v>
      </c>
      <c r="B450" t="str">
        <f>"1578728436517132"</f>
        <v>1578728436517132</v>
      </c>
      <c r="C450" t="s">
        <v>37</v>
      </c>
      <c r="D450">
        <v>5.3604000000000003</v>
      </c>
      <c r="E450">
        <v>0.5679516</v>
      </c>
      <c r="F450" t="s">
        <v>38</v>
      </c>
      <c r="G450">
        <v>-333.63060000000002</v>
      </c>
      <c r="H450">
        <v>1.031029</v>
      </c>
      <c r="I450">
        <v>367.8098</v>
      </c>
      <c r="J450">
        <v>-334.23469999999998</v>
      </c>
      <c r="K450">
        <v>1.1093440000000001</v>
      </c>
      <c r="L450">
        <v>367.86369999999999</v>
      </c>
      <c r="M450">
        <v>0.99963329999999995</v>
      </c>
      <c r="N450">
        <v>0</v>
      </c>
      <c r="O450">
        <v>2.4466660000000001E-2</v>
      </c>
      <c r="P450">
        <v>0.99036429999999998</v>
      </c>
      <c r="Q450">
        <v>2.9195840000000001E-2</v>
      </c>
      <c r="R450">
        <v>0.135375</v>
      </c>
      <c r="S450">
        <v>3.05874599999999</v>
      </c>
      <c r="T450">
        <v>-0.26356009999999902</v>
      </c>
      <c r="U450">
        <v>-0.1557617</v>
      </c>
      <c r="V450">
        <v>-0.1111663</v>
      </c>
      <c r="W450">
        <v>4.0552770000000002E-2</v>
      </c>
      <c r="X450">
        <v>0.99297409999999997</v>
      </c>
      <c r="Y450">
        <v>7.4911510000000001E-2</v>
      </c>
      <c r="Z450">
        <v>-5.3226239999999998E-3</v>
      </c>
      <c r="AA450">
        <v>0.99717599999999995</v>
      </c>
      <c r="AB450">
        <v>64</v>
      </c>
      <c r="AC450">
        <v>0.604099999999959</v>
      </c>
      <c r="AD450">
        <v>-7.8314999999999899E-2</v>
      </c>
      <c r="AE450">
        <v>-5.3899999999998699E-2</v>
      </c>
      <c r="AF450">
        <v>6.7539050149266297E-2</v>
      </c>
      <c r="AG450">
        <v>-7.8314999999999899E-2</v>
      </c>
      <c r="AH450">
        <v>0.59271757711178397</v>
      </c>
      <c r="AI450">
        <v>97.478973205950197</v>
      </c>
      <c r="AJ450">
        <v>83.499292649684705</v>
      </c>
      <c r="AK450">
        <v>0.601671745004973</v>
      </c>
    </row>
    <row r="451" spans="1:37" x14ac:dyDescent="0.2">
      <c r="A451" t="str">
        <f>"20200111154036538"</f>
        <v>20200111154036538</v>
      </c>
      <c r="B451" t="str">
        <f>"1578728436526892"</f>
        <v>1578728436526892</v>
      </c>
      <c r="C451" t="s">
        <v>37</v>
      </c>
      <c r="D451">
        <v>5.3685269999999896</v>
      </c>
      <c r="E451">
        <v>0.56621929999999998</v>
      </c>
      <c r="F451" t="s">
        <v>38</v>
      </c>
      <c r="G451">
        <v>-333.0659</v>
      </c>
      <c r="H451">
        <v>1.0083839999999999</v>
      </c>
      <c r="I451">
        <v>367.80599999999998</v>
      </c>
      <c r="J451">
        <v>-333.91030000000001</v>
      </c>
      <c r="K451">
        <v>1.1093469999999901</v>
      </c>
      <c r="L451">
        <v>367.87169999999998</v>
      </c>
      <c r="M451">
        <v>0.99962709999999999</v>
      </c>
      <c r="N451">
        <v>0</v>
      </c>
      <c r="O451">
        <v>2.4657450000000001E-2</v>
      </c>
      <c r="P451">
        <v>0.99048320000000001</v>
      </c>
      <c r="Q451">
        <v>2.8895899999999999E-2</v>
      </c>
      <c r="R451">
        <v>0.1345674</v>
      </c>
      <c r="S451">
        <v>3.0575869999999998</v>
      </c>
      <c r="T451">
        <v>-0.26411839999999998</v>
      </c>
      <c r="U451">
        <v>-0.15084839999999999</v>
      </c>
      <c r="V451">
        <v>-0.110166</v>
      </c>
      <c r="W451">
        <v>4.0387920000000001E-2</v>
      </c>
      <c r="X451">
        <v>0.99309230000000004</v>
      </c>
      <c r="Y451">
        <v>7.3525209999999994E-2</v>
      </c>
      <c r="Z451">
        <v>-5.2927929999999996E-3</v>
      </c>
      <c r="AA451">
        <v>0.99727929999999998</v>
      </c>
      <c r="AB451">
        <v>64</v>
      </c>
      <c r="AC451">
        <v>0.84440000000000703</v>
      </c>
      <c r="AD451">
        <v>-0.100962999999999</v>
      </c>
      <c r="AE451">
        <v>-6.5699999999992501E-2</v>
      </c>
      <c r="AF451">
        <v>8.5290196681299599E-2</v>
      </c>
      <c r="AG451">
        <v>-0.100962999999999</v>
      </c>
      <c r="AH451">
        <v>0.83071827382071495</v>
      </c>
      <c r="AI451">
        <v>96.893683391006604</v>
      </c>
      <c r="AJ451">
        <v>84.137958173641593</v>
      </c>
      <c r="AK451">
        <v>0.84116633044755396</v>
      </c>
    </row>
    <row r="452" spans="1:37" x14ac:dyDescent="0.2">
      <c r="A452" t="str">
        <f>"20200111154036550"</f>
        <v>20200111154036550</v>
      </c>
      <c r="B452" t="str">
        <f>"1578728436546412"</f>
        <v>1578728436546412</v>
      </c>
      <c r="C452" t="s">
        <v>37</v>
      </c>
      <c r="D452">
        <v>5.37798</v>
      </c>
      <c r="E452">
        <v>0.56407759999999996</v>
      </c>
      <c r="F452" t="s">
        <v>38</v>
      </c>
      <c r="G452">
        <v>-333.05369999999999</v>
      </c>
      <c r="H452">
        <v>1.0346959999999901</v>
      </c>
      <c r="I452">
        <v>367.83240000000001</v>
      </c>
      <c r="J452">
        <v>-333.59160000000003</v>
      </c>
      <c r="K452">
        <v>1.1093500000000001</v>
      </c>
      <c r="L452">
        <v>367.87959999999998</v>
      </c>
      <c r="M452">
        <v>0.99962099999999898</v>
      </c>
      <c r="N452">
        <v>0</v>
      </c>
      <c r="O452">
        <v>2.4844419999999999E-2</v>
      </c>
      <c r="P452">
        <v>0.99062419999999995</v>
      </c>
      <c r="Q452">
        <v>2.8437520000000001E-2</v>
      </c>
      <c r="R452">
        <v>0.13362289999999999</v>
      </c>
      <c r="S452">
        <v>3.0556030000000001</v>
      </c>
      <c r="T452">
        <v>-0.26629530000000001</v>
      </c>
      <c r="U452">
        <v>-0.13989260000000001</v>
      </c>
      <c r="V452">
        <v>-0.109031399999999</v>
      </c>
      <c r="W452">
        <v>4.0054399999999997E-2</v>
      </c>
      <c r="X452">
        <v>0.99323099999999998</v>
      </c>
      <c r="Y452">
        <v>7.0180950000000006E-2</v>
      </c>
      <c r="Z452">
        <v>-5.2110139999999999E-3</v>
      </c>
      <c r="AA452">
        <v>0.99752070000000004</v>
      </c>
      <c r="AB452">
        <v>64</v>
      </c>
      <c r="AC452">
        <v>0.53790000000003602</v>
      </c>
      <c r="AD452">
        <v>-7.4654000000000206E-2</v>
      </c>
      <c r="AE452">
        <v>-4.7199999999975199E-2</v>
      </c>
      <c r="AF452">
        <v>5.9414480391800903E-2</v>
      </c>
      <c r="AG452">
        <v>-7.4654000000000206E-2</v>
      </c>
      <c r="AH452">
        <v>0.52649726447604295</v>
      </c>
      <c r="AI452">
        <v>98.020144468754907</v>
      </c>
      <c r="AJ452">
        <v>83.561490225383395</v>
      </c>
      <c r="AK452">
        <v>0.53507258357813803</v>
      </c>
    </row>
    <row r="453" spans="1:37" x14ac:dyDescent="0.2">
      <c r="A453" t="str">
        <f>"20200111154036571"</f>
        <v>20200111154036571</v>
      </c>
      <c r="B453" t="str">
        <f>"1578728436566907"</f>
        <v>1578728436566907</v>
      </c>
      <c r="C453" t="s">
        <v>37</v>
      </c>
      <c r="D453">
        <v>5.3859209999999997</v>
      </c>
      <c r="E453">
        <v>0.56230970000000002</v>
      </c>
      <c r="F453" t="s">
        <v>38</v>
      </c>
      <c r="G453">
        <v>-332.48829999999998</v>
      </c>
      <c r="H453">
        <v>1.0142719999999901</v>
      </c>
      <c r="I453">
        <v>367.83409999999998</v>
      </c>
      <c r="J453">
        <v>-332.98250000000002</v>
      </c>
      <c r="K453">
        <v>1.1093580000000001</v>
      </c>
      <c r="L453">
        <v>367.89479999999998</v>
      </c>
      <c r="M453">
        <v>0.99960939999999998</v>
      </c>
      <c r="N453">
        <v>0</v>
      </c>
      <c r="O453">
        <v>2.5201939999999999E-2</v>
      </c>
      <c r="P453">
        <v>0.99092729999999996</v>
      </c>
      <c r="Q453">
        <v>2.713693E-2</v>
      </c>
      <c r="R453">
        <v>0.1316321</v>
      </c>
      <c r="S453">
        <v>3.0528869999999899</v>
      </c>
      <c r="T453">
        <v>-0.2631887</v>
      </c>
      <c r="U453">
        <v>-0.12551880000000001</v>
      </c>
      <c r="V453">
        <v>-0.1066766</v>
      </c>
      <c r="W453">
        <v>3.8973300000000002E-2</v>
      </c>
      <c r="X453">
        <v>0.99352969999999896</v>
      </c>
      <c r="Y453">
        <v>6.5912070000000003E-2</v>
      </c>
      <c r="Z453">
        <v>-5.0026690000000004E-3</v>
      </c>
      <c r="AA453">
        <v>0.9978129</v>
      </c>
      <c r="AB453">
        <v>64</v>
      </c>
      <c r="AC453">
        <v>0.494200000000034</v>
      </c>
      <c r="AD453">
        <v>-9.5086000000000198E-2</v>
      </c>
      <c r="AE453">
        <v>-6.0699999999996999E-2</v>
      </c>
      <c r="AF453">
        <v>7.0563055111701897E-2</v>
      </c>
      <c r="AG453">
        <v>-9.5086000000000198E-2</v>
      </c>
      <c r="AH453">
        <v>0.47518362804480702</v>
      </c>
      <c r="AI453">
        <v>101.196026559705</v>
      </c>
      <c r="AJ453">
        <v>81.553507485146795</v>
      </c>
      <c r="AK453">
        <v>0.48971417429406999</v>
      </c>
    </row>
    <row r="454" spans="1:37" x14ac:dyDescent="0.2">
      <c r="A454" t="str">
        <f>"20200111154036583"</f>
        <v>20200111154036583</v>
      </c>
      <c r="B454" t="str">
        <f>"1578728436576667"</f>
        <v>1578728436576667</v>
      </c>
      <c r="C454" t="s">
        <v>37</v>
      </c>
      <c r="D454">
        <v>5.3999730000000001</v>
      </c>
      <c r="E454">
        <v>0.56163909999999995</v>
      </c>
      <c r="F454" t="s">
        <v>38</v>
      </c>
      <c r="G454">
        <v>-331.91239999999999</v>
      </c>
      <c r="H454">
        <v>1.016478</v>
      </c>
      <c r="I454">
        <v>367.85340000000002</v>
      </c>
      <c r="J454">
        <v>-332.61540000000002</v>
      </c>
      <c r="K454">
        <v>1.109361</v>
      </c>
      <c r="L454">
        <v>367.90410000000003</v>
      </c>
      <c r="M454">
        <v>0.999602399999999</v>
      </c>
      <c r="N454">
        <v>0</v>
      </c>
      <c r="O454">
        <v>2.5417450000000001E-2</v>
      </c>
      <c r="P454">
        <v>0.99110880000000001</v>
      </c>
      <c r="Q454">
        <v>2.678316E-2</v>
      </c>
      <c r="R454">
        <v>0.13033019999999901</v>
      </c>
      <c r="S454">
        <v>3.0503230000000001</v>
      </c>
      <c r="T454">
        <v>-0.2648027</v>
      </c>
      <c r="U454">
        <v>-0.1177063</v>
      </c>
      <c r="V454">
        <v>-0.1051557</v>
      </c>
      <c r="W454">
        <v>3.8742680000000002E-2</v>
      </c>
      <c r="X454">
        <v>0.99370079999999905</v>
      </c>
      <c r="Y454">
        <v>6.3613000000000003E-2</v>
      </c>
      <c r="Z454">
        <v>-4.9567869999999998E-3</v>
      </c>
      <c r="AA454">
        <v>0.99796240000000003</v>
      </c>
      <c r="AB454">
        <v>64</v>
      </c>
      <c r="AC454">
        <v>0.70300000000003104</v>
      </c>
      <c r="AD454">
        <v>-9.2882999999999993E-2</v>
      </c>
      <c r="AE454">
        <v>-5.0700000000006101E-2</v>
      </c>
      <c r="AF454">
        <v>6.7383215081920203E-2</v>
      </c>
      <c r="AG454">
        <v>-9.2882999999999993E-2</v>
      </c>
      <c r="AH454">
        <v>0.68950980744283596</v>
      </c>
      <c r="AI454">
        <v>97.636112940257902</v>
      </c>
      <c r="AJ454">
        <v>84.418421505655004</v>
      </c>
      <c r="AK454">
        <v>0.69899322165785904</v>
      </c>
    </row>
    <row r="455" spans="1:37" x14ac:dyDescent="0.2">
      <c r="A455" t="str">
        <f>"20200111154036594"</f>
        <v>20200111154036594</v>
      </c>
      <c r="B455" t="str">
        <f>"1578728436586428"</f>
        <v>1578728436586428</v>
      </c>
      <c r="C455" t="s">
        <v>37</v>
      </c>
      <c r="D455">
        <v>5.3940939999999999</v>
      </c>
      <c r="E455">
        <v>0.56069329999999995</v>
      </c>
      <c r="F455" t="s">
        <v>38</v>
      </c>
      <c r="G455">
        <v>-331.34559999999999</v>
      </c>
      <c r="H455">
        <v>0.99915189999999998</v>
      </c>
      <c r="I455">
        <v>367.85570000000001</v>
      </c>
      <c r="J455">
        <v>-332.27969999999999</v>
      </c>
      <c r="K455">
        <v>1.1093629999999901</v>
      </c>
      <c r="L455">
        <v>367.91269999999997</v>
      </c>
      <c r="M455">
        <v>0.99959639999999905</v>
      </c>
      <c r="N455">
        <v>0</v>
      </c>
      <c r="O455">
        <v>2.5614129999999999E-2</v>
      </c>
      <c r="P455">
        <v>0.99130560000000001</v>
      </c>
      <c r="Q455">
        <v>2.643032E-2</v>
      </c>
      <c r="R455">
        <v>0.12889809999999999</v>
      </c>
      <c r="S455">
        <v>3.049255</v>
      </c>
      <c r="T455">
        <v>-0.2647737</v>
      </c>
      <c r="U455">
        <v>-0.1160583</v>
      </c>
      <c r="V455">
        <v>-0.103522399999999</v>
      </c>
      <c r="W455">
        <v>3.8490629999999998E-2</v>
      </c>
      <c r="X455">
        <v>0.99388209999999999</v>
      </c>
      <c r="Y455">
        <v>6.328462E-2</v>
      </c>
      <c r="Z455">
        <v>-4.9608389999999999E-3</v>
      </c>
      <c r="AA455">
        <v>0.99798319999999996</v>
      </c>
      <c r="AB455">
        <v>64</v>
      </c>
      <c r="AC455">
        <v>0.93410000000000004</v>
      </c>
      <c r="AD455">
        <v>-0.11021109999999899</v>
      </c>
      <c r="AE455">
        <v>-5.69999999999595E-2</v>
      </c>
      <c r="AF455">
        <v>7.9802468354773906E-2</v>
      </c>
      <c r="AG455">
        <v>-0.11021109999999899</v>
      </c>
      <c r="AH455">
        <v>0.91957957833588899</v>
      </c>
      <c r="AI455">
        <v>96.808920042043496</v>
      </c>
      <c r="AJ455">
        <v>85.040213830745103</v>
      </c>
      <c r="AK455">
        <v>0.92959212637109601</v>
      </c>
    </row>
    <row r="456" spans="1:37" x14ac:dyDescent="0.2">
      <c r="A456" t="str">
        <f>"20200111154036605"</f>
        <v>20200111154036605</v>
      </c>
      <c r="B456" t="str">
        <f>"1578728436597164"</f>
        <v>1578728436597164</v>
      </c>
      <c r="C456" t="s">
        <v>37</v>
      </c>
      <c r="D456">
        <v>5.4178819999999996</v>
      </c>
      <c r="E456">
        <v>0.56003199999999997</v>
      </c>
      <c r="F456" t="s">
        <v>38</v>
      </c>
      <c r="G456">
        <v>-331.33260000000001</v>
      </c>
      <c r="H456">
        <v>1.0267899999999901</v>
      </c>
      <c r="I456">
        <v>367.87740000000002</v>
      </c>
      <c r="J456">
        <v>-331.97379999999998</v>
      </c>
      <c r="K456">
        <v>1.109367</v>
      </c>
      <c r="L456">
        <v>367.92059999999998</v>
      </c>
      <c r="M456">
        <v>0.9995908</v>
      </c>
      <c r="N456">
        <v>0</v>
      </c>
      <c r="O456">
        <v>2.579352E-2</v>
      </c>
      <c r="P456">
        <v>0.99151199999999995</v>
      </c>
      <c r="Q456">
        <v>2.6021209999999999E-2</v>
      </c>
      <c r="R456">
        <v>0.1273851</v>
      </c>
      <c r="S456">
        <v>3.0480649999999998</v>
      </c>
      <c r="T456">
        <v>-0.26589829999999998</v>
      </c>
      <c r="U456">
        <v>-0.1131287</v>
      </c>
      <c r="V456">
        <v>-0.1018259</v>
      </c>
      <c r="W456">
        <v>3.8171860000000002E-2</v>
      </c>
      <c r="X456">
        <v>0.9940696</v>
      </c>
      <c r="Y456">
        <v>6.2519770000000002E-2</v>
      </c>
      <c r="Z456">
        <v>-4.9661810000000001E-3</v>
      </c>
      <c r="AA456">
        <v>0.99803140000000001</v>
      </c>
      <c r="AB456">
        <v>64</v>
      </c>
      <c r="AC456">
        <v>0.64119999999996902</v>
      </c>
      <c r="AD456">
        <v>-8.2577000000000095E-2</v>
      </c>
      <c r="AE456">
        <v>-4.31999999999561E-2</v>
      </c>
      <c r="AF456">
        <v>5.8755601179392603E-2</v>
      </c>
      <c r="AG456">
        <v>-8.2577000000000095E-2</v>
      </c>
      <c r="AH456">
        <v>0.62947915693825496</v>
      </c>
      <c r="AI456">
        <v>97.441577987140903</v>
      </c>
      <c r="AJ456">
        <v>84.667460941091207</v>
      </c>
      <c r="AK456">
        <v>0.63758543789726596</v>
      </c>
    </row>
    <row r="457" spans="1:37" x14ac:dyDescent="0.2">
      <c r="A457" t="str">
        <f>"20200111154036615"</f>
        <v>20200111154036615</v>
      </c>
      <c r="B457" t="str">
        <f>"1578728436606924"</f>
        <v>1578728436606924</v>
      </c>
      <c r="C457" t="s">
        <v>37</v>
      </c>
      <c r="D457">
        <v>5.4257269999999904</v>
      </c>
      <c r="E457">
        <v>0.55934319999999904</v>
      </c>
      <c r="F457" t="s">
        <v>38</v>
      </c>
      <c r="G457">
        <v>-330.7688</v>
      </c>
      <c r="H457">
        <v>1.0036099999999999</v>
      </c>
      <c r="I457">
        <v>367.87599999999998</v>
      </c>
      <c r="J457">
        <v>-331.66300000000001</v>
      </c>
      <c r="K457">
        <v>1.1093709999999899</v>
      </c>
      <c r="L457">
        <v>367.92860000000002</v>
      </c>
      <c r="M457">
        <v>0.99958499999999995</v>
      </c>
      <c r="N457">
        <v>0</v>
      </c>
      <c r="O457">
        <v>2.597592E-2</v>
      </c>
      <c r="P457">
        <v>0.99175159999999996</v>
      </c>
      <c r="Q457">
        <v>2.5529240000000002E-2</v>
      </c>
      <c r="R457">
        <v>0.12560769999999999</v>
      </c>
      <c r="S457">
        <v>3.0471189999999999</v>
      </c>
      <c r="T457">
        <v>-0.26756590000000002</v>
      </c>
      <c r="U457">
        <v>-0.11215209999999901</v>
      </c>
      <c r="V457">
        <v>-9.9860539999999998E-2</v>
      </c>
      <c r="W457">
        <v>3.7764449999999998E-2</v>
      </c>
      <c r="X457">
        <v>0.99428449999999902</v>
      </c>
      <c r="Y457">
        <v>6.238937E-2</v>
      </c>
      <c r="Z457">
        <v>-5.0090509999999996E-3</v>
      </c>
      <c r="AA457">
        <v>0.99803929999999996</v>
      </c>
      <c r="AB457">
        <v>64</v>
      </c>
      <c r="AC457">
        <v>0.89420000000001199</v>
      </c>
      <c r="AD457">
        <v>-0.10576099999999899</v>
      </c>
      <c r="AE457">
        <v>-5.2600000000040802E-2</v>
      </c>
      <c r="AF457">
        <v>7.4769386846339395E-2</v>
      </c>
      <c r="AG457">
        <v>-0.10576099999999899</v>
      </c>
      <c r="AH457">
        <v>0.88026042041046904</v>
      </c>
      <c r="AI457">
        <v>96.826749351976702</v>
      </c>
      <c r="AJ457">
        <v>85.144945872712896</v>
      </c>
      <c r="AK457">
        <v>0.88973830875802695</v>
      </c>
    </row>
    <row r="458" spans="1:37" x14ac:dyDescent="0.2">
      <c r="A458" t="str">
        <f>"20200111154036627"</f>
        <v>20200111154036627</v>
      </c>
      <c r="B458" t="str">
        <f>"1578728436616684"</f>
        <v>1578728436616684</v>
      </c>
      <c r="C458" t="s">
        <v>37</v>
      </c>
      <c r="D458">
        <v>5.4129459999999998</v>
      </c>
      <c r="E458">
        <v>0.55871789999999999</v>
      </c>
      <c r="F458" t="s">
        <v>38</v>
      </c>
      <c r="G458">
        <v>-330.75659999999999</v>
      </c>
      <c r="H458">
        <v>1.02938</v>
      </c>
      <c r="I458">
        <v>367.89510000000001</v>
      </c>
      <c r="J458">
        <v>-331.36259999999999</v>
      </c>
      <c r="K458">
        <v>1.1093729999999999</v>
      </c>
      <c r="L458">
        <v>367.93650000000002</v>
      </c>
      <c r="M458">
        <v>0.99957949999999995</v>
      </c>
      <c r="N458">
        <v>0</v>
      </c>
      <c r="O458">
        <v>2.6152330000000001E-2</v>
      </c>
      <c r="P458">
        <v>0.99194819999999995</v>
      </c>
      <c r="Q458">
        <v>2.554588E-2</v>
      </c>
      <c r="R458">
        <v>0.1240402</v>
      </c>
      <c r="S458">
        <v>3.0461119999999999</v>
      </c>
      <c r="T458">
        <v>-0.26902569999999998</v>
      </c>
      <c r="U458">
        <v>-0.1121216</v>
      </c>
      <c r="V458">
        <v>-9.8112950000000004E-2</v>
      </c>
      <c r="W458">
        <v>3.7858799999999998E-2</v>
      </c>
      <c r="X458">
        <v>0.99445490000000003</v>
      </c>
      <c r="Y458">
        <v>6.2562370000000006E-2</v>
      </c>
      <c r="Z458">
        <v>-5.0611010000000001E-3</v>
      </c>
      <c r="AA458">
        <v>0.99802819999999903</v>
      </c>
      <c r="AB458">
        <v>64</v>
      </c>
      <c r="AC458">
        <v>0.60599999999999399</v>
      </c>
      <c r="AD458">
        <v>-7.9992999999999898E-2</v>
      </c>
      <c r="AE458">
        <v>-4.1400000000009998E-2</v>
      </c>
      <c r="AF458">
        <v>5.6259654200047901E-2</v>
      </c>
      <c r="AG458">
        <v>-7.9992999999999898E-2</v>
      </c>
      <c r="AH458">
        <v>0.59440091891920799</v>
      </c>
      <c r="AI458">
        <v>97.630972962788306</v>
      </c>
      <c r="AJ458">
        <v>84.593099838560406</v>
      </c>
      <c r="AK458">
        <v>0.60239229838345998</v>
      </c>
    </row>
    <row r="459" spans="1:37" x14ac:dyDescent="0.2">
      <c r="A459" t="str">
        <f>"20200111154036638"</f>
        <v>20200111154036638</v>
      </c>
      <c r="B459" t="str">
        <f>"1578728436626444"</f>
        <v>1578728436626444</v>
      </c>
      <c r="C459" t="s">
        <v>37</v>
      </c>
      <c r="D459">
        <v>5.4399150000000001</v>
      </c>
      <c r="E459">
        <v>0.55811089999999997</v>
      </c>
      <c r="F459" t="s">
        <v>38</v>
      </c>
      <c r="G459">
        <v>-330.19290000000001</v>
      </c>
      <c r="H459">
        <v>1.0061</v>
      </c>
      <c r="I459">
        <v>367.89319999999998</v>
      </c>
      <c r="J459">
        <v>-331.04219999999998</v>
      </c>
      <c r="K459">
        <v>1.1093759999999999</v>
      </c>
      <c r="L459">
        <v>367.94490000000002</v>
      </c>
      <c r="M459">
        <v>0.99957359999999995</v>
      </c>
      <c r="N459">
        <v>0</v>
      </c>
      <c r="O459">
        <v>2.6340550000000001E-2</v>
      </c>
      <c r="P459">
        <v>0.99214099999999905</v>
      </c>
      <c r="Q459">
        <v>2.5584599999999999E-2</v>
      </c>
      <c r="R459">
        <v>0.122481199999999</v>
      </c>
      <c r="S459">
        <v>3.0452880000000002</v>
      </c>
      <c r="T459">
        <v>-0.26900170000000001</v>
      </c>
      <c r="U459">
        <v>-0.11190799999999999</v>
      </c>
      <c r="V459">
        <v>-9.6362119999999996E-2</v>
      </c>
      <c r="W459">
        <v>3.7974590000000003E-2</v>
      </c>
      <c r="X459">
        <v>0.99462169999999905</v>
      </c>
      <c r="Y459">
        <v>6.2688980000000005E-2</v>
      </c>
      <c r="Z459">
        <v>-5.0841910000000001E-3</v>
      </c>
      <c r="AA459">
        <v>0.99802019999999902</v>
      </c>
      <c r="AB459">
        <v>64</v>
      </c>
      <c r="AC459">
        <v>0.84929999999997097</v>
      </c>
      <c r="AD459">
        <v>-0.10327599999999899</v>
      </c>
      <c r="AE459">
        <v>-5.1700000000039298E-2</v>
      </c>
      <c r="AF459">
        <v>7.2979706087918497E-2</v>
      </c>
      <c r="AG459">
        <v>-0.10327599999999899</v>
      </c>
      <c r="AH459">
        <v>0.83533693006596599</v>
      </c>
      <c r="AI459">
        <v>97.021461288444897</v>
      </c>
      <c r="AJ459">
        <v>85.006997944022999</v>
      </c>
      <c r="AK459">
        <v>0.84485487298630801</v>
      </c>
    </row>
    <row r="460" spans="1:37" x14ac:dyDescent="0.2">
      <c r="A460" t="str">
        <f>"20200111154036648"</f>
        <v>20200111154036648</v>
      </c>
      <c r="B460" t="str">
        <f>"1578728436637180"</f>
        <v>1578728436637180</v>
      </c>
      <c r="C460" t="s">
        <v>37</v>
      </c>
      <c r="D460">
        <v>5.4336399999999996</v>
      </c>
      <c r="E460">
        <v>0.55781369999999997</v>
      </c>
      <c r="F460" t="s">
        <v>38</v>
      </c>
      <c r="G460">
        <v>-330.17989999999998</v>
      </c>
      <c r="H460">
        <v>1.0335369999999999</v>
      </c>
      <c r="I460">
        <v>367.91289999999998</v>
      </c>
      <c r="J460">
        <v>-330.73930000000001</v>
      </c>
      <c r="K460">
        <v>1.1093819999999901</v>
      </c>
      <c r="L460">
        <v>367.9529</v>
      </c>
      <c r="M460">
        <v>0.99956800000000001</v>
      </c>
      <c r="N460">
        <v>0</v>
      </c>
      <c r="O460">
        <v>2.651829E-2</v>
      </c>
      <c r="P460">
        <v>0.99232229999999999</v>
      </c>
      <c r="Q460">
        <v>2.5942750000000001E-2</v>
      </c>
      <c r="R460">
        <v>0.1209277</v>
      </c>
      <c r="S460">
        <v>3.044495</v>
      </c>
      <c r="T460">
        <v>-0.26792820000000001</v>
      </c>
      <c r="U460">
        <v>-0.111999499999999</v>
      </c>
      <c r="V460">
        <v>-9.4627890000000006E-2</v>
      </c>
      <c r="W460">
        <v>3.8406280000000001E-2</v>
      </c>
      <c r="X460">
        <v>0.99477159999999998</v>
      </c>
      <c r="Y460">
        <v>6.2907030000000003E-2</v>
      </c>
      <c r="Z460">
        <v>-5.0904749999999997E-3</v>
      </c>
      <c r="AA460">
        <v>0.99800639999999996</v>
      </c>
      <c r="AB460">
        <v>64</v>
      </c>
      <c r="AC460">
        <v>0.55940000000003898</v>
      </c>
      <c r="AD460">
        <v>-7.5844999999999704E-2</v>
      </c>
      <c r="AE460">
        <v>-4.0000000000020401E-2</v>
      </c>
      <c r="AF460">
        <v>5.3836822555973801E-2</v>
      </c>
      <c r="AG460">
        <v>-7.5844999999999704E-2</v>
      </c>
      <c r="AH460">
        <v>0.54811780436285795</v>
      </c>
      <c r="AI460">
        <v>97.840933148207696</v>
      </c>
      <c r="AJ460">
        <v>84.390329651911003</v>
      </c>
      <c r="AK460">
        <v>0.55595323089940196</v>
      </c>
    </row>
    <row r="461" spans="1:37" x14ac:dyDescent="0.2">
      <c r="A461" t="str">
        <f>"20200111154036659"</f>
        <v>20200111154036659</v>
      </c>
      <c r="B461" t="str">
        <f>"1578728436656700"</f>
        <v>1578728436656700</v>
      </c>
      <c r="C461" t="s">
        <v>37</v>
      </c>
      <c r="D461">
        <v>5.4976159999999998</v>
      </c>
      <c r="E461">
        <v>0.55724629999999997</v>
      </c>
      <c r="F461" t="s">
        <v>38</v>
      </c>
      <c r="G461">
        <v>-329.61590000000001</v>
      </c>
      <c r="H461">
        <v>1.011123</v>
      </c>
      <c r="I461">
        <v>367.91050000000001</v>
      </c>
      <c r="J461">
        <v>-330.42290000000003</v>
      </c>
      <c r="K461">
        <v>1.109391</v>
      </c>
      <c r="L461">
        <v>367.96129999999999</v>
      </c>
      <c r="M461">
        <v>0.99956230000000001</v>
      </c>
      <c r="N461">
        <v>0</v>
      </c>
      <c r="O461">
        <v>2.6703950000000001E-2</v>
      </c>
      <c r="P461">
        <v>0.99247730000000001</v>
      </c>
      <c r="Q461">
        <v>2.6237529999999998E-2</v>
      </c>
      <c r="R461">
        <v>0.11958539999999999</v>
      </c>
      <c r="S461">
        <v>3.044098</v>
      </c>
      <c r="T461">
        <v>-0.26635059999999999</v>
      </c>
      <c r="U461">
        <v>-0.1142273</v>
      </c>
      <c r="V461">
        <v>-9.3097650000000004E-2</v>
      </c>
      <c r="W461">
        <v>3.8776989999999997E-2</v>
      </c>
      <c r="X461">
        <v>0.99490159999999905</v>
      </c>
      <c r="Y461">
        <v>6.3826279999999999E-2</v>
      </c>
      <c r="Z461">
        <v>-5.1175439999999999E-3</v>
      </c>
      <c r="AA461">
        <v>0.997947899999999</v>
      </c>
      <c r="AB461">
        <v>64</v>
      </c>
      <c r="AC461">
        <v>0.80700000000001604</v>
      </c>
      <c r="AD461">
        <v>-9.8267999999999994E-2</v>
      </c>
      <c r="AE461">
        <v>-5.0799999999980999E-2</v>
      </c>
      <c r="AF461">
        <v>7.1280946644696294E-2</v>
      </c>
      <c r="AG461">
        <v>-9.8267999999999994E-2</v>
      </c>
      <c r="AH461">
        <v>0.79363408291746096</v>
      </c>
      <c r="AI461">
        <v>97.030438988788305</v>
      </c>
      <c r="AJ461">
        <v>84.867699928938407</v>
      </c>
      <c r="AK461">
        <v>0.80286526313373596</v>
      </c>
    </row>
    <row r="462" spans="1:37" x14ac:dyDescent="0.2">
      <c r="A462" t="str">
        <f>"20200111154036671"</f>
        <v>20200111154036671</v>
      </c>
      <c r="B462" t="str">
        <f>"1578728436666460"</f>
        <v>1578728436666460</v>
      </c>
      <c r="C462" t="s">
        <v>37</v>
      </c>
      <c r="D462">
        <v>5.392741</v>
      </c>
      <c r="E462">
        <v>0.55678149999999904</v>
      </c>
      <c r="F462" t="s">
        <v>38</v>
      </c>
      <c r="G462">
        <v>-329.60309999999998</v>
      </c>
      <c r="H462">
        <v>1.0380799999999999</v>
      </c>
      <c r="I462">
        <v>367.93040000000002</v>
      </c>
      <c r="J462">
        <v>-330.11410000000001</v>
      </c>
      <c r="K462">
        <v>1.109297</v>
      </c>
      <c r="L462">
        <v>367.96949999999998</v>
      </c>
      <c r="M462">
        <v>0.99956100000000003</v>
      </c>
      <c r="N462">
        <v>0</v>
      </c>
      <c r="O462">
        <v>2.6883919999999999E-2</v>
      </c>
      <c r="P462">
        <v>0.99259439999999999</v>
      </c>
      <c r="Q462">
        <v>2.7121929999999999E-2</v>
      </c>
      <c r="R462">
        <v>0.11840919999999901</v>
      </c>
      <c r="S462">
        <v>3.0434570000000001</v>
      </c>
      <c r="T462">
        <v>-0.26488850000000003</v>
      </c>
      <c r="U462">
        <v>-0.1138</v>
      </c>
      <c r="V462">
        <v>-9.1739520000000005E-2</v>
      </c>
      <c r="W462">
        <v>3.9381159999999998E-2</v>
      </c>
      <c r="X462">
        <v>0.995004</v>
      </c>
      <c r="Y462">
        <v>6.3876599999999895E-2</v>
      </c>
      <c r="Z462">
        <v>-5.1084429999999998E-3</v>
      </c>
      <c r="AA462">
        <v>0.99794470000000002</v>
      </c>
      <c r="AB462">
        <v>64</v>
      </c>
      <c r="AC462">
        <v>0.51100000000002399</v>
      </c>
      <c r="AD462">
        <v>-7.1217000000000003E-2</v>
      </c>
      <c r="AE462">
        <v>-3.9099999999962103E-2</v>
      </c>
      <c r="AF462">
        <v>5.1823876471629698E-2</v>
      </c>
      <c r="AG462">
        <v>-7.1217000000000003E-2</v>
      </c>
      <c r="AH462">
        <v>0.50010679404360003</v>
      </c>
      <c r="AI462">
        <v>98.0620349872341</v>
      </c>
      <c r="AJ462">
        <v>84.083805600434005</v>
      </c>
      <c r="AK462">
        <v>0.50780348631150096</v>
      </c>
    </row>
    <row r="463" spans="1:37" x14ac:dyDescent="0.2">
      <c r="A463" t="str">
        <f>"20200111154036683"</f>
        <v>20200111154036683</v>
      </c>
      <c r="B463" t="str">
        <f>"1578728436677196"</f>
        <v>1578728436677196</v>
      </c>
      <c r="C463" t="s">
        <v>37</v>
      </c>
      <c r="D463">
        <v>5.4588150000000004</v>
      </c>
      <c r="E463">
        <v>0.55656490000000003</v>
      </c>
      <c r="F463" t="s">
        <v>38</v>
      </c>
      <c r="G463">
        <v>-329.03570000000002</v>
      </c>
      <c r="H463">
        <v>1.0164070000000001</v>
      </c>
      <c r="I463">
        <v>367.9289</v>
      </c>
      <c r="J463">
        <v>-329.73919999999998</v>
      </c>
      <c r="K463">
        <v>1.109124</v>
      </c>
      <c r="L463">
        <v>367.9796</v>
      </c>
      <c r="M463">
        <v>0.99956160000000005</v>
      </c>
      <c r="N463">
        <v>0</v>
      </c>
      <c r="O463">
        <v>2.7101719999999999E-2</v>
      </c>
      <c r="P463">
        <v>0.99270059999999904</v>
      </c>
      <c r="Q463">
        <v>2.79809E-2</v>
      </c>
      <c r="R463">
        <v>0.1173154</v>
      </c>
      <c r="S463">
        <v>3.043091</v>
      </c>
      <c r="T463">
        <v>-0.26231070000000001</v>
      </c>
      <c r="U463">
        <v>-0.1138306</v>
      </c>
      <c r="V463">
        <v>-9.0425459999999999E-2</v>
      </c>
      <c r="W463">
        <v>3.9714680000000002E-2</v>
      </c>
      <c r="X463">
        <v>0.99511099999999997</v>
      </c>
      <c r="Y463">
        <v>6.4113210000000004E-2</v>
      </c>
      <c r="Z463">
        <v>-5.088413E-3</v>
      </c>
      <c r="AA463">
        <v>0.99792959999999997</v>
      </c>
      <c r="AB463">
        <v>64</v>
      </c>
      <c r="AC463">
        <v>0.70349999999996204</v>
      </c>
      <c r="AD463">
        <v>-9.2716999999999897E-2</v>
      </c>
      <c r="AE463">
        <v>-5.0700000000006101E-2</v>
      </c>
      <c r="AF463">
        <v>6.8564011235277902E-2</v>
      </c>
      <c r="AG463">
        <v>-9.2716999999999897E-2</v>
      </c>
      <c r="AH463">
        <v>0.689945228640643</v>
      </c>
      <c r="AI463">
        <v>97.616660088754898</v>
      </c>
      <c r="AJ463">
        <v>84.324806458552501</v>
      </c>
      <c r="AK463">
        <v>0.69951546391031305</v>
      </c>
    </row>
    <row r="464" spans="1:37" x14ac:dyDescent="0.2">
      <c r="A464" t="str">
        <f>"20200111154036694"</f>
        <v>20200111154036694</v>
      </c>
      <c r="B464" t="str">
        <f>"1578728436686956"</f>
        <v>1578728436686956</v>
      </c>
      <c r="C464" t="s">
        <v>37</v>
      </c>
      <c r="D464">
        <v>5.4285889999999997</v>
      </c>
      <c r="E464">
        <v>0.55617850000000002</v>
      </c>
      <c r="F464" t="s">
        <v>38</v>
      </c>
      <c r="G464">
        <v>-328.46300000000002</v>
      </c>
      <c r="H464">
        <v>1.000229</v>
      </c>
      <c r="I464">
        <v>367.93110000000001</v>
      </c>
      <c r="J464">
        <v>-329.40010000000001</v>
      </c>
      <c r="K464">
        <v>1.1089500000000001</v>
      </c>
      <c r="L464">
        <v>367.98880000000003</v>
      </c>
      <c r="M464">
        <v>0.99956369999999894</v>
      </c>
      <c r="N464">
        <v>0</v>
      </c>
      <c r="O464">
        <v>2.729473E-2</v>
      </c>
      <c r="P464">
        <v>0.99271430000000005</v>
      </c>
      <c r="Q464">
        <v>2.899388E-2</v>
      </c>
      <c r="R464">
        <v>0.1169526</v>
      </c>
      <c r="S464">
        <v>3.042999</v>
      </c>
      <c r="T464">
        <v>-0.25980229999999999</v>
      </c>
      <c r="U464">
        <v>-0.1151428</v>
      </c>
      <c r="V464">
        <v>-8.9869820000000003E-2</v>
      </c>
      <c r="W464">
        <v>4.0100610000000002E-2</v>
      </c>
      <c r="X464">
        <v>0.99514590000000003</v>
      </c>
      <c r="Y464">
        <v>6.4739989999999997E-2</v>
      </c>
      <c r="Z464">
        <v>-5.083171E-3</v>
      </c>
      <c r="AA464">
        <v>0.99788920000000003</v>
      </c>
      <c r="AB464">
        <v>65</v>
      </c>
      <c r="AC464">
        <v>0.93709999999998606</v>
      </c>
      <c r="AD464">
        <v>-0.108721</v>
      </c>
      <c r="AE464">
        <v>-5.7700000000011097E-2</v>
      </c>
      <c r="AF464">
        <v>8.2156347920826794E-2</v>
      </c>
      <c r="AG464">
        <v>-0.108721</v>
      </c>
      <c r="AH464">
        <v>0.92280153411645904</v>
      </c>
      <c r="AI464">
        <v>96.693165457453802</v>
      </c>
      <c r="AJ464">
        <v>84.912411986424104</v>
      </c>
      <c r="AK464">
        <v>0.93280897975543697</v>
      </c>
    </row>
    <row r="465" spans="1:37" x14ac:dyDescent="0.2">
      <c r="A465" t="str">
        <f>"20200111154036705"</f>
        <v>20200111154036705</v>
      </c>
      <c r="B465" t="str">
        <f>"1578728436696716"</f>
        <v>1578728436696716</v>
      </c>
      <c r="C465" t="s">
        <v>37</v>
      </c>
      <c r="D465">
        <v>5.6375250000000001</v>
      </c>
      <c r="E465">
        <v>0.5560003</v>
      </c>
      <c r="F465" t="s">
        <v>38</v>
      </c>
      <c r="G465">
        <v>-328.44959999999998</v>
      </c>
      <c r="H465">
        <v>1.028877</v>
      </c>
      <c r="I465">
        <v>367.95319999999998</v>
      </c>
      <c r="J465">
        <v>-329.08850000000001</v>
      </c>
      <c r="K465">
        <v>1.10880499999999</v>
      </c>
      <c r="L465">
        <v>367.9973</v>
      </c>
      <c r="M465">
        <v>0.99956480000000003</v>
      </c>
      <c r="N465">
        <v>0</v>
      </c>
      <c r="O465">
        <v>2.7472590000000002E-2</v>
      </c>
      <c r="P465">
        <v>0.99276010000000003</v>
      </c>
      <c r="Q465">
        <v>2.971801E-2</v>
      </c>
      <c r="R465">
        <v>0.11637939999999899</v>
      </c>
      <c r="S465">
        <v>3.042786</v>
      </c>
      <c r="T465">
        <v>-0.25651469999999998</v>
      </c>
      <c r="U465">
        <v>-0.1132507</v>
      </c>
      <c r="V465">
        <v>-8.9117470000000004E-2</v>
      </c>
      <c r="W465">
        <v>4.0292149999999999E-2</v>
      </c>
      <c r="X465">
        <v>0.99520580000000003</v>
      </c>
      <c r="Y465">
        <v>6.4309630000000007E-2</v>
      </c>
      <c r="Z465">
        <v>-5.0163279999999996E-3</v>
      </c>
      <c r="AA465">
        <v>0.99791739999999995</v>
      </c>
      <c r="AB465">
        <v>65</v>
      </c>
      <c r="AC465">
        <v>0.638900000000035</v>
      </c>
      <c r="AD465">
        <v>-7.9927999999999694E-2</v>
      </c>
      <c r="AE465">
        <v>-4.4100000000014399E-2</v>
      </c>
      <c r="AF465">
        <v>6.0691251161864003E-2</v>
      </c>
      <c r="AG465">
        <v>-7.9927999999999694E-2</v>
      </c>
      <c r="AH465">
        <v>0.62767035095667101</v>
      </c>
      <c r="AI465">
        <v>97.223696570648002</v>
      </c>
      <c r="AJ465">
        <v>84.477075830192604</v>
      </c>
      <c r="AK465">
        <v>0.63564296788500896</v>
      </c>
    </row>
    <row r="466" spans="1:37" x14ac:dyDescent="0.2">
      <c r="A466" t="str">
        <f>"20200111154036716"</f>
        <v>20200111154036716</v>
      </c>
      <c r="B466" t="str">
        <f>"1578728436706476"</f>
        <v>1578728436706476</v>
      </c>
      <c r="C466" t="s">
        <v>37</v>
      </c>
      <c r="D466">
        <v>5.3007269999999904</v>
      </c>
      <c r="E466">
        <v>0.55566649999999995</v>
      </c>
      <c r="F466" t="s">
        <v>38</v>
      </c>
      <c r="G466">
        <v>-327.87799999999999</v>
      </c>
      <c r="H466">
        <v>1.0082610000000001</v>
      </c>
      <c r="I466">
        <v>367.95209999999997</v>
      </c>
      <c r="J466">
        <v>-328.76749999999998</v>
      </c>
      <c r="K466">
        <v>1.108708</v>
      </c>
      <c r="L466">
        <v>368.0061</v>
      </c>
      <c r="M466">
        <v>0.99956429999999996</v>
      </c>
      <c r="N466">
        <v>0</v>
      </c>
      <c r="O466">
        <v>2.765809E-2</v>
      </c>
      <c r="P466">
        <v>0.99276919999999902</v>
      </c>
      <c r="Q466">
        <v>3.0326720000000001E-2</v>
      </c>
      <c r="R466">
        <v>0.116144699999999</v>
      </c>
      <c r="S466">
        <v>3.0427550000000001</v>
      </c>
      <c r="T466">
        <v>-0.25275530000000002</v>
      </c>
      <c r="U466">
        <v>-0.1134033</v>
      </c>
      <c r="V466">
        <v>-8.8696849999999994E-2</v>
      </c>
      <c r="W466">
        <v>4.0469390000000001E-2</v>
      </c>
      <c r="X466">
        <v>0.99523619999999902</v>
      </c>
      <c r="Y466">
        <v>6.4553009999999994E-2</v>
      </c>
      <c r="Z466">
        <v>-4.968564E-3</v>
      </c>
      <c r="AA466">
        <v>0.99790190000000001</v>
      </c>
      <c r="AB466">
        <v>65</v>
      </c>
      <c r="AC466">
        <v>0.889499999999941</v>
      </c>
      <c r="AD466">
        <v>-0.100446999999999</v>
      </c>
      <c r="AE466">
        <v>-5.4000000000030399E-2</v>
      </c>
      <c r="AF466">
        <v>7.7596630424551005E-2</v>
      </c>
      <c r="AG466">
        <v>-0.100446999999999</v>
      </c>
      <c r="AH466">
        <v>0.87652950556107601</v>
      </c>
      <c r="AI466">
        <v>96.512116439328295</v>
      </c>
      <c r="AJ466">
        <v>84.940958283219999</v>
      </c>
      <c r="AK466">
        <v>0.88567195449635205</v>
      </c>
    </row>
    <row r="467" spans="1:37" x14ac:dyDescent="0.2">
      <c r="A467" t="str">
        <f>"20200111154036727"</f>
        <v>20200111154036727</v>
      </c>
      <c r="B467" t="str">
        <f>"1578728436717212"</f>
        <v>1578728436717212</v>
      </c>
      <c r="C467" t="s">
        <v>37</v>
      </c>
      <c r="D467">
        <v>5.3952869999999997</v>
      </c>
      <c r="E467">
        <v>0.55531809999999904</v>
      </c>
      <c r="F467" t="s">
        <v>38</v>
      </c>
      <c r="G467">
        <v>-327.86540000000002</v>
      </c>
      <c r="H467">
        <v>1.0350170000000001</v>
      </c>
      <c r="I467">
        <v>367.97309999999999</v>
      </c>
      <c r="J467">
        <v>-328.44850000000002</v>
      </c>
      <c r="K467">
        <v>1.108652</v>
      </c>
      <c r="L467">
        <v>368.01490000000001</v>
      </c>
      <c r="M467">
        <v>0.99956239999999996</v>
      </c>
      <c r="N467">
        <v>0</v>
      </c>
      <c r="O467">
        <v>2.7843719999999999E-2</v>
      </c>
      <c r="P467">
        <v>0.99279379999999995</v>
      </c>
      <c r="Q467">
        <v>3.0760490000000001E-2</v>
      </c>
      <c r="R467">
        <v>0.115820699999999</v>
      </c>
      <c r="S467">
        <v>3.04241899999999</v>
      </c>
      <c r="T467">
        <v>-0.24858649999999999</v>
      </c>
      <c r="U467">
        <v>-0.1112366</v>
      </c>
      <c r="V467">
        <v>-8.8186719999999996E-2</v>
      </c>
      <c r="W467">
        <v>4.0589920000000002E-2</v>
      </c>
      <c r="X467">
        <v>0.99527659999999996</v>
      </c>
      <c r="Y467">
        <v>6.4043950000000002E-2</v>
      </c>
      <c r="Z467">
        <v>-4.88186E-3</v>
      </c>
      <c r="AA467">
        <v>0.99793509999999996</v>
      </c>
      <c r="AB467">
        <v>65</v>
      </c>
      <c r="AC467">
        <v>0.58310000000000095</v>
      </c>
      <c r="AD467">
        <v>-7.3634999999999895E-2</v>
      </c>
      <c r="AE467">
        <v>-4.1800000000023298E-2</v>
      </c>
      <c r="AF467">
        <v>5.7114125140874002E-2</v>
      </c>
      <c r="AG467">
        <v>-7.3634999999999895E-2</v>
      </c>
      <c r="AH467">
        <v>0.572624940384304</v>
      </c>
      <c r="AI467">
        <v>97.2917793092289</v>
      </c>
      <c r="AJ467">
        <v>84.304105768097202</v>
      </c>
      <c r="AK467">
        <v>0.58015813263776295</v>
      </c>
    </row>
    <row r="468" spans="1:37" x14ac:dyDescent="0.2">
      <c r="A468" t="str">
        <f>"20200111154036739"</f>
        <v>20200111154036739</v>
      </c>
      <c r="B468" t="str">
        <f>"1578728436726972"</f>
        <v>1578728436726972</v>
      </c>
      <c r="C468" t="s">
        <v>37</v>
      </c>
      <c r="D468">
        <v>5.3666400000000003</v>
      </c>
      <c r="E468">
        <v>0.55506309999999903</v>
      </c>
      <c r="F468" t="s">
        <v>38</v>
      </c>
      <c r="G468">
        <v>-327.29340000000002</v>
      </c>
      <c r="H468">
        <v>1.0153889999999901</v>
      </c>
      <c r="I468">
        <v>367.97340000000003</v>
      </c>
      <c r="J468">
        <v>-328.10359999999997</v>
      </c>
      <c r="K468">
        <v>1.1086400000000001</v>
      </c>
      <c r="L468">
        <v>368.02440000000001</v>
      </c>
      <c r="M468">
        <v>0.99955859999999996</v>
      </c>
      <c r="N468">
        <v>0</v>
      </c>
      <c r="O468">
        <v>2.8045939999999998E-2</v>
      </c>
      <c r="P468">
        <v>0.99284729999999999</v>
      </c>
      <c r="Q468">
        <v>3.1039270000000001E-2</v>
      </c>
      <c r="R468">
        <v>0.1152864</v>
      </c>
      <c r="S468">
        <v>3.0421450000000001</v>
      </c>
      <c r="T468">
        <v>-0.2456313</v>
      </c>
      <c r="U468">
        <v>-0.1094666</v>
      </c>
      <c r="V468">
        <v>-8.7449330000000006E-2</v>
      </c>
      <c r="W468">
        <v>4.06814E-2</v>
      </c>
      <c r="X468">
        <v>0.99533799999999995</v>
      </c>
      <c r="Y468">
        <v>6.3676899999999995E-2</v>
      </c>
      <c r="Z468">
        <v>-4.8259940000000001E-3</v>
      </c>
      <c r="AA468">
        <v>0.99795889999999998</v>
      </c>
      <c r="AB468">
        <v>65</v>
      </c>
      <c r="AC468">
        <v>0.81019999999995196</v>
      </c>
      <c r="AD468">
        <v>-9.3251000000000195E-2</v>
      </c>
      <c r="AE468">
        <v>-5.0999999999987701E-2</v>
      </c>
      <c r="AF468">
        <v>7.2744000627394598E-2</v>
      </c>
      <c r="AG468">
        <v>-9.3251000000000195E-2</v>
      </c>
      <c r="AH468">
        <v>0.79792237255379295</v>
      </c>
      <c r="AI468">
        <v>96.638480364894505</v>
      </c>
      <c r="AJ468">
        <v>84.790928865226206</v>
      </c>
      <c r="AK468">
        <v>0.80663966630097705</v>
      </c>
    </row>
    <row r="469" spans="1:37" x14ac:dyDescent="0.2">
      <c r="A469" t="str">
        <f>"20200111154036750"</f>
        <v>20200111154036750</v>
      </c>
      <c r="B469" t="str">
        <f>"1578728436746492"</f>
        <v>1578728436746492</v>
      </c>
      <c r="C469" t="s">
        <v>37</v>
      </c>
      <c r="D469">
        <v>5.2465089999999996</v>
      </c>
      <c r="E469">
        <v>0.55463739999999995</v>
      </c>
      <c r="F469" t="s">
        <v>38</v>
      </c>
      <c r="G469">
        <v>-327.28050000000002</v>
      </c>
      <c r="H469">
        <v>1.0427519999999999</v>
      </c>
      <c r="I469">
        <v>367.99509999999998</v>
      </c>
      <c r="J469">
        <v>-327.80090000000001</v>
      </c>
      <c r="K469">
        <v>1.10866</v>
      </c>
      <c r="L469">
        <v>368.03289999999998</v>
      </c>
      <c r="M469">
        <v>0.99955430000000001</v>
      </c>
      <c r="N469">
        <v>0</v>
      </c>
      <c r="O469">
        <v>2.8224269999999999E-2</v>
      </c>
      <c r="P469">
        <v>0.99288779999999999</v>
      </c>
      <c r="Q469">
        <v>3.1095459999999998E-2</v>
      </c>
      <c r="R469">
        <v>0.114921</v>
      </c>
      <c r="S469">
        <v>3.041779</v>
      </c>
      <c r="T469">
        <v>-0.24349309999999999</v>
      </c>
      <c r="U469">
        <v>-0.10867309999999999</v>
      </c>
      <c r="V469">
        <v>-8.6905049999999998E-2</v>
      </c>
      <c r="W469">
        <v>4.0649970000000001E-2</v>
      </c>
      <c r="X469">
        <v>0.99538689999999996</v>
      </c>
      <c r="Y469">
        <v>6.3603999999999994E-2</v>
      </c>
      <c r="Z469">
        <v>-4.7960490000000001E-3</v>
      </c>
      <c r="AA469">
        <v>0.99796369999999901</v>
      </c>
      <c r="AB469">
        <v>65</v>
      </c>
      <c r="AC469">
        <v>0.52039999999999498</v>
      </c>
      <c r="AD469">
        <v>-6.59079999999998E-2</v>
      </c>
      <c r="AE469">
        <v>-3.7800000000004198E-2</v>
      </c>
      <c r="AF469">
        <v>5.16494405817155E-2</v>
      </c>
      <c r="AG469">
        <v>-6.59079999999998E-2</v>
      </c>
      <c r="AH469">
        <v>0.51097279558423203</v>
      </c>
      <c r="AI469">
        <v>97.312877663265297</v>
      </c>
      <c r="AJ469">
        <v>84.228112208481605</v>
      </c>
      <c r="AK469">
        <v>0.51778830327033298</v>
      </c>
    </row>
    <row r="470" spans="1:37" x14ac:dyDescent="0.2">
      <c r="A470" t="str">
        <f>"20200111154036762"</f>
        <v>20200111154036762</v>
      </c>
      <c r="B470" t="str">
        <f>"1578728436757229"</f>
        <v>1578728436757229</v>
      </c>
      <c r="C470" t="s">
        <v>37</v>
      </c>
      <c r="D470">
        <v>5.2733759999999998</v>
      </c>
      <c r="E470">
        <v>0.55441850000000004</v>
      </c>
      <c r="F470" t="s">
        <v>38</v>
      </c>
      <c r="G470">
        <v>-326.70839999999998</v>
      </c>
      <c r="H470">
        <v>1.0224659999999901</v>
      </c>
      <c r="I470">
        <v>367.99470000000002</v>
      </c>
      <c r="J470">
        <v>-327.45209999999997</v>
      </c>
      <c r="K470">
        <v>1.108692</v>
      </c>
      <c r="L470">
        <v>368.04259999999999</v>
      </c>
      <c r="M470">
        <v>0.99954920000000003</v>
      </c>
      <c r="N470">
        <v>0</v>
      </c>
      <c r="O470">
        <v>2.8430279999999999E-2</v>
      </c>
      <c r="P470">
        <v>0.99296810000000002</v>
      </c>
      <c r="Q470">
        <v>3.124277E-2</v>
      </c>
      <c r="R470">
        <v>0.1141851</v>
      </c>
      <c r="S470">
        <v>3.0412599999999999</v>
      </c>
      <c r="T470">
        <v>-0.240002299999999</v>
      </c>
      <c r="U470">
        <v>-0.10604860000000001</v>
      </c>
      <c r="V470">
        <v>-8.5961599999999999E-2</v>
      </c>
      <c r="W470">
        <v>4.0735720000000003E-2</v>
      </c>
      <c r="X470">
        <v>0.9954653</v>
      </c>
      <c r="Y470">
        <v>6.2965179999999996E-2</v>
      </c>
      <c r="Z470">
        <v>-4.7194389999999998E-3</v>
      </c>
      <c r="AA470">
        <v>0.99800460000000002</v>
      </c>
      <c r="AB470">
        <v>65</v>
      </c>
      <c r="AC470">
        <v>0.74369999999998904</v>
      </c>
      <c r="AD470">
        <v>-8.6226000000000094E-2</v>
      </c>
      <c r="AE470">
        <v>-4.7899999999970001E-2</v>
      </c>
      <c r="AF470">
        <v>6.8113386238661797E-2</v>
      </c>
      <c r="AG470">
        <v>-8.6226000000000094E-2</v>
      </c>
      <c r="AH470">
        <v>0.73223505265117605</v>
      </c>
      <c r="AI470">
        <v>96.687457486597907</v>
      </c>
      <c r="AJ470">
        <v>84.685570879466198</v>
      </c>
      <c r="AK470">
        <v>0.74043401379999296</v>
      </c>
    </row>
    <row r="471" spans="1:37" x14ac:dyDescent="0.2">
      <c r="A471" t="str">
        <f>"20200111154036773"</f>
        <v>20200111154036773</v>
      </c>
      <c r="B471" t="str">
        <f>"1578728436766988"</f>
        <v>1578728436766988</v>
      </c>
      <c r="C471" t="s">
        <v>37</v>
      </c>
      <c r="D471">
        <v>5.2550059999999998</v>
      </c>
      <c r="E471">
        <v>0.55426779999999998</v>
      </c>
      <c r="F471" t="s">
        <v>38</v>
      </c>
      <c r="G471">
        <v>-326.6934</v>
      </c>
      <c r="H471">
        <v>1.0496030000000001</v>
      </c>
      <c r="I471">
        <v>368.01589999999999</v>
      </c>
      <c r="J471">
        <v>-327.1207</v>
      </c>
      <c r="K471">
        <v>1.1087129999999901</v>
      </c>
      <c r="L471">
        <v>368.051999999999</v>
      </c>
      <c r="M471">
        <v>0.99954469999999995</v>
      </c>
      <c r="N471">
        <v>0</v>
      </c>
      <c r="O471">
        <v>2.862344E-2</v>
      </c>
      <c r="P471">
        <v>0.99302599999999996</v>
      </c>
      <c r="Q471">
        <v>3.1314259999999997E-2</v>
      </c>
      <c r="R471">
        <v>0.11366130000000001</v>
      </c>
      <c r="S471">
        <v>3.040985</v>
      </c>
      <c r="T471">
        <v>-0.2369482</v>
      </c>
      <c r="U471">
        <v>-0.10656739999999899</v>
      </c>
      <c r="V471">
        <v>-8.5244399999999998E-2</v>
      </c>
      <c r="W471">
        <v>4.0721430000000003E-2</v>
      </c>
      <c r="X471">
        <v>0.99552759999999996</v>
      </c>
      <c r="Y471">
        <v>6.3336580000000003E-2</v>
      </c>
      <c r="Z471">
        <v>-4.689436E-3</v>
      </c>
      <c r="AA471">
        <v>0.99798120000000001</v>
      </c>
      <c r="AB471">
        <v>65</v>
      </c>
      <c r="AC471">
        <v>0.42730000000000201</v>
      </c>
      <c r="AD471">
        <v>-5.9109999999999698E-2</v>
      </c>
      <c r="AE471">
        <v>-3.60999999999762E-2</v>
      </c>
      <c r="AF471">
        <v>4.7415634666412798E-2</v>
      </c>
      <c r="AG471">
        <v>-5.9109999999999698E-2</v>
      </c>
      <c r="AH471">
        <v>0.41814651590559998</v>
      </c>
      <c r="AI471">
        <v>97.995557217978501</v>
      </c>
      <c r="AJ471">
        <v>83.530591600905495</v>
      </c>
      <c r="AK471">
        <v>0.424957342888449</v>
      </c>
    </row>
    <row r="472" spans="1:37" x14ac:dyDescent="0.2">
      <c r="A472" t="str">
        <f>"20200111154036787"</f>
        <v>20200111154036787</v>
      </c>
      <c r="B472" t="str">
        <f>"1578728436776748"</f>
        <v>1578728436776748</v>
      </c>
      <c r="C472" t="s">
        <v>37</v>
      </c>
      <c r="D472">
        <v>5.2383809999999897</v>
      </c>
      <c r="E472">
        <v>0.55414629999999998</v>
      </c>
      <c r="F472" t="s">
        <v>38</v>
      </c>
      <c r="G472">
        <v>-326.12150000000003</v>
      </c>
      <c r="H472">
        <v>1.031717</v>
      </c>
      <c r="I472">
        <v>368.01670000000001</v>
      </c>
      <c r="J472">
        <v>-326.7396</v>
      </c>
      <c r="K472">
        <v>1.1087320000000001</v>
      </c>
      <c r="L472">
        <v>368.06270000000001</v>
      </c>
      <c r="M472">
        <v>0.99953939999999997</v>
      </c>
      <c r="N472">
        <v>0</v>
      </c>
      <c r="O472">
        <v>2.8843259999999999E-2</v>
      </c>
      <c r="P472">
        <v>0.99309760000000002</v>
      </c>
      <c r="Q472">
        <v>3.1903670000000002E-2</v>
      </c>
      <c r="R472">
        <v>0.112868899999999</v>
      </c>
      <c r="S472">
        <v>3.04068</v>
      </c>
      <c r="T472">
        <v>-0.234460799999999</v>
      </c>
      <c r="U472">
        <v>-0.1067505</v>
      </c>
      <c r="V472">
        <v>-8.4232550000000003E-2</v>
      </c>
      <c r="W472">
        <v>4.119548E-2</v>
      </c>
      <c r="X472">
        <v>0.99559419999999899</v>
      </c>
      <c r="Y472">
        <v>6.3623819999999998E-2</v>
      </c>
      <c r="Z472">
        <v>-4.6687859999999899E-3</v>
      </c>
      <c r="AA472">
        <v>0.99796299999999905</v>
      </c>
      <c r="AB472">
        <v>65</v>
      </c>
      <c r="AC472">
        <v>0.61809999999996901</v>
      </c>
      <c r="AD472">
        <v>-7.7015E-2</v>
      </c>
      <c r="AE472">
        <v>-4.59999999999922E-2</v>
      </c>
      <c r="AF472">
        <v>6.28394602378511E-2</v>
      </c>
      <c r="AG472">
        <v>-7.7015E-2</v>
      </c>
      <c r="AH472">
        <v>0.60714197143829696</v>
      </c>
      <c r="AI472">
        <v>97.191260210806803</v>
      </c>
      <c r="AJ472">
        <v>84.090901851592506</v>
      </c>
      <c r="AK472">
        <v>0.61522474061920396</v>
      </c>
    </row>
    <row r="473" spans="1:37" x14ac:dyDescent="0.2">
      <c r="A473" t="str">
        <f>"20200111154036799"</f>
        <v>20200111154036799</v>
      </c>
      <c r="B473" t="str">
        <f>"1578728436786509"</f>
        <v>1578728436786509</v>
      </c>
      <c r="C473" t="s">
        <v>37</v>
      </c>
      <c r="D473">
        <v>5.1791679999999998</v>
      </c>
      <c r="E473">
        <v>0.55414629999999998</v>
      </c>
      <c r="F473" t="s">
        <v>38</v>
      </c>
      <c r="G473">
        <v>-325.54419999999999</v>
      </c>
      <c r="H473">
        <v>1.01759</v>
      </c>
      <c r="I473">
        <v>368.01979999999998</v>
      </c>
      <c r="J473">
        <v>-326.36779999999999</v>
      </c>
      <c r="K473">
        <v>1.1087389999999999</v>
      </c>
      <c r="L473">
        <v>368.07339999999999</v>
      </c>
      <c r="M473">
        <v>0.99953479999999995</v>
      </c>
      <c r="N473">
        <v>0</v>
      </c>
      <c r="O473">
        <v>2.90515999999999E-2</v>
      </c>
      <c r="P473">
        <v>0.99318569999999995</v>
      </c>
      <c r="Q473">
        <v>3.2549349999999998E-2</v>
      </c>
      <c r="R473">
        <v>0.11190609999999999</v>
      </c>
      <c r="S473">
        <v>3.0405880000000001</v>
      </c>
      <c r="T473">
        <v>-0.2321</v>
      </c>
      <c r="U473">
        <v>-0.10815429999999999</v>
      </c>
      <c r="V473">
        <v>-8.3061499999999996E-2</v>
      </c>
      <c r="W473">
        <v>4.169192E-2</v>
      </c>
      <c r="X473">
        <v>0.99567190000000005</v>
      </c>
      <c r="Y473">
        <v>6.4295930000000001E-2</v>
      </c>
      <c r="Z473">
        <v>-4.6634950000000001E-3</v>
      </c>
      <c r="AA473">
        <v>0.99792000000000003</v>
      </c>
      <c r="AB473">
        <v>65</v>
      </c>
      <c r="AC473">
        <v>0.823599999999999</v>
      </c>
      <c r="AD473">
        <v>-9.1148999999999897E-2</v>
      </c>
      <c r="AE473">
        <v>-5.3600000000017099E-2</v>
      </c>
      <c r="AF473">
        <v>7.6571399234386703E-2</v>
      </c>
      <c r="AG473">
        <v>-9.1148999999999897E-2</v>
      </c>
      <c r="AH473">
        <v>0.81179405156461304</v>
      </c>
      <c r="AI473">
        <v>96.378316031283703</v>
      </c>
      <c r="AJ473">
        <v>84.611593847183102</v>
      </c>
      <c r="AK473">
        <v>0.82047602130555997</v>
      </c>
    </row>
    <row r="474" spans="1:37" x14ac:dyDescent="0.2">
      <c r="A474" t="str">
        <f>"20200111154036813"</f>
        <v>20200111154036813</v>
      </c>
      <c r="B474" t="str">
        <f>"1578728436807004"</f>
        <v>1578728436807004</v>
      </c>
      <c r="C474" t="s">
        <v>37</v>
      </c>
      <c r="D474">
        <v>5.1670389999999999</v>
      </c>
      <c r="E474">
        <v>0.53041349999999998</v>
      </c>
      <c r="F474" t="s">
        <v>38</v>
      </c>
      <c r="G474">
        <v>-325.53109999999998</v>
      </c>
      <c r="H474">
        <v>1.045504</v>
      </c>
      <c r="I474">
        <v>368.04239999999999</v>
      </c>
      <c r="J474">
        <v>-325.97410000000002</v>
      </c>
      <c r="K474">
        <v>1.108743</v>
      </c>
      <c r="L474">
        <v>368.0847</v>
      </c>
      <c r="M474">
        <v>0.99953009999999998</v>
      </c>
      <c r="N474">
        <v>0</v>
      </c>
      <c r="O474">
        <v>2.9264189999999999E-2</v>
      </c>
      <c r="P474">
        <v>0.99324290000000004</v>
      </c>
      <c r="Q474">
        <v>3.306253E-2</v>
      </c>
      <c r="R474">
        <v>0.11124529999999901</v>
      </c>
      <c r="S474">
        <v>3.040619</v>
      </c>
      <c r="T474">
        <v>-0.23014770000000001</v>
      </c>
      <c r="U474">
        <v>-0.1112061</v>
      </c>
      <c r="V474">
        <v>-8.2188129999999998E-2</v>
      </c>
      <c r="W474">
        <v>4.2036370000000003E-2</v>
      </c>
      <c r="X474">
        <v>0.99572989999999995</v>
      </c>
      <c r="Y474">
        <v>6.5508479999999994E-2</v>
      </c>
      <c r="Z474">
        <v>-4.686127E-3</v>
      </c>
      <c r="AA474">
        <v>0.99784099999999998</v>
      </c>
      <c r="AB474">
        <v>65</v>
      </c>
      <c r="AC474">
        <v>0.44300000000003997</v>
      </c>
      <c r="AD474">
        <v>-6.3239000000000004E-2</v>
      </c>
      <c r="AE474">
        <v>-4.2300000000011502E-2</v>
      </c>
      <c r="AF474">
        <v>5.4152897568223397E-2</v>
      </c>
      <c r="AG474">
        <v>-6.3239000000000004E-2</v>
      </c>
      <c r="AH474">
        <v>0.43283175227350501</v>
      </c>
      <c r="AI474">
        <v>98.248984835589297</v>
      </c>
      <c r="AJ474">
        <v>82.868606506026396</v>
      </c>
      <c r="AK474">
        <v>0.44076641570358699</v>
      </c>
    </row>
    <row r="475" spans="1:37" x14ac:dyDescent="0.2">
      <c r="A475" t="str">
        <f>"20200111154036828"</f>
        <v>20200111154036828</v>
      </c>
      <c r="B475" t="str">
        <f>"1578728436816764"</f>
        <v>1578728436816764</v>
      </c>
      <c r="C475" t="s">
        <v>37</v>
      </c>
      <c r="D475">
        <v>6.5367030000000002</v>
      </c>
      <c r="E475">
        <v>0.52777489999999905</v>
      </c>
      <c r="F475" t="s">
        <v>40</v>
      </c>
      <c r="G475">
        <v>-304.75420000000003</v>
      </c>
      <c r="H475">
        <v>-0.05</v>
      </c>
      <c r="I475">
        <v>368.63830000000002</v>
      </c>
      <c r="J475">
        <v>-325.5437</v>
      </c>
      <c r="K475">
        <v>1.1087530000000001</v>
      </c>
      <c r="L475">
        <v>368.09710000000001</v>
      </c>
      <c r="M475">
        <v>0.9995252</v>
      </c>
      <c r="N475">
        <v>0</v>
      </c>
      <c r="O475">
        <v>2.9489979999999999E-2</v>
      </c>
      <c r="P475">
        <v>0.99343119999999996</v>
      </c>
      <c r="Q475">
        <v>3.4344359999999997E-2</v>
      </c>
      <c r="R475">
        <v>0.109157399999999</v>
      </c>
      <c r="S475">
        <v>3.0170590000000002</v>
      </c>
      <c r="T475">
        <v>-0.16475119999999999</v>
      </c>
      <c r="U475">
        <v>7.8704830000000003E-2</v>
      </c>
      <c r="V475">
        <v>-7.9872819999999997E-2</v>
      </c>
      <c r="W475">
        <v>4.3136859999999999E-2</v>
      </c>
      <c r="X475">
        <v>0.99587119999999996</v>
      </c>
      <c r="Y475">
        <v>3.365837E-3</v>
      </c>
      <c r="Z475">
        <v>-1.700423E-3</v>
      </c>
      <c r="AA475">
        <v>0.99999289999999996</v>
      </c>
      <c r="AB475">
        <v>65</v>
      </c>
      <c r="AC475">
        <v>20.789499999999901</v>
      </c>
      <c r="AD475">
        <v>-1.1587529999999999</v>
      </c>
      <c r="AE475">
        <v>0.54120000000000301</v>
      </c>
      <c r="AF475">
        <v>7.1918501456388506E-2</v>
      </c>
      <c r="AG475">
        <v>-1.1587529999999999</v>
      </c>
      <c r="AH475">
        <v>20.732054224398102</v>
      </c>
      <c r="AI475">
        <v>93.199019891109899</v>
      </c>
      <c r="AJ475">
        <v>89.801244486958197</v>
      </c>
      <c r="AK475">
        <v>20.764535948324099</v>
      </c>
    </row>
    <row r="476" spans="1:37" x14ac:dyDescent="0.2">
      <c r="A476" t="str">
        <f>"20200111154036849"</f>
        <v>20200111154036849</v>
      </c>
      <c r="B476" t="str">
        <f>"1578728436837259"</f>
        <v>1578728436837259</v>
      </c>
      <c r="C476" t="s">
        <v>37</v>
      </c>
      <c r="D476">
        <v>5.1546159999999999</v>
      </c>
      <c r="E476">
        <v>0.5265048</v>
      </c>
      <c r="F476" t="s">
        <v>40</v>
      </c>
      <c r="G476">
        <v>-301.79559999999998</v>
      </c>
      <c r="H476">
        <v>-0.05</v>
      </c>
      <c r="I476">
        <v>368.83690000000001</v>
      </c>
      <c r="J476">
        <v>-324.89789999999999</v>
      </c>
      <c r="K476">
        <v>1.108765</v>
      </c>
      <c r="L476">
        <v>368.11610000000002</v>
      </c>
      <c r="M476">
        <v>0.99951769999999995</v>
      </c>
      <c r="N476">
        <v>0</v>
      </c>
      <c r="O476">
        <v>2.9813490000000002E-2</v>
      </c>
      <c r="P476">
        <v>0.99358250000000004</v>
      </c>
      <c r="Q476">
        <v>3.5781970000000003E-2</v>
      </c>
      <c r="R476">
        <v>0.1073009</v>
      </c>
      <c r="S476">
        <v>3.014618</v>
      </c>
      <c r="T476">
        <v>-0.147093899999999</v>
      </c>
      <c r="U476">
        <v>9.3902589999999994E-2</v>
      </c>
      <c r="V476">
        <v>-7.7692269999999994E-2</v>
      </c>
      <c r="W476">
        <v>4.4325910000000003E-2</v>
      </c>
      <c r="X476">
        <v>0.99599150000000003</v>
      </c>
      <c r="Y476">
        <v>-1.3537919999999999E-3</v>
      </c>
      <c r="Z476">
        <v>-1.4202129999999901E-3</v>
      </c>
      <c r="AA476">
        <v>0.9999981</v>
      </c>
      <c r="AB476">
        <v>65</v>
      </c>
      <c r="AC476">
        <v>23.1023</v>
      </c>
      <c r="AD476">
        <v>-1.158765</v>
      </c>
      <c r="AE476">
        <v>0.720799999999997</v>
      </c>
      <c r="AF476">
        <v>-3.16139072621641E-2</v>
      </c>
      <c r="AG476">
        <v>-1.158765</v>
      </c>
      <c r="AH476">
        <v>23.055572784647499</v>
      </c>
      <c r="AI476">
        <v>92.877242036660903</v>
      </c>
      <c r="AJ476">
        <v>90.078564186703503</v>
      </c>
      <c r="AK476">
        <v>23.084695627028299</v>
      </c>
    </row>
    <row r="477" spans="1:37" x14ac:dyDescent="0.2">
      <c r="A477" t="str">
        <f>"20200111154036861"</f>
        <v>20200111154036861</v>
      </c>
      <c r="B477" t="str">
        <f>"1578728436856780"</f>
        <v>1578728436856780</v>
      </c>
      <c r="C477" t="s">
        <v>37</v>
      </c>
      <c r="D477">
        <v>5.1069570000000004</v>
      </c>
      <c r="E477">
        <v>0.52556530000000001</v>
      </c>
      <c r="F477" t="s">
        <v>40</v>
      </c>
      <c r="G477">
        <v>-298.41919999999999</v>
      </c>
      <c r="H477">
        <v>-0.05</v>
      </c>
      <c r="I477">
        <v>368.98410000000001</v>
      </c>
      <c r="J477">
        <v>-324.55070000000001</v>
      </c>
      <c r="K477">
        <v>1.108771</v>
      </c>
      <c r="L477">
        <v>368.12630000000001</v>
      </c>
      <c r="M477">
        <v>0.99951389999999996</v>
      </c>
      <c r="N477">
        <v>0</v>
      </c>
      <c r="O477">
        <v>2.9981130000000002E-2</v>
      </c>
      <c r="P477">
        <v>0.99364640000000004</v>
      </c>
      <c r="Q477">
        <v>3.683985E-2</v>
      </c>
      <c r="R477">
        <v>0.1063481</v>
      </c>
      <c r="S477">
        <v>3.013458</v>
      </c>
      <c r="T477">
        <v>-0.1318753</v>
      </c>
      <c r="U477">
        <v>9.8785399999999995E-2</v>
      </c>
      <c r="V477">
        <v>-7.6571970000000003E-2</v>
      </c>
      <c r="W477">
        <v>4.5262910000000003E-2</v>
      </c>
      <c r="X477">
        <v>0.99603619999999904</v>
      </c>
      <c r="Y477">
        <v>-2.80891E-3</v>
      </c>
      <c r="Z477">
        <v>-1.2493820000000001E-3</v>
      </c>
      <c r="AA477">
        <v>0.99999530000000003</v>
      </c>
      <c r="AB477">
        <v>66</v>
      </c>
      <c r="AC477">
        <v>26.131499999999999</v>
      </c>
      <c r="AD477">
        <v>-1.158771</v>
      </c>
      <c r="AE477">
        <v>0.85779999999999701</v>
      </c>
      <c r="AF477">
        <v>-7.3788886481621796E-2</v>
      </c>
      <c r="AG477">
        <v>-1.158771</v>
      </c>
      <c r="AH477">
        <v>26.094215061698101</v>
      </c>
      <c r="AI477">
        <v>92.542664421663702</v>
      </c>
      <c r="AJ477">
        <v>90.162019838167694</v>
      </c>
      <c r="AK477">
        <v>26.120035503734702</v>
      </c>
    </row>
    <row r="478" spans="1:37" x14ac:dyDescent="0.2">
      <c r="A478" t="str">
        <f>"20200111154036873"</f>
        <v>20200111154036873</v>
      </c>
      <c r="B478" t="str">
        <f>"1578728436866540"</f>
        <v>1578728436866540</v>
      </c>
      <c r="C478" t="s">
        <v>37</v>
      </c>
      <c r="D478">
        <v>5.0883989999999999</v>
      </c>
      <c r="E478">
        <v>0.52546819999999905</v>
      </c>
      <c r="F478" t="s">
        <v>40</v>
      </c>
      <c r="G478">
        <v>-296.22829999999999</v>
      </c>
      <c r="H478">
        <v>-0.05</v>
      </c>
      <c r="I478">
        <v>369.10210000000001</v>
      </c>
      <c r="J478">
        <v>-324.21850000000001</v>
      </c>
      <c r="K478">
        <v>1.1087750000000001</v>
      </c>
      <c r="L478">
        <v>368.13619999999997</v>
      </c>
      <c r="M478">
        <v>0.99951009999999996</v>
      </c>
      <c r="N478">
        <v>0</v>
      </c>
      <c r="O478">
        <v>3.0134609999999999E-2</v>
      </c>
      <c r="P478">
        <v>0.99374010000000002</v>
      </c>
      <c r="Q478">
        <v>3.7898010000000003E-2</v>
      </c>
      <c r="R478">
        <v>0.10509309999999999</v>
      </c>
      <c r="S478">
        <v>3.0126650000000001</v>
      </c>
      <c r="T478">
        <v>-0.1232591</v>
      </c>
      <c r="U478">
        <v>0.1037903</v>
      </c>
      <c r="V478">
        <v>-7.5163240000000006E-2</v>
      </c>
      <c r="W478">
        <v>4.6220820000000003E-2</v>
      </c>
      <c r="X478">
        <v>0.99609950000000003</v>
      </c>
      <c r="Y478">
        <v>-4.3189959999999899E-3</v>
      </c>
      <c r="Z478">
        <v>-1.143491E-3</v>
      </c>
      <c r="AA478">
        <v>0.99998999999999905</v>
      </c>
      <c r="AB478">
        <v>66</v>
      </c>
      <c r="AC478">
        <v>27.990200000000002</v>
      </c>
      <c r="AD478">
        <v>-1.1587750000000001</v>
      </c>
      <c r="AE478">
        <v>0.96590000000003295</v>
      </c>
      <c r="AF478">
        <v>-0.121748984950814</v>
      </c>
      <c r="AG478">
        <v>-1.1587750000000001</v>
      </c>
      <c r="AH478">
        <v>27.958733826729802</v>
      </c>
      <c r="AI478">
        <v>92.373294595010606</v>
      </c>
      <c r="AJ478">
        <v>90.249498383909199</v>
      </c>
      <c r="AK478">
        <v>27.9830016172298</v>
      </c>
    </row>
    <row r="479" spans="1:37" x14ac:dyDescent="0.2">
      <c r="A479" t="str">
        <f>"20200111154036885"</f>
        <v>20200111154036885</v>
      </c>
      <c r="B479" t="str">
        <f>"1578728436877276"</f>
        <v>1578728436877276</v>
      </c>
      <c r="C479" t="s">
        <v>37</v>
      </c>
      <c r="D479">
        <v>5.0723849999999997</v>
      </c>
      <c r="E479">
        <v>0.52497539999999998</v>
      </c>
      <c r="F479" t="s">
        <v>40</v>
      </c>
      <c r="G479">
        <v>-294.62599999999998</v>
      </c>
      <c r="H479">
        <v>-0.05</v>
      </c>
      <c r="I479">
        <v>369.12540000000001</v>
      </c>
      <c r="J479">
        <v>-323.8766</v>
      </c>
      <c r="K479">
        <v>1.1087799999999901</v>
      </c>
      <c r="L479">
        <v>368.14640000000003</v>
      </c>
      <c r="M479">
        <v>0.99950620000000001</v>
      </c>
      <c r="N479">
        <v>0</v>
      </c>
      <c r="O479">
        <v>3.0290339999999999E-2</v>
      </c>
      <c r="P479">
        <v>0.99383580000000005</v>
      </c>
      <c r="Q479">
        <v>3.879515E-2</v>
      </c>
      <c r="R479">
        <v>0.1038539</v>
      </c>
      <c r="S479">
        <v>3.0127259999999998</v>
      </c>
      <c r="T479">
        <v>-0.11797149999999899</v>
      </c>
      <c r="U479">
        <v>0.10070800000000001</v>
      </c>
      <c r="V479">
        <v>-7.3767299999999994E-2</v>
      </c>
      <c r="W479">
        <v>4.7017699999999898E-2</v>
      </c>
      <c r="X479">
        <v>0.99616649999999995</v>
      </c>
      <c r="Y479">
        <v>-3.1398309999999901E-3</v>
      </c>
      <c r="Z479">
        <v>-1.1236379999999999E-3</v>
      </c>
      <c r="AA479">
        <v>0.99999450000000001</v>
      </c>
      <c r="AB479">
        <v>66</v>
      </c>
      <c r="AC479">
        <v>29.250599999999999</v>
      </c>
      <c r="AD479">
        <v>-1.1587799999999999</v>
      </c>
      <c r="AE479">
        <v>0.97899999999998499</v>
      </c>
      <c r="AF479">
        <v>-9.23643875405704E-2</v>
      </c>
      <c r="AG479">
        <v>-1.1587799999999999</v>
      </c>
      <c r="AH479">
        <v>29.221024447690699</v>
      </c>
      <c r="AI479">
        <v>92.270902664960104</v>
      </c>
      <c r="AJ479">
        <v>90.181104942715606</v>
      </c>
      <c r="AK479">
        <v>29.244137396083701</v>
      </c>
    </row>
    <row r="480" spans="1:37" x14ac:dyDescent="0.2">
      <c r="A480" t="str">
        <f>"20200111154036894"</f>
        <v>20200111154036894</v>
      </c>
      <c r="B480" t="str">
        <f>"1578728436887036"</f>
        <v>1578728436887036</v>
      </c>
      <c r="C480" t="s">
        <v>37</v>
      </c>
      <c r="D480">
        <v>5.1583009999999998</v>
      </c>
      <c r="E480">
        <v>0.52401779999999998</v>
      </c>
      <c r="F480" t="s">
        <v>40</v>
      </c>
      <c r="G480">
        <v>-293.28320000000002</v>
      </c>
      <c r="H480">
        <v>-0.05</v>
      </c>
      <c r="I480">
        <v>369.17070000000001</v>
      </c>
      <c r="J480">
        <v>-323.54660000000001</v>
      </c>
      <c r="K480">
        <v>1.1087830000000001</v>
      </c>
      <c r="L480">
        <v>368.15629999999999</v>
      </c>
      <c r="M480">
        <v>0.99950280000000002</v>
      </c>
      <c r="N480">
        <v>0</v>
      </c>
      <c r="O480">
        <v>3.043102E-2</v>
      </c>
      <c r="P480">
        <v>0.99393929999999997</v>
      </c>
      <c r="Q480">
        <v>3.9621209999999997E-2</v>
      </c>
      <c r="R480">
        <v>0.1025422</v>
      </c>
      <c r="S480">
        <v>3.0124819999999999</v>
      </c>
      <c r="T480">
        <v>-0.1141031</v>
      </c>
      <c r="U480">
        <v>0.10086059999999999</v>
      </c>
      <c r="V480">
        <v>-7.2312100000000004E-2</v>
      </c>
      <c r="W480">
        <v>4.7758830000000002E-2</v>
      </c>
      <c r="X480">
        <v>0.99623790000000001</v>
      </c>
      <c r="Y480">
        <v>-3.0512400000000002E-3</v>
      </c>
      <c r="Z480">
        <v>-1.0939039999999999E-3</v>
      </c>
      <c r="AA480">
        <v>0.99999479999999996</v>
      </c>
      <c r="AB480">
        <v>66</v>
      </c>
      <c r="AC480">
        <v>30.263399999999901</v>
      </c>
      <c r="AD480">
        <v>-1.1587829999999999</v>
      </c>
      <c r="AE480">
        <v>1.01440000000002</v>
      </c>
      <c r="AF480">
        <v>-9.2816747469834204E-2</v>
      </c>
      <c r="AG480">
        <v>-1.1587829999999999</v>
      </c>
      <c r="AH480">
        <v>30.235973670021298</v>
      </c>
      <c r="AI480">
        <v>92.194756038885899</v>
      </c>
      <c r="AJ480">
        <v>90.175882915226097</v>
      </c>
      <c r="AK480">
        <v>30.258312853890601</v>
      </c>
    </row>
    <row r="481" spans="1:37" x14ac:dyDescent="0.2">
      <c r="A481" t="str">
        <f>"20200111154036905"</f>
        <v>20200111154036905</v>
      </c>
      <c r="B481" t="str">
        <f>"1578728436896797"</f>
        <v>1578728436896797</v>
      </c>
      <c r="C481" t="s">
        <v>37</v>
      </c>
      <c r="D481">
        <v>5.0115429999999996</v>
      </c>
      <c r="E481">
        <v>0.52328149999999996</v>
      </c>
      <c r="F481" t="s">
        <v>40</v>
      </c>
      <c r="G481">
        <v>-292.49079999999998</v>
      </c>
      <c r="H481">
        <v>-0.05</v>
      </c>
      <c r="I481">
        <v>369.23660000000001</v>
      </c>
      <c r="J481">
        <v>-323.24059999999997</v>
      </c>
      <c r="K481">
        <v>1.108781</v>
      </c>
      <c r="L481">
        <v>368.16559999999998</v>
      </c>
      <c r="M481">
        <v>0.99949949999999999</v>
      </c>
      <c r="N481">
        <v>0</v>
      </c>
      <c r="O481">
        <v>3.0558189999999999E-2</v>
      </c>
      <c r="P481">
        <v>0.99401859999999997</v>
      </c>
      <c r="Q481">
        <v>4.0376269999999999E-2</v>
      </c>
      <c r="R481">
        <v>0.1014742</v>
      </c>
      <c r="S481">
        <v>3.0119020000000001</v>
      </c>
      <c r="T481">
        <v>-0.11238279999999901</v>
      </c>
      <c r="U481">
        <v>0.10476679999999999</v>
      </c>
      <c r="V481">
        <v>-7.1115940000000002E-2</v>
      </c>
      <c r="W481">
        <v>4.8438009999999997E-2</v>
      </c>
      <c r="X481">
        <v>0.99629129999999999</v>
      </c>
      <c r="Y481">
        <v>-4.2245690000000001E-3</v>
      </c>
      <c r="Z481">
        <v>-1.0604639999999999E-3</v>
      </c>
      <c r="AA481">
        <v>0.9999905</v>
      </c>
      <c r="AB481">
        <v>66</v>
      </c>
      <c r="AC481">
        <v>30.7498</v>
      </c>
      <c r="AD481">
        <v>-1.1587809999999901</v>
      </c>
      <c r="AE481">
        <v>1.0710000000000199</v>
      </c>
      <c r="AF481">
        <v>-0.13062483711362299</v>
      </c>
      <c r="AG481">
        <v>-1.1587809999999901</v>
      </c>
      <c r="AH481">
        <v>30.7245884312476</v>
      </c>
      <c r="AI481">
        <v>92.159872982482099</v>
      </c>
      <c r="AJ481">
        <v>90.243590139236602</v>
      </c>
      <c r="AK481">
        <v>30.7467099138035</v>
      </c>
    </row>
    <row r="482" spans="1:37" x14ac:dyDescent="0.2">
      <c r="A482" t="str">
        <f>"20200111154036916"</f>
        <v>20200111154036916</v>
      </c>
      <c r="B482" t="str">
        <f>"1578728436906556"</f>
        <v>1578728436906556</v>
      </c>
      <c r="C482" t="s">
        <v>37</v>
      </c>
      <c r="D482">
        <v>5.018688</v>
      </c>
      <c r="E482">
        <v>0.52268800000000004</v>
      </c>
      <c r="F482" t="s">
        <v>40</v>
      </c>
      <c r="G482">
        <v>-291.64780000000002</v>
      </c>
      <c r="H482">
        <v>-0.05</v>
      </c>
      <c r="I482">
        <v>369.2921</v>
      </c>
      <c r="J482">
        <v>-322.90629999999999</v>
      </c>
      <c r="K482">
        <v>1.1087739999999999</v>
      </c>
      <c r="L482">
        <v>368.17570000000001</v>
      </c>
      <c r="M482">
        <v>0.9994963</v>
      </c>
      <c r="N482">
        <v>0</v>
      </c>
      <c r="O482">
        <v>3.068773E-2</v>
      </c>
      <c r="P482">
        <v>0.99408730000000001</v>
      </c>
      <c r="Q482">
        <v>4.1402330000000001E-2</v>
      </c>
      <c r="R482">
        <v>0.10038279999999999</v>
      </c>
      <c r="S482">
        <v>3.0115970000000001</v>
      </c>
      <c r="T482">
        <v>-0.1104613</v>
      </c>
      <c r="U482">
        <v>0.1073914</v>
      </c>
      <c r="V482">
        <v>-6.9893590000000005E-2</v>
      </c>
      <c r="W482">
        <v>4.9388639999999998E-2</v>
      </c>
      <c r="X482">
        <v>0.99633109999999903</v>
      </c>
      <c r="Y482">
        <v>-4.9678669999999999E-3</v>
      </c>
      <c r="Z482">
        <v>-1.0335519999999901E-3</v>
      </c>
      <c r="AA482">
        <v>0.99998709999999902</v>
      </c>
      <c r="AB482">
        <v>66</v>
      </c>
      <c r="AC482">
        <v>31.258499999999898</v>
      </c>
      <c r="AD482">
        <v>-1.158774</v>
      </c>
      <c r="AE482">
        <v>1.1163999999999901</v>
      </c>
      <c r="AF482">
        <v>-0.156375759069732</v>
      </c>
      <c r="AG482">
        <v>-1.158774</v>
      </c>
      <c r="AH482">
        <v>31.235168033929799</v>
      </c>
      <c r="AI482">
        <v>92.124579422425796</v>
      </c>
      <c r="AJ482">
        <v>90.286843219445501</v>
      </c>
      <c r="AK482">
        <v>31.2570461283361</v>
      </c>
    </row>
    <row r="483" spans="1:37" x14ac:dyDescent="0.2">
      <c r="A483" t="str">
        <f>"20200111154036929"</f>
        <v>20200111154036929</v>
      </c>
      <c r="B483" t="str">
        <f>"1578728436917293"</f>
        <v>1578728436917293</v>
      </c>
      <c r="C483" t="s">
        <v>37</v>
      </c>
      <c r="D483">
        <v>5.0455779999999999</v>
      </c>
      <c r="E483">
        <v>0.52250249999999998</v>
      </c>
      <c r="F483" t="s">
        <v>40</v>
      </c>
      <c r="G483">
        <v>-290.94959999999998</v>
      </c>
      <c r="H483">
        <v>-0.05</v>
      </c>
      <c r="I483">
        <v>369.32670000000002</v>
      </c>
      <c r="J483">
        <v>-322.57929999999999</v>
      </c>
      <c r="K483">
        <v>1.10877</v>
      </c>
      <c r="L483">
        <v>368.18560000000002</v>
      </c>
      <c r="M483">
        <v>0.99949310000000002</v>
      </c>
      <c r="N483">
        <v>0</v>
      </c>
      <c r="O483">
        <v>3.080685E-2</v>
      </c>
      <c r="P483">
        <v>0.99418660000000003</v>
      </c>
      <c r="Q483">
        <v>4.1998590000000002E-2</v>
      </c>
      <c r="R483">
        <v>9.9141989999999999E-2</v>
      </c>
      <c r="S483">
        <v>3.0114139999999998</v>
      </c>
      <c r="T483">
        <v>-0.109195899999999</v>
      </c>
      <c r="U483">
        <v>0.1084595</v>
      </c>
      <c r="V483">
        <v>-6.8530599999999997E-2</v>
      </c>
      <c r="W483">
        <v>4.9917749999999997E-2</v>
      </c>
      <c r="X483">
        <v>0.99639940000000005</v>
      </c>
      <c r="Y483">
        <v>-5.2046269999999999E-3</v>
      </c>
      <c r="Z483">
        <v>-1.021798E-3</v>
      </c>
      <c r="AA483">
        <v>0.99998589999999998</v>
      </c>
      <c r="AB483">
        <v>66</v>
      </c>
      <c r="AC483">
        <v>31.6297</v>
      </c>
      <c r="AD483">
        <v>-1.1587700000000001</v>
      </c>
      <c r="AE483">
        <v>1.14109999999999</v>
      </c>
      <c r="AF483">
        <v>-0.16589314295406099</v>
      </c>
      <c r="AG483">
        <v>-1.1587700000000001</v>
      </c>
      <c r="AH483">
        <v>31.607473876060801</v>
      </c>
      <c r="AI483">
        <v>92.099566591818203</v>
      </c>
      <c r="AJ483">
        <v>90.300716523619499</v>
      </c>
      <c r="AK483">
        <v>31.6291427843633</v>
      </c>
    </row>
    <row r="484" spans="1:37" x14ac:dyDescent="0.2">
      <c r="A484" t="str">
        <f>"20200111154036939"</f>
        <v>20200111154036939</v>
      </c>
      <c r="B484" t="str">
        <f>"1578728436936812"</f>
        <v>1578728436936812</v>
      </c>
      <c r="C484" t="s">
        <v>37</v>
      </c>
      <c r="D484">
        <v>5.0643929999999999</v>
      </c>
      <c r="E484">
        <v>0.52288749999999995</v>
      </c>
      <c r="F484" t="s">
        <v>40</v>
      </c>
      <c r="G484">
        <v>-290.4196</v>
      </c>
      <c r="H484">
        <v>-0.05</v>
      </c>
      <c r="I484">
        <v>369.32069999999999</v>
      </c>
      <c r="J484">
        <v>-322.23590000000002</v>
      </c>
      <c r="K484">
        <v>1.108762</v>
      </c>
      <c r="L484">
        <v>368.1961</v>
      </c>
      <c r="M484">
        <v>0.99949009999999905</v>
      </c>
      <c r="N484">
        <v>0</v>
      </c>
      <c r="O484">
        <v>3.092367E-2</v>
      </c>
      <c r="P484">
        <v>0.99422969999999899</v>
      </c>
      <c r="Q484">
        <v>4.2814860000000003E-2</v>
      </c>
      <c r="R484">
        <v>9.8358589999999996E-2</v>
      </c>
      <c r="S484">
        <v>3.0115050000000001</v>
      </c>
      <c r="T484">
        <v>-0.1085097</v>
      </c>
      <c r="U484">
        <v>0.106292699999999</v>
      </c>
      <c r="V484">
        <v>-6.7629079999999994E-2</v>
      </c>
      <c r="W484">
        <v>5.0668770000000002E-2</v>
      </c>
      <c r="X484">
        <v>0.99642310000000001</v>
      </c>
      <c r="Y484">
        <v>-4.3685130000000001E-3</v>
      </c>
      <c r="Z484">
        <v>-1.034622E-3</v>
      </c>
      <c r="AA484">
        <v>0.99998989999999999</v>
      </c>
      <c r="AB484">
        <v>66</v>
      </c>
      <c r="AC484">
        <v>31.816299999999998</v>
      </c>
      <c r="AD484">
        <v>-1.1587620000000001</v>
      </c>
      <c r="AE484">
        <v>1.1245999999999801</v>
      </c>
      <c r="AF484">
        <v>-0.13996880904285</v>
      </c>
      <c r="AG484">
        <v>-1.1587620000000001</v>
      </c>
      <c r="AH484">
        <v>31.793740703601198</v>
      </c>
      <c r="AI484">
        <v>92.087271098945294</v>
      </c>
      <c r="AJ484">
        <v>90.252237391227098</v>
      </c>
      <c r="AK484">
        <v>31.815157842889601</v>
      </c>
    </row>
    <row r="485" spans="1:37" x14ac:dyDescent="0.2">
      <c r="A485" t="str">
        <f>"20200111154036952"</f>
        <v>20200111154036952</v>
      </c>
      <c r="B485" t="str">
        <f>"1578728436946572"</f>
        <v>1578728436946572</v>
      </c>
      <c r="C485" t="s">
        <v>37</v>
      </c>
      <c r="D485">
        <v>5.0357199999999898</v>
      </c>
      <c r="E485">
        <v>0.52279739999999997</v>
      </c>
      <c r="F485" t="s">
        <v>40</v>
      </c>
      <c r="G485">
        <v>-289.43419999999998</v>
      </c>
      <c r="H485">
        <v>-0.05</v>
      </c>
      <c r="I485">
        <v>369.29320000000001</v>
      </c>
      <c r="J485">
        <v>-321.89420000000001</v>
      </c>
      <c r="K485">
        <v>1.1087480000000001</v>
      </c>
      <c r="L485">
        <v>368.20659999999998</v>
      </c>
      <c r="M485">
        <v>0.99948740000000003</v>
      </c>
      <c r="N485">
        <v>0</v>
      </c>
      <c r="O485">
        <v>3.102512E-2</v>
      </c>
      <c r="P485">
        <v>0.9943208</v>
      </c>
      <c r="Q485">
        <v>4.3527349999999999E-2</v>
      </c>
      <c r="R485">
        <v>9.7116400000000005E-2</v>
      </c>
      <c r="S485">
        <v>3.0120239999999998</v>
      </c>
      <c r="T485">
        <v>-0.1064036</v>
      </c>
      <c r="U485">
        <v>0.10073849999999999</v>
      </c>
      <c r="V485">
        <v>-6.6281690000000004E-2</v>
      </c>
      <c r="W485">
        <v>5.1327379999999999E-2</v>
      </c>
      <c r="X485">
        <v>0.99647989999999997</v>
      </c>
      <c r="Y485">
        <v>-2.4197479999999898E-3</v>
      </c>
      <c r="Z485">
        <v>-1.0523989999999899E-3</v>
      </c>
      <c r="AA485">
        <v>0.99999649999999995</v>
      </c>
      <c r="AB485">
        <v>66</v>
      </c>
      <c r="AC485">
        <v>32.46</v>
      </c>
      <c r="AD485">
        <v>-1.1587479999999999</v>
      </c>
      <c r="AE485">
        <v>1.08660000000003</v>
      </c>
      <c r="AF485">
        <v>-7.8869683435528595E-2</v>
      </c>
      <c r="AG485">
        <v>-1.1587479999999999</v>
      </c>
      <c r="AH485">
        <v>32.436797066755197</v>
      </c>
      <c r="AI485">
        <v>92.045915741205107</v>
      </c>
      <c r="AJ485">
        <v>90.139313726866206</v>
      </c>
      <c r="AK485">
        <v>32.457583417505496</v>
      </c>
    </row>
    <row r="486" spans="1:37" x14ac:dyDescent="0.2">
      <c r="A486" t="str">
        <f>"20200111154036964"</f>
        <v>20200111154036964</v>
      </c>
      <c r="B486" t="str">
        <f>"1578728436957308"</f>
        <v>1578728436957308</v>
      </c>
      <c r="C486" t="s">
        <v>37</v>
      </c>
      <c r="D486">
        <v>5.0284820000000003</v>
      </c>
      <c r="E486">
        <v>0.52272149999999995</v>
      </c>
      <c r="F486" t="s">
        <v>40</v>
      </c>
      <c r="G486">
        <v>-288.0308</v>
      </c>
      <c r="H486">
        <v>-0.05</v>
      </c>
      <c r="I486">
        <v>369.30520000000001</v>
      </c>
      <c r="J486">
        <v>-321.52589999999998</v>
      </c>
      <c r="K486">
        <v>1.1087309999999999</v>
      </c>
      <c r="L486">
        <v>368.21789999999999</v>
      </c>
      <c r="M486">
        <v>0.9994847</v>
      </c>
      <c r="N486">
        <v>0</v>
      </c>
      <c r="O486">
        <v>3.1126899999999999E-2</v>
      </c>
      <c r="P486">
        <v>0.99437359999999897</v>
      </c>
      <c r="Q486">
        <v>4.4344840000000003E-2</v>
      </c>
      <c r="R486">
        <v>9.6200839999999996E-2</v>
      </c>
      <c r="S486">
        <v>3.0120849999999999</v>
      </c>
      <c r="T486">
        <v>-0.10306839999999901</v>
      </c>
      <c r="U486">
        <v>9.7717289999999998E-2</v>
      </c>
      <c r="V486">
        <v>-6.5262239999999999E-2</v>
      </c>
      <c r="W486">
        <v>5.2090730000000002E-2</v>
      </c>
      <c r="X486">
        <v>0.99650759999999905</v>
      </c>
      <c r="Y486">
        <v>-1.3149069999999999E-3</v>
      </c>
      <c r="Z486">
        <v>-1.0418019999999899E-3</v>
      </c>
      <c r="AA486">
        <v>0.99999859999999896</v>
      </c>
      <c r="AB486">
        <v>66</v>
      </c>
      <c r="AC486">
        <v>33.495099999999901</v>
      </c>
      <c r="AD486">
        <v>-1.158731</v>
      </c>
      <c r="AE486">
        <v>1.0873000000000199</v>
      </c>
      <c r="AF486">
        <v>-4.4089733672829402E-2</v>
      </c>
      <c r="AG486">
        <v>-1.158731</v>
      </c>
      <c r="AH486">
        <v>33.472697741057701</v>
      </c>
      <c r="AI486">
        <v>91.982625908431203</v>
      </c>
      <c r="AJ486">
        <v>90.075469094780203</v>
      </c>
      <c r="AK486">
        <v>33.492776766031</v>
      </c>
    </row>
    <row r="487" spans="1:37" x14ac:dyDescent="0.2">
      <c r="A487" t="str">
        <f>"20200111154036975"</f>
        <v>20200111154036975</v>
      </c>
      <c r="B487" t="str">
        <f>"1578728436967068"</f>
        <v>1578728436967068</v>
      </c>
      <c r="C487" t="s">
        <v>37</v>
      </c>
      <c r="D487">
        <v>5.0737420000000002</v>
      </c>
      <c r="E487">
        <v>0.52256049999999998</v>
      </c>
      <c r="F487" t="s">
        <v>40</v>
      </c>
      <c r="G487">
        <v>-286.52600000000001</v>
      </c>
      <c r="H487">
        <v>-0.05</v>
      </c>
      <c r="I487">
        <v>369.33280000000002</v>
      </c>
      <c r="J487">
        <v>-321.17110000000002</v>
      </c>
      <c r="K487">
        <v>1.108716</v>
      </c>
      <c r="L487">
        <v>368.22890000000001</v>
      </c>
      <c r="M487">
        <v>0.999482599999999</v>
      </c>
      <c r="N487">
        <v>0</v>
      </c>
      <c r="O487">
        <v>3.1206029999999999E-2</v>
      </c>
      <c r="P487">
        <v>0.99442109999999995</v>
      </c>
      <c r="Q487">
        <v>4.5366780000000002E-2</v>
      </c>
      <c r="R487">
        <v>9.5228590000000002E-2</v>
      </c>
      <c r="S487">
        <v>3.0121150000000001</v>
      </c>
      <c r="T487">
        <v>-9.9721069999999995E-2</v>
      </c>
      <c r="U487">
        <v>9.5947270000000001E-2</v>
      </c>
      <c r="V487">
        <v>-6.4208760000000004E-2</v>
      </c>
      <c r="W487">
        <v>5.3072130000000002E-2</v>
      </c>
      <c r="X487">
        <v>0.99652430000000003</v>
      </c>
      <c r="Y487">
        <v>-6.4768349999999998E-4</v>
      </c>
      <c r="Z487">
        <v>-1.0216439999999999E-3</v>
      </c>
      <c r="AA487">
        <v>0.99999930000000004</v>
      </c>
      <c r="AB487">
        <v>66</v>
      </c>
      <c r="AC487">
        <v>34.645099999999999</v>
      </c>
      <c r="AD487">
        <v>-1.1587160000000001</v>
      </c>
      <c r="AE487">
        <v>1.1039000000000101</v>
      </c>
      <c r="AF487">
        <v>-2.2168713428422301E-2</v>
      </c>
      <c r="AG487">
        <v>-1.1587160000000001</v>
      </c>
      <c r="AH487">
        <v>34.623984555388397</v>
      </c>
      <c r="AI487">
        <v>91.916727839417504</v>
      </c>
      <c r="AJ487">
        <v>90.036684788288397</v>
      </c>
      <c r="AK487">
        <v>34.643374845881901</v>
      </c>
    </row>
    <row r="488" spans="1:37" x14ac:dyDescent="0.2">
      <c r="A488" t="str">
        <f>"20200111154036987"</f>
        <v>20200111154036987</v>
      </c>
      <c r="B488" t="str">
        <f>"1578728436976828"</f>
        <v>1578728436976828</v>
      </c>
      <c r="C488" t="s">
        <v>37</v>
      </c>
      <c r="D488">
        <v>4.9765180000000004</v>
      </c>
      <c r="E488">
        <v>0.52248640000000002</v>
      </c>
      <c r="F488" t="s">
        <v>40</v>
      </c>
      <c r="G488">
        <v>-285.18119999999999</v>
      </c>
      <c r="H488">
        <v>-0.05</v>
      </c>
      <c r="I488">
        <v>369.35039999999998</v>
      </c>
      <c r="J488">
        <v>-320.84050000000002</v>
      </c>
      <c r="K488">
        <v>1.108668</v>
      </c>
      <c r="L488">
        <v>368.23910000000001</v>
      </c>
      <c r="M488">
        <v>0.99948159999999897</v>
      </c>
      <c r="N488">
        <v>0</v>
      </c>
      <c r="O488">
        <v>3.1275369999999997E-2</v>
      </c>
      <c r="P488">
        <v>0.99446139999999905</v>
      </c>
      <c r="Q488">
        <v>4.6459439999999998E-2</v>
      </c>
      <c r="R488">
        <v>9.4277689999999997E-2</v>
      </c>
      <c r="S488">
        <v>3.0122990000000001</v>
      </c>
      <c r="T488">
        <v>-9.6982479999999996E-2</v>
      </c>
      <c r="U488">
        <v>9.3872070000000002E-2</v>
      </c>
      <c r="V488">
        <v>-6.3185740000000004E-2</v>
      </c>
      <c r="W488">
        <v>5.4027770000000003E-2</v>
      </c>
      <c r="X488">
        <v>0.99653829999999999</v>
      </c>
      <c r="Y488">
        <v>1.122894E-4</v>
      </c>
      <c r="Z488">
        <v>-1.008012E-3</v>
      </c>
      <c r="AA488">
        <v>0.99999950000000004</v>
      </c>
      <c r="AB488">
        <v>66</v>
      </c>
      <c r="AC488">
        <v>35.659300000000002</v>
      </c>
      <c r="AD488">
        <v>-1.158668</v>
      </c>
      <c r="AE488">
        <v>1.11129999999997</v>
      </c>
      <c r="AF488">
        <v>4.5292544718287201E-3</v>
      </c>
      <c r="AG488">
        <v>-1.158668</v>
      </c>
      <c r="AH488">
        <v>35.639021629186999</v>
      </c>
      <c r="AI488">
        <v>91.862099678680394</v>
      </c>
      <c r="AJ488">
        <v>89.992718454314499</v>
      </c>
      <c r="AK488">
        <v>35.657851796400003</v>
      </c>
    </row>
    <row r="489" spans="1:37" x14ac:dyDescent="0.2">
      <c r="A489" t="str">
        <f>"20200111154036997"</f>
        <v>20200111154036997</v>
      </c>
      <c r="B489" t="str">
        <f>"1578728436986588"</f>
        <v>1578728436986588</v>
      </c>
      <c r="C489" t="s">
        <v>37</v>
      </c>
      <c r="D489">
        <v>4.998208</v>
      </c>
      <c r="E489">
        <v>0.52232369999999995</v>
      </c>
      <c r="F489" t="s">
        <v>40</v>
      </c>
      <c r="G489">
        <v>-283.85039999999998</v>
      </c>
      <c r="H489">
        <v>-0.05</v>
      </c>
      <c r="I489">
        <v>369.36509999999998</v>
      </c>
      <c r="J489">
        <v>-320.50979999999998</v>
      </c>
      <c r="K489">
        <v>1.108571</v>
      </c>
      <c r="L489">
        <v>368.24939999999998</v>
      </c>
      <c r="M489">
        <v>0.99948189999999903</v>
      </c>
      <c r="N489">
        <v>0</v>
      </c>
      <c r="O489">
        <v>3.1337909999999997E-2</v>
      </c>
      <c r="P489">
        <v>0.99450749999999999</v>
      </c>
      <c r="Q489">
        <v>4.720775E-2</v>
      </c>
      <c r="R489">
        <v>9.3415670000000006E-2</v>
      </c>
      <c r="S489">
        <v>3.0124209999999998</v>
      </c>
      <c r="T489">
        <v>-9.4360349999999996E-2</v>
      </c>
      <c r="U489">
        <v>9.1705320000000007E-2</v>
      </c>
      <c r="V489">
        <v>-6.2258050000000002E-2</v>
      </c>
      <c r="W489">
        <v>5.4476280000000002E-2</v>
      </c>
      <c r="X489">
        <v>0.99657229999999997</v>
      </c>
      <c r="Y489">
        <v>8.9509530000000004E-4</v>
      </c>
      <c r="Z489">
        <v>-9.9495459999999992E-4</v>
      </c>
      <c r="AA489">
        <v>0.99999910000000003</v>
      </c>
      <c r="AB489">
        <v>66</v>
      </c>
      <c r="AC489">
        <v>36.659399999999998</v>
      </c>
      <c r="AD489">
        <v>-1.158571</v>
      </c>
      <c r="AE489">
        <v>1.1156999999999999</v>
      </c>
      <c r="AF489">
        <v>3.3674327418525302E-2</v>
      </c>
      <c r="AG489">
        <v>-1.158571</v>
      </c>
      <c r="AH489">
        <v>36.639796673777298</v>
      </c>
      <c r="AI489">
        <v>91.811120581104902</v>
      </c>
      <c r="AJ489">
        <v>89.947341511936798</v>
      </c>
      <c r="AK489">
        <v>36.658124897737302</v>
      </c>
    </row>
    <row r="490" spans="1:37" x14ac:dyDescent="0.2">
      <c r="A490" t="str">
        <f>"20200111154037010"</f>
        <v>20200111154037010</v>
      </c>
      <c r="B490" t="str">
        <f>"1578728437007084"</f>
        <v>1578728437007084</v>
      </c>
      <c r="C490" t="s">
        <v>37</v>
      </c>
      <c r="D490">
        <v>5.0066839999999999</v>
      </c>
      <c r="E490">
        <v>0.52187320000000004</v>
      </c>
      <c r="F490" t="s">
        <v>40</v>
      </c>
      <c r="G490">
        <v>-282.23169999999999</v>
      </c>
      <c r="H490">
        <v>-0.05</v>
      </c>
      <c r="I490">
        <v>369.39789999999999</v>
      </c>
      <c r="J490">
        <v>-320.1816</v>
      </c>
      <c r="K490">
        <v>1.108452</v>
      </c>
      <c r="L490">
        <v>368.25959999999998</v>
      </c>
      <c r="M490">
        <v>0.99948219999999999</v>
      </c>
      <c r="N490">
        <v>0</v>
      </c>
      <c r="O490">
        <v>3.1392429999999999E-2</v>
      </c>
      <c r="P490">
        <v>0.99455079999999996</v>
      </c>
      <c r="Q490">
        <v>4.8162860000000002E-2</v>
      </c>
      <c r="R490">
        <v>9.2461740000000001E-2</v>
      </c>
      <c r="S490">
        <v>3.0124209999999998</v>
      </c>
      <c r="T490">
        <v>-9.1177460000000002E-2</v>
      </c>
      <c r="U490">
        <v>9.0393070000000006E-2</v>
      </c>
      <c r="V490">
        <v>-6.1246420000000003E-2</v>
      </c>
      <c r="W490">
        <v>5.515047E-2</v>
      </c>
      <c r="X490">
        <v>0.99659789999999904</v>
      </c>
      <c r="Y490">
        <v>1.3855919999999999E-3</v>
      </c>
      <c r="Z490">
        <v>-9.7048320000000003E-4</v>
      </c>
      <c r="AA490">
        <v>0.99999859999999896</v>
      </c>
      <c r="AB490">
        <v>66</v>
      </c>
      <c r="AC490">
        <v>37.9499</v>
      </c>
      <c r="AD490">
        <v>-1.158452</v>
      </c>
      <c r="AE490">
        <v>1.1383000000000101</v>
      </c>
      <c r="AF490">
        <v>5.3580444903334301E-2</v>
      </c>
      <c r="AG490">
        <v>-1.158452</v>
      </c>
      <c r="AH490">
        <v>37.931615935866503</v>
      </c>
      <c r="AI490">
        <v>91.749298514411507</v>
      </c>
      <c r="AJ490">
        <v>89.919066687779207</v>
      </c>
      <c r="AK490">
        <v>37.949339512123998</v>
      </c>
    </row>
    <row r="491" spans="1:37" x14ac:dyDescent="0.2">
      <c r="A491" t="str">
        <f>"20200111154037021"</f>
        <v>20200111154037021</v>
      </c>
      <c r="B491" t="str">
        <f>"1578728437016844"</f>
        <v>1578728437016844</v>
      </c>
      <c r="C491" t="s">
        <v>37</v>
      </c>
      <c r="D491">
        <v>4.9998379999999996</v>
      </c>
      <c r="E491">
        <v>0.52173230000000004</v>
      </c>
      <c r="F491" t="s">
        <v>40</v>
      </c>
      <c r="G491">
        <v>-281.89760000000001</v>
      </c>
      <c r="H491">
        <v>-0.05</v>
      </c>
      <c r="I491">
        <v>369.41730000000001</v>
      </c>
      <c r="J491">
        <v>-319.79860000000002</v>
      </c>
      <c r="K491">
        <v>1.108285</v>
      </c>
      <c r="L491">
        <v>368.2715</v>
      </c>
      <c r="M491">
        <v>0.999482599999999</v>
      </c>
      <c r="N491">
        <v>0</v>
      </c>
      <c r="O491">
        <v>3.1449680000000001E-2</v>
      </c>
      <c r="P491">
        <v>0.99458740000000001</v>
      </c>
      <c r="Q491">
        <v>4.8916189999999998E-2</v>
      </c>
      <c r="R491">
        <v>9.1668550000000001E-2</v>
      </c>
      <c r="S491">
        <v>3.0124209999999998</v>
      </c>
      <c r="T491">
        <v>-9.1153979999999996E-2</v>
      </c>
      <c r="U491">
        <v>9.1094969999999997E-2</v>
      </c>
      <c r="V491">
        <v>-6.0392389999999997E-2</v>
      </c>
      <c r="W491">
        <v>5.5590399999999998E-2</v>
      </c>
      <c r="X491">
        <v>0.99662549999999905</v>
      </c>
      <c r="Y491">
        <v>1.2100749999999999E-3</v>
      </c>
      <c r="Z491">
        <v>-9.6930330000000002E-4</v>
      </c>
      <c r="AA491">
        <v>0.99999879999999997</v>
      </c>
      <c r="AB491">
        <v>67</v>
      </c>
      <c r="AC491">
        <v>37.901000000000003</v>
      </c>
      <c r="AD491">
        <v>-1.158285</v>
      </c>
      <c r="AE491">
        <v>1.1457999999999999</v>
      </c>
      <c r="AF491">
        <v>4.6724622211283998E-2</v>
      </c>
      <c r="AG491">
        <v>-1.158285</v>
      </c>
      <c r="AH491">
        <v>37.882937823621099</v>
      </c>
      <c r="AI491">
        <v>91.751292969250699</v>
      </c>
      <c r="AJ491">
        <v>89.929331713739302</v>
      </c>
      <c r="AK491">
        <v>37.900669987216403</v>
      </c>
    </row>
    <row r="492" spans="1:37" x14ac:dyDescent="0.2">
      <c r="A492" t="str">
        <f>"20200111154037034"</f>
        <v>20200111154037034</v>
      </c>
      <c r="B492" t="str">
        <f>"1578728437026604"</f>
        <v>1578728437026604</v>
      </c>
      <c r="C492" t="s">
        <v>37</v>
      </c>
      <c r="D492">
        <v>5.0034640000000001</v>
      </c>
      <c r="E492">
        <v>0.5215533</v>
      </c>
      <c r="F492" t="s">
        <v>40</v>
      </c>
      <c r="G492">
        <v>-281.03359999999998</v>
      </c>
      <c r="H492">
        <v>-0.05</v>
      </c>
      <c r="I492">
        <v>369.42140000000001</v>
      </c>
      <c r="J492">
        <v>-319.4307</v>
      </c>
      <c r="K492">
        <v>1.1080809999999901</v>
      </c>
      <c r="L492">
        <v>368.28300000000002</v>
      </c>
      <c r="M492">
        <v>0.99948210000000004</v>
      </c>
      <c r="N492">
        <v>0</v>
      </c>
      <c r="O492">
        <v>3.1485779999999998E-2</v>
      </c>
      <c r="P492">
        <v>0.99465349999999997</v>
      </c>
      <c r="Q492">
        <v>4.9151140000000003E-2</v>
      </c>
      <c r="R492">
        <v>9.0822730000000004E-2</v>
      </c>
      <c r="S492">
        <v>3.012543</v>
      </c>
      <c r="T492">
        <v>-9.0013739999999995E-2</v>
      </c>
      <c r="U492">
        <v>8.9355470000000006E-2</v>
      </c>
      <c r="V492">
        <v>-5.9505580000000002E-2</v>
      </c>
      <c r="W492">
        <v>5.5735609999999998E-2</v>
      </c>
      <c r="X492">
        <v>0.99667079999999997</v>
      </c>
      <c r="Y492">
        <v>1.8243839999999901E-3</v>
      </c>
      <c r="Z492">
        <v>-9.6740629999999997E-4</v>
      </c>
      <c r="AA492">
        <v>0.999997899999999</v>
      </c>
      <c r="AB492">
        <v>67</v>
      </c>
      <c r="AC492">
        <v>38.397100000000002</v>
      </c>
      <c r="AD492">
        <v>-1.1580809999999999</v>
      </c>
      <c r="AE492">
        <v>1.1383999999999901</v>
      </c>
      <c r="AF492">
        <v>7.1089181832821605E-2</v>
      </c>
      <c r="AG492">
        <v>-1.1580809999999999</v>
      </c>
      <c r="AH492">
        <v>38.379024719820102</v>
      </c>
      <c r="AI492">
        <v>91.728363676264905</v>
      </c>
      <c r="AJ492">
        <v>89.893871575436293</v>
      </c>
      <c r="AK492">
        <v>38.396559008834302</v>
      </c>
    </row>
    <row r="493" spans="1:37" x14ac:dyDescent="0.2">
      <c r="A493" t="str">
        <f>"20200111154037046"</f>
        <v>20200111154037046</v>
      </c>
      <c r="B493" t="str">
        <f>"1578728437037340"</f>
        <v>1578728437037340</v>
      </c>
      <c r="C493" t="s">
        <v>37</v>
      </c>
      <c r="D493">
        <v>4.9670829999999997</v>
      </c>
      <c r="E493">
        <v>0.52133390000000002</v>
      </c>
      <c r="F493" t="s">
        <v>40</v>
      </c>
      <c r="G493">
        <v>-280.0034</v>
      </c>
      <c r="H493">
        <v>-0.05</v>
      </c>
      <c r="I493">
        <v>369.44060000000002</v>
      </c>
      <c r="J493">
        <v>-319.08229999999998</v>
      </c>
      <c r="K493">
        <v>1.107866</v>
      </c>
      <c r="L493">
        <v>368.29390000000001</v>
      </c>
      <c r="M493">
        <v>0.99948139999999996</v>
      </c>
      <c r="N493">
        <v>0</v>
      </c>
      <c r="O493">
        <v>3.1510179999999999E-2</v>
      </c>
      <c r="P493">
        <v>0.99471520000000002</v>
      </c>
      <c r="Q493">
        <v>4.9372100000000002E-2</v>
      </c>
      <c r="R493">
        <v>9.0023539999999999E-2</v>
      </c>
      <c r="S493">
        <v>3.0123599999999899</v>
      </c>
      <c r="T493">
        <v>-8.8480710000000004E-2</v>
      </c>
      <c r="U493">
        <v>8.8439939999999995E-2</v>
      </c>
      <c r="V493">
        <v>-5.8677439999999997E-2</v>
      </c>
      <c r="W493">
        <v>5.5952229999999999E-2</v>
      </c>
      <c r="X493">
        <v>0.99670769999999997</v>
      </c>
      <c r="Y493">
        <v>2.1509960000000001E-3</v>
      </c>
      <c r="Z493">
        <v>-9.5651099999999995E-4</v>
      </c>
      <c r="AA493">
        <v>0.99999729999999998</v>
      </c>
      <c r="AB493">
        <v>67</v>
      </c>
      <c r="AC493">
        <v>39.078899999999898</v>
      </c>
      <c r="AD493">
        <v>-1.1578660000000001</v>
      </c>
      <c r="AE493">
        <v>1.1467000000000001</v>
      </c>
      <c r="AF493">
        <v>8.5204994826779901E-2</v>
      </c>
      <c r="AG493">
        <v>-1.1578660000000001</v>
      </c>
      <c r="AH493">
        <v>39.061365855220103</v>
      </c>
      <c r="AI493">
        <v>91.697873480638904</v>
      </c>
      <c r="AJ493">
        <v>89.875020272658602</v>
      </c>
      <c r="AK493">
        <v>39.078615840897598</v>
      </c>
    </row>
    <row r="494" spans="1:37" x14ac:dyDescent="0.2">
      <c r="A494" t="str">
        <f>"20200111154037056"</f>
        <v>20200111154037056</v>
      </c>
      <c r="B494" t="str">
        <f>"1578728437047100"</f>
        <v>1578728437047100</v>
      </c>
      <c r="C494" t="s">
        <v>37</v>
      </c>
      <c r="D494">
        <v>5.0022519999999897</v>
      </c>
      <c r="E494">
        <v>0.52122139999999995</v>
      </c>
      <c r="F494" t="s">
        <v>40</v>
      </c>
      <c r="G494">
        <v>-279.13010000000003</v>
      </c>
      <c r="H494">
        <v>-0.05</v>
      </c>
      <c r="I494">
        <v>369.45229999999998</v>
      </c>
      <c r="J494">
        <v>-318.73939999999999</v>
      </c>
      <c r="K494">
        <v>1.1076029999999999</v>
      </c>
      <c r="L494">
        <v>368.30459999999999</v>
      </c>
      <c r="M494">
        <v>0.99948029999999999</v>
      </c>
      <c r="N494">
        <v>0</v>
      </c>
      <c r="O494">
        <v>3.151027E-2</v>
      </c>
      <c r="P494">
        <v>0.99475199999999997</v>
      </c>
      <c r="Q494">
        <v>4.9642980000000003E-2</v>
      </c>
      <c r="R494">
        <v>8.9467480000000002E-2</v>
      </c>
      <c r="S494">
        <v>3.0123599999999899</v>
      </c>
      <c r="T494">
        <v>-8.7301970000000007E-2</v>
      </c>
      <c r="U494">
        <v>8.7341310000000005E-2</v>
      </c>
      <c r="V494">
        <v>-5.8116569999999999E-2</v>
      </c>
      <c r="W494">
        <v>5.6398320000000002E-2</v>
      </c>
      <c r="X494">
        <v>0.99671540000000003</v>
      </c>
      <c r="Y494">
        <v>2.5157529999999999E-3</v>
      </c>
      <c r="Z494">
        <v>-9.4906709999999998E-4</v>
      </c>
      <c r="AA494">
        <v>0.99999640000000001</v>
      </c>
      <c r="AB494">
        <v>67</v>
      </c>
      <c r="AC494">
        <v>39.609299999999898</v>
      </c>
      <c r="AD494">
        <v>-1.1576029999999999</v>
      </c>
      <c r="AE494">
        <v>1.14769999999998</v>
      </c>
      <c r="AF494">
        <v>0.100912411743106</v>
      </c>
      <c r="AG494">
        <v>-1.1576029999999999</v>
      </c>
      <c r="AH494">
        <v>39.592006971086697</v>
      </c>
      <c r="AI494">
        <v>91.6747486577937</v>
      </c>
      <c r="AJ494">
        <v>89.8539643929345</v>
      </c>
      <c r="AK494">
        <v>39.6090550760686</v>
      </c>
    </row>
    <row r="495" spans="1:37" x14ac:dyDescent="0.2">
      <c r="A495" t="str">
        <f>"20200111154037073"</f>
        <v>20200111154037073</v>
      </c>
      <c r="B495" t="str">
        <f>"1578728437067130"</f>
        <v>1578728437067130</v>
      </c>
      <c r="C495" t="s">
        <v>37</v>
      </c>
      <c r="D495">
        <v>4.9950890000000001</v>
      </c>
      <c r="E495">
        <v>0.5208142</v>
      </c>
      <c r="F495" t="s">
        <v>39</v>
      </c>
      <c r="G495">
        <v>-279.93299999999999</v>
      </c>
      <c r="H495" s="1">
        <v>-6.1448519999999896E-8</v>
      </c>
      <c r="I495">
        <v>369.4187</v>
      </c>
      <c r="J495">
        <v>-318.2439</v>
      </c>
      <c r="K495">
        <v>1.1070409999999999</v>
      </c>
      <c r="L495">
        <v>368.32010000000002</v>
      </c>
      <c r="M495">
        <v>0.99948049999999999</v>
      </c>
      <c r="N495">
        <v>0</v>
      </c>
      <c r="O495">
        <v>3.1474599999999998E-2</v>
      </c>
      <c r="P495">
        <v>0.99482929999999903</v>
      </c>
      <c r="Q495">
        <v>5.0020839999999997E-2</v>
      </c>
      <c r="R495">
        <v>8.8390079999999996E-2</v>
      </c>
      <c r="S495">
        <v>3.0122990000000001</v>
      </c>
      <c r="T495">
        <v>-8.5975999999999997E-2</v>
      </c>
      <c r="U495">
        <v>8.6486820000000006E-2</v>
      </c>
      <c r="V495">
        <v>-5.7066409999999998E-2</v>
      </c>
      <c r="W495">
        <v>5.6918660000000003E-2</v>
      </c>
      <c r="X495">
        <v>0.99674649999999998</v>
      </c>
      <c r="Y495">
        <v>2.76327E-3</v>
      </c>
      <c r="Z495">
        <v>-9.3719639999999998E-4</v>
      </c>
      <c r="AA495">
        <v>0.99999579999999999</v>
      </c>
      <c r="AB495">
        <v>67</v>
      </c>
      <c r="AC495">
        <v>38.310899999999997</v>
      </c>
      <c r="AD495">
        <v>-1.10704106144852</v>
      </c>
      <c r="AE495">
        <v>1.09859999999997</v>
      </c>
      <c r="AF495">
        <v>0.107703709276048</v>
      </c>
      <c r="AG495">
        <v>-1.10704106144852</v>
      </c>
      <c r="AH495">
        <v>38.294547456232401</v>
      </c>
      <c r="AI495">
        <v>91.655872015888605</v>
      </c>
      <c r="AJ495">
        <v>89.838855604303504</v>
      </c>
      <c r="AK495">
        <v>38.310697003296099</v>
      </c>
    </row>
    <row r="496" spans="1:37" x14ac:dyDescent="0.2">
      <c r="A496" t="str">
        <f>"20200111154037084"</f>
        <v>20200111154037084</v>
      </c>
      <c r="B496" t="str">
        <f>"1578728437076887"</f>
        <v>1578728437076887</v>
      </c>
      <c r="C496" t="s">
        <v>37</v>
      </c>
      <c r="D496">
        <v>4.9611780000000003</v>
      </c>
      <c r="E496">
        <v>0.52064200000000005</v>
      </c>
      <c r="F496" t="s">
        <v>39</v>
      </c>
      <c r="G496">
        <v>-279.21280000000002</v>
      </c>
      <c r="H496" s="1">
        <v>-3.5137439999999998E-7</v>
      </c>
      <c r="I496">
        <v>369.43950000000001</v>
      </c>
      <c r="J496">
        <v>-317.90879999999999</v>
      </c>
      <c r="K496">
        <v>1.1065609999999999</v>
      </c>
      <c r="L496">
        <v>368.33049999999997</v>
      </c>
      <c r="M496">
        <v>0.99948159999999897</v>
      </c>
      <c r="N496">
        <v>0</v>
      </c>
      <c r="O496">
        <v>3.142934E-2</v>
      </c>
      <c r="P496">
        <v>0.99488299999999996</v>
      </c>
      <c r="Q496">
        <v>4.9907670000000001E-2</v>
      </c>
      <c r="R496">
        <v>8.7847140000000004E-2</v>
      </c>
      <c r="S496">
        <v>3.0122070000000001</v>
      </c>
      <c r="T496">
        <v>-8.5435269999999994E-2</v>
      </c>
      <c r="U496">
        <v>8.6395260000000001E-2</v>
      </c>
      <c r="V496">
        <v>-5.6562330000000001E-2</v>
      </c>
      <c r="W496">
        <v>5.6857249999999998E-2</v>
      </c>
      <c r="X496">
        <v>0.99677879999999996</v>
      </c>
      <c r="Y496">
        <v>2.7476979999999998E-3</v>
      </c>
      <c r="Z496">
        <v>-9.2983050000000004E-4</v>
      </c>
      <c r="AA496">
        <v>0.99999579999999999</v>
      </c>
      <c r="AB496">
        <v>67</v>
      </c>
      <c r="AC496">
        <v>38.695999999999898</v>
      </c>
      <c r="AD496">
        <v>-1.1065613513743999</v>
      </c>
      <c r="AE496">
        <v>1.10900000000003</v>
      </c>
      <c r="AF496">
        <v>0.10767928977691101</v>
      </c>
      <c r="AG496">
        <v>-1.1065613513743999</v>
      </c>
      <c r="AH496">
        <v>38.680133716533398</v>
      </c>
      <c r="AI496">
        <v>91.638664499957798</v>
      </c>
      <c r="AJ496">
        <v>89.840498149440094</v>
      </c>
      <c r="AK496">
        <v>38.696108553479903</v>
      </c>
    </row>
    <row r="497" spans="1:37" x14ac:dyDescent="0.2">
      <c r="A497" t="str">
        <f>"20200111154037095"</f>
        <v>20200111154037095</v>
      </c>
      <c r="B497" t="str">
        <f>"1578728437086647"</f>
        <v>1578728437086647</v>
      </c>
      <c r="C497" t="s">
        <v>37</v>
      </c>
      <c r="D497">
        <v>4.968458</v>
      </c>
      <c r="E497">
        <v>0.52049820000000002</v>
      </c>
      <c r="F497" t="s">
        <v>39</v>
      </c>
      <c r="G497">
        <v>-279.04219999999998</v>
      </c>
      <c r="H497" s="1">
        <v>-4.2542259999999901E-7</v>
      </c>
      <c r="I497">
        <v>369.43470000000002</v>
      </c>
      <c r="J497">
        <v>-317.56849999999997</v>
      </c>
      <c r="K497">
        <v>1.1059000000000001</v>
      </c>
      <c r="L497">
        <v>368.34109999999998</v>
      </c>
      <c r="M497">
        <v>0.99948409999999999</v>
      </c>
      <c r="N497">
        <v>0</v>
      </c>
      <c r="O497">
        <v>3.1342040000000002E-2</v>
      </c>
      <c r="P497">
        <v>0.99490149999999999</v>
      </c>
      <c r="Q497">
        <v>4.9954110000000003E-2</v>
      </c>
      <c r="R497">
        <v>8.7611590000000003E-2</v>
      </c>
      <c r="S497">
        <v>3.012146</v>
      </c>
      <c r="T497">
        <v>-8.5757970000000003E-2</v>
      </c>
      <c r="U497">
        <v>8.5571289999999994E-2</v>
      </c>
      <c r="V497">
        <v>-5.640763E-2</v>
      </c>
      <c r="W497">
        <v>5.6924370000000002E-2</v>
      </c>
      <c r="X497">
        <v>0.99678369999999905</v>
      </c>
      <c r="Y497">
        <v>2.9329650000000001E-3</v>
      </c>
      <c r="Z497">
        <v>-9.3351809999999997E-4</v>
      </c>
      <c r="AA497">
        <v>0.99999530000000003</v>
      </c>
      <c r="AB497">
        <v>67</v>
      </c>
      <c r="AC497">
        <v>38.5262999999999</v>
      </c>
      <c r="AD497">
        <v>-1.1059004254225999</v>
      </c>
      <c r="AE497">
        <v>1.0936000000000301</v>
      </c>
      <c r="AF497">
        <v>0.11436568089969799</v>
      </c>
      <c r="AG497">
        <v>-1.1059004254225999</v>
      </c>
      <c r="AH497">
        <v>38.509942341158897</v>
      </c>
      <c r="AI497">
        <v>91.644919059789501</v>
      </c>
      <c r="AJ497">
        <v>89.829845199068103</v>
      </c>
      <c r="AK497">
        <v>38.525988038975697</v>
      </c>
    </row>
    <row r="498" spans="1:37" x14ac:dyDescent="0.2">
      <c r="A498" t="str">
        <f>"20200111154037107"</f>
        <v>20200111154037107</v>
      </c>
      <c r="B498" t="str">
        <f>"1578728437097384"</f>
        <v>1578728437097384</v>
      </c>
      <c r="C498" t="s">
        <v>37</v>
      </c>
      <c r="D498">
        <v>4.9640459999999997</v>
      </c>
      <c r="E498">
        <v>0.52028540000000001</v>
      </c>
      <c r="F498" t="s">
        <v>39</v>
      </c>
      <c r="G498">
        <v>-278.72500000000002</v>
      </c>
      <c r="H498" s="1">
        <v>-5.5820360000000004E-7</v>
      </c>
      <c r="I498">
        <v>369.45330000000001</v>
      </c>
      <c r="J498">
        <v>-317.24220000000003</v>
      </c>
      <c r="K498">
        <v>1.1051949999999999</v>
      </c>
      <c r="L498">
        <v>368.35129999999998</v>
      </c>
      <c r="M498">
        <v>0.99948689999999996</v>
      </c>
      <c r="N498">
        <v>0</v>
      </c>
      <c r="O498">
        <v>3.1234520000000002E-2</v>
      </c>
      <c r="P498">
        <v>0.99492829999999999</v>
      </c>
      <c r="Q498">
        <v>4.9977019999999997E-2</v>
      </c>
      <c r="R498">
        <v>8.7292919999999996E-2</v>
      </c>
      <c r="S498">
        <v>3.0120849999999999</v>
      </c>
      <c r="T498">
        <v>-8.5755940000000003E-2</v>
      </c>
      <c r="U498">
        <v>8.6242680000000002E-2</v>
      </c>
      <c r="V498">
        <v>-5.618911E-2</v>
      </c>
      <c r="W498">
        <v>5.7035299999999997E-2</v>
      </c>
      <c r="X498">
        <v>0.99678979999999995</v>
      </c>
      <c r="Y498">
        <v>2.602292E-3</v>
      </c>
      <c r="Z498">
        <v>-9.2574829999999999E-4</v>
      </c>
      <c r="AA498">
        <v>0.9999962</v>
      </c>
      <c r="AB498">
        <v>67</v>
      </c>
      <c r="AC498">
        <v>38.517200000000003</v>
      </c>
      <c r="AD498">
        <v>-1.1051955582035999</v>
      </c>
      <c r="AE498">
        <v>1.1020000000000301</v>
      </c>
      <c r="AF498">
        <v>0.10155070780597</v>
      </c>
      <c r="AG498">
        <v>-1.1051955582035999</v>
      </c>
      <c r="AH498">
        <v>38.501154320761401</v>
      </c>
      <c r="AI498">
        <v>91.644247757682805</v>
      </c>
      <c r="AJ498">
        <v>89.848876908400896</v>
      </c>
      <c r="AK498">
        <v>38.517147529369502</v>
      </c>
    </row>
    <row r="499" spans="1:37" x14ac:dyDescent="0.2">
      <c r="A499" t="str">
        <f>"20200111154037119"</f>
        <v>20200111154037119</v>
      </c>
      <c r="B499" t="str">
        <f>"1578728437107144"</f>
        <v>1578728437107144</v>
      </c>
      <c r="C499" t="s">
        <v>37</v>
      </c>
      <c r="D499">
        <v>4.995069</v>
      </c>
      <c r="E499">
        <v>0.52009559999999999</v>
      </c>
      <c r="F499" t="s">
        <v>39</v>
      </c>
      <c r="G499">
        <v>-278.63929999999999</v>
      </c>
      <c r="H499" s="1">
        <v>-5.9314609999999897E-7</v>
      </c>
      <c r="I499">
        <v>369.46359999999999</v>
      </c>
      <c r="J499">
        <v>-316.84399999999999</v>
      </c>
      <c r="K499">
        <v>1.1042069999999999</v>
      </c>
      <c r="L499">
        <v>368.36360000000002</v>
      </c>
      <c r="M499">
        <v>0.99949100000000002</v>
      </c>
      <c r="N499">
        <v>0</v>
      </c>
      <c r="O499">
        <v>3.1056779999999999E-2</v>
      </c>
      <c r="P499">
        <v>0.99493310000000001</v>
      </c>
      <c r="Q499">
        <v>5.0219760000000002E-2</v>
      </c>
      <c r="R499">
        <v>8.710271E-2</v>
      </c>
      <c r="S499">
        <v>3.0120239999999998</v>
      </c>
      <c r="T499">
        <v>-8.6233619999999997E-2</v>
      </c>
      <c r="U499">
        <v>8.6791989999999999E-2</v>
      </c>
      <c r="V499">
        <v>-5.616807E-2</v>
      </c>
      <c r="W499">
        <v>5.7518970000000003E-2</v>
      </c>
      <c r="X499">
        <v>0.99676309999999901</v>
      </c>
      <c r="Y499">
        <v>2.241771E-3</v>
      </c>
      <c r="Z499">
        <v>-9.2067729999999995E-4</v>
      </c>
      <c r="AA499">
        <v>0.99999709999999997</v>
      </c>
      <c r="AB499">
        <v>68</v>
      </c>
      <c r="AC499">
        <v>38.204700000000003</v>
      </c>
      <c r="AD499">
        <v>-1.1042075931461</v>
      </c>
      <c r="AE499">
        <v>1.0999999999999599</v>
      </c>
      <c r="AF499">
        <v>8.7004560946741999E-2</v>
      </c>
      <c r="AG499">
        <v>-1.1042075931461</v>
      </c>
      <c r="AH499">
        <v>38.188558929503699</v>
      </c>
      <c r="AI499">
        <v>91.656219819207905</v>
      </c>
      <c r="AJ499">
        <v>89.869463900828706</v>
      </c>
      <c r="AK499">
        <v>38.204618533818199</v>
      </c>
    </row>
    <row r="500" spans="1:37" x14ac:dyDescent="0.2">
      <c r="A500" t="str">
        <f>"20200111154037134"</f>
        <v>20200111154037134</v>
      </c>
      <c r="B500" t="str">
        <f>"1578728437126663"</f>
        <v>1578728437126663</v>
      </c>
      <c r="C500" t="s">
        <v>37</v>
      </c>
      <c r="D500">
        <v>5.1857949999999997</v>
      </c>
      <c r="E500">
        <v>0.51975890000000002</v>
      </c>
      <c r="F500" t="s">
        <v>39</v>
      </c>
      <c r="G500">
        <v>-278.101</v>
      </c>
      <c r="H500" s="1">
        <v>-8.2011079999999999E-7</v>
      </c>
      <c r="I500">
        <v>369.48579999999998</v>
      </c>
      <c r="J500">
        <v>-316.43860000000001</v>
      </c>
      <c r="K500">
        <v>1.1030149999999901</v>
      </c>
      <c r="L500">
        <v>368.37610000000001</v>
      </c>
      <c r="M500">
        <v>0.99949529999999998</v>
      </c>
      <c r="N500">
        <v>0</v>
      </c>
      <c r="O500">
        <v>3.0815080000000002E-2</v>
      </c>
      <c r="P500">
        <v>0.99493349999999903</v>
      </c>
      <c r="Q500">
        <v>5.0723900000000002E-2</v>
      </c>
      <c r="R500">
        <v>8.6801890000000007E-2</v>
      </c>
      <c r="S500">
        <v>3.0119929999999999</v>
      </c>
      <c r="T500">
        <v>-8.5844279999999995E-2</v>
      </c>
      <c r="U500">
        <v>8.7249759999999996E-2</v>
      </c>
      <c r="V500">
        <v>-5.6097599999999997E-2</v>
      </c>
      <c r="W500">
        <v>5.8429149999999999E-2</v>
      </c>
      <c r="X500">
        <v>0.99671419999999999</v>
      </c>
      <c r="Y500">
        <v>1.848276E-3</v>
      </c>
      <c r="Z500">
        <v>-9.0404440000000003E-4</v>
      </c>
      <c r="AA500">
        <v>0.999997899999999</v>
      </c>
      <c r="AB500">
        <v>68</v>
      </c>
      <c r="AC500">
        <v>38.337600000000002</v>
      </c>
      <c r="AD500">
        <v>-1.10301582011079</v>
      </c>
      <c r="AE500">
        <v>1.1096999999999699</v>
      </c>
      <c r="AF500">
        <v>7.2178730558029397E-2</v>
      </c>
      <c r="AG500">
        <v>-1.10301582011079</v>
      </c>
      <c r="AH500">
        <v>38.321893556537603</v>
      </c>
      <c r="AI500">
        <v>91.648681464541696</v>
      </c>
      <c r="AJ500">
        <v>89.8920843581176</v>
      </c>
      <c r="AK500">
        <v>38.3378322212819</v>
      </c>
    </row>
    <row r="501" spans="1:37" x14ac:dyDescent="0.2">
      <c r="A501" t="str">
        <f>"20200111154037147"</f>
        <v>20200111154037147</v>
      </c>
      <c r="B501" t="str">
        <f>"1578728437136423"</f>
        <v>1578728437136423</v>
      </c>
      <c r="C501" t="s">
        <v>37</v>
      </c>
      <c r="D501">
        <v>4.9906889999999997</v>
      </c>
      <c r="E501">
        <v>0.51958009999999999</v>
      </c>
      <c r="F501" t="s">
        <v>39</v>
      </c>
      <c r="G501">
        <v>-276.90870000000001</v>
      </c>
      <c r="H501" s="1">
        <v>-1.320933E-6</v>
      </c>
      <c r="I501">
        <v>369.54599999999999</v>
      </c>
      <c r="J501">
        <v>-316.04559999999998</v>
      </c>
      <c r="K501">
        <v>1.1017479999999999</v>
      </c>
      <c r="L501">
        <v>368.38819999999998</v>
      </c>
      <c r="M501">
        <v>0.99950030000000001</v>
      </c>
      <c r="N501">
        <v>0</v>
      </c>
      <c r="O501">
        <v>3.054343E-2</v>
      </c>
      <c r="P501">
        <v>0.99494280000000002</v>
      </c>
      <c r="Q501">
        <v>5.1012699999999897E-2</v>
      </c>
      <c r="R501">
        <v>8.652601E-2</v>
      </c>
      <c r="S501">
        <v>3.0118099999999899</v>
      </c>
      <c r="T501">
        <v>-8.4039450000000002E-2</v>
      </c>
      <c r="U501">
        <v>8.9141849999999995E-2</v>
      </c>
      <c r="V501">
        <v>-5.6080930000000001E-2</v>
      </c>
      <c r="W501">
        <v>5.9159349999999999E-2</v>
      </c>
      <c r="X501">
        <v>0.996671999999999</v>
      </c>
      <c r="Y501">
        <v>9.4815410000000002E-4</v>
      </c>
      <c r="Z501">
        <v>-8.649657E-4</v>
      </c>
      <c r="AA501">
        <v>0.99999919999999998</v>
      </c>
      <c r="AB501">
        <v>68</v>
      </c>
      <c r="AC501">
        <v>39.136899999999898</v>
      </c>
      <c r="AD501">
        <v>-1.101749320933</v>
      </c>
      <c r="AE501">
        <v>1.1577999999999999</v>
      </c>
      <c r="AF501">
        <v>3.81247950894196E-2</v>
      </c>
      <c r="AG501">
        <v>-1.101749320933</v>
      </c>
      <c r="AH501">
        <v>39.123026035083797</v>
      </c>
      <c r="AI501">
        <v>91.613087823197105</v>
      </c>
      <c r="AJ501">
        <v>89.944166150133199</v>
      </c>
      <c r="AK501">
        <v>39.138554792020898</v>
      </c>
    </row>
    <row r="502" spans="1:37" x14ac:dyDescent="0.2">
      <c r="A502" t="str">
        <f>"20200111154037160"</f>
        <v>20200111154037160</v>
      </c>
      <c r="B502" t="str">
        <f>"1578728437147161"</f>
        <v>1578728437147161</v>
      </c>
      <c r="C502" t="s">
        <v>37</v>
      </c>
      <c r="D502">
        <v>4.9686129999999897</v>
      </c>
      <c r="E502">
        <v>0.51939429999999998</v>
      </c>
      <c r="F502" t="s">
        <v>39</v>
      </c>
      <c r="G502">
        <v>-275.9409</v>
      </c>
      <c r="H502" s="1">
        <v>-1.7292380000000001E-6</v>
      </c>
      <c r="I502">
        <v>369.5849</v>
      </c>
      <c r="J502">
        <v>-315.63510000000002</v>
      </c>
      <c r="K502">
        <v>1.1002369999999999</v>
      </c>
      <c r="L502">
        <v>368.40069999999997</v>
      </c>
      <c r="M502">
        <v>0.99950669999999897</v>
      </c>
      <c r="N502">
        <v>0</v>
      </c>
      <c r="O502">
        <v>3.0200919999999999E-2</v>
      </c>
      <c r="P502">
        <v>0.9949344</v>
      </c>
      <c r="Q502">
        <v>5.1665879999999997E-2</v>
      </c>
      <c r="R502">
        <v>8.6233619999999997E-2</v>
      </c>
      <c r="S502">
        <v>3.0116269999999998</v>
      </c>
      <c r="T502">
        <v>-8.2734820000000001E-2</v>
      </c>
      <c r="U502">
        <v>8.9874270000000006E-2</v>
      </c>
      <c r="V502">
        <v>-5.611559E-2</v>
      </c>
      <c r="W502">
        <v>6.0298869999999997E-2</v>
      </c>
      <c r="X502">
        <v>0.99660179999999998</v>
      </c>
      <c r="Y502">
        <v>3.6154150000000001E-4</v>
      </c>
      <c r="Z502">
        <v>-8.3413960000000001E-4</v>
      </c>
      <c r="AA502">
        <v>0.99999959999999899</v>
      </c>
      <c r="AB502">
        <v>68</v>
      </c>
      <c r="AC502">
        <v>39.694200000000002</v>
      </c>
      <c r="AD502">
        <v>-1.100238729238</v>
      </c>
      <c r="AE502">
        <v>1.1842000000000299</v>
      </c>
      <c r="AF502">
        <v>1.5174440543746301E-2</v>
      </c>
      <c r="AG502">
        <v>-1.100238729238</v>
      </c>
      <c r="AH502">
        <v>39.681397999956403</v>
      </c>
      <c r="AI502">
        <v>91.588222375141498</v>
      </c>
      <c r="AJ502">
        <v>89.978089699429205</v>
      </c>
      <c r="AK502">
        <v>39.696651026955699</v>
      </c>
    </row>
    <row r="503" spans="1:37" x14ac:dyDescent="0.2">
      <c r="A503" t="str">
        <f>"20200111154037174"</f>
        <v>20200111154037174</v>
      </c>
      <c r="B503" t="str">
        <f>"1578728437167188"</f>
        <v>1578728437167188</v>
      </c>
      <c r="C503" t="s">
        <v>37</v>
      </c>
      <c r="D503">
        <v>4.9748320000000001</v>
      </c>
      <c r="E503">
        <v>0.51905579999999996</v>
      </c>
      <c r="F503" t="s">
        <v>39</v>
      </c>
      <c r="G503">
        <v>-274.36110000000002</v>
      </c>
      <c r="H503" s="1">
        <v>-2.406089E-6</v>
      </c>
      <c r="I503">
        <v>369.63400000000001</v>
      </c>
      <c r="J503">
        <v>-315.1705</v>
      </c>
      <c r="K503">
        <v>1.0982959999999999</v>
      </c>
      <c r="L503">
        <v>368.41469999999998</v>
      </c>
      <c r="M503">
        <v>0.99951650000000003</v>
      </c>
      <c r="N503">
        <v>0</v>
      </c>
      <c r="O503">
        <v>2.9740860000000001E-2</v>
      </c>
      <c r="P503">
        <v>0.99488290000000001</v>
      </c>
      <c r="Q503">
        <v>5.3611159999999998E-2</v>
      </c>
      <c r="R503">
        <v>8.5638590000000001E-2</v>
      </c>
      <c r="S503">
        <v>3.0116269999999998</v>
      </c>
      <c r="T503">
        <v>-8.0280660000000004E-2</v>
      </c>
      <c r="U503">
        <v>8.9996339999999994E-2</v>
      </c>
      <c r="V503">
        <v>-5.5960910000000003E-2</v>
      </c>
      <c r="W503">
        <v>6.2704239999999994E-2</v>
      </c>
      <c r="X503">
        <v>0.99646199999999996</v>
      </c>
      <c r="Y503">
        <v>-1.3810330000000001E-4</v>
      </c>
      <c r="Z503">
        <v>-7.9049860000000003E-4</v>
      </c>
      <c r="AA503">
        <v>0.99999969999999905</v>
      </c>
      <c r="AB503">
        <v>68</v>
      </c>
      <c r="AC503">
        <v>40.809399999999897</v>
      </c>
      <c r="AD503">
        <v>-1.098298406089</v>
      </c>
      <c r="AE503">
        <v>1.21930000000003</v>
      </c>
      <c r="AF503">
        <v>-5.0004035772836996E-3</v>
      </c>
      <c r="AG503">
        <v>-1.098298406089</v>
      </c>
      <c r="AH503">
        <v>40.798086882818403</v>
      </c>
      <c r="AI503">
        <v>91.542049465599604</v>
      </c>
      <c r="AJ503">
        <v>90.007022437601705</v>
      </c>
      <c r="AK503">
        <v>40.812867795474197</v>
      </c>
    </row>
    <row r="504" spans="1:37" x14ac:dyDescent="0.2">
      <c r="A504" t="str">
        <f>"20200111154037188"</f>
        <v>20200111154037188</v>
      </c>
      <c r="B504" t="str">
        <f>"1578728437176948"</f>
        <v>1578728437176948</v>
      </c>
      <c r="C504" t="s">
        <v>37</v>
      </c>
      <c r="D504">
        <v>5.0144729999999997</v>
      </c>
      <c r="E504">
        <v>0.51888559999999995</v>
      </c>
      <c r="F504" t="s">
        <v>39</v>
      </c>
      <c r="G504">
        <v>-270.78309999999999</v>
      </c>
      <c r="H504" s="1">
        <v>-3.9734949999999998E-6</v>
      </c>
      <c r="I504">
        <v>369.7559</v>
      </c>
      <c r="J504">
        <v>-314.77140000000003</v>
      </c>
      <c r="K504">
        <v>1.096509</v>
      </c>
      <c r="L504">
        <v>368.42660000000001</v>
      </c>
      <c r="M504">
        <v>0.99952600000000003</v>
      </c>
      <c r="N504">
        <v>0</v>
      </c>
      <c r="O504">
        <v>2.9314369999999999E-2</v>
      </c>
      <c r="P504">
        <v>0.99488109999999996</v>
      </c>
      <c r="Q504">
        <v>5.444475E-2</v>
      </c>
      <c r="R504">
        <v>8.5131650000000003E-2</v>
      </c>
      <c r="S504">
        <v>3.0116269999999998</v>
      </c>
      <c r="T504">
        <v>-7.4517970000000003E-2</v>
      </c>
      <c r="U504">
        <v>9.1003420000000002E-2</v>
      </c>
      <c r="V504">
        <v>-5.5860269999999997E-2</v>
      </c>
      <c r="W504">
        <v>6.3883469999999998E-2</v>
      </c>
      <c r="X504">
        <v>0.99639279999999997</v>
      </c>
      <c r="Y504">
        <v>-8.9699089999999897E-4</v>
      </c>
      <c r="Z504">
        <v>-7.1384230000000001E-4</v>
      </c>
      <c r="AA504">
        <v>0.99999930000000004</v>
      </c>
      <c r="AB504">
        <v>68</v>
      </c>
      <c r="AC504">
        <v>43.988300000000002</v>
      </c>
      <c r="AD504">
        <v>-1.0965129734950001</v>
      </c>
      <c r="AE504">
        <v>1.3292999999999799</v>
      </c>
      <c r="AF504">
        <v>-3.9158033079679598E-2</v>
      </c>
      <c r="AG504">
        <v>-1.0965129734950001</v>
      </c>
      <c r="AH504">
        <v>43.981059537483702</v>
      </c>
      <c r="AI504">
        <v>91.428172244541798</v>
      </c>
      <c r="AJ504">
        <v>90.051012628169005</v>
      </c>
      <c r="AK504">
        <v>43.9947436870847</v>
      </c>
    </row>
    <row r="505" spans="1:37" x14ac:dyDescent="0.2">
      <c r="A505" t="str">
        <f>"20200111154037213"</f>
        <v>20200111154037213</v>
      </c>
      <c r="B505" t="str">
        <f>"1578728437207204"</f>
        <v>1578728437207204</v>
      </c>
      <c r="C505" t="s">
        <v>37</v>
      </c>
      <c r="D505">
        <v>5.0547389999999996</v>
      </c>
      <c r="E505">
        <v>0.51852449999999894</v>
      </c>
      <c r="F505" t="s">
        <v>39</v>
      </c>
      <c r="G505">
        <v>-269.02069999999998</v>
      </c>
      <c r="H505" s="1">
        <v>-4.5347549999999999E-7</v>
      </c>
      <c r="I505">
        <v>369.80810000000002</v>
      </c>
      <c r="J505">
        <v>-314.01760000000002</v>
      </c>
      <c r="K505">
        <v>1.092848</v>
      </c>
      <c r="L505">
        <v>368.4486</v>
      </c>
      <c r="M505">
        <v>0.9995463</v>
      </c>
      <c r="N505">
        <v>0</v>
      </c>
      <c r="O505">
        <v>2.8426460000000001E-2</v>
      </c>
      <c r="P505">
        <v>0.994919</v>
      </c>
      <c r="Q505">
        <v>5.6385520000000001E-2</v>
      </c>
      <c r="R505">
        <v>8.3408369999999996E-2</v>
      </c>
      <c r="S505">
        <v>3.0116269999999998</v>
      </c>
      <c r="T505">
        <v>-7.2179789999999994E-2</v>
      </c>
      <c r="U505">
        <v>9.0942380000000003E-2</v>
      </c>
      <c r="V505">
        <v>-5.4979340000000002E-2</v>
      </c>
      <c r="W505">
        <v>6.6403439999999994E-2</v>
      </c>
      <c r="X505">
        <v>0.99627699999999997</v>
      </c>
      <c r="Y505">
        <v>-1.763859E-3</v>
      </c>
      <c r="Z505">
        <v>-6.5980779999999897E-4</v>
      </c>
      <c r="AA505">
        <v>0.99999819999999995</v>
      </c>
      <c r="AB505">
        <v>68</v>
      </c>
      <c r="AC505">
        <v>44.996899999999997</v>
      </c>
      <c r="AD505">
        <v>-1.0928484534755001</v>
      </c>
      <c r="AE505">
        <v>1.3595000000000199</v>
      </c>
      <c r="AF505">
        <v>-7.9737579781843093E-2</v>
      </c>
      <c r="AG505">
        <v>-1.0928484534755001</v>
      </c>
      <c r="AH505">
        <v>44.9908475823377</v>
      </c>
      <c r="AI505">
        <v>91.391465120485194</v>
      </c>
      <c r="AJ505">
        <v>90.101545586539004</v>
      </c>
      <c r="AK505">
        <v>45.004189160577397</v>
      </c>
    </row>
    <row r="506" spans="1:37" x14ac:dyDescent="0.2">
      <c r="A506" t="str">
        <f>"20200111154037225"</f>
        <v>20200111154037225</v>
      </c>
      <c r="B506" t="str">
        <f>"1578728437216964"</f>
        <v>1578728437216964</v>
      </c>
      <c r="C506" t="s">
        <v>37</v>
      </c>
      <c r="D506">
        <v>5.0069039999999996</v>
      </c>
      <c r="E506">
        <v>0.51836759999999904</v>
      </c>
      <c r="F506" t="s">
        <v>39</v>
      </c>
      <c r="G506">
        <v>-264.95830000000001</v>
      </c>
      <c r="H506" s="1">
        <v>-2.2188779999999999E-6</v>
      </c>
      <c r="I506">
        <v>369.89319999999998</v>
      </c>
      <c r="J506">
        <v>-313.64170000000001</v>
      </c>
      <c r="K506">
        <v>1.0909500000000001</v>
      </c>
      <c r="L506">
        <v>368.45940000000002</v>
      </c>
      <c r="M506">
        <v>0.99955720000000003</v>
      </c>
      <c r="N506">
        <v>0</v>
      </c>
      <c r="O506">
        <v>2.7942809999999998E-2</v>
      </c>
      <c r="P506">
        <v>0.99495579999999995</v>
      </c>
      <c r="Q506">
        <v>5.6935270000000003E-2</v>
      </c>
      <c r="R506">
        <v>8.2592410000000005E-2</v>
      </c>
      <c r="S506">
        <v>3.0116879999999999</v>
      </c>
      <c r="T506">
        <v>-6.7088599999999998E-2</v>
      </c>
      <c r="U506">
        <v>8.8684079999999998E-2</v>
      </c>
      <c r="V506">
        <v>-5.4622799999999999E-2</v>
      </c>
      <c r="W506">
        <v>6.7247459999999995E-2</v>
      </c>
      <c r="X506">
        <v>0.99624000000000001</v>
      </c>
      <c r="Y506">
        <v>-1.4967660000000001E-3</v>
      </c>
      <c r="Z506">
        <v>-6.0548679999999997E-4</v>
      </c>
      <c r="AA506">
        <v>0.99999869999999902</v>
      </c>
      <c r="AB506">
        <v>68</v>
      </c>
      <c r="AC506">
        <v>48.683399999999999</v>
      </c>
      <c r="AD506">
        <v>-1.0909522188780001</v>
      </c>
      <c r="AE506">
        <v>1.43379999999996</v>
      </c>
      <c r="AF506">
        <v>-7.2781408730692096E-2</v>
      </c>
      <c r="AG506">
        <v>-1.0909522188780001</v>
      </c>
      <c r="AH506">
        <v>48.680030378336902</v>
      </c>
      <c r="AI506">
        <v>91.283820617425206</v>
      </c>
      <c r="AJ506">
        <v>90.085662732905803</v>
      </c>
      <c r="AK506">
        <v>48.692307724250803</v>
      </c>
    </row>
    <row r="507" spans="1:37" x14ac:dyDescent="0.2">
      <c r="A507" t="str">
        <f>"20200111154037240"</f>
        <v>20200111154037240</v>
      </c>
      <c r="B507" t="str">
        <f>"1578728437226724"</f>
        <v>1578728437226724</v>
      </c>
      <c r="C507" t="s">
        <v>37</v>
      </c>
      <c r="D507">
        <v>5.0343140000000002</v>
      </c>
      <c r="E507">
        <v>0.51818379999999997</v>
      </c>
      <c r="F507" t="s">
        <v>39</v>
      </c>
      <c r="G507">
        <v>-263.99090000000001</v>
      </c>
      <c r="H507" s="1">
        <v>-2.635767E-6</v>
      </c>
      <c r="I507">
        <v>369.90019999999998</v>
      </c>
      <c r="J507">
        <v>-313.1773</v>
      </c>
      <c r="K507">
        <v>1.0885719999999901</v>
      </c>
      <c r="L507">
        <v>368.47239999999999</v>
      </c>
      <c r="M507">
        <v>0.9995716</v>
      </c>
      <c r="N507">
        <v>0</v>
      </c>
      <c r="O507">
        <v>2.7283789999999999E-2</v>
      </c>
      <c r="P507">
        <v>0.99501539999999999</v>
      </c>
      <c r="Q507">
        <v>5.8089290000000002E-2</v>
      </c>
      <c r="R507">
        <v>8.1053180000000002E-2</v>
      </c>
      <c r="S507">
        <v>3.0117799999999999</v>
      </c>
      <c r="T507">
        <v>-6.6176299999999993E-2</v>
      </c>
      <c r="U507">
        <v>8.7402339999999995E-2</v>
      </c>
      <c r="V507">
        <v>-5.3709840000000002E-2</v>
      </c>
      <c r="W507">
        <v>6.8773139999999996E-2</v>
      </c>
      <c r="X507">
        <v>0.99618549999999995</v>
      </c>
      <c r="Y507">
        <v>-1.7294770000000001E-3</v>
      </c>
      <c r="Z507">
        <v>-5.8021880000000002E-4</v>
      </c>
      <c r="AA507">
        <v>0.99999830000000001</v>
      </c>
      <c r="AB507">
        <v>68</v>
      </c>
      <c r="AC507">
        <v>49.1863999999999</v>
      </c>
      <c r="AD507">
        <v>-1.0885746357670001</v>
      </c>
      <c r="AE507">
        <v>1.42779999999999</v>
      </c>
      <c r="AF507">
        <v>-8.51600254657294E-2</v>
      </c>
      <c r="AG507">
        <v>-1.0885746357670001</v>
      </c>
      <c r="AH507">
        <v>49.1829752531889</v>
      </c>
      <c r="AI507">
        <v>91.267927710325296</v>
      </c>
      <c r="AJ507">
        <v>90.099207198042194</v>
      </c>
      <c r="AK507">
        <v>49.195094285135397</v>
      </c>
    </row>
    <row r="508" spans="1:37" x14ac:dyDescent="0.2">
      <c r="A508" t="str">
        <f>"20200111154037252"</f>
        <v>20200111154037252</v>
      </c>
      <c r="B508" t="str">
        <f>"1578728437247219"</f>
        <v>1578728437247219</v>
      </c>
      <c r="C508" t="s">
        <v>37</v>
      </c>
      <c r="D508">
        <v>5.0075900000000004</v>
      </c>
      <c r="E508">
        <v>0.51785219999999998</v>
      </c>
      <c r="F508" t="s">
        <v>39</v>
      </c>
      <c r="G508">
        <v>-261.43619999999999</v>
      </c>
      <c r="H508" s="1">
        <v>-3.735514E-6</v>
      </c>
      <c r="I508">
        <v>369.91449999999998</v>
      </c>
      <c r="J508">
        <v>-312.84870000000001</v>
      </c>
      <c r="K508">
        <v>1.0868899999999999</v>
      </c>
      <c r="L508">
        <v>368.48140000000001</v>
      </c>
      <c r="M508">
        <v>0.99958309999999995</v>
      </c>
      <c r="N508">
        <v>0</v>
      </c>
      <c r="O508">
        <v>2.6768400000000001E-2</v>
      </c>
      <c r="P508">
        <v>0.99507800000000002</v>
      </c>
      <c r="Q508">
        <v>5.873776E-2</v>
      </c>
      <c r="R508">
        <v>7.9812839999999996E-2</v>
      </c>
      <c r="S508">
        <v>3.0119020000000001</v>
      </c>
      <c r="T508">
        <v>-6.3367010000000001E-2</v>
      </c>
      <c r="U508">
        <v>8.3953860000000005E-2</v>
      </c>
      <c r="V508">
        <v>-5.2961689999999999E-2</v>
      </c>
      <c r="W508">
        <v>6.9670770000000007E-2</v>
      </c>
      <c r="X508">
        <v>0.99616319999999903</v>
      </c>
      <c r="Y508">
        <v>-1.099332E-3</v>
      </c>
      <c r="Z508">
        <v>-5.5137449999999896E-4</v>
      </c>
      <c r="AA508">
        <v>0.99999919999999998</v>
      </c>
      <c r="AB508">
        <v>68</v>
      </c>
      <c r="AC508">
        <v>51.412500000000001</v>
      </c>
      <c r="AD508">
        <v>-1.08689373551399</v>
      </c>
      <c r="AE508">
        <v>1.4330999999999601</v>
      </c>
      <c r="AF508">
        <v>-5.6250349753434098E-2</v>
      </c>
      <c r="AG508">
        <v>-1.08689373551399</v>
      </c>
      <c r="AH508">
        <v>51.409480385605697</v>
      </c>
      <c r="AI508">
        <v>91.211160084046995</v>
      </c>
      <c r="AJ508">
        <v>90.062690895272297</v>
      </c>
      <c r="AK508">
        <v>51.420999364190898</v>
      </c>
    </row>
    <row r="509" spans="1:37" x14ac:dyDescent="0.2">
      <c r="A509" t="str">
        <f>"20200111154037263"</f>
        <v>20200111154037263</v>
      </c>
      <c r="B509" t="str">
        <f>"1578728437256980"</f>
        <v>1578728437256980</v>
      </c>
      <c r="C509" t="s">
        <v>37</v>
      </c>
      <c r="D509">
        <v>5.0377349999999996</v>
      </c>
      <c r="E509">
        <v>0.51772079999999998</v>
      </c>
      <c r="F509" t="s">
        <v>39</v>
      </c>
      <c r="G509">
        <v>-261.1173</v>
      </c>
      <c r="H509" s="1">
        <v>-3.8693279999999901E-6</v>
      </c>
      <c r="I509">
        <v>369.90339999999998</v>
      </c>
      <c r="J509">
        <v>-312.49489999999997</v>
      </c>
      <c r="K509">
        <v>1.085083</v>
      </c>
      <c r="L509">
        <v>368.49090000000001</v>
      </c>
      <c r="M509">
        <v>0.99959549999999997</v>
      </c>
      <c r="N509">
        <v>0</v>
      </c>
      <c r="O509">
        <v>2.6198929999999999E-2</v>
      </c>
      <c r="P509">
        <v>0.99513079999999998</v>
      </c>
      <c r="Q509">
        <v>5.9340099999999903E-2</v>
      </c>
      <c r="R509">
        <v>7.8700039999999999E-2</v>
      </c>
      <c r="S509">
        <v>3.0119319999999998</v>
      </c>
      <c r="T509">
        <v>-6.3281660000000003E-2</v>
      </c>
      <c r="U509">
        <v>8.2794190000000004E-2</v>
      </c>
      <c r="V509">
        <v>-5.2392269999999998E-2</v>
      </c>
      <c r="W509">
        <v>7.0537899999999903E-2</v>
      </c>
      <c r="X509">
        <v>0.99613229999999997</v>
      </c>
      <c r="Y509">
        <v>-1.283763E-3</v>
      </c>
      <c r="Z509">
        <v>-5.3673809999999996E-4</v>
      </c>
      <c r="AA509">
        <v>0.99999899999999997</v>
      </c>
      <c r="AB509">
        <v>68</v>
      </c>
      <c r="AC509">
        <v>51.377599999999902</v>
      </c>
      <c r="AD509">
        <v>-1.085086869328</v>
      </c>
      <c r="AE509">
        <v>1.4124999999999599</v>
      </c>
      <c r="AF509">
        <v>-6.5865175552024494E-2</v>
      </c>
      <c r="AG509">
        <v>-1.085086869328</v>
      </c>
      <c r="AH509">
        <v>51.374072703881403</v>
      </c>
      <c r="AI509">
        <v>91.209980076473698</v>
      </c>
      <c r="AJ509">
        <v>90.073457180046901</v>
      </c>
      <c r="AK509">
        <v>51.385572857748997</v>
      </c>
    </row>
    <row r="510" spans="1:37" x14ac:dyDescent="0.2">
      <c r="A510" t="str">
        <f>"20200111154037274"</f>
        <v>20200111154037274</v>
      </c>
      <c r="B510" t="str">
        <f>"1578728437267168"</f>
        <v>1578728437267168</v>
      </c>
      <c r="C510" t="s">
        <v>37</v>
      </c>
      <c r="D510">
        <v>5.0336819999999998</v>
      </c>
      <c r="E510">
        <v>0.51772079999999998</v>
      </c>
      <c r="F510" t="s">
        <v>39</v>
      </c>
      <c r="G510">
        <v>-260.33080000000001</v>
      </c>
      <c r="H510" s="1">
        <v>-4.2019000000000004E-6</v>
      </c>
      <c r="I510">
        <v>369.88510000000002</v>
      </c>
      <c r="J510">
        <v>-312.12380000000002</v>
      </c>
      <c r="K510">
        <v>1.0832310000000001</v>
      </c>
      <c r="L510">
        <v>368.50069999999999</v>
      </c>
      <c r="M510">
        <v>0.99961029999999995</v>
      </c>
      <c r="N510">
        <v>0</v>
      </c>
      <c r="O510">
        <v>2.5530710000000002E-2</v>
      </c>
      <c r="P510">
        <v>0.99523069999999902</v>
      </c>
      <c r="Q510">
        <v>5.9476179999999997E-2</v>
      </c>
      <c r="R510">
        <v>7.7322070000000007E-2</v>
      </c>
      <c r="S510">
        <v>3.0120239999999998</v>
      </c>
      <c r="T510">
        <v>-6.2654260000000003E-2</v>
      </c>
      <c r="U510">
        <v>8.0505370000000007E-2</v>
      </c>
      <c r="V510">
        <v>-5.1655609999999998E-2</v>
      </c>
      <c r="W510">
        <v>7.0908899999999997E-2</v>
      </c>
      <c r="X510">
        <v>0.99614439999999904</v>
      </c>
      <c r="Y510">
        <v>-1.191789E-3</v>
      </c>
      <c r="Z510">
        <v>-5.1847530000000001E-4</v>
      </c>
      <c r="AA510">
        <v>0.99999919999999998</v>
      </c>
      <c r="AB510">
        <v>68</v>
      </c>
      <c r="AC510">
        <v>51.792999999999999</v>
      </c>
      <c r="AD510">
        <v>-1.0832352019</v>
      </c>
      <c r="AE510">
        <v>1.3844000000000201</v>
      </c>
      <c r="AF510">
        <v>-6.1525464704506899E-2</v>
      </c>
      <c r="AG510">
        <v>-1.0832352019</v>
      </c>
      <c r="AH510">
        <v>51.788824738519097</v>
      </c>
      <c r="AI510">
        <v>91.1982452426343</v>
      </c>
      <c r="AJ510">
        <v>90.068067731205105</v>
      </c>
      <c r="AK510">
        <v>51.800188722460099</v>
      </c>
    </row>
    <row r="511" spans="1:37" x14ac:dyDescent="0.2">
      <c r="A511" t="str">
        <f>"20200111154037288"</f>
        <v>20200111154037288</v>
      </c>
      <c r="B511" t="str">
        <f>"1578728437276927"</f>
        <v>1578728437276927</v>
      </c>
      <c r="C511" t="s">
        <v>37</v>
      </c>
      <c r="D511">
        <v>5.0143240000000002</v>
      </c>
      <c r="E511">
        <v>0.50971199999999905</v>
      </c>
      <c r="F511" t="s">
        <v>39</v>
      </c>
      <c r="G511">
        <v>-259.700999999999</v>
      </c>
      <c r="H511" s="1">
        <v>-1.66754399999999E-7</v>
      </c>
      <c r="I511">
        <v>369.82740000000001</v>
      </c>
      <c r="J511">
        <v>-311.74110000000002</v>
      </c>
      <c r="K511">
        <v>1.0813489999999999</v>
      </c>
      <c r="L511">
        <v>368.51049999999998</v>
      </c>
      <c r="M511">
        <v>0.99962589999999996</v>
      </c>
      <c r="N511">
        <v>0</v>
      </c>
      <c r="O511">
        <v>2.4813109999999999E-2</v>
      </c>
      <c r="P511">
        <v>0.99533099999999997</v>
      </c>
      <c r="Q511">
        <v>5.9535780000000003E-2</v>
      </c>
      <c r="R511">
        <v>7.5972010000000006E-2</v>
      </c>
      <c r="S511">
        <v>3.0121769999999999</v>
      </c>
      <c r="T511">
        <v>-6.224155E-2</v>
      </c>
      <c r="U511">
        <v>7.6232910000000001E-2</v>
      </c>
      <c r="V511">
        <v>-5.0995289999999999E-2</v>
      </c>
      <c r="W511">
        <v>7.118621E-2</v>
      </c>
      <c r="X511">
        <v>0.99615859999999901</v>
      </c>
      <c r="Y511">
        <v>-4.9073349999999999E-4</v>
      </c>
      <c r="Z511">
        <v>-5.0746989999999996E-4</v>
      </c>
      <c r="AA511">
        <v>0.99999979999999999</v>
      </c>
      <c r="AB511">
        <v>68</v>
      </c>
      <c r="AC511">
        <v>52.040100000000002</v>
      </c>
      <c r="AD511">
        <v>-1.0813491667544</v>
      </c>
      <c r="AE511">
        <v>1.3169000000000299</v>
      </c>
      <c r="AF511">
        <v>-2.51214456048303E-2</v>
      </c>
      <c r="AG511">
        <v>-1.0813491667544</v>
      </c>
      <c r="AH511">
        <v>52.034301026248599</v>
      </c>
      <c r="AI511">
        <v>91.190518912179996</v>
      </c>
      <c r="AJ511">
        <v>90.027661612978505</v>
      </c>
      <c r="AK511">
        <v>52.045541887828698</v>
      </c>
    </row>
    <row r="512" spans="1:37" x14ac:dyDescent="0.2">
      <c r="A512" t="str">
        <f>"20200111154037300"</f>
        <v>20200111154037300</v>
      </c>
      <c r="B512" t="str">
        <f>"1578728437296447"</f>
        <v>1578728437296447</v>
      </c>
      <c r="C512" t="s">
        <v>37</v>
      </c>
      <c r="D512">
        <v>5.0380839999999996</v>
      </c>
      <c r="E512">
        <v>0.5101483</v>
      </c>
      <c r="F512" t="s">
        <v>40</v>
      </c>
      <c r="G512">
        <v>-286.0299</v>
      </c>
      <c r="H512">
        <v>-0.05</v>
      </c>
      <c r="I512">
        <v>369.63099999999997</v>
      </c>
      <c r="J512">
        <v>-311.3503</v>
      </c>
      <c r="K512">
        <v>1.0794680000000001</v>
      </c>
      <c r="L512">
        <v>368.52030000000002</v>
      </c>
      <c r="M512">
        <v>0.99964279999999905</v>
      </c>
      <c r="N512">
        <v>0</v>
      </c>
      <c r="O512">
        <v>2.4036330000000002E-2</v>
      </c>
      <c r="P512">
        <v>0.99544109999999997</v>
      </c>
      <c r="Q512">
        <v>5.937982E-2</v>
      </c>
      <c r="R512">
        <v>7.4637590000000004E-2</v>
      </c>
      <c r="S512">
        <v>3.0119630000000002</v>
      </c>
      <c r="T512">
        <v>-0.13253299999999901</v>
      </c>
      <c r="U512">
        <v>0.13125609999999999</v>
      </c>
      <c r="V512">
        <v>-5.0409969999999998E-2</v>
      </c>
      <c r="W512">
        <v>7.1215680000000003E-2</v>
      </c>
      <c r="X512">
        <v>0.99618629999999997</v>
      </c>
      <c r="Y512">
        <v>-1.9513539999999999E-2</v>
      </c>
      <c r="Z512">
        <v>-6.2758810000000003E-4</v>
      </c>
      <c r="AA512">
        <v>0.99980939999999996</v>
      </c>
      <c r="AB512">
        <v>68</v>
      </c>
      <c r="AC512">
        <v>25.320399999999999</v>
      </c>
      <c r="AD512">
        <v>-1.1294679999999999</v>
      </c>
      <c r="AE512">
        <v>1.1106999999999501</v>
      </c>
      <c r="AF512">
        <v>-0.50073357877476399</v>
      </c>
      <c r="AG512">
        <v>-1.1294679999999999</v>
      </c>
      <c r="AH512">
        <v>25.289558339569901</v>
      </c>
      <c r="AI512">
        <v>92.556712017216498</v>
      </c>
      <c r="AJ512">
        <v>91.134308951428395</v>
      </c>
      <c r="AK512">
        <v>25.319719451258599</v>
      </c>
    </row>
    <row r="513" spans="1:37" x14ac:dyDescent="0.2">
      <c r="A513" t="str">
        <f>"20200111154037313"</f>
        <v>20200111154037313</v>
      </c>
      <c r="B513" t="str">
        <f>"1578728437307183"</f>
        <v>1578728437307183</v>
      </c>
      <c r="C513" t="s">
        <v>37</v>
      </c>
      <c r="D513">
        <v>5.0442010000000002</v>
      </c>
      <c r="E513">
        <v>0.5102527</v>
      </c>
      <c r="F513" t="s">
        <v>40</v>
      </c>
      <c r="G513">
        <v>-286.56389999999999</v>
      </c>
      <c r="H513">
        <v>-0.05</v>
      </c>
      <c r="I513">
        <v>369.53590000000003</v>
      </c>
      <c r="J513">
        <v>-310.99799999999999</v>
      </c>
      <c r="K513">
        <v>1.077847</v>
      </c>
      <c r="L513">
        <v>368.52879999999999</v>
      </c>
      <c r="M513">
        <v>0.99965959999999998</v>
      </c>
      <c r="N513">
        <v>0</v>
      </c>
      <c r="O513">
        <v>2.3282959999999998E-2</v>
      </c>
      <c r="P513">
        <v>0.99555169999999904</v>
      </c>
      <c r="Q513">
        <v>5.9063959999999999E-2</v>
      </c>
      <c r="R513">
        <v>7.3405869999999998E-2</v>
      </c>
      <c r="S513">
        <v>3.0126949999999999</v>
      </c>
      <c r="T513">
        <v>-0.13728280000000001</v>
      </c>
      <c r="U513">
        <v>0.1234436</v>
      </c>
      <c r="V513">
        <v>-4.9907149999999997E-2</v>
      </c>
      <c r="W513">
        <v>7.1016399999999993E-2</v>
      </c>
      <c r="X513">
        <v>0.99622579999999905</v>
      </c>
      <c r="Y513">
        <v>-1.766978E-2</v>
      </c>
      <c r="Z513">
        <v>-6.5762950000000002E-4</v>
      </c>
      <c r="AA513">
        <v>0.9998437</v>
      </c>
      <c r="AB513">
        <v>68</v>
      </c>
      <c r="AC513">
        <v>24.434100000000001</v>
      </c>
      <c r="AD513">
        <v>-1.127847</v>
      </c>
      <c r="AE513">
        <v>1.0071000000000301</v>
      </c>
      <c r="AF513">
        <v>-0.43695993411018202</v>
      </c>
      <c r="AG513">
        <v>-1.127847</v>
      </c>
      <c r="AH513">
        <v>24.399028167180099</v>
      </c>
      <c r="AI513">
        <v>92.646194217719795</v>
      </c>
      <c r="AJ513">
        <v>91.025995125643405</v>
      </c>
      <c r="AK513">
        <v>24.428989916537201</v>
      </c>
    </row>
    <row r="514" spans="1:37" x14ac:dyDescent="0.2">
      <c r="A514" t="str">
        <f>"20200111154037324"</f>
        <v>20200111154037324</v>
      </c>
      <c r="B514" t="str">
        <f>"1578728437316943"</f>
        <v>1578728437316943</v>
      </c>
      <c r="C514" t="s">
        <v>37</v>
      </c>
      <c r="D514">
        <v>4.9804209999999998</v>
      </c>
      <c r="E514">
        <v>0.51027330000000004</v>
      </c>
      <c r="F514" t="s">
        <v>40</v>
      </c>
      <c r="G514">
        <v>-286.29809999999998</v>
      </c>
      <c r="H514">
        <v>-0.05</v>
      </c>
      <c r="I514">
        <v>369.50130000000001</v>
      </c>
      <c r="J514">
        <v>-310.61219999999997</v>
      </c>
      <c r="K514">
        <v>1.0761039999999999</v>
      </c>
      <c r="L514">
        <v>368.53789999999998</v>
      </c>
      <c r="M514">
        <v>0.99967779999999995</v>
      </c>
      <c r="N514">
        <v>0</v>
      </c>
      <c r="O514">
        <v>2.243289E-2</v>
      </c>
      <c r="P514">
        <v>0.99564240000000004</v>
      </c>
      <c r="Q514">
        <v>5.9131120000000002E-2</v>
      </c>
      <c r="R514">
        <v>7.2108099999999994E-2</v>
      </c>
      <c r="S514">
        <v>3.0128169999999899</v>
      </c>
      <c r="T514">
        <v>-0.1375709</v>
      </c>
      <c r="U514">
        <v>0.1186218</v>
      </c>
      <c r="V514">
        <v>-4.9431500000000003E-2</v>
      </c>
      <c r="W514">
        <v>7.1186669999999994E-2</v>
      </c>
      <c r="X514">
        <v>0.99623739999999905</v>
      </c>
      <c r="Y514">
        <v>-1.6920640000000001E-2</v>
      </c>
      <c r="Z514">
        <v>-6.3732950000000002E-4</v>
      </c>
      <c r="AA514">
        <v>0.99985669999999904</v>
      </c>
      <c r="AB514">
        <v>68</v>
      </c>
      <c r="AC514">
        <v>24.3141</v>
      </c>
      <c r="AD514">
        <v>-1.126104</v>
      </c>
      <c r="AE514">
        <v>0.96340000000003501</v>
      </c>
      <c r="AF514">
        <v>-0.41679087997518999</v>
      </c>
      <c r="AG514">
        <v>-1.126104</v>
      </c>
      <c r="AH514">
        <v>24.277598477558801</v>
      </c>
      <c r="AI514">
        <v>92.655341210413596</v>
      </c>
      <c r="AJ514">
        <v>90.983540967184993</v>
      </c>
      <c r="AK514">
        <v>24.307274892385902</v>
      </c>
    </row>
    <row r="515" spans="1:37" x14ac:dyDescent="0.2">
      <c r="A515" t="str">
        <f>"20200111154037336"</f>
        <v>20200111154037336</v>
      </c>
      <c r="B515" t="str">
        <f>"1578728437326704"</f>
        <v>1578728437326704</v>
      </c>
      <c r="C515" t="s">
        <v>37</v>
      </c>
      <c r="D515">
        <v>4.9859669999999996</v>
      </c>
      <c r="E515">
        <v>0.51026769999999999</v>
      </c>
      <c r="F515" t="s">
        <v>40</v>
      </c>
      <c r="G515">
        <v>-286.16789999999997</v>
      </c>
      <c r="H515">
        <v>-0.05</v>
      </c>
      <c r="I515">
        <v>369.46809999999999</v>
      </c>
      <c r="J515">
        <v>-310.24549999999999</v>
      </c>
      <c r="K515">
        <v>1.0745400000000001</v>
      </c>
      <c r="L515">
        <v>368.54610000000002</v>
      </c>
      <c r="M515">
        <v>0.99969649999999999</v>
      </c>
      <c r="N515">
        <v>0</v>
      </c>
      <c r="O515">
        <v>2.1568049999999998E-2</v>
      </c>
      <c r="P515">
        <v>0.99572240000000001</v>
      </c>
      <c r="Q515">
        <v>5.9228870000000003E-2</v>
      </c>
      <c r="R515">
        <v>7.0914720000000001E-2</v>
      </c>
      <c r="S515">
        <v>3.0130619999999899</v>
      </c>
      <c r="T515">
        <v>-0.1388065</v>
      </c>
      <c r="U515">
        <v>0.11465450000000001</v>
      </c>
      <c r="V515">
        <v>-4.907661E-2</v>
      </c>
      <c r="W515">
        <v>7.1330790000000005E-2</v>
      </c>
      <c r="X515">
        <v>0.99624469999999998</v>
      </c>
      <c r="Y515">
        <v>-1.6467559999999999E-2</v>
      </c>
      <c r="Z515">
        <v>-6.1364999999999998E-4</v>
      </c>
      <c r="AA515">
        <v>0.99986419999999998</v>
      </c>
      <c r="AB515">
        <v>68</v>
      </c>
      <c r="AC515">
        <v>24.0776</v>
      </c>
      <c r="AD515">
        <v>-1.1245400000000001</v>
      </c>
      <c r="AE515">
        <v>0.92199999999996796</v>
      </c>
      <c r="AF515">
        <v>-0.40156713976625702</v>
      </c>
      <c r="AG515">
        <v>-1.1245400000000001</v>
      </c>
      <c r="AH515">
        <v>24.039523885127199</v>
      </c>
      <c r="AI515">
        <v>92.677902125836894</v>
      </c>
      <c r="AJ515">
        <v>90.957005750893501</v>
      </c>
      <c r="AK515">
        <v>24.069161909026601</v>
      </c>
    </row>
    <row r="516" spans="1:37" x14ac:dyDescent="0.2">
      <c r="A516" t="str">
        <f>"20200111154037354"</f>
        <v>20200111154037354</v>
      </c>
      <c r="B516" t="str">
        <f>"1578728437347201"</f>
        <v>1578728437347201</v>
      </c>
      <c r="C516" t="s">
        <v>37</v>
      </c>
      <c r="D516">
        <v>5.0074860000000001</v>
      </c>
      <c r="E516">
        <v>0.51023260000000004</v>
      </c>
      <c r="F516" t="s">
        <v>40</v>
      </c>
      <c r="G516">
        <v>-285.67219999999998</v>
      </c>
      <c r="H516">
        <v>-0.05</v>
      </c>
      <c r="I516">
        <v>369.44900000000001</v>
      </c>
      <c r="J516">
        <v>-309.75069999999999</v>
      </c>
      <c r="K516">
        <v>1.072532</v>
      </c>
      <c r="L516">
        <v>368.55689999999998</v>
      </c>
      <c r="M516">
        <v>0.99972220000000001</v>
      </c>
      <c r="N516">
        <v>0</v>
      </c>
      <c r="O516">
        <v>2.0344839999999999E-2</v>
      </c>
      <c r="P516">
        <v>0.99584869999999903</v>
      </c>
      <c r="Q516">
        <v>5.9325679999999999E-2</v>
      </c>
      <c r="R516">
        <v>6.9036479999999997E-2</v>
      </c>
      <c r="S516">
        <v>3.013245</v>
      </c>
      <c r="T516">
        <v>-0.1378944</v>
      </c>
      <c r="U516">
        <v>0.11071780000000001</v>
      </c>
      <c r="V516">
        <v>-4.838692E-2</v>
      </c>
      <c r="W516">
        <v>7.1443019999999996E-2</v>
      </c>
      <c r="X516">
        <v>0.9962704</v>
      </c>
      <c r="Y516">
        <v>-1.6382910000000001E-2</v>
      </c>
      <c r="Z516">
        <v>-5.5562509999999995E-4</v>
      </c>
      <c r="AA516">
        <v>0.99986569999999997</v>
      </c>
      <c r="AB516">
        <v>68</v>
      </c>
      <c r="AC516">
        <v>24.078499999999998</v>
      </c>
      <c r="AD516">
        <v>-1.1225320000000001</v>
      </c>
      <c r="AE516">
        <v>0.89210000000002698</v>
      </c>
      <c r="AF516">
        <v>-0.401136776439808</v>
      </c>
      <c r="AG516">
        <v>-1.1225320000000001</v>
      </c>
      <c r="AH516">
        <v>24.0394908174889</v>
      </c>
      <c r="AI516">
        <v>92.673131823161299</v>
      </c>
      <c r="AJ516">
        <v>90.955981623920806</v>
      </c>
      <c r="AK516">
        <v>24.069027973072998</v>
      </c>
    </row>
    <row r="517" spans="1:37" x14ac:dyDescent="0.2">
      <c r="A517" t="str">
        <f>"20200111154037364"</f>
        <v>20200111154037364</v>
      </c>
      <c r="B517" t="str">
        <f>"1578728437356958"</f>
        <v>1578728437356958</v>
      </c>
      <c r="C517" t="s">
        <v>37</v>
      </c>
      <c r="D517">
        <v>4.9964300000000001</v>
      </c>
      <c r="E517">
        <v>0.51026899999999997</v>
      </c>
      <c r="F517" t="s">
        <v>40</v>
      </c>
      <c r="G517">
        <v>-285.00560000000002</v>
      </c>
      <c r="H517">
        <v>-0.05</v>
      </c>
      <c r="I517">
        <v>369.423</v>
      </c>
      <c r="J517">
        <v>-309.39229999999998</v>
      </c>
      <c r="K517">
        <v>1.071143</v>
      </c>
      <c r="L517">
        <v>368.56439999999998</v>
      </c>
      <c r="M517">
        <v>0.99974089999999904</v>
      </c>
      <c r="N517">
        <v>0</v>
      </c>
      <c r="O517">
        <v>1.9425399999999999E-2</v>
      </c>
      <c r="P517">
        <v>0.99593349999999903</v>
      </c>
      <c r="Q517">
        <v>5.927785E-2</v>
      </c>
      <c r="R517">
        <v>6.7844409999999994E-2</v>
      </c>
      <c r="S517">
        <v>3.013306</v>
      </c>
      <c r="T517">
        <v>-0.13669539999999999</v>
      </c>
      <c r="U517">
        <v>0.1054688</v>
      </c>
      <c r="V517">
        <v>-4.8090229999999998E-2</v>
      </c>
      <c r="W517">
        <v>7.1379769999999995E-2</v>
      </c>
      <c r="X517">
        <v>0.99628930000000004</v>
      </c>
      <c r="Y517">
        <v>-1.5562080000000001E-2</v>
      </c>
      <c r="Z517">
        <v>-5.2774699999999996E-4</v>
      </c>
      <c r="AA517">
        <v>0.99987879999999996</v>
      </c>
      <c r="AB517">
        <v>68</v>
      </c>
      <c r="AC517">
        <v>24.386699999999902</v>
      </c>
      <c r="AD517">
        <v>-1.121143</v>
      </c>
      <c r="AE517">
        <v>0.85860000000002401</v>
      </c>
      <c r="AF517">
        <v>-0.38387287821923599</v>
      </c>
      <c r="AG517">
        <v>-1.121143</v>
      </c>
      <c r="AH517">
        <v>24.347381522744101</v>
      </c>
      <c r="AI517">
        <v>92.636154181384001</v>
      </c>
      <c r="AJ517">
        <v>90.903278801375606</v>
      </c>
      <c r="AK517">
        <v>24.376203704169001</v>
      </c>
    </row>
    <row r="518" spans="1:37" x14ac:dyDescent="0.2">
      <c r="A518" t="str">
        <f>"20200111154037377"</f>
        <v>20200111154037377</v>
      </c>
      <c r="B518" t="str">
        <f>"1578728437366719"</f>
        <v>1578728437366719</v>
      </c>
      <c r="C518" t="s">
        <v>37</v>
      </c>
      <c r="D518">
        <v>4.9992070000000002</v>
      </c>
      <c r="E518">
        <v>0.51024190000000003</v>
      </c>
      <c r="F518" t="s">
        <v>40</v>
      </c>
      <c r="G518">
        <v>-284.726</v>
      </c>
      <c r="H518">
        <v>-0.05</v>
      </c>
      <c r="I518">
        <v>369.39690000000002</v>
      </c>
      <c r="J518">
        <v>-308.98860000000002</v>
      </c>
      <c r="K518">
        <v>1.0696939999999999</v>
      </c>
      <c r="L518">
        <v>368.57229999999998</v>
      </c>
      <c r="M518">
        <v>0.99976229999999999</v>
      </c>
      <c r="N518">
        <v>0</v>
      </c>
      <c r="O518">
        <v>1.8332669999999999E-2</v>
      </c>
      <c r="P518">
        <v>0.99603109999999995</v>
      </c>
      <c r="Q518">
        <v>5.9160039999999997E-2</v>
      </c>
      <c r="R518">
        <v>6.6497959999999995E-2</v>
      </c>
      <c r="S518">
        <v>3.013458</v>
      </c>
      <c r="T518">
        <v>-0.13696900000000001</v>
      </c>
      <c r="U518">
        <v>0.1017151</v>
      </c>
      <c r="V518">
        <v>-4.7810529999999997E-2</v>
      </c>
      <c r="W518">
        <v>7.120427E-2</v>
      </c>
      <c r="X518">
        <v>0.99631519999999996</v>
      </c>
      <c r="Y518">
        <v>-1.540823E-2</v>
      </c>
      <c r="Z518">
        <v>-4.8266589999999902E-4</v>
      </c>
      <c r="AA518">
        <v>0.99988109999999997</v>
      </c>
      <c r="AB518">
        <v>68</v>
      </c>
      <c r="AC518">
        <v>24.262599999999999</v>
      </c>
      <c r="AD518">
        <v>-1.119694</v>
      </c>
      <c r="AE518">
        <v>0.82460000000003197</v>
      </c>
      <c r="AF518">
        <v>-0.37882632155275597</v>
      </c>
      <c r="AG518">
        <v>-1.119694</v>
      </c>
      <c r="AH518">
        <v>24.222113111103699</v>
      </c>
      <c r="AI518">
        <v>92.646353570017496</v>
      </c>
      <c r="AJ518">
        <v>90.896015135477896</v>
      </c>
      <c r="AK518">
        <v>24.250937870578099</v>
      </c>
    </row>
    <row r="519" spans="1:37" x14ac:dyDescent="0.2">
      <c r="A519" t="str">
        <f>"20200111154037391"</f>
        <v>20200111154037391</v>
      </c>
      <c r="B519" t="str">
        <f>"1578728437387215"</f>
        <v>1578728437387215</v>
      </c>
      <c r="C519" t="s">
        <v>37</v>
      </c>
      <c r="D519">
        <v>5.0345149999999999</v>
      </c>
      <c r="E519">
        <v>0.51011960000000001</v>
      </c>
      <c r="F519" t="s">
        <v>40</v>
      </c>
      <c r="G519">
        <v>-284.62630000000001</v>
      </c>
      <c r="H519">
        <v>-0.05</v>
      </c>
      <c r="I519">
        <v>369.36180000000002</v>
      </c>
      <c r="J519">
        <v>-308.60120000000001</v>
      </c>
      <c r="K519">
        <v>1.06839</v>
      </c>
      <c r="L519">
        <v>368.5795</v>
      </c>
      <c r="M519">
        <v>0.99978269999999902</v>
      </c>
      <c r="N519">
        <v>0</v>
      </c>
      <c r="O519">
        <v>1.724668E-2</v>
      </c>
      <c r="P519">
        <v>0.99613560000000001</v>
      </c>
      <c r="Q519">
        <v>5.9039260000000003E-2</v>
      </c>
      <c r="R519">
        <v>6.5027680000000004E-2</v>
      </c>
      <c r="S519">
        <v>3.0136720000000001</v>
      </c>
      <c r="T519">
        <v>-0.1385091</v>
      </c>
      <c r="U519">
        <v>9.765625E-2</v>
      </c>
      <c r="V519">
        <v>-4.7403109999999998E-2</v>
      </c>
      <c r="W519">
        <v>7.1005470000000001E-2</v>
      </c>
      <c r="X519">
        <v>0.99634889999999998</v>
      </c>
      <c r="Y519">
        <v>-1.514599E-2</v>
      </c>
      <c r="Z519">
        <v>-4.4422339999999899E-4</v>
      </c>
      <c r="AA519">
        <v>0.99988519999999903</v>
      </c>
      <c r="AB519">
        <v>68</v>
      </c>
      <c r="AC519">
        <v>23.974899999999899</v>
      </c>
      <c r="AD519">
        <v>-1.11839</v>
      </c>
      <c r="AE519">
        <v>0.78230000000001998</v>
      </c>
      <c r="AF519">
        <v>-0.36786819612402699</v>
      </c>
      <c r="AG519">
        <v>-1.11839</v>
      </c>
      <c r="AH519">
        <v>23.932802533470699</v>
      </c>
      <c r="AI519">
        <v>92.675194098646003</v>
      </c>
      <c r="AJ519">
        <v>90.880617108094299</v>
      </c>
      <c r="AK519">
        <v>23.961743682543599</v>
      </c>
    </row>
    <row r="520" spans="1:37" x14ac:dyDescent="0.2">
      <c r="A520" t="str">
        <f>"20200111154037404"</f>
        <v>20200111154037404</v>
      </c>
      <c r="B520" t="str">
        <f>"1578728437396975"</f>
        <v>1578728437396975</v>
      </c>
      <c r="C520" t="s">
        <v>37</v>
      </c>
      <c r="D520">
        <v>4.9916780000000003</v>
      </c>
      <c r="E520">
        <v>0.51015049999999995</v>
      </c>
      <c r="F520" t="s">
        <v>40</v>
      </c>
      <c r="G520">
        <v>-284.44260000000003</v>
      </c>
      <c r="H520">
        <v>-0.05</v>
      </c>
      <c r="I520">
        <v>369.33640000000003</v>
      </c>
      <c r="J520">
        <v>-308.17610000000002</v>
      </c>
      <c r="K520">
        <v>1.067032</v>
      </c>
      <c r="L520">
        <v>368.5872</v>
      </c>
      <c r="M520">
        <v>0.99980440000000004</v>
      </c>
      <c r="N520">
        <v>0</v>
      </c>
      <c r="O520">
        <v>1.602319E-2</v>
      </c>
      <c r="P520">
        <v>0.99624439999999903</v>
      </c>
      <c r="Q520">
        <v>5.8878340000000001E-2</v>
      </c>
      <c r="R520">
        <v>6.3486000000000001E-2</v>
      </c>
      <c r="S520">
        <v>3.0137330000000002</v>
      </c>
      <c r="T520">
        <v>-0.13951669999999999</v>
      </c>
      <c r="U520">
        <v>9.4421389999999994E-2</v>
      </c>
      <c r="V520">
        <v>-4.7060970000000001E-2</v>
      </c>
      <c r="W520">
        <v>7.0740999999999998E-2</v>
      </c>
      <c r="X520">
        <v>0.99638400000000005</v>
      </c>
      <c r="Y520">
        <v>-1.5295359999999999E-2</v>
      </c>
      <c r="Z520">
        <v>-3.87410299999999E-4</v>
      </c>
      <c r="AA520">
        <v>0.99988290000000002</v>
      </c>
      <c r="AB520">
        <v>68</v>
      </c>
      <c r="AC520">
        <v>23.7334999999999</v>
      </c>
      <c r="AD520">
        <v>-1.117032</v>
      </c>
      <c r="AE520">
        <v>0.74920000000002995</v>
      </c>
      <c r="AF520">
        <v>-0.367977541330753</v>
      </c>
      <c r="AG520">
        <v>-1.117032</v>
      </c>
      <c r="AH520">
        <v>23.690032794988198</v>
      </c>
      <c r="AI520">
        <v>92.699284926854403</v>
      </c>
      <c r="AJ520">
        <v>90.889904410871395</v>
      </c>
      <c r="AK520">
        <v>23.719207865937801</v>
      </c>
    </row>
    <row r="521" spans="1:37" x14ac:dyDescent="0.2">
      <c r="A521" t="str">
        <f>"20200111154037419"</f>
        <v>20200111154037419</v>
      </c>
      <c r="B521" t="str">
        <f>"1578728437406735"</f>
        <v>1578728437406735</v>
      </c>
      <c r="C521" t="s">
        <v>37</v>
      </c>
      <c r="D521">
        <v>4.9544079999999999</v>
      </c>
      <c r="E521">
        <v>0.51010230000000001</v>
      </c>
      <c r="F521" t="s">
        <v>40</v>
      </c>
      <c r="G521">
        <v>-284.24340000000001</v>
      </c>
      <c r="H521">
        <v>-0.05</v>
      </c>
      <c r="I521">
        <v>369.2955</v>
      </c>
      <c r="J521">
        <v>-307.73930000000001</v>
      </c>
      <c r="K521">
        <v>1.065766</v>
      </c>
      <c r="L521">
        <v>368.59440000000001</v>
      </c>
      <c r="M521">
        <v>0.999826199999999</v>
      </c>
      <c r="N521">
        <v>0</v>
      </c>
      <c r="O521">
        <v>1.471602E-2</v>
      </c>
      <c r="P521">
        <v>0.99640249999999997</v>
      </c>
      <c r="Q521">
        <v>5.8521620000000003E-2</v>
      </c>
      <c r="R521">
        <v>6.1295959999999997E-2</v>
      </c>
      <c r="S521">
        <v>3.0139770000000001</v>
      </c>
      <c r="T521">
        <v>-0.14067389999999999</v>
      </c>
      <c r="U521">
        <v>8.9202879999999998E-2</v>
      </c>
      <c r="V521">
        <v>-4.615557E-2</v>
      </c>
      <c r="W521">
        <v>7.0249649999999997E-2</v>
      </c>
      <c r="X521">
        <v>0.99646100000000004</v>
      </c>
      <c r="Y521">
        <v>-1.4869540000000001E-2</v>
      </c>
      <c r="Z521">
        <v>-3.395739E-4</v>
      </c>
      <c r="AA521">
        <v>0.99988940000000004</v>
      </c>
      <c r="AB521">
        <v>68</v>
      </c>
      <c r="AC521">
        <v>23.495899999999999</v>
      </c>
      <c r="AD521">
        <v>-1.115766</v>
      </c>
      <c r="AE521">
        <v>0.70109999999999595</v>
      </c>
      <c r="AF521">
        <v>-0.354436712359401</v>
      </c>
      <c r="AG521">
        <v>-1.115766</v>
      </c>
      <c r="AH521">
        <v>23.450836971871698</v>
      </c>
      <c r="AI521">
        <v>92.723707668672901</v>
      </c>
      <c r="AJ521">
        <v>90.865904344221605</v>
      </c>
      <c r="AK521">
        <v>23.4800407544606</v>
      </c>
    </row>
    <row r="522" spans="1:37" x14ac:dyDescent="0.2">
      <c r="A522" t="str">
        <f>"20200111154037432"</f>
        <v>20200111154037432</v>
      </c>
      <c r="B522" t="str">
        <f>"1578728437427230"</f>
        <v>1578728437427230</v>
      </c>
      <c r="C522" t="s">
        <v>37</v>
      </c>
      <c r="D522">
        <v>4.9888329999999996</v>
      </c>
      <c r="E522">
        <v>0.50785420000000003</v>
      </c>
      <c r="F522" t="s">
        <v>40</v>
      </c>
      <c r="G522">
        <v>-284.05759999999998</v>
      </c>
      <c r="H522">
        <v>-0.05</v>
      </c>
      <c r="I522">
        <v>369.24919999999997</v>
      </c>
      <c r="J522">
        <v>-307.35399999999998</v>
      </c>
      <c r="K522">
        <v>1.064738</v>
      </c>
      <c r="L522">
        <v>368.6003</v>
      </c>
      <c r="M522">
        <v>0.99984439999999997</v>
      </c>
      <c r="N522">
        <v>0</v>
      </c>
      <c r="O522">
        <v>1.3536289999999999E-2</v>
      </c>
      <c r="P522">
        <v>0.99647889999999995</v>
      </c>
      <c r="Q522">
        <v>5.8929040000000002E-2</v>
      </c>
      <c r="R522">
        <v>5.9640220000000001E-2</v>
      </c>
      <c r="S522">
        <v>3.0140380000000002</v>
      </c>
      <c r="T522">
        <v>-0.14200650000000001</v>
      </c>
      <c r="U522">
        <v>8.3343509999999996E-2</v>
      </c>
      <c r="V522">
        <v>-4.5656710000000003E-2</v>
      </c>
      <c r="W522">
        <v>7.0527909999999999E-2</v>
      </c>
      <c r="X522">
        <v>0.99646440000000003</v>
      </c>
      <c r="Y522">
        <v>-1.410606E-2</v>
      </c>
      <c r="Z522">
        <v>-3.0522779999999998E-4</v>
      </c>
      <c r="AA522">
        <v>0.99990049999999997</v>
      </c>
      <c r="AB522">
        <v>68</v>
      </c>
      <c r="AC522">
        <v>23.296399999999998</v>
      </c>
      <c r="AD522">
        <v>-1.114738</v>
      </c>
      <c r="AE522">
        <v>0.64889999999996895</v>
      </c>
      <c r="AF522">
        <v>-0.33271233630116598</v>
      </c>
      <c r="AG522">
        <v>-1.114738</v>
      </c>
      <c r="AH522">
        <v>23.2498569481392</v>
      </c>
      <c r="AI522">
        <v>92.7447216000689</v>
      </c>
      <c r="AJ522">
        <v>90.819863605787901</v>
      </c>
      <c r="AK522">
        <v>23.2789429832265</v>
      </c>
    </row>
    <row r="523" spans="1:37" x14ac:dyDescent="0.2">
      <c r="A523" t="str">
        <f>"20200111154037443"</f>
        <v>20200111154037443</v>
      </c>
      <c r="B523" t="str">
        <f>"1578728437436991"</f>
        <v>1578728437436991</v>
      </c>
      <c r="C523" t="s">
        <v>37</v>
      </c>
      <c r="D523">
        <v>4.9687209999999897</v>
      </c>
      <c r="E523">
        <v>0.50824979999999997</v>
      </c>
      <c r="F523" t="s">
        <v>40</v>
      </c>
      <c r="G523">
        <v>-287.27190000000002</v>
      </c>
      <c r="H523">
        <v>-0.05</v>
      </c>
      <c r="I523">
        <v>369.2296</v>
      </c>
      <c r="J523">
        <v>-306.99700000000001</v>
      </c>
      <c r="K523">
        <v>1.0638259999999999</v>
      </c>
      <c r="L523">
        <v>368.60559999999998</v>
      </c>
      <c r="M523">
        <v>0.99986030000000004</v>
      </c>
      <c r="N523">
        <v>0</v>
      </c>
      <c r="O523">
        <v>1.243117E-2</v>
      </c>
      <c r="P523">
        <v>0.99655380000000005</v>
      </c>
      <c r="Q523">
        <v>5.9381589999999998E-2</v>
      </c>
      <c r="R523">
        <v>5.7918509999999999E-2</v>
      </c>
      <c r="S523">
        <v>3.0148320000000002</v>
      </c>
      <c r="T523">
        <v>-0.1673502</v>
      </c>
      <c r="U523">
        <v>9.4482419999999998E-2</v>
      </c>
      <c r="V523">
        <v>-4.5019429999999999E-2</v>
      </c>
      <c r="W523">
        <v>7.0854189999999997E-2</v>
      </c>
      <c r="X523">
        <v>0.99647019999999997</v>
      </c>
      <c r="Y523">
        <v>-1.888563E-2</v>
      </c>
      <c r="Z523">
        <v>-1.6570819999999999E-4</v>
      </c>
      <c r="AA523">
        <v>0.99982169999999904</v>
      </c>
      <c r="AB523">
        <v>68</v>
      </c>
      <c r="AC523">
        <v>19.725100000000001</v>
      </c>
      <c r="AD523">
        <v>-1.113826</v>
      </c>
      <c r="AE523">
        <v>0.62400000000002298</v>
      </c>
      <c r="AF523">
        <v>-0.37752782685064401</v>
      </c>
      <c r="AG523">
        <v>-1.113826</v>
      </c>
      <c r="AH523">
        <v>19.668680874043599</v>
      </c>
      <c r="AI523">
        <v>93.240569437455306</v>
      </c>
      <c r="AJ523">
        <v>91.099621038456405</v>
      </c>
      <c r="AK523">
        <v>19.7038103661016</v>
      </c>
    </row>
    <row r="524" spans="1:37" x14ac:dyDescent="0.2">
      <c r="A524" t="str">
        <f>"20200111154037454"</f>
        <v>20200111154037454</v>
      </c>
      <c r="B524" t="str">
        <f>"1578728437446750"</f>
        <v>1578728437446750</v>
      </c>
      <c r="C524" t="s">
        <v>37</v>
      </c>
      <c r="D524">
        <v>5.0141589999999896</v>
      </c>
      <c r="E524">
        <v>0.50815959999999905</v>
      </c>
      <c r="F524" t="s">
        <v>40</v>
      </c>
      <c r="G524">
        <v>-286.27179999999998</v>
      </c>
      <c r="H524">
        <v>-0.05</v>
      </c>
      <c r="I524">
        <v>369.20280000000002</v>
      </c>
      <c r="J524">
        <v>-306.65129999999999</v>
      </c>
      <c r="K524">
        <v>1.063048</v>
      </c>
      <c r="L524">
        <v>368.61009999999999</v>
      </c>
      <c r="M524">
        <v>0.99987479999999995</v>
      </c>
      <c r="N524">
        <v>0</v>
      </c>
      <c r="O524">
        <v>1.1335110000000001E-2</v>
      </c>
      <c r="P524">
        <v>0.99660590000000004</v>
      </c>
      <c r="Q524">
        <v>6.0225389999999997E-2</v>
      </c>
      <c r="R524">
        <v>5.6119950000000002E-2</v>
      </c>
      <c r="S524">
        <v>3.0149840000000001</v>
      </c>
      <c r="T524">
        <v>-0.16203299999999901</v>
      </c>
      <c r="U524">
        <v>8.6883539999999995E-2</v>
      </c>
      <c r="V524">
        <v>-4.4294930000000003E-2</v>
      </c>
      <c r="W524">
        <v>7.1566690000000002E-2</v>
      </c>
      <c r="X524">
        <v>0.9964518</v>
      </c>
      <c r="Y524">
        <v>-1.7463510000000002E-2</v>
      </c>
      <c r="Z524">
        <v>-1.3978370000000001E-4</v>
      </c>
      <c r="AA524">
        <v>0.9998475</v>
      </c>
      <c r="AB524">
        <v>69</v>
      </c>
      <c r="AC524">
        <v>20.3795</v>
      </c>
      <c r="AD524">
        <v>-1.113048</v>
      </c>
      <c r="AE524">
        <v>0.59270000000003598</v>
      </c>
      <c r="AF524">
        <v>-0.36056932417714099</v>
      </c>
      <c r="AG524">
        <v>-1.113048</v>
      </c>
      <c r="AH524">
        <v>20.324334792509902</v>
      </c>
      <c r="AI524">
        <v>93.134139939760999</v>
      </c>
      <c r="AJ524">
        <v>91.016364556946101</v>
      </c>
      <c r="AK524">
        <v>20.357982975871401</v>
      </c>
    </row>
    <row r="525" spans="1:37" x14ac:dyDescent="0.2">
      <c r="A525" t="str">
        <f>"20200111154037465"</f>
        <v>20200111154037465</v>
      </c>
      <c r="B525" t="str">
        <f>"1578728437456511"</f>
        <v>1578728437456511</v>
      </c>
      <c r="C525" t="s">
        <v>37</v>
      </c>
      <c r="D525">
        <v>5.0064830000000002</v>
      </c>
      <c r="E525">
        <v>0.5077931</v>
      </c>
      <c r="F525" t="s">
        <v>40</v>
      </c>
      <c r="G525">
        <v>-285.23090000000002</v>
      </c>
      <c r="H525">
        <v>-0.05</v>
      </c>
      <c r="I525">
        <v>369.19459999999998</v>
      </c>
      <c r="J525">
        <v>-306.31229999999999</v>
      </c>
      <c r="K525">
        <v>1.062306</v>
      </c>
      <c r="L525">
        <v>368.61439999999999</v>
      </c>
      <c r="M525">
        <v>0.99988790000000005</v>
      </c>
      <c r="N525">
        <v>0</v>
      </c>
      <c r="O525">
        <v>1.02559E-2</v>
      </c>
      <c r="P525">
        <v>0.99662890000000004</v>
      </c>
      <c r="Q525">
        <v>6.1303139999999999E-2</v>
      </c>
      <c r="R525">
        <v>5.4523889999999998E-2</v>
      </c>
      <c r="S525">
        <v>3.0150450000000002</v>
      </c>
      <c r="T525">
        <v>-0.15666749999999999</v>
      </c>
      <c r="U525">
        <v>8.2275390000000004E-2</v>
      </c>
      <c r="V525">
        <v>-4.375453E-2</v>
      </c>
      <c r="W525">
        <v>7.2515499999999997E-2</v>
      </c>
      <c r="X525">
        <v>0.99640709999999999</v>
      </c>
      <c r="Y525">
        <v>-1.7014890000000001E-2</v>
      </c>
      <c r="Z525" s="1">
        <v>-9.0781369999999901E-5</v>
      </c>
      <c r="AA525">
        <v>0.99985519999999894</v>
      </c>
      <c r="AB525">
        <v>69</v>
      </c>
      <c r="AC525">
        <v>21.081399999999899</v>
      </c>
      <c r="AD525">
        <v>-1.112306</v>
      </c>
      <c r="AE525">
        <v>0.58019999999998995</v>
      </c>
      <c r="AF525">
        <v>-0.36293827568271397</v>
      </c>
      <c r="AG525">
        <v>-1.112306</v>
      </c>
      <c r="AH525">
        <v>21.027747653603502</v>
      </c>
      <c r="AI525">
        <v>93.027506053252097</v>
      </c>
      <c r="AJ525">
        <v>90.988825201817406</v>
      </c>
      <c r="AK525">
        <v>21.0602735075597</v>
      </c>
    </row>
    <row r="526" spans="1:37" x14ac:dyDescent="0.2">
      <c r="A526" t="str">
        <f>"20200111154037476"</f>
        <v>20200111154037476</v>
      </c>
      <c r="B526" t="str">
        <f>"1578728437466855"</f>
        <v>1578728437466855</v>
      </c>
      <c r="C526" t="s">
        <v>37</v>
      </c>
      <c r="D526">
        <v>4.9703589999999904</v>
      </c>
      <c r="E526">
        <v>0.50753530000000002</v>
      </c>
      <c r="F526" t="s">
        <v>40</v>
      </c>
      <c r="G526">
        <v>-284.66879999999998</v>
      </c>
      <c r="H526">
        <v>-0.05</v>
      </c>
      <c r="I526">
        <v>369.19199999999898</v>
      </c>
      <c r="J526">
        <v>-305.9529</v>
      </c>
      <c r="K526">
        <v>1.0615939999999999</v>
      </c>
      <c r="L526">
        <v>368.61840000000001</v>
      </c>
      <c r="M526">
        <v>0.99990059999999903</v>
      </c>
      <c r="N526">
        <v>0</v>
      </c>
      <c r="O526">
        <v>9.0965089999999992E-3</v>
      </c>
      <c r="P526">
        <v>0.99662999999999902</v>
      </c>
      <c r="Q526">
        <v>6.2580109999999994E-2</v>
      </c>
      <c r="R526">
        <v>5.3030149999999998E-2</v>
      </c>
      <c r="S526">
        <v>3.0152890000000001</v>
      </c>
      <c r="T526">
        <v>-0.15496209999999999</v>
      </c>
      <c r="U526">
        <v>8.0474850000000001E-2</v>
      </c>
      <c r="V526">
        <v>-4.3395019999999999E-2</v>
      </c>
      <c r="W526">
        <v>7.365447E-2</v>
      </c>
      <c r="X526">
        <v>0.99633930000000004</v>
      </c>
      <c r="Y526">
        <v>-1.757336E-2</v>
      </c>
      <c r="Z526" s="1">
        <v>-1.5917579999999899E-5</v>
      </c>
      <c r="AA526">
        <v>0.9998456</v>
      </c>
      <c r="AB526">
        <v>69</v>
      </c>
      <c r="AC526">
        <v>21.284099999999999</v>
      </c>
      <c r="AD526">
        <v>-1.111594</v>
      </c>
      <c r="AE526">
        <v>0.57359999999994205</v>
      </c>
      <c r="AF526">
        <v>-0.378921225114007</v>
      </c>
      <c r="AG526">
        <v>-1.111594</v>
      </c>
      <c r="AH526">
        <v>21.230570720841101</v>
      </c>
      <c r="AI526">
        <v>92.996689444213104</v>
      </c>
      <c r="AJ526">
        <v>91.022501109686203</v>
      </c>
      <c r="AK526">
        <v>21.2630279040477</v>
      </c>
    </row>
    <row r="527" spans="1:37" x14ac:dyDescent="0.2">
      <c r="A527" t="str">
        <f>"20200111154037489"</f>
        <v>20200111154037489</v>
      </c>
      <c r="B527" t="str">
        <f>"1578728437476617"</f>
        <v>1578728437476617</v>
      </c>
      <c r="C527" t="s">
        <v>37</v>
      </c>
      <c r="D527">
        <v>4.9536709999999999</v>
      </c>
      <c r="E527">
        <v>0.50729069999999998</v>
      </c>
      <c r="F527" t="s">
        <v>40</v>
      </c>
      <c r="G527">
        <v>-283.64210000000003</v>
      </c>
      <c r="H527">
        <v>-0.05</v>
      </c>
      <c r="I527">
        <v>369.19510000000002</v>
      </c>
      <c r="J527">
        <v>-305.58940000000001</v>
      </c>
      <c r="K527">
        <v>1.060921</v>
      </c>
      <c r="L527">
        <v>368.6223</v>
      </c>
      <c r="M527">
        <v>0.99991229999999998</v>
      </c>
      <c r="N527">
        <v>0</v>
      </c>
      <c r="O527">
        <v>7.9180380000000005E-3</v>
      </c>
      <c r="P527">
        <v>0.99666869999999996</v>
      </c>
      <c r="Q527">
        <v>6.3214229999999996E-2</v>
      </c>
      <c r="R527">
        <v>5.1532420000000002E-2</v>
      </c>
      <c r="S527">
        <v>3.01544199999999</v>
      </c>
      <c r="T527">
        <v>-0.15023889999999901</v>
      </c>
      <c r="U527">
        <v>7.794189E-2</v>
      </c>
      <c r="V527">
        <v>-4.3055169999999997E-2</v>
      </c>
      <c r="W527">
        <v>7.4149499999999993E-2</v>
      </c>
      <c r="X527">
        <v>0.99631729999999996</v>
      </c>
      <c r="Y527">
        <v>-1.7909919999999999E-2</v>
      </c>
      <c r="Z527" s="1">
        <v>5.1613109999999901E-5</v>
      </c>
      <c r="AA527">
        <v>0.99983960000000005</v>
      </c>
      <c r="AB527">
        <v>69</v>
      </c>
      <c r="AC527">
        <v>21.947299999999899</v>
      </c>
      <c r="AD527">
        <v>-1.1109209999999901</v>
      </c>
      <c r="AE527">
        <v>0.57280000000002895</v>
      </c>
      <c r="AF527">
        <v>-0.39797371995833902</v>
      </c>
      <c r="AG527">
        <v>-1.1109209999999901</v>
      </c>
      <c r="AH527">
        <v>21.895087361871699</v>
      </c>
      <c r="AI527">
        <v>92.904124661822905</v>
      </c>
      <c r="AJ527">
        <v>91.041315957776703</v>
      </c>
      <c r="AK527">
        <v>21.926864325160899</v>
      </c>
    </row>
    <row r="528" spans="1:37" x14ac:dyDescent="0.2">
      <c r="A528" t="str">
        <f>"20200111154037501"</f>
        <v>20200111154037501</v>
      </c>
      <c r="B528" t="str">
        <f>"1578728437487352"</f>
        <v>1578728437487352</v>
      </c>
      <c r="C528" t="s">
        <v>37</v>
      </c>
      <c r="D528">
        <v>4.9828669999999997</v>
      </c>
      <c r="E528">
        <v>0.50728850000000003</v>
      </c>
      <c r="F528" t="s">
        <v>40</v>
      </c>
      <c r="G528">
        <v>-283.03739999999999</v>
      </c>
      <c r="H528">
        <v>-0.05</v>
      </c>
      <c r="I528">
        <v>369.18849999999998</v>
      </c>
      <c r="J528">
        <v>-305.23129999999998</v>
      </c>
      <c r="K528">
        <v>1.0603</v>
      </c>
      <c r="L528">
        <v>368.62569999999999</v>
      </c>
      <c r="M528">
        <v>0.99992239999999999</v>
      </c>
      <c r="N528">
        <v>0</v>
      </c>
      <c r="O528">
        <v>6.7511940000000003E-3</v>
      </c>
      <c r="P528">
        <v>0.99665349999999997</v>
      </c>
      <c r="Q528">
        <v>6.4307639999999999E-2</v>
      </c>
      <c r="R528">
        <v>5.0465110000000001E-2</v>
      </c>
      <c r="S528">
        <v>3.015533</v>
      </c>
      <c r="T528">
        <v>-0.14854619999999999</v>
      </c>
      <c r="U528">
        <v>7.5714110000000001E-2</v>
      </c>
      <c r="V528">
        <v>-4.3131870000000003E-2</v>
      </c>
      <c r="W528">
        <v>7.510812E-2</v>
      </c>
      <c r="X528">
        <v>0.99624219999999897</v>
      </c>
      <c r="Y528">
        <v>-1.8336069999999999E-2</v>
      </c>
      <c r="Z528">
        <v>1.1895429999999999E-4</v>
      </c>
      <c r="AA528">
        <v>0.9998319</v>
      </c>
      <c r="AB528">
        <v>69</v>
      </c>
      <c r="AC528">
        <v>22.1938999999999</v>
      </c>
      <c r="AD528">
        <v>-1.1103000000000001</v>
      </c>
      <c r="AE528">
        <v>0.56279999999998098</v>
      </c>
      <c r="AF528">
        <v>-0.41191339114922598</v>
      </c>
      <c r="AG528">
        <v>-1.1103000000000001</v>
      </c>
      <c r="AH528">
        <v>22.141814635648402</v>
      </c>
      <c r="AI528">
        <v>92.870193199031704</v>
      </c>
      <c r="AJ528">
        <v>91.065774288866507</v>
      </c>
      <c r="AK528">
        <v>22.1734614819432</v>
      </c>
    </row>
    <row r="529" spans="1:37" x14ac:dyDescent="0.2">
      <c r="A529" t="str">
        <f>"20200111154037513"</f>
        <v>20200111154037513</v>
      </c>
      <c r="B529" t="str">
        <f>"1578728437506872"</f>
        <v>1578728437506872</v>
      </c>
      <c r="C529" t="s">
        <v>37</v>
      </c>
      <c r="D529">
        <v>5.0064330000000004</v>
      </c>
      <c r="E529">
        <v>0.50728019999999996</v>
      </c>
      <c r="F529" t="s">
        <v>40</v>
      </c>
      <c r="G529">
        <v>-282.25229999999999</v>
      </c>
      <c r="H529">
        <v>-0.05</v>
      </c>
      <c r="I529">
        <v>369.1782</v>
      </c>
      <c r="J529">
        <v>-304.83350000000002</v>
      </c>
      <c r="K529">
        <v>1.059685</v>
      </c>
      <c r="L529">
        <v>368.62889999999999</v>
      </c>
      <c r="M529">
        <v>0.99993180000000004</v>
      </c>
      <c r="N529">
        <v>0</v>
      </c>
      <c r="O529">
        <v>5.4498819999999996E-3</v>
      </c>
      <c r="P529">
        <v>0.99665619999999999</v>
      </c>
      <c r="Q529">
        <v>6.5244289999999996E-2</v>
      </c>
      <c r="R529">
        <v>4.9188959999999997E-2</v>
      </c>
      <c r="S529">
        <v>3.0158390000000002</v>
      </c>
      <c r="T529">
        <v>-0.14571999999999999</v>
      </c>
      <c r="U529">
        <v>7.2509770000000001E-2</v>
      </c>
      <c r="V529">
        <v>-4.3133570000000003E-2</v>
      </c>
      <c r="W529">
        <v>7.5897409999999998E-2</v>
      </c>
      <c r="X529">
        <v>0.99618229999999997</v>
      </c>
      <c r="Y529">
        <v>-1.8571790000000001E-2</v>
      </c>
      <c r="Z529">
        <v>1.8520590000000001E-4</v>
      </c>
      <c r="AA529">
        <v>0.99982749999999998</v>
      </c>
      <c r="AB529">
        <v>69</v>
      </c>
      <c r="AC529">
        <v>22.581199999999999</v>
      </c>
      <c r="AD529">
        <v>-1.109685</v>
      </c>
      <c r="AE529">
        <v>0.549300000000016</v>
      </c>
      <c r="AF529">
        <v>-0.42519419155898203</v>
      </c>
      <c r="AG529">
        <v>-1.109685</v>
      </c>
      <c r="AH529">
        <v>22.529483340889001</v>
      </c>
      <c r="AI529">
        <v>92.819311575149001</v>
      </c>
      <c r="AJ529">
        <v>91.081202816876399</v>
      </c>
      <c r="AK529">
        <v>22.5608025235619</v>
      </c>
    </row>
    <row r="530" spans="1:37" x14ac:dyDescent="0.2">
      <c r="A530" t="str">
        <f>"20200111154037526"</f>
        <v>20200111154037526</v>
      </c>
      <c r="B530" t="str">
        <f>"1578728437516631"</f>
        <v>1578728437516631</v>
      </c>
      <c r="C530" t="s">
        <v>37</v>
      </c>
      <c r="D530">
        <v>5.0187739999999996</v>
      </c>
      <c r="E530">
        <v>0.50718430000000003</v>
      </c>
      <c r="F530" t="s">
        <v>40</v>
      </c>
      <c r="G530">
        <v>-281.6798</v>
      </c>
      <c r="H530">
        <v>-0.05</v>
      </c>
      <c r="I530">
        <v>369.15480000000002</v>
      </c>
      <c r="J530">
        <v>-304.450999999999</v>
      </c>
      <c r="K530">
        <v>1.0591280000000001</v>
      </c>
      <c r="L530">
        <v>368.63170000000002</v>
      </c>
      <c r="M530">
        <v>0.99993940000000003</v>
      </c>
      <c r="N530">
        <v>0</v>
      </c>
      <c r="O530">
        <v>4.197363E-3</v>
      </c>
      <c r="P530">
        <v>0.99662919999999999</v>
      </c>
      <c r="Q530">
        <v>6.6505330000000001E-2</v>
      </c>
      <c r="R530">
        <v>4.803669E-2</v>
      </c>
      <c r="S530">
        <v>3.0160830000000001</v>
      </c>
      <c r="T530">
        <v>-0.1445516</v>
      </c>
      <c r="U530">
        <v>6.8511959999999997E-2</v>
      </c>
      <c r="V530">
        <v>-4.3208690000000001E-2</v>
      </c>
      <c r="W530">
        <v>7.7018989999999996E-2</v>
      </c>
      <c r="X530">
        <v>0.99609289999999995</v>
      </c>
      <c r="Y530">
        <v>-1.849659E-2</v>
      </c>
      <c r="Z530">
        <v>2.4189799999999999E-4</v>
      </c>
      <c r="AA530">
        <v>0.99982890000000002</v>
      </c>
      <c r="AB530">
        <v>69</v>
      </c>
      <c r="AC530">
        <v>22.771199999999901</v>
      </c>
      <c r="AD530">
        <v>-1.1091279999999999</v>
      </c>
      <c r="AE530">
        <v>0.52309999999999901</v>
      </c>
      <c r="AF530">
        <v>-0.426500145233701</v>
      </c>
      <c r="AG530">
        <v>-1.1091279999999999</v>
      </c>
      <c r="AH530">
        <v>22.7193238023318</v>
      </c>
      <c r="AI530">
        <v>92.794395370098997</v>
      </c>
      <c r="AJ530">
        <v>91.075462832129901</v>
      </c>
      <c r="AK530">
        <v>22.750378927162199</v>
      </c>
    </row>
    <row r="531" spans="1:37" x14ac:dyDescent="0.2">
      <c r="A531" t="str">
        <f>"20200111154037538"</f>
        <v>20200111154037538</v>
      </c>
      <c r="B531" t="str">
        <f>"1578728437526392"</f>
        <v>1578728437526392</v>
      </c>
      <c r="C531" t="s">
        <v>37</v>
      </c>
      <c r="D531">
        <v>5.6067</v>
      </c>
      <c r="E531">
        <v>0.50691819999999999</v>
      </c>
      <c r="F531" t="s">
        <v>40</v>
      </c>
      <c r="G531">
        <v>-280.89359999999999</v>
      </c>
      <c r="H531">
        <v>-0.05</v>
      </c>
      <c r="I531">
        <v>369.14599999999899</v>
      </c>
      <c r="J531">
        <v>-304.0718</v>
      </c>
      <c r="K531">
        <v>1.058635</v>
      </c>
      <c r="L531">
        <v>368.63389999999998</v>
      </c>
      <c r="M531">
        <v>0.99994530000000004</v>
      </c>
      <c r="N531">
        <v>0</v>
      </c>
      <c r="O531">
        <v>2.954726E-3</v>
      </c>
      <c r="P531">
        <v>0.99660029999999999</v>
      </c>
      <c r="Q531">
        <v>6.7831420000000003E-2</v>
      </c>
      <c r="R531">
        <v>4.6762629999999999E-2</v>
      </c>
      <c r="S531">
        <v>3.0164490000000002</v>
      </c>
      <c r="T531">
        <v>-0.14201989999999901</v>
      </c>
      <c r="U531">
        <v>6.5856929999999994E-2</v>
      </c>
      <c r="V531">
        <v>-4.3151490000000001E-2</v>
      </c>
      <c r="W531">
        <v>7.8209390000000004E-2</v>
      </c>
      <c r="X531">
        <v>0.99600259999999996</v>
      </c>
      <c r="Y531">
        <v>-1.8855529999999999E-2</v>
      </c>
      <c r="Z531">
        <v>3.045519E-4</v>
      </c>
      <c r="AA531">
        <v>0.99982219999999999</v>
      </c>
      <c r="AB531">
        <v>69</v>
      </c>
      <c r="AC531">
        <v>23.1782</v>
      </c>
      <c r="AD531">
        <v>-1.108635</v>
      </c>
      <c r="AE531">
        <v>0.51209999999997502</v>
      </c>
      <c r="AF531">
        <v>-0.44259700812840502</v>
      </c>
      <c r="AG531">
        <v>-1.108635</v>
      </c>
      <c r="AH531">
        <v>23.1267285249465</v>
      </c>
      <c r="AI531">
        <v>92.7440074202011</v>
      </c>
      <c r="AJ531">
        <v>91.096387033813997</v>
      </c>
      <c r="AK531">
        <v>23.157515754963899</v>
      </c>
    </row>
    <row r="532" spans="1:37" x14ac:dyDescent="0.2">
      <c r="A532" t="str">
        <f>"20200111154037554"</f>
        <v>20200111154037554</v>
      </c>
      <c r="B532" t="str">
        <f>"1578728437546887"</f>
        <v>1578728437546887</v>
      </c>
      <c r="C532" t="s">
        <v>37</v>
      </c>
      <c r="D532">
        <v>5.0556809999999999</v>
      </c>
      <c r="E532">
        <v>0.50649759999999999</v>
      </c>
      <c r="F532" t="s">
        <v>40</v>
      </c>
      <c r="G532">
        <v>-280.02850000000001</v>
      </c>
      <c r="H532">
        <v>-0.05</v>
      </c>
      <c r="I532">
        <v>369.1454</v>
      </c>
      <c r="J532">
        <v>-303.56659999999999</v>
      </c>
      <c r="K532">
        <v>1.0580430000000001</v>
      </c>
      <c r="L532">
        <v>368.6361</v>
      </c>
      <c r="M532">
        <v>0.99995059999999902</v>
      </c>
      <c r="N532">
        <v>0</v>
      </c>
      <c r="O532">
        <v>1.301371E-3</v>
      </c>
      <c r="P532">
        <v>0.99653499999999995</v>
      </c>
      <c r="Q532">
        <v>6.9762679999999994E-2</v>
      </c>
      <c r="R532">
        <v>4.5289360000000001E-2</v>
      </c>
      <c r="S532">
        <v>3.0166930000000001</v>
      </c>
      <c r="T532">
        <v>-0.13909920000000001</v>
      </c>
      <c r="U532">
        <v>6.4178470000000001E-2</v>
      </c>
      <c r="V532">
        <v>-4.3296929999999997E-2</v>
      </c>
      <c r="W532">
        <v>7.9969579999999998E-2</v>
      </c>
      <c r="X532">
        <v>0.99585650000000003</v>
      </c>
      <c r="Y532">
        <v>-1.9948670000000002E-2</v>
      </c>
      <c r="Z532">
        <v>3.9964889999999999E-4</v>
      </c>
      <c r="AA532">
        <v>0.99980089999999999</v>
      </c>
      <c r="AB532">
        <v>69</v>
      </c>
      <c r="AC532">
        <v>23.538099999999901</v>
      </c>
      <c r="AD532">
        <v>-1.1080429999999999</v>
      </c>
      <c r="AE532">
        <v>0.50929999999999598</v>
      </c>
      <c r="AF532">
        <v>-0.47760839406106498</v>
      </c>
      <c r="AG532">
        <v>-1.1080429999999999</v>
      </c>
      <c r="AH532">
        <v>23.486720589550298</v>
      </c>
      <c r="AI532">
        <v>92.700507126859407</v>
      </c>
      <c r="AJ532">
        <v>91.164963582897599</v>
      </c>
      <c r="AK532">
        <v>23.517693618200099</v>
      </c>
    </row>
    <row r="533" spans="1:37" x14ac:dyDescent="0.2">
      <c r="A533" t="str">
        <f>"20200111154037566"</f>
        <v>20200111154037566</v>
      </c>
      <c r="B533" t="str">
        <f>"1578728437556647"</f>
        <v>1578728437556647</v>
      </c>
      <c r="C533" t="s">
        <v>37</v>
      </c>
      <c r="D533">
        <v>5.0283720000000001</v>
      </c>
      <c r="E533">
        <v>0.50625200000000004</v>
      </c>
      <c r="F533" t="s">
        <v>39</v>
      </c>
      <c r="G533">
        <v>-279.8716</v>
      </c>
      <c r="H533" s="1">
        <v>-1.587982E-7</v>
      </c>
      <c r="I533">
        <v>369.13130000000001</v>
      </c>
      <c r="J533">
        <v>-303.2122</v>
      </c>
      <c r="K533">
        <v>1.0576540000000001</v>
      </c>
      <c r="L533">
        <v>368.63740000000001</v>
      </c>
      <c r="M533">
        <v>0.99995270000000003</v>
      </c>
      <c r="N533">
        <v>0</v>
      </c>
      <c r="O533">
        <v>1.4396719999999901E-4</v>
      </c>
      <c r="P533">
        <v>0.99652209999999997</v>
      </c>
      <c r="Q533">
        <v>7.046869E-2</v>
      </c>
      <c r="R533">
        <v>4.4480150000000003E-2</v>
      </c>
      <c r="S533">
        <v>3.0169679999999999</v>
      </c>
      <c r="T533">
        <v>-0.1347151</v>
      </c>
      <c r="U533">
        <v>6.3049320000000006E-2</v>
      </c>
      <c r="V533">
        <v>-4.3626289999999998E-2</v>
      </c>
      <c r="W533">
        <v>8.0561800000000003E-2</v>
      </c>
      <c r="X533">
        <v>0.99579439999999997</v>
      </c>
      <c r="Y533">
        <v>-2.0729230000000001E-2</v>
      </c>
      <c r="Z533">
        <v>4.5609999999999997E-4</v>
      </c>
      <c r="AA533">
        <v>0.99978500000000003</v>
      </c>
      <c r="AB533">
        <v>69</v>
      </c>
      <c r="AC533">
        <v>23.340599999999899</v>
      </c>
      <c r="AD533">
        <v>-1.05765415879819</v>
      </c>
      <c r="AE533">
        <v>0.49389999999999601</v>
      </c>
      <c r="AF533">
        <v>-0.48953481790424802</v>
      </c>
      <c r="AG533">
        <v>-1.05765415879819</v>
      </c>
      <c r="AH533">
        <v>23.292863833041501</v>
      </c>
      <c r="AI533">
        <v>92.599258421129093</v>
      </c>
      <c r="AJ533">
        <v>91.203980356437199</v>
      </c>
      <c r="AK533">
        <v>23.322002105354802</v>
      </c>
    </row>
    <row r="534" spans="1:37" x14ac:dyDescent="0.2">
      <c r="A534" t="str">
        <f>"20200111154037576"</f>
        <v>20200111154037576</v>
      </c>
      <c r="B534" t="str">
        <f>"1578728437567041"</f>
        <v>1578728437567041</v>
      </c>
      <c r="C534" t="s">
        <v>37</v>
      </c>
      <c r="D534">
        <v>5.059037</v>
      </c>
      <c r="E534">
        <v>0.50603370000000003</v>
      </c>
      <c r="F534" t="s">
        <v>39</v>
      </c>
      <c r="G534">
        <v>-279.38159999999999</v>
      </c>
      <c r="H534" s="1">
        <v>-3.3418209999999898E-7</v>
      </c>
      <c r="I534">
        <v>369.12830000000002</v>
      </c>
      <c r="J534">
        <v>-302.85669999999999</v>
      </c>
      <c r="K534">
        <v>1.0573090000000001</v>
      </c>
      <c r="L534">
        <v>368.63810000000001</v>
      </c>
      <c r="M534">
        <v>0.99995330000000004</v>
      </c>
      <c r="N534">
        <v>0</v>
      </c>
      <c r="O534">
        <v>-1.0114849999999999E-3</v>
      </c>
      <c r="P534">
        <v>0.99652099999999899</v>
      </c>
      <c r="Q534">
        <v>7.0923929999999996E-2</v>
      </c>
      <c r="R534">
        <v>4.3770990000000003E-2</v>
      </c>
      <c r="S534">
        <v>3.0171809999999999</v>
      </c>
      <c r="T534">
        <v>-0.13390859999999999</v>
      </c>
      <c r="U534">
        <v>6.216431E-2</v>
      </c>
      <c r="V534">
        <v>-4.4056659999999997E-2</v>
      </c>
      <c r="W534">
        <v>8.0910670000000004E-2</v>
      </c>
      <c r="X534">
        <v>0.99574719999999906</v>
      </c>
      <c r="Y534">
        <v>-2.1588130000000001E-2</v>
      </c>
      <c r="Z534">
        <v>5.2364299999999996E-4</v>
      </c>
      <c r="AA534">
        <v>0.99976679999999996</v>
      </c>
      <c r="AB534">
        <v>69</v>
      </c>
      <c r="AC534">
        <v>23.475100000000001</v>
      </c>
      <c r="AD534">
        <v>-1.0573093341821</v>
      </c>
      <c r="AE534">
        <v>0.49020000000001501</v>
      </c>
      <c r="AF534">
        <v>-0.51290554804294697</v>
      </c>
      <c r="AG534">
        <v>-1.0573093341821</v>
      </c>
      <c r="AH534">
        <v>23.4270894438543</v>
      </c>
      <c r="AI534">
        <v>92.583496234815598</v>
      </c>
      <c r="AJ534">
        <v>91.254215943707806</v>
      </c>
      <c r="AK534">
        <v>23.456544821002701</v>
      </c>
    </row>
    <row r="535" spans="1:37" x14ac:dyDescent="0.2">
      <c r="A535" t="str">
        <f>"20200111154037589"</f>
        <v>20200111154037589</v>
      </c>
      <c r="B535" t="str">
        <f>"1578728437576801"</f>
        <v>1578728437576801</v>
      </c>
      <c r="C535" t="s">
        <v>37</v>
      </c>
      <c r="D535">
        <v>5.0651479999999998</v>
      </c>
      <c r="E535">
        <v>0.50593290000000002</v>
      </c>
      <c r="F535" t="s">
        <v>39</v>
      </c>
      <c r="G535">
        <v>-278.8347</v>
      </c>
      <c r="H535" s="1">
        <v>-5.6874730000000001E-7</v>
      </c>
      <c r="I535">
        <v>369.12860000000001</v>
      </c>
      <c r="J535">
        <v>-302.50749999999999</v>
      </c>
      <c r="K535">
        <v>1.056994</v>
      </c>
      <c r="L535">
        <v>368.63839999999999</v>
      </c>
      <c r="M535">
        <v>0.99995239999999996</v>
      </c>
      <c r="N535">
        <v>0</v>
      </c>
      <c r="O535">
        <v>-2.1404309999999999E-3</v>
      </c>
      <c r="P535">
        <v>0.99656270000000002</v>
      </c>
      <c r="Q535">
        <v>7.0754949999999997E-2</v>
      </c>
      <c r="R535">
        <v>4.3090139999999999E-2</v>
      </c>
      <c r="S535">
        <v>3.0172119999999998</v>
      </c>
      <c r="T535">
        <v>-0.1327998</v>
      </c>
      <c r="U535">
        <v>6.1614990000000001E-2</v>
      </c>
      <c r="V535">
        <v>-4.4494449999999998E-2</v>
      </c>
      <c r="W535">
        <v>8.0640699999999996E-2</v>
      </c>
      <c r="X535">
        <v>0.99574969999999996</v>
      </c>
      <c r="Y535">
        <v>-2.2533069999999999E-2</v>
      </c>
      <c r="Z535">
        <v>5.8975309999999997E-4</v>
      </c>
      <c r="AA535">
        <v>0.99974589999999997</v>
      </c>
      <c r="AB535">
        <v>69</v>
      </c>
      <c r="AC535">
        <v>23.672799999999899</v>
      </c>
      <c r="AD535">
        <v>-1.0569945687472999</v>
      </c>
      <c r="AE535">
        <v>0.49020000000001501</v>
      </c>
      <c r="AF535">
        <v>-0.53979547248780602</v>
      </c>
      <c r="AG535">
        <v>-1.0569945687472999</v>
      </c>
      <c r="AH535">
        <v>23.624617737118601</v>
      </c>
      <c r="AI535">
        <v>92.561107904499295</v>
      </c>
      <c r="AJ535">
        <v>91.308915225939103</v>
      </c>
      <c r="AK535">
        <v>23.654411425682401</v>
      </c>
    </row>
    <row r="536" spans="1:37" x14ac:dyDescent="0.2">
      <c r="A536" t="str">
        <f>"20200111154037604"</f>
        <v>20200111154037604</v>
      </c>
      <c r="B536" t="str">
        <f>"1578728437597297"</f>
        <v>1578728437597297</v>
      </c>
      <c r="C536" t="s">
        <v>37</v>
      </c>
      <c r="D536">
        <v>5.077521</v>
      </c>
      <c r="E536">
        <v>0.50553440000000005</v>
      </c>
      <c r="F536" t="s">
        <v>39</v>
      </c>
      <c r="G536">
        <v>-278.68689999999998</v>
      </c>
      <c r="H536" s="1">
        <v>-6.3465059999999999E-7</v>
      </c>
      <c r="I536">
        <v>369.11439999999999</v>
      </c>
      <c r="J536">
        <v>-302.06259999999997</v>
      </c>
      <c r="K536">
        <v>1.056629</v>
      </c>
      <c r="L536">
        <v>368.63850000000002</v>
      </c>
      <c r="M536">
        <v>0.99994959999999899</v>
      </c>
      <c r="N536">
        <v>0</v>
      </c>
      <c r="O536">
        <v>-3.5712600000000001E-3</v>
      </c>
      <c r="P536">
        <v>0.99660369999999998</v>
      </c>
      <c r="Q536">
        <v>7.0835519999999999E-2</v>
      </c>
      <c r="R536">
        <v>4.1996930000000002E-2</v>
      </c>
      <c r="S536">
        <v>3.0172119999999998</v>
      </c>
      <c r="T536">
        <v>-0.13388259999999999</v>
      </c>
      <c r="U536">
        <v>6.0302729999999999E-2</v>
      </c>
      <c r="V536">
        <v>-4.4818919999999998E-2</v>
      </c>
      <c r="W536">
        <v>8.0596020000000004E-2</v>
      </c>
      <c r="X536">
        <v>0.99573869999999898</v>
      </c>
      <c r="Y536">
        <v>-2.3526180000000001E-2</v>
      </c>
      <c r="Z536">
        <v>6.8003629999999996E-4</v>
      </c>
      <c r="AA536">
        <v>0.99972299999999903</v>
      </c>
      <c r="AB536">
        <v>69</v>
      </c>
      <c r="AC536">
        <v>23.375699999999899</v>
      </c>
      <c r="AD536">
        <v>-1.0566296346505999</v>
      </c>
      <c r="AE536">
        <v>0.47589999999996702</v>
      </c>
      <c r="AF536">
        <v>-0.55824120236821095</v>
      </c>
      <c r="AG536">
        <v>-1.0566296346505999</v>
      </c>
      <c r="AH536">
        <v>23.326210319098699</v>
      </c>
      <c r="AI536">
        <v>92.592867292631098</v>
      </c>
      <c r="AJ536">
        <v>91.370936821653999</v>
      </c>
      <c r="AK536">
        <v>23.356801734733999</v>
      </c>
    </row>
    <row r="537" spans="1:37" x14ac:dyDescent="0.2">
      <c r="A537" t="str">
        <f>"20200111154037615"</f>
        <v>20200111154037615</v>
      </c>
      <c r="B537" t="str">
        <f>"1578728437607056"</f>
        <v>1578728437607056</v>
      </c>
      <c r="C537" t="s">
        <v>37</v>
      </c>
      <c r="D537">
        <v>5.0925060000000002</v>
      </c>
      <c r="E537">
        <v>0.50544169999999999</v>
      </c>
      <c r="F537" t="s">
        <v>39</v>
      </c>
      <c r="G537">
        <v>-278.63709999999998</v>
      </c>
      <c r="H537" s="1">
        <v>-6.5798080000000001E-7</v>
      </c>
      <c r="I537">
        <v>369.1035</v>
      </c>
      <c r="J537">
        <v>-301.6413</v>
      </c>
      <c r="K537">
        <v>1.0563370000000001</v>
      </c>
      <c r="L537">
        <v>368.6377</v>
      </c>
      <c r="M537">
        <v>0.99994509999999903</v>
      </c>
      <c r="N537">
        <v>0</v>
      </c>
      <c r="O537">
        <v>-4.903101E-3</v>
      </c>
      <c r="P537">
        <v>0.99667559999999999</v>
      </c>
      <c r="Q537">
        <v>7.0386530000000003E-2</v>
      </c>
      <c r="R537">
        <v>4.103499E-2</v>
      </c>
      <c r="S537">
        <v>3.0173649999999999</v>
      </c>
      <c r="T537">
        <v>-0.1361002</v>
      </c>
      <c r="U537">
        <v>5.9906010000000003E-2</v>
      </c>
      <c r="V537">
        <v>-4.5183220000000003E-2</v>
      </c>
      <c r="W537">
        <v>8.0038990000000004E-2</v>
      </c>
      <c r="X537">
        <v>0.99576719999999896</v>
      </c>
      <c r="Y537">
        <v>-2.4721839999999998E-2</v>
      </c>
      <c r="Z537">
        <v>7.7824429999999998E-4</v>
      </c>
      <c r="AA537">
        <v>0.99969399999999997</v>
      </c>
      <c r="AB537">
        <v>69</v>
      </c>
      <c r="AC537">
        <v>23.004200000000001</v>
      </c>
      <c r="AD537">
        <v>-1.0563376579807999</v>
      </c>
      <c r="AE537">
        <v>0.46580000000000099</v>
      </c>
      <c r="AF537">
        <v>-0.577374209088371</v>
      </c>
      <c r="AG537">
        <v>-1.0563376579807999</v>
      </c>
      <c r="AH537">
        <v>22.953260416099699</v>
      </c>
      <c r="AI537">
        <v>92.634131946917606</v>
      </c>
      <c r="AJ537">
        <v>91.440933887869704</v>
      </c>
      <c r="AK537">
        <v>22.9848074595869</v>
      </c>
    </row>
    <row r="538" spans="1:37" x14ac:dyDescent="0.2">
      <c r="A538" t="str">
        <f>"20200111154037632"</f>
        <v>20200111154037632</v>
      </c>
      <c r="B538" t="str">
        <f>"1578728437626576"</f>
        <v>1578728437626576</v>
      </c>
      <c r="C538" t="s">
        <v>37</v>
      </c>
      <c r="D538">
        <v>5.0816439999999998</v>
      </c>
      <c r="E538">
        <v>0.50525489999999995</v>
      </c>
      <c r="F538" t="s">
        <v>39</v>
      </c>
      <c r="G538">
        <v>-278.6241</v>
      </c>
      <c r="H538" s="1">
        <v>-6.6783049999999998E-7</v>
      </c>
      <c r="I538">
        <v>369.07929999999999</v>
      </c>
      <c r="J538">
        <v>-301.16250000000002</v>
      </c>
      <c r="K538">
        <v>1.05603799999999</v>
      </c>
      <c r="L538">
        <v>368.63630000000001</v>
      </c>
      <c r="M538">
        <v>0.99993779999999999</v>
      </c>
      <c r="N538">
        <v>0</v>
      </c>
      <c r="O538">
        <v>-6.3985830000000002E-3</v>
      </c>
      <c r="P538">
        <v>0.99676260000000005</v>
      </c>
      <c r="Q538">
        <v>6.9745230000000005E-2</v>
      </c>
      <c r="R538">
        <v>3.9999819999999998E-2</v>
      </c>
      <c r="S538">
        <v>3.017395</v>
      </c>
      <c r="T538">
        <v>-0.13847799999999999</v>
      </c>
      <c r="U538">
        <v>5.7891850000000002E-2</v>
      </c>
      <c r="V538">
        <v>-4.563992E-2</v>
      </c>
      <c r="W538">
        <v>7.9280359999999994E-2</v>
      </c>
      <c r="X538">
        <v>0.995807</v>
      </c>
      <c r="Y538">
        <v>-2.5546180000000002E-2</v>
      </c>
      <c r="Z538">
        <v>8.7932179999999905E-4</v>
      </c>
      <c r="AA538">
        <v>0.99967320000000004</v>
      </c>
      <c r="AB538">
        <v>69</v>
      </c>
      <c r="AC538">
        <v>22.538399999999999</v>
      </c>
      <c r="AD538">
        <v>-1.0560386678304901</v>
      </c>
      <c r="AE538">
        <v>0.44299999999998302</v>
      </c>
      <c r="AF538">
        <v>-0.58592492933614304</v>
      </c>
      <c r="AG538">
        <v>-1.0560386678304901</v>
      </c>
      <c r="AH538">
        <v>22.485757736470202</v>
      </c>
      <c r="AI538">
        <v>92.687996802291593</v>
      </c>
      <c r="AJ538">
        <v>91.492652852665202</v>
      </c>
      <c r="AK538">
        <v>22.518166592198401</v>
      </c>
    </row>
    <row r="539" spans="1:37" x14ac:dyDescent="0.2">
      <c r="A539" t="str">
        <f>"20200111154037644"</f>
        <v>20200111154037644</v>
      </c>
      <c r="B539" t="str">
        <f>"1578728437637312"</f>
        <v>1578728437637312</v>
      </c>
      <c r="C539" t="s">
        <v>37</v>
      </c>
      <c r="D539">
        <v>5.1041980000000002</v>
      </c>
      <c r="E539">
        <v>0.50525489999999995</v>
      </c>
      <c r="F539" t="s">
        <v>39</v>
      </c>
      <c r="G539">
        <v>-278.80529999999999</v>
      </c>
      <c r="H539" s="1">
        <v>-5.9464269999999903E-7</v>
      </c>
      <c r="I539">
        <v>369.05360000000002</v>
      </c>
      <c r="J539">
        <v>-300.78539999999998</v>
      </c>
      <c r="K539">
        <v>1.0558259999999999</v>
      </c>
      <c r="L539">
        <v>368.63479999999998</v>
      </c>
      <c r="M539">
        <v>0.9999306</v>
      </c>
      <c r="N539">
        <v>0</v>
      </c>
      <c r="O539">
        <v>-7.563401E-3</v>
      </c>
      <c r="P539">
        <v>0.99681909999999896</v>
      </c>
      <c r="Q539">
        <v>6.9552149999999993E-2</v>
      </c>
      <c r="R539">
        <v>3.8913120000000002E-2</v>
      </c>
      <c r="S539">
        <v>3.017487</v>
      </c>
      <c r="T539">
        <v>-0.14252999999999999</v>
      </c>
      <c r="U539">
        <v>5.6335450000000002E-2</v>
      </c>
      <c r="V539">
        <v>-4.5713589999999998E-2</v>
      </c>
      <c r="W539">
        <v>7.8997049999999999E-2</v>
      </c>
      <c r="X539">
        <v>0.995826199999999</v>
      </c>
      <c r="Y539">
        <v>-2.6190640000000001E-2</v>
      </c>
      <c r="Z539">
        <v>9.7519789999999903E-4</v>
      </c>
      <c r="AA539">
        <v>0.99965649999999995</v>
      </c>
      <c r="AB539">
        <v>69</v>
      </c>
      <c r="AC539">
        <v>21.9801</v>
      </c>
      <c r="AD539">
        <v>-1.0558265946426999</v>
      </c>
      <c r="AE539">
        <v>0.41880000000003198</v>
      </c>
      <c r="AF539">
        <v>-0.58369277961898702</v>
      </c>
      <c r="AG539">
        <v>-1.0558265946426999</v>
      </c>
      <c r="AH539">
        <v>21.925730155450101</v>
      </c>
      <c r="AI539">
        <v>92.755955560093497</v>
      </c>
      <c r="AJ539">
        <v>91.524931465326006</v>
      </c>
      <c r="AK539">
        <v>21.9588959173395</v>
      </c>
    </row>
    <row r="540" spans="1:37" x14ac:dyDescent="0.2">
      <c r="A540" t="str">
        <f>"20200111154037654"</f>
        <v>20200111154037654</v>
      </c>
      <c r="B540" t="str">
        <f>"1578728437647073"</f>
        <v>1578728437647073</v>
      </c>
      <c r="C540" t="s">
        <v>37</v>
      </c>
      <c r="D540">
        <v>5.1295669999999998</v>
      </c>
      <c r="E540">
        <v>0.5053415</v>
      </c>
      <c r="F540" t="s">
        <v>39</v>
      </c>
      <c r="G540">
        <v>-278.52940000000001</v>
      </c>
      <c r="H540" s="1">
        <v>-7.177436E-7</v>
      </c>
      <c r="I540">
        <v>369.02679999999998</v>
      </c>
      <c r="J540">
        <v>-300.42259999999999</v>
      </c>
      <c r="K540">
        <v>1.0556589999999999</v>
      </c>
      <c r="L540">
        <v>368.6327</v>
      </c>
      <c r="M540">
        <v>0.99992239999999999</v>
      </c>
      <c r="N540">
        <v>0</v>
      </c>
      <c r="O540">
        <v>-8.6536870000000002E-3</v>
      </c>
      <c r="P540">
        <v>0.99683920000000004</v>
      </c>
      <c r="Q540">
        <v>6.9646959999999994E-2</v>
      </c>
      <c r="R540">
        <v>3.8225250000000002E-2</v>
      </c>
      <c r="S540">
        <v>3.0175169999999998</v>
      </c>
      <c r="T540">
        <v>-0.14315120000000001</v>
      </c>
      <c r="U540">
        <v>5.316162E-2</v>
      </c>
      <c r="V540">
        <v>-4.6111449999999998E-2</v>
      </c>
      <c r="W540">
        <v>7.9013689999999998E-2</v>
      </c>
      <c r="X540">
        <v>0.99580650000000004</v>
      </c>
      <c r="Y540">
        <v>-2.6227750000000001E-2</v>
      </c>
      <c r="Z540">
        <v>1.0320150000000001E-3</v>
      </c>
      <c r="AA540">
        <v>0.99965550000000003</v>
      </c>
      <c r="AB540">
        <v>70</v>
      </c>
      <c r="AC540">
        <v>21.893199999999901</v>
      </c>
      <c r="AD540">
        <v>-1.0556597177436</v>
      </c>
      <c r="AE540">
        <v>0.39409999999998002</v>
      </c>
      <c r="AF540">
        <v>-0.582196561664306</v>
      </c>
      <c r="AG540">
        <v>-1.0556597177436</v>
      </c>
      <c r="AH540">
        <v>21.8382114648062</v>
      </c>
      <c r="AI540">
        <v>92.766543722946196</v>
      </c>
      <c r="AJ540">
        <v>91.527117114901998</v>
      </c>
      <c r="AK540">
        <v>21.8714620054919</v>
      </c>
    </row>
    <row r="541" spans="1:37" x14ac:dyDescent="0.2">
      <c r="A541" t="str">
        <f>"20200111154037666"</f>
        <v>20200111154037666</v>
      </c>
      <c r="B541" t="str">
        <f>"1578728437656832"</f>
        <v>1578728437656832</v>
      </c>
      <c r="C541" t="s">
        <v>37</v>
      </c>
      <c r="D541">
        <v>5.0975910000000004</v>
      </c>
      <c r="E541">
        <v>0.50554509999999997</v>
      </c>
      <c r="F541" t="s">
        <v>39</v>
      </c>
      <c r="G541">
        <v>-278.59789999999998</v>
      </c>
      <c r="H541" s="1">
        <v>-6.9375809999999998E-7</v>
      </c>
      <c r="I541">
        <v>368.9966</v>
      </c>
      <c r="J541">
        <v>-300.09219999999999</v>
      </c>
      <c r="K541">
        <v>1.055523</v>
      </c>
      <c r="L541">
        <v>368.63069999999999</v>
      </c>
      <c r="M541">
        <v>0.99991419999999998</v>
      </c>
      <c r="N541">
        <v>0</v>
      </c>
      <c r="O541">
        <v>-9.6358499999999996E-3</v>
      </c>
      <c r="P541">
        <v>0.99686739999999996</v>
      </c>
      <c r="Q541">
        <v>6.9792610000000005E-2</v>
      </c>
      <c r="R541">
        <v>3.7212149999999999E-2</v>
      </c>
      <c r="S541">
        <v>3.017792</v>
      </c>
      <c r="T541">
        <v>-0.1459695</v>
      </c>
      <c r="U541">
        <v>5.0323489999999999E-2</v>
      </c>
      <c r="V541">
        <v>-4.6075579999999998E-2</v>
      </c>
      <c r="W541">
        <v>7.9086899999999904E-2</v>
      </c>
      <c r="X541">
        <v>0.99580230000000003</v>
      </c>
      <c r="Y541">
        <v>-2.6265440000000001E-2</v>
      </c>
      <c r="Z541">
        <v>1.1006099999999999E-3</v>
      </c>
      <c r="AA541">
        <v>0.99965439999999905</v>
      </c>
      <c r="AB541">
        <v>70</v>
      </c>
      <c r="AC541">
        <v>21.494299999999999</v>
      </c>
      <c r="AD541">
        <v>-1.0555236937581001</v>
      </c>
      <c r="AE541">
        <v>0.36590000000001</v>
      </c>
      <c r="AF541">
        <v>-0.57162892658164099</v>
      </c>
      <c r="AG541">
        <v>-1.0555236937581001</v>
      </c>
      <c r="AH541">
        <v>21.438092900017899</v>
      </c>
      <c r="AI541">
        <v>92.817732882863993</v>
      </c>
      <c r="AJ541">
        <v>91.527382423334998</v>
      </c>
      <c r="AK541">
        <v>21.471672433408401</v>
      </c>
    </row>
    <row r="542" spans="1:37" x14ac:dyDescent="0.2">
      <c r="A542" t="str">
        <f>"20200111154037677"</f>
        <v>20200111154037677</v>
      </c>
      <c r="B542" t="str">
        <f>"1578728437667134"</f>
        <v>1578728437667134</v>
      </c>
      <c r="C542" t="s">
        <v>37</v>
      </c>
      <c r="D542">
        <v>5.0981459999999998</v>
      </c>
      <c r="E542">
        <v>0.50567819999999997</v>
      </c>
      <c r="F542" t="s">
        <v>39</v>
      </c>
      <c r="G542">
        <v>-278.32940000000002</v>
      </c>
      <c r="H542" s="1">
        <v>-8.1499669999999897E-7</v>
      </c>
      <c r="I542">
        <v>368.9622</v>
      </c>
      <c r="J542">
        <v>-299.72469999999998</v>
      </c>
      <c r="K542">
        <v>1.055396</v>
      </c>
      <c r="L542">
        <v>368.62790000000001</v>
      </c>
      <c r="M542">
        <v>0.99990400000000002</v>
      </c>
      <c r="N542">
        <v>0</v>
      </c>
      <c r="O542">
        <v>-1.0701850000000001E-2</v>
      </c>
      <c r="P542">
        <v>0.99685999999999997</v>
      </c>
      <c r="Q542">
        <v>7.0441539999999997E-2</v>
      </c>
      <c r="R542">
        <v>3.6170590000000002E-2</v>
      </c>
      <c r="S542">
        <v>3.0179749999999999</v>
      </c>
      <c r="T542">
        <v>-0.14637520000000001</v>
      </c>
      <c r="U542">
        <v>4.5989990000000001E-2</v>
      </c>
      <c r="V542">
        <v>-4.6091979999999998E-2</v>
      </c>
      <c r="W542">
        <v>7.9659670000000002E-2</v>
      </c>
      <c r="X542">
        <v>0.99575590000000003</v>
      </c>
      <c r="Y542">
        <v>-2.5894070000000002E-2</v>
      </c>
      <c r="Z542">
        <v>1.1462810000000001E-3</v>
      </c>
      <c r="AA542">
        <v>0.999664</v>
      </c>
      <c r="AB542">
        <v>70</v>
      </c>
      <c r="AC542">
        <v>21.395299999999899</v>
      </c>
      <c r="AD542">
        <v>-1.0553968149966999</v>
      </c>
      <c r="AE542">
        <v>0.334299999999984</v>
      </c>
      <c r="AF542">
        <v>-0.56189209866017598</v>
      </c>
      <c r="AG542">
        <v>-1.0553968149966999</v>
      </c>
      <c r="AH542">
        <v>21.338586498908398</v>
      </c>
      <c r="AI542">
        <v>92.830536363820599</v>
      </c>
      <c r="AJ542">
        <v>91.508375821082893</v>
      </c>
      <c r="AK542">
        <v>21.3720579013589</v>
      </c>
    </row>
    <row r="543" spans="1:37" x14ac:dyDescent="0.2">
      <c r="A543" t="str">
        <f>"20200111154037690"</f>
        <v>20200111154037690</v>
      </c>
      <c r="B543" t="str">
        <f>"1578728437676894"</f>
        <v>1578728437676894</v>
      </c>
      <c r="C543" t="s">
        <v>37</v>
      </c>
      <c r="D543">
        <v>5.0773429999999999</v>
      </c>
      <c r="E543">
        <v>0.50582419999999995</v>
      </c>
      <c r="F543" t="s">
        <v>39</v>
      </c>
      <c r="G543">
        <v>-277.68860000000001</v>
      </c>
      <c r="H543" s="1">
        <v>-1.0950299999999899E-6</v>
      </c>
      <c r="I543">
        <v>368.93329999999997</v>
      </c>
      <c r="J543">
        <v>-299.35789999999997</v>
      </c>
      <c r="K543">
        <v>1.055291</v>
      </c>
      <c r="L543">
        <v>368.62479999999999</v>
      </c>
      <c r="M543">
        <v>0.99989280000000003</v>
      </c>
      <c r="N543">
        <v>0</v>
      </c>
      <c r="O543">
        <v>-1.173686E-2</v>
      </c>
      <c r="P543">
        <v>0.99684519999999999</v>
      </c>
      <c r="Q543">
        <v>7.1181510000000003E-2</v>
      </c>
      <c r="R543">
        <v>3.5111259999999998E-2</v>
      </c>
      <c r="S543">
        <v>3.0181580000000001</v>
      </c>
      <c r="T543">
        <v>-0.1445515</v>
      </c>
      <c r="U543">
        <v>4.1839599999999998E-2</v>
      </c>
      <c r="V543">
        <v>-4.6060539999999997E-2</v>
      </c>
      <c r="W543">
        <v>8.0327010000000004E-2</v>
      </c>
      <c r="X543">
        <v>0.99570380000000003</v>
      </c>
      <c r="Y543">
        <v>-2.555379E-2</v>
      </c>
      <c r="Z543">
        <v>1.1733550000000001E-3</v>
      </c>
      <c r="AA543">
        <v>0.99967280000000003</v>
      </c>
      <c r="AB543">
        <v>70</v>
      </c>
      <c r="AC543">
        <v>21.6692999999999</v>
      </c>
      <c r="AD543">
        <v>-1.05529209503</v>
      </c>
      <c r="AE543">
        <v>0.30849999999998001</v>
      </c>
      <c r="AF543">
        <v>-0.56148663999423498</v>
      </c>
      <c r="AG543">
        <v>-1.05529209503</v>
      </c>
      <c r="AH543">
        <v>21.612937831261199</v>
      </c>
      <c r="AI543">
        <v>92.794412180836105</v>
      </c>
      <c r="AJ543">
        <v>91.4881632634727</v>
      </c>
      <c r="AK543">
        <v>21.645969378863199</v>
      </c>
    </row>
    <row r="544" spans="1:37" x14ac:dyDescent="0.2">
      <c r="A544" t="str">
        <f>"20200111154037701"</f>
        <v>20200111154037701</v>
      </c>
      <c r="B544" t="str">
        <f>"1578728437686653"</f>
        <v>1578728437686653</v>
      </c>
      <c r="C544" t="s">
        <v>37</v>
      </c>
      <c r="D544">
        <v>5.0896140000000001</v>
      </c>
      <c r="E544">
        <v>0.50589419999999996</v>
      </c>
      <c r="F544" t="s">
        <v>39</v>
      </c>
      <c r="G544">
        <v>-276.9153</v>
      </c>
      <c r="H544" s="1">
        <v>-1.4320509999999999E-6</v>
      </c>
      <c r="I544">
        <v>368.90359999999998</v>
      </c>
      <c r="J544">
        <v>-298.9871</v>
      </c>
      <c r="K544">
        <v>1.0551969999999999</v>
      </c>
      <c r="L544">
        <v>368.62130000000002</v>
      </c>
      <c r="M544">
        <v>0.99988099999999902</v>
      </c>
      <c r="N544">
        <v>0</v>
      </c>
      <c r="O544">
        <v>-1.2762819999999999E-2</v>
      </c>
      <c r="P544">
        <v>0.99681379999999997</v>
      </c>
      <c r="Q544">
        <v>7.2138060000000004E-2</v>
      </c>
      <c r="R544">
        <v>3.4037909999999998E-2</v>
      </c>
      <c r="S544">
        <v>3.0183719999999998</v>
      </c>
      <c r="T544">
        <v>-0.1419291</v>
      </c>
      <c r="U544">
        <v>3.7506100000000001E-2</v>
      </c>
      <c r="V544">
        <v>-4.6004530000000002E-2</v>
      </c>
      <c r="W544">
        <v>8.1211980000000003E-2</v>
      </c>
      <c r="X544">
        <v>0.99563459999999904</v>
      </c>
      <c r="Y544">
        <v>-2.5144409999999999E-2</v>
      </c>
      <c r="Z544">
        <v>1.190616E-3</v>
      </c>
      <c r="AA544">
        <v>0.99968310000000005</v>
      </c>
      <c r="AB544">
        <v>70</v>
      </c>
      <c r="AC544">
        <v>22.0718</v>
      </c>
      <c r="AD544">
        <v>-1.0551984320509999</v>
      </c>
      <c r="AE544">
        <v>0.28229999999996302</v>
      </c>
      <c r="AF544">
        <v>-0.56270011883767901</v>
      </c>
      <c r="AG544">
        <v>-1.0551984320509999</v>
      </c>
      <c r="AH544">
        <v>22.016088202351501</v>
      </c>
      <c r="AI544">
        <v>92.743107399593697</v>
      </c>
      <c r="AJ544">
        <v>91.464080455750306</v>
      </c>
      <c r="AK544">
        <v>22.0485422395329</v>
      </c>
    </row>
    <row r="545" spans="1:37" x14ac:dyDescent="0.2">
      <c r="A545" t="str">
        <f>"20200111154037713"</f>
        <v>20200111154037713</v>
      </c>
      <c r="B545" t="str">
        <f>"1578728437707149"</f>
        <v>1578728437707149</v>
      </c>
      <c r="C545" t="s">
        <v>37</v>
      </c>
      <c r="D545">
        <v>5.1226779999999996</v>
      </c>
      <c r="E545">
        <v>0.5060713</v>
      </c>
      <c r="F545" t="s">
        <v>39</v>
      </c>
      <c r="G545">
        <v>-276.015999999999</v>
      </c>
      <c r="H545" s="1">
        <v>-1.8219779999999999E-6</v>
      </c>
      <c r="I545">
        <v>368.88049999999998</v>
      </c>
      <c r="J545">
        <v>-298.60649999999998</v>
      </c>
      <c r="K545">
        <v>1.055134</v>
      </c>
      <c r="L545">
        <v>368.6173</v>
      </c>
      <c r="M545">
        <v>0.99986830000000004</v>
      </c>
      <c r="N545">
        <v>0</v>
      </c>
      <c r="O545">
        <v>-1.3762079999999999E-2</v>
      </c>
      <c r="P545">
        <v>0.99677909999999903</v>
      </c>
      <c r="Q545">
        <v>7.3114609999999997E-2</v>
      </c>
      <c r="R545">
        <v>3.2951130000000002E-2</v>
      </c>
      <c r="S545">
        <v>3.0184630000000001</v>
      </c>
      <c r="T545">
        <v>-0.13865549999999999</v>
      </c>
      <c r="U545">
        <v>3.4057619999999997E-2</v>
      </c>
      <c r="V545">
        <v>-4.5910430000000002E-2</v>
      </c>
      <c r="W545">
        <v>8.2120659999999998E-2</v>
      </c>
      <c r="X545">
        <v>0.99556440000000002</v>
      </c>
      <c r="Y545">
        <v>-2.5002150000000001E-2</v>
      </c>
      <c r="Z545">
        <v>1.2057649999999999E-3</v>
      </c>
      <c r="AA545">
        <v>0.99968670000000004</v>
      </c>
      <c r="AB545">
        <v>70</v>
      </c>
      <c r="AC545">
        <v>22.590499999999999</v>
      </c>
      <c r="AD545">
        <v>-1.055135821978</v>
      </c>
      <c r="AE545">
        <v>0.263199999999983</v>
      </c>
      <c r="AF545">
        <v>-0.57282935669067603</v>
      </c>
      <c r="AG545">
        <v>-1.055135821978</v>
      </c>
      <c r="AH545">
        <v>22.535582351604202</v>
      </c>
      <c r="AI545">
        <v>92.679816826887901</v>
      </c>
      <c r="AJ545">
        <v>91.456081233923598</v>
      </c>
      <c r="AK545">
        <v>22.567541226297699</v>
      </c>
    </row>
    <row r="546" spans="1:37" x14ac:dyDescent="0.2">
      <c r="A546" t="str">
        <f>"20200111154037724"</f>
        <v>20200111154037724</v>
      </c>
      <c r="B546" t="str">
        <f>"1578728437716910"</f>
        <v>1578728437716910</v>
      </c>
      <c r="C546" t="s">
        <v>37</v>
      </c>
      <c r="D546">
        <v>5.1252690000000003</v>
      </c>
      <c r="E546">
        <v>0.50608549999999997</v>
      </c>
      <c r="F546" t="s">
        <v>39</v>
      </c>
      <c r="G546">
        <v>-275.20429999999999</v>
      </c>
      <c r="H546" s="1">
        <v>-2.1767569999999999E-6</v>
      </c>
      <c r="I546">
        <v>368.84339999999997</v>
      </c>
      <c r="J546">
        <v>-298.24869999999999</v>
      </c>
      <c r="K546">
        <v>1.0550850000000001</v>
      </c>
      <c r="L546">
        <v>368.61320000000001</v>
      </c>
      <c r="M546">
        <v>0.99985559999999996</v>
      </c>
      <c r="N546">
        <v>0</v>
      </c>
      <c r="O546">
        <v>-1.468291E-2</v>
      </c>
      <c r="P546">
        <v>0.99675279999999999</v>
      </c>
      <c r="Q546">
        <v>7.3899179999999995E-2</v>
      </c>
      <c r="R546">
        <v>3.1982389999999999E-2</v>
      </c>
      <c r="S546">
        <v>3.0187379999999999</v>
      </c>
      <c r="T546">
        <v>-0.13610539999999999</v>
      </c>
      <c r="U546">
        <v>2.9174800000000001E-2</v>
      </c>
      <c r="V546">
        <v>-4.5859249999999997E-2</v>
      </c>
      <c r="W546">
        <v>8.2842970000000002E-2</v>
      </c>
      <c r="X546">
        <v>0.99550689999999997</v>
      </c>
      <c r="Y546">
        <v>-2.4306230000000002E-2</v>
      </c>
      <c r="Z546">
        <v>1.209328E-3</v>
      </c>
      <c r="AA546">
        <v>0.99970380000000003</v>
      </c>
      <c r="AB546">
        <v>70</v>
      </c>
      <c r="AC546">
        <v>23.0444</v>
      </c>
      <c r="AD546">
        <v>-1.055087176757</v>
      </c>
      <c r="AE546">
        <v>0.23019999999996801</v>
      </c>
      <c r="AF546">
        <v>-0.56735720548002999</v>
      </c>
      <c r="AG546">
        <v>-1.055087176757</v>
      </c>
      <c r="AH546">
        <v>22.9903464921167</v>
      </c>
      <c r="AI546">
        <v>92.626810997724803</v>
      </c>
      <c r="AJ546">
        <v>91.413661892493195</v>
      </c>
      <c r="AK546">
        <v>23.021536329636</v>
      </c>
    </row>
    <row r="547" spans="1:37" x14ac:dyDescent="0.2">
      <c r="A547" t="str">
        <f>"20200111154037735"</f>
        <v>20200111154037735</v>
      </c>
      <c r="B547" t="str">
        <f>"1578728437726669"</f>
        <v>1578728437726669</v>
      </c>
      <c r="C547" t="s">
        <v>37</v>
      </c>
      <c r="D547">
        <v>5.0983269999999896</v>
      </c>
      <c r="E547">
        <v>0.50610670000000002</v>
      </c>
      <c r="F547" t="s">
        <v>39</v>
      </c>
      <c r="G547">
        <v>-274.49220000000003</v>
      </c>
      <c r="H547" s="1">
        <v>-2.4863299999999998E-6</v>
      </c>
      <c r="I547">
        <v>368.82040000000001</v>
      </c>
      <c r="J547">
        <v>-297.90339999999998</v>
      </c>
      <c r="K547">
        <v>1.0550569999999999</v>
      </c>
      <c r="L547">
        <v>368.60890000000001</v>
      </c>
      <c r="M547">
        <v>0.99984340000000005</v>
      </c>
      <c r="N547">
        <v>0</v>
      </c>
      <c r="O547">
        <v>-1.552099E-2</v>
      </c>
      <c r="P547">
        <v>0.99672099999999997</v>
      </c>
      <c r="Q547">
        <v>7.4737559999999995E-2</v>
      </c>
      <c r="R547">
        <v>3.100994E-2</v>
      </c>
      <c r="S547">
        <v>3.0188599999999899</v>
      </c>
      <c r="T547">
        <v>-0.134075</v>
      </c>
      <c r="U547">
        <v>2.633667E-2</v>
      </c>
      <c r="V547">
        <v>-4.5723340000000001E-2</v>
      </c>
      <c r="W547">
        <v>8.3624649999999995E-2</v>
      </c>
      <c r="X547">
        <v>0.99544779999999999</v>
      </c>
      <c r="Y547">
        <v>-2.4204460000000001E-2</v>
      </c>
      <c r="Z547">
        <v>1.2262039999999901E-3</v>
      </c>
      <c r="AA547">
        <v>0.99970630000000005</v>
      </c>
      <c r="AB547">
        <v>70</v>
      </c>
      <c r="AC547">
        <v>23.411199999999901</v>
      </c>
      <c r="AD547">
        <v>-1.05505948632999</v>
      </c>
      <c r="AE547">
        <v>0.21149999999999999</v>
      </c>
      <c r="AF547">
        <v>-0.57368759875556696</v>
      </c>
      <c r="AG547">
        <v>-1.05505948632999</v>
      </c>
      <c r="AH547">
        <v>23.357661755673199</v>
      </c>
      <c r="AI547">
        <v>92.585498767682793</v>
      </c>
      <c r="AJ547">
        <v>91.406958941190595</v>
      </c>
      <c r="AK547">
        <v>23.3885149309036</v>
      </c>
    </row>
    <row r="548" spans="1:37" x14ac:dyDescent="0.2">
      <c r="A548" t="str">
        <f>"20200111154037747"</f>
        <v>20200111154037747</v>
      </c>
      <c r="B548" t="str">
        <f>"1578728437736430"</f>
        <v>1578728437736430</v>
      </c>
      <c r="C548" t="s">
        <v>37</v>
      </c>
      <c r="D548">
        <v>5.1434290000000003</v>
      </c>
      <c r="E548">
        <v>0.5061717</v>
      </c>
      <c r="F548" t="s">
        <v>39</v>
      </c>
      <c r="G548">
        <v>-273.65089999999998</v>
      </c>
      <c r="H548" s="1">
        <v>-2.8513139999999899E-6</v>
      </c>
      <c r="I548">
        <v>368.79739999999998</v>
      </c>
      <c r="J548">
        <v>-297.55340000000001</v>
      </c>
      <c r="K548">
        <v>1.0550389999999901</v>
      </c>
      <c r="L548">
        <v>368.60430000000002</v>
      </c>
      <c r="M548">
        <v>0.99983069999999896</v>
      </c>
      <c r="N548">
        <v>0</v>
      </c>
      <c r="O548">
        <v>-1.63448E-2</v>
      </c>
      <c r="P548">
        <v>0.99668999999999996</v>
      </c>
      <c r="Q548">
        <v>7.5493630000000006E-2</v>
      </c>
      <c r="R548">
        <v>3.016493E-2</v>
      </c>
      <c r="S548">
        <v>3.0189509999999999</v>
      </c>
      <c r="T548">
        <v>-0.13133349999999999</v>
      </c>
      <c r="U548">
        <v>2.3468019999999999E-2</v>
      </c>
      <c r="V548">
        <v>-4.5702109999999997E-2</v>
      </c>
      <c r="W548">
        <v>8.4325499999999998E-2</v>
      </c>
      <c r="X548">
        <v>0.99538959999999999</v>
      </c>
      <c r="Y548">
        <v>-2.4078949999999998E-2</v>
      </c>
      <c r="Z548">
        <v>1.2342119999999999E-3</v>
      </c>
      <c r="AA548">
        <v>0.99970930000000002</v>
      </c>
      <c r="AB548">
        <v>70</v>
      </c>
      <c r="AC548">
        <v>23.9025</v>
      </c>
      <c r="AD548">
        <v>-1.0550418513140001</v>
      </c>
      <c r="AE548">
        <v>0.193099999999958</v>
      </c>
      <c r="AF548">
        <v>-0.58263467169934902</v>
      </c>
      <c r="AG548">
        <v>-1.0550418513140001</v>
      </c>
      <c r="AH548">
        <v>23.849687477840298</v>
      </c>
      <c r="AI548">
        <v>92.532195239218098</v>
      </c>
      <c r="AJ548">
        <v>91.399425850945406</v>
      </c>
      <c r="AK548">
        <v>23.880120796581899</v>
      </c>
    </row>
    <row r="549" spans="1:37" x14ac:dyDescent="0.2">
      <c r="A549" t="str">
        <f>"20200111154037759"</f>
        <v>20200111154037759</v>
      </c>
      <c r="B549" t="str">
        <f>"1578728437747165"</f>
        <v>1578728437747165</v>
      </c>
      <c r="C549" t="s">
        <v>37</v>
      </c>
      <c r="D549">
        <v>5.1394000000000002</v>
      </c>
      <c r="E549">
        <v>0.50617029999999996</v>
      </c>
      <c r="F549" t="s">
        <v>39</v>
      </c>
      <c r="G549">
        <v>-272.86410000000001</v>
      </c>
      <c r="H549" s="1">
        <v>-3.19377299999999E-6</v>
      </c>
      <c r="I549">
        <v>368.7697</v>
      </c>
      <c r="J549">
        <v>-297.18450000000001</v>
      </c>
      <c r="K549">
        <v>1.055032</v>
      </c>
      <c r="L549">
        <v>368.59910000000002</v>
      </c>
      <c r="M549">
        <v>0.99981730000000002</v>
      </c>
      <c r="N549">
        <v>0</v>
      </c>
      <c r="O549">
        <v>-1.7172260000000002E-2</v>
      </c>
      <c r="P549">
        <v>0.99665630000000005</v>
      </c>
      <c r="Q549">
        <v>7.631085E-2</v>
      </c>
      <c r="R549">
        <v>2.920559E-2</v>
      </c>
      <c r="S549">
        <v>3.0191349999999999</v>
      </c>
      <c r="T549">
        <v>-0.1290154</v>
      </c>
      <c r="U549">
        <v>2.0233149999999998E-2</v>
      </c>
      <c r="V549">
        <v>-4.5571960000000002E-2</v>
      </c>
      <c r="W549">
        <v>8.5087109999999994E-2</v>
      </c>
      <c r="X549">
        <v>0.99533079999999996</v>
      </c>
      <c r="Y549">
        <v>-2.3835559999999999E-2</v>
      </c>
      <c r="Z549">
        <v>1.2425209999999999E-3</v>
      </c>
      <c r="AA549">
        <v>0.99971509999999997</v>
      </c>
      <c r="AB549">
        <v>70</v>
      </c>
      <c r="AC549">
        <v>24.320399999999999</v>
      </c>
      <c r="AD549">
        <v>-1.055035193773</v>
      </c>
      <c r="AE549">
        <v>0.17059999999997899</v>
      </c>
      <c r="AF549">
        <v>-0.58712095476542603</v>
      </c>
      <c r="AG549">
        <v>-1.055035193773</v>
      </c>
      <c r="AH549">
        <v>24.268216232576101</v>
      </c>
      <c r="AI549">
        <v>92.488579071882398</v>
      </c>
      <c r="AJ549">
        <v>91.3858864476299</v>
      </c>
      <c r="AK549">
        <v>24.298233050711598</v>
      </c>
    </row>
    <row r="550" spans="1:37" x14ac:dyDescent="0.2">
      <c r="A550" t="str">
        <f>"20200111154037771"</f>
        <v>20200111154037771</v>
      </c>
      <c r="B550" t="str">
        <f>"1578728437767302"</f>
        <v>1578728437767302</v>
      </c>
      <c r="C550" t="s">
        <v>37</v>
      </c>
      <c r="D550">
        <v>5.1782399999999997</v>
      </c>
      <c r="E550">
        <v>0.50605420000000001</v>
      </c>
      <c r="F550" t="s">
        <v>39</v>
      </c>
      <c r="G550">
        <v>-272.27620000000002</v>
      </c>
      <c r="H550" s="1">
        <v>-3.4503619999999998E-6</v>
      </c>
      <c r="I550">
        <v>368.74509999999998</v>
      </c>
      <c r="J550">
        <v>-296.82760000000002</v>
      </c>
      <c r="K550">
        <v>1.055045</v>
      </c>
      <c r="L550">
        <v>368.59379999999999</v>
      </c>
      <c r="M550">
        <v>0.99980440000000004</v>
      </c>
      <c r="N550">
        <v>0</v>
      </c>
      <c r="O550">
        <v>-1.792529E-2</v>
      </c>
      <c r="P550">
        <v>0.99660789999999999</v>
      </c>
      <c r="Q550">
        <v>7.7183370000000001E-2</v>
      </c>
      <c r="R550">
        <v>2.856481E-2</v>
      </c>
      <c r="S550">
        <v>3.0193479999999999</v>
      </c>
      <c r="T550">
        <v>-0.127889</v>
      </c>
      <c r="U550">
        <v>1.7700199999999999E-2</v>
      </c>
      <c r="V550">
        <v>-4.5686890000000001E-2</v>
      </c>
      <c r="W550">
        <v>8.5911399999999902E-2</v>
      </c>
      <c r="X550">
        <v>0.99525469999999905</v>
      </c>
      <c r="Y550">
        <v>-2.374946E-2</v>
      </c>
      <c r="Z550">
        <v>1.2616539999999901E-3</v>
      </c>
      <c r="AA550">
        <v>0.99971710000000003</v>
      </c>
      <c r="AB550">
        <v>70</v>
      </c>
      <c r="AC550">
        <v>24.551400000000001</v>
      </c>
      <c r="AD550">
        <v>-1.0550484503619999</v>
      </c>
      <c r="AE550">
        <v>0.151299999999992</v>
      </c>
      <c r="AF550">
        <v>-0.59029198313382902</v>
      </c>
      <c r="AG550">
        <v>-1.0550484503619999</v>
      </c>
      <c r="AH550">
        <v>24.4995017491315</v>
      </c>
      <c r="AI550">
        <v>92.465151781825099</v>
      </c>
      <c r="AJ550">
        <v>91.3802197804782</v>
      </c>
      <c r="AK550">
        <v>24.5293122164822</v>
      </c>
    </row>
    <row r="551" spans="1:37" x14ac:dyDescent="0.2">
      <c r="A551" t="str">
        <f>"20200111154037783"</f>
        <v>20200111154037783</v>
      </c>
      <c r="B551" t="str">
        <f>"1578728437777063"</f>
        <v>1578728437777063</v>
      </c>
      <c r="C551" t="s">
        <v>37</v>
      </c>
      <c r="D551">
        <v>5.161041</v>
      </c>
      <c r="E551">
        <v>0.50604890000000002</v>
      </c>
      <c r="F551" t="s">
        <v>39</v>
      </c>
      <c r="G551">
        <v>-271.86439999999999</v>
      </c>
      <c r="H551" s="1">
        <v>-3.6297580000000001E-6</v>
      </c>
      <c r="I551">
        <v>368.7294</v>
      </c>
      <c r="J551">
        <v>-296.4162</v>
      </c>
      <c r="K551">
        <v>1.055064</v>
      </c>
      <c r="L551">
        <v>368.58730000000003</v>
      </c>
      <c r="M551">
        <v>0.99978940000000005</v>
      </c>
      <c r="N551">
        <v>0</v>
      </c>
      <c r="O551">
        <v>-1.8761570000000002E-2</v>
      </c>
      <c r="P551">
        <v>0.9965427</v>
      </c>
      <c r="Q551">
        <v>7.82635E-2</v>
      </c>
      <c r="R551">
        <v>2.7892219999999999E-2</v>
      </c>
      <c r="S551">
        <v>3.0196230000000002</v>
      </c>
      <c r="T551">
        <v>-0.1276215</v>
      </c>
      <c r="U551">
        <v>1.6418459999999999E-2</v>
      </c>
      <c r="V551">
        <v>-4.5854109999999997E-2</v>
      </c>
      <c r="W551">
        <v>8.6937520000000004E-2</v>
      </c>
      <c r="X551">
        <v>0.99515789999999904</v>
      </c>
      <c r="Y551">
        <v>-2.4159839999999998E-2</v>
      </c>
      <c r="Z551">
        <v>1.302898E-3</v>
      </c>
      <c r="AA551">
        <v>0.99970729999999997</v>
      </c>
      <c r="AB551">
        <v>70</v>
      </c>
      <c r="AC551">
        <v>24.5518</v>
      </c>
      <c r="AD551">
        <v>-1.0550676297579999</v>
      </c>
      <c r="AE551">
        <v>0.14209999999997</v>
      </c>
      <c r="AF551">
        <v>-0.60161027998625505</v>
      </c>
      <c r="AG551">
        <v>-1.0550676297579999</v>
      </c>
      <c r="AH551">
        <v>24.4995705469474</v>
      </c>
      <c r="AI551">
        <v>92.465161977541598</v>
      </c>
      <c r="AJ551">
        <v>91.406669722584297</v>
      </c>
      <c r="AK551">
        <v>24.529656736636099</v>
      </c>
    </row>
    <row r="552" spans="1:37" x14ac:dyDescent="0.2">
      <c r="A552" t="str">
        <f>"20200111154037799"</f>
        <v>20200111154037799</v>
      </c>
      <c r="B552" t="str">
        <f>"1578728437786822"</f>
        <v>1578728437786822</v>
      </c>
      <c r="C552" t="s">
        <v>37</v>
      </c>
      <c r="D552">
        <v>5.1772269999999896</v>
      </c>
      <c r="E552">
        <v>0.50602510000000001</v>
      </c>
      <c r="F552" t="s">
        <v>39</v>
      </c>
      <c r="G552">
        <v>-270.9538</v>
      </c>
      <c r="H552" s="1">
        <v>-4.0232619999999901E-6</v>
      </c>
      <c r="I552">
        <v>368.7133</v>
      </c>
      <c r="J552">
        <v>-295.92610000000002</v>
      </c>
      <c r="K552">
        <v>1.0551139999999899</v>
      </c>
      <c r="L552">
        <v>368.57900000000001</v>
      </c>
      <c r="M552">
        <v>0.99977260000000001</v>
      </c>
      <c r="N552">
        <v>0</v>
      </c>
      <c r="O552">
        <v>-1.96595E-2</v>
      </c>
      <c r="P552">
        <v>0.99646880000000004</v>
      </c>
      <c r="Q552">
        <v>7.9358300000000007E-2</v>
      </c>
      <c r="R552">
        <v>2.7430679999999999E-2</v>
      </c>
      <c r="S552">
        <v>3.0197750000000001</v>
      </c>
      <c r="T552">
        <v>-0.1251283</v>
      </c>
      <c r="U552">
        <v>1.4953610000000001E-2</v>
      </c>
      <c r="V552">
        <v>-4.629925E-2</v>
      </c>
      <c r="W552">
        <v>8.7975419999999999E-2</v>
      </c>
      <c r="X552">
        <v>0.99504609999999905</v>
      </c>
      <c r="Y552">
        <v>-2.457285E-2</v>
      </c>
      <c r="Z552">
        <v>1.3231429999999999E-3</v>
      </c>
      <c r="AA552">
        <v>0.99969710000000001</v>
      </c>
      <c r="AB552">
        <v>70</v>
      </c>
      <c r="AC552">
        <v>24.972300000000001</v>
      </c>
      <c r="AD552">
        <v>-1.0551180232619899</v>
      </c>
      <c r="AE552">
        <v>0.13429999999999601</v>
      </c>
      <c r="AF552">
        <v>-0.62411958799327405</v>
      </c>
      <c r="AG552">
        <v>-1.0551180232619899</v>
      </c>
      <c r="AH552">
        <v>24.9203466734883</v>
      </c>
      <c r="AI552">
        <v>92.423674467263595</v>
      </c>
      <c r="AJ552">
        <v>91.434648767660804</v>
      </c>
      <c r="AK552">
        <v>24.9504805089996</v>
      </c>
    </row>
    <row r="553" spans="1:37" x14ac:dyDescent="0.2">
      <c r="A553" t="str">
        <f>"20200111154037813"</f>
        <v>20200111154037813</v>
      </c>
      <c r="B553" t="str">
        <f>"1578728437807319"</f>
        <v>1578728437807319</v>
      </c>
      <c r="C553" t="s">
        <v>37</v>
      </c>
      <c r="D553">
        <v>5.1944669999999897</v>
      </c>
      <c r="E553">
        <v>0.50600590000000001</v>
      </c>
      <c r="F553" t="s">
        <v>39</v>
      </c>
      <c r="G553">
        <v>-269.9742</v>
      </c>
      <c r="H553" s="1">
        <v>-4.446993E-6</v>
      </c>
      <c r="I553">
        <v>368.69380000000001</v>
      </c>
      <c r="J553">
        <v>-295.51499999999999</v>
      </c>
      <c r="K553">
        <v>1.055167</v>
      </c>
      <c r="L553">
        <v>368.5718</v>
      </c>
      <c r="M553">
        <v>0.99975899999999995</v>
      </c>
      <c r="N553">
        <v>0</v>
      </c>
      <c r="O553">
        <v>-2.0352019999999998E-2</v>
      </c>
      <c r="P553">
        <v>0.99645039999999996</v>
      </c>
      <c r="Q553">
        <v>7.9818840000000002E-2</v>
      </c>
      <c r="R553">
        <v>2.6759140000000001E-2</v>
      </c>
      <c r="S553">
        <v>3.0200499999999999</v>
      </c>
      <c r="T553">
        <v>-0.1227844</v>
      </c>
      <c r="U553">
        <v>1.33667E-2</v>
      </c>
      <c r="V553">
        <v>-4.6334559999999997E-2</v>
      </c>
      <c r="W553">
        <v>8.8388640000000004E-2</v>
      </c>
      <c r="X553">
        <v>0.9950078</v>
      </c>
      <c r="Y553">
        <v>-2.474028E-2</v>
      </c>
      <c r="Z553">
        <v>1.3298050000000001E-3</v>
      </c>
      <c r="AA553">
        <v>0.99969300000000005</v>
      </c>
      <c r="AB553">
        <v>70</v>
      </c>
      <c r="AC553">
        <v>25.540799999999901</v>
      </c>
      <c r="AD553">
        <v>-1.055171446993</v>
      </c>
      <c r="AE553">
        <v>0.122000000000014</v>
      </c>
      <c r="AF553">
        <v>-0.64070569011729905</v>
      </c>
      <c r="AG553">
        <v>-1.055171446993</v>
      </c>
      <c r="AH553">
        <v>25.489522536342701</v>
      </c>
      <c r="AI553">
        <v>92.369731119300496</v>
      </c>
      <c r="AJ553">
        <v>91.439885878980803</v>
      </c>
      <c r="AK553">
        <v>25.519397518253101</v>
      </c>
    </row>
    <row r="554" spans="1:37" x14ac:dyDescent="0.2">
      <c r="A554" t="str">
        <f>"20200111154037826"</f>
        <v>20200111154037826</v>
      </c>
      <c r="B554" t="str">
        <f>"1578728437817079"</f>
        <v>1578728437817079</v>
      </c>
      <c r="C554" t="s">
        <v>37</v>
      </c>
      <c r="D554">
        <v>5.1806299999999998</v>
      </c>
      <c r="E554">
        <v>0.50596049999999904</v>
      </c>
      <c r="F554" t="s">
        <v>39</v>
      </c>
      <c r="G554">
        <v>-269.6961</v>
      </c>
      <c r="H554" s="1">
        <v>-3.4012790000000002E-7</v>
      </c>
      <c r="I554">
        <v>368.67430000000002</v>
      </c>
      <c r="J554">
        <v>-295.0745</v>
      </c>
      <c r="K554">
        <v>1.0552349999999999</v>
      </c>
      <c r="L554">
        <v>368.56369999999998</v>
      </c>
      <c r="M554">
        <v>0.99974490000000005</v>
      </c>
      <c r="N554">
        <v>0</v>
      </c>
      <c r="O554">
        <v>-2.1044549999999999E-2</v>
      </c>
      <c r="P554">
        <v>0.99643700000000002</v>
      </c>
      <c r="Q554">
        <v>8.0205020000000002E-2</v>
      </c>
      <c r="R554">
        <v>2.6091329999999999E-2</v>
      </c>
      <c r="S554">
        <v>3.0202640000000001</v>
      </c>
      <c r="T554">
        <v>-0.1234319</v>
      </c>
      <c r="U554">
        <v>1.1993409999999999E-2</v>
      </c>
      <c r="V554">
        <v>-4.6377290000000002E-2</v>
      </c>
      <c r="W554">
        <v>8.8726349999999995E-2</v>
      </c>
      <c r="X554">
        <v>0.99497569999999902</v>
      </c>
      <c r="Y554">
        <v>-2.4976749999999999E-2</v>
      </c>
      <c r="Z554">
        <v>1.369835E-3</v>
      </c>
      <c r="AA554">
        <v>0.99968709999999905</v>
      </c>
      <c r="AB554">
        <v>70</v>
      </c>
      <c r="AC554">
        <v>25.378399999999999</v>
      </c>
      <c r="AD554">
        <v>-1.0552353401279</v>
      </c>
      <c r="AE554">
        <v>0.11060000000003301</v>
      </c>
      <c r="AF554">
        <v>-0.643557848074369</v>
      </c>
      <c r="AG554">
        <v>-1.0552353401279</v>
      </c>
      <c r="AH554">
        <v>25.326665218353099</v>
      </c>
      <c r="AI554">
        <v>92.385079339097899</v>
      </c>
      <c r="AJ554">
        <v>91.455589008825299</v>
      </c>
      <c r="AK554">
        <v>25.356806963997101</v>
      </c>
    </row>
    <row r="555" spans="1:37" x14ac:dyDescent="0.2">
      <c r="A555" t="str">
        <f>"20200111154037840"</f>
        <v>20200111154037840</v>
      </c>
      <c r="B555" t="str">
        <f>"1578728437836599"</f>
        <v>1578728437836599</v>
      </c>
      <c r="C555" t="s">
        <v>37</v>
      </c>
      <c r="D555">
        <v>5.170166</v>
      </c>
      <c r="E555">
        <v>0.50590649999999904</v>
      </c>
      <c r="F555" t="s">
        <v>39</v>
      </c>
      <c r="G555">
        <v>-269.29360000000003</v>
      </c>
      <c r="H555" s="1">
        <v>-4.8309750000000002E-7</v>
      </c>
      <c r="I555">
        <v>368.65170000000001</v>
      </c>
      <c r="J555">
        <v>-294.62939999999998</v>
      </c>
      <c r="K555">
        <v>1.055315</v>
      </c>
      <c r="L555">
        <v>368.55509999999998</v>
      </c>
      <c r="M555">
        <v>0.99973199999999995</v>
      </c>
      <c r="N555">
        <v>0</v>
      </c>
      <c r="O555">
        <v>-2.1670180000000001E-2</v>
      </c>
      <c r="P555">
        <v>0.99644650000000001</v>
      </c>
      <c r="Q555">
        <v>8.0313499999999996E-2</v>
      </c>
      <c r="R555">
        <v>2.5386880000000001E-2</v>
      </c>
      <c r="S555">
        <v>3.0204469999999999</v>
      </c>
      <c r="T555">
        <v>-0.1236295</v>
      </c>
      <c r="U555">
        <v>1.031494E-2</v>
      </c>
      <c r="V555">
        <v>-4.6322000000000002E-2</v>
      </c>
      <c r="W555">
        <v>8.8785719999999999E-2</v>
      </c>
      <c r="X555">
        <v>0.99497309999999906</v>
      </c>
      <c r="Y555">
        <v>-2.504588E-2</v>
      </c>
      <c r="Z555">
        <v>1.398949E-3</v>
      </c>
      <c r="AA555">
        <v>0.9996853</v>
      </c>
      <c r="AB555">
        <v>70</v>
      </c>
      <c r="AC555">
        <v>25.3357999999999</v>
      </c>
      <c r="AD555">
        <v>-1.0553154830975</v>
      </c>
      <c r="AE555">
        <v>9.66000000000235E-2</v>
      </c>
      <c r="AF555">
        <v>-0.64450867496019504</v>
      </c>
      <c r="AG555">
        <v>-1.0553154830975</v>
      </c>
      <c r="AH555">
        <v>25.283890196554101</v>
      </c>
      <c r="AI555">
        <v>92.389286065534904</v>
      </c>
      <c r="AJ555">
        <v>91.460203767069103</v>
      </c>
      <c r="AK555">
        <v>25.314110406497999</v>
      </c>
    </row>
    <row r="556" spans="1:37" x14ac:dyDescent="0.2">
      <c r="A556" t="str">
        <f>"20200111154037856"</f>
        <v>20200111154037856</v>
      </c>
      <c r="B556" t="str">
        <f>"1578728437847334"</f>
        <v>1578728437847334</v>
      </c>
      <c r="C556" t="s">
        <v>37</v>
      </c>
      <c r="D556">
        <v>5.2268359999999996</v>
      </c>
      <c r="E556">
        <v>0.50588060000000001</v>
      </c>
      <c r="F556" t="s">
        <v>39</v>
      </c>
      <c r="G556">
        <v>-269.26220000000001</v>
      </c>
      <c r="H556" s="1">
        <v>-4.9978379999999996E-7</v>
      </c>
      <c r="I556">
        <v>368.62920000000003</v>
      </c>
      <c r="J556">
        <v>-294.14010000000002</v>
      </c>
      <c r="K556">
        <v>1.0554219999999901</v>
      </c>
      <c r="L556">
        <v>368.5453</v>
      </c>
      <c r="M556">
        <v>0.99971900000000002</v>
      </c>
      <c r="N556">
        <v>0</v>
      </c>
      <c r="O556">
        <v>-2.2270439999999999E-2</v>
      </c>
      <c r="P556">
        <v>0.99641849999999998</v>
      </c>
      <c r="Q556">
        <v>8.0827109999999994E-2</v>
      </c>
      <c r="R556">
        <v>2.4838249999999999E-2</v>
      </c>
      <c r="S556">
        <v>3.0205989999999998</v>
      </c>
      <c r="T556">
        <v>-0.12566160000000001</v>
      </c>
      <c r="U556">
        <v>8.8195800000000005E-3</v>
      </c>
      <c r="V556">
        <v>-4.639741E-2</v>
      </c>
      <c r="W556">
        <v>8.9247370000000006E-2</v>
      </c>
      <c r="X556">
        <v>0.99492819999999904</v>
      </c>
      <c r="Y556">
        <v>-2.514914E-2</v>
      </c>
      <c r="Z556">
        <v>1.4489570000000001E-3</v>
      </c>
      <c r="AA556">
        <v>0.99968269999999904</v>
      </c>
      <c r="AB556">
        <v>70</v>
      </c>
      <c r="AC556">
        <v>24.8779</v>
      </c>
      <c r="AD556">
        <v>-1.05542249978379</v>
      </c>
      <c r="AE556">
        <v>8.3900000000028202E-2</v>
      </c>
      <c r="AF556">
        <v>-0.636793149353862</v>
      </c>
      <c r="AG556">
        <v>-1.05542249978379</v>
      </c>
      <c r="AH556">
        <v>24.8251809424534</v>
      </c>
      <c r="AI556">
        <v>92.433618214503497</v>
      </c>
      <c r="AJ556">
        <v>91.4693774390241</v>
      </c>
      <c r="AK556">
        <v>24.855764542529499</v>
      </c>
    </row>
    <row r="557" spans="1:37" x14ac:dyDescent="0.2">
      <c r="A557" t="str">
        <f>"20200111154037869"</f>
        <v>20200111154037869</v>
      </c>
      <c r="B557" t="str">
        <f>"1578728437857093"</f>
        <v>1578728437857093</v>
      </c>
      <c r="C557" t="s">
        <v>37</v>
      </c>
      <c r="D557">
        <v>5.2290299999999998</v>
      </c>
      <c r="E557">
        <v>0.50585809999999998</v>
      </c>
      <c r="F557" t="s">
        <v>39</v>
      </c>
      <c r="G557">
        <v>-268.73079999999999</v>
      </c>
      <c r="H557" s="1">
        <v>-7.0534899999999897E-7</v>
      </c>
      <c r="I557">
        <v>368.60969999999998</v>
      </c>
      <c r="J557">
        <v>-293.71769999999998</v>
      </c>
      <c r="K557">
        <v>1.0555209999999999</v>
      </c>
      <c r="L557">
        <v>368.5367</v>
      </c>
      <c r="M557">
        <v>0.99970879999999995</v>
      </c>
      <c r="N557">
        <v>0</v>
      </c>
      <c r="O557">
        <v>-2.2731230000000002E-2</v>
      </c>
      <c r="P557">
        <v>0.996409199999999</v>
      </c>
      <c r="Q557">
        <v>8.1135789999999999E-2</v>
      </c>
      <c r="R557">
        <v>2.42037999999999E-2</v>
      </c>
      <c r="S557">
        <v>3.0208439999999999</v>
      </c>
      <c r="T557">
        <v>-0.12547610000000001</v>
      </c>
      <c r="U557">
        <v>7.6599119999999996E-3</v>
      </c>
      <c r="V557">
        <v>-4.6247820000000002E-2</v>
      </c>
      <c r="W557">
        <v>8.951046E-2</v>
      </c>
      <c r="X557">
        <v>0.99491160000000001</v>
      </c>
      <c r="Y557">
        <v>-2.5225580000000001E-2</v>
      </c>
      <c r="Z557">
        <v>1.467419E-3</v>
      </c>
      <c r="AA557">
        <v>0.99968069999999898</v>
      </c>
      <c r="AB557">
        <v>71</v>
      </c>
      <c r="AC557">
        <v>24.986899999999899</v>
      </c>
      <c r="AD557">
        <v>-1.055521705349</v>
      </c>
      <c r="AE557">
        <v>7.2999999999978998E-2</v>
      </c>
      <c r="AF557">
        <v>-0.63984097177563803</v>
      </c>
      <c r="AG557">
        <v>-1.055521705349</v>
      </c>
      <c r="AH557">
        <v>24.934289686453202</v>
      </c>
      <c r="AI557">
        <v>92.423208642144303</v>
      </c>
      <c r="AJ557">
        <v>91.469949377954606</v>
      </c>
      <c r="AK557">
        <v>24.964821743957899</v>
      </c>
    </row>
    <row r="558" spans="1:37" x14ac:dyDescent="0.2">
      <c r="A558" t="str">
        <f>"20200111154037881"</f>
        <v>20200111154037881</v>
      </c>
      <c r="B558" t="str">
        <f>"1578728437876614"</f>
        <v>1578728437876614</v>
      </c>
      <c r="C558" t="s">
        <v>37</v>
      </c>
      <c r="D558">
        <v>5.1983259999999998</v>
      </c>
      <c r="E558">
        <v>0.50580890000000001</v>
      </c>
      <c r="F558" t="s">
        <v>39</v>
      </c>
      <c r="G558">
        <v>-268.38630000000001</v>
      </c>
      <c r="H558" s="1">
        <v>-8.5748919999999899E-7</v>
      </c>
      <c r="I558">
        <v>368.58519999999999</v>
      </c>
      <c r="J558">
        <v>-293.33260000000001</v>
      </c>
      <c r="K558">
        <v>1.0556190000000001</v>
      </c>
      <c r="L558">
        <v>368.52859999999998</v>
      </c>
      <c r="M558">
        <v>0.99970049999999899</v>
      </c>
      <c r="N558">
        <v>0</v>
      </c>
      <c r="O558">
        <v>-2.3107720000000002E-2</v>
      </c>
      <c r="P558">
        <v>0.99639159999999904</v>
      </c>
      <c r="Q558">
        <v>8.1457909999999994E-2</v>
      </c>
      <c r="R558">
        <v>2.3840340000000002E-2</v>
      </c>
      <c r="S558">
        <v>3.0208740000000001</v>
      </c>
      <c r="T558">
        <v>-0.12587499999999999</v>
      </c>
      <c r="U558">
        <v>5.7983399999999999E-3</v>
      </c>
      <c r="V558">
        <v>-4.6283159999999997E-2</v>
      </c>
      <c r="W558">
        <v>8.9793520000000002E-2</v>
      </c>
      <c r="X558">
        <v>0.9948844</v>
      </c>
      <c r="Y558">
        <v>-2.4985609999999998E-2</v>
      </c>
      <c r="Z558">
        <v>1.4827449999999999E-3</v>
      </c>
      <c r="AA558">
        <v>0.99968670000000004</v>
      </c>
      <c r="AB558">
        <v>71</v>
      </c>
      <c r="AC558">
        <v>24.946300000000001</v>
      </c>
      <c r="AD558">
        <v>-1.0556198574892</v>
      </c>
      <c r="AE558">
        <v>5.6600000000003002E-2</v>
      </c>
      <c r="AF558">
        <v>-0.63192419183897197</v>
      </c>
      <c r="AG558">
        <v>-1.0556198574892</v>
      </c>
      <c r="AH558">
        <v>24.893755527086601</v>
      </c>
      <c r="AI558">
        <v>92.427392115863796</v>
      </c>
      <c r="AJ558">
        <v>91.454132345362893</v>
      </c>
      <c r="AK558">
        <v>24.924139417643101</v>
      </c>
    </row>
    <row r="559" spans="1:37" x14ac:dyDescent="0.2">
      <c r="A559" t="str">
        <f>"20200111154037893"</f>
        <v>20200111154037893</v>
      </c>
      <c r="B559" t="str">
        <f>"1578728437886374"</f>
        <v>1578728437886374</v>
      </c>
      <c r="C559" t="s">
        <v>37</v>
      </c>
      <c r="D559">
        <v>5.2285459999999997</v>
      </c>
      <c r="E559">
        <v>0.50578230000000002</v>
      </c>
      <c r="F559" t="s">
        <v>39</v>
      </c>
      <c r="G559">
        <v>-268.24160000000001</v>
      </c>
      <c r="H559" s="1">
        <v>-9.2208929999999997E-7</v>
      </c>
      <c r="I559">
        <v>368.5711</v>
      </c>
      <c r="J559">
        <v>-292.95589999999999</v>
      </c>
      <c r="K559">
        <v>1.055725</v>
      </c>
      <c r="L559">
        <v>368.5204</v>
      </c>
      <c r="M559">
        <v>0.99969359999999996</v>
      </c>
      <c r="N559">
        <v>0</v>
      </c>
      <c r="O559">
        <v>-2.3412019999999999E-2</v>
      </c>
      <c r="P559">
        <v>0.99637410000000004</v>
      </c>
      <c r="Q559">
        <v>8.1806950000000003E-2</v>
      </c>
      <c r="R559">
        <v>2.3375859999999998E-2</v>
      </c>
      <c r="S559">
        <v>3.021118</v>
      </c>
      <c r="T559">
        <v>-0.12710299999999999</v>
      </c>
      <c r="U559">
        <v>5.1269530000000001E-3</v>
      </c>
      <c r="V559">
        <v>-4.6146180000000002E-2</v>
      </c>
      <c r="W559">
        <v>9.0105530000000003E-2</v>
      </c>
      <c r="X559">
        <v>0.99486260000000004</v>
      </c>
      <c r="Y559">
        <v>-2.5066430000000001E-2</v>
      </c>
      <c r="Z559">
        <v>1.5115689999999999E-3</v>
      </c>
      <c r="AA559">
        <v>0.99968459999999904</v>
      </c>
      <c r="AB559">
        <v>71</v>
      </c>
      <c r="AC559">
        <v>24.714299999999898</v>
      </c>
      <c r="AD559">
        <v>-1.0557259220893001</v>
      </c>
      <c r="AE559">
        <v>5.0700000000006101E-2</v>
      </c>
      <c r="AF559">
        <v>-0.62817021840788001</v>
      </c>
      <c r="AG559">
        <v>-1.0557259220893001</v>
      </c>
      <c r="AH559">
        <v>24.661337540230502</v>
      </c>
      <c r="AI559">
        <v>92.450481525477898</v>
      </c>
      <c r="AJ559">
        <v>91.459114751933498</v>
      </c>
      <c r="AK559">
        <v>24.691916173497901</v>
      </c>
    </row>
    <row r="560" spans="1:37" x14ac:dyDescent="0.2">
      <c r="A560" t="str">
        <f>"20200111154037904"</f>
        <v>20200111154037904</v>
      </c>
      <c r="B560" t="str">
        <f>"1578728437897111"</f>
        <v>1578728437897111</v>
      </c>
      <c r="C560" t="s">
        <v>37</v>
      </c>
      <c r="D560">
        <v>6.2652859999999997</v>
      </c>
      <c r="E560">
        <v>0.5058165</v>
      </c>
      <c r="F560" t="s">
        <v>39</v>
      </c>
      <c r="G560">
        <v>-267.88810000000001</v>
      </c>
      <c r="H560" s="1">
        <v>-1.076471E-6</v>
      </c>
      <c r="I560">
        <v>368.55549999999999</v>
      </c>
      <c r="J560">
        <v>-292.57650000000001</v>
      </c>
      <c r="K560">
        <v>1.0558339999999999</v>
      </c>
      <c r="L560">
        <v>368.51209999999998</v>
      </c>
      <c r="M560">
        <v>0.99968699999999999</v>
      </c>
      <c r="N560">
        <v>0</v>
      </c>
      <c r="O560">
        <v>-2.3696689999999999E-2</v>
      </c>
      <c r="P560">
        <v>0.99634539999999905</v>
      </c>
      <c r="Q560">
        <v>8.22238E-2</v>
      </c>
      <c r="R560">
        <v>2.313695E-2</v>
      </c>
      <c r="S560">
        <v>3.021271</v>
      </c>
      <c r="T560">
        <v>-0.12724009999999999</v>
      </c>
      <c r="U560">
        <v>4.2419429999999998E-3</v>
      </c>
      <c r="V560">
        <v>-4.6215260000000001E-2</v>
      </c>
      <c r="W560">
        <v>9.0487819999999997E-2</v>
      </c>
      <c r="X560">
        <v>0.99482459999999995</v>
      </c>
      <c r="Y560">
        <v>-2.5057840000000001E-2</v>
      </c>
      <c r="Z560">
        <v>1.524922E-3</v>
      </c>
      <c r="AA560">
        <v>0.99968480000000004</v>
      </c>
      <c r="AB560">
        <v>71</v>
      </c>
      <c r="AC560">
        <v>24.688400000000001</v>
      </c>
      <c r="AD560">
        <v>-1.0558350764709901</v>
      </c>
      <c r="AE560">
        <v>4.3400000000019603E-2</v>
      </c>
      <c r="AF560">
        <v>-0.62729270831673101</v>
      </c>
      <c r="AG560">
        <v>-1.0558350764709901</v>
      </c>
      <c r="AH560">
        <v>24.635381230966601</v>
      </c>
      <c r="AI560">
        <v>92.453314113823396</v>
      </c>
      <c r="AJ560">
        <v>91.458611891171302</v>
      </c>
      <c r="AK560">
        <v>24.6659743826526</v>
      </c>
    </row>
    <row r="561" spans="1:37" x14ac:dyDescent="0.2">
      <c r="A561" t="str">
        <f>"20200111154037915"</f>
        <v>20200111154037915</v>
      </c>
      <c r="B561" t="str">
        <f>"1578728437906870"</f>
        <v>1578728437906870</v>
      </c>
      <c r="C561" t="s">
        <v>37</v>
      </c>
      <c r="D561">
        <v>5.3269919999999997</v>
      </c>
      <c r="E561">
        <v>0.5058165</v>
      </c>
      <c r="F561" t="s">
        <v>39</v>
      </c>
      <c r="G561">
        <v>-267.22300000000001</v>
      </c>
      <c r="H561" s="1">
        <v>-1.3642269999999999E-6</v>
      </c>
      <c r="I561">
        <v>368.54199999999997</v>
      </c>
      <c r="J561">
        <v>-292.2165</v>
      </c>
      <c r="K561">
        <v>1.0559369999999999</v>
      </c>
      <c r="L561">
        <v>368.50400000000002</v>
      </c>
      <c r="M561">
        <v>0.99968169999999901</v>
      </c>
      <c r="N561">
        <v>0</v>
      </c>
      <c r="O561">
        <v>-2.391979E-2</v>
      </c>
      <c r="P561">
        <v>0.99633039999999995</v>
      </c>
      <c r="Q561">
        <v>8.2450699999999905E-2</v>
      </c>
      <c r="R561">
        <v>2.2970890000000001E-2</v>
      </c>
      <c r="S561">
        <v>3.0213009999999998</v>
      </c>
      <c r="T561">
        <v>-0.12582019999999999</v>
      </c>
      <c r="U561">
        <v>3.5705569999999998E-3</v>
      </c>
      <c r="V561">
        <v>-4.6295549999999998E-2</v>
      </c>
      <c r="W561">
        <v>9.0684909999999994E-2</v>
      </c>
      <c r="X561">
        <v>0.99480299999999999</v>
      </c>
      <c r="Y561">
        <v>-2.505955E-2</v>
      </c>
      <c r="Z561">
        <v>1.517226E-3</v>
      </c>
      <c r="AA561">
        <v>0.99968480000000004</v>
      </c>
      <c r="AB561">
        <v>71</v>
      </c>
      <c r="AC561">
        <v>24.993499999999901</v>
      </c>
      <c r="AD561">
        <v>-1.0559383642269999</v>
      </c>
      <c r="AE561">
        <v>3.7999999999954001E-2</v>
      </c>
      <c r="AF561">
        <v>-0.63471470886722903</v>
      </c>
      <c r="AG561">
        <v>-1.0559383642269999</v>
      </c>
      <c r="AH561">
        <v>24.9409215604644</v>
      </c>
      <c r="AI561">
        <v>92.423533346965002</v>
      </c>
      <c r="AJ561">
        <v>91.457790010178996</v>
      </c>
      <c r="AK561">
        <v>24.971332300779199</v>
      </c>
    </row>
    <row r="562" spans="1:37" x14ac:dyDescent="0.2">
      <c r="A562" t="str">
        <f>"20200111154037927"</f>
        <v>20200111154037927</v>
      </c>
      <c r="B562" t="str">
        <f>"1578728437916631"</f>
        <v>1578728437916631</v>
      </c>
      <c r="C562" t="s">
        <v>37</v>
      </c>
      <c r="D562">
        <v>5.0712149999999996</v>
      </c>
      <c r="E562">
        <v>0.4829697</v>
      </c>
      <c r="F562" t="s">
        <v>39</v>
      </c>
      <c r="G562">
        <v>-266.7269</v>
      </c>
      <c r="H562" s="1">
        <v>-1.5789349999999999E-6</v>
      </c>
      <c r="I562">
        <v>368.53129999999999</v>
      </c>
      <c r="J562">
        <v>-291.86660000000001</v>
      </c>
      <c r="K562">
        <v>1.0560369999999999</v>
      </c>
      <c r="L562">
        <v>368.49610000000001</v>
      </c>
      <c r="M562">
        <v>0.99967719999999904</v>
      </c>
      <c r="N562">
        <v>0</v>
      </c>
      <c r="O562">
        <v>-2.4117759999999999E-2</v>
      </c>
      <c r="P562">
        <v>0.99630560000000001</v>
      </c>
      <c r="Q562">
        <v>8.2850489999999999E-2</v>
      </c>
      <c r="R562">
        <v>2.2607929999999998E-2</v>
      </c>
      <c r="S562">
        <v>3.0213619999999999</v>
      </c>
      <c r="T562">
        <v>-0.12516359999999899</v>
      </c>
      <c r="U562">
        <v>3.2348629999999902E-3</v>
      </c>
      <c r="V562">
        <v>-4.6151669999999999E-2</v>
      </c>
      <c r="W562">
        <v>9.1055759999999999E-2</v>
      </c>
      <c r="X562">
        <v>0.99477579999999999</v>
      </c>
      <c r="Y562">
        <v>-2.514661E-2</v>
      </c>
      <c r="Z562">
        <v>1.5192820000000001E-3</v>
      </c>
      <c r="AA562">
        <v>0.99968259999999898</v>
      </c>
      <c r="AB562">
        <v>71</v>
      </c>
      <c r="AC562">
        <v>25.139700000000001</v>
      </c>
      <c r="AD562">
        <v>-1.056038578935</v>
      </c>
      <c r="AE562">
        <v>3.51999999999748E-2</v>
      </c>
      <c r="AF562">
        <v>-0.64039234665350697</v>
      </c>
      <c r="AG562">
        <v>-1.056038578935</v>
      </c>
      <c r="AH562">
        <v>25.087269831246701</v>
      </c>
      <c r="AI562">
        <v>92.409635837725006</v>
      </c>
      <c r="AJ562">
        <v>91.4622480852629</v>
      </c>
      <c r="AK562">
        <v>25.117651709975501</v>
      </c>
    </row>
    <row r="563" spans="1:37" x14ac:dyDescent="0.2">
      <c r="A563" t="str">
        <f>"20200111154037939"</f>
        <v>20200111154037939</v>
      </c>
      <c r="B563" t="str">
        <f>"1578728437927367"</f>
        <v>1578728437927367</v>
      </c>
      <c r="C563" t="s">
        <v>37</v>
      </c>
      <c r="D563">
        <v>5.071993</v>
      </c>
      <c r="E563">
        <v>0.47881800000000002</v>
      </c>
      <c r="F563" t="s">
        <v>39</v>
      </c>
      <c r="G563">
        <v>-260.68049999999999</v>
      </c>
      <c r="H563" s="1">
        <v>-4.1869160000000001E-6</v>
      </c>
      <c r="I563">
        <v>370.4194</v>
      </c>
      <c r="J563">
        <v>-291.50880000000001</v>
      </c>
      <c r="K563">
        <v>1.0561419999999999</v>
      </c>
      <c r="L563">
        <v>368.48779999999999</v>
      </c>
      <c r="M563">
        <v>0.99967299999999903</v>
      </c>
      <c r="N563">
        <v>0</v>
      </c>
      <c r="O563">
        <v>-2.429359E-2</v>
      </c>
      <c r="P563">
        <v>0.99631729999999996</v>
      </c>
      <c r="Q563">
        <v>8.2830459999999995E-2</v>
      </c>
      <c r="R563">
        <v>2.2162169999999998E-2</v>
      </c>
      <c r="S563">
        <v>3.0153810000000001</v>
      </c>
      <c r="T563">
        <v>-0.102108399999999</v>
      </c>
      <c r="U563">
        <v>0.1859741</v>
      </c>
      <c r="V563">
        <v>-4.5906629999999997E-2</v>
      </c>
      <c r="W563">
        <v>9.1007809999999995E-2</v>
      </c>
      <c r="X563">
        <v>0.99479150000000005</v>
      </c>
      <c r="Y563">
        <v>-8.5725469999999998E-2</v>
      </c>
      <c r="Z563">
        <v>2.271393E-3</v>
      </c>
      <c r="AA563">
        <v>0.99631619999999999</v>
      </c>
      <c r="AB563">
        <v>71</v>
      </c>
      <c r="AC563">
        <v>30.828299999999999</v>
      </c>
      <c r="AD563">
        <v>-1.05614618691599</v>
      </c>
      <c r="AE563">
        <v>1.9316</v>
      </c>
      <c r="AF563">
        <v>-2.6768543469339598</v>
      </c>
      <c r="AG563">
        <v>-1.05614618691599</v>
      </c>
      <c r="AH563">
        <v>30.736340491178101</v>
      </c>
      <c r="AI563">
        <v>91.960578108183199</v>
      </c>
      <c r="AJ563">
        <v>94.977379928719103</v>
      </c>
      <c r="AK563">
        <v>30.870756724649201</v>
      </c>
    </row>
    <row r="564" spans="1:37" x14ac:dyDescent="0.2">
      <c r="A564" t="str">
        <f>"20200111154037949"</f>
        <v>20200111154037949</v>
      </c>
      <c r="B564" t="str">
        <f>"1578728437946886"</f>
        <v>1578728437946886</v>
      </c>
      <c r="C564" t="s">
        <v>37</v>
      </c>
      <c r="D564">
        <v>5.0658159999999999</v>
      </c>
      <c r="E564">
        <v>0.47220669999999998</v>
      </c>
      <c r="F564" t="s">
        <v>39</v>
      </c>
      <c r="G564">
        <v>-260.56380000000001</v>
      </c>
      <c r="H564" s="1">
        <v>-4.2804510000000001E-6</v>
      </c>
      <c r="I564">
        <v>370.72269999999997</v>
      </c>
      <c r="J564">
        <v>-291.17939999999999</v>
      </c>
      <c r="K564">
        <v>1.056233</v>
      </c>
      <c r="L564">
        <v>368.48020000000002</v>
      </c>
      <c r="M564">
        <v>0.99966959999999905</v>
      </c>
      <c r="N564">
        <v>0</v>
      </c>
      <c r="O564">
        <v>-2.443559E-2</v>
      </c>
      <c r="P564">
        <v>0.99631990000000004</v>
      </c>
      <c r="Q564">
        <v>8.2986210000000005E-2</v>
      </c>
      <c r="R564">
        <v>2.14518E-2</v>
      </c>
      <c r="S564">
        <v>3.0148009999999998</v>
      </c>
      <c r="T564">
        <v>-0.10289429999999999</v>
      </c>
      <c r="U564">
        <v>0.21774289999999999</v>
      </c>
      <c r="V564">
        <v>-4.5359150000000001E-2</v>
      </c>
      <c r="W564">
        <v>9.1138860000000002E-2</v>
      </c>
      <c r="X564">
        <v>0.99480460000000004</v>
      </c>
      <c r="Y564">
        <v>-9.6318379999999995E-2</v>
      </c>
      <c r="Z564">
        <v>2.4738469999999999E-3</v>
      </c>
      <c r="AA564">
        <v>0.99534750000000005</v>
      </c>
      <c r="AB564">
        <v>71</v>
      </c>
      <c r="AC564">
        <v>30.615599999999901</v>
      </c>
      <c r="AD564">
        <v>-1.0562372804510001</v>
      </c>
      <c r="AE564">
        <v>2.24249999999995</v>
      </c>
      <c r="AF564">
        <v>-2.9864287771530602</v>
      </c>
      <c r="AG564">
        <v>-1.0562372804510001</v>
      </c>
      <c r="AH564">
        <v>30.5155320211543</v>
      </c>
      <c r="AI564">
        <v>91.972975052895507</v>
      </c>
      <c r="AJ564">
        <v>95.589501167644599</v>
      </c>
      <c r="AK564">
        <v>30.679506002667502</v>
      </c>
    </row>
    <row r="565" spans="1:37" x14ac:dyDescent="0.2">
      <c r="A565" t="str">
        <f>"20200111154037960"</f>
        <v>20200111154037960</v>
      </c>
      <c r="B565" t="str">
        <f>"1578728437956645"</f>
        <v>1578728437956645</v>
      </c>
      <c r="C565" t="s">
        <v>37</v>
      </c>
      <c r="D565">
        <v>5.0865859999999996</v>
      </c>
      <c r="E565">
        <v>0.47075349999999999</v>
      </c>
      <c r="F565" t="s">
        <v>39</v>
      </c>
      <c r="G565">
        <v>-263.53910000000002</v>
      </c>
      <c r="H565" s="1">
        <v>-3.1059959999999999E-6</v>
      </c>
      <c r="I565">
        <v>370.9391</v>
      </c>
      <c r="J565">
        <v>-290.80689999999998</v>
      </c>
      <c r="K565">
        <v>1.056332</v>
      </c>
      <c r="L565">
        <v>368.47140000000002</v>
      </c>
      <c r="M565">
        <v>0.99966619999999995</v>
      </c>
      <c r="N565">
        <v>0</v>
      </c>
      <c r="O565">
        <v>-2.458163E-2</v>
      </c>
      <c r="P565">
        <v>0.99633090000000002</v>
      </c>
      <c r="Q565">
        <v>8.3017510000000003E-2</v>
      </c>
      <c r="R565">
        <v>2.0808429999999999E-2</v>
      </c>
      <c r="S565">
        <v>3.014923</v>
      </c>
      <c r="T565">
        <v>-0.115210799999999</v>
      </c>
      <c r="U565">
        <v>0.26821899999999999</v>
      </c>
      <c r="V565">
        <v>-4.4886189999999999E-2</v>
      </c>
      <c r="W565">
        <v>9.1144089999999997E-2</v>
      </c>
      <c r="X565">
        <v>0.99482559999999998</v>
      </c>
      <c r="Y565">
        <v>-0.11297309999999899</v>
      </c>
      <c r="Z565">
        <v>3.090888E-3</v>
      </c>
      <c r="AA565">
        <v>0.99359319999999896</v>
      </c>
      <c r="AB565">
        <v>71</v>
      </c>
      <c r="AC565">
        <v>27.267799999999902</v>
      </c>
      <c r="AD565">
        <v>-1.056335105996</v>
      </c>
      <c r="AE565">
        <v>2.4676999999999798</v>
      </c>
      <c r="AF565">
        <v>-3.1325994385047302</v>
      </c>
      <c r="AG565">
        <v>-1.056335105996</v>
      </c>
      <c r="AH565">
        <v>27.158471353199701</v>
      </c>
      <c r="AI565">
        <v>92.212753540537307</v>
      </c>
      <c r="AJ565">
        <v>96.579716249239695</v>
      </c>
      <c r="AK565">
        <v>27.3589398431454</v>
      </c>
    </row>
    <row r="566" spans="1:37" x14ac:dyDescent="0.2">
      <c r="A566" t="str">
        <f>"20200111154037973"</f>
        <v>20200111154037973</v>
      </c>
      <c r="B566" t="str">
        <f>"1578728437966406"</f>
        <v>1578728437966406</v>
      </c>
      <c r="C566" t="s">
        <v>37</v>
      </c>
      <c r="D566">
        <v>5.0416910000000001</v>
      </c>
      <c r="E566">
        <v>0.47007079999999901</v>
      </c>
      <c r="F566" t="s">
        <v>39</v>
      </c>
      <c r="G566">
        <v>-264.25790000000001</v>
      </c>
      <c r="H566" s="1">
        <v>-2.7920729999999998E-6</v>
      </c>
      <c r="I566">
        <v>370.91820000000001</v>
      </c>
      <c r="J566">
        <v>-290.41579999999999</v>
      </c>
      <c r="K566">
        <v>1.0564309999999999</v>
      </c>
      <c r="L566">
        <v>368.46210000000002</v>
      </c>
      <c r="M566">
        <v>0.99966299999999997</v>
      </c>
      <c r="N566">
        <v>0</v>
      </c>
      <c r="O566">
        <v>-2.471127E-2</v>
      </c>
      <c r="P566">
        <v>0.99632809999999905</v>
      </c>
      <c r="Q566">
        <v>8.324811E-2</v>
      </c>
      <c r="R566">
        <v>2.0001310000000001E-2</v>
      </c>
      <c r="S566">
        <v>3.0151979999999998</v>
      </c>
      <c r="T566">
        <v>-0.119968899999999</v>
      </c>
      <c r="U566">
        <v>0.277893099999999</v>
      </c>
      <c r="V566">
        <v>-4.4232130000000001E-2</v>
      </c>
      <c r="W566">
        <v>9.1350169999999994E-2</v>
      </c>
      <c r="X566">
        <v>0.99483600000000005</v>
      </c>
      <c r="Y566">
        <v>-0.11624429999999999</v>
      </c>
      <c r="Z566">
        <v>3.2877539999999999E-3</v>
      </c>
      <c r="AA566">
        <v>0.99321519999999996</v>
      </c>
      <c r="AB566">
        <v>71</v>
      </c>
      <c r="AC566">
        <v>26.157899999999898</v>
      </c>
      <c r="AD566">
        <v>-1.05643379207299</v>
      </c>
      <c r="AE566">
        <v>2.45609999999999</v>
      </c>
      <c r="AF566">
        <v>-3.0967583434220098</v>
      </c>
      <c r="AG566">
        <v>-1.05643379207299</v>
      </c>
      <c r="AH566">
        <v>26.047102419502501</v>
      </c>
      <c r="AI566">
        <v>92.306338026307799</v>
      </c>
      <c r="AJ566">
        <v>96.780109477205798</v>
      </c>
      <c r="AK566">
        <v>26.251809633749801</v>
      </c>
    </row>
    <row r="567" spans="1:37" x14ac:dyDescent="0.2">
      <c r="A567" t="str">
        <f>"20200111154037984"</f>
        <v>20200111154037984</v>
      </c>
      <c r="B567" t="str">
        <f>"1578728437977142"</f>
        <v>1578728437977142</v>
      </c>
      <c r="C567" t="s">
        <v>37</v>
      </c>
      <c r="D567">
        <v>5.0559580000000004</v>
      </c>
      <c r="E567">
        <v>0.46965119999999999</v>
      </c>
      <c r="F567" t="s">
        <v>39</v>
      </c>
      <c r="G567">
        <v>-264.00709999999998</v>
      </c>
      <c r="H567" s="1">
        <v>-2.9013059999999998E-6</v>
      </c>
      <c r="I567">
        <v>370.92439999999999</v>
      </c>
      <c r="J567">
        <v>-290.0428</v>
      </c>
      <c r="K567">
        <v>1.056527</v>
      </c>
      <c r="L567">
        <v>368.45319999999998</v>
      </c>
      <c r="M567">
        <v>0.99966029999999995</v>
      </c>
      <c r="N567">
        <v>0</v>
      </c>
      <c r="O567">
        <v>-2.4827109999999999E-2</v>
      </c>
      <c r="P567">
        <v>0.99633989999999995</v>
      </c>
      <c r="Q567">
        <v>8.3422070000000001E-2</v>
      </c>
      <c r="R567">
        <v>1.8648089999999999E-2</v>
      </c>
      <c r="S567">
        <v>3.0155029999999998</v>
      </c>
      <c r="T567">
        <v>-0.1206295</v>
      </c>
      <c r="U567">
        <v>0.28115839999999998</v>
      </c>
      <c r="V567">
        <v>-4.301663E-2</v>
      </c>
      <c r="W567">
        <v>9.1500219999999993E-2</v>
      </c>
      <c r="X567">
        <v>0.99487549999999902</v>
      </c>
      <c r="Y567">
        <v>-0.1174142</v>
      </c>
      <c r="Z567">
        <v>3.3333159999999998E-3</v>
      </c>
      <c r="AA567">
        <v>0.99307749999999995</v>
      </c>
      <c r="AB567">
        <v>71</v>
      </c>
      <c r="AC567">
        <v>26.035699999999999</v>
      </c>
      <c r="AD567">
        <v>-1.0565299013060001</v>
      </c>
      <c r="AE567">
        <v>2.4712000000000098</v>
      </c>
      <c r="AF567">
        <v>-3.1117712204078098</v>
      </c>
      <c r="AG567">
        <v>-1.0565299013060001</v>
      </c>
      <c r="AH567">
        <v>25.924010615244899</v>
      </c>
      <c r="AI567">
        <v>92.317175804153194</v>
      </c>
      <c r="AJ567">
        <v>96.844712392834495</v>
      </c>
      <c r="AK567">
        <v>26.131469570995101</v>
      </c>
    </row>
    <row r="568" spans="1:37" x14ac:dyDescent="0.2">
      <c r="A568" t="str">
        <f>"20200111154037999"</f>
        <v>20200111154037999</v>
      </c>
      <c r="B568" t="str">
        <f>"1578728437996661"</f>
        <v>1578728437996661</v>
      </c>
      <c r="C568" t="s">
        <v>37</v>
      </c>
      <c r="D568">
        <v>5.0426710000000003</v>
      </c>
      <c r="E568">
        <v>0.469141799999999</v>
      </c>
      <c r="F568" t="s">
        <v>39</v>
      </c>
      <c r="G568">
        <v>-264.25229999999999</v>
      </c>
      <c r="H568" s="1">
        <v>-2.777696E-6</v>
      </c>
      <c r="I568">
        <v>370.85520000000002</v>
      </c>
      <c r="J568">
        <v>-289.582999999999</v>
      </c>
      <c r="K568">
        <v>1.056638</v>
      </c>
      <c r="L568">
        <v>368.44199999999898</v>
      </c>
      <c r="M568">
        <v>0.99965729999999997</v>
      </c>
      <c r="N568">
        <v>0</v>
      </c>
      <c r="O568">
        <v>-2.4949309999999999E-2</v>
      </c>
      <c r="P568">
        <v>0.99634829999999996</v>
      </c>
      <c r="Q568">
        <v>8.3896579999999998E-2</v>
      </c>
      <c r="R568">
        <v>1.5868400000000001E-2</v>
      </c>
      <c r="S568">
        <v>3.0161129999999998</v>
      </c>
      <c r="T568">
        <v>-0.12355729999999999</v>
      </c>
      <c r="U568">
        <v>0.28091430000000001</v>
      </c>
      <c r="V568">
        <v>-4.0385259999999999E-2</v>
      </c>
      <c r="W568">
        <v>9.194418E-2</v>
      </c>
      <c r="X568">
        <v>0.99494490000000002</v>
      </c>
      <c r="Y568">
        <v>-0.1174318</v>
      </c>
      <c r="Z568">
        <v>3.4188299999999999E-3</v>
      </c>
      <c r="AA568">
        <v>0.99307509999999999</v>
      </c>
      <c r="AB568">
        <v>71</v>
      </c>
      <c r="AC568">
        <v>25.330699999999901</v>
      </c>
      <c r="AD568">
        <v>-1.0566407776960001</v>
      </c>
      <c r="AE568">
        <v>2.41320000000007</v>
      </c>
      <c r="AF568">
        <v>-3.0392113048976399</v>
      </c>
      <c r="AG568">
        <v>-1.0566407776960001</v>
      </c>
      <c r="AH568">
        <v>25.219117241913001</v>
      </c>
      <c r="AI568">
        <v>92.381983910349405</v>
      </c>
      <c r="AJ568">
        <v>96.871701968263196</v>
      </c>
      <c r="AK568">
        <v>25.4235554073434</v>
      </c>
    </row>
    <row r="569" spans="1:37" x14ac:dyDescent="0.2">
      <c r="A569" t="str">
        <f>"20200111154038012"</f>
        <v>20200111154038012</v>
      </c>
      <c r="B569" t="str">
        <f>"1578728438006422"</f>
        <v>1578728438006422</v>
      </c>
      <c r="C569" t="s">
        <v>37</v>
      </c>
      <c r="D569">
        <v>5.0067899999999996</v>
      </c>
      <c r="E569">
        <v>0.4690299</v>
      </c>
      <c r="F569" t="s">
        <v>39</v>
      </c>
      <c r="G569">
        <v>-264.35789999999997</v>
      </c>
      <c r="H569" s="1">
        <v>-2.7068500000000002E-6</v>
      </c>
      <c r="I569">
        <v>370.75920000000002</v>
      </c>
      <c r="J569">
        <v>-289.1755</v>
      </c>
      <c r="K569">
        <v>1.056732</v>
      </c>
      <c r="L569">
        <v>368.43209999999999</v>
      </c>
      <c r="M569">
        <v>0.99965499999999996</v>
      </c>
      <c r="N569">
        <v>0</v>
      </c>
      <c r="O569">
        <v>-2.5046079999999998E-2</v>
      </c>
      <c r="P569">
        <v>0.99636909999999901</v>
      </c>
      <c r="Q569">
        <v>8.3917679999999995E-2</v>
      </c>
      <c r="R569">
        <v>1.4386309999999999E-2</v>
      </c>
      <c r="S569">
        <v>3.0172119999999998</v>
      </c>
      <c r="T569">
        <v>-0.126386</v>
      </c>
      <c r="U569">
        <v>0.27716059999999998</v>
      </c>
      <c r="V569">
        <v>-3.9023139999999998E-2</v>
      </c>
      <c r="W569">
        <v>9.1945139999999995E-2</v>
      </c>
      <c r="X569">
        <v>0.99499910000000003</v>
      </c>
      <c r="Y569">
        <v>-0.11626489999999901</v>
      </c>
      <c r="Z569">
        <v>3.4756309999999999E-3</v>
      </c>
      <c r="AA569">
        <v>0.99321219999999999</v>
      </c>
      <c r="AB569">
        <v>71</v>
      </c>
      <c r="AC569">
        <v>24.817599999999999</v>
      </c>
      <c r="AD569">
        <v>-1.0567347068499999</v>
      </c>
      <c r="AE569">
        <v>2.3271000000000299</v>
      </c>
      <c r="AF569">
        <v>-2.9426842171311001</v>
      </c>
      <c r="AG569">
        <v>-1.0567347068499999</v>
      </c>
      <c r="AH569">
        <v>24.707122532246299</v>
      </c>
      <c r="AI569">
        <v>92.431906289062994</v>
      </c>
      <c r="AJ569">
        <v>96.792084562350496</v>
      </c>
      <c r="AK569">
        <v>24.904176004554898</v>
      </c>
    </row>
    <row r="570" spans="1:37" x14ac:dyDescent="0.2">
      <c r="A570" t="str">
        <f>"20200111154038024"</f>
        <v>20200111154038024</v>
      </c>
      <c r="B570" t="str">
        <f>"1578728438017158"</f>
        <v>1578728438017158</v>
      </c>
      <c r="C570" t="s">
        <v>37</v>
      </c>
      <c r="D570">
        <v>5.032146</v>
      </c>
      <c r="E570">
        <v>0.46870649999999903</v>
      </c>
      <c r="F570" t="s">
        <v>39</v>
      </c>
      <c r="G570">
        <v>-263.97579999999999</v>
      </c>
      <c r="H570" s="1">
        <v>-2.859918E-6</v>
      </c>
      <c r="I570">
        <v>370.7183</v>
      </c>
      <c r="J570">
        <v>-288.77229999999997</v>
      </c>
      <c r="K570">
        <v>1.0568229999999901</v>
      </c>
      <c r="L570">
        <v>368.42219999999998</v>
      </c>
      <c r="M570">
        <v>0.99965269999999995</v>
      </c>
      <c r="N570">
        <v>0</v>
      </c>
      <c r="O570">
        <v>-2.5135669999999999E-2</v>
      </c>
      <c r="P570">
        <v>0.99638979999999999</v>
      </c>
      <c r="Q570">
        <v>8.3909789999999998E-2</v>
      </c>
      <c r="R570">
        <v>1.290814E-2</v>
      </c>
      <c r="S570">
        <v>3.017639</v>
      </c>
      <c r="T570">
        <v>-0.12654260000000001</v>
      </c>
      <c r="U570">
        <v>0.27377319999999999</v>
      </c>
      <c r="V570">
        <v>-3.7656769999999999E-2</v>
      </c>
      <c r="W570">
        <v>9.1919020000000004E-2</v>
      </c>
      <c r="X570">
        <v>0.9950542</v>
      </c>
      <c r="Y570">
        <v>-0.115235899999999</v>
      </c>
      <c r="Z570">
        <v>3.4618399999999999E-3</v>
      </c>
      <c r="AA570">
        <v>0.99333209999999905</v>
      </c>
      <c r="AB570">
        <v>71</v>
      </c>
      <c r="AC570">
        <v>24.796499999999899</v>
      </c>
      <c r="AD570">
        <v>-1.0568258599179901</v>
      </c>
      <c r="AE570">
        <v>2.29610000000002</v>
      </c>
      <c r="AF570">
        <v>-2.9134235447663102</v>
      </c>
      <c r="AG570">
        <v>-1.0568258599179901</v>
      </c>
      <c r="AH570">
        <v>24.686488389873102</v>
      </c>
      <c r="AI570">
        <v>92.434454885444197</v>
      </c>
      <c r="AJ570">
        <v>96.730738592810198</v>
      </c>
      <c r="AK570">
        <v>24.8802658079195</v>
      </c>
    </row>
    <row r="571" spans="1:37" x14ac:dyDescent="0.2">
      <c r="A571" t="str">
        <f>"20200111154038036"</f>
        <v>20200111154038036</v>
      </c>
      <c r="B571" t="str">
        <f>"1578728438026918"</f>
        <v>1578728438026918</v>
      </c>
      <c r="C571" t="s">
        <v>37</v>
      </c>
      <c r="D571">
        <v>4.997382</v>
      </c>
      <c r="E571">
        <v>0.46832649999999998</v>
      </c>
      <c r="F571" t="s">
        <v>39</v>
      </c>
      <c r="G571">
        <v>-263.94720000000001</v>
      </c>
      <c r="H571" s="1">
        <v>-2.8566439999999998E-6</v>
      </c>
      <c r="I571">
        <v>370.65989999999999</v>
      </c>
      <c r="J571">
        <v>-288.39830000000001</v>
      </c>
      <c r="K571">
        <v>1.056902</v>
      </c>
      <c r="L571">
        <v>368.41289999999998</v>
      </c>
      <c r="M571">
        <v>0.99965090000000001</v>
      </c>
      <c r="N571">
        <v>0</v>
      </c>
      <c r="O571">
        <v>-2.521021E-2</v>
      </c>
      <c r="P571">
        <v>0.99641599999999997</v>
      </c>
      <c r="Q571">
        <v>8.3757150000000002E-2</v>
      </c>
      <c r="R571">
        <v>1.1837139999999999E-2</v>
      </c>
      <c r="S571">
        <v>3.0181580000000001</v>
      </c>
      <c r="T571">
        <v>-0.1284855</v>
      </c>
      <c r="U571">
        <v>0.27206419999999998</v>
      </c>
      <c r="V571">
        <v>-3.6680839999999999E-2</v>
      </c>
      <c r="W571">
        <v>9.1752349999999996E-2</v>
      </c>
      <c r="X571">
        <v>0.99510599999999905</v>
      </c>
      <c r="Y571">
        <v>-0.1147333</v>
      </c>
      <c r="Z571">
        <v>3.5069279999999999E-3</v>
      </c>
      <c r="AA571">
        <v>0.99339009999999905</v>
      </c>
      <c r="AB571">
        <v>71</v>
      </c>
      <c r="AC571">
        <v>24.4511</v>
      </c>
      <c r="AD571">
        <v>-1.056904856644</v>
      </c>
      <c r="AE571">
        <v>2.2470000000000101</v>
      </c>
      <c r="AF571">
        <v>-2.8574282613716302</v>
      </c>
      <c r="AG571">
        <v>-1.056904856644</v>
      </c>
      <c r="AH571">
        <v>24.3415796899348</v>
      </c>
      <c r="AI571">
        <v>92.469271738157502</v>
      </c>
      <c r="AJ571">
        <v>96.695239918760294</v>
      </c>
      <c r="AK571">
        <v>24.531499056240499</v>
      </c>
    </row>
    <row r="572" spans="1:37" x14ac:dyDescent="0.2">
      <c r="A572" t="str">
        <f>"20200111154038047"</f>
        <v>20200111154038047</v>
      </c>
      <c r="B572" t="str">
        <f>"1578728438036681"</f>
        <v>1578728438036681</v>
      </c>
      <c r="C572" t="s">
        <v>37</v>
      </c>
      <c r="D572">
        <v>5.0100639999999999</v>
      </c>
      <c r="E572">
        <v>0.4680803</v>
      </c>
      <c r="F572" t="s">
        <v>39</v>
      </c>
      <c r="G572">
        <v>-263.86689999999999</v>
      </c>
      <c r="H572" s="1">
        <v>-2.8802719999999998E-6</v>
      </c>
      <c r="I572">
        <v>370.61930000000001</v>
      </c>
      <c r="J572">
        <v>-288.04059999999998</v>
      </c>
      <c r="K572">
        <v>1.056978</v>
      </c>
      <c r="L572">
        <v>368.40410000000003</v>
      </c>
      <c r="M572">
        <v>0.99964920000000002</v>
      </c>
      <c r="N572">
        <v>0</v>
      </c>
      <c r="O572">
        <v>-2.52783E-2</v>
      </c>
      <c r="P572">
        <v>0.99643809999999999</v>
      </c>
      <c r="Q572">
        <v>8.3615819999999993E-2</v>
      </c>
      <c r="R572">
        <v>1.0950150000000001E-2</v>
      </c>
      <c r="S572">
        <v>3.0184329999999999</v>
      </c>
      <c r="T572">
        <v>-0.13004540000000001</v>
      </c>
      <c r="U572">
        <v>0.27148440000000001</v>
      </c>
      <c r="V572">
        <v>-3.5880380000000003E-2</v>
      </c>
      <c r="W572">
        <v>9.1599940000000005E-2</v>
      </c>
      <c r="X572">
        <v>0.99514930000000001</v>
      </c>
      <c r="Y572">
        <v>-0.1146006</v>
      </c>
      <c r="Z572">
        <v>3.5492499999999999E-3</v>
      </c>
      <c r="AA572">
        <v>0.99340529999999905</v>
      </c>
      <c r="AB572">
        <v>71</v>
      </c>
      <c r="AC572">
        <v>24.1737</v>
      </c>
      <c r="AD572">
        <v>-1.056980880272</v>
      </c>
      <c r="AE572">
        <v>2.2151999999999799</v>
      </c>
      <c r="AF572">
        <v>-2.8202343339975302</v>
      </c>
      <c r="AG572">
        <v>-1.056980880272</v>
      </c>
      <c r="AH572">
        <v>24.064352935499802</v>
      </c>
      <c r="AI572">
        <v>92.497917697264299</v>
      </c>
      <c r="AJ572">
        <v>96.684317343748404</v>
      </c>
      <c r="AK572">
        <v>24.252092950593301</v>
      </c>
    </row>
    <row r="573" spans="1:37" x14ac:dyDescent="0.2">
      <c r="A573" t="str">
        <f>"20200111154038059"</f>
        <v>20200111154038059</v>
      </c>
      <c r="B573" t="str">
        <f>"1578728438057174"</f>
        <v>1578728438057174</v>
      </c>
      <c r="C573" t="s">
        <v>37</v>
      </c>
      <c r="D573">
        <v>5.0063379999999897</v>
      </c>
      <c r="E573">
        <v>0.46746569999999998</v>
      </c>
      <c r="F573" t="s">
        <v>39</v>
      </c>
      <c r="G573">
        <v>-263.69490000000002</v>
      </c>
      <c r="H573" s="1">
        <v>-2.9452549999999998E-6</v>
      </c>
      <c r="I573">
        <v>370.58620000000002</v>
      </c>
      <c r="J573">
        <v>-287.66789999999997</v>
      </c>
      <c r="K573">
        <v>1.0570539999999999</v>
      </c>
      <c r="L573">
        <v>368.39479999999998</v>
      </c>
      <c r="M573">
        <v>0.99964739999999996</v>
      </c>
      <c r="N573">
        <v>0</v>
      </c>
      <c r="O573">
        <v>-2.5344869999999999E-2</v>
      </c>
      <c r="P573">
        <v>0.99645930000000005</v>
      </c>
      <c r="Q573">
        <v>8.3466109999999996E-2</v>
      </c>
      <c r="R573">
        <v>1.011929E-2</v>
      </c>
      <c r="S573">
        <v>3.0187379999999999</v>
      </c>
      <c r="T573">
        <v>-0.1310596</v>
      </c>
      <c r="U573">
        <v>0.2705688</v>
      </c>
      <c r="V573">
        <v>-3.5133980000000002E-2</v>
      </c>
      <c r="W573">
        <v>9.1439909999999999E-2</v>
      </c>
      <c r="X573">
        <v>0.99519059999999904</v>
      </c>
      <c r="Y573">
        <v>-0.1143571</v>
      </c>
      <c r="Z573">
        <v>3.5742029999999902E-3</v>
      </c>
      <c r="AA573">
        <v>0.99343329999999996</v>
      </c>
      <c r="AB573">
        <v>72</v>
      </c>
      <c r="AC573">
        <v>23.9729999999999</v>
      </c>
      <c r="AD573">
        <v>-1.057056945255</v>
      </c>
      <c r="AE573">
        <v>2.1914000000000402</v>
      </c>
      <c r="AF573">
        <v>-2.7929224877852401</v>
      </c>
      <c r="AG573">
        <v>-1.057056945255</v>
      </c>
      <c r="AH573">
        <v>23.863743522694801</v>
      </c>
      <c r="AI573">
        <v>92.519116725440497</v>
      </c>
      <c r="AJ573">
        <v>96.675314030607296</v>
      </c>
      <c r="AK573">
        <v>24.0498657028526</v>
      </c>
    </row>
    <row r="574" spans="1:37" x14ac:dyDescent="0.2">
      <c r="A574" t="str">
        <f>"20200111154038071"</f>
        <v>20200111154038071</v>
      </c>
      <c r="B574" t="str">
        <f>"1578728438066934"</f>
        <v>1578728438066934</v>
      </c>
      <c r="C574" t="s">
        <v>37</v>
      </c>
      <c r="D574">
        <v>5.024184</v>
      </c>
      <c r="E574">
        <v>0.46716419999999997</v>
      </c>
      <c r="F574" t="s">
        <v>39</v>
      </c>
      <c r="G574">
        <v>-263.59199999999998</v>
      </c>
      <c r="H574" s="1">
        <v>-2.985098E-6</v>
      </c>
      <c r="I574">
        <v>370.57</v>
      </c>
      <c r="J574">
        <v>-287.28149999999999</v>
      </c>
      <c r="K574">
        <v>1.057134</v>
      </c>
      <c r="L574">
        <v>368.38499999999999</v>
      </c>
      <c r="M574">
        <v>0.99964599999999904</v>
      </c>
      <c r="N574">
        <v>0</v>
      </c>
      <c r="O574">
        <v>-2.5406689999999999E-2</v>
      </c>
      <c r="P574">
        <v>0.99646800000000002</v>
      </c>
      <c r="Q574">
        <v>8.3412479999999997E-2</v>
      </c>
      <c r="R574">
        <v>9.7034959999999903E-3</v>
      </c>
      <c r="S574">
        <v>3.0189819999999998</v>
      </c>
      <c r="T574">
        <v>-0.13254869999999999</v>
      </c>
      <c r="U574">
        <v>0.27276609999999901</v>
      </c>
      <c r="V574">
        <v>-3.4797719999999997E-2</v>
      </c>
      <c r="W574">
        <v>9.1378169999999995E-2</v>
      </c>
      <c r="X574">
        <v>0.99520810000000004</v>
      </c>
      <c r="Y574">
        <v>-0.1151248</v>
      </c>
      <c r="Z574">
        <v>3.6338859999999998E-3</v>
      </c>
      <c r="AA574">
        <v>0.99334439999999902</v>
      </c>
      <c r="AB574">
        <v>72</v>
      </c>
      <c r="AC574">
        <v>23.689499999999999</v>
      </c>
      <c r="AD574">
        <v>-1.0571369850979999</v>
      </c>
      <c r="AE574">
        <v>2.1850000000000001</v>
      </c>
      <c r="AF574">
        <v>-2.7806945224642399</v>
      </c>
      <c r="AG574">
        <v>-1.0571369850979999</v>
      </c>
      <c r="AH574">
        <v>23.579777322705201</v>
      </c>
      <c r="AI574">
        <v>92.549344056084493</v>
      </c>
      <c r="AJ574">
        <v>96.7256618585713</v>
      </c>
      <c r="AK574">
        <v>23.766693064473401</v>
      </c>
    </row>
    <row r="575" spans="1:37" x14ac:dyDescent="0.2">
      <c r="A575" t="str">
        <f>"20200111154038084"</f>
        <v>20200111154038084</v>
      </c>
      <c r="B575" t="str">
        <f>"1578728438076694"</f>
        <v>1578728438076694</v>
      </c>
      <c r="C575" t="s">
        <v>37</v>
      </c>
      <c r="D575">
        <v>5.0302259999999999</v>
      </c>
      <c r="E575">
        <v>0.46686509999999998</v>
      </c>
      <c r="F575" t="s">
        <v>39</v>
      </c>
      <c r="G575">
        <v>-263.24220000000003</v>
      </c>
      <c r="H575" s="1">
        <v>-3.1345370000000002E-6</v>
      </c>
      <c r="I575">
        <v>370.56760000000003</v>
      </c>
      <c r="J575">
        <v>-286.86919999999998</v>
      </c>
      <c r="K575">
        <v>1.0572219999999899</v>
      </c>
      <c r="L575">
        <v>368.37470000000002</v>
      </c>
      <c r="M575">
        <v>0.99964449999999905</v>
      </c>
      <c r="N575">
        <v>0</v>
      </c>
      <c r="O575">
        <v>-2.5466470000000001E-2</v>
      </c>
      <c r="P575">
        <v>0.99647719999999995</v>
      </c>
      <c r="Q575">
        <v>8.3312239999999996E-2</v>
      </c>
      <c r="R575">
        <v>9.6169600000000008E-3</v>
      </c>
      <c r="S575">
        <v>3.0190730000000001</v>
      </c>
      <c r="T575">
        <v>-0.132764299999999</v>
      </c>
      <c r="U575">
        <v>0.27410889999999999</v>
      </c>
      <c r="V575">
        <v>-3.4789529999999999E-2</v>
      </c>
      <c r="W575">
        <v>9.1270379999999998E-2</v>
      </c>
      <c r="X575">
        <v>0.9952183</v>
      </c>
      <c r="Y575">
        <v>-0.11561879999999999</v>
      </c>
      <c r="Z575">
        <v>3.653066E-3</v>
      </c>
      <c r="AA575">
        <v>0.99328700000000003</v>
      </c>
      <c r="AB575">
        <v>72</v>
      </c>
      <c r="AC575">
        <v>23.626999999999899</v>
      </c>
      <c r="AD575">
        <v>-1.0572251345369901</v>
      </c>
      <c r="AE575">
        <v>2.1928999999999998</v>
      </c>
      <c r="AF575">
        <v>-2.78836846635097</v>
      </c>
      <c r="AG575">
        <v>-1.0572251345369901</v>
      </c>
      <c r="AH575">
        <v>23.516805261461599</v>
      </c>
      <c r="AI575">
        <v>92.556183216259598</v>
      </c>
      <c r="AJ575">
        <v>96.761943951918099</v>
      </c>
      <c r="AK575">
        <v>23.705122935659801</v>
      </c>
    </row>
    <row r="576" spans="1:37" x14ac:dyDescent="0.2">
      <c r="A576" t="str">
        <f>"20200111154038095"</f>
        <v>20200111154038095</v>
      </c>
      <c r="B576" t="str">
        <f>"1578728438086454"</f>
        <v>1578728438086454</v>
      </c>
      <c r="C576" t="s">
        <v>37</v>
      </c>
      <c r="D576">
        <v>5.0170510000000004</v>
      </c>
      <c r="E576">
        <v>0.46660639999999998</v>
      </c>
      <c r="F576" t="s">
        <v>39</v>
      </c>
      <c r="G576">
        <v>-263.10169999999999</v>
      </c>
      <c r="H576" s="1">
        <v>-3.1894989999999999E-6</v>
      </c>
      <c r="I576">
        <v>370.54759999999999</v>
      </c>
      <c r="J576">
        <v>-286.49040000000002</v>
      </c>
      <c r="K576">
        <v>1.057307</v>
      </c>
      <c r="L576">
        <v>368.36509999999998</v>
      </c>
      <c r="M576">
        <v>0.99964359999999997</v>
      </c>
      <c r="N576">
        <v>0</v>
      </c>
      <c r="O576">
        <v>-2.5497720000000001E-2</v>
      </c>
      <c r="P576">
        <v>0.99645239999999902</v>
      </c>
      <c r="Q576">
        <v>8.3554680000000006E-2</v>
      </c>
      <c r="R576">
        <v>1.006146E-2</v>
      </c>
      <c r="S576">
        <v>3.0191650000000001</v>
      </c>
      <c r="T576">
        <v>-0.13429769999999999</v>
      </c>
      <c r="U576">
        <v>0.27603149999999999</v>
      </c>
      <c r="V576">
        <v>-3.5280400000000003E-2</v>
      </c>
      <c r="W576">
        <v>9.1507350000000001E-2</v>
      </c>
      <c r="X576">
        <v>0.99517919999999904</v>
      </c>
      <c r="Y576">
        <v>-0.1162706</v>
      </c>
      <c r="Z576">
        <v>3.7108499999999999E-3</v>
      </c>
      <c r="AA576">
        <v>0.99321059999999906</v>
      </c>
      <c r="AB576">
        <v>72</v>
      </c>
      <c r="AC576">
        <v>23.3887</v>
      </c>
      <c r="AD576">
        <v>-1.057310189499</v>
      </c>
      <c r="AE576">
        <v>2.1825000000000001</v>
      </c>
      <c r="AF576">
        <v>-2.7725505228415201</v>
      </c>
      <c r="AG576">
        <v>-1.057310189499</v>
      </c>
      <c r="AH576">
        <v>23.278284386840301</v>
      </c>
      <c r="AI576">
        <v>92.582385531508095</v>
      </c>
      <c r="AJ576">
        <v>96.792193145477199</v>
      </c>
      <c r="AK576">
        <v>23.4666458027801</v>
      </c>
    </row>
    <row r="577" spans="1:37" x14ac:dyDescent="0.2">
      <c r="A577" t="str">
        <f>"20200111154038106"</f>
        <v>20200111154038106</v>
      </c>
      <c r="B577" t="str">
        <f>"1578728438097191"</f>
        <v>1578728438097191</v>
      </c>
      <c r="C577" t="s">
        <v>37</v>
      </c>
      <c r="D577">
        <v>5.0116680000000002</v>
      </c>
      <c r="E577">
        <v>0.46636620000000001</v>
      </c>
      <c r="F577" t="s">
        <v>39</v>
      </c>
      <c r="G577">
        <v>-262.76499999999999</v>
      </c>
      <c r="H577" s="1">
        <v>-3.3366439999999999E-6</v>
      </c>
      <c r="I577">
        <v>370.55779999999999</v>
      </c>
      <c r="J577">
        <v>-286.11959999999999</v>
      </c>
      <c r="K577">
        <v>1.057393</v>
      </c>
      <c r="L577">
        <v>368.35579999999999</v>
      </c>
      <c r="M577">
        <v>0.99964319999999895</v>
      </c>
      <c r="N577">
        <v>0</v>
      </c>
      <c r="O577">
        <v>-2.551542E-2</v>
      </c>
      <c r="P577">
        <v>0.99642869999999995</v>
      </c>
      <c r="Q577">
        <v>8.3747360000000007E-2</v>
      </c>
      <c r="R577">
        <v>1.0794929999999999E-2</v>
      </c>
      <c r="S577">
        <v>3.0191349999999999</v>
      </c>
      <c r="T577">
        <v>-0.13454539999999901</v>
      </c>
      <c r="U577">
        <v>0.2790222</v>
      </c>
      <c r="V577">
        <v>-3.6047080000000002E-2</v>
      </c>
      <c r="W577">
        <v>9.1695849999999995E-2</v>
      </c>
      <c r="X577">
        <v>0.99513439999999997</v>
      </c>
      <c r="Y577">
        <v>-0.1172632</v>
      </c>
      <c r="Z577">
        <v>3.7404059999999999E-3</v>
      </c>
      <c r="AA577">
        <v>0.99309380000000003</v>
      </c>
      <c r="AB577">
        <v>72</v>
      </c>
      <c r="AC577">
        <v>23.354600000000001</v>
      </c>
      <c r="AD577">
        <v>-1.057396336644</v>
      </c>
      <c r="AE577">
        <v>2.2019999999999902</v>
      </c>
      <c r="AF577">
        <v>-2.7915321645568101</v>
      </c>
      <c r="AG577">
        <v>-1.057396336644</v>
      </c>
      <c r="AH577">
        <v>23.2435822577979</v>
      </c>
      <c r="AI577">
        <v>92.586143314604001</v>
      </c>
      <c r="AJ577">
        <v>96.848367972817897</v>
      </c>
      <c r="AK577">
        <v>23.434480045725799</v>
      </c>
    </row>
    <row r="578" spans="1:37" x14ac:dyDescent="0.2">
      <c r="A578" t="str">
        <f>"20200111154038124"</f>
        <v>20200111154038124</v>
      </c>
      <c r="B578" t="str">
        <f>"1578728438116710"</f>
        <v>1578728438116710</v>
      </c>
      <c r="C578" t="s">
        <v>37</v>
      </c>
      <c r="D578">
        <v>4.9675089999999997</v>
      </c>
      <c r="E578">
        <v>0.4657907</v>
      </c>
      <c r="F578" t="s">
        <v>39</v>
      </c>
      <c r="G578">
        <v>-262.47980000000001</v>
      </c>
      <c r="H578" s="1">
        <v>-3.4619299999999998E-6</v>
      </c>
      <c r="I578">
        <v>370.56889999999999</v>
      </c>
      <c r="J578">
        <v>-285.59269999999998</v>
      </c>
      <c r="K578">
        <v>1.0575289999999999</v>
      </c>
      <c r="L578">
        <v>368.34249999999997</v>
      </c>
      <c r="M578">
        <v>0.99964339999999996</v>
      </c>
      <c r="N578">
        <v>0</v>
      </c>
      <c r="O578">
        <v>-2.5508550000000001E-2</v>
      </c>
      <c r="P578">
        <v>0.99627579999999905</v>
      </c>
      <c r="Q578">
        <v>8.5138660000000005E-2</v>
      </c>
      <c r="R578">
        <v>1.3650600000000001E-2</v>
      </c>
      <c r="S578">
        <v>3.0190730000000001</v>
      </c>
      <c r="T578">
        <v>-0.13504169999999999</v>
      </c>
      <c r="U578">
        <v>0.28265380000000001</v>
      </c>
      <c r="V578">
        <v>-3.8912740000000001E-2</v>
      </c>
      <c r="W578">
        <v>9.308321E-2</v>
      </c>
      <c r="X578">
        <v>0.994897699999999</v>
      </c>
      <c r="Y578">
        <v>-0.1184402</v>
      </c>
      <c r="Z578">
        <v>3.780009E-3</v>
      </c>
      <c r="AA578">
        <v>0.992954</v>
      </c>
      <c r="AB578">
        <v>72</v>
      </c>
      <c r="AC578">
        <v>23.1128999999999</v>
      </c>
      <c r="AD578">
        <v>-1.0575324619299999</v>
      </c>
      <c r="AE578">
        <v>2.2264000000000101</v>
      </c>
      <c r="AF578">
        <v>-2.80944287964325</v>
      </c>
      <c r="AG578">
        <v>-1.0575324619299999</v>
      </c>
      <c r="AH578">
        <v>23.000874429664901</v>
      </c>
      <c r="AI578">
        <v>92.613093532616901</v>
      </c>
      <c r="AJ578">
        <v>96.963899947302295</v>
      </c>
      <c r="AK578">
        <v>23.195938625785899</v>
      </c>
    </row>
    <row r="579" spans="1:37" x14ac:dyDescent="0.2">
      <c r="A579" t="str">
        <f>"20200111154038135"</f>
        <v>20200111154038135</v>
      </c>
      <c r="B579" t="str">
        <f>"1578728438127446"</f>
        <v>1578728438127446</v>
      </c>
      <c r="C579" t="s">
        <v>37</v>
      </c>
      <c r="D579">
        <v>4.9949120000000002</v>
      </c>
      <c r="E579">
        <v>0.46561130000000001</v>
      </c>
      <c r="F579" t="s">
        <v>39</v>
      </c>
      <c r="G579">
        <v>-261.3519</v>
      </c>
      <c r="H579" s="1">
        <v>-3.9844469999999997E-6</v>
      </c>
      <c r="I579">
        <v>370.71409999999997</v>
      </c>
      <c r="J579">
        <v>-285.21420000000001</v>
      </c>
      <c r="K579">
        <v>1.0576289999999999</v>
      </c>
      <c r="L579">
        <v>368.3329</v>
      </c>
      <c r="M579">
        <v>0.99964430000000004</v>
      </c>
      <c r="N579">
        <v>0</v>
      </c>
      <c r="O579">
        <v>-2.5463909999999999E-2</v>
      </c>
      <c r="P579">
        <v>0.9962548</v>
      </c>
      <c r="Q579">
        <v>8.515375E-2</v>
      </c>
      <c r="R579">
        <v>1.5007299999999901E-2</v>
      </c>
      <c r="S579">
        <v>3.018402</v>
      </c>
      <c r="T579">
        <v>-0.1316811</v>
      </c>
      <c r="U579">
        <v>0.29531859999999999</v>
      </c>
      <c r="V579">
        <v>-4.0242380000000001E-2</v>
      </c>
      <c r="W579">
        <v>9.3100769999999999E-2</v>
      </c>
      <c r="X579">
        <v>0.99484309999999998</v>
      </c>
      <c r="Y579">
        <v>-0.122547</v>
      </c>
      <c r="Z579">
        <v>3.7735099999999999E-3</v>
      </c>
      <c r="AA579">
        <v>0.99245550000000005</v>
      </c>
      <c r="AB579">
        <v>72</v>
      </c>
      <c r="AC579">
        <v>23.862300000000001</v>
      </c>
      <c r="AD579">
        <v>-1.057632984447</v>
      </c>
      <c r="AE579">
        <v>2.38119999999997</v>
      </c>
      <c r="AF579">
        <v>-2.9822735649270502</v>
      </c>
      <c r="AG579">
        <v>-1.057632984447</v>
      </c>
      <c r="AH579">
        <v>23.747733670047001</v>
      </c>
      <c r="AI579">
        <v>92.530201866178899</v>
      </c>
      <c r="AJ579">
        <v>97.157813095014703</v>
      </c>
      <c r="AK579">
        <v>23.957616693013101</v>
      </c>
    </row>
    <row r="580" spans="1:37" x14ac:dyDescent="0.2">
      <c r="A580" t="str">
        <f>"20200111154038146"</f>
        <v>20200111154038146</v>
      </c>
      <c r="B580" t="str">
        <f>"1578728438137206"</f>
        <v>1578728438137206</v>
      </c>
      <c r="C580" t="s">
        <v>37</v>
      </c>
      <c r="D580">
        <v>4.9658040000000003</v>
      </c>
      <c r="E580">
        <v>0.46541179999999899</v>
      </c>
      <c r="F580" t="s">
        <v>39</v>
      </c>
      <c r="G580">
        <v>-261.1497</v>
      </c>
      <c r="H580" s="1">
        <v>-4.076299E-6</v>
      </c>
      <c r="I580">
        <v>370.73329999999999</v>
      </c>
      <c r="J580">
        <v>-284.86360000000002</v>
      </c>
      <c r="K580">
        <v>1.057725</v>
      </c>
      <c r="L580">
        <v>368.32409999999999</v>
      </c>
      <c r="M580">
        <v>0.99964580000000003</v>
      </c>
      <c r="N580">
        <v>0</v>
      </c>
      <c r="O580">
        <v>-2.5409000000000001E-2</v>
      </c>
      <c r="P580">
        <v>0.99624230000000003</v>
      </c>
      <c r="Q580">
        <v>8.5095080000000003E-2</v>
      </c>
      <c r="R580">
        <v>1.6138429999999999E-2</v>
      </c>
      <c r="S580">
        <v>3.0180660000000001</v>
      </c>
      <c r="T580">
        <v>-0.1326436</v>
      </c>
      <c r="U580">
        <v>0.30105589999999999</v>
      </c>
      <c r="V580">
        <v>-4.1335530000000002E-2</v>
      </c>
      <c r="W580">
        <v>9.3046649999999995E-2</v>
      </c>
      <c r="X580">
        <v>0.9948034</v>
      </c>
      <c r="Y580">
        <v>-0.124367699999999</v>
      </c>
      <c r="Z580">
        <v>3.8386219999999999E-3</v>
      </c>
      <c r="AA580">
        <v>0.99222880000000002</v>
      </c>
      <c r="AB580">
        <v>72</v>
      </c>
      <c r="AC580">
        <v>23.713899999999999</v>
      </c>
      <c r="AD580">
        <v>-1.0577290762989999</v>
      </c>
      <c r="AE580">
        <v>2.40919999999999</v>
      </c>
      <c r="AF580">
        <v>-3.0050699824416101</v>
      </c>
      <c r="AG580">
        <v>-1.0577290762989999</v>
      </c>
      <c r="AH580">
        <v>23.598556367128001</v>
      </c>
      <c r="AI580">
        <v>92.5458494796422</v>
      </c>
      <c r="AJ580">
        <v>97.257058816703903</v>
      </c>
      <c r="AK580">
        <v>23.812624782050701</v>
      </c>
    </row>
    <row r="581" spans="1:37" x14ac:dyDescent="0.2">
      <c r="A581" t="str">
        <f>"20200111154038158"</f>
        <v>20200111154038158</v>
      </c>
      <c r="B581" t="str">
        <f>"1578728438146968"</f>
        <v>1578728438146968</v>
      </c>
      <c r="C581" t="s">
        <v>37</v>
      </c>
      <c r="D581">
        <v>4.9923760000000001</v>
      </c>
      <c r="E581">
        <v>0.46515400000000001</v>
      </c>
      <c r="F581" t="s">
        <v>39</v>
      </c>
      <c r="G581">
        <v>-260.78680000000003</v>
      </c>
      <c r="H581" s="1">
        <v>-4.2127390000000004E-6</v>
      </c>
      <c r="I581">
        <v>370.76889999999997</v>
      </c>
      <c r="J581">
        <v>-284.47280000000001</v>
      </c>
      <c r="K581">
        <v>1.0578289999999999</v>
      </c>
      <c r="L581">
        <v>368.31420000000003</v>
      </c>
      <c r="M581">
        <v>0.99964789999999903</v>
      </c>
      <c r="N581">
        <v>0</v>
      </c>
      <c r="O581">
        <v>-2.5317199999999901E-2</v>
      </c>
      <c r="P581">
        <v>0.99622080000000002</v>
      </c>
      <c r="Q581">
        <v>8.5141869999999995E-2</v>
      </c>
      <c r="R581">
        <v>1.7189690000000001E-2</v>
      </c>
      <c r="S581">
        <v>3.0176699999999999</v>
      </c>
      <c r="T581">
        <v>-0.1325703</v>
      </c>
      <c r="U581">
        <v>0.306427</v>
      </c>
      <c r="V581">
        <v>-4.2313429999999999E-2</v>
      </c>
      <c r="W581">
        <v>9.3102660000000004E-2</v>
      </c>
      <c r="X581">
        <v>0.994757</v>
      </c>
      <c r="Y581">
        <v>-0.12603629999999999</v>
      </c>
      <c r="Z581">
        <v>3.8691859999999902E-3</v>
      </c>
      <c r="AA581">
        <v>0.99201810000000001</v>
      </c>
      <c r="AB581">
        <v>72</v>
      </c>
      <c r="AC581">
        <v>23.6859999999999</v>
      </c>
      <c r="AD581">
        <v>-1.057833212739</v>
      </c>
      <c r="AE581">
        <v>2.4546999999999399</v>
      </c>
      <c r="AF581">
        <v>-3.04758122013987</v>
      </c>
      <c r="AG581">
        <v>-1.057833212739</v>
      </c>
      <c r="AH581">
        <v>23.569747175341099</v>
      </c>
      <c r="AI581">
        <v>92.548578156840705</v>
      </c>
      <c r="AJ581">
        <v>97.367498971577007</v>
      </c>
      <c r="AK581">
        <v>23.789488105228799</v>
      </c>
    </row>
    <row r="582" spans="1:37" x14ac:dyDescent="0.2">
      <c r="A582" t="str">
        <f>"20200111154038170"</f>
        <v>20200111154038170</v>
      </c>
      <c r="B582" t="str">
        <f>"1578728438166486"</f>
        <v>1578728438166486</v>
      </c>
      <c r="C582" t="s">
        <v>37</v>
      </c>
      <c r="D582">
        <v>4.9504650000000003</v>
      </c>
      <c r="E582">
        <v>0.46471669999999998</v>
      </c>
      <c r="F582" t="s">
        <v>39</v>
      </c>
      <c r="G582">
        <v>-260.3458</v>
      </c>
      <c r="H582" s="1">
        <v>-4.3701989999999999E-6</v>
      </c>
      <c r="I582">
        <v>370.81049999999999</v>
      </c>
      <c r="J582">
        <v>-284.1105</v>
      </c>
      <c r="K582">
        <v>1.0579259999999999</v>
      </c>
      <c r="L582">
        <v>368.30509999999998</v>
      </c>
      <c r="M582">
        <v>0.99965040000000005</v>
      </c>
      <c r="N582">
        <v>0</v>
      </c>
      <c r="O582">
        <v>-2.5205020000000002E-2</v>
      </c>
      <c r="P582">
        <v>0.99619780000000002</v>
      </c>
      <c r="Q582">
        <v>8.5274269999999999E-2</v>
      </c>
      <c r="R582">
        <v>1.7839130000000002E-2</v>
      </c>
      <c r="S582">
        <v>3.0173030000000001</v>
      </c>
      <c r="T582">
        <v>-0.1322914</v>
      </c>
      <c r="U582">
        <v>0.31219479999999999</v>
      </c>
      <c r="V582">
        <v>-4.2867780000000001E-2</v>
      </c>
      <c r="W582">
        <v>9.3253649999999993E-2</v>
      </c>
      <c r="X582">
        <v>0.99471909999999897</v>
      </c>
      <c r="Y582">
        <v>-0.1278125</v>
      </c>
      <c r="Z582">
        <v>3.8950640000000002E-3</v>
      </c>
      <c r="AA582">
        <v>0.99179069999999903</v>
      </c>
      <c r="AB582">
        <v>72</v>
      </c>
      <c r="AC582">
        <v>23.764700000000001</v>
      </c>
      <c r="AD582">
        <v>-1.0579303701989999</v>
      </c>
      <c r="AE582">
        <v>2.5053999999999998</v>
      </c>
      <c r="AF582">
        <v>-3.09754174885181</v>
      </c>
      <c r="AG582">
        <v>-1.0579303701989999</v>
      </c>
      <c r="AH582">
        <v>23.647650216487101</v>
      </c>
      <c r="AI582">
        <v>92.539878719981104</v>
      </c>
      <c r="AJ582">
        <v>97.462532851950499</v>
      </c>
      <c r="AK582">
        <v>23.873109188276899</v>
      </c>
    </row>
    <row r="583" spans="1:37" x14ac:dyDescent="0.2">
      <c r="A583" t="str">
        <f>"20200111154038182"</f>
        <v>20200111154038182</v>
      </c>
      <c r="B583" t="str">
        <f>"1578728438177222"</f>
        <v>1578728438177222</v>
      </c>
      <c r="C583" t="s">
        <v>37</v>
      </c>
      <c r="D583">
        <v>5.2632519999999996</v>
      </c>
      <c r="E583">
        <v>0.46471669999999998</v>
      </c>
      <c r="F583" t="s">
        <v>39</v>
      </c>
      <c r="G583">
        <v>-259.945999999999</v>
      </c>
      <c r="H583" s="1">
        <v>-3.339506E-7</v>
      </c>
      <c r="I583">
        <v>370.85090000000002</v>
      </c>
      <c r="J583">
        <v>-283.7201</v>
      </c>
      <c r="K583">
        <v>1.05803</v>
      </c>
      <c r="L583">
        <v>368.29539999999997</v>
      </c>
      <c r="M583">
        <v>0.99965369999999998</v>
      </c>
      <c r="N583">
        <v>0</v>
      </c>
      <c r="O583">
        <v>-2.506719E-2</v>
      </c>
      <c r="P583">
        <v>0.99618469999999903</v>
      </c>
      <c r="Q583">
        <v>8.5274550000000005E-2</v>
      </c>
      <c r="R583">
        <v>1.855739E-2</v>
      </c>
      <c r="S583">
        <v>3.017029</v>
      </c>
      <c r="T583">
        <v>-0.1320858</v>
      </c>
      <c r="U583">
        <v>0.31784059999999997</v>
      </c>
      <c r="V583">
        <v>-4.3466730000000002E-2</v>
      </c>
      <c r="W583">
        <v>9.3278810000000004E-2</v>
      </c>
      <c r="X583">
        <v>0.99469079999999999</v>
      </c>
      <c r="Y583">
        <v>-0.12951969999999999</v>
      </c>
      <c r="Z583">
        <v>3.9202309999999997E-3</v>
      </c>
      <c r="AA583">
        <v>0.99156909999999898</v>
      </c>
      <c r="AB583">
        <v>72</v>
      </c>
      <c r="AC583">
        <v>23.774100000000001</v>
      </c>
      <c r="AD583">
        <v>-1.0580303339506001</v>
      </c>
      <c r="AE583">
        <v>2.5555000000000501</v>
      </c>
      <c r="AF583">
        <v>-3.1445091648625501</v>
      </c>
      <c r="AG583">
        <v>-1.0580303339506001</v>
      </c>
      <c r="AH583">
        <v>23.656250230867698</v>
      </c>
      <c r="AI583">
        <v>92.538558916037402</v>
      </c>
      <c r="AJ583">
        <v>97.571660028200199</v>
      </c>
      <c r="AK583">
        <v>23.887769696246099</v>
      </c>
    </row>
    <row r="584" spans="1:37" x14ac:dyDescent="0.2">
      <c r="A584" t="str">
        <f>"20200111154038193"</f>
        <v>20200111154038193</v>
      </c>
      <c r="B584" t="str">
        <f>"1578728438186982"</f>
        <v>1578728438186982</v>
      </c>
      <c r="C584" t="s">
        <v>37</v>
      </c>
      <c r="D584">
        <v>5.254772</v>
      </c>
      <c r="E584">
        <v>0.4656187</v>
      </c>
      <c r="F584" t="s">
        <v>39</v>
      </c>
      <c r="G584">
        <v>-259.55180000000001</v>
      </c>
      <c r="H584" s="1">
        <v>-5.0499309999999999E-7</v>
      </c>
      <c r="I584">
        <v>370.858</v>
      </c>
      <c r="J584">
        <v>-283.35359999999997</v>
      </c>
      <c r="K584">
        <v>1.058135</v>
      </c>
      <c r="L584">
        <v>368.28629999999998</v>
      </c>
      <c r="M584">
        <v>0.99965729999999997</v>
      </c>
      <c r="N584">
        <v>0</v>
      </c>
      <c r="O584">
        <v>-2.4899640000000001E-2</v>
      </c>
      <c r="P584">
        <v>0.99615159999999903</v>
      </c>
      <c r="Q584">
        <v>8.5500629999999994E-2</v>
      </c>
      <c r="R584">
        <v>1.9282839999999999E-2</v>
      </c>
      <c r="S584">
        <v>3.0168459999999899</v>
      </c>
      <c r="T584">
        <v>-0.13206960000000001</v>
      </c>
      <c r="U584">
        <v>0.31988529999999998</v>
      </c>
      <c r="V584">
        <v>-4.4041379999999998E-2</v>
      </c>
      <c r="W584">
        <v>9.3558909999999995E-2</v>
      </c>
      <c r="X584">
        <v>0.99463919999999995</v>
      </c>
      <c r="Y584">
        <v>-0.1300241</v>
      </c>
      <c r="Z584">
        <v>3.9235440000000002E-3</v>
      </c>
      <c r="AA584">
        <v>0.99150309999999897</v>
      </c>
      <c r="AB584">
        <v>72</v>
      </c>
      <c r="AC584">
        <v>23.801799999999901</v>
      </c>
      <c r="AD584">
        <v>-1.0581355049931001</v>
      </c>
      <c r="AE584">
        <v>2.5717000000000199</v>
      </c>
      <c r="AF584">
        <v>-3.1574100795026401</v>
      </c>
      <c r="AG584">
        <v>-1.0581355049931001</v>
      </c>
      <c r="AH584">
        <v>23.684115542369401</v>
      </c>
      <c r="AI584">
        <v>92.535699185068793</v>
      </c>
      <c r="AJ584">
        <v>97.593521481846594</v>
      </c>
      <c r="AK584">
        <v>23.917069598539399</v>
      </c>
    </row>
    <row r="585" spans="1:37" x14ac:dyDescent="0.2">
      <c r="A585" t="str">
        <f>"20200111154038207"</f>
        <v>20200111154038207</v>
      </c>
      <c r="B585" t="str">
        <f>"1578728438196742"</f>
        <v>1578728438196742</v>
      </c>
      <c r="C585" t="s">
        <v>37</v>
      </c>
      <c r="D585">
        <v>5.2676270000000001</v>
      </c>
      <c r="E585">
        <v>0.46734589999999998</v>
      </c>
      <c r="F585" t="s">
        <v>39</v>
      </c>
      <c r="G585">
        <v>-258.41399999999999</v>
      </c>
      <c r="H585" s="1">
        <v>-1.0015089999999899E-6</v>
      </c>
      <c r="I585">
        <v>370.88959999999997</v>
      </c>
      <c r="J585">
        <v>-282.93040000000002</v>
      </c>
      <c r="K585">
        <v>1.0582549999999999</v>
      </c>
      <c r="L585">
        <v>368.2758</v>
      </c>
      <c r="M585">
        <v>0.99966189999999999</v>
      </c>
      <c r="N585">
        <v>0</v>
      </c>
      <c r="O585">
        <v>-2.4690879999999998E-2</v>
      </c>
      <c r="P585">
        <v>0.99607400000000001</v>
      </c>
      <c r="Q585">
        <v>8.6223880000000003E-2</v>
      </c>
      <c r="R585">
        <v>2.0062400000000001E-2</v>
      </c>
      <c r="S585">
        <v>3.0164490000000002</v>
      </c>
      <c r="T585">
        <v>-0.1279814</v>
      </c>
      <c r="U585">
        <v>0.3148804</v>
      </c>
      <c r="V585">
        <v>-4.463081E-2</v>
      </c>
      <c r="W585">
        <v>9.4364519999999993E-2</v>
      </c>
      <c r="X585">
        <v>0.9945368</v>
      </c>
      <c r="Y585">
        <v>-0.1282141</v>
      </c>
      <c r="Z585">
        <v>3.7559099999999999E-3</v>
      </c>
      <c r="AA585">
        <v>0.99173940000000005</v>
      </c>
      <c r="AB585">
        <v>72</v>
      </c>
      <c r="AC585">
        <v>24.516400000000001</v>
      </c>
      <c r="AD585">
        <v>-1.0582560015089999</v>
      </c>
      <c r="AE585">
        <v>2.6137999999999599</v>
      </c>
      <c r="AF585">
        <v>-3.2124364304553499</v>
      </c>
      <c r="AG585">
        <v>-1.0582560015089999</v>
      </c>
      <c r="AH585">
        <v>24.399435126171198</v>
      </c>
      <c r="AI585">
        <v>92.462261986201696</v>
      </c>
      <c r="AJ585">
        <v>97.500438232654901</v>
      </c>
      <c r="AK585">
        <v>24.6327442251302</v>
      </c>
    </row>
    <row r="586" spans="1:37" x14ac:dyDescent="0.2">
      <c r="A586" t="str">
        <f>"20200111154038219"</f>
        <v>20200111154038219</v>
      </c>
      <c r="B586" t="str">
        <f>"1578728438206502"</f>
        <v>1578728438206502</v>
      </c>
      <c r="C586" t="s">
        <v>37</v>
      </c>
      <c r="D586">
        <v>5.3573500000000003</v>
      </c>
      <c r="E586">
        <v>0.46734589999999998</v>
      </c>
      <c r="F586" t="s">
        <v>39</v>
      </c>
      <c r="G586">
        <v>-257.32589999999999</v>
      </c>
      <c r="H586" s="1">
        <v>-1.4578099999999999E-6</v>
      </c>
      <c r="I586">
        <v>370.8501</v>
      </c>
      <c r="J586">
        <v>-282.52820000000003</v>
      </c>
      <c r="K586">
        <v>1.0583830000000001</v>
      </c>
      <c r="L586">
        <v>368.265999999999</v>
      </c>
      <c r="M586">
        <v>0.99966630000000001</v>
      </c>
      <c r="N586">
        <v>0</v>
      </c>
      <c r="O586">
        <v>-2.4462680000000001E-2</v>
      </c>
      <c r="P586">
        <v>0.99597809999999898</v>
      </c>
      <c r="Q586">
        <v>8.7192699999999998E-2</v>
      </c>
      <c r="R586">
        <v>2.0624779999999999E-2</v>
      </c>
      <c r="S586">
        <v>3.0165099999999998</v>
      </c>
      <c r="T586">
        <v>-0.12467439999999901</v>
      </c>
      <c r="U586">
        <v>0.30328369999999999</v>
      </c>
      <c r="V586">
        <v>-4.4982250000000001E-2</v>
      </c>
      <c r="W586">
        <v>9.5457730000000005E-2</v>
      </c>
      <c r="X586">
        <v>0.99441659999999898</v>
      </c>
      <c r="Y586">
        <v>-0.124222</v>
      </c>
      <c r="Z586">
        <v>3.5679100000000001E-3</v>
      </c>
      <c r="AA586">
        <v>0.99224809999999997</v>
      </c>
      <c r="AB586">
        <v>72</v>
      </c>
      <c r="AC586">
        <v>25.202300000000001</v>
      </c>
      <c r="AD586">
        <v>-1.0583844578099999</v>
      </c>
      <c r="AE586">
        <v>2.58410000000003</v>
      </c>
      <c r="AF586">
        <v>-3.1942887479214201</v>
      </c>
      <c r="AG586">
        <v>-1.0583844578099999</v>
      </c>
      <c r="AH586">
        <v>25.0877562491834</v>
      </c>
      <c r="AI586">
        <v>92.396397482869403</v>
      </c>
      <c r="AJ586">
        <v>97.256119797822606</v>
      </c>
      <c r="AK586">
        <v>25.312431172925098</v>
      </c>
    </row>
    <row r="587" spans="1:37" x14ac:dyDescent="0.2">
      <c r="A587" t="str">
        <f>"20200111154038235"</f>
        <v>20200111154038235</v>
      </c>
      <c r="B587" t="str">
        <f>"1578728438227001"</f>
        <v>1578728438227001</v>
      </c>
      <c r="C587" t="s">
        <v>37</v>
      </c>
      <c r="D587">
        <v>5.2805589999999896</v>
      </c>
      <c r="E587">
        <v>0.56340459999999903</v>
      </c>
      <c r="F587" t="s">
        <v>39</v>
      </c>
      <c r="G587">
        <v>-256.31259999999997</v>
      </c>
      <c r="H587" s="1">
        <v>-1.9106529999999999E-6</v>
      </c>
      <c r="I587">
        <v>370.91849999999999</v>
      </c>
      <c r="J587">
        <v>-282.01060000000001</v>
      </c>
      <c r="K587">
        <v>1.0585690000000001</v>
      </c>
      <c r="L587">
        <v>368.2534</v>
      </c>
      <c r="M587">
        <v>0.99967209999999995</v>
      </c>
      <c r="N587">
        <v>0</v>
      </c>
      <c r="O587">
        <v>-2.413508E-2</v>
      </c>
      <c r="P587">
        <v>0.99583690000000002</v>
      </c>
      <c r="Q587">
        <v>8.8863579999999998E-2</v>
      </c>
      <c r="R587">
        <v>2.029771E-2</v>
      </c>
      <c r="S587">
        <v>3.0164490000000002</v>
      </c>
      <c r="T587">
        <v>-0.1217806</v>
      </c>
      <c r="U587">
        <v>0.30520629999999999</v>
      </c>
      <c r="V587">
        <v>-4.4349510000000002E-2</v>
      </c>
      <c r="W587">
        <v>9.7364740000000005E-2</v>
      </c>
      <c r="X587">
        <v>0.99426009999999998</v>
      </c>
      <c r="Y587">
        <v>-0.1245308</v>
      </c>
      <c r="Z587">
        <v>3.4781479999999999E-3</v>
      </c>
      <c r="AA587">
        <v>0.99220969999999997</v>
      </c>
      <c r="AB587">
        <v>72</v>
      </c>
      <c r="AC587">
        <v>25.698</v>
      </c>
      <c r="AD587">
        <v>-1.0585709106529999</v>
      </c>
      <c r="AE587">
        <v>2.66509999999999</v>
      </c>
      <c r="AF587">
        <v>-3.2790647553330801</v>
      </c>
      <c r="AG587">
        <v>-1.0585709106529999</v>
      </c>
      <c r="AH587">
        <v>25.5832402676042</v>
      </c>
      <c r="AI587">
        <v>92.350201106309896</v>
      </c>
      <c r="AJ587">
        <v>97.303913450038905</v>
      </c>
      <c r="AK587">
        <v>25.814240655740999</v>
      </c>
    </row>
    <row r="588" spans="1:37" x14ac:dyDescent="0.2">
      <c r="A588" t="str">
        <f>"20200111154038247"</f>
        <v>20200111154038247</v>
      </c>
      <c r="B588" t="str">
        <f>"1578728438236759"</f>
        <v>1578728438236759</v>
      </c>
      <c r="C588" t="s">
        <v>37</v>
      </c>
      <c r="D588">
        <v>5.2081289999999996</v>
      </c>
      <c r="E588">
        <v>0.5652722</v>
      </c>
      <c r="F588" t="s">
        <v>39</v>
      </c>
      <c r="G588">
        <v>-254.76060000000001</v>
      </c>
      <c r="H588" s="1">
        <v>-3.2371429999999899E-6</v>
      </c>
      <c r="I588">
        <v>364.09870000000001</v>
      </c>
      <c r="J588">
        <v>-281.61849999999998</v>
      </c>
      <c r="K588">
        <v>1.058705</v>
      </c>
      <c r="L588">
        <v>368.2439</v>
      </c>
      <c r="M588">
        <v>0.99967629999999996</v>
      </c>
      <c r="N588">
        <v>0</v>
      </c>
      <c r="O588">
        <v>-2.3869330000000001E-2</v>
      </c>
      <c r="P588">
        <v>0.99580499999999905</v>
      </c>
      <c r="Q588">
        <v>8.9336520000000003E-2</v>
      </c>
      <c r="R588">
        <v>1.9782299999999999E-2</v>
      </c>
      <c r="S588">
        <v>3.0324709999999899</v>
      </c>
      <c r="T588">
        <v>-0.11780119999999999</v>
      </c>
      <c r="U588">
        <v>-0.46234129999999901</v>
      </c>
      <c r="V588">
        <v>-4.3586979999999997E-2</v>
      </c>
      <c r="W588">
        <v>9.8064230000000002E-2</v>
      </c>
      <c r="X588">
        <v>0.99422509999999997</v>
      </c>
      <c r="Y588">
        <v>0.12700539999999999</v>
      </c>
      <c r="Z588">
        <v>-1.5306569999999999E-3</v>
      </c>
      <c r="AA588">
        <v>0.99190089999999997</v>
      </c>
      <c r="AB588">
        <v>72</v>
      </c>
      <c r="AC588">
        <v>26.857899999999901</v>
      </c>
      <c r="AD588">
        <v>-1.0587082371430001</v>
      </c>
      <c r="AE588">
        <v>-4.1451999999999796</v>
      </c>
      <c r="AF588">
        <v>3.4976056475764001</v>
      </c>
      <c r="AG588">
        <v>-1.0587082371430001</v>
      </c>
      <c r="AH588">
        <v>26.908355523919301</v>
      </c>
      <c r="AI588">
        <v>92.234361317606201</v>
      </c>
      <c r="AJ588">
        <v>82.594094143432798</v>
      </c>
      <c r="AK588">
        <v>27.155362369134199</v>
      </c>
    </row>
    <row r="589" spans="1:37" x14ac:dyDescent="0.2">
      <c r="A589" t="str">
        <f>"20200111154038259"</f>
        <v>20200111154038259</v>
      </c>
      <c r="B589" t="str">
        <f>"1578728438246518"</f>
        <v>1578728438246518</v>
      </c>
      <c r="C589" t="s">
        <v>37</v>
      </c>
      <c r="D589">
        <v>5.1975249999999997</v>
      </c>
      <c r="E589">
        <v>0.56547499999999995</v>
      </c>
      <c r="F589" t="s">
        <v>39</v>
      </c>
      <c r="G589">
        <v>-255.77889999999999</v>
      </c>
      <c r="H589" s="1">
        <v>-2.8742299999999999E-6</v>
      </c>
      <c r="I589">
        <v>364.16039999999998</v>
      </c>
      <c r="J589">
        <v>-281.22129999999999</v>
      </c>
      <c r="K589">
        <v>1.0588469999999901</v>
      </c>
      <c r="L589">
        <v>368.23439999999999</v>
      </c>
      <c r="M589">
        <v>0.99968060000000003</v>
      </c>
      <c r="N589">
        <v>0</v>
      </c>
      <c r="O589">
        <v>-2.358296E-2</v>
      </c>
      <c r="P589">
        <v>0.99580689999999905</v>
      </c>
      <c r="Q589">
        <v>8.9373129999999995E-2</v>
      </c>
      <c r="R589">
        <v>1.9527019999999999E-2</v>
      </c>
      <c r="S589">
        <v>3.0333559999999999</v>
      </c>
      <c r="T589">
        <v>-0.12428309999999999</v>
      </c>
      <c r="U589">
        <v>-0.47937010000000002</v>
      </c>
      <c r="V589">
        <v>-4.3065069999999997E-2</v>
      </c>
      <c r="W589">
        <v>9.8384059999999995E-2</v>
      </c>
      <c r="X589">
        <v>0.99421630000000005</v>
      </c>
      <c r="Y589">
        <v>0.13266829999999999</v>
      </c>
      <c r="Z589">
        <v>-1.7405610000000001E-3</v>
      </c>
      <c r="AA589">
        <v>0.99115900000000001</v>
      </c>
      <c r="AB589">
        <v>72</v>
      </c>
      <c r="AC589">
        <v>25.4423999999999</v>
      </c>
      <c r="AD589">
        <v>-1.0588498742299901</v>
      </c>
      <c r="AE589">
        <v>-4.0740000000000096</v>
      </c>
      <c r="AF589">
        <v>3.4669802365871898</v>
      </c>
      <c r="AG589">
        <v>-1.0588498742299901</v>
      </c>
      <c r="AH589">
        <v>25.488361714982101</v>
      </c>
      <c r="AI589">
        <v>92.357159884561696</v>
      </c>
      <c r="AJ589">
        <v>82.254046766062302</v>
      </c>
      <c r="AK589">
        <v>25.7448576987873</v>
      </c>
    </row>
    <row r="590" spans="1:37" x14ac:dyDescent="0.2">
      <c r="A590" t="str">
        <f>"20200111154038271"</f>
        <v>20200111154038271</v>
      </c>
      <c r="B590" t="str">
        <f>"1578728438266547"</f>
        <v>1578728438266547</v>
      </c>
      <c r="C590" t="s">
        <v>37</v>
      </c>
      <c r="D590">
        <v>5.1757160000000004</v>
      </c>
      <c r="E590">
        <v>0.564801</v>
      </c>
      <c r="F590" t="s">
        <v>39</v>
      </c>
      <c r="G590">
        <v>-255.7732</v>
      </c>
      <c r="H590" s="1">
        <v>-2.8670269999999999E-6</v>
      </c>
      <c r="I590">
        <v>364.19470000000001</v>
      </c>
      <c r="J590">
        <v>-280.84010000000001</v>
      </c>
      <c r="K590">
        <v>1.059064</v>
      </c>
      <c r="L590">
        <v>368.22539999999998</v>
      </c>
      <c r="M590">
        <v>0.9996794</v>
      </c>
      <c r="N590">
        <v>0</v>
      </c>
      <c r="O590">
        <v>-2.334731E-2</v>
      </c>
      <c r="P590">
        <v>0.99588860000000001</v>
      </c>
      <c r="Q590">
        <v>8.858009E-2</v>
      </c>
      <c r="R590">
        <v>1.8961459999999999E-2</v>
      </c>
      <c r="S590">
        <v>3.033417</v>
      </c>
      <c r="T590">
        <v>-0.12621469999999901</v>
      </c>
      <c r="U590">
        <v>-0.48153689999999999</v>
      </c>
      <c r="V590">
        <v>-4.2277999999999899E-2</v>
      </c>
      <c r="W590">
        <v>9.8291050000000005E-2</v>
      </c>
      <c r="X590">
        <v>0.99425919999999901</v>
      </c>
      <c r="Y590">
        <v>0.1335856</v>
      </c>
      <c r="Z590">
        <v>-1.7961379999999901E-3</v>
      </c>
      <c r="AA590">
        <v>0.99103560000000002</v>
      </c>
      <c r="AB590">
        <v>72</v>
      </c>
      <c r="AC590">
        <v>25.0669</v>
      </c>
      <c r="AD590">
        <v>-1.059066867027</v>
      </c>
      <c r="AE590">
        <v>-4.0306999999999604</v>
      </c>
      <c r="AF590">
        <v>3.4383455472653299</v>
      </c>
      <c r="AG590">
        <v>-1.059066867027</v>
      </c>
      <c r="AH590">
        <v>25.110483750597702</v>
      </c>
      <c r="AI590">
        <v>92.392790383285302</v>
      </c>
      <c r="AJ590">
        <v>82.203052447651203</v>
      </c>
      <c r="AK590">
        <v>25.366912246472999</v>
      </c>
    </row>
    <row r="591" spans="1:37" x14ac:dyDescent="0.2">
      <c r="A591" t="str">
        <f>"20200111154038284"</f>
        <v>20200111154038284</v>
      </c>
      <c r="B591" t="str">
        <f>"1578728438277283"</f>
        <v>1578728438277283</v>
      </c>
      <c r="C591" t="s">
        <v>37</v>
      </c>
      <c r="D591">
        <v>5.214772</v>
      </c>
      <c r="E591">
        <v>0.56395450000000003</v>
      </c>
      <c r="F591" t="s">
        <v>39</v>
      </c>
      <c r="G591">
        <v>-255.75700000000001</v>
      </c>
      <c r="H591" s="1">
        <v>-2.85136399999999E-6</v>
      </c>
      <c r="I591">
        <v>364.27420000000001</v>
      </c>
      <c r="J591">
        <v>-280.45240000000001</v>
      </c>
      <c r="K591">
        <v>1.0593299999999899</v>
      </c>
      <c r="L591">
        <v>368.21629999999999</v>
      </c>
      <c r="M591">
        <v>0.99967539999999999</v>
      </c>
      <c r="N591">
        <v>0</v>
      </c>
      <c r="O591">
        <v>-2.312461E-2</v>
      </c>
      <c r="P591">
        <v>0.99605599999999905</v>
      </c>
      <c r="Q591">
        <v>8.6832809999999996E-2</v>
      </c>
      <c r="R591">
        <v>1.8247349999999999E-2</v>
      </c>
      <c r="S591">
        <v>3.0328979999999999</v>
      </c>
      <c r="T591">
        <v>-0.128056</v>
      </c>
      <c r="U591">
        <v>-0.47775269999999997</v>
      </c>
      <c r="V591">
        <v>-4.1355030000000001E-2</v>
      </c>
      <c r="W591">
        <v>9.7449679999999997E-2</v>
      </c>
      <c r="X591">
        <v>0.99438090000000001</v>
      </c>
      <c r="Y591">
        <v>0.13262379999999999</v>
      </c>
      <c r="Z591">
        <v>-1.811951E-3</v>
      </c>
      <c r="AA591">
        <v>0.99116479999999996</v>
      </c>
      <c r="AB591">
        <v>72</v>
      </c>
      <c r="AC591">
        <v>24.695399999999999</v>
      </c>
      <c r="AD591">
        <v>-1.0593328513639999</v>
      </c>
      <c r="AE591">
        <v>-3.94209999999998</v>
      </c>
      <c r="AF591">
        <v>3.3639055839685699</v>
      </c>
      <c r="AG591">
        <v>-1.0593328513639999</v>
      </c>
      <c r="AH591">
        <v>24.735576139351299</v>
      </c>
      <c r="AI591">
        <v>92.429926865913998</v>
      </c>
      <c r="AJ591">
        <v>82.255591410337203</v>
      </c>
      <c r="AK591">
        <v>24.985731404413201</v>
      </c>
    </row>
    <row r="592" spans="1:37" x14ac:dyDescent="0.2">
      <c r="A592" t="str">
        <f>"20200111154038294"</f>
        <v>20200111154038294</v>
      </c>
      <c r="B592" t="str">
        <f>"1578728438287044"</f>
        <v>1578728438287044</v>
      </c>
      <c r="C592" t="s">
        <v>37</v>
      </c>
      <c r="D592">
        <v>5.2325910000000002</v>
      </c>
      <c r="E592">
        <v>0.56364320000000001</v>
      </c>
      <c r="F592" t="s">
        <v>39</v>
      </c>
      <c r="G592">
        <v>-256.44409999999999</v>
      </c>
      <c r="H592" s="1">
        <v>-2.5661439999999998E-6</v>
      </c>
      <c r="I592">
        <v>364.4674</v>
      </c>
      <c r="J592">
        <v>-280.05579999999998</v>
      </c>
      <c r="K592">
        <v>1.0598110000000001</v>
      </c>
      <c r="L592">
        <v>368.20710000000003</v>
      </c>
      <c r="M592">
        <v>0.99966749999999904</v>
      </c>
      <c r="N592">
        <v>0</v>
      </c>
      <c r="O592">
        <v>-2.2903110000000001E-2</v>
      </c>
      <c r="P592">
        <v>0.99624690000000005</v>
      </c>
      <c r="Q592">
        <v>8.4725239999999993E-2</v>
      </c>
      <c r="R592">
        <v>1.7715020000000001E-2</v>
      </c>
      <c r="S592">
        <v>3.032257</v>
      </c>
      <c r="T592">
        <v>-0.13379369999999999</v>
      </c>
      <c r="U592">
        <v>-0.47348019999999902</v>
      </c>
      <c r="V592">
        <v>-4.0613009999999998E-2</v>
      </c>
      <c r="W592">
        <v>9.6481049999999999E-2</v>
      </c>
      <c r="X592">
        <v>0.99450590000000005</v>
      </c>
      <c r="Y592">
        <v>0.13150429999999999</v>
      </c>
      <c r="Z592">
        <v>-1.878806E-3</v>
      </c>
      <c r="AA592">
        <v>0.99131380000000002</v>
      </c>
      <c r="AB592">
        <v>72</v>
      </c>
      <c r="AC592">
        <v>23.6116999999999</v>
      </c>
      <c r="AD592">
        <v>-1.059813566144</v>
      </c>
      <c r="AE592">
        <v>-3.73970000000002</v>
      </c>
      <c r="AF592">
        <v>3.1916268577193798</v>
      </c>
      <c r="AG592">
        <v>-1.059813566144</v>
      </c>
      <c r="AH592">
        <v>23.6446917218239</v>
      </c>
      <c r="AI592">
        <v>92.543385380795797</v>
      </c>
      <c r="AJ592">
        <v>82.312519690451495</v>
      </c>
      <c r="AK592">
        <v>23.882653399779201</v>
      </c>
    </row>
    <row r="593" spans="1:37" x14ac:dyDescent="0.2">
      <c r="A593" t="str">
        <f>"20200111154038306"</f>
        <v>20200111154038306</v>
      </c>
      <c r="B593" t="str">
        <f>"1578728438296805"</f>
        <v>1578728438296805</v>
      </c>
      <c r="C593" t="s">
        <v>37</v>
      </c>
      <c r="D593">
        <v>5.2048319999999997</v>
      </c>
      <c r="E593">
        <v>0.56329269999999998</v>
      </c>
      <c r="F593" t="s">
        <v>39</v>
      </c>
      <c r="G593">
        <v>-257.42930000000001</v>
      </c>
      <c r="H593" s="1">
        <v>-2.1747530000000001E-6</v>
      </c>
      <c r="I593">
        <v>364.67840000000001</v>
      </c>
      <c r="J593">
        <v>-279.70359999999999</v>
      </c>
      <c r="K593">
        <v>1.060265</v>
      </c>
      <c r="L593">
        <v>368.19889999999998</v>
      </c>
      <c r="M593">
        <v>0.99966200000000005</v>
      </c>
      <c r="N593">
        <v>0</v>
      </c>
      <c r="O593">
        <v>-2.2699540000000001E-2</v>
      </c>
      <c r="P593">
        <v>0.99642039999999998</v>
      </c>
      <c r="Q593">
        <v>8.2745600000000002E-2</v>
      </c>
      <c r="R593">
        <v>1.7314900000000001E-2</v>
      </c>
      <c r="S593">
        <v>3.0317989999999999</v>
      </c>
      <c r="T593">
        <v>-0.1420071</v>
      </c>
      <c r="U593">
        <v>-0.47280879999999997</v>
      </c>
      <c r="V593">
        <v>-4.002232E-2</v>
      </c>
      <c r="W593">
        <v>9.5330999999999999E-2</v>
      </c>
      <c r="X593">
        <v>0.99464079999999999</v>
      </c>
      <c r="Y593">
        <v>0.13150110000000001</v>
      </c>
      <c r="Z593">
        <v>-2.0037319999999998E-3</v>
      </c>
      <c r="AA593">
        <v>0.99131399999999903</v>
      </c>
      <c r="AB593">
        <v>72</v>
      </c>
      <c r="AC593">
        <v>22.274299999999901</v>
      </c>
      <c r="AD593">
        <v>-1.0602671747529999</v>
      </c>
      <c r="AE593">
        <v>-3.52049999999997</v>
      </c>
      <c r="AF593">
        <v>3.0072879001658901</v>
      </c>
      <c r="AG593">
        <v>-1.0602671747529999</v>
      </c>
      <c r="AH593">
        <v>22.2991856474633</v>
      </c>
      <c r="AI593">
        <v>92.697826097265406</v>
      </c>
      <c r="AJ593">
        <v>82.319380438672994</v>
      </c>
      <c r="AK593">
        <v>22.526021120836599</v>
      </c>
    </row>
    <row r="594" spans="1:37" x14ac:dyDescent="0.2">
      <c r="A594" t="str">
        <f>"20200111154038318"</f>
        <v>20200111154038318</v>
      </c>
      <c r="B594" t="str">
        <f>"1578728438306564"</f>
        <v>1578728438306564</v>
      </c>
      <c r="C594" t="s">
        <v>37</v>
      </c>
      <c r="D594">
        <v>5.1917179999999998</v>
      </c>
      <c r="E594">
        <v>0.56309799999999999</v>
      </c>
      <c r="F594" t="s">
        <v>39</v>
      </c>
      <c r="G594">
        <v>-258.47579999999999</v>
      </c>
      <c r="H594" s="1">
        <v>-1.7603299999999899E-6</v>
      </c>
      <c r="I594">
        <v>364.89749999999998</v>
      </c>
      <c r="J594">
        <v>-279.34089999999998</v>
      </c>
      <c r="K594">
        <v>1.0607930000000001</v>
      </c>
      <c r="L594">
        <v>368.19069999999999</v>
      </c>
      <c r="M594">
        <v>0.99966029999999995</v>
      </c>
      <c r="N594">
        <v>0</v>
      </c>
      <c r="O594">
        <v>-2.247652E-2</v>
      </c>
      <c r="P594">
        <v>0.99660139999999997</v>
      </c>
      <c r="Q594">
        <v>8.0697980000000002E-2</v>
      </c>
      <c r="R594">
        <v>1.6539140000000001E-2</v>
      </c>
      <c r="S594">
        <v>3.0315249999999998</v>
      </c>
      <c r="T594">
        <v>-0.15141479999999999</v>
      </c>
      <c r="U594">
        <v>-0.4714661</v>
      </c>
      <c r="V594">
        <v>-3.9042939999999998E-2</v>
      </c>
      <c r="W594">
        <v>9.3794379999999997E-2</v>
      </c>
      <c r="X594">
        <v>0.99482569999999904</v>
      </c>
      <c r="Y594">
        <v>0.13129109999999999</v>
      </c>
      <c r="Z594">
        <v>-2.1424159999999999E-3</v>
      </c>
      <c r="AA594">
        <v>0.99134149999999999</v>
      </c>
      <c r="AB594">
        <v>71</v>
      </c>
      <c r="AC594">
        <v>20.865099999999899</v>
      </c>
      <c r="AD594">
        <v>-1.0607947603300001</v>
      </c>
      <c r="AE594">
        <v>-3.2932000000000099</v>
      </c>
      <c r="AF594">
        <v>2.81624980691792</v>
      </c>
      <c r="AG594">
        <v>-1.0607947603300001</v>
      </c>
      <c r="AH594">
        <v>20.881192863744101</v>
      </c>
      <c r="AI594">
        <v>92.882157821717101</v>
      </c>
      <c r="AJ594">
        <v>82.318858527685194</v>
      </c>
      <c r="AK594">
        <v>21.096937311168801</v>
      </c>
    </row>
    <row r="595" spans="1:37" x14ac:dyDescent="0.2">
      <c r="A595" t="str">
        <f>"20200111154038330"</f>
        <v>20200111154038330</v>
      </c>
      <c r="B595" t="str">
        <f>"1578728438317299"</f>
        <v>1578728438317299</v>
      </c>
      <c r="C595" t="s">
        <v>37</v>
      </c>
      <c r="D595">
        <v>5.2209389999999898</v>
      </c>
      <c r="E595">
        <v>0.56310890000000002</v>
      </c>
      <c r="F595" t="s">
        <v>39</v>
      </c>
      <c r="G595">
        <v>-259.332999999999</v>
      </c>
      <c r="H595" s="1">
        <v>-1.4227869999999901E-6</v>
      </c>
      <c r="I595">
        <v>365.06970000000001</v>
      </c>
      <c r="J595">
        <v>-278.97620000000001</v>
      </c>
      <c r="K595">
        <v>1.0612820000000001</v>
      </c>
      <c r="L595">
        <v>368.1825</v>
      </c>
      <c r="M595">
        <v>0.99966650000000001</v>
      </c>
      <c r="N595">
        <v>0</v>
      </c>
      <c r="O595">
        <v>-2.2235910000000001E-2</v>
      </c>
      <c r="P595">
        <v>0.99673289999999903</v>
      </c>
      <c r="Q595">
        <v>7.9194609999999999E-2</v>
      </c>
      <c r="R595">
        <v>1.5876499999999901E-2</v>
      </c>
      <c r="S595">
        <v>3.0310969999999999</v>
      </c>
      <c r="T595">
        <v>-0.1607046</v>
      </c>
      <c r="U595">
        <v>-0.47280879999999997</v>
      </c>
      <c r="V595">
        <v>-3.8156750000000003E-2</v>
      </c>
      <c r="W595">
        <v>9.2220540000000004E-2</v>
      </c>
      <c r="X595">
        <v>0.99500730000000004</v>
      </c>
      <c r="Y595">
        <v>0.13196169999999999</v>
      </c>
      <c r="Z595">
        <v>-2.304244E-3</v>
      </c>
      <c r="AA595">
        <v>0.99125209999999997</v>
      </c>
      <c r="AB595">
        <v>71</v>
      </c>
      <c r="AC595">
        <v>19.6432</v>
      </c>
      <c r="AD595">
        <v>-1.0612834227869901</v>
      </c>
      <c r="AE595">
        <v>-3.1127999999999898</v>
      </c>
      <c r="AF595">
        <v>2.6676120544575301</v>
      </c>
      <c r="AG595">
        <v>-1.0612834227869901</v>
      </c>
      <c r="AH595">
        <v>19.651605946649202</v>
      </c>
      <c r="AI595">
        <v>93.063211642567893</v>
      </c>
      <c r="AJ595">
        <v>82.269621282080394</v>
      </c>
      <c r="AK595">
        <v>19.860213817050099</v>
      </c>
    </row>
    <row r="596" spans="1:37" x14ac:dyDescent="0.2">
      <c r="A596" t="str">
        <f>"20200111154038341"</f>
        <v>20200111154038341</v>
      </c>
      <c r="B596" t="str">
        <f>"1578728438336820"</f>
        <v>1578728438336820</v>
      </c>
      <c r="C596" t="s">
        <v>37</v>
      </c>
      <c r="D596">
        <v>5.223903</v>
      </c>
      <c r="E596">
        <v>0.56281780000000003</v>
      </c>
      <c r="F596" t="s">
        <v>39</v>
      </c>
      <c r="G596">
        <v>-259.61900000000003</v>
      </c>
      <c r="H596" s="1">
        <v>-1.304563E-6</v>
      </c>
      <c r="I596">
        <v>365.14830000000001</v>
      </c>
      <c r="J596">
        <v>-278.57330000000002</v>
      </c>
      <c r="K596">
        <v>1.0617969999999901</v>
      </c>
      <c r="L596">
        <v>368.17349999999999</v>
      </c>
      <c r="M596">
        <v>0.9996794</v>
      </c>
      <c r="N596">
        <v>0</v>
      </c>
      <c r="O596">
        <v>-2.195751E-2</v>
      </c>
      <c r="P596">
        <v>0.99682469999999901</v>
      </c>
      <c r="Q596">
        <v>7.8183669999999997E-2</v>
      </c>
      <c r="R596">
        <v>1.5088259999999999E-2</v>
      </c>
      <c r="S596">
        <v>3.0306090000000001</v>
      </c>
      <c r="T596">
        <v>-0.16615639999999901</v>
      </c>
      <c r="U596">
        <v>-0.47503659999999998</v>
      </c>
      <c r="V596">
        <v>-3.7107269999999998E-2</v>
      </c>
      <c r="W596">
        <v>9.0682529999999997E-2</v>
      </c>
      <c r="X596">
        <v>0.99518830000000003</v>
      </c>
      <c r="Y596">
        <v>0.1329612</v>
      </c>
      <c r="Z596">
        <v>-2.4249129999999999E-3</v>
      </c>
      <c r="AA596">
        <v>0.99111830000000001</v>
      </c>
      <c r="AB596">
        <v>71</v>
      </c>
      <c r="AC596">
        <v>18.9542999999999</v>
      </c>
      <c r="AD596">
        <v>-1.061798304563</v>
      </c>
      <c r="AE596">
        <v>-3.0251999999999799</v>
      </c>
      <c r="AF596">
        <v>2.6002909034035699</v>
      </c>
      <c r="AG596">
        <v>-1.061798304563</v>
      </c>
      <c r="AH596">
        <v>18.958145679686901</v>
      </c>
      <c r="AI596">
        <v>93.175970749265602</v>
      </c>
      <c r="AJ596">
        <v>82.190068254544201</v>
      </c>
      <c r="AK596">
        <v>19.165078033603901</v>
      </c>
    </row>
    <row r="597" spans="1:37" x14ac:dyDescent="0.2">
      <c r="A597" t="str">
        <f>"20200111154038356"</f>
        <v>20200111154038356</v>
      </c>
      <c r="B597" t="str">
        <f>"1578728438346579"</f>
        <v>1578728438346579</v>
      </c>
      <c r="C597" t="s">
        <v>37</v>
      </c>
      <c r="D597">
        <v>5.2693659999999998</v>
      </c>
      <c r="E597">
        <v>0.56275980000000003</v>
      </c>
      <c r="F597" t="s">
        <v>39</v>
      </c>
      <c r="G597">
        <v>-259.81229999999999</v>
      </c>
      <c r="H597" s="1">
        <v>-1.217155E-6</v>
      </c>
      <c r="I597">
        <v>365.2296</v>
      </c>
      <c r="J597">
        <v>-278.11149999999998</v>
      </c>
      <c r="K597">
        <v>1.0625599999999999</v>
      </c>
      <c r="L597">
        <v>368.1635</v>
      </c>
      <c r="M597">
        <v>0.99969569999999996</v>
      </c>
      <c r="N597">
        <v>0</v>
      </c>
      <c r="O597">
        <v>-2.1597999999999999E-2</v>
      </c>
      <c r="P597">
        <v>0.99708699999999995</v>
      </c>
      <c r="Q597">
        <v>7.5101959999999995E-2</v>
      </c>
      <c r="R597">
        <v>1.332474E-2</v>
      </c>
      <c r="S597">
        <v>3.030243</v>
      </c>
      <c r="T597">
        <v>-0.1714984</v>
      </c>
      <c r="U597">
        <v>-0.47549439999999998</v>
      </c>
      <c r="V597">
        <v>-3.4996289999999999E-2</v>
      </c>
      <c r="W597">
        <v>8.6936570000000005E-2</v>
      </c>
      <c r="X597">
        <v>0.99559900000000001</v>
      </c>
      <c r="Y597">
        <v>0.13347020000000001</v>
      </c>
      <c r="Z597">
        <v>-2.5375289999999902E-3</v>
      </c>
      <c r="AA597">
        <v>0.99104959999999898</v>
      </c>
      <c r="AB597">
        <v>71</v>
      </c>
      <c r="AC597">
        <v>18.2991999999999</v>
      </c>
      <c r="AD597">
        <v>-1.0625612171549901</v>
      </c>
      <c r="AE597">
        <v>-2.9338999999999902</v>
      </c>
      <c r="AF597">
        <v>2.5296459827039199</v>
      </c>
      <c r="AG597">
        <v>-1.0625612171549901</v>
      </c>
      <c r="AH597">
        <v>18.298152741368</v>
      </c>
      <c r="AI597">
        <v>93.292153555100697</v>
      </c>
      <c r="AJ597">
        <v>82.128979532697798</v>
      </c>
      <c r="AK597">
        <v>18.502717067621301</v>
      </c>
    </row>
    <row r="598" spans="1:37" x14ac:dyDescent="0.2">
      <c r="A598" t="str">
        <f>"20200111154038379"</f>
        <v>20200111154038379</v>
      </c>
      <c r="B598" t="str">
        <f>"1578728438366607"</f>
        <v>1578728438366607</v>
      </c>
      <c r="C598" t="s">
        <v>37</v>
      </c>
      <c r="D598">
        <v>5.2700750000000003</v>
      </c>
      <c r="E598">
        <v>0.56245719999999899</v>
      </c>
      <c r="F598" t="s">
        <v>39</v>
      </c>
      <c r="G598">
        <v>-260.25279999999998</v>
      </c>
      <c r="H598" s="1">
        <v>-4.923279E-6</v>
      </c>
      <c r="I598">
        <v>365.3349</v>
      </c>
      <c r="J598">
        <v>-277.3888</v>
      </c>
      <c r="K598">
        <v>1.0643849999999999</v>
      </c>
      <c r="L598">
        <v>368.14800000000002</v>
      </c>
      <c r="M598">
        <v>0.99971399999999999</v>
      </c>
      <c r="N598">
        <v>0</v>
      </c>
      <c r="O598">
        <v>-2.0988059999999999E-2</v>
      </c>
      <c r="P598">
        <v>0.99737609999999999</v>
      </c>
      <c r="Q598">
        <v>7.1308090000000005E-2</v>
      </c>
      <c r="R598">
        <v>1.249141E-2</v>
      </c>
      <c r="S598">
        <v>3.028778</v>
      </c>
      <c r="T598">
        <v>-0.1802069</v>
      </c>
      <c r="U598">
        <v>-0.47970580000000002</v>
      </c>
      <c r="V598">
        <v>-3.356481E-2</v>
      </c>
      <c r="W598">
        <v>8.2670469999999996E-2</v>
      </c>
      <c r="X598">
        <v>0.9960116</v>
      </c>
      <c r="Y598">
        <v>0.13546989999999901</v>
      </c>
      <c r="Z598">
        <v>-2.7622300000000001E-3</v>
      </c>
      <c r="AA598">
        <v>0.99077760000000004</v>
      </c>
      <c r="AB598">
        <v>72</v>
      </c>
      <c r="AC598">
        <v>17.135999999999999</v>
      </c>
      <c r="AD598">
        <v>-1.0643899232789999</v>
      </c>
      <c r="AE598">
        <v>-2.8131000000000199</v>
      </c>
      <c r="AF598">
        <v>2.4436247005776002</v>
      </c>
      <c r="AG598">
        <v>-1.0643899232789999</v>
      </c>
      <c r="AH598">
        <v>17.126925568611998</v>
      </c>
      <c r="AI598">
        <v>93.520633918480797</v>
      </c>
      <c r="AJ598">
        <v>81.879992107290505</v>
      </c>
      <c r="AK598">
        <v>17.333084175034301</v>
      </c>
    </row>
    <row r="599" spans="1:37" x14ac:dyDescent="0.2">
      <c r="A599" t="str">
        <f>"20200111154038392"</f>
        <v>20200111154038392</v>
      </c>
      <c r="B599" t="str">
        <f>"1578728438387104"</f>
        <v>1578728438387104</v>
      </c>
      <c r="C599" t="s">
        <v>37</v>
      </c>
      <c r="D599">
        <v>5.2582490000000002</v>
      </c>
      <c r="E599">
        <v>0.56221339999999997</v>
      </c>
      <c r="F599" t="s">
        <v>39</v>
      </c>
      <c r="G599">
        <v>-260.58240000000001</v>
      </c>
      <c r="H599" s="1">
        <v>-4.7555489999999902E-6</v>
      </c>
      <c r="I599">
        <v>365.48340000000002</v>
      </c>
      <c r="J599">
        <v>-276.98610000000002</v>
      </c>
      <c r="K599">
        <v>1.065836</v>
      </c>
      <c r="L599">
        <v>368.1395</v>
      </c>
      <c r="M599">
        <v>0.99972079999999997</v>
      </c>
      <c r="N599">
        <v>0</v>
      </c>
      <c r="O599">
        <v>-2.0616659999999998E-2</v>
      </c>
      <c r="P599">
        <v>0.99750349999999999</v>
      </c>
      <c r="Q599">
        <v>6.954341E-2</v>
      </c>
      <c r="R599">
        <v>1.2276189999999999E-2</v>
      </c>
      <c r="S599">
        <v>3.0276179999999999</v>
      </c>
      <c r="T599">
        <v>-0.19174579999999999</v>
      </c>
      <c r="U599">
        <v>-0.48001099999999902</v>
      </c>
      <c r="V599">
        <v>-3.2982289999999997E-2</v>
      </c>
      <c r="W599">
        <v>8.1010460000000006E-2</v>
      </c>
      <c r="X599">
        <v>0.99616740000000004</v>
      </c>
      <c r="Y599">
        <v>0.135966</v>
      </c>
      <c r="Z599">
        <v>-2.978779E-3</v>
      </c>
      <c r="AA599">
        <v>0.99070899999999995</v>
      </c>
      <c r="AB599">
        <v>72</v>
      </c>
      <c r="AC599">
        <v>16.403700000000001</v>
      </c>
      <c r="AD599">
        <v>-1.0658407555489999</v>
      </c>
      <c r="AE599">
        <v>-2.6560999999999799</v>
      </c>
      <c r="AF599">
        <v>2.3078289956510099</v>
      </c>
      <c r="AG599">
        <v>-1.0658407555489999</v>
      </c>
      <c r="AH599">
        <v>16.3875586131111</v>
      </c>
      <c r="AI599">
        <v>93.684994709839501</v>
      </c>
      <c r="AJ599">
        <v>81.983859483107807</v>
      </c>
      <c r="AK599">
        <v>16.583551142246598</v>
      </c>
    </row>
    <row r="600" spans="1:37" x14ac:dyDescent="0.2">
      <c r="A600" t="str">
        <f>"20200111154038403"</f>
        <v>20200111154038403</v>
      </c>
      <c r="B600" t="str">
        <f>"1578728438396863"</f>
        <v>1578728438396863</v>
      </c>
      <c r="C600" t="s">
        <v>37</v>
      </c>
      <c r="D600">
        <v>5.2723719999999998</v>
      </c>
      <c r="E600">
        <v>0.56207790000000002</v>
      </c>
      <c r="F600" t="s">
        <v>39</v>
      </c>
      <c r="G600">
        <v>-260.6062</v>
      </c>
      <c r="H600" s="1">
        <v>-4.7335469999999999E-6</v>
      </c>
      <c r="I600">
        <v>365.54989999999998</v>
      </c>
      <c r="J600">
        <v>-276.64030000000002</v>
      </c>
      <c r="K600">
        <v>1.0671790000000001</v>
      </c>
      <c r="L600">
        <v>368.13229999999999</v>
      </c>
      <c r="M600">
        <v>0.99972539999999999</v>
      </c>
      <c r="N600">
        <v>0</v>
      </c>
      <c r="O600">
        <v>-2.0290220000000001E-2</v>
      </c>
      <c r="P600">
        <v>0.99761679999999997</v>
      </c>
      <c r="Q600">
        <v>6.7895590000000006E-2</v>
      </c>
      <c r="R600">
        <v>1.230492E-2</v>
      </c>
      <c r="S600">
        <v>3.027161</v>
      </c>
      <c r="T600">
        <v>-0.1969764</v>
      </c>
      <c r="U600">
        <v>-0.47857669999999902</v>
      </c>
      <c r="V600">
        <v>-3.2688349999999998E-2</v>
      </c>
      <c r="W600">
        <v>7.9533699999999999E-2</v>
      </c>
      <c r="X600">
        <v>0.99629599999999996</v>
      </c>
      <c r="Y600">
        <v>0.13584179999999901</v>
      </c>
      <c r="Z600">
        <v>-3.07749E-3</v>
      </c>
      <c r="AA600">
        <v>0.99072579999999999</v>
      </c>
      <c r="AB600">
        <v>71</v>
      </c>
      <c r="AC600">
        <v>16.034099999999999</v>
      </c>
      <c r="AD600">
        <v>-1.067183733547</v>
      </c>
      <c r="AE600">
        <v>-2.5823999999999998</v>
      </c>
      <c r="AF600">
        <v>2.2468091346095398</v>
      </c>
      <c r="AG600">
        <v>-1.067183733547</v>
      </c>
      <c r="AH600">
        <v>16.014053425597101</v>
      </c>
      <c r="AI600">
        <v>93.775707123724203</v>
      </c>
      <c r="AJ600">
        <v>82.013400624577102</v>
      </c>
      <c r="AK600">
        <v>16.206077240541301</v>
      </c>
    </row>
    <row r="601" spans="1:37" x14ac:dyDescent="0.2">
      <c r="A601" t="str">
        <f>"20200111154038415"</f>
        <v>20200111154038415</v>
      </c>
      <c r="B601" t="str">
        <f>"1578728438406623"</f>
        <v>1578728438406623</v>
      </c>
      <c r="C601" t="s">
        <v>37</v>
      </c>
      <c r="D601">
        <v>5.2945669999999998</v>
      </c>
      <c r="E601">
        <v>0.56214370000000002</v>
      </c>
      <c r="F601" t="s">
        <v>39</v>
      </c>
      <c r="G601">
        <v>-260.61439999999999</v>
      </c>
      <c r="H601" s="1">
        <v>-4.7200599999999997E-6</v>
      </c>
      <c r="I601">
        <v>365.60599999999999</v>
      </c>
      <c r="J601">
        <v>-276.22730000000001</v>
      </c>
      <c r="K601">
        <v>1.069042</v>
      </c>
      <c r="L601">
        <v>368.12389999999999</v>
      </c>
      <c r="M601">
        <v>0.9997315</v>
      </c>
      <c r="N601">
        <v>0</v>
      </c>
      <c r="O601">
        <v>-1.987819E-2</v>
      </c>
      <c r="P601">
        <v>0.99771160000000003</v>
      </c>
      <c r="Q601">
        <v>6.648693E-2</v>
      </c>
      <c r="R601">
        <v>1.2310130000000001E-2</v>
      </c>
      <c r="S601">
        <v>3.026764</v>
      </c>
      <c r="T601">
        <v>-0.20155479999999901</v>
      </c>
      <c r="U601">
        <v>-0.47711179999999997</v>
      </c>
      <c r="V601">
        <v>-3.2286250000000002E-2</v>
      </c>
      <c r="W601">
        <v>7.8313019999999997E-2</v>
      </c>
      <c r="X601">
        <v>0.99640589999999996</v>
      </c>
      <c r="Y601">
        <v>0.1357902</v>
      </c>
      <c r="Z601">
        <v>-3.1749E-3</v>
      </c>
      <c r="AA601">
        <v>0.99073259999999996</v>
      </c>
      <c r="AB601">
        <v>71</v>
      </c>
      <c r="AC601">
        <v>15.6129</v>
      </c>
      <c r="AD601">
        <v>-1.06904672006</v>
      </c>
      <c r="AE601">
        <v>-2.5178999999999898</v>
      </c>
      <c r="AF601">
        <v>2.1969849408437301</v>
      </c>
      <c r="AG601">
        <v>-1.06904672006</v>
      </c>
      <c r="AH601">
        <v>15.5886360675697</v>
      </c>
      <c r="AI601">
        <v>93.884848675800001</v>
      </c>
      <c r="AJ601">
        <v>81.977852767219701</v>
      </c>
      <c r="AK601">
        <v>15.7789473085849</v>
      </c>
    </row>
    <row r="602" spans="1:37" x14ac:dyDescent="0.2">
      <c r="A602" t="str">
        <f>"20200111154038428"</f>
        <v>20200111154038428</v>
      </c>
      <c r="B602" t="str">
        <f>"1578728438417360"</f>
        <v>1578728438417360</v>
      </c>
      <c r="C602" t="s">
        <v>37</v>
      </c>
      <c r="D602">
        <v>5.2795329999999998</v>
      </c>
      <c r="E602">
        <v>0.56213429999999998</v>
      </c>
      <c r="F602" t="s">
        <v>39</v>
      </c>
      <c r="G602">
        <v>-260.4606</v>
      </c>
      <c r="H602" s="1">
        <v>-4.7805339999999999E-6</v>
      </c>
      <c r="I602">
        <v>365.63699999999898</v>
      </c>
      <c r="J602">
        <v>-275.8329</v>
      </c>
      <c r="K602">
        <v>1.07087</v>
      </c>
      <c r="L602">
        <v>368.11599999999999</v>
      </c>
      <c r="M602">
        <v>0.99973789999999996</v>
      </c>
      <c r="N602">
        <v>0</v>
      </c>
      <c r="O602">
        <v>-1.947641E-2</v>
      </c>
      <c r="P602">
        <v>0.99775499999999995</v>
      </c>
      <c r="Q602">
        <v>6.5873680000000004E-2</v>
      </c>
      <c r="R602">
        <v>1.207682E-2</v>
      </c>
      <c r="S602">
        <v>3.0264279999999899</v>
      </c>
      <c r="T602">
        <v>-0.20520349999999901</v>
      </c>
      <c r="U602">
        <v>-0.477356</v>
      </c>
      <c r="V602">
        <v>-3.1656049999999998E-2</v>
      </c>
      <c r="W602">
        <v>7.7813859999999999E-2</v>
      </c>
      <c r="X602">
        <v>0.99646520000000005</v>
      </c>
      <c r="Y602">
        <v>0.136272</v>
      </c>
      <c r="Z602">
        <v>-3.2758140000000002E-3</v>
      </c>
      <c r="AA602">
        <v>0.99066599999999905</v>
      </c>
      <c r="AB602">
        <v>71</v>
      </c>
      <c r="AC602">
        <v>15.3722999999999</v>
      </c>
      <c r="AD602">
        <v>-1.070874780534</v>
      </c>
      <c r="AE602">
        <v>-2.4790000000000401</v>
      </c>
      <c r="AF602">
        <v>2.1688524083869898</v>
      </c>
      <c r="AG602">
        <v>-1.070874780534</v>
      </c>
      <c r="AH602">
        <v>15.345088862244101</v>
      </c>
      <c r="AI602">
        <v>93.952819914892004</v>
      </c>
      <c r="AJ602">
        <v>81.955185233275103</v>
      </c>
      <c r="AK602">
        <v>15.534556503328901</v>
      </c>
    </row>
    <row r="603" spans="1:37" x14ac:dyDescent="0.2">
      <c r="A603" t="str">
        <f>"20200111154038441"</f>
        <v>20200111154038441</v>
      </c>
      <c r="B603" t="str">
        <f>"1578728438427119"</f>
        <v>1578728438427119</v>
      </c>
      <c r="C603" t="s">
        <v>37</v>
      </c>
      <c r="D603">
        <v>5.2636099999999999</v>
      </c>
      <c r="E603">
        <v>0.56211469999999997</v>
      </c>
      <c r="F603" t="s">
        <v>38</v>
      </c>
      <c r="G603">
        <v>-274.64749999999998</v>
      </c>
      <c r="H603">
        <v>0.9901683</v>
      </c>
      <c r="I603">
        <v>367.92869999999999</v>
      </c>
      <c r="J603">
        <v>-275.41489999999999</v>
      </c>
      <c r="K603">
        <v>1.0728770000000001</v>
      </c>
      <c r="L603">
        <v>368.1078</v>
      </c>
      <c r="M603">
        <v>0.99974599999999902</v>
      </c>
      <c r="N603">
        <v>0</v>
      </c>
      <c r="O603">
        <v>-1.9039980000000001E-2</v>
      </c>
      <c r="P603">
        <v>0.99778989999999901</v>
      </c>
      <c r="Q603">
        <v>6.5352779999999999E-2</v>
      </c>
      <c r="R603">
        <v>1.2033830000000001E-2</v>
      </c>
      <c r="S603">
        <v>3.0261230000000001</v>
      </c>
      <c r="T603">
        <v>-0.20622470000000001</v>
      </c>
      <c r="U603">
        <v>-0.47790529999999998</v>
      </c>
      <c r="V603">
        <v>-3.1182080000000001E-2</v>
      </c>
      <c r="W603">
        <v>7.7326119999999998E-2</v>
      </c>
      <c r="X603">
        <v>0.99651809999999996</v>
      </c>
      <c r="Y603">
        <v>0.13689019999999999</v>
      </c>
      <c r="Z603">
        <v>-3.3427750000000001E-3</v>
      </c>
      <c r="AA603">
        <v>0.99058060000000003</v>
      </c>
      <c r="AB603">
        <v>71</v>
      </c>
      <c r="AC603">
        <v>0.76740000000000896</v>
      </c>
      <c r="AD603">
        <v>-8.2708699999999899E-2</v>
      </c>
      <c r="AE603">
        <v>-0.17910000000000501</v>
      </c>
      <c r="AF603">
        <v>0.16266328201972799</v>
      </c>
      <c r="AG603">
        <v>-8.2708699999999899E-2</v>
      </c>
      <c r="AH603">
        <v>0.76227394428906903</v>
      </c>
      <c r="AI603">
        <v>96.057187940444294</v>
      </c>
      <c r="AJ603">
        <v>77.954201200091504</v>
      </c>
      <c r="AK603">
        <v>0.78381224697955199</v>
      </c>
    </row>
    <row r="604" spans="1:37" x14ac:dyDescent="0.2">
      <c r="A604" t="str">
        <f>"20200111154038454"</f>
        <v>20200111154038454</v>
      </c>
      <c r="B604" t="str">
        <f>"1578728438446639"</f>
        <v>1578728438446639</v>
      </c>
      <c r="C604" t="s">
        <v>37</v>
      </c>
      <c r="D604">
        <v>5.2759679999999998</v>
      </c>
      <c r="E604">
        <v>0.56221840000000001</v>
      </c>
      <c r="F604" t="s">
        <v>39</v>
      </c>
      <c r="G604">
        <v>-259.74540000000002</v>
      </c>
      <c r="H604" s="1">
        <v>-1.131872E-6</v>
      </c>
      <c r="I604">
        <v>365.63560000000001</v>
      </c>
      <c r="J604">
        <v>-275.0154</v>
      </c>
      <c r="K604">
        <v>1.074838</v>
      </c>
      <c r="L604">
        <v>368.1</v>
      </c>
      <c r="M604">
        <v>0.99975480000000005</v>
      </c>
      <c r="N604">
        <v>0</v>
      </c>
      <c r="O604">
        <v>-1.861287E-2</v>
      </c>
      <c r="P604">
        <v>0.99782099999999996</v>
      </c>
      <c r="Q604">
        <v>6.4930199999999993E-2</v>
      </c>
      <c r="R604">
        <v>1.1739640000000001E-2</v>
      </c>
      <c r="S604">
        <v>3.0259399999999999</v>
      </c>
      <c r="T604">
        <v>-0.20718200000000001</v>
      </c>
      <c r="U604">
        <v>-0.47738649999999999</v>
      </c>
      <c r="V604">
        <v>-3.0465699999999998E-2</v>
      </c>
      <c r="W604">
        <v>7.6838809999999994E-2</v>
      </c>
      <c r="X604">
        <v>0.99657799999999996</v>
      </c>
      <c r="Y604">
        <v>0.13715289999999999</v>
      </c>
      <c r="Z604">
        <v>-3.3964329999999999E-3</v>
      </c>
      <c r="AA604">
        <v>0.99054409999999904</v>
      </c>
      <c r="AB604">
        <v>71</v>
      </c>
      <c r="AC604">
        <v>15.2699999999999</v>
      </c>
      <c r="AD604">
        <v>-1.0748391318719901</v>
      </c>
      <c r="AE604">
        <v>-2.4644000000000101</v>
      </c>
      <c r="AF604">
        <v>2.16925905873117</v>
      </c>
      <c r="AG604">
        <v>-1.0748391318719901</v>
      </c>
      <c r="AH604">
        <v>15.2396375616967</v>
      </c>
      <c r="AI604">
        <v>93.994214363321106</v>
      </c>
      <c r="AJ604">
        <v>81.898756504617694</v>
      </c>
      <c r="AK604">
        <v>15.4307328742082</v>
      </c>
    </row>
    <row r="605" spans="1:37" x14ac:dyDescent="0.2">
      <c r="A605" t="str">
        <f>"20200111154038468"</f>
        <v>20200111154038468</v>
      </c>
      <c r="B605" t="str">
        <f>"1578728438457376"</f>
        <v>1578728438457376</v>
      </c>
      <c r="C605" t="s">
        <v>37</v>
      </c>
      <c r="D605">
        <v>5.2880830000000003</v>
      </c>
      <c r="E605">
        <v>0.56226529999999997</v>
      </c>
      <c r="F605" t="s">
        <v>38</v>
      </c>
      <c r="G605">
        <v>-273.99959999999999</v>
      </c>
      <c r="H605">
        <v>1.005736</v>
      </c>
      <c r="I605">
        <v>367.9391</v>
      </c>
      <c r="J605">
        <v>-274.5643</v>
      </c>
      <c r="K605">
        <v>1.077045</v>
      </c>
      <c r="L605">
        <v>368.0915</v>
      </c>
      <c r="M605">
        <v>0.99976489999999996</v>
      </c>
      <c r="N605">
        <v>0</v>
      </c>
      <c r="O605">
        <v>-1.812691E-2</v>
      </c>
      <c r="P605">
        <v>0.99787060000000005</v>
      </c>
      <c r="Q605">
        <v>6.4297140000000003E-2</v>
      </c>
      <c r="R605">
        <v>1.0964450000000001E-2</v>
      </c>
      <c r="S605">
        <v>3.025604</v>
      </c>
      <c r="T605">
        <v>-0.2060081</v>
      </c>
      <c r="U605">
        <v>-0.47866819999999999</v>
      </c>
      <c r="V605">
        <v>-2.9209929999999999E-2</v>
      </c>
      <c r="W605">
        <v>7.6104710000000006E-2</v>
      </c>
      <c r="X605">
        <v>0.99667190000000006</v>
      </c>
      <c r="Y605">
        <v>0.1380605</v>
      </c>
      <c r="Z605">
        <v>-3.440987E-3</v>
      </c>
      <c r="AA605">
        <v>0.99041780000000001</v>
      </c>
      <c r="AB605">
        <v>71</v>
      </c>
      <c r="AC605">
        <v>0.56470000000001597</v>
      </c>
      <c r="AD605">
        <v>-7.1308999999999997E-2</v>
      </c>
      <c r="AE605">
        <v>-0.15240000000000001</v>
      </c>
      <c r="AF605">
        <v>0.14005624205755399</v>
      </c>
      <c r="AG605">
        <v>-7.1308999999999997E-2</v>
      </c>
      <c r="AH605">
        <v>0.55906035614420801</v>
      </c>
      <c r="AI605">
        <v>97.053244872121496</v>
      </c>
      <c r="AJ605">
        <v>75.935676147661695</v>
      </c>
      <c r="AK605">
        <v>0.58073161290941699</v>
      </c>
    </row>
    <row r="606" spans="1:37" x14ac:dyDescent="0.2">
      <c r="A606" t="str">
        <f>"20200111154038479"</f>
        <v>20200111154038479</v>
      </c>
      <c r="B606" t="str">
        <f>"1578728438466668"</f>
        <v>1578728438466668</v>
      </c>
      <c r="C606" t="s">
        <v>37</v>
      </c>
      <c r="D606">
        <v>5.2758599999999998</v>
      </c>
      <c r="E606">
        <v>0.5623205</v>
      </c>
      <c r="F606" t="s">
        <v>38</v>
      </c>
      <c r="G606">
        <v>-273.36790000000002</v>
      </c>
      <c r="H606">
        <v>0.99568060000000003</v>
      </c>
      <c r="I606">
        <v>367.9006</v>
      </c>
      <c r="J606">
        <v>-274.19380000000001</v>
      </c>
      <c r="K606">
        <v>1.0788610000000001</v>
      </c>
      <c r="L606">
        <v>368.08449999999999</v>
      </c>
      <c r="M606">
        <v>0.99977349999999998</v>
      </c>
      <c r="N606">
        <v>0</v>
      </c>
      <c r="O606">
        <v>-1.7725399999999999E-2</v>
      </c>
      <c r="P606">
        <v>0.99790249999999903</v>
      </c>
      <c r="Q606">
        <v>6.3858639999999994E-2</v>
      </c>
      <c r="R606">
        <v>1.063072E-2</v>
      </c>
      <c r="S606">
        <v>3.0249630000000001</v>
      </c>
      <c r="T606">
        <v>-0.20605129999999999</v>
      </c>
      <c r="U606">
        <v>-0.48162840000000001</v>
      </c>
      <c r="V606">
        <v>-2.8478750000000001E-2</v>
      </c>
      <c r="W606">
        <v>7.5557940000000004E-2</v>
      </c>
      <c r="X606">
        <v>0.99673459999999903</v>
      </c>
      <c r="Y606">
        <v>0.13943169999999999</v>
      </c>
      <c r="Z606">
        <v>-3.5156549999999999E-3</v>
      </c>
      <c r="AA606">
        <v>0.99022540000000003</v>
      </c>
      <c r="AB606">
        <v>71</v>
      </c>
      <c r="AC606">
        <v>0.82589999999998998</v>
      </c>
      <c r="AD606">
        <v>-8.3180400000000002E-2</v>
      </c>
      <c r="AE606">
        <v>-0.18389999999999401</v>
      </c>
      <c r="AF606">
        <v>0.16761083508307201</v>
      </c>
      <c r="AG606">
        <v>-8.3180400000000002E-2</v>
      </c>
      <c r="AH606">
        <v>0.82109482873657902</v>
      </c>
      <c r="AI606">
        <v>95.668461307246602</v>
      </c>
      <c r="AJ606">
        <v>78.462668845445904</v>
      </c>
      <c r="AK606">
        <v>0.842145527067239</v>
      </c>
    </row>
    <row r="607" spans="1:37" x14ac:dyDescent="0.2">
      <c r="A607" t="str">
        <f>"20200111154038492"</f>
        <v>20200111154038492</v>
      </c>
      <c r="B607" t="str">
        <f>"1578728438487166"</f>
        <v>1578728438487166</v>
      </c>
      <c r="C607" t="s">
        <v>37</v>
      </c>
      <c r="D607">
        <v>5.3792759999999999</v>
      </c>
      <c r="E607">
        <v>0.56233580000000005</v>
      </c>
      <c r="F607" t="s">
        <v>39</v>
      </c>
      <c r="G607">
        <v>-258.31889999999999</v>
      </c>
      <c r="H607" s="1">
        <v>-1.6401959999999899E-6</v>
      </c>
      <c r="I607">
        <v>365.5496</v>
      </c>
      <c r="J607">
        <v>-273.83850000000001</v>
      </c>
      <c r="K607">
        <v>1.0805769999999999</v>
      </c>
      <c r="L607">
        <v>368.07799999999997</v>
      </c>
      <c r="M607">
        <v>0.99978140000000004</v>
      </c>
      <c r="N607">
        <v>0</v>
      </c>
      <c r="O607">
        <v>-1.734113E-2</v>
      </c>
      <c r="P607">
        <v>0.99793580000000004</v>
      </c>
      <c r="Q607">
        <v>6.3412869999999996E-2</v>
      </c>
      <c r="R607">
        <v>1.017498E-2</v>
      </c>
      <c r="S607">
        <v>3.0246279999999999</v>
      </c>
      <c r="T607">
        <v>-0.2055534</v>
      </c>
      <c r="U607">
        <v>-0.48297119999999999</v>
      </c>
      <c r="V607">
        <v>-2.764196E-2</v>
      </c>
      <c r="W607">
        <v>7.5016360000000004E-2</v>
      </c>
      <c r="X607">
        <v>0.99679910000000005</v>
      </c>
      <c r="Y607">
        <v>0.14025660000000001</v>
      </c>
      <c r="Z607">
        <v>-3.5611670000000001E-3</v>
      </c>
      <c r="AA607">
        <v>0.99010880000000001</v>
      </c>
      <c r="AB607">
        <v>71</v>
      </c>
      <c r="AC607">
        <v>15.519600000000001</v>
      </c>
      <c r="AD607">
        <v>-1.080578640196</v>
      </c>
      <c r="AE607">
        <v>-2.5284000000000302</v>
      </c>
      <c r="AF607">
        <v>2.2482565260770602</v>
      </c>
      <c r="AG607">
        <v>-1.080578640196</v>
      </c>
      <c r="AH607">
        <v>15.4879718545118</v>
      </c>
      <c r="AI607">
        <v>93.949731752576199</v>
      </c>
      <c r="AJ607">
        <v>81.740552791555501</v>
      </c>
      <c r="AK607">
        <v>15.6875613073175</v>
      </c>
    </row>
    <row r="608" spans="1:37" x14ac:dyDescent="0.2">
      <c r="A608" t="str">
        <f>"20200111154038503"</f>
        <v>20200111154038503</v>
      </c>
      <c r="B608" t="str">
        <f>"1578728438496924"</f>
        <v>1578728438496924</v>
      </c>
      <c r="C608" t="s">
        <v>37</v>
      </c>
      <c r="D608">
        <v>5.3374319999999997</v>
      </c>
      <c r="E608">
        <v>0.56239280000000003</v>
      </c>
      <c r="F608" t="s">
        <v>39</v>
      </c>
      <c r="G608">
        <v>-257.82299999999998</v>
      </c>
      <c r="H608" s="1">
        <v>-1.8188639999999999E-6</v>
      </c>
      <c r="I608">
        <v>365.51249999999999</v>
      </c>
      <c r="J608">
        <v>-273.44529999999997</v>
      </c>
      <c r="K608">
        <v>1.0824689999999999</v>
      </c>
      <c r="L608">
        <v>368.07089999999999</v>
      </c>
      <c r="M608">
        <v>0.999789699999999</v>
      </c>
      <c r="N608">
        <v>0</v>
      </c>
      <c r="O608">
        <v>-1.691606E-2</v>
      </c>
      <c r="P608">
        <v>0.99797190000000002</v>
      </c>
      <c r="Q608">
        <v>6.2948509999999999E-2</v>
      </c>
      <c r="R608">
        <v>9.4763869999999993E-3</v>
      </c>
      <c r="S608">
        <v>3.0241389999999999</v>
      </c>
      <c r="T608">
        <v>-0.2040392</v>
      </c>
      <c r="U608">
        <v>-0.48443599999999998</v>
      </c>
      <c r="V608">
        <v>-2.6522279999999999E-2</v>
      </c>
      <c r="W608">
        <v>7.4450520000000006E-2</v>
      </c>
      <c r="X608">
        <v>0.99687190000000003</v>
      </c>
      <c r="Y608">
        <v>0.14117099999999999</v>
      </c>
      <c r="Z608">
        <v>-3.5944869999999999E-3</v>
      </c>
      <c r="AA608">
        <v>0.98997869999999999</v>
      </c>
      <c r="AB608">
        <v>71</v>
      </c>
      <c r="AC608">
        <v>15.6222999999999</v>
      </c>
      <c r="AD608">
        <v>-1.082470818864</v>
      </c>
      <c r="AE608">
        <v>-2.5583999999999998</v>
      </c>
      <c r="AF608">
        <v>2.28307334223364</v>
      </c>
      <c r="AG608">
        <v>-1.082470818864</v>
      </c>
      <c r="AH608">
        <v>15.590448748169001</v>
      </c>
      <c r="AI608">
        <v>93.929985308657294</v>
      </c>
      <c r="AJ608">
        <v>81.668793507737703</v>
      </c>
      <c r="AK608">
        <v>15.7938677697705</v>
      </c>
    </row>
    <row r="609" spans="1:37" x14ac:dyDescent="0.2">
      <c r="A609" t="str">
        <f>"20200111154038514"</f>
        <v>20200111154038514</v>
      </c>
      <c r="B609" t="str">
        <f>"1578728438506684"</f>
        <v>1578728438506684</v>
      </c>
      <c r="C609" t="s">
        <v>37</v>
      </c>
      <c r="D609">
        <v>5.3386820000000004</v>
      </c>
      <c r="E609">
        <v>0.56241619999999903</v>
      </c>
      <c r="F609" t="s">
        <v>39</v>
      </c>
      <c r="G609">
        <v>-257.3947</v>
      </c>
      <c r="H609" s="1">
        <v>-1.971795E-6</v>
      </c>
      <c r="I609">
        <v>365.48540000000003</v>
      </c>
      <c r="J609">
        <v>-273.08550000000002</v>
      </c>
      <c r="K609">
        <v>1.084133</v>
      </c>
      <c r="L609">
        <v>368.06450000000001</v>
      </c>
      <c r="M609">
        <v>0.99979689999999999</v>
      </c>
      <c r="N609">
        <v>0</v>
      </c>
      <c r="O609">
        <v>-1.6532789999999999E-2</v>
      </c>
      <c r="P609">
        <v>0.99799799999999905</v>
      </c>
      <c r="Q609">
        <v>6.2682130000000003E-2</v>
      </c>
      <c r="R609">
        <v>8.4348540000000003E-3</v>
      </c>
      <c r="S609">
        <v>3.0235599999999998</v>
      </c>
      <c r="T609">
        <v>-0.2039117</v>
      </c>
      <c r="U609">
        <v>-0.48703000000000002</v>
      </c>
      <c r="V609">
        <v>-2.510159E-2</v>
      </c>
      <c r="W609">
        <v>7.4124309999999999E-2</v>
      </c>
      <c r="X609">
        <v>0.99693299999999996</v>
      </c>
      <c r="Y609">
        <v>0.142404799999999</v>
      </c>
      <c r="Z609">
        <v>-3.6596100000000002E-3</v>
      </c>
      <c r="AA609">
        <v>0.98980179999999995</v>
      </c>
      <c r="AB609">
        <v>71</v>
      </c>
      <c r="AC609">
        <v>15.690799999999999</v>
      </c>
      <c r="AD609">
        <v>-1.084134971795</v>
      </c>
      <c r="AE609">
        <v>-2.57909999999998</v>
      </c>
      <c r="AF609">
        <v>2.3085864072159601</v>
      </c>
      <c r="AG609">
        <v>-1.084134971795</v>
      </c>
      <c r="AH609">
        <v>15.6585114959602</v>
      </c>
      <c r="AI609">
        <v>93.918395128378407</v>
      </c>
      <c r="AJ609">
        <v>81.613111901143</v>
      </c>
      <c r="AK609">
        <v>15.8648637594455</v>
      </c>
    </row>
    <row r="610" spans="1:37" x14ac:dyDescent="0.2">
      <c r="A610" t="str">
        <f>"20200111154038526"</f>
        <v>20200111154038526</v>
      </c>
      <c r="B610" t="str">
        <f>"1578728438517420"</f>
        <v>1578728438517420</v>
      </c>
      <c r="C610" t="s">
        <v>37</v>
      </c>
      <c r="D610">
        <v>5.3467739999999999</v>
      </c>
      <c r="E610">
        <v>0.56244249999999996</v>
      </c>
      <c r="F610" t="s">
        <v>39</v>
      </c>
      <c r="G610">
        <v>-256.94049999999999</v>
      </c>
      <c r="H610" s="1">
        <v>-2.1369120000000001E-6</v>
      </c>
      <c r="I610">
        <v>365.44580000000002</v>
      </c>
      <c r="J610">
        <v>-272.72190000000001</v>
      </c>
      <c r="K610">
        <v>1.0857920000000001</v>
      </c>
      <c r="L610">
        <v>368.0582</v>
      </c>
      <c r="M610">
        <v>0.99980389999999997</v>
      </c>
      <c r="N610">
        <v>0</v>
      </c>
      <c r="O610">
        <v>-1.6147539999999998E-2</v>
      </c>
      <c r="P610">
        <v>0.99804289999999996</v>
      </c>
      <c r="Q610">
        <v>6.2082190000000002E-2</v>
      </c>
      <c r="R610">
        <v>7.49986199999999E-3</v>
      </c>
      <c r="S610">
        <v>3.0229189999999999</v>
      </c>
      <c r="T610">
        <v>-0.2029879</v>
      </c>
      <c r="U610">
        <v>-0.49032589999999998</v>
      </c>
      <c r="V610">
        <v>-2.3784969999999999E-2</v>
      </c>
      <c r="W610">
        <v>7.3476620000000006E-2</v>
      </c>
      <c r="X610">
        <v>0.99701329999999999</v>
      </c>
      <c r="Y610">
        <v>0.1438691</v>
      </c>
      <c r="Z610">
        <v>-3.7179639999999998E-3</v>
      </c>
      <c r="AA610">
        <v>0.98958979999999996</v>
      </c>
      <c r="AB610">
        <v>71</v>
      </c>
      <c r="AC610">
        <v>15.7814</v>
      </c>
      <c r="AD610">
        <v>-1.0857941369120001</v>
      </c>
      <c r="AE610">
        <v>-2.6123999999999801</v>
      </c>
      <c r="AF610">
        <v>2.3464008238679699</v>
      </c>
      <c r="AG610">
        <v>-1.0857941369120001</v>
      </c>
      <c r="AH610">
        <v>15.7489657275504</v>
      </c>
      <c r="AI610">
        <v>93.901026595833997</v>
      </c>
      <c r="AJ610">
        <v>81.525971849680602</v>
      </c>
      <c r="AK610">
        <v>15.9597765404644</v>
      </c>
    </row>
    <row r="611" spans="1:37" x14ac:dyDescent="0.2">
      <c r="A611" t="str">
        <f>"20200111154038537"</f>
        <v>20200111154038537</v>
      </c>
      <c r="B611" t="str">
        <f>"1578728438527180"</f>
        <v>1578728438527180</v>
      </c>
      <c r="C611" t="s">
        <v>37</v>
      </c>
      <c r="D611">
        <v>5.3496180000000004</v>
      </c>
      <c r="E611">
        <v>0.56252460000000004</v>
      </c>
      <c r="F611" t="s">
        <v>39</v>
      </c>
      <c r="G611">
        <v>-256.62079999999997</v>
      </c>
      <c r="H611" s="1">
        <v>-2.24998799999999E-6</v>
      </c>
      <c r="I611">
        <v>365.42970000000003</v>
      </c>
      <c r="J611">
        <v>-272.34690000000001</v>
      </c>
      <c r="K611">
        <v>1.087432</v>
      </c>
      <c r="L611">
        <v>368.05189999999999</v>
      </c>
      <c r="M611">
        <v>0.99981019999999898</v>
      </c>
      <c r="N611">
        <v>0</v>
      </c>
      <c r="O611">
        <v>-1.575669E-2</v>
      </c>
      <c r="P611">
        <v>0.99810309999999902</v>
      </c>
      <c r="Q611">
        <v>6.1225000000000002E-2</v>
      </c>
      <c r="R611">
        <v>6.4693900000000002E-3</v>
      </c>
      <c r="S611">
        <v>3.022278</v>
      </c>
      <c r="T611">
        <v>-0.20380909999999999</v>
      </c>
      <c r="U611">
        <v>-0.49337769999999997</v>
      </c>
      <c r="V611">
        <v>-2.2367749999999999E-2</v>
      </c>
      <c r="W611">
        <v>7.2602539999999993E-2</v>
      </c>
      <c r="X611">
        <v>0.9971101</v>
      </c>
      <c r="Y611">
        <v>0.1452561</v>
      </c>
      <c r="Z611">
        <v>-3.8060020000000002E-3</v>
      </c>
      <c r="AA611">
        <v>0.98938669999999995</v>
      </c>
      <c r="AB611">
        <v>71</v>
      </c>
      <c r="AC611">
        <v>15.726100000000001</v>
      </c>
      <c r="AD611">
        <v>-1.0874342499879901</v>
      </c>
      <c r="AE611">
        <v>-2.6221999999999599</v>
      </c>
      <c r="AF611">
        <v>2.3630734925258099</v>
      </c>
      <c r="AG611">
        <v>-1.0874342499879901</v>
      </c>
      <c r="AH611">
        <v>15.6924635780132</v>
      </c>
      <c r="AI611">
        <v>93.920008825810299</v>
      </c>
      <c r="AJ611">
        <v>81.436371534471405</v>
      </c>
      <c r="AK611">
        <v>15.9066037458156</v>
      </c>
    </row>
    <row r="612" spans="1:37" x14ac:dyDescent="0.2">
      <c r="A612" t="str">
        <f>"20200111154038550"</f>
        <v>20200111154038550</v>
      </c>
      <c r="B612" t="str">
        <f>"1578728438536941"</f>
        <v>1578728438536941</v>
      </c>
      <c r="C612" t="s">
        <v>37</v>
      </c>
      <c r="D612">
        <v>5.39114</v>
      </c>
      <c r="E612">
        <v>0.56260129999999997</v>
      </c>
      <c r="F612" t="s">
        <v>39</v>
      </c>
      <c r="G612">
        <v>-256.36360000000002</v>
      </c>
      <c r="H612" s="1">
        <v>-2.3391589999999999E-6</v>
      </c>
      <c r="I612">
        <v>365.42360000000002</v>
      </c>
      <c r="J612">
        <v>-271.96910000000003</v>
      </c>
      <c r="K612">
        <v>1.0890280000000001</v>
      </c>
      <c r="L612">
        <v>368.04559999999998</v>
      </c>
      <c r="M612">
        <v>0.99981620000000004</v>
      </c>
      <c r="N612">
        <v>0</v>
      </c>
      <c r="O612">
        <v>-1.536963E-2</v>
      </c>
      <c r="P612">
        <v>0.99817690000000003</v>
      </c>
      <c r="Q612">
        <v>6.0119039999999999E-2</v>
      </c>
      <c r="R612">
        <v>5.37030699999999E-3</v>
      </c>
      <c r="S612">
        <v>3.021515</v>
      </c>
      <c r="T612">
        <v>-0.20556939999999899</v>
      </c>
      <c r="U612">
        <v>-0.49685669999999998</v>
      </c>
      <c r="V612">
        <v>-2.0885000000000001E-2</v>
      </c>
      <c r="W612">
        <v>7.1504860000000003E-2</v>
      </c>
      <c r="X612">
        <v>0.99722160000000004</v>
      </c>
      <c r="Y612">
        <v>0.14677870000000001</v>
      </c>
      <c r="Z612">
        <v>-3.916905E-3</v>
      </c>
      <c r="AA612">
        <v>0.98916159999999997</v>
      </c>
      <c r="AB612">
        <v>71</v>
      </c>
      <c r="AC612">
        <v>15.605499999999999</v>
      </c>
      <c r="AD612">
        <v>-1.0890303391589999</v>
      </c>
      <c r="AE612">
        <v>-2.6219999999999501</v>
      </c>
      <c r="AF612">
        <v>2.3705960077402501</v>
      </c>
      <c r="AG612">
        <v>-1.0890303391589999</v>
      </c>
      <c r="AH612">
        <v>15.5702138794506</v>
      </c>
      <c r="AI612">
        <v>93.955497805141903</v>
      </c>
      <c r="AJ612">
        <v>81.343086171266805</v>
      </c>
      <c r="AK612">
        <v>15.787250323072699</v>
      </c>
    </row>
    <row r="613" spans="1:37" x14ac:dyDescent="0.2">
      <c r="A613" t="str">
        <f>"20200111154038562"</f>
        <v>20200111154038562</v>
      </c>
      <c r="B613" t="str">
        <f>"1578728438557436"</f>
        <v>1578728438557436</v>
      </c>
      <c r="C613" t="s">
        <v>37</v>
      </c>
      <c r="D613">
        <v>5.3421949999999896</v>
      </c>
      <c r="E613">
        <v>0.56266709999999998</v>
      </c>
      <c r="F613" t="s">
        <v>39</v>
      </c>
      <c r="G613">
        <v>-256.13679999999999</v>
      </c>
      <c r="H613" s="1">
        <v>-2.416783E-6</v>
      </c>
      <c r="I613">
        <v>365.42180000000002</v>
      </c>
      <c r="J613">
        <v>-271.5677</v>
      </c>
      <c r="K613">
        <v>1.0906769999999999</v>
      </c>
      <c r="L613">
        <v>368.03899999999999</v>
      </c>
      <c r="M613">
        <v>0.99982209999999905</v>
      </c>
      <c r="N613">
        <v>0</v>
      </c>
      <c r="O613">
        <v>-1.4963799999999999E-2</v>
      </c>
      <c r="P613">
        <v>0.99825839999999999</v>
      </c>
      <c r="Q613">
        <v>5.8834629999999999E-2</v>
      </c>
      <c r="R613">
        <v>4.3785589999999997E-3</v>
      </c>
      <c r="S613">
        <v>3.0206909999999998</v>
      </c>
      <c r="T613">
        <v>-0.20777880000000001</v>
      </c>
      <c r="U613">
        <v>-0.50057980000000002</v>
      </c>
      <c r="V613">
        <v>-1.94910999999999E-2</v>
      </c>
      <c r="W613">
        <v>7.0249649999999997E-2</v>
      </c>
      <c r="X613">
        <v>0.99733899999999998</v>
      </c>
      <c r="Y613">
        <v>0.148399</v>
      </c>
      <c r="Z613">
        <v>-4.0425369999999997E-3</v>
      </c>
      <c r="AA613">
        <v>0.98891929999999995</v>
      </c>
      <c r="AB613">
        <v>71</v>
      </c>
      <c r="AC613">
        <v>15.430899999999999</v>
      </c>
      <c r="AD613">
        <v>-1.0906794167829901</v>
      </c>
      <c r="AE613">
        <v>-2.61719999999996</v>
      </c>
      <c r="AF613">
        <v>2.37445601757114</v>
      </c>
      <c r="AG613">
        <v>-1.0906794167829901</v>
      </c>
      <c r="AH613">
        <v>15.393583891404599</v>
      </c>
      <c r="AI613">
        <v>94.005581653493095</v>
      </c>
      <c r="AJ613">
        <v>81.231251053076605</v>
      </c>
      <c r="AK613">
        <v>15.613777505500799</v>
      </c>
    </row>
    <row r="614" spans="1:37" x14ac:dyDescent="0.2">
      <c r="A614" t="str">
        <f>"20200111154038575"</f>
        <v>20200111154038575</v>
      </c>
      <c r="B614" t="str">
        <f>"1578728438567196"</f>
        <v>1578728438567196</v>
      </c>
      <c r="C614" t="s">
        <v>37</v>
      </c>
      <c r="D614">
        <v>5.3826970000000003</v>
      </c>
      <c r="E614">
        <v>0.56272880000000003</v>
      </c>
      <c r="F614" t="s">
        <v>39</v>
      </c>
      <c r="G614">
        <v>-255.85400000000001</v>
      </c>
      <c r="H614" s="1">
        <v>-2.5145779999999998E-6</v>
      </c>
      <c r="I614">
        <v>365.416</v>
      </c>
      <c r="J614">
        <v>-271.16730000000001</v>
      </c>
      <c r="K614">
        <v>1.092206</v>
      </c>
      <c r="L614">
        <v>368.03269999999998</v>
      </c>
      <c r="M614">
        <v>0.99982709999999997</v>
      </c>
      <c r="N614">
        <v>0</v>
      </c>
      <c r="O614">
        <v>-1.4571590000000001E-2</v>
      </c>
      <c r="P614">
        <v>0.99832169999999898</v>
      </c>
      <c r="Q614">
        <v>5.7833179999999998E-2</v>
      </c>
      <c r="R614">
        <v>3.0494059999999902E-3</v>
      </c>
      <c r="S614">
        <v>3.019806</v>
      </c>
      <c r="T614">
        <v>-0.20960129999999999</v>
      </c>
      <c r="U614">
        <v>-0.50405880000000003</v>
      </c>
      <c r="V614">
        <v>-1.7774000000000002E-2</v>
      </c>
      <c r="W614">
        <v>6.9316379999999997E-2</v>
      </c>
      <c r="X614">
        <v>0.9974364</v>
      </c>
      <c r="Y614">
        <v>0.14993199999999901</v>
      </c>
      <c r="Z614">
        <v>-4.1584719999999999E-3</v>
      </c>
      <c r="AA614">
        <v>0.9886876</v>
      </c>
      <c r="AB614">
        <v>71</v>
      </c>
      <c r="AC614">
        <v>15.3132999999999</v>
      </c>
      <c r="AD614">
        <v>-1.0922085145780001</v>
      </c>
      <c r="AE614">
        <v>-2.6166999999999798</v>
      </c>
      <c r="AF614">
        <v>2.3814968345549898</v>
      </c>
      <c r="AG614">
        <v>-1.0922085145780001</v>
      </c>
      <c r="AH614">
        <v>15.2743079383674</v>
      </c>
      <c r="AI614">
        <v>94.041382524245506</v>
      </c>
      <c r="AJ614">
        <v>81.138067056956501</v>
      </c>
      <c r="AK614">
        <v>15.4973846054225</v>
      </c>
    </row>
    <row r="615" spans="1:37" x14ac:dyDescent="0.2">
      <c r="A615" t="str">
        <f>"20200111154038586"</f>
        <v>20200111154038586</v>
      </c>
      <c r="B615" t="str">
        <f>"1578728438576956"</f>
        <v>1578728438576956</v>
      </c>
      <c r="C615" t="s">
        <v>37</v>
      </c>
      <c r="D615">
        <v>5.357513</v>
      </c>
      <c r="E615">
        <v>0.56273629999999997</v>
      </c>
      <c r="F615" t="s">
        <v>39</v>
      </c>
      <c r="G615">
        <v>-255.59389999999999</v>
      </c>
      <c r="H615" s="1">
        <v>-2.6184499999999999E-6</v>
      </c>
      <c r="I615">
        <v>365.41109999999998</v>
      </c>
      <c r="J615">
        <v>-270.79989999999998</v>
      </c>
      <c r="K615">
        <v>1.0935680000000001</v>
      </c>
      <c r="L615">
        <v>368.02699999999999</v>
      </c>
      <c r="M615">
        <v>0.99983140000000004</v>
      </c>
      <c r="N615">
        <v>0</v>
      </c>
      <c r="O615">
        <v>-1.421554E-2</v>
      </c>
      <c r="P615">
        <v>0.99839529999999999</v>
      </c>
      <c r="Q615">
        <v>5.6596809999999997E-2</v>
      </c>
      <c r="R615">
        <v>1.8995699999999999E-3</v>
      </c>
      <c r="S615">
        <v>3.0188599999999899</v>
      </c>
      <c r="T615">
        <v>-0.2117212</v>
      </c>
      <c r="U615">
        <v>-0.50817869999999998</v>
      </c>
      <c r="V615">
        <v>-1.6270920000000001E-2</v>
      </c>
      <c r="W615">
        <v>6.8153259999999993E-2</v>
      </c>
      <c r="X615">
        <v>0.99754219999999905</v>
      </c>
      <c r="Y615">
        <v>0.15163509999999999</v>
      </c>
      <c r="Z615">
        <v>-4.28524099999999E-3</v>
      </c>
      <c r="AA615">
        <v>0.98842730000000001</v>
      </c>
      <c r="AB615">
        <v>71</v>
      </c>
      <c r="AC615">
        <v>15.2059999999999</v>
      </c>
      <c r="AD615">
        <v>-1.09357061845</v>
      </c>
      <c r="AE615">
        <v>-2.6159000000000101</v>
      </c>
      <c r="AF615">
        <v>2.38746634533145</v>
      </c>
      <c r="AG615">
        <v>-1.09357061845</v>
      </c>
      <c r="AH615">
        <v>15.1654700651185</v>
      </c>
      <c r="AI615">
        <v>94.074408792583597</v>
      </c>
      <c r="AJ615">
        <v>81.053478906194002</v>
      </c>
      <c r="AK615">
        <v>15.391145978894199</v>
      </c>
    </row>
    <row r="616" spans="1:37" x14ac:dyDescent="0.2">
      <c r="A616" t="str">
        <f>"20200111154038597"</f>
        <v>20200111154038597</v>
      </c>
      <c r="B616" t="str">
        <f>"1578728438586716"</f>
        <v>1578728438586716</v>
      </c>
      <c r="C616" t="s">
        <v>37</v>
      </c>
      <c r="D616">
        <v>5.388547</v>
      </c>
      <c r="E616">
        <v>0.56276349999999997</v>
      </c>
      <c r="F616" t="s">
        <v>39</v>
      </c>
      <c r="G616">
        <v>-255.42420000000001</v>
      </c>
      <c r="H616" s="1">
        <v>-2.68949799999999E-6</v>
      </c>
      <c r="I616">
        <v>365.42110000000002</v>
      </c>
      <c r="J616">
        <v>-270.42899999999997</v>
      </c>
      <c r="K616">
        <v>1.094854</v>
      </c>
      <c r="L616">
        <v>368.02140000000003</v>
      </c>
      <c r="M616">
        <v>0.99983539999999904</v>
      </c>
      <c r="N616">
        <v>0</v>
      </c>
      <c r="O616">
        <v>-1.3864949999999999E-2</v>
      </c>
      <c r="P616">
        <v>0.99843979999999999</v>
      </c>
      <c r="Q616">
        <v>5.583482E-2</v>
      </c>
      <c r="R616">
        <v>8.6054990000000004E-4</v>
      </c>
      <c r="S616">
        <v>3.0179749999999999</v>
      </c>
      <c r="T616">
        <v>-0.2146469</v>
      </c>
      <c r="U616">
        <v>-0.5114746</v>
      </c>
      <c r="V616">
        <v>-1.4885020000000001E-2</v>
      </c>
      <c r="W616">
        <v>6.7485809999999993E-2</v>
      </c>
      <c r="X616">
        <v>0.99760919999999897</v>
      </c>
      <c r="Y616">
        <v>0.1530648</v>
      </c>
      <c r="Z616">
        <v>-4.4203089999999999E-3</v>
      </c>
      <c r="AA616">
        <v>0.98820629999999998</v>
      </c>
      <c r="AB616">
        <v>71</v>
      </c>
      <c r="AC616">
        <v>15.004799999999999</v>
      </c>
      <c r="AD616">
        <v>-1.0948566894980001</v>
      </c>
      <c r="AE616">
        <v>-2.6002999999999998</v>
      </c>
      <c r="AF616">
        <v>2.37969441939121</v>
      </c>
      <c r="AG616">
        <v>-1.0948566894980001</v>
      </c>
      <c r="AH616">
        <v>14.9620745971354</v>
      </c>
      <c r="AI616">
        <v>94.133415295454895</v>
      </c>
      <c r="AJ616">
        <v>80.9628912092044</v>
      </c>
      <c r="AK616">
        <v>15.1896455834382</v>
      </c>
    </row>
    <row r="617" spans="1:37" x14ac:dyDescent="0.2">
      <c r="A617" t="str">
        <f>"20200111154038609"</f>
        <v>20200111154038609</v>
      </c>
      <c r="B617" t="str">
        <f>"1578728438596476"</f>
        <v>1578728438596476</v>
      </c>
      <c r="C617" t="s">
        <v>37</v>
      </c>
      <c r="D617">
        <v>5.3915350000000002</v>
      </c>
      <c r="E617">
        <v>0.56282129999999997</v>
      </c>
      <c r="F617" t="s">
        <v>39</v>
      </c>
      <c r="G617">
        <v>-255.09049999999999</v>
      </c>
      <c r="H617" s="1">
        <v>-2.8354349999999999E-6</v>
      </c>
      <c r="I617">
        <v>365.40539999999999</v>
      </c>
      <c r="J617">
        <v>-270.07709999999997</v>
      </c>
      <c r="K617">
        <v>1.0960110000000001</v>
      </c>
      <c r="L617">
        <v>368.0163</v>
      </c>
      <c r="M617">
        <v>0.99983869999999897</v>
      </c>
      <c r="N617">
        <v>0</v>
      </c>
      <c r="O617">
        <v>-1.3537189999999999E-2</v>
      </c>
      <c r="P617">
        <v>0.99848459999999895</v>
      </c>
      <c r="Q617">
        <v>5.5034909999999999E-2</v>
      </c>
      <c r="R617">
        <v>-2.5902869999999998E-4</v>
      </c>
      <c r="S617">
        <v>3.0171809999999999</v>
      </c>
      <c r="T617">
        <v>-0.215364</v>
      </c>
      <c r="U617">
        <v>-0.51458740000000003</v>
      </c>
      <c r="V617">
        <v>-1.3441420000000001E-2</v>
      </c>
      <c r="W617">
        <v>6.6788349999999996E-2</v>
      </c>
      <c r="X617">
        <v>0.99767659999999903</v>
      </c>
      <c r="Y617">
        <v>0.15441569999999999</v>
      </c>
      <c r="Z617">
        <v>-4.5068030000000002E-3</v>
      </c>
      <c r="AA617">
        <v>0.98799570000000003</v>
      </c>
      <c r="AB617">
        <v>71</v>
      </c>
      <c r="AC617">
        <v>14.9865999999999</v>
      </c>
      <c r="AD617">
        <v>-1.096013835435</v>
      </c>
      <c r="AE617">
        <v>-2.6109000000000102</v>
      </c>
      <c r="AF617">
        <v>2.3953362473483901</v>
      </c>
      <c r="AG617">
        <v>-1.096013835435</v>
      </c>
      <c r="AH617">
        <v>14.9430059861138</v>
      </c>
      <c r="AI617">
        <v>94.142227200211906</v>
      </c>
      <c r="AJ617">
        <v>80.893067398975205</v>
      </c>
      <c r="AK617">
        <v>15.1734079878701</v>
      </c>
    </row>
    <row r="618" spans="1:37" x14ac:dyDescent="0.2">
      <c r="A618" t="str">
        <f>"20200111154038621"</f>
        <v>20200111154038621</v>
      </c>
      <c r="B618" t="str">
        <f>"1578728438616971"</f>
        <v>1578728438616971</v>
      </c>
      <c r="C618" t="s">
        <v>37</v>
      </c>
      <c r="D618">
        <v>5.2699199999999999</v>
      </c>
      <c r="E618">
        <v>0.56283919999999998</v>
      </c>
      <c r="F618" t="s">
        <v>39</v>
      </c>
      <c r="G618">
        <v>-254.8048</v>
      </c>
      <c r="H618" s="1">
        <v>-2.9598410000000001E-6</v>
      </c>
      <c r="I618">
        <v>365.39490000000001</v>
      </c>
      <c r="J618">
        <v>-269.66460000000001</v>
      </c>
      <c r="K618">
        <v>1.097307</v>
      </c>
      <c r="L618">
        <v>368.01029999999997</v>
      </c>
      <c r="M618">
        <v>0.99984229999999996</v>
      </c>
      <c r="N618">
        <v>0</v>
      </c>
      <c r="O618">
        <v>-1.3158019999999999E-2</v>
      </c>
      <c r="P618">
        <v>0.99851970000000001</v>
      </c>
      <c r="Q618">
        <v>5.4375659999999999E-2</v>
      </c>
      <c r="R618">
        <v>-1.4769410000000001E-3</v>
      </c>
      <c r="S618">
        <v>3.0163570000000002</v>
      </c>
      <c r="T618">
        <v>-0.2164683</v>
      </c>
      <c r="U618">
        <v>-0.51773069999999999</v>
      </c>
      <c r="V618">
        <v>-1.184813E-2</v>
      </c>
      <c r="W618">
        <v>6.6258800000000007E-2</v>
      </c>
      <c r="X618">
        <v>0.99773210000000001</v>
      </c>
      <c r="Y618">
        <v>0.1558271</v>
      </c>
      <c r="Z618">
        <v>-4.6078530000000003E-3</v>
      </c>
      <c r="AA618">
        <v>0.98777359999999903</v>
      </c>
      <c r="AB618">
        <v>71</v>
      </c>
      <c r="AC618">
        <v>14.8598</v>
      </c>
      <c r="AD618">
        <v>-1.0973099598410001</v>
      </c>
      <c r="AE618">
        <v>-2.6153999999999602</v>
      </c>
      <c r="AF618">
        <v>2.4069036961954402</v>
      </c>
      <c r="AG618">
        <v>-1.0973099598410001</v>
      </c>
      <c r="AH618">
        <v>14.8145732765192</v>
      </c>
      <c r="AI618">
        <v>94.181511597150205</v>
      </c>
      <c r="AJ618">
        <v>80.771863868220905</v>
      </c>
      <c r="AK618">
        <v>15.0488822148385</v>
      </c>
    </row>
    <row r="619" spans="1:37" x14ac:dyDescent="0.2">
      <c r="A619" t="str">
        <f>"20200111154038637"</f>
        <v>20200111154038637</v>
      </c>
      <c r="B619" t="str">
        <f>"1578728438626732"</f>
        <v>1578728438626732</v>
      </c>
      <c r="C619" t="s">
        <v>37</v>
      </c>
      <c r="D619">
        <v>5.368074</v>
      </c>
      <c r="E619">
        <v>0.56284440000000002</v>
      </c>
      <c r="F619" t="s">
        <v>39</v>
      </c>
      <c r="G619">
        <v>-254.40780000000001</v>
      </c>
      <c r="H619" s="1">
        <v>-3.133786E-6</v>
      </c>
      <c r="I619">
        <v>365.37450000000001</v>
      </c>
      <c r="J619">
        <v>-269.19349999999997</v>
      </c>
      <c r="K619">
        <v>1.0986419999999999</v>
      </c>
      <c r="L619">
        <v>368.00380000000001</v>
      </c>
      <c r="M619">
        <v>0.99984569999999995</v>
      </c>
      <c r="N619">
        <v>0</v>
      </c>
      <c r="O619">
        <v>-1.2733360000000001E-2</v>
      </c>
      <c r="P619">
        <v>0.99856659999999997</v>
      </c>
      <c r="Q619">
        <v>5.3399240000000001E-2</v>
      </c>
      <c r="R619">
        <v>-3.66291599999999E-3</v>
      </c>
      <c r="S619">
        <v>3.015533</v>
      </c>
      <c r="T619">
        <v>-0.216884299999999</v>
      </c>
      <c r="U619">
        <v>-0.52096560000000003</v>
      </c>
      <c r="V619">
        <v>-9.2409669999999992E-3</v>
      </c>
      <c r="W619">
        <v>6.545231E-2</v>
      </c>
      <c r="X619">
        <v>0.9978129</v>
      </c>
      <c r="Y619">
        <v>0.15731419999999999</v>
      </c>
      <c r="Z619">
        <v>-4.7007919999999996E-3</v>
      </c>
      <c r="AA619">
        <v>0.98753740000000001</v>
      </c>
      <c r="AB619">
        <v>71</v>
      </c>
      <c r="AC619">
        <v>14.785699999999901</v>
      </c>
      <c r="AD619">
        <v>-1.0986451337859999</v>
      </c>
      <c r="AE619">
        <v>-2.6293000000000002</v>
      </c>
      <c r="AF619">
        <v>2.4278079236458701</v>
      </c>
      <c r="AG619">
        <v>-1.0986451337859999</v>
      </c>
      <c r="AH619">
        <v>14.739100776672499</v>
      </c>
      <c r="AI619">
        <v>94.206439333593195</v>
      </c>
      <c r="AJ619">
        <v>80.646296650504993</v>
      </c>
      <c r="AK619">
        <v>14.978062763555799</v>
      </c>
    </row>
    <row r="620" spans="1:37" x14ac:dyDescent="0.2">
      <c r="A620" t="str">
        <f>"20200111154038653"</f>
        <v>20200111154038653</v>
      </c>
      <c r="B620" t="str">
        <f>"1578728438647228"</f>
        <v>1578728438647228</v>
      </c>
      <c r="C620" t="s">
        <v>37</v>
      </c>
      <c r="D620">
        <v>5.3255280000000003</v>
      </c>
      <c r="E620">
        <v>0.56287569999999998</v>
      </c>
      <c r="F620" t="s">
        <v>39</v>
      </c>
      <c r="G620">
        <v>-254.14670000000001</v>
      </c>
      <c r="H620" s="1">
        <v>-3.2460649999999998E-6</v>
      </c>
      <c r="I620">
        <v>365.37299999999999</v>
      </c>
      <c r="J620">
        <v>-268.70060000000001</v>
      </c>
      <c r="K620">
        <v>1.099926</v>
      </c>
      <c r="L620">
        <v>367.9973</v>
      </c>
      <c r="M620">
        <v>0.99984910000000005</v>
      </c>
      <c r="N620">
        <v>0</v>
      </c>
      <c r="O620">
        <v>-1.229271E-2</v>
      </c>
      <c r="P620">
        <v>0.99859209999999998</v>
      </c>
      <c r="Q620">
        <v>5.285778E-2</v>
      </c>
      <c r="R620">
        <v>-4.4797420000000001E-3</v>
      </c>
      <c r="S620">
        <v>3.0141909999999998</v>
      </c>
      <c r="T620">
        <v>-0.22008130000000001</v>
      </c>
      <c r="U620">
        <v>-0.52700809999999998</v>
      </c>
      <c r="V620">
        <v>-7.9879040000000005E-3</v>
      </c>
      <c r="W620">
        <v>6.5092590000000006E-2</v>
      </c>
      <c r="X620">
        <v>0.99784729999999999</v>
      </c>
      <c r="Y620">
        <v>0.15972610000000001</v>
      </c>
      <c r="Z620">
        <v>-4.8903359999999899E-3</v>
      </c>
      <c r="AA620">
        <v>0.98714919999999995</v>
      </c>
      <c r="AB620">
        <v>71</v>
      </c>
      <c r="AC620">
        <v>14.553900000000001</v>
      </c>
      <c r="AD620">
        <v>-1.0999292460650001</v>
      </c>
      <c r="AE620">
        <v>-2.6242999999999399</v>
      </c>
      <c r="AF620">
        <v>2.4317292322317701</v>
      </c>
      <c r="AG620">
        <v>-1.0999292460650001</v>
      </c>
      <c r="AH620">
        <v>14.5048230292296</v>
      </c>
      <c r="AI620">
        <v>94.277087719057405</v>
      </c>
      <c r="AJ620">
        <v>80.482885132344705</v>
      </c>
      <c r="AK620">
        <v>14.7483233797781</v>
      </c>
    </row>
    <row r="621" spans="1:37" x14ac:dyDescent="0.2">
      <c r="A621" t="str">
        <f>"20200111154038666"</f>
        <v>20200111154038666</v>
      </c>
      <c r="B621" t="str">
        <f>"1578728438656989"</f>
        <v>1578728438656989</v>
      </c>
      <c r="C621" t="s">
        <v>37</v>
      </c>
      <c r="D621">
        <v>5.3406729999999998</v>
      </c>
      <c r="E621">
        <v>0.56289330000000004</v>
      </c>
      <c r="F621" t="s">
        <v>39</v>
      </c>
      <c r="G621">
        <v>-253.6395</v>
      </c>
      <c r="H621" s="1">
        <v>-3.467308E-6</v>
      </c>
      <c r="I621">
        <v>365.35250000000002</v>
      </c>
      <c r="J621">
        <v>-268.24340000000001</v>
      </c>
      <c r="K621">
        <v>1.101027</v>
      </c>
      <c r="L621">
        <v>367.9914</v>
      </c>
      <c r="M621">
        <v>0.99985199999999996</v>
      </c>
      <c r="N621">
        <v>0</v>
      </c>
      <c r="O621">
        <v>-1.188619E-2</v>
      </c>
      <c r="P621">
        <v>0.99863329999999995</v>
      </c>
      <c r="Q621">
        <v>5.1989849999999997E-2</v>
      </c>
      <c r="R621">
        <v>-5.4008909999999997E-3</v>
      </c>
      <c r="S621">
        <v>3.0135190000000001</v>
      </c>
      <c r="T621">
        <v>-0.22007939999999901</v>
      </c>
      <c r="U621">
        <v>-0.52917479999999995</v>
      </c>
      <c r="V621">
        <v>-6.6621140000000002E-3</v>
      </c>
      <c r="W621">
        <v>6.4400730000000003E-2</v>
      </c>
      <c r="X621">
        <v>0.99790190000000001</v>
      </c>
      <c r="Y621">
        <v>0.16084909999999999</v>
      </c>
      <c r="Z621">
        <v>-4.9611159999999998E-3</v>
      </c>
      <c r="AA621">
        <v>0.98696659999999903</v>
      </c>
      <c r="AB621">
        <v>71</v>
      </c>
      <c r="AC621">
        <v>14.603899999999999</v>
      </c>
      <c r="AD621">
        <v>-1.101030467308</v>
      </c>
      <c r="AE621">
        <v>-2.6388999999999698</v>
      </c>
      <c r="AF621">
        <v>2.4516207828107599</v>
      </c>
      <c r="AG621">
        <v>-1.101030467308</v>
      </c>
      <c r="AH621">
        <v>14.554125880784399</v>
      </c>
      <c r="AI621">
        <v>94.266349304579506</v>
      </c>
      <c r="AJ621">
        <v>80.438373866795501</v>
      </c>
      <c r="AK621">
        <v>14.8001788065675</v>
      </c>
    </row>
    <row r="622" spans="1:37" x14ac:dyDescent="0.2">
      <c r="A622" t="str">
        <f>"20200111154038681"</f>
        <v>20200111154038681</v>
      </c>
      <c r="B622" t="str">
        <f>"1578728438677016"</f>
        <v>1578728438677016</v>
      </c>
      <c r="C622" t="s">
        <v>37</v>
      </c>
      <c r="D622">
        <v>5.2821059999999997</v>
      </c>
      <c r="E622">
        <v>0.56291449999999998</v>
      </c>
      <c r="F622" t="s">
        <v>39</v>
      </c>
      <c r="G622">
        <v>-253.34209999999999</v>
      </c>
      <c r="H622" s="1">
        <v>-3.5931419999999998E-6</v>
      </c>
      <c r="I622">
        <v>365.36219999999997</v>
      </c>
      <c r="J622">
        <v>-267.77050000000003</v>
      </c>
      <c r="K622">
        <v>1.1020509999999999</v>
      </c>
      <c r="L622">
        <v>367.9855</v>
      </c>
      <c r="M622">
        <v>0.99985449999999998</v>
      </c>
      <c r="N622">
        <v>0</v>
      </c>
      <c r="O622">
        <v>-1.146643E-2</v>
      </c>
      <c r="P622">
        <v>0.99865789999999999</v>
      </c>
      <c r="Q622">
        <v>5.1266829999999999E-2</v>
      </c>
      <c r="R622">
        <v>-7.3840950000000002E-3</v>
      </c>
      <c r="S622">
        <v>3.0128169999999899</v>
      </c>
      <c r="T622">
        <v>-0.22261120000000001</v>
      </c>
      <c r="U622">
        <v>-0.53158570000000005</v>
      </c>
      <c r="V622">
        <v>-4.2616479999999998E-3</v>
      </c>
      <c r="W622">
        <v>6.3868250000000001E-2</v>
      </c>
      <c r="X622">
        <v>0.99794919999999998</v>
      </c>
      <c r="Y622">
        <v>0.16205520000000001</v>
      </c>
      <c r="Z622">
        <v>-5.0937209999999998E-3</v>
      </c>
      <c r="AA622">
        <v>0.98676849999999905</v>
      </c>
      <c r="AB622">
        <v>71</v>
      </c>
      <c r="AC622">
        <v>14.4284</v>
      </c>
      <c r="AD622">
        <v>-1.102054593142</v>
      </c>
      <c r="AE622">
        <v>-2.6233000000000199</v>
      </c>
      <c r="AF622">
        <v>2.4438706533063899</v>
      </c>
      <c r="AG622">
        <v>-1.102054593142</v>
      </c>
      <c r="AH622">
        <v>14.376345145944899</v>
      </c>
      <c r="AI622">
        <v>94.321817719755501</v>
      </c>
      <c r="AJ622">
        <v>80.352373103226697</v>
      </c>
      <c r="AK622">
        <v>14.624169304671399</v>
      </c>
    </row>
    <row r="623" spans="1:37" x14ac:dyDescent="0.2">
      <c r="A623" t="str">
        <f>"20200111154038694"</f>
        <v>20200111154038694</v>
      </c>
      <c r="B623" t="str">
        <f>"1578728438686775"</f>
        <v>1578728438686775</v>
      </c>
      <c r="C623" t="s">
        <v>37</v>
      </c>
      <c r="D623">
        <v>5.3468210000000003</v>
      </c>
      <c r="E623">
        <v>0.56291539999999995</v>
      </c>
      <c r="F623" t="s">
        <v>39</v>
      </c>
      <c r="G623">
        <v>-253.02549999999999</v>
      </c>
      <c r="H623" s="1">
        <v>-3.730241E-6</v>
      </c>
      <c r="I623">
        <v>365.35500000000002</v>
      </c>
      <c r="J623">
        <v>-267.36099999999999</v>
      </c>
      <c r="K623">
        <v>1.1028420000000001</v>
      </c>
      <c r="L623">
        <v>367.98070000000001</v>
      </c>
      <c r="M623">
        <v>0.99985659999999899</v>
      </c>
      <c r="N623">
        <v>0</v>
      </c>
      <c r="O623">
        <v>-1.110099E-2</v>
      </c>
      <c r="P623">
        <v>0.99867790000000001</v>
      </c>
      <c r="Q623">
        <v>5.0750910000000003E-2</v>
      </c>
      <c r="R623">
        <v>-8.1772449999999997E-3</v>
      </c>
      <c r="S623">
        <v>3.0115970000000001</v>
      </c>
      <c r="T623">
        <v>-0.22508809999999899</v>
      </c>
      <c r="U623">
        <v>-0.53726200000000002</v>
      </c>
      <c r="V623">
        <v>-3.1039489999999999E-3</v>
      </c>
      <c r="W623">
        <v>6.3515630000000003E-2</v>
      </c>
      <c r="X623">
        <v>0.99797599999999997</v>
      </c>
      <c r="Y623">
        <v>0.164270899999999</v>
      </c>
      <c r="Z623">
        <v>-5.2605459999999996E-3</v>
      </c>
      <c r="AA623">
        <v>0.98640130000000004</v>
      </c>
      <c r="AB623">
        <v>71</v>
      </c>
      <c r="AC623">
        <v>14.3354999999999</v>
      </c>
      <c r="AD623">
        <v>-1.102845730241</v>
      </c>
      <c r="AE623">
        <v>-2.6256999999999899</v>
      </c>
      <c r="AF623">
        <v>2.4523440954487499</v>
      </c>
      <c r="AG623">
        <v>-1.102845730241</v>
      </c>
      <c r="AH623">
        <v>14.2819840180796</v>
      </c>
      <c r="AI623">
        <v>94.352138179156995</v>
      </c>
      <c r="AJ623">
        <v>80.256817788023994</v>
      </c>
      <c r="AK623">
        <v>14.5329050007173</v>
      </c>
    </row>
    <row r="624" spans="1:37" x14ac:dyDescent="0.2">
      <c r="A624" t="str">
        <f>"20200111154038706"</f>
        <v>20200111154038706</v>
      </c>
      <c r="B624" t="str">
        <f>"1578728438696536"</f>
        <v>1578728438696536</v>
      </c>
      <c r="C624" t="s">
        <v>37</v>
      </c>
      <c r="D624">
        <v>5.3088730000000002</v>
      </c>
      <c r="E624">
        <v>0.56298510000000002</v>
      </c>
      <c r="F624" t="s">
        <v>39</v>
      </c>
      <c r="G624">
        <v>-252.69829999999999</v>
      </c>
      <c r="H624" s="1">
        <v>-3.8706300000000002E-6</v>
      </c>
      <c r="I624">
        <v>365.35480000000001</v>
      </c>
      <c r="J624">
        <v>-266.9837</v>
      </c>
      <c r="K624">
        <v>1.103531</v>
      </c>
      <c r="L624">
        <v>367.97629999999998</v>
      </c>
      <c r="M624">
        <v>0.99985829999999998</v>
      </c>
      <c r="N624">
        <v>0</v>
      </c>
      <c r="O624">
        <v>-1.0764660000000001E-2</v>
      </c>
      <c r="P624">
        <v>0.998695</v>
      </c>
      <c r="Q624">
        <v>5.0257360000000001E-2</v>
      </c>
      <c r="R624">
        <v>-9.1070919999999903E-3</v>
      </c>
      <c r="S624">
        <v>3.0111080000000001</v>
      </c>
      <c r="T624">
        <v>-0.2264786</v>
      </c>
      <c r="U624">
        <v>-0.53924559999999999</v>
      </c>
      <c r="V624">
        <v>-1.8386429999999901E-3</v>
      </c>
      <c r="W624">
        <v>6.3180130000000001E-2</v>
      </c>
      <c r="X624">
        <v>0.99800040000000001</v>
      </c>
      <c r="Y624">
        <v>0.16525109999999901</v>
      </c>
      <c r="Z624">
        <v>-5.3550659999999899E-3</v>
      </c>
      <c r="AA624">
        <v>0.98623700000000003</v>
      </c>
      <c r="AB624">
        <v>71</v>
      </c>
      <c r="AC624">
        <v>14.285399999999999</v>
      </c>
      <c r="AD624">
        <v>-1.1035348706300001</v>
      </c>
      <c r="AE624">
        <v>-2.6214999999999602</v>
      </c>
      <c r="AF624">
        <v>2.4533942346600002</v>
      </c>
      <c r="AG624">
        <v>-1.1035348706300001</v>
      </c>
      <c r="AH624">
        <v>14.230640305375699</v>
      </c>
      <c r="AI624">
        <v>94.369994277865302</v>
      </c>
      <c r="AJ624">
        <v>80.218235923992907</v>
      </c>
      <c r="AK624">
        <v>14.482681242861901</v>
      </c>
    </row>
    <row r="625" spans="1:37" x14ac:dyDescent="0.2">
      <c r="A625" t="str">
        <f>"20200111154038718"</f>
        <v>20200111154038718</v>
      </c>
      <c r="B625" t="str">
        <f>"1578728438707271"</f>
        <v>1578728438707271</v>
      </c>
      <c r="C625" t="s">
        <v>37</v>
      </c>
      <c r="D625">
        <v>5.3966570000000003</v>
      </c>
      <c r="E625">
        <v>0.56299250000000001</v>
      </c>
      <c r="F625" t="s">
        <v>39</v>
      </c>
      <c r="G625">
        <v>-252.3441</v>
      </c>
      <c r="H625" s="1">
        <v>-4.0254639999999997E-6</v>
      </c>
      <c r="I625">
        <v>365.33850000000001</v>
      </c>
      <c r="J625">
        <v>-266.59989999999999</v>
      </c>
      <c r="K625">
        <v>1.104168</v>
      </c>
      <c r="L625">
        <v>367.97210000000001</v>
      </c>
      <c r="M625">
        <v>0.99985959999999996</v>
      </c>
      <c r="N625">
        <v>0</v>
      </c>
      <c r="O625">
        <v>-1.042324E-2</v>
      </c>
      <c r="P625">
        <v>0.99869419999999898</v>
      </c>
      <c r="Q625">
        <v>5.0075469999999997E-2</v>
      </c>
      <c r="R625">
        <v>-1.011019E-2</v>
      </c>
      <c r="S625">
        <v>3.0104060000000001</v>
      </c>
      <c r="T625">
        <v>-0.22692419999999999</v>
      </c>
      <c r="U625">
        <v>-0.5424194</v>
      </c>
      <c r="V625">
        <v>-4.9474570000000002E-4</v>
      </c>
      <c r="W625">
        <v>6.3178699999999893E-2</v>
      </c>
      <c r="X625">
        <v>0.9980021</v>
      </c>
      <c r="Y625">
        <v>0.16662839999999901</v>
      </c>
      <c r="Z625">
        <v>-5.4432129999999997E-3</v>
      </c>
      <c r="AA625">
        <v>0.98600480000000001</v>
      </c>
      <c r="AB625">
        <v>71</v>
      </c>
      <c r="AC625">
        <v>14.255799999999899</v>
      </c>
      <c r="AD625">
        <v>-1.104172025464</v>
      </c>
      <c r="AE625">
        <v>-2.6335999999999999</v>
      </c>
      <c r="AF625">
        <v>2.4705205766599301</v>
      </c>
      <c r="AG625">
        <v>-1.104172025464</v>
      </c>
      <c r="AH625">
        <v>14.200101207921399</v>
      </c>
      <c r="AI625">
        <v>94.380717526093406</v>
      </c>
      <c r="AJ625">
        <v>80.130520434777694</v>
      </c>
      <c r="AK625">
        <v>14.4556404941714</v>
      </c>
    </row>
    <row r="626" spans="1:37" x14ac:dyDescent="0.2">
      <c r="A626" t="str">
        <f>"20200111154038730"</f>
        <v>20200111154038730</v>
      </c>
      <c r="B626" t="str">
        <f>"1578728438726792"</f>
        <v>1578728438726792</v>
      </c>
      <c r="C626" t="s">
        <v>37</v>
      </c>
      <c r="D626">
        <v>5.3827600000000002</v>
      </c>
      <c r="E626">
        <v>0.56294840000000002</v>
      </c>
      <c r="F626" t="s">
        <v>39</v>
      </c>
      <c r="G626">
        <v>-251.92789999999999</v>
      </c>
      <c r="H626" s="1">
        <v>-4.2079649999999901E-6</v>
      </c>
      <c r="I626">
        <v>365.31630000000001</v>
      </c>
      <c r="J626">
        <v>-266.22609999999997</v>
      </c>
      <c r="K626">
        <v>1.104746</v>
      </c>
      <c r="L626">
        <v>367.96809999999999</v>
      </c>
      <c r="M626">
        <v>0.99986030000000004</v>
      </c>
      <c r="N626">
        <v>0</v>
      </c>
      <c r="O626">
        <v>-1.009343E-2</v>
      </c>
      <c r="P626">
        <v>0.99872530000000004</v>
      </c>
      <c r="Q626">
        <v>4.9306790000000003E-2</v>
      </c>
      <c r="R626">
        <v>-1.081114E-2</v>
      </c>
      <c r="S626">
        <v>3.0097959999999899</v>
      </c>
      <c r="T626">
        <v>-0.2265074</v>
      </c>
      <c r="U626">
        <v>-0.54479979999999995</v>
      </c>
      <c r="V626">
        <v>5.3627470000000002E-4</v>
      </c>
      <c r="W626">
        <v>6.2615240000000003E-2</v>
      </c>
      <c r="X626">
        <v>0.99803759999999997</v>
      </c>
      <c r="Y626">
        <v>0.1677411</v>
      </c>
      <c r="Z626">
        <v>-5.4999960000000001E-3</v>
      </c>
      <c r="AA626">
        <v>0.98581580000000002</v>
      </c>
      <c r="AB626">
        <v>71</v>
      </c>
      <c r="AC626">
        <v>14.2981999999999</v>
      </c>
      <c r="AD626">
        <v>-1.104750207965</v>
      </c>
      <c r="AE626">
        <v>-2.6517999999999802</v>
      </c>
      <c r="AF626">
        <v>2.4929465077108199</v>
      </c>
      <c r="AG626">
        <v>-1.104750207965</v>
      </c>
      <c r="AH626">
        <v>14.242043676158501</v>
      </c>
      <c r="AI626">
        <v>94.369361664533301</v>
      </c>
      <c r="AJ626">
        <v>80.071455901384098</v>
      </c>
      <c r="AK626">
        <v>14.5007263054618</v>
      </c>
    </row>
    <row r="627" spans="1:37" x14ac:dyDescent="0.2">
      <c r="A627" t="str">
        <f>"20200111154038743"</f>
        <v>20200111154038743</v>
      </c>
      <c r="B627" t="str">
        <f>"1578728438736552"</f>
        <v>1578728438736552</v>
      </c>
      <c r="C627" t="s">
        <v>37</v>
      </c>
      <c r="D627">
        <v>5.4079550000000003</v>
      </c>
      <c r="E627">
        <v>0.562895699999999</v>
      </c>
      <c r="F627" t="s">
        <v>39</v>
      </c>
      <c r="G627">
        <v>-251.58519999999999</v>
      </c>
      <c r="H627" s="1">
        <v>-4.356632E-6</v>
      </c>
      <c r="I627">
        <v>365.30709999999999</v>
      </c>
      <c r="J627">
        <v>-265.81369999999998</v>
      </c>
      <c r="K627">
        <v>1.1053519999999999</v>
      </c>
      <c r="L627">
        <v>367.96370000000002</v>
      </c>
      <c r="M627">
        <v>0.99986059999999999</v>
      </c>
      <c r="N627">
        <v>0</v>
      </c>
      <c r="O627">
        <v>-9.7309739999999999E-3</v>
      </c>
      <c r="P627">
        <v>0.9987277</v>
      </c>
      <c r="Q627">
        <v>4.9038640000000001E-2</v>
      </c>
      <c r="R627">
        <v>-1.1763239999999999E-2</v>
      </c>
      <c r="S627">
        <v>3.0090939999999899</v>
      </c>
      <c r="T627">
        <v>-0.22705359999999999</v>
      </c>
      <c r="U627">
        <v>-0.54690550000000004</v>
      </c>
      <c r="V627">
        <v>1.850326E-3</v>
      </c>
      <c r="W627">
        <v>6.2596200000000005E-2</v>
      </c>
      <c r="X627">
        <v>0.99803719999999996</v>
      </c>
      <c r="Y627">
        <v>0.16880029999999999</v>
      </c>
      <c r="Z627">
        <v>-5.5808079999999996E-3</v>
      </c>
      <c r="AA627">
        <v>0.98563440000000002</v>
      </c>
      <c r="AB627">
        <v>71</v>
      </c>
      <c r="AC627">
        <v>14.228499999999899</v>
      </c>
      <c r="AD627">
        <v>-1.1053563566319999</v>
      </c>
      <c r="AE627">
        <v>-2.6566000000000201</v>
      </c>
      <c r="AF627">
        <v>2.5034048634108998</v>
      </c>
      <c r="AG627">
        <v>-1.1053563566319999</v>
      </c>
      <c r="AH627">
        <v>14.171036861623501</v>
      </c>
      <c r="AI627">
        <v>94.392364208015593</v>
      </c>
      <c r="AJ627">
        <v>79.981693839006994</v>
      </c>
      <c r="AK627">
        <v>14.432849140720201</v>
      </c>
    </row>
    <row r="628" spans="1:37" x14ac:dyDescent="0.2">
      <c r="A628" t="str">
        <f>"20200111154038754"</f>
        <v>20200111154038754</v>
      </c>
      <c r="B628" t="str">
        <f>"1578728438747288"</f>
        <v>1578728438747288</v>
      </c>
      <c r="C628" t="s">
        <v>37</v>
      </c>
      <c r="D628">
        <v>5.3085589999999998</v>
      </c>
      <c r="E628">
        <v>0.56291910000000001</v>
      </c>
      <c r="F628" t="s">
        <v>39</v>
      </c>
      <c r="G628">
        <v>-251.1602</v>
      </c>
      <c r="H628" s="1">
        <v>-4.5421909999999999E-6</v>
      </c>
      <c r="I628">
        <v>365.28879999999998</v>
      </c>
      <c r="J628">
        <v>-265.44330000000002</v>
      </c>
      <c r="K628">
        <v>1.105828</v>
      </c>
      <c r="L628">
        <v>367.96010000000001</v>
      </c>
      <c r="M628">
        <v>0.99986030000000004</v>
      </c>
      <c r="N628">
        <v>0</v>
      </c>
      <c r="O628">
        <v>-9.4077509999999902E-3</v>
      </c>
      <c r="P628">
        <v>0.99874010000000002</v>
      </c>
      <c r="Q628">
        <v>4.8521759999999997E-2</v>
      </c>
      <c r="R628">
        <v>-1.280943E-2</v>
      </c>
      <c r="S628">
        <v>3.0084529999999998</v>
      </c>
      <c r="T628">
        <v>-0.2269351</v>
      </c>
      <c r="U628">
        <v>-0.54916379999999998</v>
      </c>
      <c r="V628">
        <v>3.2203050000000001E-3</v>
      </c>
      <c r="W628">
        <v>6.234112E-2</v>
      </c>
      <c r="X628">
        <v>0.99804969999999904</v>
      </c>
      <c r="Y628">
        <v>0.1698684</v>
      </c>
      <c r="Z628">
        <v>-5.6427309999999998E-3</v>
      </c>
      <c r="AA628">
        <v>0.98545059999999995</v>
      </c>
      <c r="AB628">
        <v>71</v>
      </c>
      <c r="AC628">
        <v>14.283099999999999</v>
      </c>
      <c r="AD628">
        <v>-1.105832542191</v>
      </c>
      <c r="AE628">
        <v>-2.67130000000002</v>
      </c>
      <c r="AF628">
        <v>2.52218944365986</v>
      </c>
      <c r="AG628">
        <v>-1.105832542191</v>
      </c>
      <c r="AH628">
        <v>14.225213630340701</v>
      </c>
      <c r="AI628">
        <v>94.377094029753593</v>
      </c>
      <c r="AJ628">
        <v>79.9457095208395</v>
      </c>
      <c r="AK628">
        <v>14.489341186883101</v>
      </c>
    </row>
    <row r="629" spans="1:37" x14ac:dyDescent="0.2">
      <c r="A629" t="str">
        <f>"20200111154038765"</f>
        <v>20200111154038765</v>
      </c>
      <c r="B629" t="str">
        <f>"1578728438757047"</f>
        <v>1578728438757047</v>
      </c>
      <c r="C629" t="s">
        <v>37</v>
      </c>
      <c r="D629">
        <v>5.2971750000000002</v>
      </c>
      <c r="E629">
        <v>0.56291059999999904</v>
      </c>
      <c r="F629" t="s">
        <v>39</v>
      </c>
      <c r="G629">
        <v>-250.79990000000001</v>
      </c>
      <c r="H629" s="1">
        <v>-4.7001409999999998E-6</v>
      </c>
      <c r="I629">
        <v>365.26979999999998</v>
      </c>
      <c r="J629">
        <v>-265.08409999999998</v>
      </c>
      <c r="K629">
        <v>1.1062719999999999</v>
      </c>
      <c r="L629">
        <v>367.95670000000001</v>
      </c>
      <c r="M629">
        <v>0.99985949999999901</v>
      </c>
      <c r="N629">
        <v>0</v>
      </c>
      <c r="O629">
        <v>-9.0939539999999996E-3</v>
      </c>
      <c r="P629">
        <v>0.99872919999999998</v>
      </c>
      <c r="Q629">
        <v>4.850782E-2</v>
      </c>
      <c r="R629">
        <v>-1.36782E-2</v>
      </c>
      <c r="S629">
        <v>3.0077210000000001</v>
      </c>
      <c r="T629">
        <v>-0.2271339</v>
      </c>
      <c r="U629">
        <v>-0.55258180000000001</v>
      </c>
      <c r="V629">
        <v>4.4020680000000003E-3</v>
      </c>
      <c r="W629">
        <v>6.2583360000000005E-2</v>
      </c>
      <c r="X629">
        <v>0.99802999999999997</v>
      </c>
      <c r="Y629">
        <v>0.17129759999999999</v>
      </c>
      <c r="Z629">
        <v>-5.7253390000000003E-3</v>
      </c>
      <c r="AA629">
        <v>0.98520269999999999</v>
      </c>
      <c r="AB629">
        <v>71</v>
      </c>
      <c r="AC629">
        <v>14.284199999999901</v>
      </c>
      <c r="AD629">
        <v>-1.1062767001410001</v>
      </c>
      <c r="AE629">
        <v>-2.6869000000000298</v>
      </c>
      <c r="AF629">
        <v>2.5421490833886198</v>
      </c>
      <c r="AG629">
        <v>-1.1062767001410001</v>
      </c>
      <c r="AH629">
        <v>14.2256349492786</v>
      </c>
      <c r="AI629">
        <v>94.3776642656333</v>
      </c>
      <c r="AJ629">
        <v>79.868079804009497</v>
      </c>
      <c r="AK629">
        <v>14.493276365597399</v>
      </c>
    </row>
    <row r="630" spans="1:37" x14ac:dyDescent="0.2">
      <c r="A630" t="str">
        <f>"20200111154038777"</f>
        <v>20200111154038777</v>
      </c>
      <c r="B630" t="str">
        <f>"1578728438766808"</f>
        <v>1578728438766808</v>
      </c>
      <c r="C630" t="s">
        <v>37</v>
      </c>
      <c r="D630">
        <v>5.3224400000000003</v>
      </c>
      <c r="E630">
        <v>0.56291150000000001</v>
      </c>
      <c r="F630" t="s">
        <v>39</v>
      </c>
      <c r="G630">
        <v>-250.38030000000001</v>
      </c>
      <c r="H630" s="1">
        <v>-4.8849020000000001E-6</v>
      </c>
      <c r="I630">
        <v>365.24299999999999</v>
      </c>
      <c r="J630">
        <v>-264.69290000000001</v>
      </c>
      <c r="K630">
        <v>1.106711</v>
      </c>
      <c r="L630">
        <v>367.95310000000001</v>
      </c>
      <c r="M630">
        <v>0.99985859999999904</v>
      </c>
      <c r="N630">
        <v>0</v>
      </c>
      <c r="O630">
        <v>-8.7522409999999991E-3</v>
      </c>
      <c r="P630">
        <v>0.99873650000000003</v>
      </c>
      <c r="Q630">
        <v>4.8089960000000001E-2</v>
      </c>
      <c r="R630">
        <v>-1.4591299999999899E-2</v>
      </c>
      <c r="S630">
        <v>3.0072329999999998</v>
      </c>
      <c r="T630">
        <v>-0.22625479999999901</v>
      </c>
      <c r="U630">
        <v>-0.55499270000000001</v>
      </c>
      <c r="V630">
        <v>5.6570179999999998E-3</v>
      </c>
      <c r="W630">
        <v>6.2454389999999999E-2</v>
      </c>
      <c r="X630">
        <v>0.99803180000000002</v>
      </c>
      <c r="Y630">
        <v>0.17242589999999999</v>
      </c>
      <c r="Z630">
        <v>-5.771221E-3</v>
      </c>
      <c r="AA630">
        <v>0.98500560000000004</v>
      </c>
      <c r="AB630">
        <v>71</v>
      </c>
      <c r="AC630">
        <v>14.3126</v>
      </c>
      <c r="AD630">
        <v>-1.106715884902</v>
      </c>
      <c r="AE630">
        <v>-2.71009999999995</v>
      </c>
      <c r="AF630">
        <v>2.5698822187751298</v>
      </c>
      <c r="AG630">
        <v>-1.106715884902</v>
      </c>
      <c r="AH630">
        <v>14.253500394130899</v>
      </c>
      <c r="AI630">
        <v>94.369658464117904</v>
      </c>
      <c r="AJ630">
        <v>79.779470909502606</v>
      </c>
      <c r="AK630">
        <v>14.5255426113368</v>
      </c>
    </row>
    <row r="631" spans="1:37" x14ac:dyDescent="0.2">
      <c r="A631" t="str">
        <f>"20200111154038794"</f>
        <v>20200111154038794</v>
      </c>
      <c r="B631" t="str">
        <f>"1578728438787303"</f>
        <v>1578728438787303</v>
      </c>
      <c r="C631" t="s">
        <v>37</v>
      </c>
      <c r="D631">
        <v>5.4298010000000003</v>
      </c>
      <c r="E631">
        <v>0.56285079999999998</v>
      </c>
      <c r="F631" t="s">
        <v>39</v>
      </c>
      <c r="G631">
        <v>-249.98220000000001</v>
      </c>
      <c r="H631" s="1">
        <v>-5.0585510000000003E-6</v>
      </c>
      <c r="I631">
        <v>365.22680000000003</v>
      </c>
      <c r="J631">
        <v>-264.20949999999999</v>
      </c>
      <c r="K631">
        <v>1.107194</v>
      </c>
      <c r="L631">
        <v>367.94880000000001</v>
      </c>
      <c r="M631">
        <v>0.999857</v>
      </c>
      <c r="N631">
        <v>0</v>
      </c>
      <c r="O631">
        <v>-8.3301369999999996E-3</v>
      </c>
      <c r="P631">
        <v>0.99870319999999901</v>
      </c>
      <c r="Q631">
        <v>4.8011610000000003E-2</v>
      </c>
      <c r="R631">
        <v>-1.6934399999999999E-2</v>
      </c>
      <c r="S631">
        <v>3.0065919999999999</v>
      </c>
      <c r="T631">
        <v>-0.22619110000000001</v>
      </c>
      <c r="U631">
        <v>-0.55718990000000002</v>
      </c>
      <c r="V631">
        <v>8.4211819999999993E-3</v>
      </c>
      <c r="W631">
        <v>6.2737070000000006E-2</v>
      </c>
      <c r="X631">
        <v>0.99799450000000001</v>
      </c>
      <c r="Y631">
        <v>0.173570899999999</v>
      </c>
      <c r="Z631">
        <v>-5.8445090000000003E-3</v>
      </c>
      <c r="AA631">
        <v>0.98480400000000001</v>
      </c>
      <c r="AB631">
        <v>71</v>
      </c>
      <c r="AC631">
        <v>14.2272999999999</v>
      </c>
      <c r="AD631">
        <v>-1.1071990585510001</v>
      </c>
      <c r="AE631">
        <v>-2.7219999999999702</v>
      </c>
      <c r="AF631">
        <v>2.5882556413223901</v>
      </c>
      <c r="AG631">
        <v>-1.1071990585510001</v>
      </c>
      <c r="AH631">
        <v>14.166715317001399</v>
      </c>
      <c r="AI631">
        <v>94.396385918981395</v>
      </c>
      <c r="AJ631">
        <v>79.646266163340499</v>
      </c>
      <c r="AK631">
        <v>14.4437107383475</v>
      </c>
    </row>
    <row r="632" spans="1:37" x14ac:dyDescent="0.2">
      <c r="A632" t="str">
        <f>"20200111154038806"</f>
        <v>20200111154038806</v>
      </c>
      <c r="B632" t="str">
        <f>"1578728438797064"</f>
        <v>1578728438797064</v>
      </c>
      <c r="C632" t="s">
        <v>37</v>
      </c>
      <c r="D632">
        <v>5.4116739999999997</v>
      </c>
      <c r="E632">
        <v>0.56279619999999997</v>
      </c>
      <c r="F632" t="s">
        <v>39</v>
      </c>
      <c r="G632">
        <v>-249.36709999999999</v>
      </c>
      <c r="H632" s="1">
        <v>-1.412129E-6</v>
      </c>
      <c r="I632">
        <v>365.16320000000002</v>
      </c>
      <c r="J632">
        <v>-263.79329999999999</v>
      </c>
      <c r="K632">
        <v>1.107585</v>
      </c>
      <c r="L632">
        <v>367.94529999999997</v>
      </c>
      <c r="M632">
        <v>0.9998553</v>
      </c>
      <c r="N632">
        <v>0</v>
      </c>
      <c r="O632">
        <v>-7.9670580000000008E-3</v>
      </c>
      <c r="P632">
        <v>0.99870059999999905</v>
      </c>
      <c r="Q632">
        <v>4.7615570000000003E-2</v>
      </c>
      <c r="R632">
        <v>-1.8164489999999998E-2</v>
      </c>
      <c r="S632">
        <v>3.005096</v>
      </c>
      <c r="T632">
        <v>-0.22417049999999999</v>
      </c>
      <c r="U632">
        <v>-0.56399540000000004</v>
      </c>
      <c r="V632">
        <v>1.0014210000000001E-2</v>
      </c>
      <c r="W632">
        <v>6.2652830000000007E-2</v>
      </c>
      <c r="X632">
        <v>0.99798509999999996</v>
      </c>
      <c r="Y632">
        <v>0.17617070000000001</v>
      </c>
      <c r="Z632">
        <v>-5.9168809999999997E-3</v>
      </c>
      <c r="AA632">
        <v>0.98434189999999999</v>
      </c>
      <c r="AB632">
        <v>71</v>
      </c>
      <c r="AC632">
        <v>14.4261999999999</v>
      </c>
      <c r="AD632">
        <v>-1.107586412129</v>
      </c>
      <c r="AE632">
        <v>-2.7820999999999501</v>
      </c>
      <c r="AF632">
        <v>2.6519925390561401</v>
      </c>
      <c r="AG632">
        <v>-1.107586412129</v>
      </c>
      <c r="AH632">
        <v>14.3662634413128</v>
      </c>
      <c r="AI632">
        <v>94.335608106635803</v>
      </c>
      <c r="AJ632">
        <v>79.541019278742297</v>
      </c>
      <c r="AK632">
        <v>14.6509159219737</v>
      </c>
    </row>
    <row r="633" spans="1:37" x14ac:dyDescent="0.2">
      <c r="A633" t="str">
        <f>"20200111154038820"</f>
        <v>20200111154038820</v>
      </c>
      <c r="B633" t="str">
        <f>"1578728438816585"</f>
        <v>1578728438816585</v>
      </c>
      <c r="C633" t="s">
        <v>37</v>
      </c>
      <c r="D633">
        <v>5.3733449999999996</v>
      </c>
      <c r="E633">
        <v>0.56280249999999998</v>
      </c>
      <c r="F633" t="s">
        <v>39</v>
      </c>
      <c r="G633">
        <v>-248.9973</v>
      </c>
      <c r="H633" s="1">
        <v>-1.5568549999999999E-6</v>
      </c>
      <c r="I633">
        <v>365.15300000000002</v>
      </c>
      <c r="J633">
        <v>-263.3449</v>
      </c>
      <c r="K633">
        <v>1.1079680000000001</v>
      </c>
      <c r="L633">
        <v>367.94170000000003</v>
      </c>
      <c r="M633">
        <v>0.99985329999999994</v>
      </c>
      <c r="N633">
        <v>0</v>
      </c>
      <c r="O633">
        <v>-7.5765379999999998E-3</v>
      </c>
      <c r="P633">
        <v>0.99869850000000004</v>
      </c>
      <c r="Q633">
        <v>4.719657E-2</v>
      </c>
      <c r="R633">
        <v>-1.933089E-2</v>
      </c>
      <c r="S633">
        <v>3.00430299999999</v>
      </c>
      <c r="T633">
        <v>-0.2248935</v>
      </c>
      <c r="U633">
        <v>-0.5669556</v>
      </c>
      <c r="V633">
        <v>1.1570759999999999E-2</v>
      </c>
      <c r="W633">
        <v>6.2574790000000005E-2</v>
      </c>
      <c r="X633">
        <v>0.9979732</v>
      </c>
      <c r="Y633">
        <v>0.17753099999999999</v>
      </c>
      <c r="Z633">
        <v>-6.0162430000000001E-3</v>
      </c>
      <c r="AA633">
        <v>0.98409679999999999</v>
      </c>
      <c r="AB633">
        <v>71</v>
      </c>
      <c r="AC633">
        <v>14.3476</v>
      </c>
      <c r="AD633">
        <v>-1.1079695568550001</v>
      </c>
      <c r="AE633">
        <v>-2.7887</v>
      </c>
      <c r="AF633">
        <v>2.6645902923443798</v>
      </c>
      <c r="AG633">
        <v>-1.1079695568550001</v>
      </c>
      <c r="AH633">
        <v>14.286225553848899</v>
      </c>
      <c r="AI633">
        <v>94.359814182357695</v>
      </c>
      <c r="AJ633">
        <v>79.434893710767497</v>
      </c>
      <c r="AK633">
        <v>14.574768558725699</v>
      </c>
    </row>
    <row r="634" spans="1:37" x14ac:dyDescent="0.2">
      <c r="A634" t="str">
        <f>"20200111154038835"</f>
        <v>20200111154038835</v>
      </c>
      <c r="B634" t="str">
        <f>"1578728438827319"</f>
        <v>1578728438827319</v>
      </c>
      <c r="C634" t="s">
        <v>37</v>
      </c>
      <c r="D634">
        <v>5.5361949999999904</v>
      </c>
      <c r="E634">
        <v>0.56276890000000002</v>
      </c>
      <c r="F634" t="s">
        <v>39</v>
      </c>
      <c r="G634">
        <v>-248.5395</v>
      </c>
      <c r="H634" s="1">
        <v>-1.73882999999999E-6</v>
      </c>
      <c r="I634">
        <v>365.12979999999999</v>
      </c>
      <c r="J634">
        <v>-262.90210000000002</v>
      </c>
      <c r="K634">
        <v>1.1083049999999901</v>
      </c>
      <c r="L634">
        <v>367.9384</v>
      </c>
      <c r="M634">
        <v>0.99985069999999998</v>
      </c>
      <c r="N634">
        <v>0</v>
      </c>
      <c r="O634">
        <v>-7.189254E-3</v>
      </c>
      <c r="P634">
        <v>0.99869319999999895</v>
      </c>
      <c r="Q634">
        <v>4.6766309999999998E-2</v>
      </c>
      <c r="R634">
        <v>-2.0616490000000001E-2</v>
      </c>
      <c r="S634">
        <v>3.003479</v>
      </c>
      <c r="T634">
        <v>-0.22476660000000001</v>
      </c>
      <c r="U634">
        <v>-0.57043459999999901</v>
      </c>
      <c r="V634">
        <v>1.324344E-2</v>
      </c>
      <c r="W634">
        <v>6.2498169999999999E-2</v>
      </c>
      <c r="X634">
        <v>0.99795719999999999</v>
      </c>
      <c r="Y634">
        <v>0.17905670000000001</v>
      </c>
      <c r="Z634">
        <v>-6.0990200000000001E-3</v>
      </c>
      <c r="AA634">
        <v>0.98381980000000002</v>
      </c>
      <c r="AB634">
        <v>71</v>
      </c>
      <c r="AC634">
        <v>14.3626</v>
      </c>
      <c r="AD634">
        <v>-1.1083067388299901</v>
      </c>
      <c r="AE634">
        <v>-2.80860000000001</v>
      </c>
      <c r="AF634">
        <v>2.6898312788668099</v>
      </c>
      <c r="AG634">
        <v>-1.1083067388299901</v>
      </c>
      <c r="AH634">
        <v>14.3004058352579</v>
      </c>
      <c r="AI634">
        <v>94.355587243497098</v>
      </c>
      <c r="AJ634">
        <v>79.347428858111499</v>
      </c>
      <c r="AK634">
        <v>14.5933252958051</v>
      </c>
    </row>
    <row r="635" spans="1:37" x14ac:dyDescent="0.2">
      <c r="A635" t="str">
        <f>"20200111154038848"</f>
        <v>20200111154038848</v>
      </c>
      <c r="B635" t="str">
        <f>"1578728438837080"</f>
        <v>1578728438837080</v>
      </c>
      <c r="C635" t="s">
        <v>37</v>
      </c>
      <c r="D635">
        <v>5.4091959999999997</v>
      </c>
      <c r="E635">
        <v>0.56276890000000002</v>
      </c>
      <c r="F635" t="s">
        <v>39</v>
      </c>
      <c r="G635">
        <v>-248.21940000000001</v>
      </c>
      <c r="H635" s="1">
        <v>-1.8607659999999999E-6</v>
      </c>
      <c r="I635">
        <v>365.13350000000003</v>
      </c>
      <c r="J635">
        <v>-262.47699999999998</v>
      </c>
      <c r="K635">
        <v>1.1086049999999901</v>
      </c>
      <c r="L635">
        <v>367.93529999999998</v>
      </c>
      <c r="M635">
        <v>0.99984779999999995</v>
      </c>
      <c r="N635">
        <v>0</v>
      </c>
      <c r="O635">
        <v>-6.8128449999999997E-3</v>
      </c>
      <c r="P635">
        <v>0.99864069999999905</v>
      </c>
      <c r="Q635">
        <v>4.6525379999999998E-2</v>
      </c>
      <c r="R635">
        <v>-2.3500380000000001E-2</v>
      </c>
      <c r="S635">
        <v>3.0027159999999999</v>
      </c>
      <c r="T635">
        <v>-0.22665660000000001</v>
      </c>
      <c r="U635">
        <v>-0.57360840000000002</v>
      </c>
      <c r="V635">
        <v>1.6503210000000001E-2</v>
      </c>
      <c r="W635">
        <v>6.2610959999999993E-2</v>
      </c>
      <c r="X635">
        <v>0.99790159999999895</v>
      </c>
      <c r="Y635">
        <v>0.18046329999999999</v>
      </c>
      <c r="Z635">
        <v>-6.2317419999999898E-3</v>
      </c>
      <c r="AA635">
        <v>0.98356200000000005</v>
      </c>
      <c r="AB635">
        <v>71</v>
      </c>
      <c r="AC635">
        <v>14.2576</v>
      </c>
      <c r="AD635">
        <v>-1.10860686076599</v>
      </c>
      <c r="AE635">
        <v>-2.8017999999999499</v>
      </c>
      <c r="AF635">
        <v>2.6889349901247099</v>
      </c>
      <c r="AG635">
        <v>-1.10860686076599</v>
      </c>
      <c r="AH635">
        <v>14.193736242994101</v>
      </c>
      <c r="AI635">
        <v>94.388300783706399</v>
      </c>
      <c r="AJ635">
        <v>79.272716998520394</v>
      </c>
      <c r="AK635">
        <v>14.4886689895428</v>
      </c>
    </row>
    <row r="636" spans="1:37" x14ac:dyDescent="0.2">
      <c r="A636" t="str">
        <f>"20200111154038861"</f>
        <v>20200111154038861</v>
      </c>
      <c r="B636" t="str">
        <f>"1578728438856601"</f>
        <v>1578728438856601</v>
      </c>
      <c r="C636" t="s">
        <v>37</v>
      </c>
      <c r="D636">
        <v>5.3232470000000003</v>
      </c>
      <c r="E636">
        <v>0.5305299</v>
      </c>
      <c r="F636" t="s">
        <v>39</v>
      </c>
      <c r="G636">
        <v>-247.8895</v>
      </c>
      <c r="H636" s="1">
        <v>-1.99457099999999E-6</v>
      </c>
      <c r="I636">
        <v>365.10669999999999</v>
      </c>
      <c r="J636">
        <v>-262.0521</v>
      </c>
      <c r="K636">
        <v>1.108886</v>
      </c>
      <c r="L636">
        <v>367.93239999999997</v>
      </c>
      <c r="M636">
        <v>0.99984470000000003</v>
      </c>
      <c r="N636">
        <v>0</v>
      </c>
      <c r="O636">
        <v>-6.4307100000000001E-3</v>
      </c>
      <c r="P636">
        <v>0.99860700000000002</v>
      </c>
      <c r="Q636">
        <v>4.6558349999999998E-2</v>
      </c>
      <c r="R636">
        <v>-2.4834019999999998E-2</v>
      </c>
      <c r="S636">
        <v>3.001007</v>
      </c>
      <c r="T636">
        <v>-0.22806860000000001</v>
      </c>
      <c r="U636">
        <v>-0.58190920000000002</v>
      </c>
      <c r="V636">
        <v>1.8217190000000001E-2</v>
      </c>
      <c r="W636">
        <v>6.3003119999999996E-2</v>
      </c>
      <c r="X636">
        <v>0.99784709999999999</v>
      </c>
      <c r="Y636">
        <v>0.18354899999999999</v>
      </c>
      <c r="Z636">
        <v>-6.4170709999999999E-3</v>
      </c>
      <c r="AA636">
        <v>0.98298960000000002</v>
      </c>
      <c r="AB636">
        <v>71</v>
      </c>
      <c r="AC636">
        <v>14.1625999999999</v>
      </c>
      <c r="AD636">
        <v>-1.108887994571</v>
      </c>
      <c r="AE636">
        <v>-2.8256999999999799</v>
      </c>
      <c r="AF636">
        <v>2.71852606930387</v>
      </c>
      <c r="AG636">
        <v>-1.108887994571</v>
      </c>
      <c r="AH636">
        <v>14.097366742146701</v>
      </c>
      <c r="AI636">
        <v>94.416542609637204</v>
      </c>
      <c r="AJ636">
        <v>79.085104270265404</v>
      </c>
      <c r="AK636">
        <v>14.399852972741501</v>
      </c>
    </row>
    <row r="637" spans="1:37" x14ac:dyDescent="0.2">
      <c r="A637" t="str">
        <f>"20200111154038875"</f>
        <v>20200111154038875</v>
      </c>
      <c r="B637" t="str">
        <f>"1578728438867336"</f>
        <v>1578728438867336</v>
      </c>
      <c r="C637" t="s">
        <v>37</v>
      </c>
      <c r="D637">
        <v>5.3841260000000002</v>
      </c>
      <c r="E637">
        <v>0.52559880000000003</v>
      </c>
      <c r="F637" t="s">
        <v>39</v>
      </c>
      <c r="G637">
        <v>-242.02260000000001</v>
      </c>
      <c r="H637" s="1">
        <v>-4.4364660000000001E-6</v>
      </c>
      <c r="I637">
        <v>365.75459999999998</v>
      </c>
      <c r="J637">
        <v>-261.65640000000002</v>
      </c>
      <c r="K637">
        <v>1.1091229999999901</v>
      </c>
      <c r="L637">
        <v>367.93</v>
      </c>
      <c r="M637">
        <v>0.99984099999999998</v>
      </c>
      <c r="N637">
        <v>0</v>
      </c>
      <c r="O637">
        <v>-6.0619589999999996E-3</v>
      </c>
      <c r="P637">
        <v>0.99857909999999905</v>
      </c>
      <c r="Q637">
        <v>4.635562E-2</v>
      </c>
      <c r="R637">
        <v>-2.628407E-2</v>
      </c>
      <c r="S637">
        <v>3.003784</v>
      </c>
      <c r="T637">
        <v>-0.16629839999999901</v>
      </c>
      <c r="U637">
        <v>-0.32659909999999998</v>
      </c>
      <c r="V637">
        <v>2.003462E-2</v>
      </c>
      <c r="W637">
        <v>6.3160140000000004E-2</v>
      </c>
      <c r="X637">
        <v>0.99780230000000003</v>
      </c>
      <c r="Y637">
        <v>0.1019178</v>
      </c>
      <c r="Z637">
        <v>-2.4764279999999902E-3</v>
      </c>
      <c r="AA637">
        <v>0.994789699999999</v>
      </c>
      <c r="AB637">
        <v>71</v>
      </c>
      <c r="AC637">
        <v>19.633800000000001</v>
      </c>
      <c r="AD637">
        <v>-1.10912743646599</v>
      </c>
      <c r="AE637">
        <v>-2.1754000000000202</v>
      </c>
      <c r="AF637">
        <v>2.0498617993472599</v>
      </c>
      <c r="AG637">
        <v>-1.10912743646599</v>
      </c>
      <c r="AH637">
        <v>19.584886837167101</v>
      </c>
      <c r="AI637">
        <v>93.223728867600101</v>
      </c>
      <c r="AJ637">
        <v>84.024864655475099</v>
      </c>
      <c r="AK637">
        <v>19.723080121811201</v>
      </c>
    </row>
    <row r="638" spans="1:37" x14ac:dyDescent="0.2">
      <c r="A638" t="str">
        <f>"20200111154038887"</f>
        <v>20200111154038887</v>
      </c>
      <c r="B638" t="str">
        <f>"1578728438877095"</f>
        <v>1578728438877095</v>
      </c>
      <c r="C638" t="s">
        <v>37</v>
      </c>
      <c r="D638">
        <v>5.321987</v>
      </c>
      <c r="E638">
        <v>0.52306109999999995</v>
      </c>
      <c r="F638" t="s">
        <v>39</v>
      </c>
      <c r="G638">
        <v>-241.23230000000001</v>
      </c>
      <c r="H638" s="1">
        <v>-4.7757270000000004E-6</v>
      </c>
      <c r="I638">
        <v>365.94819999999999</v>
      </c>
      <c r="J638">
        <v>-261.24430000000001</v>
      </c>
      <c r="K638">
        <v>1.109364</v>
      </c>
      <c r="L638">
        <v>367.92750000000001</v>
      </c>
      <c r="M638">
        <v>0.99983679999999997</v>
      </c>
      <c r="N638">
        <v>0</v>
      </c>
      <c r="O638">
        <v>-5.6695799999999996E-3</v>
      </c>
      <c r="P638">
        <v>0.99855269999999996</v>
      </c>
      <c r="Q638">
        <v>4.6205699999999898E-2</v>
      </c>
      <c r="R638">
        <v>-2.7522080000000001E-2</v>
      </c>
      <c r="S638">
        <v>3.0042110000000002</v>
      </c>
      <c r="T638">
        <v>-0.1631427</v>
      </c>
      <c r="U638">
        <v>-0.29150389999999998</v>
      </c>
      <c r="V638">
        <v>2.1663140000000001E-2</v>
      </c>
      <c r="W638">
        <v>6.3395229999999997E-2</v>
      </c>
      <c r="X638">
        <v>0.99775340000000001</v>
      </c>
      <c r="Y638">
        <v>9.0808470000000002E-2</v>
      </c>
      <c r="Z638">
        <v>-2.1511249999999998E-3</v>
      </c>
      <c r="AA638">
        <v>0.99586609999999998</v>
      </c>
      <c r="AB638">
        <v>70</v>
      </c>
      <c r="AC638">
        <v>20.012</v>
      </c>
      <c r="AD638">
        <v>-1.1093687757270001</v>
      </c>
      <c r="AE638">
        <v>-1.97930000000002</v>
      </c>
      <c r="AF638">
        <v>1.86013093368786</v>
      </c>
      <c r="AG638">
        <v>-1.1093687757270001</v>
      </c>
      <c r="AH638">
        <v>19.9621511349659</v>
      </c>
      <c r="AI638">
        <v>93.167168794300295</v>
      </c>
      <c r="AJ638">
        <v>84.676386565082197</v>
      </c>
      <c r="AK638">
        <v>20.0792993928135</v>
      </c>
    </row>
    <row r="639" spans="1:37" x14ac:dyDescent="0.2">
      <c r="A639" t="str">
        <f>"20200111154038900"</f>
        <v>20200111154038900</v>
      </c>
      <c r="B639" t="str">
        <f>"1578728438896616"</f>
        <v>1578728438896616</v>
      </c>
      <c r="C639" t="s">
        <v>37</v>
      </c>
      <c r="D639">
        <v>5.3297369999999997</v>
      </c>
      <c r="E639">
        <v>0.5206172</v>
      </c>
      <c r="F639" t="s">
        <v>38</v>
      </c>
      <c r="G639">
        <v>-260.03429999999997</v>
      </c>
      <c r="H639">
        <v>1.0422009999999999</v>
      </c>
      <c r="I639">
        <v>367.8168</v>
      </c>
      <c r="J639">
        <v>-260.83510000000001</v>
      </c>
      <c r="K639">
        <v>1.109588</v>
      </c>
      <c r="L639">
        <v>367.92529999999999</v>
      </c>
      <c r="M639">
        <v>0.99983230000000001</v>
      </c>
      <c r="N639">
        <v>0</v>
      </c>
      <c r="O639">
        <v>-5.2667109999999899E-3</v>
      </c>
      <c r="P639">
        <v>0.99852160000000001</v>
      </c>
      <c r="Q639">
        <v>4.6138220000000001E-2</v>
      </c>
      <c r="R639">
        <v>-2.874341E-2</v>
      </c>
      <c r="S639">
        <v>3.004486</v>
      </c>
      <c r="T639">
        <v>-0.16680699999999901</v>
      </c>
      <c r="U639">
        <v>-0.27462769999999997</v>
      </c>
      <c r="V639">
        <v>2.3284570000000001E-2</v>
      </c>
      <c r="W639">
        <v>6.3726430000000001E-2</v>
      </c>
      <c r="X639">
        <v>0.99769569999999996</v>
      </c>
      <c r="Y639">
        <v>8.5656720000000006E-2</v>
      </c>
      <c r="Z639">
        <v>-2.079441E-3</v>
      </c>
      <c r="AA639">
        <v>0.9963225</v>
      </c>
      <c r="AB639">
        <v>70</v>
      </c>
      <c r="AC639">
        <v>0.80080000000003704</v>
      </c>
      <c r="AD639">
        <v>-6.7387000000000002E-2</v>
      </c>
      <c r="AE639">
        <v>-0.10849999999999201</v>
      </c>
      <c r="AF639">
        <v>0.10356015740525901</v>
      </c>
      <c r="AG639">
        <v>-6.7387000000000002E-2</v>
      </c>
      <c r="AH639">
        <v>0.79582663021753697</v>
      </c>
      <c r="AI639">
        <v>94.799725823538793</v>
      </c>
      <c r="AJ639">
        <v>82.585817274600899</v>
      </c>
      <c r="AK639">
        <v>0.80536062688351195</v>
      </c>
    </row>
    <row r="640" spans="1:37" x14ac:dyDescent="0.2">
      <c r="A640" t="str">
        <f>"20200111154038916"</f>
        <v>20200111154038916</v>
      </c>
      <c r="B640" t="str">
        <f>"1578728438907351"</f>
        <v>1578728438907351</v>
      </c>
      <c r="C640" t="s">
        <v>37</v>
      </c>
      <c r="D640">
        <v>5.3234830000000004</v>
      </c>
      <c r="E640">
        <v>0.52031959999999999</v>
      </c>
      <c r="F640" t="s">
        <v>39</v>
      </c>
      <c r="G640">
        <v>-240.2747</v>
      </c>
      <c r="H640" s="1">
        <v>-5.1915679999999902E-6</v>
      </c>
      <c r="I640">
        <v>366.1558</v>
      </c>
      <c r="J640">
        <v>-260.36790000000002</v>
      </c>
      <c r="K640">
        <v>1.1098319999999999</v>
      </c>
      <c r="L640">
        <v>367.92290000000003</v>
      </c>
      <c r="M640">
        <v>0.999826199999999</v>
      </c>
      <c r="N640">
        <v>0</v>
      </c>
      <c r="O640">
        <v>-4.786485E-3</v>
      </c>
      <c r="P640">
        <v>0.99845419999999996</v>
      </c>
      <c r="Q640">
        <v>4.6219780000000002E-2</v>
      </c>
      <c r="R640">
        <v>-3.08767E-2</v>
      </c>
      <c r="S640">
        <v>3.0044559999999998</v>
      </c>
      <c r="T640">
        <v>-0.162142799999999</v>
      </c>
      <c r="U640">
        <v>-0.25857540000000001</v>
      </c>
      <c r="V640">
        <v>2.5893909999999999E-2</v>
      </c>
      <c r="W640">
        <v>6.4296989999999998E-2</v>
      </c>
      <c r="X640">
        <v>0.9975948</v>
      </c>
      <c r="Y640">
        <v>8.0866519999999997E-2</v>
      </c>
      <c r="Z640">
        <v>-1.91879999999999E-3</v>
      </c>
      <c r="AA640">
        <v>0.99672309999999997</v>
      </c>
      <c r="AB640">
        <v>70</v>
      </c>
      <c r="AC640">
        <v>20.0932</v>
      </c>
      <c r="AD640">
        <v>-1.1098371915680001</v>
      </c>
      <c r="AE640">
        <v>-1.7671000000000201</v>
      </c>
      <c r="AF640">
        <v>1.6658451030995201</v>
      </c>
      <c r="AG640">
        <v>-1.1098371915680001</v>
      </c>
      <c r="AH640">
        <v>20.040757310620499</v>
      </c>
      <c r="AI640">
        <v>93.158873508548993</v>
      </c>
      <c r="AJ640">
        <v>85.248334473899902</v>
      </c>
      <c r="AK640">
        <v>20.140474971621099</v>
      </c>
    </row>
    <row r="641" spans="1:37" x14ac:dyDescent="0.2">
      <c r="A641" t="str">
        <f>"20200111154038928"</f>
        <v>20200111154038928</v>
      </c>
      <c r="B641" t="str">
        <f>"1578728438917112"</f>
        <v>1578728438917112</v>
      </c>
      <c r="C641" t="s">
        <v>37</v>
      </c>
      <c r="D641">
        <v>5.2661499999999997</v>
      </c>
      <c r="E641">
        <v>0.51979399999999998</v>
      </c>
      <c r="F641" t="s">
        <v>39</v>
      </c>
      <c r="G641">
        <v>-240.01769999999999</v>
      </c>
      <c r="H641" s="1">
        <v>-5.3145590000000003E-6</v>
      </c>
      <c r="I641">
        <v>366.14710000000002</v>
      </c>
      <c r="J641">
        <v>-259.97989999999999</v>
      </c>
      <c r="K641">
        <v>1.110028</v>
      </c>
      <c r="L641">
        <v>367.92110000000002</v>
      </c>
      <c r="M641">
        <v>0.99982059999999995</v>
      </c>
      <c r="N641">
        <v>0</v>
      </c>
      <c r="O641">
        <v>-4.3746999999999996E-3</v>
      </c>
      <c r="P641">
        <v>0.998434499999999</v>
      </c>
      <c r="Q641">
        <v>4.6107549999999997E-2</v>
      </c>
      <c r="R641">
        <v>-3.166807E-2</v>
      </c>
      <c r="S641">
        <v>3.0041199999999999</v>
      </c>
      <c r="T641">
        <v>-0.1638355</v>
      </c>
      <c r="U641">
        <v>-0.26214599999999999</v>
      </c>
      <c r="V641">
        <v>2.709315E-2</v>
      </c>
      <c r="W641">
        <v>6.4600580000000005E-2</v>
      </c>
      <c r="X641">
        <v>0.99754330000000002</v>
      </c>
      <c r="Y641">
        <v>8.2456979999999999E-2</v>
      </c>
      <c r="Z641">
        <v>-2.004572E-3</v>
      </c>
      <c r="AA641">
        <v>0.99659259999999905</v>
      </c>
      <c r="AB641">
        <v>70</v>
      </c>
      <c r="AC641">
        <v>19.962199999999999</v>
      </c>
      <c r="AD641">
        <v>-1.110033314559</v>
      </c>
      <c r="AE641">
        <v>-1.774</v>
      </c>
      <c r="AF641">
        <v>1.6814809614211601</v>
      </c>
      <c r="AG641">
        <v>-1.110033314559</v>
      </c>
      <c r="AH641">
        <v>19.908693402239301</v>
      </c>
      <c r="AI641">
        <v>93.179992729031696</v>
      </c>
      <c r="AJ641">
        <v>85.172277075297302</v>
      </c>
      <c r="AK641">
        <v>20.010387931457501</v>
      </c>
    </row>
    <row r="642" spans="1:37" x14ac:dyDescent="0.2">
      <c r="A642" t="str">
        <f>"20200111154038941"</f>
        <v>20200111154038941</v>
      </c>
      <c r="B642" t="str">
        <f>"1578728438936631"</f>
        <v>1578728438936631</v>
      </c>
      <c r="C642" t="s">
        <v>37</v>
      </c>
      <c r="D642">
        <v>5.3081879999999897</v>
      </c>
      <c r="E642">
        <v>0.51881480000000002</v>
      </c>
      <c r="F642" t="s">
        <v>38</v>
      </c>
      <c r="G642">
        <v>-258.78519999999997</v>
      </c>
      <c r="H642">
        <v>1.0441689999999999</v>
      </c>
      <c r="I642">
        <v>367.8177</v>
      </c>
      <c r="J642">
        <v>-259.56029999999998</v>
      </c>
      <c r="K642">
        <v>1.1102270000000001</v>
      </c>
      <c r="L642">
        <v>367.9194</v>
      </c>
      <c r="M642">
        <v>0.99981390000000003</v>
      </c>
      <c r="N642">
        <v>0</v>
      </c>
      <c r="O642">
        <v>-3.9145819999999998E-3</v>
      </c>
      <c r="P642">
        <v>0.99842209999999998</v>
      </c>
      <c r="Q642">
        <v>4.5949690000000001E-2</v>
      </c>
      <c r="R642">
        <v>-3.2285880000000003E-2</v>
      </c>
      <c r="S642">
        <v>3.0040589999999998</v>
      </c>
      <c r="T642">
        <v>-0.16550699999999999</v>
      </c>
      <c r="U642">
        <v>-0.26022339999999999</v>
      </c>
      <c r="V642">
        <v>2.816575E-2</v>
      </c>
      <c r="W642">
        <v>6.4903210000000003E-2</v>
      </c>
      <c r="X642">
        <v>0.99749399999999999</v>
      </c>
      <c r="Y642">
        <v>8.2281460000000001E-2</v>
      </c>
      <c r="Z642">
        <v>-2.0455500000000001E-3</v>
      </c>
      <c r="AA642">
        <v>0.99660700000000002</v>
      </c>
      <c r="AB642">
        <v>70</v>
      </c>
      <c r="AC642">
        <v>0.775100000000009</v>
      </c>
      <c r="AD642">
        <v>-6.6057999999999895E-2</v>
      </c>
      <c r="AE642">
        <v>-0.101699999999993</v>
      </c>
      <c r="AF642">
        <v>9.7964977768091197E-2</v>
      </c>
      <c r="AG642">
        <v>-6.6057999999999895E-2</v>
      </c>
      <c r="AH642">
        <v>0.76999417992206198</v>
      </c>
      <c r="AI642">
        <v>94.864392086577197</v>
      </c>
      <c r="AJ642">
        <v>82.749315648261401</v>
      </c>
      <c r="AK642">
        <v>0.77900695333671599</v>
      </c>
    </row>
    <row r="643" spans="1:37" x14ac:dyDescent="0.2">
      <c r="A643" t="str">
        <f>"20200111154038955"</f>
        <v>20200111154038955</v>
      </c>
      <c r="B643" t="str">
        <f>"1578728438947367"</f>
        <v>1578728438947367</v>
      </c>
      <c r="C643" t="s">
        <v>37</v>
      </c>
      <c r="D643">
        <v>5.294486</v>
      </c>
      <c r="E643">
        <v>0.5184318</v>
      </c>
      <c r="F643" t="s">
        <v>39</v>
      </c>
      <c r="G643">
        <v>-238.39859999999999</v>
      </c>
      <c r="H643" s="1">
        <v>-1.4581850000000001E-6</v>
      </c>
      <c r="I643">
        <v>366.13189999999997</v>
      </c>
      <c r="J643">
        <v>-259.13619999999997</v>
      </c>
      <c r="K643">
        <v>1.1104259999999999</v>
      </c>
      <c r="L643">
        <v>367.91800000000001</v>
      </c>
      <c r="M643">
        <v>0.99980650000000004</v>
      </c>
      <c r="N643">
        <v>0</v>
      </c>
      <c r="O643">
        <v>-3.4271319999999998E-3</v>
      </c>
      <c r="P643">
        <v>0.99841000000000002</v>
      </c>
      <c r="Q643">
        <v>4.6020220000000001E-2</v>
      </c>
      <c r="R643">
        <v>-3.255504E-2</v>
      </c>
      <c r="S643">
        <v>3.003784</v>
      </c>
      <c r="T643">
        <v>-0.1575897</v>
      </c>
      <c r="U643">
        <v>-0.25372309999999998</v>
      </c>
      <c r="V643">
        <v>2.8915150000000001E-2</v>
      </c>
      <c r="W643">
        <v>6.5454209999999999E-2</v>
      </c>
      <c r="X643">
        <v>0.99743649999999995</v>
      </c>
      <c r="Y643">
        <v>8.0646560000000006E-2</v>
      </c>
      <c r="Z643">
        <v>-1.9309209999999999E-3</v>
      </c>
      <c r="AA643">
        <v>0.99674089999999904</v>
      </c>
      <c r="AB643">
        <v>70</v>
      </c>
      <c r="AC643">
        <v>20.737599999999901</v>
      </c>
      <c r="AD643">
        <v>-1.110427458185</v>
      </c>
      <c r="AE643">
        <v>-1.78610000000003</v>
      </c>
      <c r="AF643">
        <v>1.7101384132605699</v>
      </c>
      <c r="AG643">
        <v>-1.110427458185</v>
      </c>
      <c r="AH643">
        <v>20.684729239570501</v>
      </c>
      <c r="AI643">
        <v>93.062456267018504</v>
      </c>
      <c r="AJ643">
        <v>85.273741733453093</v>
      </c>
      <c r="AK643">
        <v>20.784986077617301</v>
      </c>
    </row>
    <row r="644" spans="1:37" x14ac:dyDescent="0.2">
      <c r="A644" t="str">
        <f>"20200111154038966"</f>
        <v>20200111154038966</v>
      </c>
      <c r="B644" t="str">
        <f>"1578728438957128"</f>
        <v>1578728438957128</v>
      </c>
      <c r="C644" t="s">
        <v>37</v>
      </c>
      <c r="D644">
        <v>5.3409839999999997</v>
      </c>
      <c r="E644">
        <v>0.5181327</v>
      </c>
      <c r="F644" t="s">
        <v>39</v>
      </c>
      <c r="G644">
        <v>-237.70320000000001</v>
      </c>
      <c r="H644" s="1">
        <v>-1.6972099999999899E-6</v>
      </c>
      <c r="I644">
        <v>366.12299999999999</v>
      </c>
      <c r="J644">
        <v>-258.76510000000002</v>
      </c>
      <c r="K644">
        <v>1.1105969999999901</v>
      </c>
      <c r="L644">
        <v>367.91680000000002</v>
      </c>
      <c r="M644">
        <v>0.99979969999999996</v>
      </c>
      <c r="N644">
        <v>0</v>
      </c>
      <c r="O644">
        <v>-2.9903379999999999E-3</v>
      </c>
      <c r="P644">
        <v>0.99838300000000002</v>
      </c>
      <c r="Q644">
        <v>4.6216340000000002E-2</v>
      </c>
      <c r="R644">
        <v>-3.3103760000000003E-2</v>
      </c>
      <c r="S644">
        <v>3.0037539999999998</v>
      </c>
      <c r="T644">
        <v>-0.1556216</v>
      </c>
      <c r="U644">
        <v>-0.25155639999999901</v>
      </c>
      <c r="V644">
        <v>2.9893200000000002E-2</v>
      </c>
      <c r="W644">
        <v>6.6076560000000006E-2</v>
      </c>
      <c r="X644">
        <v>0.99736669999999905</v>
      </c>
      <c r="Y644">
        <v>8.0371280000000003E-2</v>
      </c>
      <c r="Z644">
        <v>-1.922378E-3</v>
      </c>
      <c r="AA644">
        <v>0.99676319999999996</v>
      </c>
      <c r="AB644">
        <v>70</v>
      </c>
      <c r="AC644">
        <v>21.061900000000001</v>
      </c>
      <c r="AD644">
        <v>-1.1105986972099999</v>
      </c>
      <c r="AE644">
        <v>-1.7937999999999701</v>
      </c>
      <c r="AF644">
        <v>1.7260328076873399</v>
      </c>
      <c r="AG644">
        <v>-1.1105986972099999</v>
      </c>
      <c r="AH644">
        <v>21.009176063602499</v>
      </c>
      <c r="AI644">
        <v>93.015842718255101</v>
      </c>
      <c r="AJ644">
        <v>85.303347860844198</v>
      </c>
      <c r="AK644">
        <v>21.1091946220339</v>
      </c>
    </row>
    <row r="645" spans="1:37" x14ac:dyDescent="0.2">
      <c r="A645" t="str">
        <f>"20200111154038979"</f>
        <v>20200111154038979</v>
      </c>
      <c r="B645" t="str">
        <f>"1578728438976647"</f>
        <v>1578728438976647</v>
      </c>
      <c r="C645" t="s">
        <v>37</v>
      </c>
      <c r="D645">
        <v>5.3694809999999897</v>
      </c>
      <c r="E645">
        <v>0.51755289999999998</v>
      </c>
      <c r="F645" t="s">
        <v>39</v>
      </c>
      <c r="G645">
        <v>-237.32140000000001</v>
      </c>
      <c r="H645" s="1">
        <v>-1.8259420000000001E-6</v>
      </c>
      <c r="I645">
        <v>366.12740000000002</v>
      </c>
      <c r="J645">
        <v>-258.3725</v>
      </c>
      <c r="K645">
        <v>1.1107750000000001</v>
      </c>
      <c r="L645">
        <v>367.91579999999999</v>
      </c>
      <c r="M645">
        <v>0.99979180000000001</v>
      </c>
      <c r="N645">
        <v>0</v>
      </c>
      <c r="O645">
        <v>-2.5114059999999999E-3</v>
      </c>
      <c r="P645">
        <v>0.99837180000000003</v>
      </c>
      <c r="Q645">
        <v>4.6130589999999999E-2</v>
      </c>
      <c r="R645">
        <v>-3.3558419999999999E-2</v>
      </c>
      <c r="S645">
        <v>3.0037539999999998</v>
      </c>
      <c r="T645">
        <v>-0.1555675</v>
      </c>
      <c r="U645">
        <v>-0.2506409</v>
      </c>
      <c r="V645">
        <v>3.0818660000000001E-2</v>
      </c>
      <c r="W645">
        <v>6.6448160000000006E-2</v>
      </c>
      <c r="X645">
        <v>0.99731380000000003</v>
      </c>
      <c r="Y645">
        <v>8.0546229999999996E-2</v>
      </c>
      <c r="Z645">
        <v>-1.9510020000000001E-3</v>
      </c>
      <c r="AA645">
        <v>0.996749</v>
      </c>
      <c r="AB645">
        <v>69</v>
      </c>
      <c r="AC645">
        <v>21.051099999999899</v>
      </c>
      <c r="AD645">
        <v>-1.1107768259419999</v>
      </c>
      <c r="AE645">
        <v>-1.78839999999996</v>
      </c>
      <c r="AF645">
        <v>1.7307314434449701</v>
      </c>
      <c r="AG645">
        <v>-1.1107768259419999</v>
      </c>
      <c r="AH645">
        <v>20.997483145150799</v>
      </c>
      <c r="AI645">
        <v>93.017935776598307</v>
      </c>
      <c r="AJ645">
        <v>85.288009265410295</v>
      </c>
      <c r="AK645">
        <v>21.0979514388784</v>
      </c>
    </row>
    <row r="646" spans="1:37" x14ac:dyDescent="0.2">
      <c r="A646" t="str">
        <f>"20200111154038994"</f>
        <v>20200111154038994</v>
      </c>
      <c r="B646" t="str">
        <f>"1578728438987386"</f>
        <v>1578728438987386</v>
      </c>
      <c r="C646" t="s">
        <v>37</v>
      </c>
      <c r="D646">
        <v>5.3151359999999999</v>
      </c>
      <c r="E646">
        <v>0.51729499999999995</v>
      </c>
      <c r="F646" t="s">
        <v>39</v>
      </c>
      <c r="G646">
        <v>-236.7167</v>
      </c>
      <c r="H646" s="1">
        <v>-2.0295389999999998E-6</v>
      </c>
      <c r="I646">
        <v>366.13560000000001</v>
      </c>
      <c r="J646">
        <v>-257.92930000000001</v>
      </c>
      <c r="K646">
        <v>1.110968</v>
      </c>
      <c r="L646">
        <v>367.91500000000002</v>
      </c>
      <c r="M646">
        <v>0.99978230000000001</v>
      </c>
      <c r="N646">
        <v>0</v>
      </c>
      <c r="O646">
        <v>-1.9495389999999999E-3</v>
      </c>
      <c r="P646">
        <v>0.99834940000000005</v>
      </c>
      <c r="Q646">
        <v>4.5724569999999999E-2</v>
      </c>
      <c r="R646">
        <v>-3.4752959999999999E-2</v>
      </c>
      <c r="S646">
        <v>3.0037379999999998</v>
      </c>
      <c r="T646">
        <v>-0.15406839999999999</v>
      </c>
      <c r="U646">
        <v>-0.24691769999999999</v>
      </c>
      <c r="V646">
        <v>3.2566409999999997E-2</v>
      </c>
      <c r="W646">
        <v>6.65771E-2</v>
      </c>
      <c r="X646">
        <v>0.99724969999999902</v>
      </c>
      <c r="Y646">
        <v>7.9881820000000006E-2</v>
      </c>
      <c r="Z646">
        <v>-1.944089E-3</v>
      </c>
      <c r="AA646">
        <v>0.99680239999999998</v>
      </c>
      <c r="AB646">
        <v>69</v>
      </c>
      <c r="AC646">
        <v>21.212599999999998</v>
      </c>
      <c r="AD646">
        <v>-1.1109700295389999</v>
      </c>
      <c r="AE646">
        <v>-1.7794000000000001</v>
      </c>
      <c r="AF646">
        <v>1.7333117440283601</v>
      </c>
      <c r="AG646">
        <v>-1.1109700295389999</v>
      </c>
      <c r="AH646">
        <v>21.1583986564521</v>
      </c>
      <c r="AI646">
        <v>92.995668706986294</v>
      </c>
      <c r="AJ646">
        <v>85.316744928191198</v>
      </c>
      <c r="AK646">
        <v>21.258326785376902</v>
      </c>
    </row>
    <row r="647" spans="1:37" x14ac:dyDescent="0.2">
      <c r="A647" t="str">
        <f>"20200111154039006"</f>
        <v>20200111154039006</v>
      </c>
      <c r="B647" t="str">
        <f>"1578728438997144"</f>
        <v>1578728438997144</v>
      </c>
      <c r="C647" t="s">
        <v>37</v>
      </c>
      <c r="D647">
        <v>5.3605400000000003</v>
      </c>
      <c r="E647">
        <v>0.5170536</v>
      </c>
      <c r="F647" t="s">
        <v>39</v>
      </c>
      <c r="G647">
        <v>-236.44759999999999</v>
      </c>
      <c r="H647" s="1">
        <v>-2.1230159999999999E-6</v>
      </c>
      <c r="I647">
        <v>366.1397</v>
      </c>
      <c r="J647">
        <v>-257.54700000000003</v>
      </c>
      <c r="K647">
        <v>1.111132</v>
      </c>
      <c r="L647">
        <v>367.91449999999998</v>
      </c>
      <c r="M647">
        <v>0.99977329999999998</v>
      </c>
      <c r="N647">
        <v>0</v>
      </c>
      <c r="O647">
        <v>-1.4524989999999899E-3</v>
      </c>
      <c r="P647">
        <v>0.9983668</v>
      </c>
      <c r="Q647">
        <v>4.5255469999999999E-2</v>
      </c>
      <c r="R647">
        <v>-3.4865930000000003E-2</v>
      </c>
      <c r="S647">
        <v>3.003403</v>
      </c>
      <c r="T647">
        <v>-0.15532650000000001</v>
      </c>
      <c r="U647">
        <v>-0.24819949999999999</v>
      </c>
      <c r="V647">
        <v>3.3168740000000002E-2</v>
      </c>
      <c r="W647">
        <v>6.6575670000000003E-2</v>
      </c>
      <c r="X647">
        <v>0.9972299</v>
      </c>
      <c r="Y647">
        <v>8.0805379999999996E-2</v>
      </c>
      <c r="Z647">
        <v>-2.0096020000000001E-3</v>
      </c>
      <c r="AA647">
        <v>0.9967279</v>
      </c>
      <c r="AB647">
        <v>69</v>
      </c>
      <c r="AC647">
        <v>21.099399999999999</v>
      </c>
      <c r="AD647">
        <v>-1.1111341230159999</v>
      </c>
      <c r="AE647">
        <v>-1.77479999999997</v>
      </c>
      <c r="AF647">
        <v>1.7393545366712599</v>
      </c>
      <c r="AG647">
        <v>-1.1111341230159999</v>
      </c>
      <c r="AH647">
        <v>21.044005451379601</v>
      </c>
      <c r="AI647">
        <v>93.012187020869902</v>
      </c>
      <c r="AJ647">
        <v>85.275060108274104</v>
      </c>
      <c r="AK647">
        <v>21.144979041873398</v>
      </c>
    </row>
    <row r="648" spans="1:37" x14ac:dyDescent="0.2">
      <c r="A648" t="str">
        <f>"20200111154039019"</f>
        <v>20200111154039019</v>
      </c>
      <c r="B648" t="str">
        <f>"1578728439006904"</f>
        <v>1578728439006904</v>
      </c>
      <c r="C648" t="s">
        <v>37</v>
      </c>
      <c r="D648">
        <v>5.3526999999999996</v>
      </c>
      <c r="E648">
        <v>0.51690239999999998</v>
      </c>
      <c r="F648" t="s">
        <v>39</v>
      </c>
      <c r="G648">
        <v>-236.4023</v>
      </c>
      <c r="H648" s="1">
        <v>-2.135664E-6</v>
      </c>
      <c r="I648">
        <v>366.17779999999999</v>
      </c>
      <c r="J648">
        <v>-257.16300000000001</v>
      </c>
      <c r="K648">
        <v>1.111289</v>
      </c>
      <c r="L648">
        <v>367.91419999999999</v>
      </c>
      <c r="M648">
        <v>0.99976369999999903</v>
      </c>
      <c r="N648">
        <v>0</v>
      </c>
      <c r="O648">
        <v>-9.35698E-4</v>
      </c>
      <c r="P648">
        <v>0.99838439999999995</v>
      </c>
      <c r="Q648">
        <v>4.4925680000000003E-2</v>
      </c>
      <c r="R648">
        <v>-3.4790099999999997E-2</v>
      </c>
      <c r="S648">
        <v>3.0034480000000001</v>
      </c>
      <c r="T648">
        <v>-0.1578281</v>
      </c>
      <c r="U648">
        <v>-0.24667359999999999</v>
      </c>
      <c r="V648">
        <v>3.3601119999999998E-2</v>
      </c>
      <c r="W648">
        <v>6.6726489999999999E-2</v>
      </c>
      <c r="X648">
        <v>0.99720540000000002</v>
      </c>
      <c r="Y648">
        <v>8.0812220000000004E-2</v>
      </c>
      <c r="Z648">
        <v>-2.0692110000000001E-3</v>
      </c>
      <c r="AA648">
        <v>0.99672719999999904</v>
      </c>
      <c r="AB648">
        <v>69</v>
      </c>
      <c r="AC648">
        <v>20.7607</v>
      </c>
      <c r="AD648">
        <v>-1.1112911356640001</v>
      </c>
      <c r="AE648">
        <v>-1.7363999999999999</v>
      </c>
      <c r="AF648">
        <v>1.71209729963074</v>
      </c>
      <c r="AG648">
        <v>-1.1112911356640001</v>
      </c>
      <c r="AH648">
        <v>20.7034064446458</v>
      </c>
      <c r="AI648">
        <v>93.062069022082696</v>
      </c>
      <c r="AJ648">
        <v>85.272601799925994</v>
      </c>
      <c r="AK648">
        <v>20.803780511335201</v>
      </c>
    </row>
    <row r="649" spans="1:37" x14ac:dyDescent="0.2">
      <c r="A649" t="str">
        <f>"20200111154039033"</f>
        <v>20200111154039033</v>
      </c>
      <c r="B649" t="str">
        <f>"1578728439027399"</f>
        <v>1578728439027399</v>
      </c>
      <c r="C649" t="s">
        <v>37</v>
      </c>
      <c r="D649">
        <v>5.3841130000000001</v>
      </c>
      <c r="E649">
        <v>0.51636819999999894</v>
      </c>
      <c r="F649" t="s">
        <v>39</v>
      </c>
      <c r="G649">
        <v>-236.2431</v>
      </c>
      <c r="H649" s="1">
        <v>-2.1989339999999999E-6</v>
      </c>
      <c r="I649">
        <v>366.20620000000002</v>
      </c>
      <c r="J649">
        <v>-256.76580000000001</v>
      </c>
      <c r="K649">
        <v>1.1114489999999999</v>
      </c>
      <c r="L649">
        <v>367.91419999999999</v>
      </c>
      <c r="M649">
        <v>0.99975329999999996</v>
      </c>
      <c r="N649">
        <v>0</v>
      </c>
      <c r="O649">
        <v>-3.8346349999999899E-4</v>
      </c>
      <c r="P649">
        <v>0.99842690000000001</v>
      </c>
      <c r="Q649">
        <v>4.4279899999999997E-2</v>
      </c>
      <c r="R649">
        <v>-3.4399800000000001E-2</v>
      </c>
      <c r="S649">
        <v>3.0034939999999999</v>
      </c>
      <c r="T649">
        <v>-0.15954879999999999</v>
      </c>
      <c r="U649">
        <v>-0.2452087</v>
      </c>
      <c r="V649">
        <v>3.375533E-2</v>
      </c>
      <c r="W649">
        <v>6.658232E-2</v>
      </c>
      <c r="X649">
        <v>0.99720980000000004</v>
      </c>
      <c r="Y649">
        <v>8.0875399999999903E-2</v>
      </c>
      <c r="Z649">
        <v>-2.1226959999999999E-3</v>
      </c>
      <c r="AA649">
        <v>0.996721999999999</v>
      </c>
      <c r="AB649">
        <v>69</v>
      </c>
      <c r="AC649">
        <v>20.5227</v>
      </c>
      <c r="AD649">
        <v>-1.1114511989339999</v>
      </c>
      <c r="AE649">
        <v>-1.70799999999997</v>
      </c>
      <c r="AF649">
        <v>1.69519043708802</v>
      </c>
      <c r="AG649">
        <v>-1.1114511989339999</v>
      </c>
      <c r="AH649">
        <v>20.463746338400899</v>
      </c>
      <c r="AI649">
        <v>93.098269991630204</v>
      </c>
      <c r="AJ649">
        <v>85.264503594967806</v>
      </c>
      <c r="AK649">
        <v>20.5638981856073</v>
      </c>
    </row>
    <row r="650" spans="1:37" x14ac:dyDescent="0.2">
      <c r="A650" t="str">
        <f>"20200111154039044"</f>
        <v>20200111154039044</v>
      </c>
      <c r="B650" t="str">
        <f>"1578728439037160"</f>
        <v>1578728439037160</v>
      </c>
      <c r="C650" t="s">
        <v>37</v>
      </c>
      <c r="D650">
        <v>5.4319629999999997</v>
      </c>
      <c r="E650">
        <v>0.51600379999999901</v>
      </c>
      <c r="F650" t="s">
        <v>39</v>
      </c>
      <c r="G650">
        <v>-236.3304</v>
      </c>
      <c r="H650" s="1">
        <v>-2.148343E-6</v>
      </c>
      <c r="I650">
        <v>366.28030000000001</v>
      </c>
      <c r="J650">
        <v>-256.35939999999999</v>
      </c>
      <c r="K650">
        <v>1.1116029999999999</v>
      </c>
      <c r="L650">
        <v>367.91430000000003</v>
      </c>
      <c r="M650">
        <v>0.99974200000000002</v>
      </c>
      <c r="N650">
        <v>0</v>
      </c>
      <c r="O650">
        <v>1.943739E-4</v>
      </c>
      <c r="P650">
        <v>0.99846399999999902</v>
      </c>
      <c r="Q650">
        <v>4.4001230000000002E-2</v>
      </c>
      <c r="R650">
        <v>-3.3672840000000002E-2</v>
      </c>
      <c r="S650">
        <v>3.0036619999999998</v>
      </c>
      <c r="T650">
        <v>-0.1633636</v>
      </c>
      <c r="U650">
        <v>-0.24014279999999999</v>
      </c>
      <c r="V650">
        <v>3.3596540000000001E-2</v>
      </c>
      <c r="W650">
        <v>6.6815949999999999E-2</v>
      </c>
      <c r="X650">
        <v>0.99719950000000002</v>
      </c>
      <c r="Y650">
        <v>7.9772079999999995E-2</v>
      </c>
      <c r="Z650">
        <v>-2.17483E-3</v>
      </c>
      <c r="AA650">
        <v>0.99681070000000005</v>
      </c>
      <c r="AB650">
        <v>69</v>
      </c>
      <c r="AC650">
        <v>20.029</v>
      </c>
      <c r="AD650">
        <v>-1.1116051483430001</v>
      </c>
      <c r="AE650">
        <v>-1.6340000000000101</v>
      </c>
      <c r="AF650">
        <v>1.632897649142</v>
      </c>
      <c r="AG650">
        <v>-1.1116051483430001</v>
      </c>
      <c r="AH650">
        <v>19.967583906245501</v>
      </c>
      <c r="AI650">
        <v>93.175815279453403</v>
      </c>
      <c r="AJ650">
        <v>85.324901660729793</v>
      </c>
      <c r="AK650">
        <v>20.0650548913117</v>
      </c>
    </row>
    <row r="651" spans="1:37" x14ac:dyDescent="0.2">
      <c r="A651" t="str">
        <f>"20200111154039057"</f>
        <v>20200111154039057</v>
      </c>
      <c r="B651" t="str">
        <f>"1578728439046919"</f>
        <v>1578728439046919</v>
      </c>
      <c r="C651" t="s">
        <v>37</v>
      </c>
      <c r="D651">
        <v>5.4307989999999897</v>
      </c>
      <c r="E651">
        <v>0.51598259999999996</v>
      </c>
      <c r="F651" t="s">
        <v>38</v>
      </c>
      <c r="G651">
        <v>-255.09460000000001</v>
      </c>
      <c r="H651">
        <v>1.0408389999999901</v>
      </c>
      <c r="I651">
        <v>367.81529999999998</v>
      </c>
      <c r="J651">
        <v>-255.97579999999999</v>
      </c>
      <c r="K651">
        <v>1.111745</v>
      </c>
      <c r="L651">
        <v>367.91480000000001</v>
      </c>
      <c r="M651">
        <v>0.99973080000000003</v>
      </c>
      <c r="N651">
        <v>0</v>
      </c>
      <c r="O651">
        <v>7.5891299999999995E-4</v>
      </c>
      <c r="P651">
        <v>0.99849149999999998</v>
      </c>
      <c r="Q651">
        <v>4.3845889999999998E-2</v>
      </c>
      <c r="R651">
        <v>-3.305839E-2</v>
      </c>
      <c r="S651">
        <v>3.004105</v>
      </c>
      <c r="T651">
        <v>-0.16815359999999999</v>
      </c>
      <c r="U651">
        <v>-0.23504639999999999</v>
      </c>
      <c r="V651">
        <v>3.3536650000000001E-2</v>
      </c>
      <c r="W651">
        <v>6.7135650000000005E-2</v>
      </c>
      <c r="X651">
        <v>0.99717999999999996</v>
      </c>
      <c r="Y651">
        <v>7.8636600000000001E-2</v>
      </c>
      <c r="Z651">
        <v>-2.2381529999999901E-3</v>
      </c>
      <c r="AA651">
        <v>0.99690089999999998</v>
      </c>
      <c r="AB651">
        <v>68</v>
      </c>
      <c r="AC651">
        <v>0.881199999999978</v>
      </c>
      <c r="AD651">
        <v>-7.0906000000000094E-2</v>
      </c>
      <c r="AE651">
        <v>-9.9500000000034505E-2</v>
      </c>
      <c r="AF651">
        <v>9.95325786265948E-2</v>
      </c>
      <c r="AG651">
        <v>-7.0906000000000094E-2</v>
      </c>
      <c r="AH651">
        <v>0.87552683936104103</v>
      </c>
      <c r="AI651">
        <v>94.600584408500396</v>
      </c>
      <c r="AJ651">
        <v>83.514284381595999</v>
      </c>
      <c r="AK651">
        <v>0.88401450298374196</v>
      </c>
    </row>
    <row r="652" spans="1:37" x14ac:dyDescent="0.2">
      <c r="A652" t="str">
        <f>"20200111154039072"</f>
        <v>20200111154039072</v>
      </c>
      <c r="B652" t="str">
        <f>"1578728439067415"</f>
        <v>1578728439067415</v>
      </c>
      <c r="C652" t="s">
        <v>37</v>
      </c>
      <c r="D652">
        <v>5.4016999999999999</v>
      </c>
      <c r="E652">
        <v>0.51591379999999998</v>
      </c>
      <c r="F652" t="s">
        <v>39</v>
      </c>
      <c r="G652">
        <v>-236.19799999999901</v>
      </c>
      <c r="H652" s="1">
        <v>-2.1875190000000001E-6</v>
      </c>
      <c r="I652">
        <v>366.37959999999998</v>
      </c>
      <c r="J652">
        <v>-255.54920000000001</v>
      </c>
      <c r="K652">
        <v>1.1118920000000001</v>
      </c>
      <c r="L652">
        <v>367.91559999999998</v>
      </c>
      <c r="M652">
        <v>0.999718199999999</v>
      </c>
      <c r="N652">
        <v>0</v>
      </c>
      <c r="O652">
        <v>1.4108529999999899E-3</v>
      </c>
      <c r="P652">
        <v>0.99850680000000003</v>
      </c>
      <c r="Q652">
        <v>4.4563730000000003E-2</v>
      </c>
      <c r="R652">
        <v>-3.1603239999999998E-2</v>
      </c>
      <c r="S652">
        <v>3.0042419999999899</v>
      </c>
      <c r="T652">
        <v>-0.16887339999999901</v>
      </c>
      <c r="U652">
        <v>-0.2331848</v>
      </c>
      <c r="V652">
        <v>3.2719480000000002E-2</v>
      </c>
      <c r="W652">
        <v>6.8359729999999994E-2</v>
      </c>
      <c r="X652">
        <v>0.99712409999999996</v>
      </c>
      <c r="Y652">
        <v>7.8667039999999994E-2</v>
      </c>
      <c r="Z652">
        <v>-2.2850969999999998E-3</v>
      </c>
      <c r="AA652">
        <v>0.99689839999999996</v>
      </c>
      <c r="AB652">
        <v>68</v>
      </c>
      <c r="AC652">
        <v>19.351199999999999</v>
      </c>
      <c r="AD652">
        <v>-1.111894187519</v>
      </c>
      <c r="AE652">
        <v>-1.536</v>
      </c>
      <c r="AF652">
        <v>1.5581956654153</v>
      </c>
      <c r="AG652">
        <v>-1.111894187519</v>
      </c>
      <c r="AH652">
        <v>19.285739852972</v>
      </c>
      <c r="AI652">
        <v>93.2889668701945</v>
      </c>
      <c r="AJ652">
        <v>85.380808398660903</v>
      </c>
      <c r="AK652">
        <v>19.380506806904499</v>
      </c>
    </row>
    <row r="653" spans="1:37" x14ac:dyDescent="0.2">
      <c r="A653" t="str">
        <f>"20200111154039094"</f>
        <v>20200111154039094</v>
      </c>
      <c r="B653" t="str">
        <f>"1578728439086938"</f>
        <v>1578728439086938</v>
      </c>
      <c r="C653" t="s">
        <v>37</v>
      </c>
      <c r="D653">
        <v>5.3829960000000003</v>
      </c>
      <c r="E653">
        <v>0.51562859999999999</v>
      </c>
      <c r="F653" t="s">
        <v>39</v>
      </c>
      <c r="G653">
        <v>-235.72790000000001</v>
      </c>
      <c r="H653" s="1">
        <v>-2.3836060000000001E-6</v>
      </c>
      <c r="I653">
        <v>366.41120000000001</v>
      </c>
      <c r="J653">
        <v>-254.86539999999999</v>
      </c>
      <c r="K653">
        <v>1.1120939999999999</v>
      </c>
      <c r="L653">
        <v>367.91750000000002</v>
      </c>
      <c r="M653">
        <v>0.99969739999999996</v>
      </c>
      <c r="N653">
        <v>0</v>
      </c>
      <c r="O653">
        <v>2.5117029999999901E-3</v>
      </c>
      <c r="P653">
        <v>0.99857009999999902</v>
      </c>
      <c r="Q653">
        <v>4.4900780000000001E-2</v>
      </c>
      <c r="R653">
        <v>-2.9008949999999999E-2</v>
      </c>
      <c r="S653">
        <v>3.004807</v>
      </c>
      <c r="T653">
        <v>-0.1685567</v>
      </c>
      <c r="U653">
        <v>-0.22805789999999901</v>
      </c>
      <c r="V653">
        <v>3.1208920000000001E-2</v>
      </c>
      <c r="W653">
        <v>6.9461930000000005E-2</v>
      </c>
      <c r="X653">
        <v>0.99709629999999905</v>
      </c>
      <c r="Y653">
        <v>7.8059080000000003E-2</v>
      </c>
      <c r="Z653">
        <v>-2.3251650000000001E-3</v>
      </c>
      <c r="AA653">
        <v>0.996945999999999</v>
      </c>
      <c r="AB653">
        <v>68</v>
      </c>
      <c r="AC653">
        <v>19.1374999999999</v>
      </c>
      <c r="AD653">
        <v>-1.112096383606</v>
      </c>
      <c r="AE653">
        <v>-1.50630000000001</v>
      </c>
      <c r="AF653">
        <v>1.5491781948743799</v>
      </c>
      <c r="AG653">
        <v>-1.112096383606</v>
      </c>
      <c r="AH653">
        <v>19.069655807551801</v>
      </c>
      <c r="AI653">
        <v>93.326637182610597</v>
      </c>
      <c r="AJ653">
        <v>85.355612087928904</v>
      </c>
      <c r="AK653">
        <v>19.164771954406302</v>
      </c>
    </row>
    <row r="654" spans="1:37" x14ac:dyDescent="0.2">
      <c r="A654" t="str">
        <f>"20200111154039106"</f>
        <v>20200111154039106</v>
      </c>
      <c r="B654" t="str">
        <f>"1578728439096696"</f>
        <v>1578728439096696</v>
      </c>
      <c r="C654" t="s">
        <v>37</v>
      </c>
      <c r="D654">
        <v>5.438561</v>
      </c>
      <c r="E654">
        <v>0.51563669999999995</v>
      </c>
      <c r="F654" t="s">
        <v>39</v>
      </c>
      <c r="G654">
        <v>-235.25540000000001</v>
      </c>
      <c r="H654" s="1">
        <v>-2.5708929999999998E-6</v>
      </c>
      <c r="I654">
        <v>366.49799999999999</v>
      </c>
      <c r="J654">
        <v>-254.50450000000001</v>
      </c>
      <c r="K654">
        <v>1.1121859999999999</v>
      </c>
      <c r="L654">
        <v>367.91879999999998</v>
      </c>
      <c r="M654">
        <v>0.99968639999999998</v>
      </c>
      <c r="N654">
        <v>0</v>
      </c>
      <c r="O654">
        <v>3.1195730000000001E-3</v>
      </c>
      <c r="P654">
        <v>0.99860990000000005</v>
      </c>
      <c r="Q654">
        <v>4.4921259999999998E-2</v>
      </c>
      <c r="R654">
        <v>-2.7577529999999999E-2</v>
      </c>
      <c r="S654">
        <v>3.0056609999999999</v>
      </c>
      <c r="T654">
        <v>-0.1704521</v>
      </c>
      <c r="U654">
        <v>-0.2175598</v>
      </c>
      <c r="V654">
        <v>3.0377830000000001E-2</v>
      </c>
      <c r="W654">
        <v>6.9861019999999996E-2</v>
      </c>
      <c r="X654">
        <v>0.99709409999999898</v>
      </c>
      <c r="Y654">
        <v>7.5181360000000003E-2</v>
      </c>
      <c r="Z654">
        <v>-2.3038920000000001E-3</v>
      </c>
      <c r="AA654">
        <v>0.99716719999999903</v>
      </c>
      <c r="AB654">
        <v>68</v>
      </c>
      <c r="AC654">
        <v>19.249099999999999</v>
      </c>
      <c r="AD654">
        <v>-1.1121885708929999</v>
      </c>
      <c r="AE654">
        <v>-1.4207999999999199</v>
      </c>
      <c r="AF654">
        <v>1.4759599809100901</v>
      </c>
      <c r="AG654">
        <v>-1.1121885708929999</v>
      </c>
      <c r="AH654">
        <v>19.180886467260201</v>
      </c>
      <c r="AI654">
        <v>93.308775028781298</v>
      </c>
      <c r="AJ654">
        <v>85.599788560532204</v>
      </c>
      <c r="AK654">
        <v>19.269712684739201</v>
      </c>
    </row>
    <row r="655" spans="1:37" x14ac:dyDescent="0.2">
      <c r="A655" t="str">
        <f>"20200111154039121"</f>
        <v>20200111154039121</v>
      </c>
      <c r="B655" t="str">
        <f>"1578728439107434"</f>
        <v>1578728439107434</v>
      </c>
      <c r="C655" t="s">
        <v>37</v>
      </c>
      <c r="D655">
        <v>5.4158569999999999</v>
      </c>
      <c r="E655">
        <v>0.51559820000000001</v>
      </c>
      <c r="F655" t="s">
        <v>38</v>
      </c>
      <c r="G655">
        <v>-253.2801</v>
      </c>
      <c r="H655">
        <v>1.042783</v>
      </c>
      <c r="I655">
        <v>367.83159999999998</v>
      </c>
      <c r="J655">
        <v>-254.0908</v>
      </c>
      <c r="K655">
        <v>1.112279</v>
      </c>
      <c r="L655">
        <v>367.92070000000001</v>
      </c>
      <c r="M655">
        <v>0.99967349999999999</v>
      </c>
      <c r="N655">
        <v>0</v>
      </c>
      <c r="O655">
        <v>3.8419769999999999E-3</v>
      </c>
      <c r="P655">
        <v>0.99865609999999905</v>
      </c>
      <c r="Q655">
        <v>4.4707509999999999E-2</v>
      </c>
      <c r="R655">
        <v>-2.6220630000000002E-2</v>
      </c>
      <c r="S655">
        <v>3.0059969999999998</v>
      </c>
      <c r="T655">
        <v>-0.17067399999999999</v>
      </c>
      <c r="U655">
        <v>-0.213501</v>
      </c>
      <c r="V655">
        <v>2.9736410000000001E-2</v>
      </c>
      <c r="W655">
        <v>7.0057969999999997E-2</v>
      </c>
      <c r="X655">
        <v>0.99709959999999898</v>
      </c>
      <c r="Y655">
        <v>7.4553939999999999E-2</v>
      </c>
      <c r="Z655">
        <v>-2.329916E-3</v>
      </c>
      <c r="AA655">
        <v>0.9972143</v>
      </c>
      <c r="AB655">
        <v>68</v>
      </c>
      <c r="AC655">
        <v>0.81069999999999698</v>
      </c>
      <c r="AD655">
        <v>-6.9496000000000002E-2</v>
      </c>
      <c r="AE655">
        <v>-8.9100000000030294E-2</v>
      </c>
      <c r="AF655">
        <v>9.1550298090992299E-2</v>
      </c>
      <c r="AG655">
        <v>-6.9496000000000002E-2</v>
      </c>
      <c r="AH655">
        <v>0.80451019135054502</v>
      </c>
      <c r="AI655">
        <v>94.905620322051504</v>
      </c>
      <c r="AJ655">
        <v>83.507878560098604</v>
      </c>
      <c r="AK655">
        <v>0.81267939501591901</v>
      </c>
    </row>
    <row r="656" spans="1:37" x14ac:dyDescent="0.2">
      <c r="A656" t="str">
        <f>"20200111154039134"</f>
        <v>20200111154039134</v>
      </c>
      <c r="B656" t="str">
        <f>"1578728439126951"</f>
        <v>1578728439126951</v>
      </c>
      <c r="C656" t="s">
        <v>37</v>
      </c>
      <c r="D656">
        <v>5.4281079999999999</v>
      </c>
      <c r="E656">
        <v>0.51560050000000002</v>
      </c>
      <c r="F656" t="s">
        <v>39</v>
      </c>
      <c r="G656">
        <v>-234.77440000000001</v>
      </c>
      <c r="H656" s="1">
        <v>-2.763145E-6</v>
      </c>
      <c r="I656">
        <v>366.57749999999999</v>
      </c>
      <c r="J656">
        <v>-253.65700000000001</v>
      </c>
      <c r="K656">
        <v>1.1123620000000001</v>
      </c>
      <c r="L656">
        <v>367.923</v>
      </c>
      <c r="M656">
        <v>0.99965999999999999</v>
      </c>
      <c r="N656">
        <v>0</v>
      </c>
      <c r="O656">
        <v>4.6231620000000001E-3</v>
      </c>
      <c r="P656">
        <v>0.99870199999999998</v>
      </c>
      <c r="Q656">
        <v>4.4575879999999998E-2</v>
      </c>
      <c r="R656">
        <v>-2.4646999999999999E-2</v>
      </c>
      <c r="S656">
        <v>3.0062709999999999</v>
      </c>
      <c r="T656">
        <v>-0.17310680000000001</v>
      </c>
      <c r="U656">
        <v>-0.20904539999999899</v>
      </c>
      <c r="V656">
        <v>2.8937359999999999E-2</v>
      </c>
      <c r="W656">
        <v>7.0323849999999993E-2</v>
      </c>
      <c r="X656">
        <v>0.9971044</v>
      </c>
      <c r="Y656">
        <v>7.3852349999999997E-2</v>
      </c>
      <c r="Z656">
        <v>-2.3877310000000001E-3</v>
      </c>
      <c r="AA656">
        <v>0.9972664</v>
      </c>
      <c r="AB656">
        <v>68</v>
      </c>
      <c r="AC656">
        <v>18.8826</v>
      </c>
      <c r="AD656">
        <v>-1.112364763145</v>
      </c>
      <c r="AE656">
        <v>-1.3455000000000099</v>
      </c>
      <c r="AF656">
        <v>1.42788149914525</v>
      </c>
      <c r="AG656">
        <v>-1.112364763145</v>
      </c>
      <c r="AH656">
        <v>18.811224175174701</v>
      </c>
      <c r="AI656">
        <v>93.374447735817697</v>
      </c>
      <c r="AJ656">
        <v>85.659240499405897</v>
      </c>
      <c r="AK656">
        <v>18.898104558673701</v>
      </c>
    </row>
    <row r="657" spans="1:37" x14ac:dyDescent="0.2">
      <c r="A657" t="str">
        <f>"20200111154039147"</f>
        <v>20200111154039147</v>
      </c>
      <c r="B657" t="str">
        <f>"1578728439136712"</f>
        <v>1578728439136712</v>
      </c>
      <c r="C657" t="s">
        <v>37</v>
      </c>
      <c r="D657">
        <v>5.4522789999999999</v>
      </c>
      <c r="E657">
        <v>0.51565539999999999</v>
      </c>
      <c r="F657" t="s">
        <v>39</v>
      </c>
      <c r="G657">
        <v>-234.6335</v>
      </c>
      <c r="H657" s="1">
        <v>-2.8143939999999999E-6</v>
      </c>
      <c r="I657">
        <v>366.62920000000003</v>
      </c>
      <c r="J657">
        <v>-253.26650000000001</v>
      </c>
      <c r="K657">
        <v>1.1124339999999999</v>
      </c>
      <c r="L657">
        <v>367.92529999999999</v>
      </c>
      <c r="M657">
        <v>0.99964769999999903</v>
      </c>
      <c r="N657">
        <v>0</v>
      </c>
      <c r="O657">
        <v>5.3370500000000003E-3</v>
      </c>
      <c r="P657">
        <v>0.99873849999999997</v>
      </c>
      <c r="Q657">
        <v>4.4351999999999898E-2</v>
      </c>
      <c r="R657">
        <v>-2.3549259999999999E-2</v>
      </c>
      <c r="S657">
        <v>3.0066830000000002</v>
      </c>
      <c r="T657">
        <v>-0.17580970000000001</v>
      </c>
      <c r="U657">
        <v>-0.20446779999999901</v>
      </c>
      <c r="V657">
        <v>2.854804E-2</v>
      </c>
      <c r="W657">
        <v>7.0441340000000005E-2</v>
      </c>
      <c r="X657">
        <v>0.99710730000000003</v>
      </c>
      <c r="Y657">
        <v>7.3040019999999997E-2</v>
      </c>
      <c r="Z657">
        <v>-2.4427229999999999E-3</v>
      </c>
      <c r="AA657">
        <v>0.99732600000000005</v>
      </c>
      <c r="AB657">
        <v>67</v>
      </c>
      <c r="AC657">
        <v>18.632999999999999</v>
      </c>
      <c r="AD657">
        <v>-1.112436814394</v>
      </c>
      <c r="AE657">
        <v>-1.2960999999999601</v>
      </c>
      <c r="AF657">
        <v>1.39062753978345</v>
      </c>
      <c r="AG657">
        <v>-1.112436814394</v>
      </c>
      <c r="AH657">
        <v>18.559978317776899</v>
      </c>
      <c r="AI657">
        <v>93.420491509701094</v>
      </c>
      <c r="AJ657">
        <v>85.7150548712698</v>
      </c>
      <c r="AK657">
        <v>18.645218040472798</v>
      </c>
    </row>
    <row r="658" spans="1:37" x14ac:dyDescent="0.2">
      <c r="A658" t="str">
        <f>"20200111154039161"</f>
        <v>20200111154039161</v>
      </c>
      <c r="B658" t="str">
        <f>"1578728439157207"</f>
        <v>1578728439157207</v>
      </c>
      <c r="C658" t="s">
        <v>37</v>
      </c>
      <c r="D658">
        <v>5.4486429999999997</v>
      </c>
      <c r="E658">
        <v>0.51575300000000002</v>
      </c>
      <c r="F658" t="s">
        <v>38</v>
      </c>
      <c r="G658">
        <v>-252.0838</v>
      </c>
      <c r="H658">
        <v>1.0427379999999999</v>
      </c>
      <c r="I658">
        <v>367.8458</v>
      </c>
      <c r="J658">
        <v>-252.86699999999999</v>
      </c>
      <c r="K658">
        <v>1.112501</v>
      </c>
      <c r="L658">
        <v>367.92790000000002</v>
      </c>
      <c r="M658">
        <v>0.99963489999999999</v>
      </c>
      <c r="N658">
        <v>0</v>
      </c>
      <c r="O658">
        <v>6.077069E-3</v>
      </c>
      <c r="P658">
        <v>0.99875759999999902</v>
      </c>
      <c r="Q658">
        <v>4.4239269999999997E-2</v>
      </c>
      <c r="R658">
        <v>-2.2944579999999999E-2</v>
      </c>
      <c r="S658">
        <v>3.0069270000000001</v>
      </c>
      <c r="T658">
        <v>-0.1774017</v>
      </c>
      <c r="U658">
        <v>-0.20156859999999999</v>
      </c>
      <c r="V658">
        <v>2.8677310000000001E-2</v>
      </c>
      <c r="W658">
        <v>7.0659189999999997E-2</v>
      </c>
      <c r="X658">
        <v>0.99708819999999998</v>
      </c>
      <c r="Y658">
        <v>7.2812370000000001E-2</v>
      </c>
      <c r="Z658">
        <v>-2.5015760000000001E-3</v>
      </c>
      <c r="AA658">
        <v>0.99734249999999902</v>
      </c>
      <c r="AB658">
        <v>67</v>
      </c>
      <c r="AC658">
        <v>0.78320000000002199</v>
      </c>
      <c r="AD658">
        <v>-6.9763000000000006E-2</v>
      </c>
      <c r="AE658">
        <v>-8.2100000000025306E-2</v>
      </c>
      <c r="AF658">
        <v>8.6183327447952304E-2</v>
      </c>
      <c r="AG658">
        <v>-6.9763000000000006E-2</v>
      </c>
      <c r="AH658">
        <v>0.77659173959997696</v>
      </c>
      <c r="AI658">
        <v>95.102076513823405</v>
      </c>
      <c r="AJ658">
        <v>83.667434665016899</v>
      </c>
      <c r="AK658">
        <v>0.78446744490381404</v>
      </c>
    </row>
    <row r="659" spans="1:37" x14ac:dyDescent="0.2">
      <c r="A659" t="str">
        <f>"20200111154039173"</f>
        <v>20200111154039173</v>
      </c>
      <c r="B659" t="str">
        <f>"1578728439166968"</f>
        <v>1578728439166968</v>
      </c>
      <c r="C659" t="s">
        <v>37</v>
      </c>
      <c r="D659">
        <v>5.4735719999999999</v>
      </c>
      <c r="E659">
        <v>0.51580280000000001</v>
      </c>
      <c r="F659" t="s">
        <v>39</v>
      </c>
      <c r="G659">
        <v>-234.2757</v>
      </c>
      <c r="H659" s="1">
        <v>-2.9569399999999998E-6</v>
      </c>
      <c r="I659">
        <v>366.69110000000001</v>
      </c>
      <c r="J659">
        <v>-252.51050000000001</v>
      </c>
      <c r="K659">
        <v>1.112554</v>
      </c>
      <c r="L659">
        <v>367.93049999999999</v>
      </c>
      <c r="M659">
        <v>0.99962340000000005</v>
      </c>
      <c r="N659">
        <v>0</v>
      </c>
      <c r="O659">
        <v>6.7418390000000003E-3</v>
      </c>
      <c r="P659">
        <v>0.99877579999999999</v>
      </c>
      <c r="Q659">
        <v>4.4073630000000003E-2</v>
      </c>
      <c r="R659">
        <v>-2.2472039999999999E-2</v>
      </c>
      <c r="S659">
        <v>3.007126</v>
      </c>
      <c r="T659">
        <v>-0.17994569999999999</v>
      </c>
      <c r="U659">
        <v>-0.20004269999999999</v>
      </c>
      <c r="V659">
        <v>2.8864620000000001E-2</v>
      </c>
      <c r="W659">
        <v>7.0767650000000001E-2</v>
      </c>
      <c r="X659">
        <v>0.99707509999999999</v>
      </c>
      <c r="Y659">
        <v>7.2962079999999999E-2</v>
      </c>
      <c r="Z659">
        <v>-2.581453E-3</v>
      </c>
      <c r="AA659">
        <v>0.99733139999999998</v>
      </c>
      <c r="AB659">
        <v>67</v>
      </c>
      <c r="AC659">
        <v>18.2348</v>
      </c>
      <c r="AD659">
        <v>-1.11255695694</v>
      </c>
      <c r="AE659">
        <v>-1.2393999999999801</v>
      </c>
      <c r="AF659">
        <v>1.3573219304808199</v>
      </c>
      <c r="AG659">
        <v>-1.11255695694</v>
      </c>
      <c r="AH659">
        <v>18.158740225246198</v>
      </c>
      <c r="AI659">
        <v>93.496308714930606</v>
      </c>
      <c r="AJ659">
        <v>85.725228510930606</v>
      </c>
      <c r="AK659">
        <v>18.243353649298498</v>
      </c>
    </row>
    <row r="660" spans="1:37" x14ac:dyDescent="0.2">
      <c r="A660" t="str">
        <f>"20200111154039186"</f>
        <v>20200111154039186</v>
      </c>
      <c r="B660" t="str">
        <f>"1578728439176728"</f>
        <v>1578728439176728</v>
      </c>
      <c r="C660" t="s">
        <v>37</v>
      </c>
      <c r="D660">
        <v>5.4881399999999996</v>
      </c>
      <c r="E660">
        <v>0.51588080000000003</v>
      </c>
      <c r="F660" t="s">
        <v>39</v>
      </c>
      <c r="G660">
        <v>-234.0686</v>
      </c>
      <c r="H660" s="1">
        <v>-3.0422299999999998E-6</v>
      </c>
      <c r="I660">
        <v>366.71100000000001</v>
      </c>
      <c r="J660">
        <v>-252.14529999999999</v>
      </c>
      <c r="K660">
        <v>1.112611</v>
      </c>
      <c r="L660">
        <v>367.93340000000001</v>
      </c>
      <c r="M660">
        <v>0.99961129999999998</v>
      </c>
      <c r="N660">
        <v>0</v>
      </c>
      <c r="O660">
        <v>7.4243009999999899E-3</v>
      </c>
      <c r="P660">
        <v>0.99878849999999997</v>
      </c>
      <c r="Q660">
        <v>4.3856510000000001E-2</v>
      </c>
      <c r="R660">
        <v>-2.2329120000000001E-2</v>
      </c>
      <c r="S660">
        <v>3.0072169999999998</v>
      </c>
      <c r="T660">
        <v>-0.18141789999999999</v>
      </c>
      <c r="U660">
        <v>-0.19885249999999999</v>
      </c>
      <c r="V660">
        <v>2.9399729999999999E-2</v>
      </c>
      <c r="W660">
        <v>7.0824239999999997E-2</v>
      </c>
      <c r="X660">
        <v>0.99705549999999998</v>
      </c>
      <c r="Y660">
        <v>7.3243950000000002E-2</v>
      </c>
      <c r="Z660">
        <v>-2.652087E-3</v>
      </c>
      <c r="AA660">
        <v>0.99731049999999999</v>
      </c>
      <c r="AB660">
        <v>67</v>
      </c>
      <c r="AC660">
        <v>18.076699999999899</v>
      </c>
      <c r="AD660">
        <v>-1.1126140422299999</v>
      </c>
      <c r="AE660">
        <v>-1.2223999999999899</v>
      </c>
      <c r="AF660">
        <v>1.3515248806474101</v>
      </c>
      <c r="AG660">
        <v>-1.1126140422299999</v>
      </c>
      <c r="AH660">
        <v>17.999245537894801</v>
      </c>
      <c r="AI660">
        <v>93.5273036161894</v>
      </c>
      <c r="AJ660">
        <v>85.705840691399601</v>
      </c>
      <c r="AK660">
        <v>18.084174557977601</v>
      </c>
    </row>
    <row r="661" spans="1:37" x14ac:dyDescent="0.2">
      <c r="A661" t="str">
        <f>"20200111154039199"</f>
        <v>20200111154039199</v>
      </c>
      <c r="B661" t="str">
        <f>"1578728439186488"</f>
        <v>1578728439186488</v>
      </c>
      <c r="C661" t="s">
        <v>37</v>
      </c>
      <c r="D661">
        <v>5.4700600000000001</v>
      </c>
      <c r="E661">
        <v>0.51598540000000004</v>
      </c>
      <c r="F661" t="s">
        <v>38</v>
      </c>
      <c r="G661">
        <v>-250.90270000000001</v>
      </c>
      <c r="H661">
        <v>1.037045</v>
      </c>
      <c r="I661">
        <v>367.85109999999997</v>
      </c>
      <c r="J661">
        <v>-251.73650000000001</v>
      </c>
      <c r="K661">
        <v>1.1126689999999999</v>
      </c>
      <c r="L661">
        <v>367.93699999999899</v>
      </c>
      <c r="M661">
        <v>0.99959769999999903</v>
      </c>
      <c r="N661">
        <v>0</v>
      </c>
      <c r="O661">
        <v>8.1898749999999992E-3</v>
      </c>
      <c r="P661">
        <v>0.9987992</v>
      </c>
      <c r="Q661">
        <v>4.3722270000000001E-2</v>
      </c>
      <c r="R661">
        <v>-2.210473E-2</v>
      </c>
      <c r="S661">
        <v>3.0072329999999998</v>
      </c>
      <c r="T661">
        <v>-0.18301400000000001</v>
      </c>
      <c r="U661">
        <v>-0.198822</v>
      </c>
      <c r="V661">
        <v>2.993554E-2</v>
      </c>
      <c r="W661">
        <v>7.0976440000000002E-2</v>
      </c>
      <c r="X661">
        <v>0.99702869999999999</v>
      </c>
      <c r="Y661">
        <v>7.3992009999999997E-2</v>
      </c>
      <c r="Z661">
        <v>-2.7446039999999999E-3</v>
      </c>
      <c r="AA661">
        <v>0.99725509999999995</v>
      </c>
      <c r="AB661">
        <v>66</v>
      </c>
      <c r="AC661">
        <v>0.83379999999999599</v>
      </c>
      <c r="AD661">
        <v>-7.5624000000000094E-2</v>
      </c>
      <c r="AE661">
        <v>-8.5899999999980894E-2</v>
      </c>
      <c r="AF661">
        <v>9.19796635206339E-2</v>
      </c>
      <c r="AG661">
        <v>-7.5624000000000094E-2</v>
      </c>
      <c r="AH661">
        <v>0.82634203909323301</v>
      </c>
      <c r="AI661">
        <v>95.197029889768402</v>
      </c>
      <c r="AJ661">
        <v>83.648584086158095</v>
      </c>
      <c r="AK661">
        <v>0.83487748409579898</v>
      </c>
    </row>
    <row r="662" spans="1:37" x14ac:dyDescent="0.2">
      <c r="A662" t="str">
        <f>"20200111154039213"</f>
        <v>20200111154039213</v>
      </c>
      <c r="B662" t="str">
        <f>"1578728439206983"</f>
        <v>1578728439206983</v>
      </c>
      <c r="C662" t="s">
        <v>37</v>
      </c>
      <c r="D662">
        <v>5.5031030000000003</v>
      </c>
      <c r="E662">
        <v>0.516067099999999</v>
      </c>
      <c r="F662" t="s">
        <v>39</v>
      </c>
      <c r="G662">
        <v>-233.60120000000001</v>
      </c>
      <c r="H662" s="1">
        <v>-3.2381529999999999E-6</v>
      </c>
      <c r="I662">
        <v>366.73680000000002</v>
      </c>
      <c r="J662">
        <v>-251.32470000000001</v>
      </c>
      <c r="K662">
        <v>1.112717</v>
      </c>
      <c r="L662">
        <v>367.9409</v>
      </c>
      <c r="M662">
        <v>0.99958389999999997</v>
      </c>
      <c r="N662">
        <v>0</v>
      </c>
      <c r="O662">
        <v>8.9602380000000006E-3</v>
      </c>
      <c r="P662">
        <v>0.99880840000000004</v>
      </c>
      <c r="Q662">
        <v>4.3579239999999998E-2</v>
      </c>
      <c r="R662">
        <v>-2.1985520000000001E-2</v>
      </c>
      <c r="S662">
        <v>3.0072779999999999</v>
      </c>
      <c r="T662">
        <v>-0.1845078</v>
      </c>
      <c r="U662">
        <v>-0.19900509999999999</v>
      </c>
      <c r="V662">
        <v>3.0581959999999998E-2</v>
      </c>
      <c r="W662">
        <v>7.1101999999999999E-2</v>
      </c>
      <c r="X662">
        <v>0.99700009999999994</v>
      </c>
      <c r="Y662">
        <v>7.4814599999999995E-2</v>
      </c>
      <c r="Z662">
        <v>-2.8392959999999998E-3</v>
      </c>
      <c r="AA662">
        <v>0.99719340000000001</v>
      </c>
      <c r="AB662">
        <v>66</v>
      </c>
      <c r="AC662">
        <v>17.723500000000001</v>
      </c>
      <c r="AD662">
        <v>-1.1127202381529999</v>
      </c>
      <c r="AE662">
        <v>-1.20409999999998</v>
      </c>
      <c r="AF662">
        <v>1.3575916254639999</v>
      </c>
      <c r="AG662">
        <v>-1.1127202381529999</v>
      </c>
      <c r="AH662">
        <v>17.6427735658791</v>
      </c>
      <c r="AI662">
        <v>93.598225049435001</v>
      </c>
      <c r="AJ662">
        <v>85.599825067841806</v>
      </c>
      <c r="AK662">
        <v>17.7298804408492</v>
      </c>
    </row>
    <row r="663" spans="1:37" x14ac:dyDescent="0.2">
      <c r="A663" t="str">
        <f>"20200111154039228"</f>
        <v>20200111154039228</v>
      </c>
      <c r="B663" t="str">
        <f>"1578728439216743"</f>
        <v>1578728439216743</v>
      </c>
      <c r="C663" t="s">
        <v>37</v>
      </c>
      <c r="D663">
        <v>5.5227139999999997</v>
      </c>
      <c r="E663">
        <v>0.51616930000000005</v>
      </c>
      <c r="F663" t="s">
        <v>39</v>
      </c>
      <c r="G663">
        <v>-233.45840000000001</v>
      </c>
      <c r="H663" s="1">
        <v>-3.2958869999999999E-6</v>
      </c>
      <c r="I663">
        <v>366.7568</v>
      </c>
      <c r="J663">
        <v>-250.8947</v>
      </c>
      <c r="K663">
        <v>1.1127659999999999</v>
      </c>
      <c r="L663">
        <v>367.94529999999997</v>
      </c>
      <c r="M663">
        <v>0.99956909999999899</v>
      </c>
      <c r="N663">
        <v>0</v>
      </c>
      <c r="O663">
        <v>9.7631379999999993E-3</v>
      </c>
      <c r="P663">
        <v>0.99877349999999998</v>
      </c>
      <c r="Q663">
        <v>4.4226019999999998E-2</v>
      </c>
      <c r="R663">
        <v>-2.225769E-2</v>
      </c>
      <c r="S663">
        <v>3.0073699999999999</v>
      </c>
      <c r="T663">
        <v>-0.1872993</v>
      </c>
      <c r="U663">
        <v>-0.1993103</v>
      </c>
      <c r="V663">
        <v>3.1648559999999999E-2</v>
      </c>
      <c r="W663">
        <v>7.2012329999999999E-2</v>
      </c>
      <c r="X663">
        <v>0.9969015</v>
      </c>
      <c r="Y663">
        <v>7.5706330000000002E-2</v>
      </c>
      <c r="Z663">
        <v>-2.9597159999999998E-3</v>
      </c>
      <c r="AA663">
        <v>0.9971257</v>
      </c>
      <c r="AB663">
        <v>66</v>
      </c>
      <c r="AC663">
        <v>17.4362999999999</v>
      </c>
      <c r="AD663">
        <v>-1.1127692958869999</v>
      </c>
      <c r="AE663">
        <v>-1.1884999999999699</v>
      </c>
      <c r="AF663">
        <v>1.3532554195078801</v>
      </c>
      <c r="AG663">
        <v>-1.1127692958869999</v>
      </c>
      <c r="AH663">
        <v>17.353508507856599</v>
      </c>
      <c r="AI663">
        <v>93.657912928452006</v>
      </c>
      <c r="AJ663">
        <v>85.541003920586405</v>
      </c>
      <c r="AK663">
        <v>17.4417262124065</v>
      </c>
    </row>
    <row r="664" spans="1:37" x14ac:dyDescent="0.2">
      <c r="A664" t="str">
        <f>"20200111154039242"</f>
        <v>20200111154039242</v>
      </c>
      <c r="B664" t="str">
        <f>"1578728439237239"</f>
        <v>1578728439237239</v>
      </c>
      <c r="C664" t="s">
        <v>37</v>
      </c>
      <c r="D664">
        <v>5.5472010000000003</v>
      </c>
      <c r="E664">
        <v>0.51643349999999999</v>
      </c>
      <c r="F664" t="s">
        <v>38</v>
      </c>
      <c r="G664">
        <v>-249.7242</v>
      </c>
      <c r="H664">
        <v>1.0399700000000001</v>
      </c>
      <c r="I664">
        <v>367.86689999999999</v>
      </c>
      <c r="J664">
        <v>-250.49250000000001</v>
      </c>
      <c r="K664">
        <v>1.112806</v>
      </c>
      <c r="L664">
        <v>367.94970000000001</v>
      </c>
      <c r="M664">
        <v>0.99955519999999998</v>
      </c>
      <c r="N664">
        <v>0</v>
      </c>
      <c r="O664">
        <v>1.051152E-2</v>
      </c>
      <c r="P664">
        <v>0.99875820000000004</v>
      </c>
      <c r="Q664">
        <v>4.4648590000000002E-2</v>
      </c>
      <c r="R664">
        <v>-2.2107100000000001E-2</v>
      </c>
      <c r="S664">
        <v>3.0075229999999999</v>
      </c>
      <c r="T664">
        <v>-0.18733469999999999</v>
      </c>
      <c r="U664">
        <v>-0.2008057</v>
      </c>
      <c r="V664">
        <v>3.2240419999999999E-2</v>
      </c>
      <c r="W664">
        <v>7.266388E-2</v>
      </c>
      <c r="X664">
        <v>0.99683519999999903</v>
      </c>
      <c r="Y664">
        <v>7.6939270000000004E-2</v>
      </c>
      <c r="Z664">
        <v>-3.0449420000000001E-3</v>
      </c>
      <c r="AA664">
        <v>0.99703120000000001</v>
      </c>
      <c r="AB664">
        <v>66</v>
      </c>
      <c r="AC664">
        <v>0.76830000000000997</v>
      </c>
      <c r="AD664">
        <v>-7.2835999999999901E-2</v>
      </c>
      <c r="AE664">
        <v>-8.2800000000020094E-2</v>
      </c>
      <c r="AF664">
        <v>9.0074336654784301E-2</v>
      </c>
      <c r="AG664">
        <v>-7.2835999999999901E-2</v>
      </c>
      <c r="AH664">
        <v>0.76062928877046898</v>
      </c>
      <c r="AI664">
        <v>95.432099351401007</v>
      </c>
      <c r="AJ664">
        <v>83.246439661435005</v>
      </c>
      <c r="AK664">
        <v>0.76939936571020695</v>
      </c>
    </row>
    <row r="665" spans="1:37" x14ac:dyDescent="0.2">
      <c r="A665" t="str">
        <f>"20200111154039255"</f>
        <v>20200111154039255</v>
      </c>
      <c r="B665" t="str">
        <f>"1578728439247000"</f>
        <v>1578728439247000</v>
      </c>
      <c r="C665" t="s">
        <v>37</v>
      </c>
      <c r="D665">
        <v>5.5146480000000002</v>
      </c>
      <c r="E665">
        <v>0.5165824</v>
      </c>
      <c r="F665" t="s">
        <v>39</v>
      </c>
      <c r="G665">
        <v>-232.7619</v>
      </c>
      <c r="H665" s="1">
        <v>-3.5946829999999998E-6</v>
      </c>
      <c r="I665">
        <v>366.75689999999997</v>
      </c>
      <c r="J665">
        <v>-250.09540000000001</v>
      </c>
      <c r="K665">
        <v>1.1128340000000001</v>
      </c>
      <c r="L665">
        <v>367.9545</v>
      </c>
      <c r="M665">
        <v>0.99954159999999903</v>
      </c>
      <c r="N665">
        <v>0</v>
      </c>
      <c r="O665">
        <v>1.1246030000000001E-2</v>
      </c>
      <c r="P665">
        <v>0.99876849999999995</v>
      </c>
      <c r="Q665">
        <v>4.4583949999999997E-2</v>
      </c>
      <c r="R665">
        <v>-2.1765739999999999E-2</v>
      </c>
      <c r="S665">
        <v>3.0076900000000002</v>
      </c>
      <c r="T665">
        <v>-0.18876770000000001</v>
      </c>
      <c r="U665">
        <v>-0.2023315</v>
      </c>
      <c r="V665">
        <v>3.263166E-2</v>
      </c>
      <c r="W665">
        <v>7.2801809999999995E-2</v>
      </c>
      <c r="X665">
        <v>0.99681249999999999</v>
      </c>
      <c r="Y665">
        <v>7.8165399999999996E-2</v>
      </c>
      <c r="Z665">
        <v>-3.152392E-3</v>
      </c>
      <c r="AA665">
        <v>0.99693539999999903</v>
      </c>
      <c r="AB665">
        <v>66</v>
      </c>
      <c r="AC665">
        <v>17.333500000000001</v>
      </c>
      <c r="AD665">
        <v>-1.112837594683</v>
      </c>
      <c r="AE665">
        <v>-1.19760000000002</v>
      </c>
      <c r="AF665">
        <v>1.38684512777339</v>
      </c>
      <c r="AG665">
        <v>-1.112837594683</v>
      </c>
      <c r="AH665">
        <v>17.248172988352898</v>
      </c>
      <c r="AI665">
        <v>93.679716035683796</v>
      </c>
      <c r="AJ665">
        <v>85.4030031866901</v>
      </c>
      <c r="AK665">
        <v>17.3395852994446</v>
      </c>
    </row>
    <row r="666" spans="1:37" x14ac:dyDescent="0.2">
      <c r="A666" t="str">
        <f>"20200111154039269"</f>
        <v>20200111154039269</v>
      </c>
      <c r="B666" t="str">
        <f>"1578728439256760"</f>
        <v>1578728439256760</v>
      </c>
      <c r="C666" t="s">
        <v>37</v>
      </c>
      <c r="D666">
        <v>5.4723790000000001</v>
      </c>
      <c r="E666">
        <v>0.51661959999999996</v>
      </c>
      <c r="F666" t="s">
        <v>39</v>
      </c>
      <c r="G666">
        <v>-232.50829999999999</v>
      </c>
      <c r="H666" s="1">
        <v>-3.7010659999999999E-6</v>
      </c>
      <c r="I666">
        <v>366.77030000000002</v>
      </c>
      <c r="J666">
        <v>-249.7073</v>
      </c>
      <c r="K666">
        <v>1.1128559999999901</v>
      </c>
      <c r="L666">
        <v>367.95940000000002</v>
      </c>
      <c r="M666">
        <v>0.99952799999999997</v>
      </c>
      <c r="N666">
        <v>0</v>
      </c>
      <c r="O666">
        <v>1.195967E-2</v>
      </c>
      <c r="P666">
        <v>0.9987954</v>
      </c>
      <c r="Q666">
        <v>4.4138249999999997E-2</v>
      </c>
      <c r="R666">
        <v>-2.1446750000000001E-2</v>
      </c>
      <c r="S666">
        <v>3.0077820000000002</v>
      </c>
      <c r="T666">
        <v>-0.1903194</v>
      </c>
      <c r="U666">
        <v>-0.20251459999999999</v>
      </c>
      <c r="V666">
        <v>3.3027180000000003E-2</v>
      </c>
      <c r="W666">
        <v>7.2543570000000002E-2</v>
      </c>
      <c r="X666">
        <v>0.99681819999999899</v>
      </c>
      <c r="Y666">
        <v>7.8929769999999996E-2</v>
      </c>
      <c r="Z666">
        <v>-3.247373E-3</v>
      </c>
      <c r="AA666">
        <v>0.99687490000000001</v>
      </c>
      <c r="AB666">
        <v>66</v>
      </c>
      <c r="AC666">
        <v>17.199000000000002</v>
      </c>
      <c r="AD666">
        <v>-1.11285970106599</v>
      </c>
      <c r="AE666">
        <v>-1.1890999999999901</v>
      </c>
      <c r="AF666">
        <v>1.38900394398829</v>
      </c>
      <c r="AG666">
        <v>-1.11285970106599</v>
      </c>
      <c r="AH666">
        <v>17.1122386055576</v>
      </c>
      <c r="AI666">
        <v>93.708711721852893</v>
      </c>
      <c r="AJ666">
        <v>85.359463441870105</v>
      </c>
      <c r="AK666">
        <v>17.204548781185999</v>
      </c>
    </row>
    <row r="667" spans="1:37" x14ac:dyDescent="0.2">
      <c r="A667" t="str">
        <f>"20200111154039283"</f>
        <v>20200111154039283</v>
      </c>
      <c r="B667" t="str">
        <f>"1578728439277257"</f>
        <v>1578728439277257</v>
      </c>
      <c r="C667" t="s">
        <v>37</v>
      </c>
      <c r="D667">
        <v>5.7956059999999896</v>
      </c>
      <c r="E667">
        <v>0.51661990000000002</v>
      </c>
      <c r="F667" t="s">
        <v>38</v>
      </c>
      <c r="G667">
        <v>-248.55959999999999</v>
      </c>
      <c r="H667">
        <v>1.038813</v>
      </c>
      <c r="I667">
        <v>367.88199999999898</v>
      </c>
      <c r="J667">
        <v>-249.29320000000001</v>
      </c>
      <c r="K667">
        <v>1.1128769999999999</v>
      </c>
      <c r="L667">
        <v>367.9649</v>
      </c>
      <c r="M667">
        <v>0.9995134</v>
      </c>
      <c r="N667">
        <v>0</v>
      </c>
      <c r="O667">
        <v>1.27154E-2</v>
      </c>
      <c r="P667">
        <v>0.99881520000000001</v>
      </c>
      <c r="Q667">
        <v>4.3937740000000003E-2</v>
      </c>
      <c r="R667">
        <v>-2.092428E-2</v>
      </c>
      <c r="S667">
        <v>3.0078580000000001</v>
      </c>
      <c r="T667">
        <v>-0.19430710000000001</v>
      </c>
      <c r="U667">
        <v>-0.20230100000000001</v>
      </c>
      <c r="V667">
        <v>3.3261279999999997E-2</v>
      </c>
      <c r="W667">
        <v>7.2527869999999994E-2</v>
      </c>
      <c r="X667">
        <v>0.99681160000000002</v>
      </c>
      <c r="Y667">
        <v>7.9600729999999995E-2</v>
      </c>
      <c r="Z667">
        <v>-3.3855679999999998E-3</v>
      </c>
      <c r="AA667">
        <v>0.99682109999999902</v>
      </c>
      <c r="AB667">
        <v>65</v>
      </c>
      <c r="AC667">
        <v>0.73360000000002401</v>
      </c>
      <c r="AD667">
        <v>-7.4064000000000102E-2</v>
      </c>
      <c r="AE667">
        <v>-8.2900000000051904E-2</v>
      </c>
      <c r="AF667">
        <v>9.1306160848293905E-2</v>
      </c>
      <c r="AG667">
        <v>-7.4064000000000102E-2</v>
      </c>
      <c r="AH667">
        <v>0.72518758320545496</v>
      </c>
      <c r="AI667">
        <v>95.786077330818003</v>
      </c>
      <c r="AJ667">
        <v>82.823824104045002</v>
      </c>
      <c r="AK667">
        <v>0.73465592078211905</v>
      </c>
    </row>
    <row r="668" spans="1:37" x14ac:dyDescent="0.2">
      <c r="A668" t="str">
        <f>"20200111154039295"</f>
        <v>20200111154039295</v>
      </c>
      <c r="B668" t="str">
        <f>"1578728439287015"</f>
        <v>1578728439287015</v>
      </c>
      <c r="C668" t="s">
        <v>37</v>
      </c>
      <c r="D668">
        <v>5.2803769999999997</v>
      </c>
      <c r="E668">
        <v>0.4885544</v>
      </c>
      <c r="F668" t="s">
        <v>38</v>
      </c>
      <c r="G668">
        <v>-247.9879</v>
      </c>
      <c r="H668">
        <v>1.02799</v>
      </c>
      <c r="I668">
        <v>367.8777</v>
      </c>
      <c r="J668">
        <v>-248.91749999999999</v>
      </c>
      <c r="K668">
        <v>1.112876</v>
      </c>
      <c r="L668">
        <v>367.97019999999998</v>
      </c>
      <c r="M668">
        <v>0.99950059999999996</v>
      </c>
      <c r="N668">
        <v>0</v>
      </c>
      <c r="O668">
        <v>1.3388570000000001E-2</v>
      </c>
      <c r="P668">
        <v>0.99885650000000004</v>
      </c>
      <c r="Q668">
        <v>4.3267880000000002E-2</v>
      </c>
      <c r="R668">
        <v>-2.0344210000000001E-2</v>
      </c>
      <c r="S668">
        <v>3.0079500000000001</v>
      </c>
      <c r="T668">
        <v>-0.1957169</v>
      </c>
      <c r="U668">
        <v>-0.20059199999999999</v>
      </c>
      <c r="V668">
        <v>3.3359229999999997E-2</v>
      </c>
      <c r="W668">
        <v>7.2005669999999994E-2</v>
      </c>
      <c r="X668">
        <v>0.99684619999999902</v>
      </c>
      <c r="Y668">
        <v>7.9701910000000001E-2</v>
      </c>
      <c r="Z668">
        <v>-3.4570600000000001E-3</v>
      </c>
      <c r="AA668">
        <v>0.99681280000000005</v>
      </c>
      <c r="AB668">
        <v>65</v>
      </c>
      <c r="AC668">
        <v>0.92959999999999299</v>
      </c>
      <c r="AD668">
        <v>-8.4886000000000003E-2</v>
      </c>
      <c r="AE668">
        <v>-9.2499999999972701E-2</v>
      </c>
      <c r="AF668">
        <v>0.104083443787758</v>
      </c>
      <c r="AG668">
        <v>-8.4886000000000003E-2</v>
      </c>
      <c r="AH668">
        <v>0.92067601137852995</v>
      </c>
      <c r="AI668">
        <v>95.234600115799907</v>
      </c>
      <c r="AJ668">
        <v>83.550033624076207</v>
      </c>
      <c r="AK668">
        <v>0.93042104135418102</v>
      </c>
    </row>
    <row r="669" spans="1:37" x14ac:dyDescent="0.2">
      <c r="A669" t="str">
        <f>"20200111154039308"</f>
        <v>20200111154039308</v>
      </c>
      <c r="B669" t="str">
        <f>"1578728439296775"</f>
        <v>1578728439296775</v>
      </c>
      <c r="C669" t="s">
        <v>37</v>
      </c>
      <c r="D669">
        <v>5.3321180000000004</v>
      </c>
      <c r="E669">
        <v>0.47879250000000001</v>
      </c>
      <c r="F669" t="s">
        <v>39</v>
      </c>
      <c r="G669">
        <v>-233.7234</v>
      </c>
      <c r="H669" s="1">
        <v>-2.9451189999999999E-6</v>
      </c>
      <c r="I669">
        <v>368.0933</v>
      </c>
      <c r="J669">
        <v>-248.5659</v>
      </c>
      <c r="K669">
        <v>1.112879</v>
      </c>
      <c r="L669">
        <v>367.97539999999998</v>
      </c>
      <c r="M669">
        <v>0.9994883</v>
      </c>
      <c r="N669">
        <v>0</v>
      </c>
      <c r="O669">
        <v>1.4011569999999999E-2</v>
      </c>
      <c r="P669">
        <v>0.99890210000000002</v>
      </c>
      <c r="Q669">
        <v>4.2680929999999999E-2</v>
      </c>
      <c r="R669">
        <v>-1.9322470000000001E-2</v>
      </c>
      <c r="S669">
        <v>3.0134889999999999</v>
      </c>
      <c r="T669">
        <v>-0.220719999999999</v>
      </c>
      <c r="U669">
        <v>2.4414060000000001E-2</v>
      </c>
      <c r="V669">
        <v>3.296549E-2</v>
      </c>
      <c r="W669">
        <v>7.1547659999999999E-2</v>
      </c>
      <c r="X669">
        <v>0.99689229999999995</v>
      </c>
      <c r="Y669">
        <v>5.8631269999999897E-3</v>
      </c>
      <c r="Z669">
        <v>-1.239687E-3</v>
      </c>
      <c r="AA669">
        <v>0.99998209999999998</v>
      </c>
      <c r="AB669">
        <v>65</v>
      </c>
      <c r="AC669">
        <v>14.842499999999999</v>
      </c>
      <c r="AD669">
        <v>-1.112881945119</v>
      </c>
      <c r="AE669">
        <v>0.11790000000002</v>
      </c>
      <c r="AF669">
        <v>8.9660308831709098E-2</v>
      </c>
      <c r="AG669">
        <v>-1.112881945119</v>
      </c>
      <c r="AH669">
        <v>14.7597217717788</v>
      </c>
      <c r="AI669">
        <v>94.311859353736097</v>
      </c>
      <c r="AJ669">
        <v>89.651951833705894</v>
      </c>
      <c r="AK669">
        <v>14.801889473140699</v>
      </c>
    </row>
    <row r="670" spans="1:37" x14ac:dyDescent="0.2">
      <c r="A670" t="str">
        <f>"20200111154039321"</f>
        <v>20200111154039321</v>
      </c>
      <c r="B670" t="str">
        <f>"1578728439317272"</f>
        <v>1578728439317272</v>
      </c>
      <c r="C670" t="s">
        <v>37</v>
      </c>
      <c r="D670">
        <v>5.4659810000000002</v>
      </c>
      <c r="E670">
        <v>0.40752359999999999</v>
      </c>
      <c r="F670" t="s">
        <v>39</v>
      </c>
      <c r="G670">
        <v>-232.52770000000001</v>
      </c>
      <c r="H670" s="1">
        <v>-3.3795699999999998E-6</v>
      </c>
      <c r="I670">
        <v>368.53590000000003</v>
      </c>
      <c r="J670">
        <v>-248.18010000000001</v>
      </c>
      <c r="K670">
        <v>1.112879</v>
      </c>
      <c r="L670">
        <v>367.9812</v>
      </c>
      <c r="M670">
        <v>0.99947459999999899</v>
      </c>
      <c r="N670">
        <v>0</v>
      </c>
      <c r="O670">
        <v>1.468568E-2</v>
      </c>
      <c r="P670">
        <v>0.99892780000000003</v>
      </c>
      <c r="Q670">
        <v>4.2423059999999999E-2</v>
      </c>
      <c r="R670">
        <v>-1.853691E-2</v>
      </c>
      <c r="S670">
        <v>3.0142519999999999</v>
      </c>
      <c r="T670">
        <v>-0.20915610000000001</v>
      </c>
      <c r="U670">
        <v>0.105346699999999</v>
      </c>
      <c r="V670">
        <v>3.2857909999999997E-2</v>
      </c>
      <c r="W670">
        <v>7.142163E-2</v>
      </c>
      <c r="X670">
        <v>0.99690489999999998</v>
      </c>
      <c r="Y670">
        <v>-2.0228289999999999E-2</v>
      </c>
      <c r="Z670">
        <v>-3.1707000000000003E-4</v>
      </c>
      <c r="AA670">
        <v>0.99979530000000005</v>
      </c>
      <c r="AB670">
        <v>65</v>
      </c>
      <c r="AC670">
        <v>15.6524</v>
      </c>
      <c r="AD670">
        <v>-1.11288237957</v>
      </c>
      <c r="AE670">
        <v>0.55470000000002495</v>
      </c>
      <c r="AF670">
        <v>-0.323046968454126</v>
      </c>
      <c r="AG670">
        <v>-1.11288237957</v>
      </c>
      <c r="AH670">
        <v>15.580198256345501</v>
      </c>
      <c r="AI670">
        <v>94.084782310266604</v>
      </c>
      <c r="AJ670">
        <v>91.187826738436101</v>
      </c>
      <c r="AK670">
        <v>15.623234115944699</v>
      </c>
    </row>
    <row r="671" spans="1:37" x14ac:dyDescent="0.2">
      <c r="A671" t="str">
        <f>"20200111154039334"</f>
        <v>20200111154039334</v>
      </c>
      <c r="B671" t="str">
        <f>"1578728439327032"</f>
        <v>1578728439327032</v>
      </c>
      <c r="C671" t="s">
        <v>37</v>
      </c>
      <c r="D671">
        <v>5.3479419999999998</v>
      </c>
      <c r="E671">
        <v>0.40635359999999998</v>
      </c>
      <c r="F671" t="s">
        <v>39</v>
      </c>
      <c r="G671">
        <v>-230.2611</v>
      </c>
      <c r="H671" s="1">
        <v>-4.6081360000000001E-6</v>
      </c>
      <c r="I671">
        <v>371.98950000000002</v>
      </c>
      <c r="J671">
        <v>-247.8039</v>
      </c>
      <c r="K671">
        <v>1.1128739999999999</v>
      </c>
      <c r="L671">
        <v>367.9873</v>
      </c>
      <c r="M671">
        <v>0.99946170000000001</v>
      </c>
      <c r="N671">
        <v>0</v>
      </c>
      <c r="O671">
        <v>1.532118E-2</v>
      </c>
      <c r="P671">
        <v>0.99894019999999994</v>
      </c>
      <c r="Q671">
        <v>4.239449E-2</v>
      </c>
      <c r="R671">
        <v>-1.7924969999999998E-2</v>
      </c>
      <c r="S671">
        <v>3.0237430000000001</v>
      </c>
      <c r="T671">
        <v>-0.18779299999999999</v>
      </c>
      <c r="U671">
        <v>0.67639159999999998</v>
      </c>
      <c r="V671">
        <v>3.2885419999999999E-2</v>
      </c>
      <c r="W671">
        <v>7.1502949999999996E-2</v>
      </c>
      <c r="X671">
        <v>0.99689810000000001</v>
      </c>
      <c r="Y671">
        <v>-0.20297089999999901</v>
      </c>
      <c r="Z671">
        <v>5.2811359999999996E-3</v>
      </c>
      <c r="AA671">
        <v>0.9791706</v>
      </c>
      <c r="AB671">
        <v>65</v>
      </c>
      <c r="AC671">
        <v>17.5428</v>
      </c>
      <c r="AD671">
        <v>-1.11287860813599</v>
      </c>
      <c r="AE671">
        <v>4.00220000000001</v>
      </c>
      <c r="AF671">
        <v>-3.7186155569114501</v>
      </c>
      <c r="AG671">
        <v>-1.11287860813599</v>
      </c>
      <c r="AH671">
        <v>17.535007216116</v>
      </c>
      <c r="AI671">
        <v>93.552670167304498</v>
      </c>
      <c r="AJ671">
        <v>101.973220007976</v>
      </c>
      <c r="AK671">
        <v>17.959484361356001</v>
      </c>
    </row>
    <row r="672" spans="1:37" x14ac:dyDescent="0.2">
      <c r="A672" t="str">
        <f>"20200111154039346"</f>
        <v>20200111154039346</v>
      </c>
      <c r="B672" t="str">
        <f>"1578728439336791"</f>
        <v>1578728439336791</v>
      </c>
      <c r="C672" t="s">
        <v>37</v>
      </c>
      <c r="D672">
        <v>5.2552279999999998</v>
      </c>
      <c r="E672">
        <v>0.4064005</v>
      </c>
      <c r="F672" t="s">
        <v>39</v>
      </c>
      <c r="G672">
        <v>-231.49420000000001</v>
      </c>
      <c r="H672" s="1">
        <v>-4.1359310000000003E-6</v>
      </c>
      <c r="I672">
        <v>371.69319999999999</v>
      </c>
      <c r="J672">
        <v>-247.4546</v>
      </c>
      <c r="K672">
        <v>1.112868</v>
      </c>
      <c r="L672">
        <v>367.99299999999999</v>
      </c>
      <c r="M672">
        <v>0.99944999999999995</v>
      </c>
      <c r="N672">
        <v>0</v>
      </c>
      <c r="O672">
        <v>1.5897930000000001E-2</v>
      </c>
      <c r="P672">
        <v>0.998934199999999</v>
      </c>
      <c r="Q672">
        <v>4.2803569999999999E-2</v>
      </c>
      <c r="R672">
        <v>-1.727828E-2</v>
      </c>
      <c r="S672">
        <v>3.0242770000000001</v>
      </c>
      <c r="T672">
        <v>-0.20635789999999901</v>
      </c>
      <c r="U672">
        <v>0.68719479999999999</v>
      </c>
      <c r="V672">
        <v>3.2817319999999997E-2</v>
      </c>
      <c r="W672">
        <v>7.2005669999999994E-2</v>
      </c>
      <c r="X672">
        <v>0.99686419999999998</v>
      </c>
      <c r="Y672">
        <v>-0.20562150000000001</v>
      </c>
      <c r="Z672">
        <v>5.8492669999999896E-3</v>
      </c>
      <c r="AA672">
        <v>0.97861409999999904</v>
      </c>
      <c r="AB672">
        <v>64</v>
      </c>
      <c r="AC672">
        <v>15.9603999999999</v>
      </c>
      <c r="AD672">
        <v>-1.1128721359309901</v>
      </c>
      <c r="AE672">
        <v>3.70019999999993</v>
      </c>
      <c r="AF672">
        <v>-3.4300612422918202</v>
      </c>
      <c r="AG672">
        <v>-1.1128721359309901</v>
      </c>
      <c r="AH672">
        <v>15.9436694988879</v>
      </c>
      <c r="AI672">
        <v>93.903751454808898</v>
      </c>
      <c r="AJ672">
        <v>102.141341511862</v>
      </c>
      <c r="AK672">
        <v>16.346388029365201</v>
      </c>
    </row>
    <row r="673" spans="1:37" x14ac:dyDescent="0.2">
      <c r="A673" t="str">
        <f>"20200111154039359"</f>
        <v>20200111154039359</v>
      </c>
      <c r="B673" t="str">
        <f>"1578728439357287"</f>
        <v>1578728439357287</v>
      </c>
      <c r="C673" t="s">
        <v>37</v>
      </c>
      <c r="D673">
        <v>5.184984</v>
      </c>
      <c r="E673">
        <v>0.40681149999999999</v>
      </c>
      <c r="F673" t="s">
        <v>39</v>
      </c>
      <c r="G673">
        <v>-231.32409999999999</v>
      </c>
      <c r="H673" s="1">
        <v>-4.1891579999999997E-6</v>
      </c>
      <c r="I673">
        <v>371.66680000000002</v>
      </c>
      <c r="J673">
        <v>-247.09809999999999</v>
      </c>
      <c r="K673">
        <v>1.1128559999999901</v>
      </c>
      <c r="L673">
        <v>367.9991</v>
      </c>
      <c r="M673">
        <v>0.9994383</v>
      </c>
      <c r="N673">
        <v>0</v>
      </c>
      <c r="O673">
        <v>1.6462649999999999E-2</v>
      </c>
      <c r="P673">
        <v>0.99891219999999903</v>
      </c>
      <c r="Q673">
        <v>4.363409E-2</v>
      </c>
      <c r="R673">
        <v>-1.644114E-2</v>
      </c>
      <c r="S673">
        <v>3.0240480000000001</v>
      </c>
      <c r="T673">
        <v>-0.20863309999999999</v>
      </c>
      <c r="U673">
        <v>0.68875120000000001</v>
      </c>
      <c r="V673">
        <v>3.2546270000000002E-2</v>
      </c>
      <c r="W673">
        <v>7.2916419999999996E-2</v>
      </c>
      <c r="X673">
        <v>0.99680689999999905</v>
      </c>
      <c r="Y673">
        <v>-0.2055556</v>
      </c>
      <c r="Z673">
        <v>5.8730680000000004E-3</v>
      </c>
      <c r="AA673">
        <v>0.97862780000000005</v>
      </c>
      <c r="AB673">
        <v>64</v>
      </c>
      <c r="AC673">
        <v>15.773999999999999</v>
      </c>
      <c r="AD673">
        <v>-1.1128601891579999</v>
      </c>
      <c r="AE673">
        <v>3.6677000000000199</v>
      </c>
      <c r="AF673">
        <v>-3.39139564268479</v>
      </c>
      <c r="AG673">
        <v>-1.1128601891579999</v>
      </c>
      <c r="AH673">
        <v>15.757856886623401</v>
      </c>
      <c r="AI673">
        <v>93.9495291008392</v>
      </c>
      <c r="AJ673">
        <v>102.14589192152501</v>
      </c>
      <c r="AK673">
        <v>16.157044156192001</v>
      </c>
    </row>
    <row r="674" spans="1:37" x14ac:dyDescent="0.2">
      <c r="A674" t="str">
        <f>"20200111154039374"</f>
        <v>20200111154039374</v>
      </c>
      <c r="B674" t="str">
        <f>"1578728439367050"</f>
        <v>1578728439367050</v>
      </c>
      <c r="C674" t="s">
        <v>37</v>
      </c>
      <c r="D674">
        <v>5.1759000000000004</v>
      </c>
      <c r="E674">
        <v>0.40733049999999998</v>
      </c>
      <c r="F674" t="s">
        <v>39</v>
      </c>
      <c r="G674">
        <v>-230.9983</v>
      </c>
      <c r="H674" s="1">
        <v>-4.2991689999999996E-6</v>
      </c>
      <c r="I674">
        <v>371.66210000000001</v>
      </c>
      <c r="J674">
        <v>-246.66659999999999</v>
      </c>
      <c r="K674">
        <v>1.1128279999999999</v>
      </c>
      <c r="L674">
        <v>368.0068</v>
      </c>
      <c r="M674">
        <v>0.99942489999999995</v>
      </c>
      <c r="N674">
        <v>0</v>
      </c>
      <c r="O674">
        <v>1.71077E-2</v>
      </c>
      <c r="P674">
        <v>0.99885270000000004</v>
      </c>
      <c r="Q674">
        <v>4.5322460000000002E-2</v>
      </c>
      <c r="R674">
        <v>-1.546723E-2</v>
      </c>
      <c r="S674">
        <v>3.0236969999999999</v>
      </c>
      <c r="T674">
        <v>-0.20900549999999901</v>
      </c>
      <c r="U674">
        <v>0.68795779999999995</v>
      </c>
      <c r="V674">
        <v>3.2217049999999997E-2</v>
      </c>
      <c r="W674">
        <v>7.4686829999999996E-2</v>
      </c>
      <c r="X674">
        <v>0.99668650000000003</v>
      </c>
      <c r="Y674">
        <v>-0.2047061</v>
      </c>
      <c r="Z674">
        <v>5.8114539999999998E-3</v>
      </c>
      <c r="AA674">
        <v>0.97880630000000002</v>
      </c>
      <c r="AB674">
        <v>64</v>
      </c>
      <c r="AC674">
        <v>15.668299999999901</v>
      </c>
      <c r="AD674">
        <v>-1.1128322991689901</v>
      </c>
      <c r="AE674">
        <v>3.6553000000000102</v>
      </c>
      <c r="AF674">
        <v>-3.3704763832676199</v>
      </c>
      <c r="AG674">
        <v>-1.1128322991689901</v>
      </c>
      <c r="AH674">
        <v>15.6536769349804</v>
      </c>
      <c r="AI674">
        <v>93.975552833202599</v>
      </c>
      <c r="AJ674">
        <v>102.15114706729599</v>
      </c>
      <c r="AK674">
        <v>16.0510469552916</v>
      </c>
    </row>
    <row r="675" spans="1:37" x14ac:dyDescent="0.2">
      <c r="A675" t="str">
        <f>"20200111154039387"</f>
        <v>20200111154039387</v>
      </c>
      <c r="B675" t="str">
        <f>"1578728439376807"</f>
        <v>1578728439376807</v>
      </c>
      <c r="C675" t="s">
        <v>37</v>
      </c>
      <c r="D675">
        <v>5.1643429999999997</v>
      </c>
      <c r="E675">
        <v>0.40782229999999903</v>
      </c>
      <c r="F675" t="s">
        <v>39</v>
      </c>
      <c r="G675">
        <v>-230.2525</v>
      </c>
      <c r="H675" s="1">
        <v>-4.566E-6</v>
      </c>
      <c r="I675">
        <v>371.73559999999998</v>
      </c>
      <c r="J675">
        <v>-246.292</v>
      </c>
      <c r="K675">
        <v>1.1127940000000001</v>
      </c>
      <c r="L675">
        <v>368.0136</v>
      </c>
      <c r="M675">
        <v>0.99941349999999995</v>
      </c>
      <c r="N675">
        <v>0</v>
      </c>
      <c r="O675">
        <v>1.7636800000000001E-2</v>
      </c>
      <c r="P675">
        <v>0.99884189999999995</v>
      </c>
      <c r="Q675">
        <v>4.5815359999999999E-2</v>
      </c>
      <c r="R675">
        <v>-1.4702639999999999E-2</v>
      </c>
      <c r="S675">
        <v>3.0233759999999998</v>
      </c>
      <c r="T675">
        <v>-0.20497599999999999</v>
      </c>
      <c r="U675">
        <v>0.68682860000000001</v>
      </c>
      <c r="V675">
        <v>3.1988099999999998E-2</v>
      </c>
      <c r="W675">
        <v>7.5244599999999995E-2</v>
      </c>
      <c r="X675">
        <v>0.99665190000000004</v>
      </c>
      <c r="Y675">
        <v>-0.2038817</v>
      </c>
      <c r="Z675">
        <v>5.6375569999999996E-3</v>
      </c>
      <c r="AA675">
        <v>0.9789793</v>
      </c>
      <c r="AB675">
        <v>64</v>
      </c>
      <c r="AC675">
        <v>16.0395</v>
      </c>
      <c r="AD675">
        <v>-1.1127985659999999</v>
      </c>
      <c r="AE675">
        <v>3.72199999999998</v>
      </c>
      <c r="AF675">
        <v>-3.4227798182195901</v>
      </c>
      <c r="AG675">
        <v>-1.1127985659999999</v>
      </c>
      <c r="AH675">
        <v>16.029461825344399</v>
      </c>
      <c r="AI675">
        <v>93.883939957078795</v>
      </c>
      <c r="AJ675">
        <v>102.05338257825299</v>
      </c>
      <c r="AK675">
        <v>16.428554067314501</v>
      </c>
    </row>
    <row r="676" spans="1:37" x14ac:dyDescent="0.2">
      <c r="A676" t="str">
        <f>"20200111154039400"</f>
        <v>20200111154039400</v>
      </c>
      <c r="B676" t="str">
        <f>"1578728439397304"</f>
        <v>1578728439397304</v>
      </c>
      <c r="C676" t="s">
        <v>37</v>
      </c>
      <c r="D676">
        <v>5.1685499999999998</v>
      </c>
      <c r="E676">
        <v>0.40872529999999901</v>
      </c>
      <c r="F676" t="s">
        <v>39</v>
      </c>
      <c r="G676">
        <v>-229.8535</v>
      </c>
      <c r="H676" s="1">
        <v>-6.0938759999999996E-7</v>
      </c>
      <c r="I676">
        <v>371.73689999999999</v>
      </c>
      <c r="J676">
        <v>-245.93879999999999</v>
      </c>
      <c r="K676">
        <v>1.1127479999999901</v>
      </c>
      <c r="L676">
        <v>368.02030000000002</v>
      </c>
      <c r="M676">
        <v>0.99940359999999995</v>
      </c>
      <c r="N676">
        <v>0</v>
      </c>
      <c r="O676">
        <v>1.810107E-2</v>
      </c>
      <c r="P676">
        <v>0.998839899999999</v>
      </c>
      <c r="Q676">
        <v>4.6059330000000002E-2</v>
      </c>
      <c r="R676">
        <v>-1.4063630000000001E-2</v>
      </c>
      <c r="S676">
        <v>3.0229490000000001</v>
      </c>
      <c r="T676">
        <v>-0.20463589999999901</v>
      </c>
      <c r="U676">
        <v>0.68469239999999998</v>
      </c>
      <c r="V676">
        <v>3.1822629999999998E-2</v>
      </c>
      <c r="W676">
        <v>7.554226E-2</v>
      </c>
      <c r="X676">
        <v>0.99663469999999998</v>
      </c>
      <c r="Y676">
        <v>-0.20280329999999999</v>
      </c>
      <c r="Z676">
        <v>5.56244099999999E-3</v>
      </c>
      <c r="AA676">
        <v>0.97920370000000001</v>
      </c>
      <c r="AB676">
        <v>64</v>
      </c>
      <c r="AC676">
        <v>16.085299999999901</v>
      </c>
      <c r="AD676">
        <v>-1.11274860938759</v>
      </c>
      <c r="AE676">
        <v>3.7165999999999699</v>
      </c>
      <c r="AF676">
        <v>-3.4092151825668102</v>
      </c>
      <c r="AG676">
        <v>-1.11274860938759</v>
      </c>
      <c r="AH676">
        <v>16.076927525709099</v>
      </c>
      <c r="AI676">
        <v>93.873493328537194</v>
      </c>
      <c r="AJ676">
        <v>101.972578177204</v>
      </c>
      <c r="AK676">
        <v>16.472053797133</v>
      </c>
    </row>
    <row r="677" spans="1:37" x14ac:dyDescent="0.2">
      <c r="A677" t="str">
        <f>"20200111154039413"</f>
        <v>20200111154039413</v>
      </c>
      <c r="B677" t="str">
        <f>"1578728439407063"</f>
        <v>1578728439407063</v>
      </c>
      <c r="C677" t="s">
        <v>37</v>
      </c>
      <c r="D677">
        <v>5.1740709999999996</v>
      </c>
      <c r="E677">
        <v>0.409082</v>
      </c>
      <c r="F677" t="s">
        <v>39</v>
      </c>
      <c r="G677">
        <v>-229.6533</v>
      </c>
      <c r="H677" s="1">
        <v>-6.8003959999999897E-7</v>
      </c>
      <c r="I677">
        <v>371.67959999999999</v>
      </c>
      <c r="J677">
        <v>-245.55330000000001</v>
      </c>
      <c r="K677">
        <v>1.1126879999999999</v>
      </c>
      <c r="L677">
        <v>368.02769999999998</v>
      </c>
      <c r="M677">
        <v>0.99939359999999999</v>
      </c>
      <c r="N677">
        <v>0</v>
      </c>
      <c r="O677">
        <v>1.85548E-2</v>
      </c>
      <c r="P677">
        <v>0.99886439999999999</v>
      </c>
      <c r="Q677">
        <v>4.5714610000000003E-2</v>
      </c>
      <c r="R677">
        <v>-1.342907E-2</v>
      </c>
      <c r="S677">
        <v>3.022583</v>
      </c>
      <c r="T677">
        <v>-0.20652470000000001</v>
      </c>
      <c r="U677">
        <v>0.67916869999999996</v>
      </c>
      <c r="V677">
        <v>3.1657409999999997E-2</v>
      </c>
      <c r="W677">
        <v>7.5247939999999999E-2</v>
      </c>
      <c r="X677">
        <v>0.99666219999999905</v>
      </c>
      <c r="Y677">
        <v>-0.200679</v>
      </c>
      <c r="Z677">
        <v>5.513273E-3</v>
      </c>
      <c r="AA677">
        <v>0.979641599999999</v>
      </c>
      <c r="AB677">
        <v>64</v>
      </c>
      <c r="AC677">
        <v>15.9</v>
      </c>
      <c r="AD677">
        <v>-1.1126886800396001</v>
      </c>
      <c r="AE677">
        <v>3.6519000000000101</v>
      </c>
      <c r="AF677">
        <v>-3.34058137307164</v>
      </c>
      <c r="AG677">
        <v>-1.1126886800396001</v>
      </c>
      <c r="AH677">
        <v>15.8911267388841</v>
      </c>
      <c r="AI677">
        <v>93.919884693179796</v>
      </c>
      <c r="AJ677">
        <v>101.871674152818</v>
      </c>
      <c r="AK677">
        <v>16.276531234881698</v>
      </c>
    </row>
    <row r="678" spans="1:37" x14ac:dyDescent="0.2">
      <c r="A678" t="str">
        <f>"20200111154039426"</f>
        <v>20200111154039426</v>
      </c>
      <c r="B678" t="str">
        <f>"1578728439416823"</f>
        <v>1578728439416823</v>
      </c>
      <c r="C678" t="s">
        <v>37</v>
      </c>
      <c r="D678">
        <v>5.1500979999999998</v>
      </c>
      <c r="E678">
        <v>0.40945579999999998</v>
      </c>
      <c r="F678" t="s">
        <v>39</v>
      </c>
      <c r="G678">
        <v>-229.37790000000001</v>
      </c>
      <c r="H678" s="1">
        <v>-7.9211869999999902E-7</v>
      </c>
      <c r="I678">
        <v>371.65679999999998</v>
      </c>
      <c r="J678">
        <v>-245.19040000000001</v>
      </c>
      <c r="K678">
        <v>1.1126180000000001</v>
      </c>
      <c r="L678">
        <v>368.03469999999999</v>
      </c>
      <c r="M678">
        <v>0.99938490000000002</v>
      </c>
      <c r="N678">
        <v>0</v>
      </c>
      <c r="O678">
        <v>1.894734E-2</v>
      </c>
      <c r="P678">
        <v>0.99888999999999994</v>
      </c>
      <c r="Q678">
        <v>4.5330000000000002E-2</v>
      </c>
      <c r="R678">
        <v>-1.280747E-2</v>
      </c>
      <c r="S678">
        <v>3.022049</v>
      </c>
      <c r="T678">
        <v>-0.20788229999999999</v>
      </c>
      <c r="U678">
        <v>0.67803959999999996</v>
      </c>
      <c r="V678">
        <v>3.1444840000000002E-2</v>
      </c>
      <c r="W678">
        <v>7.4905100000000002E-2</v>
      </c>
      <c r="X678">
        <v>0.99669470000000004</v>
      </c>
      <c r="Y678">
        <v>-0.19997970000000001</v>
      </c>
      <c r="Z678">
        <v>5.5002569999999997E-3</v>
      </c>
      <c r="AA678">
        <v>0.97978460000000001</v>
      </c>
      <c r="AB678">
        <v>63</v>
      </c>
      <c r="AC678">
        <v>15.8125</v>
      </c>
      <c r="AD678">
        <v>-1.1126187921187001</v>
      </c>
      <c r="AE678">
        <v>3.6220999999999801</v>
      </c>
      <c r="AF678">
        <v>-3.3061611631717698</v>
      </c>
      <c r="AG678">
        <v>-1.1126187921187001</v>
      </c>
      <c r="AH678">
        <v>15.803973647226099</v>
      </c>
      <c r="AI678">
        <v>93.941990693334503</v>
      </c>
      <c r="AJ678">
        <v>101.815766825876</v>
      </c>
      <c r="AK678">
        <v>16.184381522185401</v>
      </c>
    </row>
    <row r="679" spans="1:37" x14ac:dyDescent="0.2">
      <c r="A679" t="str">
        <f>"20200111154039440"</f>
        <v>20200111154039440</v>
      </c>
      <c r="B679" t="str">
        <f>"1578728439437319"</f>
        <v>1578728439437319</v>
      </c>
      <c r="C679" t="s">
        <v>37</v>
      </c>
      <c r="D679">
        <v>5.1837330000000001</v>
      </c>
      <c r="E679">
        <v>0.40987309999999999</v>
      </c>
      <c r="F679" t="s">
        <v>39</v>
      </c>
      <c r="G679">
        <v>-229.17009999999999</v>
      </c>
      <c r="H679" s="1">
        <v>-8.7257079999999997E-7</v>
      </c>
      <c r="I679">
        <v>371.62419999999997</v>
      </c>
      <c r="J679">
        <v>-244.81659999999999</v>
      </c>
      <c r="K679">
        <v>1.1125209999999901</v>
      </c>
      <c r="L679">
        <v>368.0421</v>
      </c>
      <c r="M679">
        <v>0.99937679999999995</v>
      </c>
      <c r="N679">
        <v>0</v>
      </c>
      <c r="O679">
        <v>1.9295940000000001E-2</v>
      </c>
      <c r="P679">
        <v>0.99895789999999995</v>
      </c>
      <c r="Q679">
        <v>4.4073380000000002E-2</v>
      </c>
      <c r="R679">
        <v>-1.185572E-2</v>
      </c>
      <c r="S679">
        <v>3.0215450000000001</v>
      </c>
      <c r="T679">
        <v>-0.20984749999999999</v>
      </c>
      <c r="U679">
        <v>0.67700199999999999</v>
      </c>
      <c r="V679">
        <v>3.0864889999999999E-2</v>
      </c>
      <c r="W679">
        <v>7.3685390000000003E-2</v>
      </c>
      <c r="X679">
        <v>0.99680380000000002</v>
      </c>
      <c r="Y679">
        <v>-0.19934669999999999</v>
      </c>
      <c r="Z679">
        <v>5.5076819999999999E-3</v>
      </c>
      <c r="AA679">
        <v>0.97991349999999999</v>
      </c>
      <c r="AB679">
        <v>63</v>
      </c>
      <c r="AC679">
        <v>15.6465</v>
      </c>
      <c r="AD679">
        <v>-1.1125218725707999</v>
      </c>
      <c r="AE679">
        <v>3.5820999999999601</v>
      </c>
      <c r="AF679">
        <v>-3.2637079725566198</v>
      </c>
      <c r="AG679">
        <v>-1.1125218725707999</v>
      </c>
      <c r="AH679">
        <v>15.637612575356</v>
      </c>
      <c r="AI679">
        <v>93.983836371509</v>
      </c>
      <c r="AJ679">
        <v>101.788907338342</v>
      </c>
      <c r="AK679">
        <v>16.013257685555701</v>
      </c>
    </row>
    <row r="680" spans="1:37" x14ac:dyDescent="0.2">
      <c r="A680" t="str">
        <f>"20200111154039452"</f>
        <v>20200111154039452</v>
      </c>
      <c r="B680" t="str">
        <f>"1578728439447079"</f>
        <v>1578728439447079</v>
      </c>
      <c r="C680" t="s">
        <v>37</v>
      </c>
      <c r="D680">
        <v>5.1627400000000003</v>
      </c>
      <c r="E680">
        <v>0.410008599999999</v>
      </c>
      <c r="F680" t="s">
        <v>39</v>
      </c>
      <c r="G680">
        <v>-229.13980000000001</v>
      </c>
      <c r="H680" s="1">
        <v>-8.6679169999999997E-7</v>
      </c>
      <c r="I680">
        <v>371.55349999999999</v>
      </c>
      <c r="J680">
        <v>-244.4761</v>
      </c>
      <c r="K680">
        <v>1.1124339999999999</v>
      </c>
      <c r="L680">
        <v>368.04899999999998</v>
      </c>
      <c r="M680">
        <v>0.99937069999999995</v>
      </c>
      <c r="N680">
        <v>0</v>
      </c>
      <c r="O680">
        <v>1.956076E-2</v>
      </c>
      <c r="P680">
        <v>0.99898279999999995</v>
      </c>
      <c r="Q680">
        <v>4.3670649999999998E-2</v>
      </c>
      <c r="R680">
        <v>-1.124907E-2</v>
      </c>
      <c r="S680">
        <v>3.0205989999999998</v>
      </c>
      <c r="T680">
        <v>-0.21435889999999999</v>
      </c>
      <c r="U680">
        <v>0.67657469999999997</v>
      </c>
      <c r="V680">
        <v>3.054188E-2</v>
      </c>
      <c r="W680">
        <v>7.3309239999999998E-2</v>
      </c>
      <c r="X680">
        <v>0.99684150000000005</v>
      </c>
      <c r="Y680">
        <v>-0.19900390000000001</v>
      </c>
      <c r="Z680">
        <v>5.5970799999999999E-3</v>
      </c>
      <c r="AA680">
        <v>0.97998269999999998</v>
      </c>
      <c r="AB680">
        <v>63</v>
      </c>
      <c r="AC680">
        <v>15.3362999999999</v>
      </c>
      <c r="AD680">
        <v>-1.1124348667916999</v>
      </c>
      <c r="AE680">
        <v>3.50449999999995</v>
      </c>
      <c r="AF680">
        <v>-3.1877677541742</v>
      </c>
      <c r="AG680">
        <v>-1.1124348667916999</v>
      </c>
      <c r="AH680">
        <v>15.3253115168242</v>
      </c>
      <c r="AI680">
        <v>94.065001220342097</v>
      </c>
      <c r="AJ680">
        <v>101.750352533625</v>
      </c>
      <c r="AK680">
        <v>15.692818347100999</v>
      </c>
    </row>
    <row r="681" spans="1:37" x14ac:dyDescent="0.2">
      <c r="A681" t="str">
        <f>"20200111154039465"</f>
        <v>20200111154039465</v>
      </c>
      <c r="B681" t="str">
        <f>"1578728439456841"</f>
        <v>1578728439456841</v>
      </c>
      <c r="C681" t="s">
        <v>37</v>
      </c>
      <c r="D681">
        <v>5.1758850000000001</v>
      </c>
      <c r="E681">
        <v>0.41019480000000003</v>
      </c>
      <c r="F681" t="s">
        <v>39</v>
      </c>
      <c r="G681">
        <v>-228.96619999999999</v>
      </c>
      <c r="H681" s="1">
        <v>-9.3363509999999905E-7</v>
      </c>
      <c r="I681">
        <v>371.5249</v>
      </c>
      <c r="J681">
        <v>-244.10210000000001</v>
      </c>
      <c r="K681">
        <v>1.1123369999999999</v>
      </c>
      <c r="L681">
        <v>368.05650000000003</v>
      </c>
      <c r="M681">
        <v>0.999364699999999</v>
      </c>
      <c r="N681">
        <v>0</v>
      </c>
      <c r="O681">
        <v>1.9816549999999999E-2</v>
      </c>
      <c r="P681">
        <v>0.99901030000000002</v>
      </c>
      <c r="Q681">
        <v>4.3200589999999997E-2</v>
      </c>
      <c r="R681">
        <v>-1.0606859999999999E-2</v>
      </c>
      <c r="S681">
        <v>3.02015699999999</v>
      </c>
      <c r="T681">
        <v>-0.2166167</v>
      </c>
      <c r="U681">
        <v>0.67684940000000005</v>
      </c>
      <c r="V681">
        <v>3.017736E-2</v>
      </c>
      <c r="W681">
        <v>7.2863620000000004E-2</v>
      </c>
      <c r="X681">
        <v>0.99688519999999903</v>
      </c>
      <c r="Y681">
        <v>-0.19886029999999999</v>
      </c>
      <c r="Z681">
        <v>5.6334749999999998E-3</v>
      </c>
      <c r="AA681">
        <v>0.98001159999999998</v>
      </c>
      <c r="AB681">
        <v>63</v>
      </c>
      <c r="AC681">
        <v>15.135899999999999</v>
      </c>
      <c r="AD681">
        <v>-1.1123379336351</v>
      </c>
      <c r="AE681">
        <v>3.4683999999999702</v>
      </c>
      <c r="AF681">
        <v>-3.1514740328137298</v>
      </c>
      <c r="AG681">
        <v>-1.1123379336351</v>
      </c>
      <c r="AH681">
        <v>15.1240802993931</v>
      </c>
      <c r="AI681">
        <v>94.118243615069105</v>
      </c>
      <c r="AJ681">
        <v>101.77055442180099</v>
      </c>
      <c r="AK681">
        <v>15.488927953883501</v>
      </c>
    </row>
    <row r="682" spans="1:37" x14ac:dyDescent="0.2">
      <c r="A682" t="str">
        <f>"20200111154039477"</f>
        <v>20200111154039477</v>
      </c>
      <c r="B682" t="str">
        <f>"1578728439467576"</f>
        <v>1578728439467576</v>
      </c>
      <c r="C682" t="s">
        <v>37</v>
      </c>
      <c r="D682">
        <v>5.1407339999999904</v>
      </c>
      <c r="E682">
        <v>0.41046939999999998</v>
      </c>
      <c r="F682" t="s">
        <v>39</v>
      </c>
      <c r="G682">
        <v>-228.71199999999999</v>
      </c>
      <c r="H682" s="1">
        <v>-1.0388859999999999E-6</v>
      </c>
      <c r="I682">
        <v>371.51060000000001</v>
      </c>
      <c r="J682">
        <v>-243.75470000000001</v>
      </c>
      <c r="K682">
        <v>1.1122339999999999</v>
      </c>
      <c r="L682">
        <v>368.06369999999998</v>
      </c>
      <c r="M682">
        <v>0.99936059999999904</v>
      </c>
      <c r="N682">
        <v>0</v>
      </c>
      <c r="O682">
        <v>1.9991330000000002E-2</v>
      </c>
      <c r="P682">
        <v>0.99903319999999995</v>
      </c>
      <c r="Q682">
        <v>4.2866250000000002E-2</v>
      </c>
      <c r="R682">
        <v>-9.7472559999999993E-3</v>
      </c>
      <c r="S682">
        <v>3.0195919999999998</v>
      </c>
      <c r="T682">
        <v>-0.2182432</v>
      </c>
      <c r="U682">
        <v>0.67770390000000003</v>
      </c>
      <c r="V682">
        <v>2.9514289999999999E-2</v>
      </c>
      <c r="W682">
        <v>7.2538340000000007E-2</v>
      </c>
      <c r="X682">
        <v>0.99692879999999995</v>
      </c>
      <c r="Y682">
        <v>-0.19898540000000001</v>
      </c>
      <c r="Z682">
        <v>5.66853699999999E-3</v>
      </c>
      <c r="AA682">
        <v>0.97998609999999897</v>
      </c>
      <c r="AB682">
        <v>63</v>
      </c>
      <c r="AC682">
        <v>15.0426999999999</v>
      </c>
      <c r="AD682">
        <v>-1.1122350388859901</v>
      </c>
      <c r="AE682">
        <v>3.4469000000000198</v>
      </c>
      <c r="AF682">
        <v>-3.1291016250414998</v>
      </c>
      <c r="AG682">
        <v>-1.1122350388859901</v>
      </c>
      <c r="AH682">
        <v>15.030558085612601</v>
      </c>
      <c r="AI682">
        <v>94.143555127043996</v>
      </c>
      <c r="AJ682">
        <v>101.76001506932</v>
      </c>
      <c r="AK682">
        <v>15.3930510337144</v>
      </c>
    </row>
    <row r="683" spans="1:37" x14ac:dyDescent="0.2">
      <c r="A683" t="str">
        <f>"20200111154039491"</f>
        <v>20200111154039491</v>
      </c>
      <c r="B683" t="str">
        <f>"1578728439487096"</f>
        <v>1578728439487096</v>
      </c>
      <c r="C683" t="s">
        <v>37</v>
      </c>
      <c r="D683">
        <v>5.105721</v>
      </c>
      <c r="E683">
        <v>0.41079149999999998</v>
      </c>
      <c r="F683" t="s">
        <v>39</v>
      </c>
      <c r="G683">
        <v>-228.56989999999999</v>
      </c>
      <c r="H683" s="1">
        <v>-1.0898379999999999E-6</v>
      </c>
      <c r="I683">
        <v>371.47309999999999</v>
      </c>
      <c r="J683">
        <v>-243.39080000000001</v>
      </c>
      <c r="K683">
        <v>1.1121190000000001</v>
      </c>
      <c r="L683">
        <v>368.0711</v>
      </c>
      <c r="M683">
        <v>0.99935759999999996</v>
      </c>
      <c r="N683">
        <v>0</v>
      </c>
      <c r="O683">
        <v>2.0119720000000001E-2</v>
      </c>
      <c r="P683">
        <v>0.99905029999999995</v>
      </c>
      <c r="Q683">
        <v>4.267837E-2</v>
      </c>
      <c r="R683">
        <v>-8.7920600000000008E-3</v>
      </c>
      <c r="S683">
        <v>3.0189970000000002</v>
      </c>
      <c r="T683">
        <v>-0.22112999999999999</v>
      </c>
      <c r="U683">
        <v>0.67785640000000003</v>
      </c>
      <c r="V683">
        <v>2.8710530000000001E-2</v>
      </c>
      <c r="W683">
        <v>7.2350960000000006E-2</v>
      </c>
      <c r="X683">
        <v>0.99696589999999996</v>
      </c>
      <c r="Y683">
        <v>-0.19893649999999999</v>
      </c>
      <c r="Z683">
        <v>5.733358E-3</v>
      </c>
      <c r="AA683">
        <v>0.97999559999999997</v>
      </c>
      <c r="AB683">
        <v>63</v>
      </c>
      <c r="AC683">
        <v>14.8209</v>
      </c>
      <c r="AD683">
        <v>-1.1121200898379999</v>
      </c>
      <c r="AE683">
        <v>3.4019999999999802</v>
      </c>
      <c r="AF683">
        <v>-3.08647829506726</v>
      </c>
      <c r="AG683">
        <v>-1.1121200898379999</v>
      </c>
      <c r="AH683">
        <v>14.8071744780465</v>
      </c>
      <c r="AI683">
        <v>94.205190468190096</v>
      </c>
      <c r="AJ683">
        <v>101.77440885711501</v>
      </c>
      <c r="AK683">
        <v>15.166264384595699</v>
      </c>
    </row>
    <row r="684" spans="1:37" x14ac:dyDescent="0.2">
      <c r="A684" t="str">
        <f>"20200111154039505"</f>
        <v>20200111154039505</v>
      </c>
      <c r="B684" t="str">
        <f>"1578728439496856"</f>
        <v>1578728439496856</v>
      </c>
      <c r="C684" t="s">
        <v>37</v>
      </c>
      <c r="D684">
        <v>5.1647790000000002</v>
      </c>
      <c r="E684">
        <v>0.41089959999999998</v>
      </c>
      <c r="F684" t="s">
        <v>39</v>
      </c>
      <c r="G684">
        <v>-228.48</v>
      </c>
      <c r="H684" s="1">
        <v>-1.114196E-6</v>
      </c>
      <c r="I684">
        <v>371.4196</v>
      </c>
      <c r="J684">
        <v>-243.00099999999901</v>
      </c>
      <c r="K684">
        <v>1.111988</v>
      </c>
      <c r="L684">
        <v>368.07920000000001</v>
      </c>
      <c r="M684">
        <v>0.99935589999999996</v>
      </c>
      <c r="N684">
        <v>0</v>
      </c>
      <c r="O684">
        <v>2.0205069999999999E-2</v>
      </c>
      <c r="P684">
        <v>0.99905679999999997</v>
      </c>
      <c r="Q684">
        <v>4.266702E-2</v>
      </c>
      <c r="R684">
        <v>-8.0742460000000002E-3</v>
      </c>
      <c r="S684">
        <v>3.0184169999999999</v>
      </c>
      <c r="T684">
        <v>-0.22512579999999999</v>
      </c>
      <c r="U684">
        <v>0.67782589999999998</v>
      </c>
      <c r="V684">
        <v>2.8103030000000001E-2</v>
      </c>
      <c r="W684">
        <v>7.2330989999999998E-2</v>
      </c>
      <c r="X684">
        <v>0.99698469999999995</v>
      </c>
      <c r="Y684">
        <v>-0.19886719999999999</v>
      </c>
      <c r="Z684">
        <v>5.8289609999999997E-3</v>
      </c>
      <c r="AA684">
        <v>0.98000909999999997</v>
      </c>
      <c r="AB684">
        <v>62</v>
      </c>
      <c r="AC684">
        <v>14.5209999999999</v>
      </c>
      <c r="AD684">
        <v>-1.1119891141959899</v>
      </c>
      <c r="AE684">
        <v>3.3403999999999798</v>
      </c>
      <c r="AF684">
        <v>-3.02931886112209</v>
      </c>
      <c r="AG684">
        <v>-1.1119891141959899</v>
      </c>
      <c r="AH684">
        <v>14.504771929123599</v>
      </c>
      <c r="AI684">
        <v>94.291688049965899</v>
      </c>
      <c r="AJ684">
        <v>101.796646991503</v>
      </c>
      <c r="AK684">
        <v>14.859397742450099</v>
      </c>
    </row>
    <row r="685" spans="1:37" x14ac:dyDescent="0.2">
      <c r="A685" t="str">
        <f>"20200111154039518"</f>
        <v>20200111154039518</v>
      </c>
      <c r="B685" t="str">
        <f>"1578728439506615"</f>
        <v>1578728439506615</v>
      </c>
      <c r="C685" t="s">
        <v>37</v>
      </c>
      <c r="D685">
        <v>5.1550099999999999</v>
      </c>
      <c r="E685">
        <v>0.41100100000000001</v>
      </c>
      <c r="F685" t="s">
        <v>39</v>
      </c>
      <c r="G685">
        <v>-228.15350000000001</v>
      </c>
      <c r="H685" s="1">
        <v>-1.253964E-6</v>
      </c>
      <c r="I685">
        <v>371.41849999999999</v>
      </c>
      <c r="J685">
        <v>-242.6396</v>
      </c>
      <c r="K685">
        <v>1.111853</v>
      </c>
      <c r="L685">
        <v>368.0865</v>
      </c>
      <c r="M685">
        <v>0.99935629999999998</v>
      </c>
      <c r="N685">
        <v>0</v>
      </c>
      <c r="O685">
        <v>2.0201299999999998E-2</v>
      </c>
      <c r="P685">
        <v>0.99907939999999995</v>
      </c>
      <c r="Q685">
        <v>4.2390610000000002E-2</v>
      </c>
      <c r="R685">
        <v>-6.5852640000000004E-3</v>
      </c>
      <c r="S685">
        <v>3.01796</v>
      </c>
      <c r="T685">
        <v>-0.22602620000000001</v>
      </c>
      <c r="U685">
        <v>0.67877200000000004</v>
      </c>
      <c r="V685">
        <v>2.66365E-2</v>
      </c>
      <c r="W685">
        <v>7.2035160000000001E-2</v>
      </c>
      <c r="X685">
        <v>0.9970464</v>
      </c>
      <c r="Y685">
        <v>-0.19919039999999999</v>
      </c>
      <c r="Z685">
        <v>5.8650949999999999E-3</v>
      </c>
      <c r="AA685">
        <v>0.97994329999999996</v>
      </c>
      <c r="AB685">
        <v>62</v>
      </c>
      <c r="AC685">
        <v>14.486099999999899</v>
      </c>
      <c r="AD685">
        <v>-1.111854253964</v>
      </c>
      <c r="AE685">
        <v>3.3319999999999901</v>
      </c>
      <c r="AF685">
        <v>-3.0216464870562598</v>
      </c>
      <c r="AG685">
        <v>-1.111854253964</v>
      </c>
      <c r="AH685">
        <v>14.4695240531395</v>
      </c>
      <c r="AI685">
        <v>94.301602063712195</v>
      </c>
      <c r="AJ685">
        <v>101.795467496681</v>
      </c>
      <c r="AK685">
        <v>14.823417072294101</v>
      </c>
    </row>
    <row r="686" spans="1:37" x14ac:dyDescent="0.2">
      <c r="A686" t="str">
        <f>"20200111154039531"</f>
        <v>20200111154039531</v>
      </c>
      <c r="B686" t="str">
        <f>"1578728439527112"</f>
        <v>1578728439527112</v>
      </c>
      <c r="C686" t="s">
        <v>37</v>
      </c>
      <c r="D686">
        <v>5.1476139999999999</v>
      </c>
      <c r="E686">
        <v>0.41115669999999999</v>
      </c>
      <c r="F686" t="s">
        <v>39</v>
      </c>
      <c r="G686">
        <v>-227.9342</v>
      </c>
      <c r="H686" s="1">
        <v>-1.346462E-6</v>
      </c>
      <c r="I686">
        <v>371.41250000000002</v>
      </c>
      <c r="J686">
        <v>-242.31229999999999</v>
      </c>
      <c r="K686">
        <v>1.111723</v>
      </c>
      <c r="L686">
        <v>368.09320000000002</v>
      </c>
      <c r="M686">
        <v>0.99935810000000003</v>
      </c>
      <c r="N686">
        <v>0</v>
      </c>
      <c r="O686">
        <v>2.014231E-2</v>
      </c>
      <c r="P686">
        <v>0.9991023</v>
      </c>
      <c r="Q686">
        <v>4.1947909999999998E-2</v>
      </c>
      <c r="R686">
        <v>-5.934216E-3</v>
      </c>
      <c r="S686">
        <v>3.0169220000000001</v>
      </c>
      <c r="T686">
        <v>-0.228103899999999</v>
      </c>
      <c r="U686">
        <v>0.68234249999999996</v>
      </c>
      <c r="V686">
        <v>2.5951149999999999E-2</v>
      </c>
      <c r="W686">
        <v>7.1565719999999999E-2</v>
      </c>
      <c r="X686">
        <v>0.99709820000000005</v>
      </c>
      <c r="Y686">
        <v>-0.20041139999999999</v>
      </c>
      <c r="Z686">
        <v>5.9700040000000001E-3</v>
      </c>
      <c r="AA686">
        <v>0.9796937</v>
      </c>
      <c r="AB686">
        <v>62</v>
      </c>
      <c r="AC686">
        <v>14.3780999999999</v>
      </c>
      <c r="AD686">
        <v>-1.1117243464619999</v>
      </c>
      <c r="AE686">
        <v>3.3192999999999899</v>
      </c>
      <c r="AF686">
        <v>-3.0117957774858799</v>
      </c>
      <c r="AG686">
        <v>-1.1117243464619999</v>
      </c>
      <c r="AH686">
        <v>14.360557909392099</v>
      </c>
      <c r="AI686">
        <v>94.332835988338005</v>
      </c>
      <c r="AJ686">
        <v>101.844793581451</v>
      </c>
      <c r="AK686">
        <v>14.7150422458381</v>
      </c>
    </row>
    <row r="687" spans="1:37" x14ac:dyDescent="0.2">
      <c r="A687" t="str">
        <f>"20200111154039543"</f>
        <v>20200111154039543</v>
      </c>
      <c r="B687" t="str">
        <f>"1578728439536871"</f>
        <v>1578728439536871</v>
      </c>
      <c r="C687" t="s">
        <v>37</v>
      </c>
      <c r="D687">
        <v>5.1207719999999997</v>
      </c>
      <c r="E687">
        <v>0.41120760000000001</v>
      </c>
      <c r="F687" t="s">
        <v>39</v>
      </c>
      <c r="G687">
        <v>-227.80629999999999</v>
      </c>
      <c r="H687" s="1">
        <v>-1.3916229999999999E-6</v>
      </c>
      <c r="I687">
        <v>371.37610000000001</v>
      </c>
      <c r="J687">
        <v>-241.9444</v>
      </c>
      <c r="K687">
        <v>1.1115699999999999</v>
      </c>
      <c r="L687">
        <v>368.10059999999999</v>
      </c>
      <c r="M687">
        <v>0.99936100000000005</v>
      </c>
      <c r="N687">
        <v>0</v>
      </c>
      <c r="O687">
        <v>2.0031799999999999E-2</v>
      </c>
      <c r="P687">
        <v>0.99912630000000002</v>
      </c>
      <c r="Q687">
        <v>4.1447999999999999E-2</v>
      </c>
      <c r="R687">
        <v>-5.3509909999999898E-3</v>
      </c>
      <c r="S687">
        <v>3.0164789999999999</v>
      </c>
      <c r="T687">
        <v>-0.23117929999999901</v>
      </c>
      <c r="U687">
        <v>0.68267819999999901</v>
      </c>
      <c r="V687">
        <v>2.5285849999999999E-2</v>
      </c>
      <c r="W687">
        <v>7.1027820000000005E-2</v>
      </c>
      <c r="X687">
        <v>0.99715379999999998</v>
      </c>
      <c r="Y687">
        <v>-0.20064009999999999</v>
      </c>
      <c r="Z687">
        <v>6.0680469999999896E-3</v>
      </c>
      <c r="AA687">
        <v>0.97964619999999902</v>
      </c>
      <c r="AB687">
        <v>62</v>
      </c>
      <c r="AC687">
        <v>14.1381</v>
      </c>
      <c r="AD687">
        <v>-1.1115713916229999</v>
      </c>
      <c r="AE687">
        <v>3.2755000000000201</v>
      </c>
      <c r="AF687">
        <v>-2.9740588176688401</v>
      </c>
      <c r="AG687">
        <v>-1.1115713916229999</v>
      </c>
      <c r="AH687">
        <v>14.118078529106301</v>
      </c>
      <c r="AI687">
        <v>94.405537430096004</v>
      </c>
      <c r="AJ687">
        <v>101.895776233988</v>
      </c>
      <c r="AK687">
        <v>14.4706861676854</v>
      </c>
    </row>
    <row r="688" spans="1:37" x14ac:dyDescent="0.2">
      <c r="A688" t="str">
        <f>"20200111154039555"</f>
        <v>20200111154039555</v>
      </c>
      <c r="B688" t="str">
        <f>"1578728439546631"</f>
        <v>1578728439546631</v>
      </c>
      <c r="C688" t="s">
        <v>37</v>
      </c>
      <c r="D688">
        <v>5.1625449999999997</v>
      </c>
      <c r="E688">
        <v>0.41131679999999998</v>
      </c>
      <c r="F688" t="s">
        <v>39</v>
      </c>
      <c r="G688">
        <v>-227.5805</v>
      </c>
      <c r="H688" s="1">
        <v>-1.4834840000000001E-6</v>
      </c>
      <c r="I688">
        <v>371.35719999999998</v>
      </c>
      <c r="J688">
        <v>-241.61580000000001</v>
      </c>
      <c r="K688">
        <v>1.111424</v>
      </c>
      <c r="L688">
        <v>368.10719999999998</v>
      </c>
      <c r="M688">
        <v>0.99936589999999903</v>
      </c>
      <c r="N688">
        <v>0</v>
      </c>
      <c r="O688">
        <v>1.9844870000000001E-2</v>
      </c>
      <c r="P688">
        <v>0.99915580000000004</v>
      </c>
      <c r="Q688">
        <v>4.0819220000000003E-2</v>
      </c>
      <c r="R688">
        <v>-4.6873369999999998E-3</v>
      </c>
      <c r="S688">
        <v>3.01597599999999</v>
      </c>
      <c r="T688">
        <v>-0.23339389999999999</v>
      </c>
      <c r="U688">
        <v>0.68377690000000002</v>
      </c>
      <c r="V688">
        <v>2.446195E-2</v>
      </c>
      <c r="W688">
        <v>7.035334E-2</v>
      </c>
      <c r="X688">
        <v>0.9972221</v>
      </c>
      <c r="Y688">
        <v>-0.20118610000000001</v>
      </c>
      <c r="Z688">
        <v>6.1618489999999996E-3</v>
      </c>
      <c r="AA688">
        <v>0.97953369999999995</v>
      </c>
      <c r="AB688">
        <v>61</v>
      </c>
      <c r="AC688">
        <v>14.035299999999999</v>
      </c>
      <c r="AD688">
        <v>-1.1114254834840001</v>
      </c>
      <c r="AE688">
        <v>3.25</v>
      </c>
      <c r="AF688">
        <v>-2.9531330674095999</v>
      </c>
      <c r="AG688">
        <v>-1.1114254834840001</v>
      </c>
      <c r="AH688">
        <v>14.013654043938001</v>
      </c>
      <c r="AI688">
        <v>94.437586706707805</v>
      </c>
      <c r="AJ688">
        <v>101.899972491583</v>
      </c>
      <c r="AK688">
        <v>14.3644965516493</v>
      </c>
    </row>
    <row r="689" spans="1:37" x14ac:dyDescent="0.2">
      <c r="A689" t="str">
        <f>"20200111154039568"</f>
        <v>20200111154039568</v>
      </c>
      <c r="B689" t="str">
        <f>"1578728439557367"</f>
        <v>1578728439557367</v>
      </c>
      <c r="C689" t="s">
        <v>37</v>
      </c>
      <c r="D689">
        <v>5.1410130000000001</v>
      </c>
      <c r="E689">
        <v>0.411390799999999</v>
      </c>
      <c r="F689" t="s">
        <v>39</v>
      </c>
      <c r="G689">
        <v>-227.4391</v>
      </c>
      <c r="H689" s="1">
        <v>-1.535825E-6</v>
      </c>
      <c r="I689">
        <v>371.325999999999</v>
      </c>
      <c r="J689">
        <v>-241.28039999999999</v>
      </c>
      <c r="K689">
        <v>1.1112759999999999</v>
      </c>
      <c r="L689">
        <v>368.11369999999999</v>
      </c>
      <c r="M689">
        <v>0.99937169999999897</v>
      </c>
      <c r="N689">
        <v>0</v>
      </c>
      <c r="O689">
        <v>1.9618389999999999E-2</v>
      </c>
      <c r="P689">
        <v>0.99918359999999995</v>
      </c>
      <c r="Q689">
        <v>4.0198860000000003E-2</v>
      </c>
      <c r="R689">
        <v>-4.0823379999999996E-3</v>
      </c>
      <c r="S689">
        <v>3.0154109999999998</v>
      </c>
      <c r="T689">
        <v>-0.23640169999999999</v>
      </c>
      <c r="U689">
        <v>0.68466190000000005</v>
      </c>
      <c r="V689">
        <v>2.3657589999999999E-2</v>
      </c>
      <c r="W689">
        <v>6.9684090000000004E-2</v>
      </c>
      <c r="X689">
        <v>0.99728850000000002</v>
      </c>
      <c r="Y689">
        <v>-0.201705299999999</v>
      </c>
      <c r="Z689">
        <v>6.2795269999999896E-3</v>
      </c>
      <c r="AA689">
        <v>0.97942609999999997</v>
      </c>
      <c r="AB689">
        <v>61</v>
      </c>
      <c r="AC689">
        <v>13.841299999999899</v>
      </c>
      <c r="AD689">
        <v>-1.111277535825</v>
      </c>
      <c r="AE689">
        <v>3.2122999999999702</v>
      </c>
      <c r="AF689">
        <v>-2.9221453250790002</v>
      </c>
      <c r="AG689">
        <v>-1.111277535825</v>
      </c>
      <c r="AH689">
        <v>13.8171677810952</v>
      </c>
      <c r="AI689">
        <v>94.499154262174798</v>
      </c>
      <c r="AJ689">
        <v>101.94133095735501</v>
      </c>
      <c r="AK689">
        <v>14.166439092215301</v>
      </c>
    </row>
    <row r="690" spans="1:37" x14ac:dyDescent="0.2">
      <c r="A690" t="str">
        <f>"20200111154039580"</f>
        <v>20200111154039580</v>
      </c>
      <c r="B690" t="str">
        <f>"1578728439576887"</f>
        <v>1578728439576887</v>
      </c>
      <c r="C690" t="s">
        <v>37</v>
      </c>
      <c r="D690">
        <v>5.1854379999999898</v>
      </c>
      <c r="E690">
        <v>0.41154809999999997</v>
      </c>
      <c r="F690" t="s">
        <v>39</v>
      </c>
      <c r="G690">
        <v>-227.21299999999999</v>
      </c>
      <c r="H690" s="1">
        <v>-1.6299379999999901E-6</v>
      </c>
      <c r="I690">
        <v>371.3152</v>
      </c>
      <c r="J690">
        <v>-240.92859999999999</v>
      </c>
      <c r="K690">
        <v>1.111116</v>
      </c>
      <c r="L690">
        <v>368.12049999999999</v>
      </c>
      <c r="M690">
        <v>0.99937860000000001</v>
      </c>
      <c r="N690">
        <v>0</v>
      </c>
      <c r="O690">
        <v>1.9327299999999999E-2</v>
      </c>
      <c r="P690">
        <v>0.99920249999999999</v>
      </c>
      <c r="Q690">
        <v>3.9757960000000002E-2</v>
      </c>
      <c r="R690">
        <v>-3.7119900000000001E-3</v>
      </c>
      <c r="S690">
        <v>3.0148320000000002</v>
      </c>
      <c r="T690">
        <v>-0.23816119999999999</v>
      </c>
      <c r="U690">
        <v>0.68612669999999998</v>
      </c>
      <c r="V690">
        <v>2.3024289999999999E-2</v>
      </c>
      <c r="W690">
        <v>6.918842E-2</v>
      </c>
      <c r="X690">
        <v>0.9973379</v>
      </c>
      <c r="Y690">
        <v>-0.2024725</v>
      </c>
      <c r="Z690">
        <v>6.3795049999999997E-3</v>
      </c>
      <c r="AA690">
        <v>0.97926719999999901</v>
      </c>
      <c r="AB690">
        <v>61</v>
      </c>
      <c r="AC690">
        <v>13.715599999999901</v>
      </c>
      <c r="AD690">
        <v>-1.1111176299379999</v>
      </c>
      <c r="AE690">
        <v>3.1947000000000099</v>
      </c>
      <c r="AF690">
        <v>-2.9107821255211399</v>
      </c>
      <c r="AG690">
        <v>-1.1111176299379999</v>
      </c>
      <c r="AH690">
        <v>13.6895887572161</v>
      </c>
      <c r="AI690">
        <v>94.539211900444798</v>
      </c>
      <c r="AJ690">
        <v>102.003885079257</v>
      </c>
      <c r="AK690">
        <v>14.039660797594401</v>
      </c>
    </row>
    <row r="691" spans="1:37" x14ac:dyDescent="0.2">
      <c r="A691" t="str">
        <f>"20200111154039593"</f>
        <v>20200111154039593</v>
      </c>
      <c r="B691" t="str">
        <f>"1578728439586648"</f>
        <v>1578728439586648</v>
      </c>
      <c r="C691" t="s">
        <v>37</v>
      </c>
      <c r="D691">
        <v>5.1559699999999999</v>
      </c>
      <c r="E691">
        <v>0.41149129999999901</v>
      </c>
      <c r="F691" t="s">
        <v>39</v>
      </c>
      <c r="G691">
        <v>-226.9983</v>
      </c>
      <c r="H691" s="1">
        <v>-1.715397E-6</v>
      </c>
      <c r="I691">
        <v>371.29020000000003</v>
      </c>
      <c r="J691">
        <v>-240.5984</v>
      </c>
      <c r="K691">
        <v>1.1109739999999999</v>
      </c>
      <c r="L691">
        <v>368.12670000000003</v>
      </c>
      <c r="M691">
        <v>0.99938649999999996</v>
      </c>
      <c r="N691">
        <v>0</v>
      </c>
      <c r="O691">
        <v>1.8989780000000001E-2</v>
      </c>
      <c r="P691">
        <v>0.99922639999999996</v>
      </c>
      <c r="Q691">
        <v>3.9186409999999998E-2</v>
      </c>
      <c r="R691">
        <v>-3.393142E-3</v>
      </c>
      <c r="S691">
        <v>3.0145110000000002</v>
      </c>
      <c r="T691">
        <v>-0.24044409999999999</v>
      </c>
      <c r="U691">
        <v>0.68591309999999905</v>
      </c>
      <c r="V691">
        <v>2.2393440000000001E-2</v>
      </c>
      <c r="W691">
        <v>6.8565249999999994E-2</v>
      </c>
      <c r="X691">
        <v>0.99739529999999998</v>
      </c>
      <c r="Y691">
        <v>-0.20274729999999999</v>
      </c>
      <c r="Z691">
        <v>6.478513E-3</v>
      </c>
      <c r="AA691">
        <v>0.97920969999999996</v>
      </c>
      <c r="AB691">
        <v>61</v>
      </c>
      <c r="AC691">
        <v>13.6000999999999</v>
      </c>
      <c r="AD691">
        <v>-1.1109757153969999</v>
      </c>
      <c r="AE691">
        <v>3.1634999999999902</v>
      </c>
      <c r="AF691">
        <v>-2.8862825382192199</v>
      </c>
      <c r="AG691">
        <v>-1.1109757153969999</v>
      </c>
      <c r="AH691">
        <v>13.5718287527681</v>
      </c>
      <c r="AI691">
        <v>94.577811845769901</v>
      </c>
      <c r="AJ691">
        <v>102.00606381345</v>
      </c>
      <c r="AK691">
        <v>13.9197496250864</v>
      </c>
    </row>
    <row r="692" spans="1:37" x14ac:dyDescent="0.2">
      <c r="A692" t="str">
        <f>"20200111154039608"</f>
        <v>20200111154039608</v>
      </c>
      <c r="B692" t="str">
        <f>"1578728439597383"</f>
        <v>1578728439597383</v>
      </c>
      <c r="C692" t="s">
        <v>37</v>
      </c>
      <c r="D692">
        <v>5.1545430000000003</v>
      </c>
      <c r="E692">
        <v>0.41149999999999998</v>
      </c>
      <c r="F692" t="s">
        <v>39</v>
      </c>
      <c r="G692">
        <v>-226.83009999999999</v>
      </c>
      <c r="H692" s="1">
        <v>-1.7810589999999999E-6</v>
      </c>
      <c r="I692">
        <v>371.26580000000001</v>
      </c>
      <c r="J692">
        <v>-240.19970000000001</v>
      </c>
      <c r="K692">
        <v>1.1108069999999901</v>
      </c>
      <c r="L692">
        <v>368.13400000000001</v>
      </c>
      <c r="M692">
        <v>0.99939659999999997</v>
      </c>
      <c r="N692">
        <v>0</v>
      </c>
      <c r="O692">
        <v>1.8540460000000002E-2</v>
      </c>
      <c r="P692">
        <v>0.99924799999999903</v>
      </c>
      <c r="Q692">
        <v>3.8654229999999998E-2</v>
      </c>
      <c r="R692">
        <v>-3.082347E-3</v>
      </c>
      <c r="S692">
        <v>3.0141749999999998</v>
      </c>
      <c r="T692">
        <v>-0.24321570000000001</v>
      </c>
      <c r="U692">
        <v>0.68722530000000004</v>
      </c>
      <c r="V692">
        <v>2.166322E-2</v>
      </c>
      <c r="W692">
        <v>6.7969169999999995E-2</v>
      </c>
      <c r="X692">
        <v>0.99745219999999901</v>
      </c>
      <c r="Y692">
        <v>-0.20359949999999999</v>
      </c>
      <c r="Z692">
        <v>6.6229649999999998E-3</v>
      </c>
      <c r="AA692">
        <v>0.97903189999999995</v>
      </c>
      <c r="AB692">
        <v>61</v>
      </c>
      <c r="AC692">
        <v>13.3696</v>
      </c>
      <c r="AD692">
        <v>-1.1108087810589999</v>
      </c>
      <c r="AE692">
        <v>3.1317999999999899</v>
      </c>
      <c r="AF692">
        <v>-2.8645302587590198</v>
      </c>
      <c r="AG692">
        <v>-1.1108087810589999</v>
      </c>
      <c r="AH692">
        <v>13.338105698819801</v>
      </c>
      <c r="AI692">
        <v>94.654996448785596</v>
      </c>
      <c r="AJ692">
        <v>102.12089491601</v>
      </c>
      <c r="AK692">
        <v>13.6873844610398</v>
      </c>
    </row>
    <row r="693" spans="1:37" x14ac:dyDescent="0.2">
      <c r="A693" t="str">
        <f>"20200111154039619"</f>
        <v>20200111154039619</v>
      </c>
      <c r="B693" t="str">
        <f>"1578728439616904"</f>
        <v>1578728439616904</v>
      </c>
      <c r="C693" t="s">
        <v>37</v>
      </c>
      <c r="D693">
        <v>5.16364</v>
      </c>
      <c r="E693">
        <v>0.41141650000000002</v>
      </c>
      <c r="F693" t="s">
        <v>39</v>
      </c>
      <c r="G693">
        <v>-226.54849999999999</v>
      </c>
      <c r="H693" s="1">
        <v>-1.8976689999999901E-6</v>
      </c>
      <c r="I693">
        <v>371.24990000000003</v>
      </c>
      <c r="J693">
        <v>-239.86269999999999</v>
      </c>
      <c r="K693">
        <v>1.1106739999999999</v>
      </c>
      <c r="L693">
        <v>368.14</v>
      </c>
      <c r="M693">
        <v>0.99940589999999996</v>
      </c>
      <c r="N693">
        <v>0</v>
      </c>
      <c r="O693">
        <v>1.8114399999999999E-2</v>
      </c>
      <c r="P693">
        <v>0.99924829999999998</v>
      </c>
      <c r="Q693">
        <v>3.861382E-2</v>
      </c>
      <c r="R693">
        <v>-3.5036490000000002E-3</v>
      </c>
      <c r="S693">
        <v>3.013855</v>
      </c>
      <c r="T693">
        <v>-0.24523690000000001</v>
      </c>
      <c r="U693">
        <v>0.68792719999999996</v>
      </c>
      <c r="V693">
        <v>2.1681720000000002E-2</v>
      </c>
      <c r="W693">
        <v>6.7870680000000003E-2</v>
      </c>
      <c r="X693">
        <v>0.99745849999999903</v>
      </c>
      <c r="Y693">
        <v>-0.20424310000000001</v>
      </c>
      <c r="Z693">
        <v>6.7383139999999996E-3</v>
      </c>
      <c r="AA693">
        <v>0.97889699999999902</v>
      </c>
      <c r="AB693">
        <v>61</v>
      </c>
      <c r="AC693">
        <v>13.3142</v>
      </c>
      <c r="AD693">
        <v>-1.1106758976690001</v>
      </c>
      <c r="AE693">
        <v>3.1099000000000299</v>
      </c>
      <c r="AF693">
        <v>-2.8493044322660399</v>
      </c>
      <c r="AG693">
        <v>-1.1106758976690001</v>
      </c>
      <c r="AH693">
        <v>13.2807330462464</v>
      </c>
      <c r="AI693">
        <v>94.674669102248998</v>
      </c>
      <c r="AJ693">
        <v>102.108917030928</v>
      </c>
      <c r="AK693">
        <v>13.6282796765789</v>
      </c>
    </row>
    <row r="694" spans="1:37" x14ac:dyDescent="0.2">
      <c r="A694" t="str">
        <f>"20200111154039633"</f>
        <v>20200111154039633</v>
      </c>
      <c r="B694" t="str">
        <f>"1578728439626663"</f>
        <v>1578728439626663</v>
      </c>
      <c r="C694" t="s">
        <v>37</v>
      </c>
      <c r="D694">
        <v>5.1474120000000001</v>
      </c>
      <c r="E694">
        <v>0.41148639999999997</v>
      </c>
      <c r="F694" t="s">
        <v>39</v>
      </c>
      <c r="G694">
        <v>-226.19820000000001</v>
      </c>
      <c r="H694" s="1">
        <v>-2.0497550000000001E-6</v>
      </c>
      <c r="I694">
        <v>371.2568</v>
      </c>
      <c r="J694">
        <v>-239.52930000000001</v>
      </c>
      <c r="K694">
        <v>1.1105449999999999</v>
      </c>
      <c r="L694">
        <v>368.14569999999998</v>
      </c>
      <c r="M694">
        <v>0.99941589999999902</v>
      </c>
      <c r="N694">
        <v>0</v>
      </c>
      <c r="O694">
        <v>1.76492E-2</v>
      </c>
      <c r="P694">
        <v>0.9992278</v>
      </c>
      <c r="Q694">
        <v>3.9065349999999999E-2</v>
      </c>
      <c r="R694">
        <v>-4.2147560000000001E-3</v>
      </c>
      <c r="S694">
        <v>3.01411399999999</v>
      </c>
      <c r="T694">
        <v>-0.2449904</v>
      </c>
      <c r="U694">
        <v>0.6875</v>
      </c>
      <c r="V694">
        <v>2.194954E-2</v>
      </c>
      <c r="W694">
        <v>6.8253640000000004E-2</v>
      </c>
      <c r="X694">
        <v>0.99742649999999999</v>
      </c>
      <c r="Y694">
        <v>-0.20454739999999999</v>
      </c>
      <c r="Z694">
        <v>6.780548E-3</v>
      </c>
      <c r="AA694">
        <v>0.97883319999999996</v>
      </c>
      <c r="AB694">
        <v>61</v>
      </c>
      <c r="AC694">
        <v>13.3310999999999</v>
      </c>
      <c r="AD694">
        <v>-1.1105470497550001</v>
      </c>
      <c r="AE694">
        <v>3.11110000000002</v>
      </c>
      <c r="AF694">
        <v>-2.85643194173243</v>
      </c>
      <c r="AG694">
        <v>-1.1105470497550001</v>
      </c>
      <c r="AH694">
        <v>13.2964459894208</v>
      </c>
      <c r="AI694">
        <v>94.668360551969798</v>
      </c>
      <c r="AJ694">
        <v>102.124390531001</v>
      </c>
      <c r="AK694">
        <v>13.6450721558023</v>
      </c>
    </row>
    <row r="695" spans="1:37" x14ac:dyDescent="0.2">
      <c r="A695" t="str">
        <f>"20200111154039646"</f>
        <v>20200111154039646</v>
      </c>
      <c r="B695" t="str">
        <f>"1578728439637399"</f>
        <v>1578728439637399</v>
      </c>
      <c r="C695" t="s">
        <v>37</v>
      </c>
      <c r="D695">
        <v>5.1956410000000002</v>
      </c>
      <c r="E695">
        <v>0.41150680000000001</v>
      </c>
      <c r="F695" t="s">
        <v>39</v>
      </c>
      <c r="G695">
        <v>-225.7612</v>
      </c>
      <c r="H695" s="1">
        <v>-2.24217999999999E-6</v>
      </c>
      <c r="I695">
        <v>371.27550000000002</v>
      </c>
      <c r="J695">
        <v>-239.17009999999999</v>
      </c>
      <c r="K695">
        <v>1.1104209999999901</v>
      </c>
      <c r="L695">
        <v>368.15170000000001</v>
      </c>
      <c r="M695">
        <v>0.99942710000000001</v>
      </c>
      <c r="N695">
        <v>0</v>
      </c>
      <c r="O695">
        <v>1.7123409999999999E-2</v>
      </c>
      <c r="P695">
        <v>0.99918340000000005</v>
      </c>
      <c r="Q695">
        <v>4.0077380000000003E-2</v>
      </c>
      <c r="R695">
        <v>-5.123921E-3</v>
      </c>
      <c r="S695">
        <v>3.014694</v>
      </c>
      <c r="T695">
        <v>-0.24316699999999999</v>
      </c>
      <c r="U695">
        <v>0.68530269999999904</v>
      </c>
      <c r="V695">
        <v>2.2356109999999998E-2</v>
      </c>
      <c r="W695">
        <v>6.9186510000000007E-2</v>
      </c>
      <c r="X695">
        <v>0.99735319999999905</v>
      </c>
      <c r="Y695">
        <v>-0.2043509</v>
      </c>
      <c r="Z695">
        <v>6.7634879999999998E-3</v>
      </c>
      <c r="AA695">
        <v>0.97887429999999997</v>
      </c>
      <c r="AB695">
        <v>60</v>
      </c>
      <c r="AC695">
        <v>13.4088999999999</v>
      </c>
      <c r="AD695">
        <v>-1.11042324217999</v>
      </c>
      <c r="AE695">
        <v>3.1238000000000099</v>
      </c>
      <c r="AF695">
        <v>-2.8749365551680999</v>
      </c>
      <c r="AG695">
        <v>-1.11042324217999</v>
      </c>
      <c r="AH695">
        <v>13.3734528502678</v>
      </c>
      <c r="AI695">
        <v>94.640942633173196</v>
      </c>
      <c r="AJ695">
        <v>102.13242313010799</v>
      </c>
      <c r="AK695">
        <v>13.7239768693827</v>
      </c>
    </row>
    <row r="696" spans="1:37" x14ac:dyDescent="0.2">
      <c r="A696" t="str">
        <f>"20200111154039657"</f>
        <v>20200111154039657</v>
      </c>
      <c r="B696" t="str">
        <f>"1578728439647160"</f>
        <v>1578728439647160</v>
      </c>
      <c r="C696" t="s">
        <v>37</v>
      </c>
      <c r="D696">
        <v>5.1786789999999998</v>
      </c>
      <c r="E696">
        <v>0.41154819999999998</v>
      </c>
      <c r="F696" t="s">
        <v>39</v>
      </c>
      <c r="G696">
        <v>-225.18979999999999</v>
      </c>
      <c r="H696" s="1">
        <v>-2.4981310000000001E-6</v>
      </c>
      <c r="I696">
        <v>371.31610000000001</v>
      </c>
      <c r="J696">
        <v>-238.8322</v>
      </c>
      <c r="K696">
        <v>1.1103190000000001</v>
      </c>
      <c r="L696">
        <v>368.15710000000001</v>
      </c>
      <c r="M696">
        <v>0.99943819999999906</v>
      </c>
      <c r="N696">
        <v>0</v>
      </c>
      <c r="O696">
        <v>1.659246E-2</v>
      </c>
      <c r="P696">
        <v>0.99914590000000003</v>
      </c>
      <c r="Q696">
        <v>4.0864379999999999E-2</v>
      </c>
      <c r="R696">
        <v>-6.1512889999999999E-3</v>
      </c>
      <c r="S696">
        <v>3.015549</v>
      </c>
      <c r="T696">
        <v>-0.23951599999999901</v>
      </c>
      <c r="U696">
        <v>0.68255619999999995</v>
      </c>
      <c r="V696">
        <v>2.287206E-2</v>
      </c>
      <c r="W696">
        <v>6.9891480000000006E-2</v>
      </c>
      <c r="X696">
        <v>0.99729230000000002</v>
      </c>
      <c r="Y696">
        <v>-0.20397989999999999</v>
      </c>
      <c r="Z696">
        <v>6.6880969999999996E-3</v>
      </c>
      <c r="AA696">
        <v>0.97895219999999905</v>
      </c>
      <c r="AB696">
        <v>60</v>
      </c>
      <c r="AC696">
        <v>13.6424</v>
      </c>
      <c r="AD696">
        <v>-1.1103214981309999</v>
      </c>
      <c r="AE696">
        <v>3.15899999999999</v>
      </c>
      <c r="AF696">
        <v>-2.9137892115398598</v>
      </c>
      <c r="AG696">
        <v>-1.1103214981309999</v>
      </c>
      <c r="AH696">
        <v>13.6074105419485</v>
      </c>
      <c r="AI696">
        <v>94.561855913325701</v>
      </c>
      <c r="AJ696">
        <v>102.08636518502099</v>
      </c>
      <c r="AK696">
        <v>13.9601075588846</v>
      </c>
    </row>
    <row r="697" spans="1:37" x14ac:dyDescent="0.2">
      <c r="A697" t="str">
        <f>"20200111154039672"</f>
        <v>20200111154039672</v>
      </c>
      <c r="B697" t="str">
        <f>"1578728439666680"</f>
        <v>1578728439666680</v>
      </c>
      <c r="C697" t="s">
        <v>37</v>
      </c>
      <c r="D697">
        <v>5.1978519999999904</v>
      </c>
      <c r="E697">
        <v>0.4115279</v>
      </c>
      <c r="F697" t="s">
        <v>39</v>
      </c>
      <c r="G697">
        <v>-224.6634</v>
      </c>
      <c r="H697" s="1">
        <v>-2.73197999999999E-6</v>
      </c>
      <c r="I697">
        <v>371.34629999999999</v>
      </c>
      <c r="J697">
        <v>-238.4725</v>
      </c>
      <c r="K697">
        <v>1.110223</v>
      </c>
      <c r="L697">
        <v>368.16269999999997</v>
      </c>
      <c r="M697">
        <v>0.99945030000000001</v>
      </c>
      <c r="N697">
        <v>0</v>
      </c>
      <c r="O697">
        <v>1.6001459999999999E-2</v>
      </c>
      <c r="P697">
        <v>0.99909559999999997</v>
      </c>
      <c r="Q697">
        <v>4.1912530000000003E-2</v>
      </c>
      <c r="R697">
        <v>-7.1798499999999998E-3</v>
      </c>
      <c r="S697">
        <v>3.0164029999999999</v>
      </c>
      <c r="T697">
        <v>-0.2363768</v>
      </c>
      <c r="U697">
        <v>0.67895509999999903</v>
      </c>
      <c r="V697">
        <v>2.3329409999999998E-2</v>
      </c>
      <c r="W697">
        <v>7.0849930000000005E-2</v>
      </c>
      <c r="X697">
        <v>0.99721409999999999</v>
      </c>
      <c r="Y697">
        <v>-0.20340159999999999</v>
      </c>
      <c r="Z697">
        <v>6.6230350000000002E-3</v>
      </c>
      <c r="AA697">
        <v>0.97907299999999997</v>
      </c>
      <c r="AB697">
        <v>60</v>
      </c>
      <c r="AC697">
        <v>13.809100000000001</v>
      </c>
      <c r="AD697">
        <v>-1.11022573198</v>
      </c>
      <c r="AE697">
        <v>3.18360000000001</v>
      </c>
      <c r="AF697">
        <v>-2.9440634885811301</v>
      </c>
      <c r="AG697">
        <v>-1.11022573198</v>
      </c>
      <c r="AH697">
        <v>13.773755880842</v>
      </c>
      <c r="AI697">
        <v>94.506960065995202</v>
      </c>
      <c r="AJ697">
        <v>102.06510160357099</v>
      </c>
      <c r="AK697">
        <v>14.1285690027609</v>
      </c>
    </row>
    <row r="698" spans="1:37" x14ac:dyDescent="0.2">
      <c r="A698" t="str">
        <f>"20200111154039687"</f>
        <v>20200111154039687</v>
      </c>
      <c r="B698" t="str">
        <f>"1578728439677416"</f>
        <v>1578728439677416</v>
      </c>
      <c r="C698" t="s">
        <v>37</v>
      </c>
      <c r="D698">
        <v>5.191592</v>
      </c>
      <c r="E698">
        <v>0.41147719999999999</v>
      </c>
      <c r="F698" t="s">
        <v>39</v>
      </c>
      <c r="G698">
        <v>-224.1095</v>
      </c>
      <c r="H698" s="1">
        <v>-2.9792469999999899E-6</v>
      </c>
      <c r="I698">
        <v>371.38260000000002</v>
      </c>
      <c r="J698">
        <v>-238.0847</v>
      </c>
      <c r="K698">
        <v>1.1101270000000001</v>
      </c>
      <c r="L698">
        <v>368.16840000000002</v>
      </c>
      <c r="M698">
        <v>0.99946309999999905</v>
      </c>
      <c r="N698">
        <v>0</v>
      </c>
      <c r="O698">
        <v>1.534316E-2</v>
      </c>
      <c r="P698">
        <v>0.99902739999999901</v>
      </c>
      <c r="Q698">
        <v>4.3123120000000001E-2</v>
      </c>
      <c r="R698">
        <v>-9.1923549999999993E-3</v>
      </c>
      <c r="S698">
        <v>3.01737999999999</v>
      </c>
      <c r="T698">
        <v>-0.233236099999999</v>
      </c>
      <c r="U698">
        <v>0.67645259999999996</v>
      </c>
      <c r="V698">
        <v>2.4704150000000001E-2</v>
      </c>
      <c r="W698">
        <v>7.1961440000000002E-2</v>
      </c>
      <c r="X698">
        <v>0.99710140000000003</v>
      </c>
      <c r="Y698">
        <v>-0.20321879999999901</v>
      </c>
      <c r="Z698">
        <v>6.5770159999999998E-3</v>
      </c>
      <c r="AA698">
        <v>0.97911130000000002</v>
      </c>
      <c r="AB698">
        <v>60</v>
      </c>
      <c r="AC698">
        <v>13.975199999999999</v>
      </c>
      <c r="AD698">
        <v>-1.1101299792470001</v>
      </c>
      <c r="AE698">
        <v>3.2141999999999999</v>
      </c>
      <c r="AF698">
        <v>-2.98143985778515</v>
      </c>
      <c r="AG698">
        <v>-1.1101299792470001</v>
      </c>
      <c r="AH698">
        <v>13.9393513969931</v>
      </c>
      <c r="AI698">
        <v>94.453123898264593</v>
      </c>
      <c r="AJ698">
        <v>102.072889235947</v>
      </c>
      <c r="AK698">
        <v>14.297793171159899</v>
      </c>
    </row>
    <row r="699" spans="1:37" x14ac:dyDescent="0.2">
      <c r="A699" t="str">
        <f>"20200111154039700"</f>
        <v>20200111154039700</v>
      </c>
      <c r="B699" t="str">
        <f>"1578728439696935"</f>
        <v>1578728439696935</v>
      </c>
      <c r="C699" t="s">
        <v>37</v>
      </c>
      <c r="D699">
        <v>5.1720459999999999</v>
      </c>
      <c r="E699">
        <v>0.41138799999999998</v>
      </c>
      <c r="F699" t="s">
        <v>39</v>
      </c>
      <c r="G699">
        <v>-223.51499999999999</v>
      </c>
      <c r="H699" s="1">
        <v>-3.2398779999999999E-6</v>
      </c>
      <c r="I699">
        <v>371.40350000000001</v>
      </c>
      <c r="J699">
        <v>-237.69919999999999</v>
      </c>
      <c r="K699">
        <v>1.110036</v>
      </c>
      <c r="L699">
        <v>368.1739</v>
      </c>
      <c r="M699">
        <v>0.99947580000000003</v>
      </c>
      <c r="N699">
        <v>0</v>
      </c>
      <c r="O699">
        <v>1.4665559999999999E-2</v>
      </c>
      <c r="P699">
        <v>0.99901119999999899</v>
      </c>
      <c r="Q699">
        <v>4.3249240000000001E-2</v>
      </c>
      <c r="R699">
        <v>-1.030704E-2</v>
      </c>
      <c r="S699">
        <v>3.0190429999999999</v>
      </c>
      <c r="T699">
        <v>-0.23003209999999999</v>
      </c>
      <c r="U699">
        <v>0.67034910000000003</v>
      </c>
      <c r="V699">
        <v>2.515746E-2</v>
      </c>
      <c r="W699">
        <v>7.1994260000000004E-2</v>
      </c>
      <c r="X699">
        <v>0.99708770000000002</v>
      </c>
      <c r="Y699">
        <v>-0.2018982</v>
      </c>
      <c r="Z699">
        <v>6.4861169999999996E-3</v>
      </c>
      <c r="AA699">
        <v>0.97938499999999995</v>
      </c>
      <c r="AB699">
        <v>60</v>
      </c>
      <c r="AC699">
        <v>14.184200000000001</v>
      </c>
      <c r="AD699">
        <v>-1.1100392398779999</v>
      </c>
      <c r="AE699">
        <v>3.2296</v>
      </c>
      <c r="AF699">
        <v>-3.0036573839279899</v>
      </c>
      <c r="AG699">
        <v>-1.1100392398779999</v>
      </c>
      <c r="AH699">
        <v>14.1476807838349</v>
      </c>
      <c r="AI699">
        <v>94.388857884315499</v>
      </c>
      <c r="AJ699">
        <v>101.986340739878</v>
      </c>
      <c r="AK699">
        <v>14.5055512254925</v>
      </c>
    </row>
    <row r="700" spans="1:37" x14ac:dyDescent="0.2">
      <c r="A700" t="str">
        <f>"20200111154039714"</f>
        <v>20200111154039714</v>
      </c>
      <c r="B700" t="str">
        <f>"1578728439706695"</f>
        <v>1578728439706695</v>
      </c>
      <c r="C700" t="s">
        <v>37</v>
      </c>
      <c r="D700">
        <v>5.1532619999999998</v>
      </c>
      <c r="E700">
        <v>0.41125429999999902</v>
      </c>
      <c r="F700" t="s">
        <v>39</v>
      </c>
      <c r="G700">
        <v>-223.1377</v>
      </c>
      <c r="H700" s="1">
        <v>-3.3989779999999998E-6</v>
      </c>
      <c r="I700">
        <v>371.39319999999998</v>
      </c>
      <c r="J700">
        <v>-237.34030000000001</v>
      </c>
      <c r="K700">
        <v>1.1099619999999999</v>
      </c>
      <c r="L700">
        <v>368.17869999999999</v>
      </c>
      <c r="M700">
        <v>0.99948719999999902</v>
      </c>
      <c r="N700">
        <v>0</v>
      </c>
      <c r="O700">
        <v>1.401792E-2</v>
      </c>
      <c r="P700">
        <v>0.99901240000000002</v>
      </c>
      <c r="Q700">
        <v>4.2864099999999898E-2</v>
      </c>
      <c r="R700">
        <v>-1.16898E-2</v>
      </c>
      <c r="S700">
        <v>3.0198209999999999</v>
      </c>
      <c r="T700">
        <v>-0.23020349999999901</v>
      </c>
      <c r="U700">
        <v>0.66763309999999998</v>
      </c>
      <c r="V700">
        <v>2.5904980000000001E-2</v>
      </c>
      <c r="W700">
        <v>7.1525790000000006E-2</v>
      </c>
      <c r="X700">
        <v>0.9971023</v>
      </c>
      <c r="Y700">
        <v>-0.20163800000000001</v>
      </c>
      <c r="Z700">
        <v>6.5288339999999999E-3</v>
      </c>
      <c r="AA700">
        <v>0.97943840000000004</v>
      </c>
      <c r="AB700">
        <v>60</v>
      </c>
      <c r="AC700">
        <v>14.2026</v>
      </c>
      <c r="AD700">
        <v>-1.1099653989780001</v>
      </c>
      <c r="AE700">
        <v>3.2144999999999802</v>
      </c>
      <c r="AF700">
        <v>-2.99759396739065</v>
      </c>
      <c r="AG700">
        <v>-1.1099653989780001</v>
      </c>
      <c r="AH700">
        <v>14.163987806571299</v>
      </c>
      <c r="AI700">
        <v>94.384129943641398</v>
      </c>
      <c r="AJ700">
        <v>101.949465253743</v>
      </c>
      <c r="AK700">
        <v>14.5201977729288</v>
      </c>
    </row>
    <row r="701" spans="1:37" x14ac:dyDescent="0.2">
      <c r="A701" t="str">
        <f>"20200111154039731"</f>
        <v>20200111154039731</v>
      </c>
      <c r="B701" t="str">
        <f>"1578728439727192"</f>
        <v>1578728439727192</v>
      </c>
      <c r="C701" t="s">
        <v>37</v>
      </c>
      <c r="D701">
        <v>5.1772489999999998</v>
      </c>
      <c r="E701">
        <v>0.41102479999999902</v>
      </c>
      <c r="F701" t="s">
        <v>39</v>
      </c>
      <c r="G701">
        <v>-222.87540000000001</v>
      </c>
      <c r="H701" s="1">
        <v>-3.502916E-6</v>
      </c>
      <c r="I701">
        <v>371.36090000000002</v>
      </c>
      <c r="J701">
        <v>-236.9152</v>
      </c>
      <c r="K701">
        <v>1.1098809999999999</v>
      </c>
      <c r="L701">
        <v>368.1841</v>
      </c>
      <c r="M701">
        <v>0.99950049999999901</v>
      </c>
      <c r="N701">
        <v>0</v>
      </c>
      <c r="O701">
        <v>1.3240099999999999E-2</v>
      </c>
      <c r="P701">
        <v>0.99905440000000001</v>
      </c>
      <c r="Q701">
        <v>4.1481320000000002E-2</v>
      </c>
      <c r="R701">
        <v>-1.3033319999999999E-2</v>
      </c>
      <c r="S701">
        <v>3.0206759999999999</v>
      </c>
      <c r="T701">
        <v>-0.231791</v>
      </c>
      <c r="U701">
        <v>0.6645508</v>
      </c>
      <c r="V701">
        <v>2.6480920000000002E-2</v>
      </c>
      <c r="W701">
        <v>7.004987E-2</v>
      </c>
      <c r="X701">
        <v>0.99719199999999997</v>
      </c>
      <c r="Y701">
        <v>-0.20138020000000001</v>
      </c>
      <c r="Z701">
        <v>6.6217450000000001E-3</v>
      </c>
      <c r="AA701">
        <v>0.97949079999999999</v>
      </c>
      <c r="AB701">
        <v>59</v>
      </c>
      <c r="AC701">
        <v>14.0397999999999</v>
      </c>
      <c r="AD701">
        <v>-1.1098845029159901</v>
      </c>
      <c r="AE701">
        <v>3.1768000000000098</v>
      </c>
      <c r="AF701">
        <v>-2.97288270319926</v>
      </c>
      <c r="AG701">
        <v>-1.1098845029159901</v>
      </c>
      <c r="AH701">
        <v>13.9974326366246</v>
      </c>
      <c r="AI701">
        <v>94.435092816121596</v>
      </c>
      <c r="AJ701">
        <v>101.990743551085</v>
      </c>
      <c r="AK701">
        <v>14.3526302674332</v>
      </c>
    </row>
    <row r="702" spans="1:37" x14ac:dyDescent="0.2">
      <c r="A702" t="str">
        <f>"20200111154039743"</f>
        <v>20200111154039743</v>
      </c>
      <c r="B702" t="str">
        <f>"1578728439736952"</f>
        <v>1578728439736952</v>
      </c>
      <c r="C702" t="s">
        <v>37</v>
      </c>
      <c r="D702">
        <v>5.208882</v>
      </c>
      <c r="E702">
        <v>0.41092770000000001</v>
      </c>
      <c r="F702" t="s">
        <v>39</v>
      </c>
      <c r="G702">
        <v>-222.7568</v>
      </c>
      <c r="H702" s="1">
        <v>-3.5337749999999999E-6</v>
      </c>
      <c r="I702">
        <v>371.28559999999999</v>
      </c>
      <c r="J702">
        <v>-236.57230000000001</v>
      </c>
      <c r="K702">
        <v>1.109823</v>
      </c>
      <c r="L702">
        <v>368.18830000000003</v>
      </c>
      <c r="M702">
        <v>0.99951049999999997</v>
      </c>
      <c r="N702">
        <v>0</v>
      </c>
      <c r="O702">
        <v>1.2606640000000001E-2</v>
      </c>
      <c r="P702">
        <v>0.99907710000000005</v>
      </c>
      <c r="Q702">
        <v>4.0600020000000001E-2</v>
      </c>
      <c r="R702">
        <v>-1.401461E-2</v>
      </c>
      <c r="S702">
        <v>3.0213009999999998</v>
      </c>
      <c r="T702">
        <v>-0.2368393</v>
      </c>
      <c r="U702">
        <v>0.6618347</v>
      </c>
      <c r="V702">
        <v>2.6836639999999998E-2</v>
      </c>
      <c r="W702">
        <v>6.9095160000000003E-2</v>
      </c>
      <c r="X702">
        <v>0.9972491</v>
      </c>
      <c r="Y702">
        <v>-0.2010942</v>
      </c>
      <c r="Z702">
        <v>6.8027419999999996E-3</v>
      </c>
      <c r="AA702">
        <v>0.97954830000000004</v>
      </c>
      <c r="AB702">
        <v>59</v>
      </c>
      <c r="AC702">
        <v>13.8155</v>
      </c>
      <c r="AD702">
        <v>-1.109826533775</v>
      </c>
      <c r="AE702">
        <v>3.0972999999999602</v>
      </c>
      <c r="AF702">
        <v>-2.9049659131236298</v>
      </c>
      <c r="AG702">
        <v>-1.109826533775</v>
      </c>
      <c r="AH702">
        <v>13.768862356094001</v>
      </c>
      <c r="AI702">
        <v>94.5094620067986</v>
      </c>
      <c r="AJ702">
        <v>101.913591901269</v>
      </c>
      <c r="AK702">
        <v>14.1156690409113</v>
      </c>
    </row>
    <row r="703" spans="1:37" x14ac:dyDescent="0.2">
      <c r="A703" t="str">
        <f>"20200111154039755"</f>
        <v>20200111154039755</v>
      </c>
      <c r="B703" t="str">
        <f>"1578728439746712"</f>
        <v>1578728439746712</v>
      </c>
      <c r="C703" t="s">
        <v>37</v>
      </c>
      <c r="D703">
        <v>5.1930019999999999</v>
      </c>
      <c r="E703">
        <v>0.41079379999999999</v>
      </c>
      <c r="F703" t="s">
        <v>39</v>
      </c>
      <c r="G703">
        <v>-222.56739999999999</v>
      </c>
      <c r="H703" s="1">
        <v>-3.6037910000000001E-6</v>
      </c>
      <c r="I703">
        <v>371.24349999999998</v>
      </c>
      <c r="J703">
        <v>-236.24109999999999</v>
      </c>
      <c r="K703">
        <v>1.109774</v>
      </c>
      <c r="L703">
        <v>368.19199999999898</v>
      </c>
      <c r="M703">
        <v>0.99952009999999902</v>
      </c>
      <c r="N703">
        <v>0</v>
      </c>
      <c r="O703">
        <v>1.198807E-2</v>
      </c>
      <c r="P703">
        <v>0.99908299999999906</v>
      </c>
      <c r="Q703">
        <v>4.0163839999999999E-2</v>
      </c>
      <c r="R703">
        <v>-1.4834480000000001E-2</v>
      </c>
      <c r="S703">
        <v>3.0217130000000001</v>
      </c>
      <c r="T703">
        <v>-0.2394569</v>
      </c>
      <c r="U703">
        <v>0.65921019999999997</v>
      </c>
      <c r="V703">
        <v>2.7044809999999999E-2</v>
      </c>
      <c r="W703">
        <v>6.8591879999999994E-2</v>
      </c>
      <c r="X703">
        <v>0.997278199999999</v>
      </c>
      <c r="Y703">
        <v>-0.2008471</v>
      </c>
      <c r="Z703">
        <v>6.9161169999999899E-3</v>
      </c>
      <c r="AA703">
        <v>0.97959819999999997</v>
      </c>
      <c r="AB703">
        <v>59</v>
      </c>
      <c r="AC703">
        <v>13.673699999999901</v>
      </c>
      <c r="AD703">
        <v>-1.1097776037910001</v>
      </c>
      <c r="AE703">
        <v>3.0515000000000301</v>
      </c>
      <c r="AF703">
        <v>-2.8692884736054398</v>
      </c>
      <c r="AG703">
        <v>-1.1097776037910001</v>
      </c>
      <c r="AH703">
        <v>13.6238278877642</v>
      </c>
      <c r="AI703">
        <v>94.557408293154893</v>
      </c>
      <c r="AJ703">
        <v>101.893144853937</v>
      </c>
      <c r="AK703">
        <v>13.966857520217699</v>
      </c>
    </row>
    <row r="704" spans="1:37" x14ac:dyDescent="0.2">
      <c r="A704" t="str">
        <f>"20200111154039768"</f>
        <v>20200111154039768</v>
      </c>
      <c r="B704" t="str">
        <f>"1578728439757447"</f>
        <v>1578728439757447</v>
      </c>
      <c r="C704" t="s">
        <v>37</v>
      </c>
      <c r="D704">
        <v>5.1991420000000002</v>
      </c>
      <c r="E704">
        <v>0.41067309999999901</v>
      </c>
      <c r="F704" t="s">
        <v>39</v>
      </c>
      <c r="G704">
        <v>-222.31979999999999</v>
      </c>
      <c r="H704" s="1">
        <v>-3.7045799999999999E-6</v>
      </c>
      <c r="I704">
        <v>371.22300000000001</v>
      </c>
      <c r="J704">
        <v>-235.92679999999999</v>
      </c>
      <c r="K704">
        <v>1.1097299999999899</v>
      </c>
      <c r="L704">
        <v>368.19529999999997</v>
      </c>
      <c r="M704">
        <v>0.99952859999999999</v>
      </c>
      <c r="N704">
        <v>0</v>
      </c>
      <c r="O704">
        <v>1.139919E-2</v>
      </c>
      <c r="P704">
        <v>0.99909609999999904</v>
      </c>
      <c r="Q704">
        <v>3.9666130000000001E-2</v>
      </c>
      <c r="R704">
        <v>-1.527999E-2</v>
      </c>
      <c r="S704">
        <v>3.0222319999999998</v>
      </c>
      <c r="T704">
        <v>-0.240923999999999</v>
      </c>
      <c r="U704">
        <v>0.65801999999999905</v>
      </c>
      <c r="V704">
        <v>2.6907650000000002E-2</v>
      </c>
      <c r="W704">
        <v>6.8033839999999998E-2</v>
      </c>
      <c r="X704">
        <v>0.99732009999999904</v>
      </c>
      <c r="Y704">
        <v>-0.20101179999999999</v>
      </c>
      <c r="Z704">
        <v>7.0102810000000002E-3</v>
      </c>
      <c r="AA704">
        <v>0.97956369999999904</v>
      </c>
      <c r="AB704">
        <v>59</v>
      </c>
      <c r="AC704">
        <v>13.606999999999999</v>
      </c>
      <c r="AD704">
        <v>-1.10973370458</v>
      </c>
      <c r="AE704">
        <v>3.02770000000003</v>
      </c>
      <c r="AF704">
        <v>-2.8542421943379801</v>
      </c>
      <c r="AG704">
        <v>-1.10973370458</v>
      </c>
      <c r="AH704">
        <v>13.5547378499832</v>
      </c>
      <c r="AI704">
        <v>94.580392507731702</v>
      </c>
      <c r="AJ704">
        <v>101.891139895907</v>
      </c>
      <c r="AK704">
        <v>13.896370950028199</v>
      </c>
    </row>
    <row r="705" spans="1:37" x14ac:dyDescent="0.2">
      <c r="A705" t="str">
        <f>"20200111154039780"</f>
        <v>20200111154039780</v>
      </c>
      <c r="B705" t="str">
        <f>"1578728439776968"</f>
        <v>1578728439776968</v>
      </c>
      <c r="C705" t="s">
        <v>37</v>
      </c>
      <c r="D705">
        <v>5.1667350000000001</v>
      </c>
      <c r="E705">
        <v>0.41044389999999997</v>
      </c>
      <c r="F705" t="s">
        <v>39</v>
      </c>
      <c r="G705">
        <v>-222.13480000000001</v>
      </c>
      <c r="H705" s="1">
        <v>-3.7765659999999999E-6</v>
      </c>
      <c r="I705">
        <v>371.19529999999997</v>
      </c>
      <c r="J705">
        <v>-235.58789999999999</v>
      </c>
      <c r="K705">
        <v>1.109691</v>
      </c>
      <c r="L705">
        <v>368.19889999999998</v>
      </c>
      <c r="M705">
        <v>0.99953749999999997</v>
      </c>
      <c r="N705">
        <v>0</v>
      </c>
      <c r="O705">
        <v>1.076216E-2</v>
      </c>
      <c r="P705">
        <v>0.99910909999999997</v>
      </c>
      <c r="Q705">
        <v>3.914604E-2</v>
      </c>
      <c r="R705">
        <v>-1.5765930000000001E-2</v>
      </c>
      <c r="S705">
        <v>3.0224299999999999</v>
      </c>
      <c r="T705">
        <v>-0.2431905</v>
      </c>
      <c r="U705">
        <v>0.65744019999999903</v>
      </c>
      <c r="V705">
        <v>2.676224E-2</v>
      </c>
      <c r="W705">
        <v>6.7451070000000002E-2</v>
      </c>
      <c r="X705">
        <v>0.99736360000000002</v>
      </c>
      <c r="Y705">
        <v>-0.2014292</v>
      </c>
      <c r="Z705">
        <v>7.1428639999999996E-3</v>
      </c>
      <c r="AA705">
        <v>0.97947700000000004</v>
      </c>
      <c r="AB705">
        <v>59</v>
      </c>
      <c r="AC705">
        <v>13.4530999999999</v>
      </c>
      <c r="AD705">
        <v>-1.1096947765659999</v>
      </c>
      <c r="AE705">
        <v>2.9963999999999902</v>
      </c>
      <c r="AF705">
        <v>-2.8330185865981199</v>
      </c>
      <c r="AG705">
        <v>-1.1096947765659999</v>
      </c>
      <c r="AH705">
        <v>13.397731734188399</v>
      </c>
      <c r="AI705">
        <v>94.632851829070603</v>
      </c>
      <c r="AJ705">
        <v>101.939604944186</v>
      </c>
      <c r="AK705">
        <v>13.7388730407711</v>
      </c>
    </row>
    <row r="706" spans="1:37" x14ac:dyDescent="0.2">
      <c r="A706" t="str">
        <f>"20200111154039794"</f>
        <v>20200111154039794</v>
      </c>
      <c r="B706" t="str">
        <f>"1578728439786728"</f>
        <v>1578728439786728</v>
      </c>
      <c r="C706" t="s">
        <v>37</v>
      </c>
      <c r="D706">
        <v>5.1342860000000003</v>
      </c>
      <c r="E706">
        <v>0.41039049999999999</v>
      </c>
      <c r="F706" t="s">
        <v>39</v>
      </c>
      <c r="G706">
        <v>-221.88130000000001</v>
      </c>
      <c r="H706" s="1">
        <v>-3.8817620000000001E-6</v>
      </c>
      <c r="I706">
        <v>371.18189999999998</v>
      </c>
      <c r="J706">
        <v>-235.2363</v>
      </c>
      <c r="K706">
        <v>1.1096549999999901</v>
      </c>
      <c r="L706">
        <v>368.20209999999997</v>
      </c>
      <c r="M706">
        <v>0.99954609999999899</v>
      </c>
      <c r="N706">
        <v>0</v>
      </c>
      <c r="O706">
        <v>1.009707E-2</v>
      </c>
      <c r="P706">
        <v>0.99909419999999904</v>
      </c>
      <c r="Q706">
        <v>3.920746E-2</v>
      </c>
      <c r="R706">
        <v>-1.6552899999999999E-2</v>
      </c>
      <c r="S706">
        <v>3.0226289999999998</v>
      </c>
      <c r="T706">
        <v>-0.24471180000000001</v>
      </c>
      <c r="U706">
        <v>0.65783689999999995</v>
      </c>
      <c r="V706">
        <v>2.6890460000000001E-2</v>
      </c>
      <c r="W706">
        <v>6.74487E-2</v>
      </c>
      <c r="X706">
        <v>0.99736029999999998</v>
      </c>
      <c r="Y706">
        <v>-0.20217850000000001</v>
      </c>
      <c r="Z706">
        <v>7.26991099999999E-3</v>
      </c>
      <c r="AA706">
        <v>0.97932169999999896</v>
      </c>
      <c r="AB706">
        <v>59</v>
      </c>
      <c r="AC706">
        <v>13.354999999999899</v>
      </c>
      <c r="AD706">
        <v>-1.1096588817619999</v>
      </c>
      <c r="AE706">
        <v>2.9798000000000102</v>
      </c>
      <c r="AF706">
        <v>-2.8261611526320101</v>
      </c>
      <c r="AG706">
        <v>-1.1096588817619999</v>
      </c>
      <c r="AH706">
        <v>13.296971189555901</v>
      </c>
      <c r="AI706">
        <v>94.666628995081595</v>
      </c>
      <c r="AJ706">
        <v>101.99918649539801</v>
      </c>
      <c r="AK706">
        <v>13.6392071804192</v>
      </c>
    </row>
    <row r="707" spans="1:37" x14ac:dyDescent="0.2">
      <c r="A707" t="str">
        <f>"20200111154039809"</f>
        <v>20200111154039809</v>
      </c>
      <c r="B707" t="str">
        <f>"1578728439797464"</f>
        <v>1578728439797464</v>
      </c>
      <c r="C707" t="s">
        <v>37</v>
      </c>
      <c r="D707">
        <v>5.0902459999999996</v>
      </c>
      <c r="E707">
        <v>0.410329</v>
      </c>
      <c r="F707" t="s">
        <v>39</v>
      </c>
      <c r="G707">
        <v>-221.5284</v>
      </c>
      <c r="H707" s="1">
        <v>-4.031566E-6</v>
      </c>
      <c r="I707">
        <v>371.17599999999999</v>
      </c>
      <c r="J707">
        <v>-234.8698</v>
      </c>
      <c r="K707">
        <v>1.1096269999999999</v>
      </c>
      <c r="L707">
        <v>368.2054</v>
      </c>
      <c r="M707">
        <v>0.99955459999999996</v>
      </c>
      <c r="N707">
        <v>0</v>
      </c>
      <c r="O707">
        <v>9.4006880000000008E-3</v>
      </c>
      <c r="P707">
        <v>0.99911109999999903</v>
      </c>
      <c r="Q707">
        <v>3.8670990000000002E-2</v>
      </c>
      <c r="R707">
        <v>-1.679102E-2</v>
      </c>
      <c r="S707">
        <v>3.023193</v>
      </c>
      <c r="T707">
        <v>-0.2447271</v>
      </c>
      <c r="U707">
        <v>0.65588380000000002</v>
      </c>
      <c r="V707">
        <v>2.6436350000000001E-2</v>
      </c>
      <c r="W707">
        <v>6.6850190000000004E-2</v>
      </c>
      <c r="X707">
        <v>0.99741270000000004</v>
      </c>
      <c r="Y707">
        <v>-0.20221629999999999</v>
      </c>
      <c r="Z707">
        <v>7.3266709999999999E-3</v>
      </c>
      <c r="AA707">
        <v>0.97931349999999995</v>
      </c>
      <c r="AB707">
        <v>58</v>
      </c>
      <c r="AC707">
        <v>13.341399999999901</v>
      </c>
      <c r="AD707">
        <v>-1.1096310315660001</v>
      </c>
      <c r="AE707">
        <v>2.9705999999999899</v>
      </c>
      <c r="AF707">
        <v>-2.8263718312571302</v>
      </c>
      <c r="AG707">
        <v>-1.1096310315660001</v>
      </c>
      <c r="AH707">
        <v>13.2812127390909</v>
      </c>
      <c r="AI707">
        <v>94.671771132495394</v>
      </c>
      <c r="AJ707">
        <v>102.01387993447599</v>
      </c>
      <c r="AK707">
        <v>13.6238860306349</v>
      </c>
    </row>
    <row r="708" spans="1:37" x14ac:dyDescent="0.2">
      <c r="A708" t="str">
        <f>"20200111154039825"</f>
        <v>20200111154039825</v>
      </c>
      <c r="B708" t="str">
        <f>"1578728439816984"</f>
        <v>1578728439816984</v>
      </c>
      <c r="C708" t="s">
        <v>37</v>
      </c>
      <c r="D708">
        <v>5.0738289999999999</v>
      </c>
      <c r="E708">
        <v>0.41008509999999998</v>
      </c>
      <c r="F708" t="s">
        <v>39</v>
      </c>
      <c r="G708">
        <v>-221.25190000000001</v>
      </c>
      <c r="H708" s="1">
        <v>-4.1238210000000002E-6</v>
      </c>
      <c r="I708">
        <v>371.16</v>
      </c>
      <c r="J708">
        <v>-234.44110000000001</v>
      </c>
      <c r="K708">
        <v>1.10959599999999</v>
      </c>
      <c r="L708">
        <v>368.2088</v>
      </c>
      <c r="M708">
        <v>0.99956409999999996</v>
      </c>
      <c r="N708">
        <v>0</v>
      </c>
      <c r="O708">
        <v>8.5810669999999995E-3</v>
      </c>
      <c r="P708">
        <v>0.99910639999999995</v>
      </c>
      <c r="Q708">
        <v>3.8554390000000001E-2</v>
      </c>
      <c r="R708">
        <v>-1.7330399999999999E-2</v>
      </c>
      <c r="S708">
        <v>3.0232239999999999</v>
      </c>
      <c r="T708">
        <v>-0.2463399</v>
      </c>
      <c r="U708">
        <v>0.65594479999999999</v>
      </c>
      <c r="V708">
        <v>2.6161710000000001E-2</v>
      </c>
      <c r="W708">
        <v>6.6658930000000005E-2</v>
      </c>
      <c r="X708">
        <v>0.99743280000000001</v>
      </c>
      <c r="Y708">
        <v>-0.20302290000000001</v>
      </c>
      <c r="Z708">
        <v>7.4730500000000002E-3</v>
      </c>
      <c r="AA708">
        <v>0.9791455</v>
      </c>
      <c r="AB708">
        <v>58</v>
      </c>
      <c r="AC708">
        <v>13.1892</v>
      </c>
      <c r="AD708">
        <v>-1.10960012382099</v>
      </c>
      <c r="AE708">
        <v>2.95120000000002</v>
      </c>
      <c r="AF708">
        <v>-2.8188686680661998</v>
      </c>
      <c r="AG708">
        <v>-1.10960012382099</v>
      </c>
      <c r="AH708">
        <v>13.1255783476361</v>
      </c>
      <c r="AI708">
        <v>94.724908146683802</v>
      </c>
      <c r="AJ708">
        <v>102.120817301137</v>
      </c>
      <c r="AK708">
        <v>13.4706362122404</v>
      </c>
    </row>
    <row r="709" spans="1:37" x14ac:dyDescent="0.2">
      <c r="A709" t="str">
        <f>"20200111154039840"</f>
        <v>20200111154039840</v>
      </c>
      <c r="B709" t="str">
        <f>"1578728439837480"</f>
        <v>1578728439837480</v>
      </c>
      <c r="C709" t="s">
        <v>37</v>
      </c>
      <c r="D709">
        <v>5.2516829999999999</v>
      </c>
      <c r="E709">
        <v>0.41124139999999998</v>
      </c>
      <c r="F709" t="s">
        <v>39</v>
      </c>
      <c r="G709">
        <v>-220.83029999999999</v>
      </c>
      <c r="H709" s="1">
        <v>-4.2677790000000001E-6</v>
      </c>
      <c r="I709">
        <v>371.1628</v>
      </c>
      <c r="J709">
        <v>-234.04810000000001</v>
      </c>
      <c r="K709">
        <v>1.1095709999999901</v>
      </c>
      <c r="L709">
        <v>368.21159999999998</v>
      </c>
      <c r="M709">
        <v>0.99957229999999997</v>
      </c>
      <c r="N709">
        <v>0</v>
      </c>
      <c r="O709">
        <v>7.8236160000000003E-3</v>
      </c>
      <c r="P709">
        <v>0.99909479999999995</v>
      </c>
      <c r="Q709">
        <v>3.845022E-2</v>
      </c>
      <c r="R709">
        <v>-1.8205559999999999E-2</v>
      </c>
      <c r="S709">
        <v>3.0235599999999998</v>
      </c>
      <c r="T709">
        <v>-0.2464895</v>
      </c>
      <c r="U709">
        <v>0.65621949999999996</v>
      </c>
      <c r="V709">
        <v>2.6283629999999999E-2</v>
      </c>
      <c r="W709">
        <v>6.6484790000000002E-2</v>
      </c>
      <c r="X709">
        <v>0.99744120000000003</v>
      </c>
      <c r="Y709">
        <v>-0.20382159999999999</v>
      </c>
      <c r="Z709">
        <v>7.5697630000000002E-3</v>
      </c>
      <c r="AA709">
        <v>0.97897880000000004</v>
      </c>
      <c r="AB709">
        <v>58</v>
      </c>
      <c r="AC709">
        <v>13.2178</v>
      </c>
      <c r="AD709">
        <v>-1.1095752677789901</v>
      </c>
      <c r="AE709">
        <v>2.95120000000002</v>
      </c>
      <c r="AF709">
        <v>-2.82867082753596</v>
      </c>
      <c r="AG709">
        <v>-1.1095752677789901</v>
      </c>
      <c r="AH709">
        <v>13.152212608892</v>
      </c>
      <c r="AI709">
        <v>94.7149785927609</v>
      </c>
      <c r="AJ709">
        <v>102.137815469373</v>
      </c>
      <c r="AK709">
        <v>13.498638169642</v>
      </c>
    </row>
    <row r="710" spans="1:37" x14ac:dyDescent="0.2">
      <c r="A710" t="str">
        <f>"20200111154039854"</f>
        <v>20200111154039854</v>
      </c>
      <c r="B710" t="str">
        <f>"1578728439847240"</f>
        <v>1578728439847240</v>
      </c>
      <c r="C710" t="s">
        <v>37</v>
      </c>
      <c r="D710">
        <v>5.2998199999999898</v>
      </c>
      <c r="E710">
        <v>0.41124139999999998</v>
      </c>
      <c r="F710" t="s">
        <v>39</v>
      </c>
      <c r="G710">
        <v>-220.42250000000001</v>
      </c>
      <c r="H710" s="1">
        <v>-4.3980460000000001E-6</v>
      </c>
      <c r="I710">
        <v>371.1148</v>
      </c>
      <c r="J710">
        <v>-233.6918</v>
      </c>
      <c r="K710">
        <v>1.109556</v>
      </c>
      <c r="L710">
        <v>368.21379999999999</v>
      </c>
      <c r="M710">
        <v>0.99957909999999905</v>
      </c>
      <c r="N710">
        <v>0</v>
      </c>
      <c r="O710">
        <v>7.13239199999999E-3</v>
      </c>
      <c r="P710">
        <v>0.99908050000000004</v>
      </c>
      <c r="Q710">
        <v>3.8577149999999998E-2</v>
      </c>
      <c r="R710">
        <v>-1.8714930000000001E-2</v>
      </c>
      <c r="S710">
        <v>3.02394099999999</v>
      </c>
      <c r="T710">
        <v>-0.24624789999999999</v>
      </c>
      <c r="U710">
        <v>0.64431759999999905</v>
      </c>
      <c r="V710">
        <v>2.610581E-2</v>
      </c>
      <c r="W710">
        <v>6.6550460000000006E-2</v>
      </c>
      <c r="X710">
        <v>0.99744149999999998</v>
      </c>
      <c r="Y710">
        <v>-0.20079720000000001</v>
      </c>
      <c r="Z710">
        <v>7.4985090000000004E-3</v>
      </c>
      <c r="AA710">
        <v>0.97960409999999998</v>
      </c>
      <c r="AB710">
        <v>58</v>
      </c>
      <c r="AC710">
        <v>13.2692999999999</v>
      </c>
      <c r="AD710">
        <v>-1.109560398046</v>
      </c>
      <c r="AE710">
        <v>2.90100000000001</v>
      </c>
      <c r="AF710">
        <v>-2.787644581855</v>
      </c>
      <c r="AG710">
        <v>-1.109560398046</v>
      </c>
      <c r="AH710">
        <v>13.2015658713939</v>
      </c>
      <c r="AI710">
        <v>94.701098803354995</v>
      </c>
      <c r="AJ710">
        <v>101.923428155536</v>
      </c>
      <c r="AK710">
        <v>13.538221007518301</v>
      </c>
    </row>
    <row r="711" spans="1:37" x14ac:dyDescent="0.2">
      <c r="A711" t="str">
        <f>"20200111154039867"</f>
        <v>20200111154039867</v>
      </c>
      <c r="B711" t="str">
        <f>"1578728439857000"</f>
        <v>1578728439857000</v>
      </c>
      <c r="C711" t="s">
        <v>37</v>
      </c>
      <c r="D711">
        <v>5.3172969999999999</v>
      </c>
      <c r="E711">
        <v>0.50797209999999904</v>
      </c>
      <c r="F711" t="s">
        <v>39</v>
      </c>
      <c r="G711">
        <v>-220.04</v>
      </c>
      <c r="H711" s="1">
        <v>-4.5283749999999997E-6</v>
      </c>
      <c r="I711">
        <v>371.11579999999998</v>
      </c>
      <c r="J711">
        <v>-233.36</v>
      </c>
      <c r="K711">
        <v>1.1095469999999901</v>
      </c>
      <c r="L711">
        <v>368.2158</v>
      </c>
      <c r="M711">
        <v>0.99958519999999895</v>
      </c>
      <c r="N711">
        <v>0</v>
      </c>
      <c r="O711">
        <v>6.4850119999999897E-3</v>
      </c>
      <c r="P711">
        <v>0.99906280000000003</v>
      </c>
      <c r="Q711">
        <v>3.8596060000000001E-2</v>
      </c>
      <c r="R711">
        <v>-1.959557E-2</v>
      </c>
      <c r="S711">
        <v>3.024292</v>
      </c>
      <c r="T711">
        <v>-0.24580059999999901</v>
      </c>
      <c r="U711">
        <v>0.64288330000000005</v>
      </c>
      <c r="V711">
        <v>2.634179E-2</v>
      </c>
      <c r="W711">
        <v>6.6509059999999995E-2</v>
      </c>
      <c r="X711">
        <v>0.99743809999999999</v>
      </c>
      <c r="Y711">
        <v>-0.2009637</v>
      </c>
      <c r="Z711">
        <v>7.5430799999999998E-3</v>
      </c>
      <c r="AA711">
        <v>0.97956969999999999</v>
      </c>
      <c r="AB711">
        <v>58</v>
      </c>
      <c r="AC711">
        <v>13.32</v>
      </c>
      <c r="AD711">
        <v>-1.1095515283749999</v>
      </c>
      <c r="AE711">
        <v>2.8999999999999702</v>
      </c>
      <c r="AF711">
        <v>-2.79500818235522</v>
      </c>
      <c r="AG711">
        <v>-1.1095515283749999</v>
      </c>
      <c r="AH711">
        <v>13.250749912043901</v>
      </c>
      <c r="AI711">
        <v>94.683904674076103</v>
      </c>
      <c r="AJ711">
        <v>101.91091787667099</v>
      </c>
      <c r="AK711">
        <v>13.587698427809</v>
      </c>
    </row>
    <row r="712" spans="1:37" x14ac:dyDescent="0.2">
      <c r="A712" t="str">
        <f>"20200111154039881"</f>
        <v>20200111154039881</v>
      </c>
      <c r="B712" t="str">
        <f>"1578728439876520"</f>
        <v>1578728439876520</v>
      </c>
      <c r="C712" t="s">
        <v>37</v>
      </c>
      <c r="D712">
        <v>5.4869579999999996</v>
      </c>
      <c r="E712">
        <v>0.52251729999999996</v>
      </c>
      <c r="F712" t="s">
        <v>39</v>
      </c>
      <c r="G712">
        <v>-212.9667</v>
      </c>
      <c r="H712" s="1">
        <v>-3.4035999999999999E-6</v>
      </c>
      <c r="I712">
        <v>367.33890000000002</v>
      </c>
      <c r="J712">
        <v>-233.00190000000001</v>
      </c>
      <c r="K712">
        <v>1.1095349999999999</v>
      </c>
      <c r="L712">
        <v>368.2176</v>
      </c>
      <c r="M712">
        <v>0.99959140000000002</v>
      </c>
      <c r="N712">
        <v>0</v>
      </c>
      <c r="O712">
        <v>5.7803339999999998E-3</v>
      </c>
      <c r="P712">
        <v>0.99903410000000004</v>
      </c>
      <c r="Q712">
        <v>3.8802080000000003E-2</v>
      </c>
      <c r="R712">
        <v>-2.063218E-2</v>
      </c>
      <c r="S712">
        <v>3.0065919999999999</v>
      </c>
      <c r="T712">
        <v>-0.16358020000000001</v>
      </c>
      <c r="U712">
        <v>-0.12927249999999901</v>
      </c>
      <c r="V712">
        <v>2.6676910000000002E-2</v>
      </c>
      <c r="W712">
        <v>6.664465E-2</v>
      </c>
      <c r="X712">
        <v>0.99742009999999903</v>
      </c>
      <c r="Y712">
        <v>4.8652840000000003E-2</v>
      </c>
      <c r="Z712">
        <v>-1.6361909999999999E-3</v>
      </c>
      <c r="AA712">
        <v>0.99881439999999999</v>
      </c>
      <c r="AB712">
        <v>57</v>
      </c>
      <c r="AC712">
        <v>20.0352</v>
      </c>
      <c r="AD712">
        <v>-1.1095384036</v>
      </c>
      <c r="AE712">
        <v>-0.87869999999998005</v>
      </c>
      <c r="AF712">
        <v>0.99150586337357804</v>
      </c>
      <c r="AG712">
        <v>-1.1095384036</v>
      </c>
      <c r="AH712">
        <v>19.9686598674602</v>
      </c>
      <c r="AI712">
        <v>93.176406685509406</v>
      </c>
      <c r="AJ712">
        <v>87.157421461609701</v>
      </c>
      <c r="AK712">
        <v>20.0240239774248</v>
      </c>
    </row>
    <row r="713" spans="1:37" x14ac:dyDescent="0.2">
      <c r="A713" t="str">
        <f>"20200111154039895"</f>
        <v>20200111154039895</v>
      </c>
      <c r="B713" t="str">
        <f>"1578728439887256"</f>
        <v>1578728439887256</v>
      </c>
      <c r="C713" t="s">
        <v>37</v>
      </c>
      <c r="D713">
        <v>5.4207429999999999</v>
      </c>
      <c r="E713">
        <v>0.59408879999999997</v>
      </c>
      <c r="F713" t="s">
        <v>39</v>
      </c>
      <c r="G713">
        <v>-213.40940000000001</v>
      </c>
      <c r="H713" s="1">
        <v>-3.345707E-6</v>
      </c>
      <c r="I713">
        <v>366.59460000000001</v>
      </c>
      <c r="J713">
        <v>-232.64760000000001</v>
      </c>
      <c r="K713">
        <v>1.1095250000000001</v>
      </c>
      <c r="L713">
        <v>368.21910000000003</v>
      </c>
      <c r="M713">
        <v>0.99959730000000002</v>
      </c>
      <c r="N713">
        <v>0</v>
      </c>
      <c r="O713">
        <v>5.077448E-3</v>
      </c>
      <c r="P713">
        <v>0.99899819999999995</v>
      </c>
      <c r="Q713">
        <v>3.9072179999999998E-2</v>
      </c>
      <c r="R713">
        <v>-2.1826849999999998E-2</v>
      </c>
      <c r="S713">
        <v>3.0043790000000001</v>
      </c>
      <c r="T713">
        <v>-0.1701396</v>
      </c>
      <c r="U713">
        <v>-0.2488708</v>
      </c>
      <c r="V713">
        <v>2.7171919999999999E-2</v>
      </c>
      <c r="W713">
        <v>6.6839250000000003E-2</v>
      </c>
      <c r="X713">
        <v>0.99739369999999905</v>
      </c>
      <c r="Y713">
        <v>8.7467020000000006E-2</v>
      </c>
      <c r="Z713">
        <v>-2.7573929999999999E-3</v>
      </c>
      <c r="AA713">
        <v>0.99616360000000004</v>
      </c>
      <c r="AB713">
        <v>57</v>
      </c>
      <c r="AC713">
        <v>19.238199999999999</v>
      </c>
      <c r="AD713">
        <v>-1.109528345707</v>
      </c>
      <c r="AE713">
        <v>-1.62450000000001</v>
      </c>
      <c r="AF713">
        <v>1.7165290041935399</v>
      </c>
      <c r="AG713">
        <v>-1.109528345707</v>
      </c>
      <c r="AH713">
        <v>19.166400420596201</v>
      </c>
      <c r="AI713">
        <v>93.299933118520201</v>
      </c>
      <c r="AJ713">
        <v>84.882284981583993</v>
      </c>
      <c r="AK713">
        <v>19.275072763930002</v>
      </c>
    </row>
    <row r="714" spans="1:37" x14ac:dyDescent="0.2">
      <c r="A714" t="str">
        <f>"20200111154039909"</f>
        <v>20200111154039909</v>
      </c>
      <c r="B714" t="str">
        <f>"1578728439897015"</f>
        <v>1578728439897015</v>
      </c>
      <c r="C714" t="s">
        <v>37</v>
      </c>
      <c r="D714">
        <v>5.4173939999999998</v>
      </c>
      <c r="E714">
        <v>0.59281070000000002</v>
      </c>
      <c r="F714" t="s">
        <v>39</v>
      </c>
      <c r="G714">
        <v>-216.48159999999999</v>
      </c>
      <c r="H714" s="1">
        <v>-2.7394279999999999E-6</v>
      </c>
      <c r="I714">
        <v>363.76839999999999</v>
      </c>
      <c r="J714">
        <v>-232.28540000000001</v>
      </c>
      <c r="K714">
        <v>1.1095200000000001</v>
      </c>
      <c r="L714">
        <v>368.22039999999998</v>
      </c>
      <c r="M714">
        <v>0.99960269999999996</v>
      </c>
      <c r="N714">
        <v>0</v>
      </c>
      <c r="O714">
        <v>4.3557600000000002E-3</v>
      </c>
      <c r="P714">
        <v>0.99896589999999996</v>
      </c>
      <c r="Q714">
        <v>3.9323959999999998E-2</v>
      </c>
      <c r="R714">
        <v>-2.2824649999999998E-2</v>
      </c>
      <c r="S714">
        <v>2.993042</v>
      </c>
      <c r="T714">
        <v>-0.205421299999999</v>
      </c>
      <c r="U714">
        <v>-0.82400509999999905</v>
      </c>
      <c r="V714">
        <v>2.745102E-2</v>
      </c>
      <c r="W714">
        <v>6.7014809999999994E-2</v>
      </c>
      <c r="X714">
        <v>0.99737430000000005</v>
      </c>
      <c r="Y714">
        <v>0.2690322</v>
      </c>
      <c r="Z714">
        <v>-9.3468709999999997E-3</v>
      </c>
      <c r="AA714">
        <v>0.96308579999999999</v>
      </c>
      <c r="AB714">
        <v>57</v>
      </c>
      <c r="AC714">
        <v>15.803800000000001</v>
      </c>
      <c r="AD714">
        <v>-1.1095227394280001</v>
      </c>
      <c r="AE714">
        <v>-4.4519999999999902</v>
      </c>
      <c r="AF714">
        <v>4.50027147995824</v>
      </c>
      <c r="AG714">
        <v>-1.1095227394280001</v>
      </c>
      <c r="AH714">
        <v>15.7124993618022</v>
      </c>
      <c r="AI714">
        <v>93.883538242929703</v>
      </c>
      <c r="AJ714">
        <v>74.017574002365606</v>
      </c>
      <c r="AK714">
        <v>16.381883905621699</v>
      </c>
    </row>
    <row r="715" spans="1:37" x14ac:dyDescent="0.2">
      <c r="A715" t="str">
        <f>"20200111154039923"</f>
        <v>20200111154039923</v>
      </c>
      <c r="B715" t="str">
        <f>"1578728439916535"</f>
        <v>1578728439916535</v>
      </c>
      <c r="C715" t="s">
        <v>37</v>
      </c>
      <c r="D715">
        <v>5.3543969999999996</v>
      </c>
      <c r="E715">
        <v>0.58943959999999995</v>
      </c>
      <c r="F715" t="s">
        <v>39</v>
      </c>
      <c r="G715">
        <v>-216.89619999999999</v>
      </c>
      <c r="H715" s="1">
        <v>-2.5315170000000001E-6</v>
      </c>
      <c r="I715">
        <v>364.01949999999999</v>
      </c>
      <c r="J715">
        <v>-231.93969999999999</v>
      </c>
      <c r="K715">
        <v>1.109515</v>
      </c>
      <c r="L715">
        <v>368.22140000000002</v>
      </c>
      <c r="M715">
        <v>0.99960740000000003</v>
      </c>
      <c r="N715">
        <v>0</v>
      </c>
      <c r="O715">
        <v>3.664428E-3</v>
      </c>
      <c r="P715">
        <v>0.99890800000000002</v>
      </c>
      <c r="Q715">
        <v>3.9867479999999997E-2</v>
      </c>
      <c r="R715">
        <v>-2.4360590000000001E-2</v>
      </c>
      <c r="S715">
        <v>2.9929349999999899</v>
      </c>
      <c r="T715">
        <v>-0.21578130000000001</v>
      </c>
      <c r="U715">
        <v>-0.81698609999999905</v>
      </c>
      <c r="V715">
        <v>2.8299459999999999E-2</v>
      </c>
      <c r="W715">
        <v>6.7481040000000006E-2</v>
      </c>
      <c r="X715">
        <v>0.99731909999999901</v>
      </c>
      <c r="Y715">
        <v>0.26621929999999999</v>
      </c>
      <c r="Z715">
        <v>-9.6720690000000002E-3</v>
      </c>
      <c r="AA715">
        <v>0.96386399999999905</v>
      </c>
      <c r="AB715">
        <v>57</v>
      </c>
      <c r="AC715">
        <v>15.0434999999999</v>
      </c>
      <c r="AD715">
        <v>-1.1095175315170001</v>
      </c>
      <c r="AE715">
        <v>-4.2019000000000197</v>
      </c>
      <c r="AF715">
        <v>4.23564592889434</v>
      </c>
      <c r="AG715">
        <v>-1.1095175315170001</v>
      </c>
      <c r="AH715">
        <v>14.9525453263218</v>
      </c>
      <c r="AI715">
        <v>94.083613478004494</v>
      </c>
      <c r="AJ715">
        <v>74.184028918628698</v>
      </c>
      <c r="AK715">
        <v>15.5804472761025</v>
      </c>
    </row>
    <row r="716" spans="1:37" x14ac:dyDescent="0.2">
      <c r="A716" t="str">
        <f>"20200111154039936"</f>
        <v>20200111154039936</v>
      </c>
      <c r="B716" t="str">
        <f>"1578728439927272"</f>
        <v>1578728439927272</v>
      </c>
      <c r="C716" t="s">
        <v>37</v>
      </c>
      <c r="D716">
        <v>5.3717569999999997</v>
      </c>
      <c r="E716">
        <v>0.58758089999999996</v>
      </c>
      <c r="F716" t="s">
        <v>39</v>
      </c>
      <c r="G716">
        <v>-215.93170000000001</v>
      </c>
      <c r="H716" s="1">
        <v>-2.8724810000000001E-6</v>
      </c>
      <c r="I716">
        <v>363.97160000000002</v>
      </c>
      <c r="J716">
        <v>-231.59030000000001</v>
      </c>
      <c r="K716">
        <v>1.1095159999999999</v>
      </c>
      <c r="L716">
        <v>368.22210000000001</v>
      </c>
      <c r="M716">
        <v>0.99961180000000005</v>
      </c>
      <c r="N716">
        <v>0</v>
      </c>
      <c r="O716">
        <v>2.9597619999999999E-3</v>
      </c>
      <c r="P716">
        <v>0.99886779999999997</v>
      </c>
      <c r="Q716">
        <v>4.0175889999999999E-2</v>
      </c>
      <c r="R716">
        <v>-2.5485540000000001E-2</v>
      </c>
      <c r="S716">
        <v>2.9921720000000001</v>
      </c>
      <c r="T716">
        <v>-0.2073873</v>
      </c>
      <c r="U716">
        <v>-0.79434199999999999</v>
      </c>
      <c r="V716">
        <v>2.8722049999999999E-2</v>
      </c>
      <c r="W716">
        <v>6.77175E-2</v>
      </c>
      <c r="X716">
        <v>0.99729100000000004</v>
      </c>
      <c r="Y716">
        <v>0.25885949999999902</v>
      </c>
      <c r="Z716">
        <v>-9.0095239999999997E-3</v>
      </c>
      <c r="AA716">
        <v>0.96587299999999998</v>
      </c>
      <c r="AB716">
        <v>57</v>
      </c>
      <c r="AC716">
        <v>15.6586</v>
      </c>
      <c r="AD716">
        <v>-1.1095188724809999</v>
      </c>
      <c r="AE716">
        <v>-4.2504999999999802</v>
      </c>
      <c r="AF716">
        <v>4.2768457870855796</v>
      </c>
      <c r="AG716">
        <v>-1.1095188724809999</v>
      </c>
      <c r="AH716">
        <v>15.5731240422465</v>
      </c>
      <c r="AI716">
        <v>93.930160762069093</v>
      </c>
      <c r="AJ716">
        <v>74.643463904260798</v>
      </c>
      <c r="AK716">
        <v>16.187792760290002</v>
      </c>
    </row>
    <row r="717" spans="1:37" x14ac:dyDescent="0.2">
      <c r="A717" t="str">
        <f>"20200111154039950"</f>
        <v>20200111154039950</v>
      </c>
      <c r="B717" t="str">
        <f>"1578728439937032"</f>
        <v>1578728439937032</v>
      </c>
      <c r="C717" t="s">
        <v>37</v>
      </c>
      <c r="D717">
        <v>5.3520149999999997</v>
      </c>
      <c r="E717">
        <v>0.58619980000000005</v>
      </c>
      <c r="F717" t="s">
        <v>39</v>
      </c>
      <c r="G717">
        <v>-215.446</v>
      </c>
      <c r="H717" s="1">
        <v>-3.0310479999999999E-6</v>
      </c>
      <c r="I717">
        <v>363.99680000000001</v>
      </c>
      <c r="J717">
        <v>-231.25749999999999</v>
      </c>
      <c r="K717">
        <v>1.109515</v>
      </c>
      <c r="L717">
        <v>368.2226</v>
      </c>
      <c r="M717">
        <v>0.99961540000000004</v>
      </c>
      <c r="N717">
        <v>0</v>
      </c>
      <c r="O717">
        <v>2.2866399999999999E-3</v>
      </c>
      <c r="P717">
        <v>0.99883219999999995</v>
      </c>
      <c r="Q717">
        <v>4.0404420000000003E-2</v>
      </c>
      <c r="R717">
        <v>-2.649433E-2</v>
      </c>
      <c r="S717">
        <v>2.99173</v>
      </c>
      <c r="T717">
        <v>-0.20560599999999901</v>
      </c>
      <c r="U717">
        <v>-0.7829895</v>
      </c>
      <c r="V717">
        <v>2.9059680000000001E-2</v>
      </c>
      <c r="W717">
        <v>6.7880200000000002E-2</v>
      </c>
      <c r="X717">
        <v>0.997270199999999</v>
      </c>
      <c r="Y717">
        <v>0.25483489999999998</v>
      </c>
      <c r="Z717">
        <v>-8.7565009999999999E-3</v>
      </c>
      <c r="AA717">
        <v>0.9669449</v>
      </c>
      <c r="AB717">
        <v>57</v>
      </c>
      <c r="AC717">
        <v>15.811499999999899</v>
      </c>
      <c r="AD717">
        <v>-1.109518031048</v>
      </c>
      <c r="AE717">
        <v>-4.2257999999999898</v>
      </c>
      <c r="AF717">
        <v>4.2424605462895997</v>
      </c>
      <c r="AG717">
        <v>-1.109518031048</v>
      </c>
      <c r="AH717">
        <v>15.7295026974785</v>
      </c>
      <c r="AI717">
        <v>93.896041547244707</v>
      </c>
      <c r="AJ717">
        <v>74.905721376278706</v>
      </c>
      <c r="AK717">
        <v>16.329321996274899</v>
      </c>
    </row>
    <row r="718" spans="1:37" x14ac:dyDescent="0.2">
      <c r="A718" t="str">
        <f>"20200111154039963"</f>
        <v>20200111154039963</v>
      </c>
      <c r="B718" t="str">
        <f>"1578728439956552"</f>
        <v>1578728439956552</v>
      </c>
      <c r="C718" t="s">
        <v>37</v>
      </c>
      <c r="D718">
        <v>5.394584</v>
      </c>
      <c r="E718">
        <v>0.58431569999999899</v>
      </c>
      <c r="F718" t="s">
        <v>39</v>
      </c>
      <c r="G718">
        <v>-215.0615</v>
      </c>
      <c r="H718" s="1">
        <v>-3.153764E-6</v>
      </c>
      <c r="I718">
        <v>364.0274</v>
      </c>
      <c r="J718">
        <v>-230.9051</v>
      </c>
      <c r="K718">
        <v>1.1095120000000001</v>
      </c>
      <c r="L718">
        <v>368.22289999999998</v>
      </c>
      <c r="M718">
        <v>0.99961849999999997</v>
      </c>
      <c r="N718">
        <v>0</v>
      </c>
      <c r="O718">
        <v>1.571968E-3</v>
      </c>
      <c r="P718">
        <v>0.99878829999999996</v>
      </c>
      <c r="Q718">
        <v>4.0672890000000003E-2</v>
      </c>
      <c r="R718">
        <v>-2.7720109999999999E-2</v>
      </c>
      <c r="S718">
        <v>2.991241</v>
      </c>
      <c r="T718">
        <v>-0.2049166</v>
      </c>
      <c r="U718">
        <v>-0.77481080000000002</v>
      </c>
      <c r="V718">
        <v>2.9572629999999999E-2</v>
      </c>
      <c r="W718">
        <v>6.8080009999999996E-2</v>
      </c>
      <c r="X718">
        <v>0.9972415</v>
      </c>
      <c r="Y718">
        <v>0.25171660000000001</v>
      </c>
      <c r="Z718">
        <v>-8.578436E-3</v>
      </c>
      <c r="AA718">
        <v>0.96776289999999998</v>
      </c>
      <c r="AB718">
        <v>57</v>
      </c>
      <c r="AC718">
        <v>15.8436</v>
      </c>
      <c r="AD718">
        <v>-1.109515153764</v>
      </c>
      <c r="AE718">
        <v>-4.1954999999999796</v>
      </c>
      <c r="AF718">
        <v>4.2011571137923296</v>
      </c>
      <c r="AG718">
        <v>-1.109515153764</v>
      </c>
      <c r="AH718">
        <v>15.7647370393624</v>
      </c>
      <c r="AI718">
        <v>93.890475755117706</v>
      </c>
      <c r="AJ718">
        <v>75.077991599371899</v>
      </c>
      <c r="AK718">
        <v>16.3526046515974</v>
      </c>
    </row>
    <row r="719" spans="1:37" x14ac:dyDescent="0.2">
      <c r="A719" t="str">
        <f>"20200111154039976"</f>
        <v>20200111154039976</v>
      </c>
      <c r="B719" t="str">
        <f>"1578728439967287"</f>
        <v>1578728439967287</v>
      </c>
      <c r="C719" t="s">
        <v>37</v>
      </c>
      <c r="D719">
        <v>5.4078689999999998</v>
      </c>
      <c r="E719">
        <v>0.58351209999999998</v>
      </c>
      <c r="F719" t="s">
        <v>39</v>
      </c>
      <c r="G719">
        <v>-214.58019999999999</v>
      </c>
      <c r="H719" s="1">
        <v>-3.3098480000000001E-6</v>
      </c>
      <c r="I719">
        <v>364.0564</v>
      </c>
      <c r="J719">
        <v>-230.5943</v>
      </c>
      <c r="K719">
        <v>1.1095079999999999</v>
      </c>
      <c r="L719">
        <v>368.22289999999998</v>
      </c>
      <c r="M719">
        <v>0.99962070000000003</v>
      </c>
      <c r="N719">
        <v>0</v>
      </c>
      <c r="O719">
        <v>9.4043950000000001E-4</v>
      </c>
      <c r="P719">
        <v>0.99874490000000005</v>
      </c>
      <c r="Q719">
        <v>4.0450159999999999E-2</v>
      </c>
      <c r="R719">
        <v>-2.9539139999999998E-2</v>
      </c>
      <c r="S719">
        <v>2.990723</v>
      </c>
      <c r="T719">
        <v>-0.20326259999999999</v>
      </c>
      <c r="U719">
        <v>-0.76330569999999998</v>
      </c>
      <c r="V719">
        <v>3.0760119999999998E-2</v>
      </c>
      <c r="W719">
        <v>6.7797410000000002E-2</v>
      </c>
      <c r="X719">
        <v>0.99722479999999902</v>
      </c>
      <c r="Y719">
        <v>0.2476701</v>
      </c>
      <c r="Z719">
        <v>-8.3373619999999992E-3</v>
      </c>
      <c r="AA719">
        <v>0.96880849999999996</v>
      </c>
      <c r="AB719">
        <v>56</v>
      </c>
      <c r="AC719">
        <v>16.014099999999999</v>
      </c>
      <c r="AD719">
        <v>-1.1095113098479901</v>
      </c>
      <c r="AE719">
        <v>-4.1664999999999797</v>
      </c>
      <c r="AF719">
        <v>4.16284858875939</v>
      </c>
      <c r="AG719">
        <v>-1.1095113098479901</v>
      </c>
      <c r="AH719">
        <v>15.938515816230201</v>
      </c>
      <c r="AI719">
        <v>93.853200020339898</v>
      </c>
      <c r="AJ719">
        <v>75.362383021993693</v>
      </c>
      <c r="AK719">
        <v>16.510499996785001</v>
      </c>
    </row>
    <row r="720" spans="1:37" x14ac:dyDescent="0.2">
      <c r="A720" t="str">
        <f>"20200111154039988"</f>
        <v>20200111154039988</v>
      </c>
      <c r="B720" t="str">
        <f>"1578728439977048"</f>
        <v>1578728439977048</v>
      </c>
      <c r="C720" t="s">
        <v>37</v>
      </c>
      <c r="D720">
        <v>5.3593469999999996</v>
      </c>
      <c r="E720">
        <v>0.58287999999999995</v>
      </c>
      <c r="F720" t="s">
        <v>39</v>
      </c>
      <c r="G720">
        <v>-214.4102</v>
      </c>
      <c r="H720" s="1">
        <v>-3.35949799999999E-6</v>
      </c>
      <c r="I720">
        <v>364.09620000000001</v>
      </c>
      <c r="J720">
        <v>-230.28880000000001</v>
      </c>
      <c r="K720">
        <v>1.1095059999999899</v>
      </c>
      <c r="L720">
        <v>368.22269999999997</v>
      </c>
      <c r="M720">
        <v>0.99962260000000003</v>
      </c>
      <c r="N720">
        <v>0</v>
      </c>
      <c r="O720">
        <v>3.1931669999999898E-4</v>
      </c>
      <c r="P720">
        <v>0.99870930000000002</v>
      </c>
      <c r="Q720">
        <v>4.0321919999999997E-2</v>
      </c>
      <c r="R720">
        <v>-3.089016E-2</v>
      </c>
      <c r="S720">
        <v>2.98951699999999</v>
      </c>
      <c r="T720">
        <v>-0.20494760000000001</v>
      </c>
      <c r="U720">
        <v>-0.7622681</v>
      </c>
      <c r="V720">
        <v>3.1490129999999998E-2</v>
      </c>
      <c r="W720">
        <v>6.7613300000000001E-2</v>
      </c>
      <c r="X720">
        <v>0.99721459999999995</v>
      </c>
      <c r="Y720">
        <v>0.246839799999999</v>
      </c>
      <c r="Z720">
        <v>-8.3400939999999993E-3</v>
      </c>
      <c r="AA720">
        <v>0.9690204</v>
      </c>
      <c r="AB720">
        <v>56</v>
      </c>
      <c r="AC720">
        <v>15.8786</v>
      </c>
      <c r="AD720">
        <v>-1.1095093594979999</v>
      </c>
      <c r="AE720">
        <v>-4.1264999999999601</v>
      </c>
      <c r="AF720">
        <v>4.1127620259870996</v>
      </c>
      <c r="AG720">
        <v>-1.1095093594979999</v>
      </c>
      <c r="AH720">
        <v>15.8049958747026</v>
      </c>
      <c r="AI720">
        <v>93.886555922368402</v>
      </c>
      <c r="AJ720">
        <v>75.414025046673402</v>
      </c>
      <c r="AK720">
        <v>16.368986440845401</v>
      </c>
    </row>
    <row r="721" spans="1:37" x14ac:dyDescent="0.2">
      <c r="A721" t="str">
        <f>"20200111154040001"</f>
        <v>20200111154040001</v>
      </c>
      <c r="B721" t="str">
        <f>"1578728439996567"</f>
        <v>1578728439996567</v>
      </c>
      <c r="C721" t="s">
        <v>37</v>
      </c>
      <c r="D721">
        <v>5.4193519999999999</v>
      </c>
      <c r="E721">
        <v>0.5819204</v>
      </c>
      <c r="F721" t="s">
        <v>39</v>
      </c>
      <c r="G721">
        <v>-214.14009999999999</v>
      </c>
      <c r="H721" s="1">
        <v>-3.4730360000000002E-6</v>
      </c>
      <c r="I721">
        <v>364.10950000000003</v>
      </c>
      <c r="J721">
        <v>-229.9667</v>
      </c>
      <c r="K721">
        <v>1.1095120000000001</v>
      </c>
      <c r="L721">
        <v>368.22239999999999</v>
      </c>
      <c r="M721">
        <v>0.99962399999999996</v>
      </c>
      <c r="N721">
        <v>0</v>
      </c>
      <c r="O721">
        <v>-3.3532910000000002E-4</v>
      </c>
      <c r="P721">
        <v>0.99867530000000004</v>
      </c>
      <c r="Q721">
        <v>4.0085679999999999E-2</v>
      </c>
      <c r="R721">
        <v>-3.2261789999999999E-2</v>
      </c>
      <c r="S721">
        <v>2.9886169999999899</v>
      </c>
      <c r="T721">
        <v>-0.20533470000000001</v>
      </c>
      <c r="U721">
        <v>-0.76123050000000003</v>
      </c>
      <c r="V721">
        <v>3.220696E-2</v>
      </c>
      <c r="W721">
        <v>6.7320720000000001E-2</v>
      </c>
      <c r="X721">
        <v>0.99721150000000003</v>
      </c>
      <c r="Y721">
        <v>0.24596009999999999</v>
      </c>
      <c r="Z721">
        <v>-8.2846440000000007E-3</v>
      </c>
      <c r="AA721">
        <v>0.96924449999999995</v>
      </c>
      <c r="AB721">
        <v>56</v>
      </c>
      <c r="AC721">
        <v>15.826599999999999</v>
      </c>
      <c r="AD721">
        <v>-1.109515473036</v>
      </c>
      <c r="AE721">
        <v>-4.1128999999999598</v>
      </c>
      <c r="AF721">
        <v>4.0887670733476096</v>
      </c>
      <c r="AG721">
        <v>-1.109515473036</v>
      </c>
      <c r="AH721">
        <v>15.755444987970501</v>
      </c>
      <c r="AI721">
        <v>93.899429604976703</v>
      </c>
      <c r="AJ721">
        <v>75.451840417019199</v>
      </c>
      <c r="AK721">
        <v>16.315118373274601</v>
      </c>
    </row>
    <row r="722" spans="1:37" x14ac:dyDescent="0.2">
      <c r="A722" t="str">
        <f>"20200111154040015"</f>
        <v>20200111154040015</v>
      </c>
      <c r="B722" t="str">
        <f>"1578728440007304"</f>
        <v>1578728440007304</v>
      </c>
      <c r="C722" t="s">
        <v>37</v>
      </c>
      <c r="D722">
        <v>5.4007269999999998</v>
      </c>
      <c r="E722">
        <v>0.58153909999999998</v>
      </c>
      <c r="F722" t="s">
        <v>39</v>
      </c>
      <c r="G722">
        <v>-213.81729999999999</v>
      </c>
      <c r="H722" s="1">
        <v>-3.60839499999999E-6</v>
      </c>
      <c r="I722">
        <v>364.12720000000002</v>
      </c>
      <c r="J722">
        <v>-229.63059999999999</v>
      </c>
      <c r="K722">
        <v>1.109515</v>
      </c>
      <c r="L722">
        <v>368.2217</v>
      </c>
      <c r="M722">
        <v>0.99962499999999999</v>
      </c>
      <c r="N722">
        <v>0</v>
      </c>
      <c r="O722">
        <v>-1.017216E-3</v>
      </c>
      <c r="P722">
        <v>0.99863239999999998</v>
      </c>
      <c r="Q722">
        <v>3.982861E-2</v>
      </c>
      <c r="R722">
        <v>-3.386898E-2</v>
      </c>
      <c r="S722">
        <v>2.9877319999999998</v>
      </c>
      <c r="T722">
        <v>-0.20526549999999999</v>
      </c>
      <c r="U722">
        <v>-0.75762940000000001</v>
      </c>
      <c r="V722">
        <v>3.3131599999999997E-2</v>
      </c>
      <c r="W722">
        <v>6.7007189999999994E-2</v>
      </c>
      <c r="X722">
        <v>0.99720229999999999</v>
      </c>
      <c r="Y722">
        <v>0.2442751</v>
      </c>
      <c r="Z722">
        <v>-8.1824410000000004E-3</v>
      </c>
      <c r="AA722">
        <v>0.96967139999999996</v>
      </c>
      <c r="AB722">
        <v>56</v>
      </c>
      <c r="AC722">
        <v>15.8132999999999</v>
      </c>
      <c r="AD722">
        <v>-1.1095186083949999</v>
      </c>
      <c r="AE722">
        <v>-4.0944999999999796</v>
      </c>
      <c r="AF722">
        <v>4.0596764984698499</v>
      </c>
      <c r="AG722">
        <v>-1.1095186083949999</v>
      </c>
      <c r="AH722">
        <v>15.744817722512501</v>
      </c>
      <c r="AI722">
        <v>93.903642166054496</v>
      </c>
      <c r="AJ722">
        <v>75.541655609211304</v>
      </c>
      <c r="AK722">
        <v>16.297585401824001</v>
      </c>
    </row>
    <row r="723" spans="1:37" x14ac:dyDescent="0.2">
      <c r="A723" t="str">
        <f>"20200111154040027"</f>
        <v>20200111154040027</v>
      </c>
      <c r="B723" t="str">
        <f>"1578728440017063"</f>
        <v>1578728440017063</v>
      </c>
      <c r="C723" t="s">
        <v>37</v>
      </c>
      <c r="D723">
        <v>5.4100599999999996</v>
      </c>
      <c r="E723">
        <v>0.58120559999999999</v>
      </c>
      <c r="F723" t="s">
        <v>39</v>
      </c>
      <c r="G723">
        <v>-213.5779</v>
      </c>
      <c r="H723" s="1">
        <v>-3.708825E-6</v>
      </c>
      <c r="I723">
        <v>364.14</v>
      </c>
      <c r="J723">
        <v>-229.31870000000001</v>
      </c>
      <c r="K723">
        <v>1.109524</v>
      </c>
      <c r="L723">
        <v>368.22089999999997</v>
      </c>
      <c r="M723">
        <v>0.9996254</v>
      </c>
      <c r="N723">
        <v>0</v>
      </c>
      <c r="O723">
        <v>-1.6483679999999899E-3</v>
      </c>
      <c r="P723">
        <v>0.99860360000000004</v>
      </c>
      <c r="Q723">
        <v>3.9453599999999998E-2</v>
      </c>
      <c r="R723">
        <v>-3.5134390000000001E-2</v>
      </c>
      <c r="S723">
        <v>2.9865879999999998</v>
      </c>
      <c r="T723">
        <v>-0.206423</v>
      </c>
      <c r="U723">
        <v>-0.75939939999999995</v>
      </c>
      <c r="V723">
        <v>3.3764570000000001E-2</v>
      </c>
      <c r="W723">
        <v>6.6582329999999995E-2</v>
      </c>
      <c r="X723">
        <v>0.99720949999999997</v>
      </c>
      <c r="Y723">
        <v>0.24428629999999901</v>
      </c>
      <c r="Z723">
        <v>-8.1884169999999999E-3</v>
      </c>
      <c r="AA723">
        <v>0.96966859999999999</v>
      </c>
      <c r="AB723">
        <v>56</v>
      </c>
      <c r="AC723">
        <v>15.7408</v>
      </c>
      <c r="AD723">
        <v>-1.109527708825</v>
      </c>
      <c r="AE723">
        <v>-4.0808999999999802</v>
      </c>
      <c r="AF723">
        <v>4.0361476332994197</v>
      </c>
      <c r="AG723">
        <v>-1.109527708825</v>
      </c>
      <c r="AH723">
        <v>15.6745343097794</v>
      </c>
      <c r="AI723">
        <v>93.921449191904401</v>
      </c>
      <c r="AJ723">
        <v>75.560188974590304</v>
      </c>
      <c r="AK723">
        <v>16.223827084966398</v>
      </c>
    </row>
    <row r="724" spans="1:37" x14ac:dyDescent="0.2">
      <c r="A724" t="str">
        <f>"20200111154040041"</f>
        <v>20200111154040041</v>
      </c>
      <c r="B724" t="str">
        <f>"1578728440036584"</f>
        <v>1578728440036584</v>
      </c>
      <c r="C724" t="s">
        <v>37</v>
      </c>
      <c r="D724">
        <v>5.3978609999999998</v>
      </c>
      <c r="E724">
        <v>0.58078769999999902</v>
      </c>
      <c r="F724" t="s">
        <v>39</v>
      </c>
      <c r="G724">
        <v>-213.32990000000001</v>
      </c>
      <c r="H724" s="1">
        <v>-3.813514E-6</v>
      </c>
      <c r="I724">
        <v>364.14960000000002</v>
      </c>
      <c r="J724">
        <v>-228.9727</v>
      </c>
      <c r="K724">
        <v>1.109526</v>
      </c>
      <c r="L724">
        <v>368.21980000000002</v>
      </c>
      <c r="M724">
        <v>0.9996254</v>
      </c>
      <c r="N724">
        <v>0</v>
      </c>
      <c r="O724">
        <v>-2.3451890000000001E-3</v>
      </c>
      <c r="P724">
        <v>0.99854480000000001</v>
      </c>
      <c r="Q724">
        <v>3.9698900000000002E-2</v>
      </c>
      <c r="R724">
        <v>-3.6504740000000001E-2</v>
      </c>
      <c r="S724">
        <v>2.9856259999999999</v>
      </c>
      <c r="T724">
        <v>-0.2071839</v>
      </c>
      <c r="U724">
        <v>-0.76025390000000004</v>
      </c>
      <c r="V724">
        <v>3.4439240000000003E-2</v>
      </c>
      <c r="W724">
        <v>6.6775020000000004E-2</v>
      </c>
      <c r="X724">
        <v>0.99717350000000005</v>
      </c>
      <c r="Y724">
        <v>0.24394379999999999</v>
      </c>
      <c r="Z724">
        <v>-8.1615660000000003E-3</v>
      </c>
      <c r="AA724">
        <v>0.96975509999999998</v>
      </c>
      <c r="AB724">
        <v>56</v>
      </c>
      <c r="AC724">
        <v>15.6427999999999</v>
      </c>
      <c r="AD724">
        <v>-1.1095298135139999</v>
      </c>
      <c r="AE724">
        <v>-4.0701999999999998</v>
      </c>
      <c r="AF724">
        <v>4.0145734400625397</v>
      </c>
      <c r="AG724">
        <v>-1.1095298135139999</v>
      </c>
      <c r="AH724">
        <v>15.578899204596</v>
      </c>
      <c r="AI724">
        <v>93.945267591234398</v>
      </c>
      <c r="AJ724">
        <v>75.549664326148402</v>
      </c>
      <c r="AK724">
        <v>16.126064514930299</v>
      </c>
    </row>
    <row r="725" spans="1:37" x14ac:dyDescent="0.2">
      <c r="A725" t="str">
        <f>"20200111154040055"</f>
        <v>20200111154040055</v>
      </c>
      <c r="B725" t="str">
        <f>"1578728440047319"</f>
        <v>1578728440047319</v>
      </c>
      <c r="C725" t="s">
        <v>37</v>
      </c>
      <c r="D725">
        <v>5.4259680000000001</v>
      </c>
      <c r="E725">
        <v>0.58065840000000002</v>
      </c>
      <c r="F725" t="s">
        <v>39</v>
      </c>
      <c r="G725">
        <v>-212.82589999999999</v>
      </c>
      <c r="H725" s="1">
        <v>-4.0381849999999902E-6</v>
      </c>
      <c r="I725">
        <v>364.10180000000003</v>
      </c>
      <c r="J725">
        <v>-228.63210000000001</v>
      </c>
      <c r="K725">
        <v>1.1095360000000001</v>
      </c>
      <c r="L725">
        <v>368.21850000000001</v>
      </c>
      <c r="M725">
        <v>0.99962479999999998</v>
      </c>
      <c r="N725">
        <v>0</v>
      </c>
      <c r="O725">
        <v>-3.026342E-3</v>
      </c>
      <c r="P725">
        <v>0.99847790000000003</v>
      </c>
      <c r="Q725">
        <v>3.9524190000000001E-2</v>
      </c>
      <c r="R725">
        <v>-3.8470200000000003E-2</v>
      </c>
      <c r="S725">
        <v>2.98468</v>
      </c>
      <c r="T725">
        <v>-0.2050921</v>
      </c>
      <c r="U725">
        <v>-0.76119999999999999</v>
      </c>
      <c r="V725">
        <v>3.5722410000000003E-2</v>
      </c>
      <c r="W725">
        <v>6.6548549999999998E-2</v>
      </c>
      <c r="X725">
        <v>0.99714349999999996</v>
      </c>
      <c r="Y725">
        <v>0.24365799999999899</v>
      </c>
      <c r="Z725">
        <v>-8.0258359999999997E-3</v>
      </c>
      <c r="AA725">
        <v>0.96982800000000002</v>
      </c>
      <c r="AB725">
        <v>56</v>
      </c>
      <c r="AC725">
        <v>15.8062</v>
      </c>
      <c r="AD725">
        <v>-1.109540038185</v>
      </c>
      <c r="AE725">
        <v>-4.1166999999999696</v>
      </c>
      <c r="AF725">
        <v>4.0501389425412704</v>
      </c>
      <c r="AG725">
        <v>-1.109540038185</v>
      </c>
      <c r="AH725">
        <v>15.7459306483621</v>
      </c>
      <c r="AI725">
        <v>93.904028699678605</v>
      </c>
      <c r="AJ725">
        <v>75.575181254054797</v>
      </c>
      <c r="AK725">
        <v>16.296289041780501</v>
      </c>
    </row>
    <row r="726" spans="1:37" x14ac:dyDescent="0.2">
      <c r="A726" t="str">
        <f>"20200111154040068"</f>
        <v>20200111154040068</v>
      </c>
      <c r="B726" t="str">
        <f>"1578728440057080"</f>
        <v>1578728440057080</v>
      </c>
      <c r="C726" t="s">
        <v>37</v>
      </c>
      <c r="D726">
        <v>5.4244149999999998</v>
      </c>
      <c r="E726">
        <v>0.58055269999999903</v>
      </c>
      <c r="F726" t="s">
        <v>39</v>
      </c>
      <c r="G726">
        <v>-212.59440000000001</v>
      </c>
      <c r="H726" s="1">
        <v>-4.1376629999999998E-6</v>
      </c>
      <c r="I726">
        <v>364.101</v>
      </c>
      <c r="J726">
        <v>-228.31610000000001</v>
      </c>
      <c r="K726">
        <v>1.109545</v>
      </c>
      <c r="L726">
        <v>368.21699999999998</v>
      </c>
      <c r="M726">
        <v>0.99962379999999995</v>
      </c>
      <c r="N726">
        <v>0</v>
      </c>
      <c r="O726">
        <v>-3.6550789999999999E-3</v>
      </c>
      <c r="P726">
        <v>0.99843599999999999</v>
      </c>
      <c r="Q726">
        <v>3.9333380000000001E-2</v>
      </c>
      <c r="R726">
        <v>-3.9732280000000002E-2</v>
      </c>
      <c r="S726">
        <v>2.983231</v>
      </c>
      <c r="T726">
        <v>-0.20638789999999901</v>
      </c>
      <c r="U726">
        <v>-0.76589969999999996</v>
      </c>
      <c r="V726">
        <v>3.6354360000000002E-2</v>
      </c>
      <c r="W726">
        <v>6.6313990000000003E-2</v>
      </c>
      <c r="X726">
        <v>0.99713629999999998</v>
      </c>
      <c r="Y726">
        <v>0.2445871</v>
      </c>
      <c r="Z726">
        <v>-8.0675050000000009E-3</v>
      </c>
      <c r="AA726">
        <v>0.96959379999999995</v>
      </c>
      <c r="AB726">
        <v>55</v>
      </c>
      <c r="AC726">
        <v>15.721699999999901</v>
      </c>
      <c r="AD726">
        <v>-1.109549137663</v>
      </c>
      <c r="AE726">
        <v>-4.1159999999999801</v>
      </c>
      <c r="AF726">
        <v>4.0396573180992998</v>
      </c>
      <c r="AG726">
        <v>-1.109549137663</v>
      </c>
      <c r="AH726">
        <v>15.6636325956419</v>
      </c>
      <c r="AI726">
        <v>93.923864288110906</v>
      </c>
      <c r="AJ726">
        <v>75.538521579936301</v>
      </c>
      <c r="AK726">
        <v>16.2141702417304</v>
      </c>
    </row>
    <row r="727" spans="1:37" x14ac:dyDescent="0.2">
      <c r="A727" t="str">
        <f>"20200111154040087"</f>
        <v>20200111154040087</v>
      </c>
      <c r="B727" t="str">
        <f>"1578728440077211"</f>
        <v>1578728440077211</v>
      </c>
      <c r="C727" t="s">
        <v>37</v>
      </c>
      <c r="D727">
        <v>5.4100269999999897</v>
      </c>
      <c r="E727">
        <v>0.58064759999999904</v>
      </c>
      <c r="F727" t="s">
        <v>39</v>
      </c>
      <c r="G727">
        <v>-212.2936</v>
      </c>
      <c r="H727" s="1">
        <v>-4.268989E-6</v>
      </c>
      <c r="I727">
        <v>364.08789999999999</v>
      </c>
      <c r="J727">
        <v>-227.81790000000001</v>
      </c>
      <c r="K727">
        <v>1.1095660000000001</v>
      </c>
      <c r="L727">
        <v>368.21440000000001</v>
      </c>
      <c r="M727">
        <v>0.9996216</v>
      </c>
      <c r="N727">
        <v>0</v>
      </c>
      <c r="O727">
        <v>-4.6367930000000002E-3</v>
      </c>
      <c r="P727">
        <v>0.99837500000000001</v>
      </c>
      <c r="Q727">
        <v>3.8661559999999998E-2</v>
      </c>
      <c r="R727">
        <v>-4.186819E-2</v>
      </c>
      <c r="S727">
        <v>2.9822690000000001</v>
      </c>
      <c r="T727">
        <v>-0.2065207</v>
      </c>
      <c r="U727">
        <v>-0.76855469999999904</v>
      </c>
      <c r="V727">
        <v>3.7504210000000003E-2</v>
      </c>
      <c r="W727">
        <v>6.5578410000000004E-2</v>
      </c>
      <c r="X727">
        <v>0.99714239999999998</v>
      </c>
      <c r="Y727">
        <v>0.244521299999999</v>
      </c>
      <c r="Z727">
        <v>-8.0052660000000005E-3</v>
      </c>
      <c r="AA727">
        <v>0.96961090000000005</v>
      </c>
      <c r="AB727">
        <v>55</v>
      </c>
      <c r="AC727">
        <v>15.5243</v>
      </c>
      <c r="AD727">
        <v>-1.1095702689889999</v>
      </c>
      <c r="AE727">
        <v>-4.1265000000000196</v>
      </c>
      <c r="AF727">
        <v>4.0351930730018699</v>
      </c>
      <c r="AG727">
        <v>-1.1095702689889999</v>
      </c>
      <c r="AH727">
        <v>15.4694643824156</v>
      </c>
      <c r="AI727">
        <v>93.970197371573704</v>
      </c>
      <c r="AJ727">
        <v>75.380233545508901</v>
      </c>
      <c r="AK727">
        <v>16.025550149590899</v>
      </c>
    </row>
    <row r="728" spans="1:37" x14ac:dyDescent="0.2">
      <c r="A728" t="str">
        <f>"20200111154040101"</f>
        <v>20200111154040101</v>
      </c>
      <c r="B728" t="str">
        <f>"1578728440096729"</f>
        <v>1578728440096729</v>
      </c>
      <c r="C728" t="s">
        <v>37</v>
      </c>
      <c r="D728">
        <v>5.3869689999999997</v>
      </c>
      <c r="E728">
        <v>0.58083359999999995</v>
      </c>
      <c r="F728" t="s">
        <v>39</v>
      </c>
      <c r="G728">
        <v>-211.85579999999999</v>
      </c>
      <c r="H728" s="1">
        <v>-4.4618030000000001E-6</v>
      </c>
      <c r="I728">
        <v>364.0598</v>
      </c>
      <c r="J728">
        <v>-227.4872</v>
      </c>
      <c r="K728">
        <v>1.1095889999999999</v>
      </c>
      <c r="L728">
        <v>368.2124</v>
      </c>
      <c r="M728">
        <v>0.99961919999999904</v>
      </c>
      <c r="N728">
        <v>0</v>
      </c>
      <c r="O728">
        <v>-5.2821650000000001E-3</v>
      </c>
      <c r="P728">
        <v>0.99833669999999997</v>
      </c>
      <c r="Q728">
        <v>3.8149820000000001E-2</v>
      </c>
      <c r="R728">
        <v>-4.3227710000000003E-2</v>
      </c>
      <c r="S728">
        <v>2.9803769999999998</v>
      </c>
      <c r="T728">
        <v>-0.2071741</v>
      </c>
      <c r="U728">
        <v>-0.77572629999999998</v>
      </c>
      <c r="V728">
        <v>3.821488E-2</v>
      </c>
      <c r="W728">
        <v>6.5027409999999994E-2</v>
      </c>
      <c r="X728">
        <v>0.99715149999999997</v>
      </c>
      <c r="Y728">
        <v>0.2462242</v>
      </c>
      <c r="Z728">
        <v>-8.0471550000000003E-3</v>
      </c>
      <c r="AA728">
        <v>0.96917949999999997</v>
      </c>
      <c r="AB728">
        <v>55</v>
      </c>
      <c r="AC728">
        <v>15.631399999999999</v>
      </c>
      <c r="AD728">
        <v>-1.1095934618029999</v>
      </c>
      <c r="AE728">
        <v>-4.1525999999999996</v>
      </c>
      <c r="AF728">
        <v>4.05087787540453</v>
      </c>
      <c r="AG728">
        <v>-1.1095934618029999</v>
      </c>
      <c r="AH728">
        <v>15.5797953126708</v>
      </c>
      <c r="AI728">
        <v>93.9430585091757</v>
      </c>
      <c r="AJ728">
        <v>75.425332222054394</v>
      </c>
      <c r="AK728">
        <v>16.1360103866053</v>
      </c>
    </row>
    <row r="729" spans="1:37" x14ac:dyDescent="0.2">
      <c r="A729" t="str">
        <f>"20200111154040113"</f>
        <v>20200111154040113</v>
      </c>
      <c r="B729" t="str">
        <f>"1578728440107468"</f>
        <v>1578728440107468</v>
      </c>
      <c r="C729" t="s">
        <v>37</v>
      </c>
      <c r="D729">
        <v>5.417567</v>
      </c>
      <c r="E729">
        <v>0.58088390000000001</v>
      </c>
      <c r="F729" t="s">
        <v>39</v>
      </c>
      <c r="G729">
        <v>-211.53</v>
      </c>
      <c r="H729" s="1">
        <v>-4.6074059999999999E-6</v>
      </c>
      <c r="I729">
        <v>364.02699999999999</v>
      </c>
      <c r="J729">
        <v>-227.20769999999999</v>
      </c>
      <c r="K729">
        <v>1.109607</v>
      </c>
      <c r="L729">
        <v>368.21039999999999</v>
      </c>
      <c r="M729">
        <v>0.99961719999999898</v>
      </c>
      <c r="N729">
        <v>0</v>
      </c>
      <c r="O729">
        <v>-5.8218509999999899E-3</v>
      </c>
      <c r="P729">
        <v>0.99828549999999905</v>
      </c>
      <c r="Q729">
        <v>3.792334E-2</v>
      </c>
      <c r="R729">
        <v>-4.4586519999999998E-2</v>
      </c>
      <c r="S729">
        <v>2.979095</v>
      </c>
      <c r="T729">
        <v>-0.2071518</v>
      </c>
      <c r="U729">
        <v>-0.78137209999999901</v>
      </c>
      <c r="V729">
        <v>3.9031980000000001E-2</v>
      </c>
      <c r="W729">
        <v>6.4768069999999997E-2</v>
      </c>
      <c r="X729">
        <v>0.99713669999999999</v>
      </c>
      <c r="Y729">
        <v>0.24751999999999999</v>
      </c>
      <c r="Z729">
        <v>-8.05513699999999E-3</v>
      </c>
      <c r="AA729">
        <v>0.96884930000000002</v>
      </c>
      <c r="AB729">
        <v>55</v>
      </c>
      <c r="AC729">
        <v>15.6776999999999</v>
      </c>
      <c r="AD729">
        <v>-1.1096116074060001</v>
      </c>
      <c r="AE729">
        <v>-4.1833999999999998</v>
      </c>
      <c r="AF729">
        <v>4.0729758072298097</v>
      </c>
      <c r="AG729">
        <v>-1.1096116074060001</v>
      </c>
      <c r="AH729">
        <v>15.628713032789101</v>
      </c>
      <c r="AI729">
        <v>93.930246369216306</v>
      </c>
      <c r="AJ729">
        <v>75.393130576706795</v>
      </c>
      <c r="AK729">
        <v>16.188793682879599</v>
      </c>
    </row>
    <row r="730" spans="1:37" x14ac:dyDescent="0.2">
      <c r="A730" t="str">
        <f>"20200111154040126"</f>
        <v>20200111154040126</v>
      </c>
      <c r="B730" t="str">
        <f>"1578728440117227"</f>
        <v>1578728440117227</v>
      </c>
      <c r="C730" t="s">
        <v>37</v>
      </c>
      <c r="D730">
        <v>5.4219200000000001</v>
      </c>
      <c r="E730">
        <v>0.58098309999999997</v>
      </c>
      <c r="F730" t="s">
        <v>39</v>
      </c>
      <c r="G730">
        <v>-211.28630000000001</v>
      </c>
      <c r="H730" s="1">
        <v>-4.7151220000000002E-6</v>
      </c>
      <c r="I730">
        <v>364.00909999999999</v>
      </c>
      <c r="J730">
        <v>-226.86500000000001</v>
      </c>
      <c r="K730">
        <v>1.1096280000000001</v>
      </c>
      <c r="L730">
        <v>368.2079</v>
      </c>
      <c r="M730">
        <v>0.999613999999999</v>
      </c>
      <c r="N730">
        <v>0</v>
      </c>
      <c r="O730">
        <v>-6.4795579999999998E-3</v>
      </c>
      <c r="P730">
        <v>0.99821859999999996</v>
      </c>
      <c r="Q730">
        <v>3.797213E-2</v>
      </c>
      <c r="R730">
        <v>-4.6020459999999999E-2</v>
      </c>
      <c r="S730">
        <v>2.977951</v>
      </c>
      <c r="T730">
        <v>-0.20754220000000001</v>
      </c>
      <c r="U730">
        <v>-0.78582759999999996</v>
      </c>
      <c r="V730">
        <v>3.9806500000000002E-2</v>
      </c>
      <c r="W730">
        <v>6.4778550000000004E-2</v>
      </c>
      <c r="X730">
        <v>0.99710540000000003</v>
      </c>
      <c r="Y730">
        <v>0.2483271</v>
      </c>
      <c r="Z730">
        <v>-8.0543779999999992E-3</v>
      </c>
      <c r="AA730">
        <v>0.96864280000000003</v>
      </c>
      <c r="AB730">
        <v>55</v>
      </c>
      <c r="AC730">
        <v>15.5786999999999</v>
      </c>
      <c r="AD730">
        <v>-1.109632715122</v>
      </c>
      <c r="AE730">
        <v>-4.1988000000000003</v>
      </c>
      <c r="AF730">
        <v>4.0784416976801401</v>
      </c>
      <c r="AG730">
        <v>-1.109632715122</v>
      </c>
      <c r="AH730">
        <v>15.532125434825801</v>
      </c>
      <c r="AI730">
        <v>93.9527811526157</v>
      </c>
      <c r="AJ730">
        <v>75.287352096234997</v>
      </c>
      <c r="AK730">
        <v>16.0969528783247</v>
      </c>
    </row>
    <row r="731" spans="1:37" x14ac:dyDescent="0.2">
      <c r="A731" t="str">
        <f>"20200111154040139"</f>
        <v>20200111154040139</v>
      </c>
      <c r="B731" t="str">
        <f>"1578728440136746"</f>
        <v>1578728440136746</v>
      </c>
      <c r="C731" t="s">
        <v>37</v>
      </c>
      <c r="D731">
        <v>5.3990650000000002</v>
      </c>
      <c r="E731">
        <v>0.58113649999999994</v>
      </c>
      <c r="F731" t="s">
        <v>39</v>
      </c>
      <c r="G731">
        <v>-210.85720000000001</v>
      </c>
      <c r="H731" s="1">
        <v>-4.9087720000000004E-6</v>
      </c>
      <c r="I731">
        <v>363.95510000000002</v>
      </c>
      <c r="J731">
        <v>-226.5506</v>
      </c>
      <c r="K731">
        <v>1.1096489999999899</v>
      </c>
      <c r="L731">
        <v>368.2054</v>
      </c>
      <c r="M731">
        <v>0.99961069999999996</v>
      </c>
      <c r="N731">
        <v>0</v>
      </c>
      <c r="O731">
        <v>-7.0783699999999996E-3</v>
      </c>
      <c r="P731">
        <v>0.99813339999999995</v>
      </c>
      <c r="Q731">
        <v>3.8263999999999999E-2</v>
      </c>
      <c r="R731">
        <v>-4.7598599999999998E-2</v>
      </c>
      <c r="S731">
        <v>2.9767610000000002</v>
      </c>
      <c r="T731">
        <v>-0.20634279999999999</v>
      </c>
      <c r="U731">
        <v>-0.79083249999999905</v>
      </c>
      <c r="V731">
        <v>4.0785710000000003E-2</v>
      </c>
      <c r="W731">
        <v>6.5035969999999999E-2</v>
      </c>
      <c r="X731">
        <v>0.99704910000000002</v>
      </c>
      <c r="Y731">
        <v>0.24936929999999999</v>
      </c>
      <c r="Z731">
        <v>-8.0040530000000006E-3</v>
      </c>
      <c r="AA731">
        <v>0.9683754</v>
      </c>
      <c r="AB731">
        <v>55</v>
      </c>
      <c r="AC731">
        <v>15.693399999999899</v>
      </c>
      <c r="AD731">
        <v>-1.1096539087720001</v>
      </c>
      <c r="AE731">
        <v>-4.2502999999999798</v>
      </c>
      <c r="AF731">
        <v>4.1198788884877198</v>
      </c>
      <c r="AG731">
        <v>-1.1096539087720001</v>
      </c>
      <c r="AH731">
        <v>15.6502041001823</v>
      </c>
      <c r="AI731">
        <v>93.922485106479897</v>
      </c>
      <c r="AJ731">
        <v>75.251629669070297</v>
      </c>
      <c r="AK731">
        <v>16.221393966932201</v>
      </c>
    </row>
    <row r="732" spans="1:37" x14ac:dyDescent="0.2">
      <c r="A732" t="str">
        <f>"20200111154040153"</f>
        <v>20200111154040153</v>
      </c>
      <c r="B732" t="str">
        <f>"1578728440147482"</f>
        <v>1578728440147482</v>
      </c>
      <c r="C732" t="s">
        <v>37</v>
      </c>
      <c r="D732">
        <v>5.4265889999999999</v>
      </c>
      <c r="E732">
        <v>0.58122810000000003</v>
      </c>
      <c r="F732" t="s">
        <v>39</v>
      </c>
      <c r="G732">
        <v>-210.37649999999999</v>
      </c>
      <c r="H732" s="1">
        <v>-5.12931E-6</v>
      </c>
      <c r="I732">
        <v>363.87439999999998</v>
      </c>
      <c r="J732">
        <v>-226.2414</v>
      </c>
      <c r="K732">
        <v>1.1096709999999901</v>
      </c>
      <c r="L732">
        <v>368.20280000000002</v>
      </c>
      <c r="M732">
        <v>0.99960729999999998</v>
      </c>
      <c r="N732">
        <v>0</v>
      </c>
      <c r="O732">
        <v>-7.6624019999999996E-3</v>
      </c>
      <c r="P732">
        <v>0.99804590000000004</v>
      </c>
      <c r="Q732">
        <v>3.8708260000000001E-2</v>
      </c>
      <c r="R732">
        <v>-4.905549E-2</v>
      </c>
      <c r="S732">
        <v>2.9754330000000002</v>
      </c>
      <c r="T732">
        <v>-0.20413480000000001</v>
      </c>
      <c r="U732">
        <v>-0.79675289999999999</v>
      </c>
      <c r="V732">
        <v>4.165903E-2</v>
      </c>
      <c r="W732">
        <v>6.5443749999999995E-2</v>
      </c>
      <c r="X732">
        <v>0.99698629999999999</v>
      </c>
      <c r="Y732">
        <v>0.25071919999999998</v>
      </c>
      <c r="Z732">
        <v>-7.9261390000000004E-3</v>
      </c>
      <c r="AA732">
        <v>0.96802739999999998</v>
      </c>
      <c r="AB732">
        <v>55</v>
      </c>
      <c r="AC732">
        <v>15.8649</v>
      </c>
      <c r="AD732">
        <v>-1.1096761293099999</v>
      </c>
      <c r="AE732">
        <v>-4.3284000000000402</v>
      </c>
      <c r="AF732">
        <v>4.1875975355036399</v>
      </c>
      <c r="AG732">
        <v>-1.1096761293099999</v>
      </c>
      <c r="AH732">
        <v>15.8255515751398</v>
      </c>
      <c r="AI732">
        <v>93.877935022448796</v>
      </c>
      <c r="AJ732">
        <v>75.178659715255904</v>
      </c>
      <c r="AK732">
        <v>16.407785861862301</v>
      </c>
    </row>
    <row r="733" spans="1:37" x14ac:dyDescent="0.2">
      <c r="A733" t="str">
        <f>"20200111154040166"</f>
        <v>20200111154040166</v>
      </c>
      <c r="B733" t="str">
        <f>"1578728440157242"</f>
        <v>1578728440157242</v>
      </c>
      <c r="C733" t="s">
        <v>37</v>
      </c>
      <c r="D733">
        <v>5.4037610000000003</v>
      </c>
      <c r="E733">
        <v>0.58134589999999997</v>
      </c>
      <c r="F733" t="s">
        <v>42</v>
      </c>
      <c r="G733">
        <v>-209.90530000000001</v>
      </c>
      <c r="H733" s="1">
        <v>-6.1619399999999997E-6</v>
      </c>
      <c r="I733">
        <v>363.79930000000002</v>
      </c>
      <c r="J733">
        <v>-225.91839999999999</v>
      </c>
      <c r="K733">
        <v>1.109699</v>
      </c>
      <c r="L733">
        <v>368.19979999999998</v>
      </c>
      <c r="M733">
        <v>0.99960349999999998</v>
      </c>
      <c r="N733">
        <v>0</v>
      </c>
      <c r="O733">
        <v>-8.270098E-3</v>
      </c>
      <c r="P733">
        <v>0.99787239999999999</v>
      </c>
      <c r="Q733">
        <v>3.9241310000000001E-2</v>
      </c>
      <c r="R733">
        <v>-5.206504E-2</v>
      </c>
      <c r="S733">
        <v>2.97428899999999</v>
      </c>
      <c r="T733">
        <v>-0.202037299999999</v>
      </c>
      <c r="U733">
        <v>-0.80172730000000003</v>
      </c>
      <c r="V733">
        <v>4.4062440000000001E-2</v>
      </c>
      <c r="W733">
        <v>6.5930020000000006E-2</v>
      </c>
      <c r="X733">
        <v>0.99685089999999998</v>
      </c>
      <c r="Y733">
        <v>0.25174350000000001</v>
      </c>
      <c r="Z733">
        <v>-7.8397580000000005E-3</v>
      </c>
      <c r="AA733">
        <v>0.96776219999999902</v>
      </c>
      <c r="AB733">
        <v>54</v>
      </c>
      <c r="AC733">
        <v>16.013099999999898</v>
      </c>
      <c r="AD733">
        <v>-1.10970516194</v>
      </c>
      <c r="AE733">
        <v>-4.4004999999999601</v>
      </c>
      <c r="AF733">
        <v>4.2488990732982304</v>
      </c>
      <c r="AG733">
        <v>-1.10970516194</v>
      </c>
      <c r="AH733">
        <v>15.977613586788999</v>
      </c>
      <c r="AI733">
        <v>93.839988085428601</v>
      </c>
      <c r="AJ733">
        <v>75.108088549247299</v>
      </c>
      <c r="AK733">
        <v>16.570115413305199</v>
      </c>
    </row>
    <row r="734" spans="1:37" x14ac:dyDescent="0.2">
      <c r="A734" t="str">
        <f>"20200111154040179"</f>
        <v>20200111154040179</v>
      </c>
      <c r="B734" t="str">
        <f>"1578728440167002"</f>
        <v>1578728440167002</v>
      </c>
      <c r="C734" t="s">
        <v>37</v>
      </c>
      <c r="D734">
        <v>5.4247819999999898</v>
      </c>
      <c r="E734">
        <v>0.58148290000000002</v>
      </c>
      <c r="F734" t="s">
        <v>42</v>
      </c>
      <c r="G734">
        <v>-209.4076</v>
      </c>
      <c r="H734" s="1">
        <v>-6.0124999999999996E-6</v>
      </c>
      <c r="I734">
        <v>363.68939999999998</v>
      </c>
      <c r="J734">
        <v>-225.5994</v>
      </c>
      <c r="K734">
        <v>1.10972</v>
      </c>
      <c r="L734">
        <v>368.19670000000002</v>
      </c>
      <c r="M734">
        <v>0.99959929999999997</v>
      </c>
      <c r="N734">
        <v>0</v>
      </c>
      <c r="O734">
        <v>-8.8671930000000006E-3</v>
      </c>
      <c r="P734">
        <v>0.99776549999999997</v>
      </c>
      <c r="Q734">
        <v>3.949093E-2</v>
      </c>
      <c r="R734">
        <v>-5.3894879999999999E-2</v>
      </c>
      <c r="S734">
        <v>2.9718930000000001</v>
      </c>
      <c r="T734">
        <v>-0.19974330000000001</v>
      </c>
      <c r="U734">
        <v>-0.81185909999999994</v>
      </c>
      <c r="V734">
        <v>4.5295309999999998E-2</v>
      </c>
      <c r="W734">
        <v>6.6137000000000001E-2</v>
      </c>
      <c r="X734">
        <v>0.9967819</v>
      </c>
      <c r="Y734">
        <v>0.25444050000000001</v>
      </c>
      <c r="Z734">
        <v>-7.8031169999999896E-3</v>
      </c>
      <c r="AA734">
        <v>0.9670569</v>
      </c>
      <c r="AB734">
        <v>54</v>
      </c>
      <c r="AC734">
        <v>16.191800000000001</v>
      </c>
      <c r="AD734">
        <v>-1.1097260124999999</v>
      </c>
      <c r="AE734">
        <v>-4.5073000000000398</v>
      </c>
      <c r="AF734">
        <v>4.3445552315351801</v>
      </c>
      <c r="AG734">
        <v>-1.1097260124999999</v>
      </c>
      <c r="AH734">
        <v>16.160693344317899</v>
      </c>
      <c r="AI734">
        <v>93.793940467999604</v>
      </c>
      <c r="AJ734">
        <v>74.9526730191795</v>
      </c>
      <c r="AK734">
        <v>16.771245074584002</v>
      </c>
    </row>
    <row r="735" spans="1:37" x14ac:dyDescent="0.2">
      <c r="A735" t="str">
        <f>"20200111154040192"</f>
        <v>20200111154040192</v>
      </c>
      <c r="B735" t="str">
        <f>"1578728440186598"</f>
        <v>1578728440186598</v>
      </c>
      <c r="C735" t="s">
        <v>37</v>
      </c>
      <c r="D735">
        <v>5.4368860000000003</v>
      </c>
      <c r="E735">
        <v>0.58167650000000004</v>
      </c>
      <c r="F735" t="s">
        <v>42</v>
      </c>
      <c r="G735">
        <v>-209.0136</v>
      </c>
      <c r="H735" s="1">
        <v>-5.8902349999999999E-6</v>
      </c>
      <c r="I735">
        <v>363.62790000000001</v>
      </c>
      <c r="J735">
        <v>-225.29929999999999</v>
      </c>
      <c r="K735">
        <v>1.1097410000000001</v>
      </c>
      <c r="L735">
        <v>368.1936</v>
      </c>
      <c r="M735">
        <v>0.99959519999999902</v>
      </c>
      <c r="N735">
        <v>0</v>
      </c>
      <c r="O735">
        <v>-9.427431E-3</v>
      </c>
      <c r="P735">
        <v>0.99765339999999902</v>
      </c>
      <c r="Q735">
        <v>3.9522519999999998E-2</v>
      </c>
      <c r="R735">
        <v>-5.5908310000000003E-2</v>
      </c>
      <c r="S735">
        <v>2.970383</v>
      </c>
      <c r="T735">
        <v>-0.19874320000000001</v>
      </c>
      <c r="U735">
        <v>-0.81823729999999995</v>
      </c>
      <c r="V735">
        <v>4.6748140000000001E-2</v>
      </c>
      <c r="W735">
        <v>6.6127950000000005E-2</v>
      </c>
      <c r="X735">
        <v>0.99671549999999998</v>
      </c>
      <c r="Y735">
        <v>0.2559575</v>
      </c>
      <c r="Z735">
        <v>-7.7787910000000002E-3</v>
      </c>
      <c r="AA735">
        <v>0.96665669999999904</v>
      </c>
      <c r="AB735">
        <v>54</v>
      </c>
      <c r="AC735">
        <v>16.285699999999899</v>
      </c>
      <c r="AD735">
        <v>-1.1097468902350001</v>
      </c>
      <c r="AE735">
        <v>-4.5656999999999899</v>
      </c>
      <c r="AF735">
        <v>4.3929973182507398</v>
      </c>
      <c r="AG735">
        <v>-1.1097468902350001</v>
      </c>
      <c r="AH735">
        <v>16.258042743065701</v>
      </c>
      <c r="AI735">
        <v>93.770065594668196</v>
      </c>
      <c r="AJ735">
        <v>74.879501273068101</v>
      </c>
      <c r="AK735">
        <v>16.877615869366601</v>
      </c>
    </row>
    <row r="736" spans="1:37" x14ac:dyDescent="0.2">
      <c r="A736" t="str">
        <f>"20200111154040205"</f>
        <v>20200111154040205</v>
      </c>
      <c r="B736" t="str">
        <f>"1578728440197334"</f>
        <v>1578728440197334</v>
      </c>
      <c r="C736" t="s">
        <v>37</v>
      </c>
      <c r="D736">
        <v>5.4629269999999996</v>
      </c>
      <c r="E736">
        <v>0.58176539999999999</v>
      </c>
      <c r="F736" t="s">
        <v>42</v>
      </c>
      <c r="G736">
        <v>-208.66149999999999</v>
      </c>
      <c r="H736" s="1">
        <v>-5.7819590000000002E-6</v>
      </c>
      <c r="I736">
        <v>363.56639999999999</v>
      </c>
      <c r="J736">
        <v>-224.9836</v>
      </c>
      <c r="K736">
        <v>1.109756</v>
      </c>
      <c r="L736">
        <v>368.1902</v>
      </c>
      <c r="M736">
        <v>0.99959039999999999</v>
      </c>
      <c r="N736">
        <v>0</v>
      </c>
      <c r="O736">
        <v>-1.001782E-2</v>
      </c>
      <c r="P736">
        <v>0.99753210000000003</v>
      </c>
      <c r="Q736">
        <v>3.9708439999999998E-2</v>
      </c>
      <c r="R736">
        <v>-5.7906340000000001E-2</v>
      </c>
      <c r="S736">
        <v>2.9686279999999998</v>
      </c>
      <c r="T736">
        <v>-0.19800789999999999</v>
      </c>
      <c r="U736">
        <v>-0.82562259999999998</v>
      </c>
      <c r="V736">
        <v>4.8156490000000003E-2</v>
      </c>
      <c r="W736">
        <v>6.6272120000000004E-2</v>
      </c>
      <c r="X736">
        <v>0.99663880000000005</v>
      </c>
      <c r="Y736">
        <v>0.25776719999999997</v>
      </c>
      <c r="Z736">
        <v>-7.7725429999999998E-3</v>
      </c>
      <c r="AA736">
        <v>0.96617580000000003</v>
      </c>
      <c r="AB736">
        <v>54</v>
      </c>
      <c r="AC736">
        <v>16.322099999999999</v>
      </c>
      <c r="AD736">
        <v>-1.109761781959</v>
      </c>
      <c r="AE736">
        <v>-4.6238000000000099</v>
      </c>
      <c r="AF736">
        <v>4.4409923722567299</v>
      </c>
      <c r="AG736">
        <v>-1.109761781959</v>
      </c>
      <c r="AH736">
        <v>16.297872272287002</v>
      </c>
      <c r="AI736">
        <v>93.758764266053305</v>
      </c>
      <c r="AJ736">
        <v>74.757584186610998</v>
      </c>
      <c r="AK736">
        <v>16.928515146548499</v>
      </c>
    </row>
    <row r="737" spans="1:37" x14ac:dyDescent="0.2">
      <c r="A737" t="str">
        <f>"20200111154040216"</f>
        <v>20200111154040216</v>
      </c>
      <c r="B737" t="str">
        <f>"1578728440207094"</f>
        <v>1578728440207094</v>
      </c>
      <c r="C737" t="s">
        <v>37</v>
      </c>
      <c r="D737">
        <v>5.4766180000000002</v>
      </c>
      <c r="E737">
        <v>0.58184089999999999</v>
      </c>
      <c r="F737" t="s">
        <v>42</v>
      </c>
      <c r="G737">
        <v>-208.34360000000001</v>
      </c>
      <c r="H737" s="1">
        <v>-5.6820879999999999E-6</v>
      </c>
      <c r="I737">
        <v>363.52449999999999</v>
      </c>
      <c r="J737">
        <v>-224.6919</v>
      </c>
      <c r="K737">
        <v>1.109772</v>
      </c>
      <c r="L737">
        <v>368.18680000000001</v>
      </c>
      <c r="M737">
        <v>0.99958549999999902</v>
      </c>
      <c r="N737">
        <v>0</v>
      </c>
      <c r="O737">
        <v>-1.057053E-2</v>
      </c>
      <c r="P737">
        <v>0.99741440000000003</v>
      </c>
      <c r="Q737">
        <v>3.9686340000000001E-2</v>
      </c>
      <c r="R737">
        <v>-5.991254E-2</v>
      </c>
      <c r="S737">
        <v>2.9669949999999998</v>
      </c>
      <c r="T737">
        <v>-0.1978763</v>
      </c>
      <c r="U737">
        <v>-0.83190919999999902</v>
      </c>
      <c r="V737">
        <v>4.9610120000000001E-2</v>
      </c>
      <c r="W737">
        <v>6.6211699999999998E-2</v>
      </c>
      <c r="X737">
        <v>0.99657150000000005</v>
      </c>
      <c r="Y737">
        <v>0.25926749999999998</v>
      </c>
      <c r="Z737">
        <v>-7.7822530000000003E-3</v>
      </c>
      <c r="AA737">
        <v>0.96577420000000003</v>
      </c>
      <c r="AB737">
        <v>54</v>
      </c>
      <c r="AC737">
        <v>16.348299999999899</v>
      </c>
      <c r="AD737">
        <v>-1.1097776820880001</v>
      </c>
      <c r="AE737">
        <v>-4.6623000000000099</v>
      </c>
      <c r="AF737">
        <v>4.4701174873067098</v>
      </c>
      <c r="AG737">
        <v>-1.1097776820880001</v>
      </c>
      <c r="AH737">
        <v>16.3271077508617</v>
      </c>
      <c r="AI737">
        <v>93.750874450082705</v>
      </c>
      <c r="AJ737">
        <v>74.6884878092349</v>
      </c>
      <c r="AK737">
        <v>16.9643156172666</v>
      </c>
    </row>
    <row r="738" spans="1:37" x14ac:dyDescent="0.2">
      <c r="A738" t="str">
        <f>"20200111154040230"</f>
        <v>20200111154040230</v>
      </c>
      <c r="B738" t="str">
        <f>"1578728440226614"</f>
        <v>1578728440226614</v>
      </c>
      <c r="C738" t="s">
        <v>37</v>
      </c>
      <c r="D738">
        <v>5.4790109999999999</v>
      </c>
      <c r="E738">
        <v>0.58196110000000001</v>
      </c>
      <c r="F738" t="s">
        <v>42</v>
      </c>
      <c r="G738">
        <v>-208.07040000000001</v>
      </c>
      <c r="H738" s="1">
        <v>-5.5967039999999901E-6</v>
      </c>
      <c r="I738">
        <v>363.48559999999998</v>
      </c>
      <c r="J738">
        <v>-224.3946</v>
      </c>
      <c r="K738">
        <v>1.1097840000000001</v>
      </c>
      <c r="L738">
        <v>368.18310000000002</v>
      </c>
      <c r="M738">
        <v>0.99958009999999997</v>
      </c>
      <c r="N738">
        <v>0</v>
      </c>
      <c r="O738">
        <v>-1.114631E-2</v>
      </c>
      <c r="P738">
        <v>0.99728459999999997</v>
      </c>
      <c r="Q738">
        <v>4.0060760000000001E-2</v>
      </c>
      <c r="R738">
        <v>-6.1795009999999997E-2</v>
      </c>
      <c r="S738">
        <v>2.9652859999999999</v>
      </c>
      <c r="T738">
        <v>-0.19798460000000001</v>
      </c>
      <c r="U738">
        <v>-0.83868410000000004</v>
      </c>
      <c r="V738">
        <v>5.0920010000000002E-2</v>
      </c>
      <c r="W738">
        <v>6.6547120000000001E-2</v>
      </c>
      <c r="X738">
        <v>0.99648309999999996</v>
      </c>
      <c r="Y738">
        <v>0.26089699999999999</v>
      </c>
      <c r="Z738">
        <v>-7.8041059999999999E-3</v>
      </c>
      <c r="AA738">
        <v>0.9653351</v>
      </c>
      <c r="AB738">
        <v>54</v>
      </c>
      <c r="AC738">
        <v>16.324199999999902</v>
      </c>
      <c r="AD738">
        <v>-1.1097895967039999</v>
      </c>
      <c r="AE738">
        <v>-4.6975000000000398</v>
      </c>
      <c r="AF738">
        <v>4.4959974956693598</v>
      </c>
      <c r="AG738">
        <v>-1.1097895967039999</v>
      </c>
      <c r="AH738">
        <v>16.3059631600213</v>
      </c>
      <c r="AI738">
        <v>93.753906950608098</v>
      </c>
      <c r="AJ738">
        <v>74.585020110119999</v>
      </c>
      <c r="AK738">
        <v>16.950812989529201</v>
      </c>
    </row>
    <row r="739" spans="1:37" x14ac:dyDescent="0.2">
      <c r="A739" t="str">
        <f>"20200111154040245"</f>
        <v>20200111154040245</v>
      </c>
      <c r="B739" t="str">
        <f>"1578728440237350"</f>
        <v>1578728440237350</v>
      </c>
      <c r="C739" t="s">
        <v>37</v>
      </c>
      <c r="D739">
        <v>5.4896409999999998</v>
      </c>
      <c r="E739">
        <v>0.58203769999999999</v>
      </c>
      <c r="F739" t="s">
        <v>42</v>
      </c>
      <c r="G739">
        <v>-207.68170000000001</v>
      </c>
      <c r="H739" s="1">
        <v>-5.4771160000000001E-6</v>
      </c>
      <c r="I739">
        <v>363.41820000000001</v>
      </c>
      <c r="J739">
        <v>-224.02789999999999</v>
      </c>
      <c r="K739">
        <v>1.1097900000000001</v>
      </c>
      <c r="L739">
        <v>368.17849999999999</v>
      </c>
      <c r="M739">
        <v>0.99957280000000004</v>
      </c>
      <c r="N739">
        <v>0</v>
      </c>
      <c r="O739">
        <v>-1.187709E-2</v>
      </c>
      <c r="P739">
        <v>0.99700900000000003</v>
      </c>
      <c r="Q739">
        <v>4.1235920000000002E-2</v>
      </c>
      <c r="R739">
        <v>-6.5365610000000005E-2</v>
      </c>
      <c r="S739">
        <v>2.9637150000000001</v>
      </c>
      <c r="T739">
        <v>-0.1967999</v>
      </c>
      <c r="U739">
        <v>-0.84497069999999996</v>
      </c>
      <c r="V739">
        <v>5.376885E-2</v>
      </c>
      <c r="W739">
        <v>6.7667069999999996E-2</v>
      </c>
      <c r="X739">
        <v>0.99625799999999998</v>
      </c>
      <c r="Y739">
        <v>0.26222479999999998</v>
      </c>
      <c r="Z739">
        <v>-7.7549300000000002E-3</v>
      </c>
      <c r="AA739">
        <v>0.96497569999999999</v>
      </c>
      <c r="AB739">
        <v>53</v>
      </c>
      <c r="AC739">
        <v>16.3461999999999</v>
      </c>
      <c r="AD739">
        <v>-1.1097954771159999</v>
      </c>
      <c r="AE739">
        <v>-4.7602999999999698</v>
      </c>
      <c r="AF739">
        <v>4.54643108318482</v>
      </c>
      <c r="AG739">
        <v>-1.1097954771159999</v>
      </c>
      <c r="AH739">
        <v>16.332207282203399</v>
      </c>
      <c r="AI739">
        <v>93.745369363271493</v>
      </c>
      <c r="AJ739">
        <v>74.444280166191305</v>
      </c>
      <c r="AK739">
        <v>16.989487228990601</v>
      </c>
    </row>
    <row r="740" spans="1:37" x14ac:dyDescent="0.2">
      <c r="A740" t="str">
        <f>"20200111154040257"</f>
        <v>20200111154040257</v>
      </c>
      <c r="B740" t="str">
        <f>"1578728440247111"</f>
        <v>1578728440247111</v>
      </c>
      <c r="C740" t="s">
        <v>37</v>
      </c>
      <c r="D740">
        <v>5.4788110000000003</v>
      </c>
      <c r="E740">
        <v>0.58210299999999904</v>
      </c>
      <c r="F740" t="s">
        <v>42</v>
      </c>
      <c r="G740">
        <v>-207.02520000000001</v>
      </c>
      <c r="H740" s="1">
        <v>-5.2816350000000003E-6</v>
      </c>
      <c r="I740">
        <v>363.2629</v>
      </c>
      <c r="J740">
        <v>-223.72389999999999</v>
      </c>
      <c r="K740">
        <v>1.109775</v>
      </c>
      <c r="L740">
        <v>368.17430000000002</v>
      </c>
      <c r="M740">
        <v>0.99956579999999995</v>
      </c>
      <c r="N740">
        <v>0</v>
      </c>
      <c r="O740">
        <v>-1.252381E-2</v>
      </c>
      <c r="P740">
        <v>0.99683060000000001</v>
      </c>
      <c r="Q740">
        <v>4.2138929999999998E-2</v>
      </c>
      <c r="R740">
        <v>-6.7479449999999996E-2</v>
      </c>
      <c r="S740">
        <v>2.9608759999999998</v>
      </c>
      <c r="T740">
        <v>-0.19326170000000001</v>
      </c>
      <c r="U740">
        <v>-0.8560181</v>
      </c>
      <c r="V740">
        <v>5.5245460000000003E-2</v>
      </c>
      <c r="W740">
        <v>6.8528619999999998E-2</v>
      </c>
      <c r="X740">
        <v>0.99611839999999996</v>
      </c>
      <c r="Y740">
        <v>0.26518249999999999</v>
      </c>
      <c r="Z740">
        <v>-7.6721599999999999E-3</v>
      </c>
      <c r="AA740">
        <v>0.96416769999999996</v>
      </c>
      <c r="AB740">
        <v>53</v>
      </c>
      <c r="AC740">
        <v>16.698699999999899</v>
      </c>
      <c r="AD740">
        <v>-1.109780281635</v>
      </c>
      <c r="AE740">
        <v>-4.9114000000000102</v>
      </c>
      <c r="AF740">
        <v>4.6827725988239699</v>
      </c>
      <c r="AG740">
        <v>-1.109780281635</v>
      </c>
      <c r="AH740">
        <v>16.6910690777542</v>
      </c>
      <c r="AI740">
        <v>93.662946762387804</v>
      </c>
      <c r="AJ740">
        <v>74.3282395331494</v>
      </c>
      <c r="AK740">
        <v>17.371003380466099</v>
      </c>
    </row>
    <row r="741" spans="1:37" x14ac:dyDescent="0.2">
      <c r="A741" t="str">
        <f>"20200111154040271"</f>
        <v>20200111154040271</v>
      </c>
      <c r="B741" t="str">
        <f>"1578728440266630"</f>
        <v>1578728440266630</v>
      </c>
      <c r="C741" t="s">
        <v>37</v>
      </c>
      <c r="D741">
        <v>5.6673960000000001</v>
      </c>
      <c r="E741">
        <v>0.58173219999999903</v>
      </c>
      <c r="F741" t="s">
        <v>42</v>
      </c>
      <c r="G741">
        <v>-206.4462</v>
      </c>
      <c r="H741" s="1">
        <v>-5.0651049999999902E-6</v>
      </c>
      <c r="I741">
        <v>363.13749999999999</v>
      </c>
      <c r="J741">
        <v>-223.40950000000001</v>
      </c>
      <c r="K741">
        <v>1.109747</v>
      </c>
      <c r="L741">
        <v>368.16989999999998</v>
      </c>
      <c r="M741">
        <v>0.99955740000000004</v>
      </c>
      <c r="N741">
        <v>0</v>
      </c>
      <c r="O741">
        <v>-1.32359E-2</v>
      </c>
      <c r="P741">
        <v>0.99668780000000001</v>
      </c>
      <c r="Q741">
        <v>4.2427090000000001E-2</v>
      </c>
      <c r="R741">
        <v>-6.9382230000000003E-2</v>
      </c>
      <c r="S741">
        <v>2.9591669999999999</v>
      </c>
      <c r="T741">
        <v>-0.19007270000000001</v>
      </c>
      <c r="U741">
        <v>-0.86267090000000002</v>
      </c>
      <c r="V741">
        <v>5.6445820000000001E-2</v>
      </c>
      <c r="W741">
        <v>6.8775500000000003E-2</v>
      </c>
      <c r="X741">
        <v>0.99603399999999997</v>
      </c>
      <c r="Y741">
        <v>0.2666577</v>
      </c>
      <c r="Z741">
        <v>-7.5493080000000002E-3</v>
      </c>
      <c r="AA741">
        <v>0.96376170000000005</v>
      </c>
      <c r="AB741">
        <v>53</v>
      </c>
      <c r="AC741">
        <v>16.9633</v>
      </c>
      <c r="AD741">
        <v>-1.1097520651049999</v>
      </c>
      <c r="AE741">
        <v>-5.0323999999999902</v>
      </c>
      <c r="AF741">
        <v>4.7885181095041602</v>
      </c>
      <c r="AG741">
        <v>-1.1097520651049999</v>
      </c>
      <c r="AH741">
        <v>16.9617230660524</v>
      </c>
      <c r="AI741">
        <v>93.602914567343802</v>
      </c>
      <c r="AJ741">
        <v>74.234927001814995</v>
      </c>
      <c r="AK741">
        <v>17.659600921326302</v>
      </c>
    </row>
    <row r="742" spans="1:37" x14ac:dyDescent="0.2">
      <c r="A742" t="str">
        <f>"20200111154040285"</f>
        <v>20200111154040285</v>
      </c>
      <c r="B742" t="str">
        <f>"1578728440277366"</f>
        <v>1578728440277366</v>
      </c>
      <c r="C742" t="s">
        <v>37</v>
      </c>
      <c r="D742">
        <v>5.7064129999999897</v>
      </c>
      <c r="E742">
        <v>0.581349</v>
      </c>
      <c r="F742" t="s">
        <v>42</v>
      </c>
      <c r="G742">
        <v>-206.35390000000001</v>
      </c>
      <c r="H742" s="1">
        <v>-5.0125639999999999E-6</v>
      </c>
      <c r="I742">
        <v>363.18049999999999</v>
      </c>
      <c r="J742">
        <v>-223.0898</v>
      </c>
      <c r="K742">
        <v>1.109702</v>
      </c>
      <c r="L742">
        <v>368.16500000000002</v>
      </c>
      <c r="M742">
        <v>0.99954779999999999</v>
      </c>
      <c r="N742">
        <v>0</v>
      </c>
      <c r="O742">
        <v>-1.400094E-2</v>
      </c>
      <c r="P742">
        <v>0.99653740000000002</v>
      </c>
      <c r="Q742">
        <v>4.2414309999999997E-2</v>
      </c>
      <c r="R742">
        <v>-7.1515549999999997E-2</v>
      </c>
      <c r="S742">
        <v>2.9579469999999999</v>
      </c>
      <c r="T742">
        <v>-0.19246359999999901</v>
      </c>
      <c r="U742">
        <v>-0.86529539999999905</v>
      </c>
      <c r="V742">
        <v>5.7825199999999903E-2</v>
      </c>
      <c r="W742">
        <v>6.8718899999999999E-2</v>
      </c>
      <c r="X742">
        <v>0.99595879999999903</v>
      </c>
      <c r="Y742">
        <v>0.26680379999999998</v>
      </c>
      <c r="Z742">
        <v>-7.6021589999999998E-3</v>
      </c>
      <c r="AA742">
        <v>0.96372089999999999</v>
      </c>
      <c r="AB742">
        <v>53</v>
      </c>
      <c r="AC742">
        <v>16.735899999999901</v>
      </c>
      <c r="AD742">
        <v>-1.1097070125640001</v>
      </c>
      <c r="AE742">
        <v>-4.9845000000000201</v>
      </c>
      <c r="AF742">
        <v>4.7305060976098803</v>
      </c>
      <c r="AG742">
        <v>-1.1097070125640001</v>
      </c>
      <c r="AH742">
        <v>16.736482339949902</v>
      </c>
      <c r="AI742">
        <v>93.650807333716998</v>
      </c>
      <c r="AJ742">
        <v>74.217247406070001</v>
      </c>
      <c r="AK742">
        <v>17.427535072657601</v>
      </c>
    </row>
    <row r="743" spans="1:37" x14ac:dyDescent="0.2">
      <c r="A743" t="str">
        <f>"20200111154040297"</f>
        <v>20200111154040297</v>
      </c>
      <c r="B743" t="str">
        <f>"1578728440287126"</f>
        <v>1578728440287126</v>
      </c>
      <c r="C743" t="s">
        <v>37</v>
      </c>
      <c r="D743">
        <v>5.706391</v>
      </c>
      <c r="E743">
        <v>0.58098079999999996</v>
      </c>
      <c r="F743" t="s">
        <v>42</v>
      </c>
      <c r="G743">
        <v>-206.42070000000001</v>
      </c>
      <c r="H743" s="1">
        <v>-5.0245669999999999E-6</v>
      </c>
      <c r="I743">
        <v>363.26690000000002</v>
      </c>
      <c r="J743">
        <v>-222.78219999999999</v>
      </c>
      <c r="K743">
        <v>1.109631</v>
      </c>
      <c r="L743">
        <v>368.1601</v>
      </c>
      <c r="M743">
        <v>0.99953669999999994</v>
      </c>
      <c r="N743">
        <v>0</v>
      </c>
      <c r="O743">
        <v>-1.482227E-2</v>
      </c>
      <c r="P743">
        <v>0.99638649999999995</v>
      </c>
      <c r="Q743">
        <v>4.1967280000000003E-2</v>
      </c>
      <c r="R743">
        <v>-7.3843989999999998E-2</v>
      </c>
      <c r="S743">
        <v>2.9564509999999999</v>
      </c>
      <c r="T743">
        <v>-0.19681999999999999</v>
      </c>
      <c r="U743">
        <v>-0.86874390000000001</v>
      </c>
      <c r="V743">
        <v>5.9345839999999997E-2</v>
      </c>
      <c r="W743">
        <v>6.8221299999999999E-2</v>
      </c>
      <c r="X743">
        <v>0.9959036</v>
      </c>
      <c r="Y743">
        <v>0.26715650000000002</v>
      </c>
      <c r="Z743">
        <v>-7.7344390000000001E-3</v>
      </c>
      <c r="AA743">
        <v>0.96362209999999904</v>
      </c>
      <c r="AB743">
        <v>53</v>
      </c>
      <c r="AC743">
        <v>16.3614999999999</v>
      </c>
      <c r="AD743">
        <v>-1.1096360245670001</v>
      </c>
      <c r="AE743">
        <v>-4.89319999999997</v>
      </c>
      <c r="AF743">
        <v>4.6305120743387196</v>
      </c>
      <c r="AG743">
        <v>-1.1096360245670001</v>
      </c>
      <c r="AH743">
        <v>16.3631711522941</v>
      </c>
      <c r="AI743">
        <v>93.733297132612407</v>
      </c>
      <c r="AJ743">
        <v>74.199347205147404</v>
      </c>
      <c r="AK743">
        <v>17.041898495674801</v>
      </c>
    </row>
    <row r="744" spans="1:37" x14ac:dyDescent="0.2">
      <c r="A744" t="str">
        <f>"20200111154040311"</f>
        <v>20200111154040311</v>
      </c>
      <c r="B744" t="str">
        <f>"1578728440306646"</f>
        <v>1578728440306646</v>
      </c>
      <c r="C744" t="s">
        <v>37</v>
      </c>
      <c r="D744">
        <v>5.5649059999999997</v>
      </c>
      <c r="E744">
        <v>0.58104350000000005</v>
      </c>
      <c r="F744" t="s">
        <v>42</v>
      </c>
      <c r="G744">
        <v>-206.54859999999999</v>
      </c>
      <c r="H744" s="1">
        <v>-5.0624939999999996E-6</v>
      </c>
      <c r="I744">
        <v>363.36439999999999</v>
      </c>
      <c r="J744">
        <v>-222.46440000000001</v>
      </c>
      <c r="K744">
        <v>1.1095299999999999</v>
      </c>
      <c r="L744">
        <v>368.15460000000002</v>
      </c>
      <c r="M744">
        <v>0.9995233</v>
      </c>
      <c r="N744">
        <v>0</v>
      </c>
      <c r="O744">
        <v>-1.5754089999999998E-2</v>
      </c>
      <c r="P744">
        <v>0.99619210000000002</v>
      </c>
      <c r="Q744">
        <v>4.0206099999999897E-2</v>
      </c>
      <c r="R744">
        <v>-7.7359990000000003E-2</v>
      </c>
      <c r="S744">
        <v>2.9546969999999999</v>
      </c>
      <c r="T744">
        <v>-0.2019656</v>
      </c>
      <c r="U744">
        <v>-0.87286379999999997</v>
      </c>
      <c r="V744">
        <v>6.1942259999999999E-2</v>
      </c>
      <c r="W744">
        <v>6.6399159999999999E-2</v>
      </c>
      <c r="X744">
        <v>0.99586859999999999</v>
      </c>
      <c r="Y744">
        <v>0.2676229</v>
      </c>
      <c r="Z744">
        <v>-7.8925409999999994E-3</v>
      </c>
      <c r="AA744">
        <v>0.9634914</v>
      </c>
      <c r="AB744">
        <v>53</v>
      </c>
      <c r="AC744">
        <v>15.915800000000001</v>
      </c>
      <c r="AD744">
        <v>-1.1095350624939999</v>
      </c>
      <c r="AE744">
        <v>-4.79020000000002</v>
      </c>
      <c r="AF744">
        <v>4.5186416883658298</v>
      </c>
      <c r="AG744">
        <v>-1.1095350624939999</v>
      </c>
      <c r="AH744">
        <v>15.9183795446872</v>
      </c>
      <c r="AI744">
        <v>93.836074970828307</v>
      </c>
      <c r="AJ744">
        <v>74.152708447087903</v>
      </c>
      <c r="AK744">
        <v>16.5844504910912</v>
      </c>
    </row>
    <row r="745" spans="1:37" x14ac:dyDescent="0.2">
      <c r="A745" t="str">
        <f>"20200111154040324"</f>
        <v>20200111154040324</v>
      </c>
      <c r="B745" t="str">
        <f>"1578728440317382"</f>
        <v>1578728440317382</v>
      </c>
      <c r="C745" t="s">
        <v>37</v>
      </c>
      <c r="D745">
        <v>5.5045289999999998</v>
      </c>
      <c r="E745">
        <v>0.58108380000000004</v>
      </c>
      <c r="F745" t="s">
        <v>42</v>
      </c>
      <c r="G745">
        <v>-206.40350000000001</v>
      </c>
      <c r="H745" s="1">
        <v>-4.9999490000000001E-6</v>
      </c>
      <c r="I745">
        <v>363.34160000000003</v>
      </c>
      <c r="J745">
        <v>-222.16900000000001</v>
      </c>
      <c r="K745">
        <v>1.1094219999999999</v>
      </c>
      <c r="L745">
        <v>368.14940000000001</v>
      </c>
      <c r="M745">
        <v>0.99950930000000004</v>
      </c>
      <c r="N745">
        <v>0</v>
      </c>
      <c r="O745">
        <v>-1.668066E-2</v>
      </c>
      <c r="P745">
        <v>0.99604059999999905</v>
      </c>
      <c r="Q745">
        <v>3.9424750000000001E-2</v>
      </c>
      <c r="R745">
        <v>-7.9680089999999995E-2</v>
      </c>
      <c r="S745">
        <v>2.9510040000000002</v>
      </c>
      <c r="T745">
        <v>-0.2038642</v>
      </c>
      <c r="U745">
        <v>-0.88433839999999997</v>
      </c>
      <c r="V745">
        <v>6.3352640000000002E-2</v>
      </c>
      <c r="W745">
        <v>6.5561739999999993E-2</v>
      </c>
      <c r="X745">
        <v>0.99583539999999904</v>
      </c>
      <c r="Y745">
        <v>0.27048259999999902</v>
      </c>
      <c r="Z745">
        <v>-8.0058439999999998E-3</v>
      </c>
      <c r="AA745">
        <v>0.96269159999999998</v>
      </c>
      <c r="AB745">
        <v>52</v>
      </c>
      <c r="AC745">
        <v>15.765499999999999</v>
      </c>
      <c r="AD745">
        <v>-1.1094269999489901</v>
      </c>
      <c r="AE745">
        <v>-4.8077999999999799</v>
      </c>
      <c r="AF745">
        <v>4.5235644205836101</v>
      </c>
      <c r="AG745">
        <v>-1.1094269999489901</v>
      </c>
      <c r="AH745">
        <v>15.772072419929</v>
      </c>
      <c r="AI745">
        <v>93.868177943158898</v>
      </c>
      <c r="AJ745">
        <v>73.996658659430693</v>
      </c>
      <c r="AK745">
        <v>16.445416740079001</v>
      </c>
    </row>
    <row r="746" spans="1:37" x14ac:dyDescent="0.2">
      <c r="A746" t="str">
        <f>"20200111154040336"</f>
        <v>20200111154040336</v>
      </c>
      <c r="B746" t="str">
        <f>"1578728440327141"</f>
        <v>1578728440327141</v>
      </c>
      <c r="C746" t="s">
        <v>37</v>
      </c>
      <c r="D746">
        <v>5.5607410000000002</v>
      </c>
      <c r="E746">
        <v>0.58108570000000004</v>
      </c>
      <c r="F746" t="s">
        <v>42</v>
      </c>
      <c r="G746">
        <v>-206.17359999999999</v>
      </c>
      <c r="H746" s="1">
        <v>-4.8996910000000002E-6</v>
      </c>
      <c r="I746">
        <v>363.3109</v>
      </c>
      <c r="J746">
        <v>-221.8631</v>
      </c>
      <c r="K746">
        <v>1.1092789999999999</v>
      </c>
      <c r="L746">
        <v>368.14330000000001</v>
      </c>
      <c r="M746">
        <v>0.99949089999999996</v>
      </c>
      <c r="N746">
        <v>0</v>
      </c>
      <c r="O746">
        <v>-1.7788040000000001E-2</v>
      </c>
      <c r="P746">
        <v>0.99583639999999995</v>
      </c>
      <c r="Q746">
        <v>3.8570699999999999E-2</v>
      </c>
      <c r="R746">
        <v>-8.2596100000000006E-2</v>
      </c>
      <c r="S746">
        <v>2.94866899999999</v>
      </c>
      <c r="T746">
        <v>-0.2045178</v>
      </c>
      <c r="U746">
        <v>-0.89193729999999904</v>
      </c>
      <c r="V746">
        <v>6.5184679999999995E-2</v>
      </c>
      <c r="W746">
        <v>6.4641499999999893E-2</v>
      </c>
      <c r="X746">
        <v>0.99577729999999998</v>
      </c>
      <c r="Y746">
        <v>0.27189540000000001</v>
      </c>
      <c r="Z746">
        <v>-8.0075359999999905E-3</v>
      </c>
      <c r="AA746">
        <v>0.96229349999999902</v>
      </c>
      <c r="AB746">
        <v>52</v>
      </c>
      <c r="AC746">
        <v>15.689500000000001</v>
      </c>
      <c r="AD746">
        <v>-1.1092838996909999</v>
      </c>
      <c r="AE746">
        <v>-4.8323999999999998</v>
      </c>
      <c r="AF746">
        <v>4.5317608649327399</v>
      </c>
      <c r="AG746">
        <v>-1.1092838996909999</v>
      </c>
      <c r="AH746">
        <v>15.7013175978352</v>
      </c>
      <c r="AI746">
        <v>93.883189231197093</v>
      </c>
      <c r="AJ746">
        <v>73.900645367695404</v>
      </c>
      <c r="AK746">
        <v>16.3798272767188</v>
      </c>
    </row>
    <row r="747" spans="1:37" x14ac:dyDescent="0.2">
      <c r="A747" t="str">
        <f>"20200111154040356"</f>
        <v>20200111154040356</v>
      </c>
      <c r="B747" t="str">
        <f>"1578728440346662"</f>
        <v>1578728440346662</v>
      </c>
      <c r="C747" t="s">
        <v>37</v>
      </c>
      <c r="D747">
        <v>5.5250919999999999</v>
      </c>
      <c r="E747">
        <v>0.58116129999999999</v>
      </c>
      <c r="F747" t="s">
        <v>42</v>
      </c>
      <c r="G747">
        <v>-205.9847</v>
      </c>
      <c r="H747" s="1">
        <v>-4.8167180000000001E-6</v>
      </c>
      <c r="I747">
        <v>363.28829999999999</v>
      </c>
      <c r="J747">
        <v>-221.43180000000001</v>
      </c>
      <c r="K747">
        <v>1.109049</v>
      </c>
      <c r="L747">
        <v>368.13420000000002</v>
      </c>
      <c r="M747">
        <v>0.99945969999999995</v>
      </c>
      <c r="N747">
        <v>0</v>
      </c>
      <c r="O747">
        <v>-1.9535730000000001E-2</v>
      </c>
      <c r="P747">
        <v>0.99544690000000002</v>
      </c>
      <c r="Q747">
        <v>3.7626699999999999E-2</v>
      </c>
      <c r="R747">
        <v>-8.7577619999999995E-2</v>
      </c>
      <c r="S747">
        <v>2.9458009999999999</v>
      </c>
      <c r="T747">
        <v>-0.2057978</v>
      </c>
      <c r="U747">
        <v>-0.90072629999999998</v>
      </c>
      <c r="V747">
        <v>6.8459519999999996E-2</v>
      </c>
      <c r="W747">
        <v>6.3595090000000007E-2</v>
      </c>
      <c r="X747">
        <v>0.99562490000000003</v>
      </c>
      <c r="Y747">
        <v>0.27309410000000001</v>
      </c>
      <c r="Z747">
        <v>-7.9834239999999994E-3</v>
      </c>
      <c r="AA747">
        <v>0.96195419999999998</v>
      </c>
      <c r="AB747">
        <v>52</v>
      </c>
      <c r="AC747">
        <v>15.447100000000001</v>
      </c>
      <c r="AD747">
        <v>-1.109053816718</v>
      </c>
      <c r="AE747">
        <v>-4.8459000000000199</v>
      </c>
      <c r="AF747">
        <v>4.5218777884936996</v>
      </c>
      <c r="AG747">
        <v>-1.109053816718</v>
      </c>
      <c r="AH747">
        <v>15.466268942301101</v>
      </c>
      <c r="AI747">
        <v>93.937262241240703</v>
      </c>
      <c r="AJ747">
        <v>73.7026474814962</v>
      </c>
      <c r="AK747">
        <v>16.1518684398443</v>
      </c>
    </row>
    <row r="748" spans="1:37" x14ac:dyDescent="0.2">
      <c r="A748" t="str">
        <f>"20200111154040369"</f>
        <v>20200111154040369</v>
      </c>
      <c r="B748" t="str">
        <f>"1578728440357398"</f>
        <v>1578728440357398</v>
      </c>
      <c r="C748" t="s">
        <v>37</v>
      </c>
      <c r="D748">
        <v>5.566567</v>
      </c>
      <c r="E748">
        <v>0.58117289999999999</v>
      </c>
      <c r="F748" t="s">
        <v>42</v>
      </c>
      <c r="G748">
        <v>-205.643</v>
      </c>
      <c r="H748" s="1">
        <v>-4.6733039999999999E-6</v>
      </c>
      <c r="I748">
        <v>363.21710000000002</v>
      </c>
      <c r="J748">
        <v>-221.1309</v>
      </c>
      <c r="K748">
        <v>1.1088639999999901</v>
      </c>
      <c r="L748">
        <v>368.12729999999999</v>
      </c>
      <c r="M748">
        <v>0.99943259999999901</v>
      </c>
      <c r="N748">
        <v>0</v>
      </c>
      <c r="O748">
        <v>-2.09130999999999E-2</v>
      </c>
      <c r="P748">
        <v>0.99520529999999996</v>
      </c>
      <c r="Q748">
        <v>3.7428389999999999E-2</v>
      </c>
      <c r="R748">
        <v>-9.0364979999999998E-2</v>
      </c>
      <c r="S748">
        <v>2.9409329999999998</v>
      </c>
      <c r="T748">
        <v>-0.20657979999999901</v>
      </c>
      <c r="U748">
        <v>-0.91589359999999997</v>
      </c>
      <c r="V748">
        <v>6.9904469999999996E-2</v>
      </c>
      <c r="W748">
        <v>6.3323359999999995E-2</v>
      </c>
      <c r="X748">
        <v>0.99554179999999903</v>
      </c>
      <c r="Y748">
        <v>0.2767308</v>
      </c>
      <c r="Z748">
        <v>-8.0507670000000003E-3</v>
      </c>
      <c r="AA748">
        <v>0.96091380000000004</v>
      </c>
      <c r="AB748">
        <v>52</v>
      </c>
      <c r="AC748">
        <v>15.4878999999999</v>
      </c>
      <c r="AD748">
        <v>-1.1088686733040001</v>
      </c>
      <c r="AE748">
        <v>-4.9101999999999704</v>
      </c>
      <c r="AF748">
        <v>4.5638548957611</v>
      </c>
      <c r="AG748">
        <v>-1.1088686733040001</v>
      </c>
      <c r="AH748">
        <v>15.5149680931776</v>
      </c>
      <c r="AI748">
        <v>93.922401008684204</v>
      </c>
      <c r="AJ748">
        <v>73.608321821257107</v>
      </c>
      <c r="AK748">
        <v>16.2102620637828</v>
      </c>
    </row>
    <row r="749" spans="1:37" x14ac:dyDescent="0.2">
      <c r="A749" t="str">
        <f>"20200111154040383"</f>
        <v>20200111154040383</v>
      </c>
      <c r="B749" t="str">
        <f>"1578728440377203"</f>
        <v>1578728440377203</v>
      </c>
      <c r="C749" t="s">
        <v>37</v>
      </c>
      <c r="D749">
        <v>5.5596079999999999</v>
      </c>
      <c r="E749">
        <v>0.58117700000000005</v>
      </c>
      <c r="F749" t="s">
        <v>42</v>
      </c>
      <c r="G749">
        <v>-205.35319999999999</v>
      </c>
      <c r="H749" s="1">
        <v>-4.5503070000000003E-6</v>
      </c>
      <c r="I749">
        <v>363.16300000000001</v>
      </c>
      <c r="J749">
        <v>-220.80609999999999</v>
      </c>
      <c r="K749">
        <v>1.108641</v>
      </c>
      <c r="L749">
        <v>368.11939999999998</v>
      </c>
      <c r="M749">
        <v>0.99939840000000002</v>
      </c>
      <c r="N749">
        <v>0</v>
      </c>
      <c r="O749">
        <v>-2.2530350000000001E-2</v>
      </c>
      <c r="P749">
        <v>0.99489150000000004</v>
      </c>
      <c r="Q749">
        <v>3.7624079999999997E-2</v>
      </c>
      <c r="R749">
        <v>-9.3678129999999998E-2</v>
      </c>
      <c r="S749">
        <v>2.9382779999999999</v>
      </c>
      <c r="T749">
        <v>-0.2065042</v>
      </c>
      <c r="U749">
        <v>-0.92449950000000003</v>
      </c>
      <c r="V749">
        <v>7.1646169999999995E-2</v>
      </c>
      <c r="W749">
        <v>6.3431399999999999E-2</v>
      </c>
      <c r="X749">
        <v>0.99541109999999899</v>
      </c>
      <c r="Y749">
        <v>0.27798629999999902</v>
      </c>
      <c r="Z749">
        <v>-7.9836799999999999E-3</v>
      </c>
      <c r="AA749">
        <v>0.96055190000000001</v>
      </c>
      <c r="AB749">
        <v>52</v>
      </c>
      <c r="AC749">
        <v>15.4529</v>
      </c>
      <c r="AD749">
        <v>-1.1086455503070001</v>
      </c>
      <c r="AE749">
        <v>-4.9563999999999702</v>
      </c>
      <c r="AF749">
        <v>4.5854602600868004</v>
      </c>
      <c r="AG749">
        <v>-1.1086455503070001</v>
      </c>
      <c r="AH749">
        <v>15.4883984259153</v>
      </c>
      <c r="AI749">
        <v>93.926301693173798</v>
      </c>
      <c r="AJ749">
        <v>73.508204501698501</v>
      </c>
      <c r="AK749">
        <v>16.1909242031746</v>
      </c>
    </row>
    <row r="750" spans="1:37" x14ac:dyDescent="0.2">
      <c r="A750" t="str">
        <f>"20200111154040394"</f>
        <v>20200111154040394</v>
      </c>
      <c r="B750" t="str">
        <f>"1578728440386963"</f>
        <v>1578728440386963</v>
      </c>
      <c r="C750" t="s">
        <v>37</v>
      </c>
      <c r="D750">
        <v>5.5784799999999999</v>
      </c>
      <c r="E750">
        <v>0.5811984</v>
      </c>
      <c r="F750" t="s">
        <v>42</v>
      </c>
      <c r="G750">
        <v>-204.9239</v>
      </c>
      <c r="H750" s="1">
        <v>-4.3695299999999998E-6</v>
      </c>
      <c r="I750">
        <v>363.06360000000001</v>
      </c>
      <c r="J750">
        <v>-220.51859999999999</v>
      </c>
      <c r="K750">
        <v>1.108411</v>
      </c>
      <c r="L750">
        <v>368.11149999999998</v>
      </c>
      <c r="M750">
        <v>0.99936019999999903</v>
      </c>
      <c r="N750">
        <v>0</v>
      </c>
      <c r="O750">
        <v>-2.4193360000000001E-2</v>
      </c>
      <c r="P750">
        <v>0.99455759999999904</v>
      </c>
      <c r="Q750">
        <v>3.7923980000000003E-2</v>
      </c>
      <c r="R750">
        <v>-9.7040329999999994E-2</v>
      </c>
      <c r="S750">
        <v>2.935165</v>
      </c>
      <c r="T750">
        <v>-0.2048864</v>
      </c>
      <c r="U750">
        <v>-0.93435669999999904</v>
      </c>
      <c r="V750">
        <v>7.3393799999999995E-2</v>
      </c>
      <c r="W750">
        <v>6.3643149999999996E-2</v>
      </c>
      <c r="X750">
        <v>0.99527030000000005</v>
      </c>
      <c r="Y750">
        <v>0.27961979999999997</v>
      </c>
      <c r="Z750">
        <v>-7.8679809999999996E-3</v>
      </c>
      <c r="AA750">
        <v>0.96007849999999995</v>
      </c>
      <c r="AB750">
        <v>52</v>
      </c>
      <c r="AC750">
        <v>15.5946999999999</v>
      </c>
      <c r="AD750">
        <v>-1.1084153695300001</v>
      </c>
      <c r="AE750">
        <v>-5.0478999999999603</v>
      </c>
      <c r="AF750">
        <v>4.6477493509840597</v>
      </c>
      <c r="AG750">
        <v>-1.1084153695300001</v>
      </c>
      <c r="AH750">
        <v>15.640779105214101</v>
      </c>
      <c r="AI750">
        <v>93.886202666880294</v>
      </c>
      <c r="AJ750">
        <v>73.450373959208903</v>
      </c>
      <c r="AK750">
        <v>16.3543306093244</v>
      </c>
    </row>
    <row r="751" spans="1:37" x14ac:dyDescent="0.2">
      <c r="A751" t="str">
        <f>"20200111154040406"</f>
        <v>20200111154040406</v>
      </c>
      <c r="B751" t="str">
        <f>"1578728440396722"</f>
        <v>1578728440396722</v>
      </c>
      <c r="C751" t="s">
        <v>37</v>
      </c>
      <c r="D751">
        <v>5.5635379999999897</v>
      </c>
      <c r="E751">
        <v>0.58123130000000001</v>
      </c>
      <c r="F751" t="s">
        <v>42</v>
      </c>
      <c r="G751">
        <v>-204.53819999999999</v>
      </c>
      <c r="H751" s="1">
        <v>-4.1977259999999999E-6</v>
      </c>
      <c r="I751">
        <v>362.9631</v>
      </c>
      <c r="J751">
        <v>-220.25640000000001</v>
      </c>
      <c r="K751">
        <v>1.1081920000000001</v>
      </c>
      <c r="L751">
        <v>368.10410000000002</v>
      </c>
      <c r="M751">
        <v>0.99932119999999902</v>
      </c>
      <c r="N751">
        <v>0</v>
      </c>
      <c r="O751">
        <v>-2.5784970000000001E-2</v>
      </c>
      <c r="P751">
        <v>0.99419389999999996</v>
      </c>
      <c r="Q751">
        <v>3.8316250000000003E-2</v>
      </c>
      <c r="R751">
        <v>-0.10054879999999999</v>
      </c>
      <c r="S751">
        <v>2.932007</v>
      </c>
      <c r="T751">
        <v>-0.20336699999999999</v>
      </c>
      <c r="U751">
        <v>-0.94461059999999997</v>
      </c>
      <c r="V751">
        <v>7.5359540000000003E-2</v>
      </c>
      <c r="W751">
        <v>6.3947710000000005E-2</v>
      </c>
      <c r="X751">
        <v>0.99510379999999998</v>
      </c>
      <c r="Y751">
        <v>0.28144190000000002</v>
      </c>
      <c r="Z751">
        <v>-7.7679380000000003E-3</v>
      </c>
      <c r="AA751">
        <v>0.95954680000000003</v>
      </c>
      <c r="AB751">
        <v>52</v>
      </c>
      <c r="AC751">
        <v>15.7182</v>
      </c>
      <c r="AD751">
        <v>-1.108196197726</v>
      </c>
      <c r="AE751">
        <v>-5.1410000000000098</v>
      </c>
      <c r="AF751">
        <v>4.71269373950439</v>
      </c>
      <c r="AG751">
        <v>-1.108196197726</v>
      </c>
      <c r="AH751">
        <v>15.774741137464201</v>
      </c>
      <c r="AI751">
        <v>93.850865966478096</v>
      </c>
      <c r="AJ751">
        <v>73.366518449154995</v>
      </c>
      <c r="AK751">
        <v>16.5009102491051</v>
      </c>
    </row>
    <row r="752" spans="1:37" x14ac:dyDescent="0.2">
      <c r="A752" t="str">
        <f>"20200111154040419"</f>
        <v>20200111154040419</v>
      </c>
      <c r="B752" t="str">
        <f>"1578728440407459"</f>
        <v>1578728440407459</v>
      </c>
      <c r="C752" t="s">
        <v>37</v>
      </c>
      <c r="D752">
        <v>5.5813169999999896</v>
      </c>
      <c r="E752">
        <v>0.58124629999999999</v>
      </c>
      <c r="F752" t="s">
        <v>42</v>
      </c>
      <c r="G752">
        <v>-204.1986</v>
      </c>
      <c r="H752" s="1">
        <v>-4.0480860000000003E-6</v>
      </c>
      <c r="I752">
        <v>362.8673</v>
      </c>
      <c r="J752">
        <v>-219.9759</v>
      </c>
      <c r="K752">
        <v>1.107945</v>
      </c>
      <c r="L752">
        <v>368.09550000000002</v>
      </c>
      <c r="M752">
        <v>0.99927259999999996</v>
      </c>
      <c r="N752">
        <v>0</v>
      </c>
      <c r="O752">
        <v>-2.7638429999999999E-2</v>
      </c>
      <c r="P752">
        <v>0.9937454</v>
      </c>
      <c r="Q752">
        <v>3.8477659999999997E-2</v>
      </c>
      <c r="R752">
        <v>-0.1048317</v>
      </c>
      <c r="S752">
        <v>2.9287109999999998</v>
      </c>
      <c r="T752">
        <v>-0.2021191</v>
      </c>
      <c r="U752">
        <v>-0.95510859999999997</v>
      </c>
      <c r="V752">
        <v>7.7843860000000001E-2</v>
      </c>
      <c r="W752">
        <v>6.4005290000000006E-2</v>
      </c>
      <c r="X752">
        <v>0.99490889999999998</v>
      </c>
      <c r="Y752">
        <v>0.28309609999999902</v>
      </c>
      <c r="Z752">
        <v>-7.6557880000000002E-3</v>
      </c>
      <c r="AA752">
        <v>0.95906100000000005</v>
      </c>
      <c r="AB752">
        <v>51</v>
      </c>
      <c r="AC752">
        <v>15.777299999999901</v>
      </c>
      <c r="AD752">
        <v>-1.1079490480859999</v>
      </c>
      <c r="AE752">
        <v>-5.22820000000001</v>
      </c>
      <c r="AF752">
        <v>4.7688007682781697</v>
      </c>
      <c r="AG752">
        <v>-1.1079490480859999</v>
      </c>
      <c r="AH752">
        <v>15.8454086427696</v>
      </c>
      <c r="AI752">
        <v>93.830569469354501</v>
      </c>
      <c r="AJ752">
        <v>73.250417567934306</v>
      </c>
      <c r="AK752">
        <v>16.584510451534001</v>
      </c>
    </row>
    <row r="753" spans="1:37" x14ac:dyDescent="0.2">
      <c r="A753" t="str">
        <f>"20200111154040432"</f>
        <v>20200111154040432</v>
      </c>
      <c r="B753" t="str">
        <f>"1578728440426979"</f>
        <v>1578728440426979</v>
      </c>
      <c r="C753" t="s">
        <v>37</v>
      </c>
      <c r="D753">
        <v>5.6089000000000002</v>
      </c>
      <c r="E753">
        <v>0.58127079999999998</v>
      </c>
      <c r="F753" t="s">
        <v>42</v>
      </c>
      <c r="G753">
        <v>-203.91540000000001</v>
      </c>
      <c r="H753" s="1">
        <v>-3.9241700000000001E-6</v>
      </c>
      <c r="I753">
        <v>362.78339999999997</v>
      </c>
      <c r="J753">
        <v>-219.68260000000001</v>
      </c>
      <c r="K753">
        <v>1.107664</v>
      </c>
      <c r="L753">
        <v>368.08580000000001</v>
      </c>
      <c r="M753">
        <v>0.99921249999999995</v>
      </c>
      <c r="N753">
        <v>0</v>
      </c>
      <c r="O753">
        <v>-2.9763799999999899E-2</v>
      </c>
      <c r="P753">
        <v>0.99325280000000005</v>
      </c>
      <c r="Q753">
        <v>3.8604939999999997E-2</v>
      </c>
      <c r="R753">
        <v>-0.1093551</v>
      </c>
      <c r="S753">
        <v>2.924652</v>
      </c>
      <c r="T753">
        <v>-0.20175940000000001</v>
      </c>
      <c r="U753">
        <v>-0.96734619999999905</v>
      </c>
      <c r="V753">
        <v>8.0304130000000001E-2</v>
      </c>
      <c r="W753">
        <v>6.4018140000000001E-2</v>
      </c>
      <c r="X753">
        <v>0.9947125</v>
      </c>
      <c r="Y753">
        <v>0.28507179999999999</v>
      </c>
      <c r="Z753">
        <v>-7.5714019999999996E-3</v>
      </c>
      <c r="AA753">
        <v>0.958476199999999</v>
      </c>
      <c r="AB753">
        <v>51</v>
      </c>
      <c r="AC753">
        <v>15.767200000000001</v>
      </c>
      <c r="AD753">
        <v>-1.10766792417</v>
      </c>
      <c r="AE753">
        <v>-5.3024000000000298</v>
      </c>
      <c r="AF753">
        <v>4.8092723103742996</v>
      </c>
      <c r="AG753">
        <v>-1.10766792417</v>
      </c>
      <c r="AH753">
        <v>15.8478171680326</v>
      </c>
      <c r="AI753">
        <v>93.826369620420706</v>
      </c>
      <c r="AJ753">
        <v>73.118744495854301</v>
      </c>
      <c r="AK753">
        <v>16.598473947232598</v>
      </c>
    </row>
    <row r="754" spans="1:37" x14ac:dyDescent="0.2">
      <c r="A754" t="str">
        <f>"20200111154040446"</f>
        <v>20200111154040446</v>
      </c>
      <c r="B754" t="str">
        <f>"1578728440436739"</f>
        <v>1578728440436739</v>
      </c>
      <c r="C754" t="s">
        <v>37</v>
      </c>
      <c r="D754">
        <v>5.6079860000000004</v>
      </c>
      <c r="E754">
        <v>0.58126089999999997</v>
      </c>
      <c r="F754" t="s">
        <v>42</v>
      </c>
      <c r="G754">
        <v>-203.5951</v>
      </c>
      <c r="H754" s="1">
        <v>-3.78506899999999E-6</v>
      </c>
      <c r="I754">
        <v>362.68369999999999</v>
      </c>
      <c r="J754">
        <v>-219.36279999999999</v>
      </c>
      <c r="K754">
        <v>1.1073459999999999</v>
      </c>
      <c r="L754">
        <v>368.0745</v>
      </c>
      <c r="M754">
        <v>0.99913700000000005</v>
      </c>
      <c r="N754">
        <v>0</v>
      </c>
      <c r="O754">
        <v>-3.223496E-2</v>
      </c>
      <c r="P754">
        <v>0.99257019999999996</v>
      </c>
      <c r="Q754">
        <v>3.7679410000000003E-2</v>
      </c>
      <c r="R754">
        <v>-0.11569400000000001</v>
      </c>
      <c r="S754">
        <v>2.920242</v>
      </c>
      <c r="T754">
        <v>-0.20106589999999999</v>
      </c>
      <c r="U754">
        <v>-0.98059079999999998</v>
      </c>
      <c r="V754">
        <v>8.423688E-2</v>
      </c>
      <c r="W754">
        <v>6.2945989999999993E-2</v>
      </c>
      <c r="X754">
        <v>0.9944556</v>
      </c>
      <c r="Y754">
        <v>0.28704879999999999</v>
      </c>
      <c r="Z754">
        <v>-7.452172E-3</v>
      </c>
      <c r="AA754">
        <v>0.95788700000000004</v>
      </c>
      <c r="AB754">
        <v>51</v>
      </c>
      <c r="AC754">
        <v>15.7676999999999</v>
      </c>
      <c r="AD754">
        <v>-1.1073497850689999</v>
      </c>
      <c r="AE754">
        <v>-5.3908000000000103</v>
      </c>
      <c r="AF754">
        <v>4.8580978529356997</v>
      </c>
      <c r="AG754">
        <v>-1.1073497850689999</v>
      </c>
      <c r="AH754">
        <v>15.8632807376393</v>
      </c>
      <c r="AI754">
        <v>93.818600404962098</v>
      </c>
      <c r="AJ754">
        <v>72.972897914144994</v>
      </c>
      <c r="AK754">
        <v>16.627417540205901</v>
      </c>
    </row>
    <row r="755" spans="1:37" x14ac:dyDescent="0.2">
      <c r="A755" t="str">
        <f>"20200111154040460"</f>
        <v>20200111154040460</v>
      </c>
      <c r="B755" t="str">
        <f>"1578728440457234"</f>
        <v>1578728440457234</v>
      </c>
      <c r="C755" t="s">
        <v>37</v>
      </c>
      <c r="D755">
        <v>5.6106059999999998</v>
      </c>
      <c r="E755">
        <v>0.58125969999999905</v>
      </c>
      <c r="F755" t="s">
        <v>42</v>
      </c>
      <c r="G755">
        <v>-203.53749999999999</v>
      </c>
      <c r="H755" s="1">
        <v>-3.7643359999999998E-6</v>
      </c>
      <c r="I755">
        <v>362.6465</v>
      </c>
      <c r="J755">
        <v>-219.0401</v>
      </c>
      <c r="K755">
        <v>1.1070070000000001</v>
      </c>
      <c r="L755">
        <v>368.06209999999999</v>
      </c>
      <c r="M755">
        <v>0.99904599999999899</v>
      </c>
      <c r="N755">
        <v>0</v>
      </c>
      <c r="O755">
        <v>-3.4975050000000001E-2</v>
      </c>
      <c r="P755">
        <v>0.992071699999999</v>
      </c>
      <c r="Q755">
        <v>3.7614479999999999E-2</v>
      </c>
      <c r="R755">
        <v>-0.11991300000000001</v>
      </c>
      <c r="S755">
        <v>2.9137119999999999</v>
      </c>
      <c r="T755">
        <v>-0.2038816</v>
      </c>
      <c r="U755">
        <v>-0.99938959999999999</v>
      </c>
      <c r="V755">
        <v>8.5789340000000006E-2</v>
      </c>
      <c r="W755">
        <v>6.2749910000000006E-2</v>
      </c>
      <c r="X755">
        <v>0.99433530000000003</v>
      </c>
      <c r="Y755">
        <v>0.29059059999999998</v>
      </c>
      <c r="Z755">
        <v>-7.4994409999999999E-3</v>
      </c>
      <c r="AA755">
        <v>0.9568181</v>
      </c>
      <c r="AB755">
        <v>51</v>
      </c>
      <c r="AC755">
        <v>15.502599999999999</v>
      </c>
      <c r="AD755">
        <v>-1.1070107643360001</v>
      </c>
      <c r="AE755">
        <v>-5.41559999999998</v>
      </c>
      <c r="AF755">
        <v>4.8478634727683101</v>
      </c>
      <c r="AG755">
        <v>-1.1070107643360001</v>
      </c>
      <c r="AH755">
        <v>15.6116370411691</v>
      </c>
      <c r="AI755">
        <v>93.874122739810105</v>
      </c>
      <c r="AJ755">
        <v>72.748924436106705</v>
      </c>
      <c r="AK755">
        <v>16.384458007153</v>
      </c>
    </row>
    <row r="756" spans="1:37" x14ac:dyDescent="0.2">
      <c r="A756" t="str">
        <f>"20200111154040472"</f>
        <v>20200111154040472</v>
      </c>
      <c r="B756" t="str">
        <f>"1578728440466995"</f>
        <v>1578728440466995</v>
      </c>
      <c r="C756" t="s">
        <v>37</v>
      </c>
      <c r="D756">
        <v>5.6151980000000004</v>
      </c>
      <c r="E756">
        <v>0.58123429999999998</v>
      </c>
      <c r="F756" t="s">
        <v>42</v>
      </c>
      <c r="G756">
        <v>-203.16499999999999</v>
      </c>
      <c r="H756" s="1">
        <v>-3.5999160000000001E-6</v>
      </c>
      <c r="I756">
        <v>362.54270000000002</v>
      </c>
      <c r="J756">
        <v>-218.7466</v>
      </c>
      <c r="K756">
        <v>1.106689</v>
      </c>
      <c r="L756">
        <v>368.0498</v>
      </c>
      <c r="M756">
        <v>0.99894839999999996</v>
      </c>
      <c r="N756">
        <v>0</v>
      </c>
      <c r="O756">
        <v>-3.7691750000000003E-2</v>
      </c>
      <c r="P756">
        <v>0.99156420000000001</v>
      </c>
      <c r="Q756">
        <v>3.7418050000000001E-2</v>
      </c>
      <c r="R756">
        <v>-0.124099</v>
      </c>
      <c r="S756">
        <v>2.9093930000000001</v>
      </c>
      <c r="T756">
        <v>-0.20287929999999901</v>
      </c>
      <c r="U756">
        <v>-1.011536</v>
      </c>
      <c r="V756">
        <v>8.7329190000000001E-2</v>
      </c>
      <c r="W756">
        <v>6.2424399999999998E-2</v>
      </c>
      <c r="X756">
        <v>0.99422169999999899</v>
      </c>
      <c r="Y756">
        <v>0.2920006</v>
      </c>
      <c r="Z756">
        <v>-7.3326809999999997E-3</v>
      </c>
      <c r="AA756">
        <v>0.95638999999999996</v>
      </c>
      <c r="AB756">
        <v>51</v>
      </c>
      <c r="AC756">
        <v>15.5816</v>
      </c>
      <c r="AD756">
        <v>-1.106692599916</v>
      </c>
      <c r="AE756">
        <v>-5.5070999999999799</v>
      </c>
      <c r="AF756">
        <v>4.8937403410907496</v>
      </c>
      <c r="AG756">
        <v>-1.106692599916</v>
      </c>
      <c r="AH756">
        <v>15.7077228361554</v>
      </c>
      <c r="AI756">
        <v>93.848281251812494</v>
      </c>
      <c r="AJ756">
        <v>72.6955794982307</v>
      </c>
      <c r="AK756">
        <v>16.489573061004499</v>
      </c>
    </row>
    <row r="757" spans="1:37" x14ac:dyDescent="0.2">
      <c r="A757" t="str">
        <f>"20200111154040485"</f>
        <v>20200111154040485</v>
      </c>
      <c r="B757" t="str">
        <f>"1578728440476755"</f>
        <v>1578728440476755</v>
      </c>
      <c r="C757" t="s">
        <v>37</v>
      </c>
      <c r="D757">
        <v>5.6315980000000003</v>
      </c>
      <c r="E757">
        <v>0.58122659999999904</v>
      </c>
      <c r="F757" t="s">
        <v>42</v>
      </c>
      <c r="G757">
        <v>-202.89609999999999</v>
      </c>
      <c r="H757" s="1">
        <v>-3.482312E-6</v>
      </c>
      <c r="I757">
        <v>362.46289999999999</v>
      </c>
      <c r="J757">
        <v>-218.465</v>
      </c>
      <c r="K757">
        <v>1.106379</v>
      </c>
      <c r="L757">
        <v>368.03739999999999</v>
      </c>
      <c r="M757">
        <v>0.99884289999999998</v>
      </c>
      <c r="N757">
        <v>0</v>
      </c>
      <c r="O757">
        <v>-4.0415939999999997E-2</v>
      </c>
      <c r="P757">
        <v>0.99104579999999998</v>
      </c>
      <c r="Q757">
        <v>3.7297770000000001E-2</v>
      </c>
      <c r="R757">
        <v>-0.128208399999999</v>
      </c>
      <c r="S757">
        <v>2.9050449999999999</v>
      </c>
      <c r="T757">
        <v>-0.20283309999999999</v>
      </c>
      <c r="U757">
        <v>-1.0239559999999901</v>
      </c>
      <c r="V757">
        <v>8.8785459999999997E-2</v>
      </c>
      <c r="W757">
        <v>6.2175029999999999E-2</v>
      </c>
      <c r="X757">
        <v>0.99410829999999994</v>
      </c>
      <c r="Y757">
        <v>0.29348099999999999</v>
      </c>
      <c r="Z757">
        <v>-7.2027259999999996E-3</v>
      </c>
      <c r="AA757">
        <v>0.9559377</v>
      </c>
      <c r="AB757">
        <v>51</v>
      </c>
      <c r="AC757">
        <v>15.568899999999999</v>
      </c>
      <c r="AD757">
        <v>-1.1063824823120001</v>
      </c>
      <c r="AE757">
        <v>-5.5744999999999996</v>
      </c>
      <c r="AF757">
        <v>4.9184806078236001</v>
      </c>
      <c r="AG757">
        <v>-1.1063824823120001</v>
      </c>
      <c r="AH757">
        <v>15.7112196108985</v>
      </c>
      <c r="AI757">
        <v>93.844710164514893</v>
      </c>
      <c r="AJ757">
        <v>72.616994107255493</v>
      </c>
      <c r="AK757">
        <v>16.500241069408201</v>
      </c>
    </row>
    <row r="758" spans="1:37" x14ac:dyDescent="0.2">
      <c r="A758" t="str">
        <f>"20200111154040498"</f>
        <v>20200111154040498</v>
      </c>
      <c r="B758" t="str">
        <f>"1578728440487491"</f>
        <v>1578728440487491</v>
      </c>
      <c r="C758" t="s">
        <v>37</v>
      </c>
      <c r="D758">
        <v>5.6258269999999904</v>
      </c>
      <c r="E758">
        <v>0.58120699999999903</v>
      </c>
      <c r="F758" t="s">
        <v>42</v>
      </c>
      <c r="G758">
        <v>-202.63810000000001</v>
      </c>
      <c r="H758" s="1">
        <v>-3.3697760000000001E-6</v>
      </c>
      <c r="I758">
        <v>362.38490000000002</v>
      </c>
      <c r="J758">
        <v>-218.17599999999999</v>
      </c>
      <c r="K758">
        <v>1.1060479999999999</v>
      </c>
      <c r="L758">
        <v>368.02350000000001</v>
      </c>
      <c r="M758">
        <v>0.99871710000000002</v>
      </c>
      <c r="N758">
        <v>0</v>
      </c>
      <c r="O758">
        <v>-4.344261E-2</v>
      </c>
      <c r="P758">
        <v>0.99039580000000005</v>
      </c>
      <c r="Q758">
        <v>3.763507E-2</v>
      </c>
      <c r="R758">
        <v>-0.13304099999999999</v>
      </c>
      <c r="S758">
        <v>2.9007109999999998</v>
      </c>
      <c r="T758">
        <v>-0.20277539999999999</v>
      </c>
      <c r="U758">
        <v>-1.0359799999999999</v>
      </c>
      <c r="V758">
        <v>9.0678309999999998E-2</v>
      </c>
      <c r="W758">
        <v>6.2367289999999999E-2</v>
      </c>
      <c r="X758">
        <v>0.99392549999999902</v>
      </c>
      <c r="Y758">
        <v>0.29455510000000001</v>
      </c>
      <c r="Z758">
        <v>-7.0382079999999998E-3</v>
      </c>
      <c r="AA758">
        <v>0.95560859999999903</v>
      </c>
      <c r="AB758">
        <v>51</v>
      </c>
      <c r="AC758">
        <v>15.537899999999899</v>
      </c>
      <c r="AD758">
        <v>-1.1060513697759999</v>
      </c>
      <c r="AE758">
        <v>-5.6385999999999896</v>
      </c>
      <c r="AF758">
        <v>4.9359368533009897</v>
      </c>
      <c r="AG758">
        <v>-1.1060513697759999</v>
      </c>
      <c r="AH758">
        <v>15.697971514102001</v>
      </c>
      <c r="AI758">
        <v>93.845289704335897</v>
      </c>
      <c r="AJ758">
        <v>72.545209471267597</v>
      </c>
      <c r="AK758">
        <v>16.492820617163002</v>
      </c>
    </row>
    <row r="759" spans="1:37" x14ac:dyDescent="0.2">
      <c r="A759" t="str">
        <f>"20200111154040513"</f>
        <v>20200111154040513</v>
      </c>
      <c r="B759" t="str">
        <f>"1578728440507013"</f>
        <v>1578728440507013</v>
      </c>
      <c r="C759" t="s">
        <v>37</v>
      </c>
      <c r="D759">
        <v>5.6208039999999997</v>
      </c>
      <c r="E759">
        <v>0.58119209999999999</v>
      </c>
      <c r="F759" t="s">
        <v>42</v>
      </c>
      <c r="G759">
        <v>-202.2593</v>
      </c>
      <c r="H759" s="1">
        <v>-3.208805E-6</v>
      </c>
      <c r="I759">
        <v>362.25099999999998</v>
      </c>
      <c r="J759">
        <v>-217.84139999999999</v>
      </c>
      <c r="K759">
        <v>1.1056589999999999</v>
      </c>
      <c r="L759">
        <v>368.00619999999998</v>
      </c>
      <c r="M759">
        <v>0.99854920000000003</v>
      </c>
      <c r="N759">
        <v>0</v>
      </c>
      <c r="O759">
        <v>-4.7173380000000001E-2</v>
      </c>
      <c r="P759">
        <v>0.98930319999999905</v>
      </c>
      <c r="Q759">
        <v>3.7723680000000002E-2</v>
      </c>
      <c r="R759">
        <v>-0.1409117</v>
      </c>
      <c r="S759">
        <v>2.8956909999999998</v>
      </c>
      <c r="T759">
        <v>-0.2012215</v>
      </c>
      <c r="U759">
        <v>-1.050171</v>
      </c>
      <c r="V759">
        <v>9.4931160000000001E-2</v>
      </c>
      <c r="W759">
        <v>6.224975E-2</v>
      </c>
      <c r="X759">
        <v>0.99353559999999996</v>
      </c>
      <c r="Y759">
        <v>0.29566870000000001</v>
      </c>
      <c r="Z759">
        <v>-6.7778339999999999E-3</v>
      </c>
      <c r="AA759">
        <v>0.95526650000000002</v>
      </c>
      <c r="AB759">
        <v>51</v>
      </c>
      <c r="AC759">
        <v>15.582099999999899</v>
      </c>
      <c r="AD759">
        <v>-1.1056622088050001</v>
      </c>
      <c r="AE759">
        <v>-5.7552000000000003</v>
      </c>
      <c r="AF759">
        <v>4.9913659073462702</v>
      </c>
      <c r="AG759">
        <v>-1.1056622088050001</v>
      </c>
      <c r="AH759">
        <v>15.766471048820801</v>
      </c>
      <c r="AI759">
        <v>93.824937122165593</v>
      </c>
      <c r="AJ759">
        <v>72.433199899211601</v>
      </c>
      <c r="AK759">
        <v>16.5746140791966</v>
      </c>
    </row>
    <row r="760" spans="1:37" x14ac:dyDescent="0.2">
      <c r="A760" t="str">
        <f>"20200111154040525"</f>
        <v>20200111154040525</v>
      </c>
      <c r="B760" t="str">
        <f>"1578728440516771"</f>
        <v>1578728440516771</v>
      </c>
      <c r="C760" t="s">
        <v>37</v>
      </c>
      <c r="D760">
        <v>5.6783739999999998</v>
      </c>
      <c r="E760">
        <v>0.58116440000000003</v>
      </c>
      <c r="F760" t="s">
        <v>42</v>
      </c>
      <c r="G760">
        <v>-201.965</v>
      </c>
      <c r="H760" s="1">
        <v>-3.093218E-6</v>
      </c>
      <c r="I760">
        <v>362.10449999999997</v>
      </c>
      <c r="J760">
        <v>-217.5599</v>
      </c>
      <c r="K760">
        <v>1.105332</v>
      </c>
      <c r="L760">
        <v>367.99079999999998</v>
      </c>
      <c r="M760">
        <v>0.99838969999999905</v>
      </c>
      <c r="N760">
        <v>0</v>
      </c>
      <c r="O760">
        <v>-5.0461289999999999E-2</v>
      </c>
      <c r="P760">
        <v>0.98852240000000002</v>
      </c>
      <c r="Q760">
        <v>3.7871549999999997E-2</v>
      </c>
      <c r="R760">
        <v>-0.14625079999999999</v>
      </c>
      <c r="S760">
        <v>2.887238</v>
      </c>
      <c r="T760">
        <v>-0.20107249999999999</v>
      </c>
      <c r="U760">
        <v>-1.0732729999999999</v>
      </c>
      <c r="V760">
        <v>9.7076999999999997E-2</v>
      </c>
      <c r="W760">
        <v>6.2239269999999999E-2</v>
      </c>
      <c r="X760">
        <v>0.99332889999999996</v>
      </c>
      <c r="Y760">
        <v>0.30014669999999999</v>
      </c>
      <c r="Z760">
        <v>-6.7130130000000003E-3</v>
      </c>
      <c r="AA760">
        <v>0.95386939999999998</v>
      </c>
      <c r="AB760">
        <v>50</v>
      </c>
      <c r="AC760">
        <v>15.5948999999999</v>
      </c>
      <c r="AD760">
        <v>-1.1053350932179999</v>
      </c>
      <c r="AE760">
        <v>-5.8863000000000003</v>
      </c>
      <c r="AF760">
        <v>5.0693018833590902</v>
      </c>
      <c r="AG760">
        <v>-1.1053350932179999</v>
      </c>
      <c r="AH760">
        <v>15.802661292525899</v>
      </c>
      <c r="AI760">
        <v>93.810451106701194</v>
      </c>
      <c r="AJ760">
        <v>72.214389813940898</v>
      </c>
      <c r="AK760">
        <v>16.632609271525101</v>
      </c>
    </row>
    <row r="761" spans="1:37" x14ac:dyDescent="0.2">
      <c r="A761" t="str">
        <f>"20200111154040538"</f>
        <v>20200111154040538</v>
      </c>
      <c r="B761" t="str">
        <f>"1578728440527506"</f>
        <v>1578728440527506</v>
      </c>
      <c r="C761" t="s">
        <v>37</v>
      </c>
      <c r="D761">
        <v>5.6855440000000002</v>
      </c>
      <c r="E761">
        <v>0.58114140000000003</v>
      </c>
      <c r="F761" t="s">
        <v>42</v>
      </c>
      <c r="G761">
        <v>-201.72370000000001</v>
      </c>
      <c r="H761" s="1">
        <v>-2.992634E-6</v>
      </c>
      <c r="I761">
        <v>362.0104</v>
      </c>
      <c r="J761">
        <v>-217.28579999999999</v>
      </c>
      <c r="K761">
        <v>1.1050149999999901</v>
      </c>
      <c r="L761">
        <v>367.97460000000001</v>
      </c>
      <c r="M761">
        <v>0.99821260000000001</v>
      </c>
      <c r="N761">
        <v>0</v>
      </c>
      <c r="O761">
        <v>-5.3873850000000001E-2</v>
      </c>
      <c r="P761">
        <v>0.98772689999999996</v>
      </c>
      <c r="Q761">
        <v>3.7931380000000001E-2</v>
      </c>
      <c r="R761">
        <v>-0.1515155</v>
      </c>
      <c r="S761">
        <v>2.8815459999999899</v>
      </c>
      <c r="T761">
        <v>-0.20112639999999901</v>
      </c>
      <c r="U761">
        <v>-1.0881959999999999</v>
      </c>
      <c r="V761">
        <v>9.9024769999999998E-2</v>
      </c>
      <c r="W761">
        <v>6.2143610000000002E-2</v>
      </c>
      <c r="X761">
        <v>0.99314259999999999</v>
      </c>
      <c r="Y761">
        <v>0.30183480000000001</v>
      </c>
      <c r="Z761">
        <v>-6.5495700000000002E-3</v>
      </c>
      <c r="AA761">
        <v>0.95333769999999995</v>
      </c>
      <c r="AB761">
        <v>50</v>
      </c>
      <c r="AC761">
        <v>15.5620999999999</v>
      </c>
      <c r="AD761">
        <v>-1.10501799263399</v>
      </c>
      <c r="AE761">
        <v>-5.9641999999999999</v>
      </c>
      <c r="AF761">
        <v>5.0944651637648297</v>
      </c>
      <c r="AG761">
        <v>-1.10501799263399</v>
      </c>
      <c r="AH761">
        <v>15.7914832646838</v>
      </c>
      <c r="AI761">
        <v>93.810032985582794</v>
      </c>
      <c r="AJ761">
        <v>72.119863015107498</v>
      </c>
      <c r="AK761">
        <v>16.629659761030801</v>
      </c>
    </row>
    <row r="762" spans="1:37" x14ac:dyDescent="0.2">
      <c r="A762" t="str">
        <f>"20200111154040551"</f>
        <v>20200111154040551</v>
      </c>
      <c r="B762" t="str">
        <f>"1578728440547026"</f>
        <v>1578728440547026</v>
      </c>
      <c r="C762" t="s">
        <v>37</v>
      </c>
      <c r="D762">
        <v>5.7123419999999996</v>
      </c>
      <c r="E762">
        <v>0.58103939999999998</v>
      </c>
      <c r="F762" t="s">
        <v>42</v>
      </c>
      <c r="G762">
        <v>-201.5068</v>
      </c>
      <c r="H762" s="1">
        <v>-2.9037740000000002E-6</v>
      </c>
      <c r="I762">
        <v>361.91899999999998</v>
      </c>
      <c r="J762">
        <v>-216.99359999999999</v>
      </c>
      <c r="K762">
        <v>1.104676</v>
      </c>
      <c r="L762">
        <v>367.9563</v>
      </c>
      <c r="M762">
        <v>0.99800069999999996</v>
      </c>
      <c r="N762">
        <v>0</v>
      </c>
      <c r="O762">
        <v>-5.7686349999999997E-2</v>
      </c>
      <c r="P762">
        <v>0.98683509999999997</v>
      </c>
      <c r="Q762">
        <v>3.8373020000000001E-2</v>
      </c>
      <c r="R762">
        <v>-0.157111</v>
      </c>
      <c r="S762">
        <v>2.8757169999999999</v>
      </c>
      <c r="T762">
        <v>-0.2013897</v>
      </c>
      <c r="U762">
        <v>-1.1036379999999999</v>
      </c>
      <c r="V762">
        <v>0.1009208</v>
      </c>
      <c r="W762">
        <v>6.2421549999999999E-2</v>
      </c>
      <c r="X762">
        <v>0.99293430000000005</v>
      </c>
      <c r="Y762">
        <v>0.30330509999999999</v>
      </c>
      <c r="Z762">
        <v>-6.3582769999999999E-3</v>
      </c>
      <c r="AA762">
        <v>0.95287230000000001</v>
      </c>
      <c r="AB762">
        <v>50</v>
      </c>
      <c r="AC762">
        <v>15.486799999999899</v>
      </c>
      <c r="AD762">
        <v>-1.1046789037739999</v>
      </c>
      <c r="AE762">
        <v>-6.0372999999999504</v>
      </c>
      <c r="AF762">
        <v>5.1109905171156704</v>
      </c>
      <c r="AG762">
        <v>-1.1046789037739999</v>
      </c>
      <c r="AH762">
        <v>15.7398597656811</v>
      </c>
      <c r="AI762">
        <v>93.818970352409593</v>
      </c>
      <c r="AJ762">
        <v>72.0105366306435</v>
      </c>
      <c r="AK762">
        <v>16.585708456071401</v>
      </c>
    </row>
    <row r="763" spans="1:37" x14ac:dyDescent="0.2">
      <c r="A763" t="str">
        <f>"20200111154040565"</f>
        <v>20200111154040565</v>
      </c>
      <c r="B763" t="str">
        <f>"1578728440556787"</f>
        <v>1578728440556787</v>
      </c>
      <c r="C763" t="s">
        <v>37</v>
      </c>
      <c r="D763">
        <v>5.6389659999999999</v>
      </c>
      <c r="E763">
        <v>0.58100989999999997</v>
      </c>
      <c r="F763" t="s">
        <v>42</v>
      </c>
      <c r="G763">
        <v>-201.20230000000001</v>
      </c>
      <c r="H763" s="1">
        <v>-2.7772759999999998E-6</v>
      </c>
      <c r="I763">
        <v>361.79829999999998</v>
      </c>
      <c r="J763">
        <v>-216.67330000000001</v>
      </c>
      <c r="K763">
        <v>1.104303</v>
      </c>
      <c r="L763">
        <v>367.935</v>
      </c>
      <c r="M763">
        <v>0.99774089999999904</v>
      </c>
      <c r="N763">
        <v>0</v>
      </c>
      <c r="O763">
        <v>-6.2037509999999997E-2</v>
      </c>
      <c r="P763">
        <v>0.98579110000000003</v>
      </c>
      <c r="Q763">
        <v>3.9225719999999999E-2</v>
      </c>
      <c r="R763">
        <v>-0.16333210000000001</v>
      </c>
      <c r="S763">
        <v>2.869659</v>
      </c>
      <c r="T763">
        <v>-0.20074649999999999</v>
      </c>
      <c r="U763">
        <v>-1.119049</v>
      </c>
      <c r="V763">
        <v>0.10292809999999999</v>
      </c>
      <c r="W763">
        <v>6.3092560000000006E-2</v>
      </c>
      <c r="X763">
        <v>0.99268579999999995</v>
      </c>
      <c r="Y763">
        <v>0.30428319999999998</v>
      </c>
      <c r="Z763">
        <v>-6.0863239999999997E-3</v>
      </c>
      <c r="AA763">
        <v>0.95256219999999903</v>
      </c>
      <c r="AB763">
        <v>50</v>
      </c>
      <c r="AC763">
        <v>15.471</v>
      </c>
      <c r="AD763">
        <v>-1.1043057772760001</v>
      </c>
      <c r="AE763">
        <v>-6.13670000000001</v>
      </c>
      <c r="AF763">
        <v>5.1421330742357299</v>
      </c>
      <c r="AG763">
        <v>-1.1043057772760001</v>
      </c>
      <c r="AH763">
        <v>15.752664047601</v>
      </c>
      <c r="AI763">
        <v>93.812672857085403</v>
      </c>
      <c r="AJ763">
        <v>71.921793757857699</v>
      </c>
      <c r="AK763">
        <v>16.6074515925669</v>
      </c>
    </row>
    <row r="764" spans="1:37" x14ac:dyDescent="0.2">
      <c r="A764" t="str">
        <f>"20200111154040578"</f>
        <v>20200111154040578</v>
      </c>
      <c r="B764" t="str">
        <f>"1578728440566547"</f>
        <v>1578728440566547</v>
      </c>
      <c r="C764" t="s">
        <v>37</v>
      </c>
      <c r="D764">
        <v>5.6851539999999998</v>
      </c>
      <c r="E764">
        <v>0.58097310000000002</v>
      </c>
      <c r="F764" t="s">
        <v>42</v>
      </c>
      <c r="G764">
        <v>-200.7217</v>
      </c>
      <c r="H764" s="1">
        <v>-2.5550219999999999E-6</v>
      </c>
      <c r="I764">
        <v>361.59890000000001</v>
      </c>
      <c r="J764">
        <v>-216.36619999999999</v>
      </c>
      <c r="K764">
        <v>1.1039410000000001</v>
      </c>
      <c r="L764">
        <v>367.91300000000001</v>
      </c>
      <c r="M764">
        <v>0.99745729999999999</v>
      </c>
      <c r="N764">
        <v>0</v>
      </c>
      <c r="O764">
        <v>-6.6463129999999995E-2</v>
      </c>
      <c r="P764">
        <v>0.98470579999999996</v>
      </c>
      <c r="Q764">
        <v>4.033925E-2</v>
      </c>
      <c r="R764">
        <v>-0.169492899999999</v>
      </c>
      <c r="S764">
        <v>2.862762</v>
      </c>
      <c r="T764">
        <v>-0.19818450000000001</v>
      </c>
      <c r="U764">
        <v>-1.1371149999999901</v>
      </c>
      <c r="V764">
        <v>0.1048105</v>
      </c>
      <c r="W764">
        <v>6.4028130000000003E-2</v>
      </c>
      <c r="X764">
        <v>0.99242889999999995</v>
      </c>
      <c r="Y764">
        <v>0.30605539999999998</v>
      </c>
      <c r="Z764">
        <v>-5.7821340000000004E-3</v>
      </c>
      <c r="AA764">
        <v>0.95199609999999901</v>
      </c>
      <c r="AB764">
        <v>50</v>
      </c>
      <c r="AC764">
        <v>15.644499999999899</v>
      </c>
      <c r="AD764">
        <v>-1.103943555022</v>
      </c>
      <c r="AE764">
        <v>-6.3140999999999901</v>
      </c>
      <c r="AF764">
        <v>5.2375764692961804</v>
      </c>
      <c r="AG764">
        <v>-1.103943555022</v>
      </c>
      <c r="AH764">
        <v>15.96133499708</v>
      </c>
      <c r="AI764">
        <v>93.759843218668806</v>
      </c>
      <c r="AJ764">
        <v>71.833189787481899</v>
      </c>
      <c r="AK764">
        <v>16.8349372892628</v>
      </c>
    </row>
    <row r="765" spans="1:37" x14ac:dyDescent="0.2">
      <c r="A765" t="str">
        <f>"20200111154040591"</f>
        <v>20200111154040591</v>
      </c>
      <c r="B765" t="str">
        <f>"1578728440586575"</f>
        <v>1578728440586575</v>
      </c>
      <c r="C765" t="s">
        <v>37</v>
      </c>
      <c r="D765">
        <v>5.6532439999999999</v>
      </c>
      <c r="E765">
        <v>0.58090750000000002</v>
      </c>
      <c r="F765" t="s">
        <v>42</v>
      </c>
      <c r="G765">
        <v>-200.19220000000001</v>
      </c>
      <c r="H765" s="1">
        <v>-2.30178E-6</v>
      </c>
      <c r="I765">
        <v>361.37290000000002</v>
      </c>
      <c r="J765">
        <v>-216.0977</v>
      </c>
      <c r="K765">
        <v>1.103645</v>
      </c>
      <c r="L765">
        <v>367.89240000000001</v>
      </c>
      <c r="M765">
        <v>0.99718050000000003</v>
      </c>
      <c r="N765">
        <v>0</v>
      </c>
      <c r="O765">
        <v>-7.0507920000000002E-2</v>
      </c>
      <c r="P765">
        <v>0.98319920000000005</v>
      </c>
      <c r="Q765">
        <v>4.242394E-2</v>
      </c>
      <c r="R765">
        <v>-0.1775369</v>
      </c>
      <c r="S765">
        <v>2.85582</v>
      </c>
      <c r="T765">
        <v>-0.1949227</v>
      </c>
      <c r="U765">
        <v>-1.154785</v>
      </c>
      <c r="V765">
        <v>0.10899539999999899</v>
      </c>
      <c r="W765">
        <v>6.5900059999999996E-2</v>
      </c>
      <c r="X765">
        <v>0.99185540000000005</v>
      </c>
      <c r="Y765">
        <v>0.30808099999999999</v>
      </c>
      <c r="Z765">
        <v>-5.4971439999999998E-3</v>
      </c>
      <c r="AA765">
        <v>0.95134430000000003</v>
      </c>
      <c r="AB765">
        <v>50</v>
      </c>
      <c r="AC765">
        <v>15.9054999999999</v>
      </c>
      <c r="AD765">
        <v>-1.1036473017799999</v>
      </c>
      <c r="AE765">
        <v>-6.5194999999999901</v>
      </c>
      <c r="AF765">
        <v>5.3593380807926803</v>
      </c>
      <c r="AG765">
        <v>-1.1036473017799999</v>
      </c>
      <c r="AH765">
        <v>16.258696485022799</v>
      </c>
      <c r="AI765">
        <v>93.688657763511998</v>
      </c>
      <c r="AJ765">
        <v>71.756280691055593</v>
      </c>
      <c r="AK765">
        <v>17.154758914745901</v>
      </c>
    </row>
    <row r="766" spans="1:37" x14ac:dyDescent="0.2">
      <c r="A766" t="str">
        <f>"20200111154040604"</f>
        <v>20200111154040604</v>
      </c>
      <c r="B766" t="str">
        <f>"1578728440597310"</f>
        <v>1578728440597310</v>
      </c>
      <c r="C766" t="s">
        <v>37</v>
      </c>
      <c r="D766">
        <v>5.68072</v>
      </c>
      <c r="E766">
        <v>0.5808759</v>
      </c>
      <c r="F766" t="s">
        <v>42</v>
      </c>
      <c r="G766">
        <v>-199.5282</v>
      </c>
      <c r="H766" s="1">
        <v>-9.9816439999999998E-6</v>
      </c>
      <c r="I766">
        <v>361.0394</v>
      </c>
      <c r="J766">
        <v>-215.82740000000001</v>
      </c>
      <c r="K766">
        <v>1.103337</v>
      </c>
      <c r="L766">
        <v>367.87099999999998</v>
      </c>
      <c r="M766">
        <v>0.9968785</v>
      </c>
      <c r="N766">
        <v>0</v>
      </c>
      <c r="O766">
        <v>-7.4673139999999999E-2</v>
      </c>
      <c r="P766">
        <v>0.98198589999999997</v>
      </c>
      <c r="Q766">
        <v>4.3682289999999999E-2</v>
      </c>
      <c r="R766">
        <v>-0.18383629999999901</v>
      </c>
      <c r="S766">
        <v>2.846848</v>
      </c>
      <c r="T766">
        <v>-0.1896214</v>
      </c>
      <c r="U766">
        <v>-1.1774290000000001</v>
      </c>
      <c r="V766">
        <v>0.11129069999999899</v>
      </c>
      <c r="W766">
        <v>6.6981029999999997E-2</v>
      </c>
      <c r="X766">
        <v>0.99152809999999902</v>
      </c>
      <c r="Y766">
        <v>0.31165219999999999</v>
      </c>
      <c r="Z766">
        <v>-5.2063539999999998E-3</v>
      </c>
      <c r="AA766">
        <v>0.95018199999999997</v>
      </c>
      <c r="AB766">
        <v>50</v>
      </c>
      <c r="AC766">
        <v>16.299199999999999</v>
      </c>
      <c r="AD766">
        <v>-1.103346981644</v>
      </c>
      <c r="AE766">
        <v>-6.8315999999999804</v>
      </c>
      <c r="AF766">
        <v>5.5732787276106803</v>
      </c>
      <c r="AG766">
        <v>-1.103346981644</v>
      </c>
      <c r="AH766">
        <v>16.698881861415799</v>
      </c>
      <c r="AI766">
        <v>93.5862981857249</v>
      </c>
      <c r="AJ766">
        <v>71.543484880053995</v>
      </c>
      <c r="AK766">
        <v>17.6389190643605</v>
      </c>
    </row>
    <row r="767" spans="1:37" x14ac:dyDescent="0.2">
      <c r="A767" t="str">
        <f>"20200111154040615"</f>
        <v>20200111154040615</v>
      </c>
      <c r="B767" t="str">
        <f>"1578728440607070"</f>
        <v>1578728440607070</v>
      </c>
      <c r="C767" t="s">
        <v>37</v>
      </c>
      <c r="D767">
        <v>5.7035629999999999</v>
      </c>
      <c r="E767">
        <v>0.58083660000000004</v>
      </c>
      <c r="F767" t="s">
        <v>42</v>
      </c>
      <c r="G767">
        <v>-198.9966</v>
      </c>
      <c r="H767" s="1">
        <v>-9.8248660000000001E-6</v>
      </c>
      <c r="I767">
        <v>360.78519999999997</v>
      </c>
      <c r="J767">
        <v>-215.55510000000001</v>
      </c>
      <c r="K767">
        <v>1.103019</v>
      </c>
      <c r="L767">
        <v>367.8476</v>
      </c>
      <c r="M767">
        <v>0.99653599999999998</v>
      </c>
      <c r="N767">
        <v>0</v>
      </c>
      <c r="O767">
        <v>-7.9124600000000003E-2</v>
      </c>
      <c r="P767">
        <v>0.9806646</v>
      </c>
      <c r="Q767">
        <v>4.489224E-2</v>
      </c>
      <c r="R767">
        <v>-0.19047839999999999</v>
      </c>
      <c r="S767">
        <v>2.8395079999999999</v>
      </c>
      <c r="T767">
        <v>-0.18614449999999999</v>
      </c>
      <c r="U767">
        <v>-1.195435</v>
      </c>
      <c r="V767">
        <v>0.1136556</v>
      </c>
      <c r="W767">
        <v>6.8010539999999994E-2</v>
      </c>
      <c r="X767">
        <v>0.99118969999999995</v>
      </c>
      <c r="Y767">
        <v>0.31342569999999997</v>
      </c>
      <c r="Z767">
        <v>-4.896287E-3</v>
      </c>
      <c r="AA767">
        <v>0.94960009999999995</v>
      </c>
      <c r="AB767">
        <v>49</v>
      </c>
      <c r="AC767">
        <v>16.558499999999999</v>
      </c>
      <c r="AD767">
        <v>-1.1030288248660001</v>
      </c>
      <c r="AE767">
        <v>-7.0624000000000198</v>
      </c>
      <c r="AF767">
        <v>5.7081976269791204</v>
      </c>
      <c r="AG767">
        <v>-1.1030288248660001</v>
      </c>
      <c r="AH767">
        <v>17.001711273163401</v>
      </c>
      <c r="AI767">
        <v>93.519464668678694</v>
      </c>
      <c r="AJ767">
        <v>71.440907764797799</v>
      </c>
      <c r="AK767">
        <v>17.968260320719601</v>
      </c>
    </row>
    <row r="768" spans="1:37" x14ac:dyDescent="0.2">
      <c r="A768" t="str">
        <f>"20200111154040628"</f>
        <v>20200111154040628</v>
      </c>
      <c r="B768" t="str">
        <f>"1578728440616830"</f>
        <v>1578728440616830</v>
      </c>
      <c r="C768" t="s">
        <v>37</v>
      </c>
      <c r="D768">
        <v>5.6774909999999998</v>
      </c>
      <c r="E768">
        <v>0.58078189999999996</v>
      </c>
      <c r="F768" t="s">
        <v>42</v>
      </c>
      <c r="G768">
        <v>-198.51349999999999</v>
      </c>
      <c r="H768" s="1">
        <v>-9.6914550000000005E-6</v>
      </c>
      <c r="I768">
        <v>360.53899999999999</v>
      </c>
      <c r="J768">
        <v>-215.2842</v>
      </c>
      <c r="K768">
        <v>1.102698</v>
      </c>
      <c r="L768">
        <v>367.82339999999999</v>
      </c>
      <c r="M768">
        <v>0.9961662</v>
      </c>
      <c r="N768">
        <v>0</v>
      </c>
      <c r="O768">
        <v>-8.3664719999999998E-2</v>
      </c>
      <c r="P768">
        <v>0.97921019999999903</v>
      </c>
      <c r="Q768">
        <v>4.6087740000000002E-2</v>
      </c>
      <c r="R768">
        <v>-0.197543</v>
      </c>
      <c r="S768">
        <v>2.8316650000000001</v>
      </c>
      <c r="T768">
        <v>-0.1832819</v>
      </c>
      <c r="U768">
        <v>-1.2144170000000001</v>
      </c>
      <c r="V768">
        <v>0.11636829999999999</v>
      </c>
      <c r="W768">
        <v>6.9014309999999995E-2</v>
      </c>
      <c r="X768">
        <v>0.99080539999999995</v>
      </c>
      <c r="Y768">
        <v>0.31544519999999998</v>
      </c>
      <c r="Z768">
        <v>-4.6119539999999997E-3</v>
      </c>
      <c r="AA768">
        <v>0.94893259999999902</v>
      </c>
      <c r="AB768">
        <v>49</v>
      </c>
      <c r="AC768">
        <v>16.770700000000001</v>
      </c>
      <c r="AD768">
        <v>-1.102707691455</v>
      </c>
      <c r="AE768">
        <v>-7.2843999999999998</v>
      </c>
      <c r="AF768">
        <v>5.8340502934854301</v>
      </c>
      <c r="AG768">
        <v>-1.102707691455</v>
      </c>
      <c r="AH768">
        <v>17.258736754460401</v>
      </c>
      <c r="AI768">
        <v>93.463775957932199</v>
      </c>
      <c r="AJ768">
        <v>71.322967232881695</v>
      </c>
      <c r="AK768">
        <v>18.251468473508499</v>
      </c>
    </row>
    <row r="769" spans="1:37" x14ac:dyDescent="0.2">
      <c r="A769" t="str">
        <f>"20200111154040641"</f>
        <v>20200111154040641</v>
      </c>
      <c r="B769" t="str">
        <f>"1578728440637328"</f>
        <v>1578728440637328</v>
      </c>
      <c r="C769" t="s">
        <v>37</v>
      </c>
      <c r="D769">
        <v>5.8968069999999999</v>
      </c>
      <c r="E769">
        <v>0.57064969999999904</v>
      </c>
      <c r="F769" t="s">
        <v>42</v>
      </c>
      <c r="G769">
        <v>-198.04509999999999</v>
      </c>
      <c r="H769" s="1">
        <v>-9.5663000000000002E-6</v>
      </c>
      <c r="I769">
        <v>360.2876</v>
      </c>
      <c r="J769">
        <v>-214.9933</v>
      </c>
      <c r="K769">
        <v>1.102352</v>
      </c>
      <c r="L769">
        <v>367.7962</v>
      </c>
      <c r="M769">
        <v>0.99573140000000004</v>
      </c>
      <c r="N769">
        <v>0</v>
      </c>
      <c r="O769">
        <v>-8.8700089999999995E-2</v>
      </c>
      <c r="P769">
        <v>0.97769810000000001</v>
      </c>
      <c r="Q769">
        <v>4.677137E-2</v>
      </c>
      <c r="R769">
        <v>-0.2047407</v>
      </c>
      <c r="S769">
        <v>2.8232270000000002</v>
      </c>
      <c r="T769">
        <v>-0.18058959999999999</v>
      </c>
      <c r="U769">
        <v>-1.2341309999999901</v>
      </c>
      <c r="V769">
        <v>0.1187236</v>
      </c>
      <c r="W769">
        <v>6.9501899999999894E-2</v>
      </c>
      <c r="X769">
        <v>0.99049189999999998</v>
      </c>
      <c r="Y769">
        <v>0.31726880000000002</v>
      </c>
      <c r="Z769">
        <v>-4.3026130000000003E-3</v>
      </c>
      <c r="AA769">
        <v>0.94832590000000005</v>
      </c>
      <c r="AB769">
        <v>49</v>
      </c>
      <c r="AC769">
        <v>16.9482</v>
      </c>
      <c r="AD769">
        <v>-1.1023615662999999</v>
      </c>
      <c r="AE769">
        <v>-7.5086000000000004</v>
      </c>
      <c r="AF769">
        <v>5.9541314220025798</v>
      </c>
      <c r="AG769">
        <v>-1.1023615662999999</v>
      </c>
      <c r="AH769">
        <v>17.4857457998211</v>
      </c>
      <c r="AI769">
        <v>93.415273548699702</v>
      </c>
      <c r="AJ769">
        <v>71.195601379611105</v>
      </c>
      <c r="AK769">
        <v>18.504545068422999</v>
      </c>
    </row>
    <row r="770" spans="1:37" x14ac:dyDescent="0.2">
      <c r="A770" t="str">
        <f>"20200111154040654"</f>
        <v>20200111154040654</v>
      </c>
      <c r="B770" t="str">
        <f>"1578728440647086"</f>
        <v>1578728440647086</v>
      </c>
      <c r="C770" t="s">
        <v>37</v>
      </c>
      <c r="D770">
        <v>5.6173570000000002</v>
      </c>
      <c r="E770">
        <v>0.57489000000000001</v>
      </c>
      <c r="F770" t="s">
        <v>42</v>
      </c>
      <c r="G770">
        <v>-201.4999</v>
      </c>
      <c r="H770" s="1">
        <v>-2.840425E-6</v>
      </c>
      <c r="I770">
        <v>362.18900000000002</v>
      </c>
      <c r="J770">
        <v>-214.7004</v>
      </c>
      <c r="K770">
        <v>1.102001</v>
      </c>
      <c r="L770">
        <v>367.76670000000001</v>
      </c>
      <c r="M770">
        <v>0.99524369999999995</v>
      </c>
      <c r="N770">
        <v>0</v>
      </c>
      <c r="O770">
        <v>-9.4026180000000001E-2</v>
      </c>
      <c r="P770">
        <v>0.97610319999999995</v>
      </c>
      <c r="Q770">
        <v>4.7007229999999997E-2</v>
      </c>
      <c r="R770">
        <v>-0.21216309999999999</v>
      </c>
      <c r="S770">
        <v>2.8329770000000001</v>
      </c>
      <c r="T770">
        <v>-0.23144299999999901</v>
      </c>
      <c r="U770">
        <v>-1.177246</v>
      </c>
      <c r="V770">
        <v>0.121015</v>
      </c>
      <c r="W770">
        <v>6.9542800000000002E-2</v>
      </c>
      <c r="X770">
        <v>0.99021170000000003</v>
      </c>
      <c r="Y770">
        <v>0.29461509999999902</v>
      </c>
      <c r="Z770">
        <v>-4.2134499999999997E-3</v>
      </c>
      <c r="AA770">
        <v>0.95560669999999903</v>
      </c>
      <c r="AB770">
        <v>49</v>
      </c>
      <c r="AC770">
        <v>13.2005</v>
      </c>
      <c r="AD770">
        <v>-1.1020038404250001</v>
      </c>
      <c r="AE770">
        <v>-5.5776999999999903</v>
      </c>
      <c r="AF770">
        <v>4.2860322822343999</v>
      </c>
      <c r="AG770">
        <v>-1.1020038404250001</v>
      </c>
      <c r="AH770">
        <v>13.5862583305063</v>
      </c>
      <c r="AI770">
        <v>94.4232378396987</v>
      </c>
      <c r="AJ770">
        <v>72.491172273735302</v>
      </c>
      <c r="AK770">
        <v>14.2888383226881</v>
      </c>
    </row>
    <row r="771" spans="1:37" x14ac:dyDescent="0.2">
      <c r="A771" t="str">
        <f>"20200111154040669"</f>
        <v>20200111154040669</v>
      </c>
      <c r="B771" t="str">
        <f>"1578728440656846"</f>
        <v>1578728440656846</v>
      </c>
      <c r="C771" t="s">
        <v>37</v>
      </c>
      <c r="D771">
        <v>5.66371</v>
      </c>
      <c r="E771">
        <v>0.57551209999999997</v>
      </c>
      <c r="F771" t="s">
        <v>42</v>
      </c>
      <c r="G771">
        <v>-201.0257</v>
      </c>
      <c r="H771" s="1">
        <v>-2.684697E-6</v>
      </c>
      <c r="I771">
        <v>361.7878</v>
      </c>
      <c r="J771">
        <v>-214.39859999999999</v>
      </c>
      <c r="K771">
        <v>1.101634</v>
      </c>
      <c r="L771">
        <v>367.73489999999998</v>
      </c>
      <c r="M771">
        <v>0.994695</v>
      </c>
      <c r="N771">
        <v>0</v>
      </c>
      <c r="O771">
        <v>-9.9673170000000005E-2</v>
      </c>
      <c r="P771">
        <v>0.9739949</v>
      </c>
      <c r="Q771">
        <v>4.608342E-2</v>
      </c>
      <c r="R771">
        <v>-0.22183330000000001</v>
      </c>
      <c r="S771">
        <v>2.8166959999999999</v>
      </c>
      <c r="T771">
        <v>-0.2269892</v>
      </c>
      <c r="U771">
        <v>-1.231506</v>
      </c>
      <c r="V771">
        <v>0.12525230000000001</v>
      </c>
      <c r="W771">
        <v>6.8365910000000002E-2</v>
      </c>
      <c r="X771">
        <v>0.98976659999999905</v>
      </c>
      <c r="Y771">
        <v>0.306691099999999</v>
      </c>
      <c r="Z771">
        <v>-4.1770280000000002E-3</v>
      </c>
      <c r="AA771">
        <v>0.95179990000000003</v>
      </c>
      <c r="AB771">
        <v>49</v>
      </c>
      <c r="AC771">
        <v>13.3728999999999</v>
      </c>
      <c r="AD771">
        <v>-1.101636684697</v>
      </c>
      <c r="AE771">
        <v>-5.9470999999999696</v>
      </c>
      <c r="AF771">
        <v>4.5582889426003899</v>
      </c>
      <c r="AG771">
        <v>-1.101636684697</v>
      </c>
      <c r="AH771">
        <v>13.8209160664056</v>
      </c>
      <c r="AI771">
        <v>94.328874286137605</v>
      </c>
      <c r="AJ771">
        <v>71.746880562088805</v>
      </c>
      <c r="AK771">
        <v>14.5948388954428</v>
      </c>
    </row>
    <row r="772" spans="1:37" x14ac:dyDescent="0.2">
      <c r="A772" t="str">
        <f>"20200111154040681"</f>
        <v>20200111154040681</v>
      </c>
      <c r="B772" t="str">
        <f>"1578728440676876"</f>
        <v>1578728440676876</v>
      </c>
      <c r="C772" t="s">
        <v>37</v>
      </c>
      <c r="D772">
        <v>5.6803879999999998</v>
      </c>
      <c r="E772">
        <v>0.57505969999999995</v>
      </c>
      <c r="F772" t="s">
        <v>42</v>
      </c>
      <c r="G772">
        <v>-200.8792</v>
      </c>
      <c r="H772" s="1">
        <v>-2.6381889999999999E-6</v>
      </c>
      <c r="I772">
        <v>361.63670000000002</v>
      </c>
      <c r="J772">
        <v>-214.12010000000001</v>
      </c>
      <c r="K772">
        <v>1.1012959999999901</v>
      </c>
      <c r="L772">
        <v>367.70420000000001</v>
      </c>
      <c r="M772">
        <v>0.99414290000000005</v>
      </c>
      <c r="N772">
        <v>0</v>
      </c>
      <c r="O772">
        <v>-0.10504579999999999</v>
      </c>
      <c r="P772">
        <v>0.97237559999999901</v>
      </c>
      <c r="Q772">
        <v>4.5697710000000002E-2</v>
      </c>
      <c r="R772">
        <v>-0.22890479999999899</v>
      </c>
      <c r="S772">
        <v>2.8029329999999999</v>
      </c>
      <c r="T772">
        <v>-0.22839809999999999</v>
      </c>
      <c r="U772">
        <v>-1.264313</v>
      </c>
      <c r="V772">
        <v>0.12714049999999999</v>
      </c>
      <c r="W772">
        <v>6.779599E-2</v>
      </c>
      <c r="X772">
        <v>0.98956509999999998</v>
      </c>
      <c r="Y772">
        <v>0.31254579999999998</v>
      </c>
      <c r="Z772">
        <v>-4.0295920000000002E-3</v>
      </c>
      <c r="AA772">
        <v>0.94989419999999902</v>
      </c>
      <c r="AB772">
        <v>49</v>
      </c>
      <c r="AC772">
        <v>13.2409</v>
      </c>
      <c r="AD772">
        <v>-1.10129863818899</v>
      </c>
      <c r="AE772">
        <v>-6.0674999999999901</v>
      </c>
      <c r="AF772">
        <v>4.6161669092564903</v>
      </c>
      <c r="AG772">
        <v>-1.10129863818899</v>
      </c>
      <c r="AH772">
        <v>13.7266864300853</v>
      </c>
      <c r="AI772">
        <v>94.348719866643094</v>
      </c>
      <c r="AJ772">
        <v>71.412649347043896</v>
      </c>
      <c r="AK772">
        <v>14.523903606623101</v>
      </c>
    </row>
    <row r="773" spans="1:37" x14ac:dyDescent="0.2">
      <c r="A773" t="str">
        <f>"20200111154040693"</f>
        <v>20200111154040693</v>
      </c>
      <c r="B773" t="str">
        <f>"1578728440686637"</f>
        <v>1578728440686637</v>
      </c>
      <c r="C773" t="s">
        <v>37</v>
      </c>
      <c r="D773">
        <v>5.636342</v>
      </c>
      <c r="E773">
        <v>0.57536669999999901</v>
      </c>
      <c r="F773" t="s">
        <v>42</v>
      </c>
      <c r="G773">
        <v>-200.76349999999999</v>
      </c>
      <c r="H773" s="1">
        <v>-2.58455199999999E-6</v>
      </c>
      <c r="I773">
        <v>361.58080000000001</v>
      </c>
      <c r="J773">
        <v>-213.87129999999999</v>
      </c>
      <c r="K773">
        <v>1.1009990000000001</v>
      </c>
      <c r="L773">
        <v>367.67489999999998</v>
      </c>
      <c r="M773">
        <v>0.99360110000000001</v>
      </c>
      <c r="N773">
        <v>0</v>
      </c>
      <c r="O773">
        <v>-0.110058999999999</v>
      </c>
      <c r="P773">
        <v>0.97063829999999995</v>
      </c>
      <c r="Q773">
        <v>4.5369689999999997E-2</v>
      </c>
      <c r="R773">
        <v>-0.23622699999999999</v>
      </c>
      <c r="S773">
        <v>2.7944490000000002</v>
      </c>
      <c r="T773">
        <v>-0.2304109</v>
      </c>
      <c r="U773">
        <v>-1.281128</v>
      </c>
      <c r="V773">
        <v>0.12964639999999999</v>
      </c>
      <c r="W773">
        <v>6.7285990000000004E-2</v>
      </c>
      <c r="X773">
        <v>0.98927469999999995</v>
      </c>
      <c r="Y773">
        <v>0.3135694</v>
      </c>
      <c r="Z773">
        <v>-3.7252659999999901E-3</v>
      </c>
      <c r="AA773">
        <v>0.94955800000000001</v>
      </c>
      <c r="AB773">
        <v>49</v>
      </c>
      <c r="AC773">
        <v>13.1077999999999</v>
      </c>
      <c r="AD773">
        <v>-1.101001584552</v>
      </c>
      <c r="AE773">
        <v>-6.0940999999999601</v>
      </c>
      <c r="AF773">
        <v>4.5873459819901701</v>
      </c>
      <c r="AG773">
        <v>-1.101001584552</v>
      </c>
      <c r="AH773">
        <v>13.620031524641099</v>
      </c>
      <c r="AI773">
        <v>94.380781338220004</v>
      </c>
      <c r="AJ773">
        <v>71.386023666897799</v>
      </c>
      <c r="AK773">
        <v>14.4139240451684</v>
      </c>
    </row>
    <row r="774" spans="1:37" x14ac:dyDescent="0.2">
      <c r="A774" t="str">
        <f>"20200111154040705"</f>
        <v>20200111154040705</v>
      </c>
      <c r="B774" t="str">
        <f>"1578728440697372"</f>
        <v>1578728440697372</v>
      </c>
      <c r="C774" t="s">
        <v>37</v>
      </c>
      <c r="D774">
        <v>5.6549550000000002</v>
      </c>
      <c r="E774">
        <v>0.57510319999999904</v>
      </c>
      <c r="F774" t="s">
        <v>42</v>
      </c>
      <c r="G774">
        <v>-200.5111</v>
      </c>
      <c r="H774" s="1">
        <v>-2.478956E-6</v>
      </c>
      <c r="I774">
        <v>361.41629999999998</v>
      </c>
      <c r="J774">
        <v>-213.6063</v>
      </c>
      <c r="K774">
        <v>1.100681</v>
      </c>
      <c r="L774">
        <v>367.6429</v>
      </c>
      <c r="M774">
        <v>0.99298660000000005</v>
      </c>
      <c r="N774">
        <v>0</v>
      </c>
      <c r="O774">
        <v>-0.1154768</v>
      </c>
      <c r="P774">
        <v>0.96874450000000001</v>
      </c>
      <c r="Q774">
        <v>4.49366E-2</v>
      </c>
      <c r="R774">
        <v>-0.2439569</v>
      </c>
      <c r="S774">
        <v>2.7840729999999998</v>
      </c>
      <c r="T774">
        <v>-0.22943359999999999</v>
      </c>
      <c r="U774">
        <v>-1.3041989999999899</v>
      </c>
      <c r="V774">
        <v>0.13217429999999999</v>
      </c>
      <c r="W774">
        <v>6.6659410000000002E-2</v>
      </c>
      <c r="X774">
        <v>0.98898259999999905</v>
      </c>
      <c r="Y774">
        <v>0.31621450000000001</v>
      </c>
      <c r="Z774">
        <v>-3.4037239999999999E-3</v>
      </c>
      <c r="AA774">
        <v>0.94868159999999901</v>
      </c>
      <c r="AB774">
        <v>49</v>
      </c>
      <c r="AC774">
        <v>13.0952</v>
      </c>
      <c r="AD774">
        <v>-1.100683478956</v>
      </c>
      <c r="AE774">
        <v>-6.2266000000000101</v>
      </c>
      <c r="AF774">
        <v>4.6454727215621299</v>
      </c>
      <c r="AG774">
        <v>-1.100683478956</v>
      </c>
      <c r="AH774">
        <v>13.6481562176896</v>
      </c>
      <c r="AI774">
        <v>94.365818757872006</v>
      </c>
      <c r="AJ774">
        <v>71.202778878369401</v>
      </c>
      <c r="AK774">
        <v>14.4590486917392</v>
      </c>
    </row>
    <row r="775" spans="1:37" x14ac:dyDescent="0.2">
      <c r="A775" t="str">
        <f>"20200111154040716"</f>
        <v>20200111154040716</v>
      </c>
      <c r="B775" t="str">
        <f>"1578728440707132"</f>
        <v>1578728440707132</v>
      </c>
      <c r="C775" t="s">
        <v>37</v>
      </c>
      <c r="D775">
        <v>5.6175790000000001</v>
      </c>
      <c r="E775">
        <v>0.57452919999999996</v>
      </c>
      <c r="F775" t="s">
        <v>42</v>
      </c>
      <c r="G775">
        <v>-200.58539999999999</v>
      </c>
      <c r="H775" s="1">
        <v>-2.5195499999999999E-6</v>
      </c>
      <c r="I775">
        <v>361.42910000000001</v>
      </c>
      <c r="J775">
        <v>-213.3494</v>
      </c>
      <c r="K775">
        <v>1.100376</v>
      </c>
      <c r="L775">
        <v>367.61</v>
      </c>
      <c r="M775">
        <v>0.99233700000000002</v>
      </c>
      <c r="N775">
        <v>0</v>
      </c>
      <c r="O775">
        <v>-0.120938</v>
      </c>
      <c r="P775">
        <v>0.96684590000000004</v>
      </c>
      <c r="Q775">
        <v>4.4861709999999999E-2</v>
      </c>
      <c r="R775">
        <v>-0.25138959999999999</v>
      </c>
      <c r="S775">
        <v>2.7742610000000001</v>
      </c>
      <c r="T775">
        <v>-0.2345141</v>
      </c>
      <c r="U775">
        <v>-1.323944</v>
      </c>
      <c r="V775">
        <v>0.1343751</v>
      </c>
      <c r="W775">
        <v>6.6403429999999999E-2</v>
      </c>
      <c r="X775">
        <v>0.98870309999999995</v>
      </c>
      <c r="Y775">
        <v>0.31778390000000001</v>
      </c>
      <c r="Z775">
        <v>-3.1193589999999999E-3</v>
      </c>
      <c r="AA775">
        <v>0.94815799999999995</v>
      </c>
      <c r="AB775">
        <v>48</v>
      </c>
      <c r="AC775">
        <v>12.763999999999999</v>
      </c>
      <c r="AD775">
        <v>-1.10037851955</v>
      </c>
      <c r="AE775">
        <v>-6.1809000000000003</v>
      </c>
      <c r="AF775">
        <v>4.5638793692555204</v>
      </c>
      <c r="AG775">
        <v>-1.10037851955</v>
      </c>
      <c r="AH775">
        <v>13.337700507696599</v>
      </c>
      <c r="AI775">
        <v>94.463347034066302</v>
      </c>
      <c r="AJ775">
        <v>71.110136910623794</v>
      </c>
      <c r="AK775">
        <v>14.1398049002246</v>
      </c>
    </row>
    <row r="776" spans="1:37" x14ac:dyDescent="0.2">
      <c r="A776" t="str">
        <f>"20200111154040729"</f>
        <v>20200111154040729</v>
      </c>
      <c r="B776" t="str">
        <f>"1578728440716893"</f>
        <v>1578728440716893</v>
      </c>
      <c r="C776" t="s">
        <v>37</v>
      </c>
      <c r="D776">
        <v>5.6655819999999997</v>
      </c>
      <c r="E776">
        <v>0.57417669999999998</v>
      </c>
      <c r="F776" t="s">
        <v>42</v>
      </c>
      <c r="G776">
        <v>-200.56120000000001</v>
      </c>
      <c r="H776" s="1">
        <v>-2.5096819999999998E-6</v>
      </c>
      <c r="I776">
        <v>361.41230000000002</v>
      </c>
      <c r="J776">
        <v>-213.0891</v>
      </c>
      <c r="K776">
        <v>1.100074</v>
      </c>
      <c r="L776">
        <v>367.57530000000003</v>
      </c>
      <c r="M776">
        <v>0.99163040000000002</v>
      </c>
      <c r="N776">
        <v>0</v>
      </c>
      <c r="O776">
        <v>-0.1266051</v>
      </c>
      <c r="P776">
        <v>0.96482710000000005</v>
      </c>
      <c r="Q776">
        <v>4.4162569999999998E-2</v>
      </c>
      <c r="R776">
        <v>-0.25914920000000002</v>
      </c>
      <c r="S776">
        <v>2.7654109999999998</v>
      </c>
      <c r="T776">
        <v>-0.23795349999999901</v>
      </c>
      <c r="U776">
        <v>-1.3402399999999901</v>
      </c>
      <c r="V776">
        <v>0.1366957</v>
      </c>
      <c r="W776">
        <v>6.5515130000000005E-2</v>
      </c>
      <c r="X776">
        <v>0.98844430000000005</v>
      </c>
      <c r="Y776">
        <v>0.31808019999999998</v>
      </c>
      <c r="Z776">
        <v>-2.7309679999999999E-3</v>
      </c>
      <c r="AA776">
        <v>0.94805989999999996</v>
      </c>
      <c r="AB776">
        <v>48</v>
      </c>
      <c r="AC776">
        <v>12.527899999999899</v>
      </c>
      <c r="AD776">
        <v>-1.100076509682</v>
      </c>
      <c r="AE776">
        <v>-6.16300000000001</v>
      </c>
      <c r="AF776">
        <v>4.4988419183734401</v>
      </c>
      <c r="AG776">
        <v>-1.100076509682</v>
      </c>
      <c r="AH776">
        <v>13.1260537060607</v>
      </c>
      <c r="AI776">
        <v>94.532999119296406</v>
      </c>
      <c r="AJ776">
        <v>71.081290232402395</v>
      </c>
      <c r="AK776">
        <v>13.919160636620999</v>
      </c>
    </row>
    <row r="777" spans="1:37" x14ac:dyDescent="0.2">
      <c r="A777" t="str">
        <f>"20200111154040743"</f>
        <v>20200111154040743</v>
      </c>
      <c r="B777" t="str">
        <f>"1578728440737388"</f>
        <v>1578728440737388</v>
      </c>
      <c r="C777" t="s">
        <v>37</v>
      </c>
      <c r="D777">
        <v>5.6899819999999997</v>
      </c>
      <c r="E777">
        <v>0.5735616</v>
      </c>
      <c r="F777" t="s">
        <v>42</v>
      </c>
      <c r="G777">
        <v>-200.5565</v>
      </c>
      <c r="H777" s="1">
        <v>-2.51259E-6</v>
      </c>
      <c r="I777">
        <v>361.39080000000001</v>
      </c>
      <c r="J777">
        <v>-212.79230000000001</v>
      </c>
      <c r="K777">
        <v>1.099729</v>
      </c>
      <c r="L777">
        <v>367.53440000000001</v>
      </c>
      <c r="M777">
        <v>0.99076649999999999</v>
      </c>
      <c r="N777">
        <v>0</v>
      </c>
      <c r="O777">
        <v>-0.13320389999999999</v>
      </c>
      <c r="P777">
        <v>0.96255190000000002</v>
      </c>
      <c r="Q777">
        <v>4.3712000000000001E-2</v>
      </c>
      <c r="R777">
        <v>-0.26755089999999998</v>
      </c>
      <c r="S777">
        <v>2.7552490000000001</v>
      </c>
      <c r="T777">
        <v>-0.2418478</v>
      </c>
      <c r="U777">
        <v>-1.35965</v>
      </c>
      <c r="V777">
        <v>0.138770799999999</v>
      </c>
      <c r="W777">
        <v>6.4862299999999998E-2</v>
      </c>
      <c r="X777">
        <v>0.98819820000000003</v>
      </c>
      <c r="Y777">
        <v>0.31852589999999997</v>
      </c>
      <c r="Z777">
        <v>-2.264954E-3</v>
      </c>
      <c r="AA777">
        <v>0.94791139999999996</v>
      </c>
      <c r="AB777">
        <v>48</v>
      </c>
      <c r="AC777">
        <v>12.235799999999999</v>
      </c>
      <c r="AD777">
        <v>-1.09973151259</v>
      </c>
      <c r="AE777">
        <v>-6.1435999999999904</v>
      </c>
      <c r="AF777">
        <v>4.4298605723567297</v>
      </c>
      <c r="AG777">
        <v>-1.09973151259</v>
      </c>
      <c r="AH777">
        <v>12.862322778811899</v>
      </c>
      <c r="AI777">
        <v>94.621746295440403</v>
      </c>
      <c r="AJ777">
        <v>70.995987171524703</v>
      </c>
      <c r="AK777">
        <v>13.6481654941845</v>
      </c>
    </row>
    <row r="778" spans="1:37" x14ac:dyDescent="0.2">
      <c r="A778" t="str">
        <f>"20200111154040755"</f>
        <v>20200111154040755</v>
      </c>
      <c r="B778" t="str">
        <f>"1578728440747148"</f>
        <v>1578728440747148</v>
      </c>
      <c r="C778" t="s">
        <v>37</v>
      </c>
      <c r="D778">
        <v>5.7627660000000001</v>
      </c>
      <c r="E778">
        <v>0.5735616</v>
      </c>
      <c r="F778" t="s">
        <v>42</v>
      </c>
      <c r="G778">
        <v>-200.34350000000001</v>
      </c>
      <c r="H778" s="1">
        <v>-2.4159789999999999E-6</v>
      </c>
      <c r="I778">
        <v>361.28019999999998</v>
      </c>
      <c r="J778">
        <v>-212.51650000000001</v>
      </c>
      <c r="K778">
        <v>1.0994159999999999</v>
      </c>
      <c r="L778">
        <v>367.49369999999999</v>
      </c>
      <c r="M778">
        <v>0.98988690000000001</v>
      </c>
      <c r="N778">
        <v>0</v>
      </c>
      <c r="O778">
        <v>-0.13959460000000001</v>
      </c>
      <c r="P778">
        <v>0.96032819999999997</v>
      </c>
      <c r="Q778">
        <v>4.3683569999999998E-2</v>
      </c>
      <c r="R778">
        <v>-0.27542939999999999</v>
      </c>
      <c r="S778">
        <v>2.7444919999999899</v>
      </c>
      <c r="T778">
        <v>-0.24244949999999901</v>
      </c>
      <c r="U778">
        <v>-1.3788149999999999</v>
      </c>
      <c r="V778">
        <v>0.14053859999999899</v>
      </c>
      <c r="W778">
        <v>6.4650540000000006E-2</v>
      </c>
      <c r="X778">
        <v>0.98796209999999995</v>
      </c>
      <c r="Y778">
        <v>0.31919690000000001</v>
      </c>
      <c r="Z778">
        <v>-1.7845129999999999E-3</v>
      </c>
      <c r="AA778">
        <v>0.94768669999999999</v>
      </c>
      <c r="AB778">
        <v>48</v>
      </c>
      <c r="AC778">
        <v>12.173</v>
      </c>
      <c r="AD778">
        <v>-1.0994184159789999</v>
      </c>
      <c r="AE778">
        <v>-6.2135000000000096</v>
      </c>
      <c r="AF778">
        <v>4.4241673095396203</v>
      </c>
      <c r="AG778">
        <v>-1.0994184159789999</v>
      </c>
      <c r="AH778">
        <v>12.8383050805498</v>
      </c>
      <c r="AI778">
        <v>94.628757410296799</v>
      </c>
      <c r="AJ778">
        <v>70.985700209979498</v>
      </c>
      <c r="AK778">
        <v>13.623657900045201</v>
      </c>
    </row>
    <row r="779" spans="1:37" x14ac:dyDescent="0.2">
      <c r="A779" t="str">
        <f>"20200111154040769"</f>
        <v>20200111154040769</v>
      </c>
      <c r="B779" t="str">
        <f>"1578728440756908"</f>
        <v>1578728440756908</v>
      </c>
      <c r="C779" t="s">
        <v>37</v>
      </c>
      <c r="D779">
        <v>5.8081870000000002</v>
      </c>
      <c r="E779">
        <v>0.58979910000000002</v>
      </c>
      <c r="F779" t="s">
        <v>42</v>
      </c>
      <c r="G779">
        <v>-200.12569999999999</v>
      </c>
      <c r="H779" s="1">
        <v>-2.324196E-6</v>
      </c>
      <c r="I779">
        <v>361.14069999999998</v>
      </c>
      <c r="J779">
        <v>-212.24119999999999</v>
      </c>
      <c r="K779">
        <v>1.0991139999999999</v>
      </c>
      <c r="L779">
        <v>367.45170000000002</v>
      </c>
      <c r="M779">
        <v>0.98894879999999996</v>
      </c>
      <c r="N779">
        <v>0</v>
      </c>
      <c r="O779">
        <v>-0.14609839999999999</v>
      </c>
      <c r="P779">
        <v>0.95727439999999997</v>
      </c>
      <c r="Q779">
        <v>4.3290790000000003E-2</v>
      </c>
      <c r="R779">
        <v>-0.28592309999999999</v>
      </c>
      <c r="S779">
        <v>2.733063</v>
      </c>
      <c r="T779">
        <v>-0.24250089999999999</v>
      </c>
      <c r="U779">
        <v>-1.4013059999999999</v>
      </c>
      <c r="V779">
        <v>0.14489099999999999</v>
      </c>
      <c r="W779">
        <v>6.3985780000000006E-2</v>
      </c>
      <c r="X779">
        <v>0.98737649999999999</v>
      </c>
      <c r="Y779">
        <v>0.3207663</v>
      </c>
      <c r="Z779">
        <v>-1.326196E-3</v>
      </c>
      <c r="AA779">
        <v>0.94715740000000004</v>
      </c>
      <c r="AB779">
        <v>48</v>
      </c>
      <c r="AC779">
        <v>12.1154999999999</v>
      </c>
      <c r="AD779">
        <v>-1.099116324196</v>
      </c>
      <c r="AE779">
        <v>-6.3110000000000301</v>
      </c>
      <c r="AF779">
        <v>4.4438546322708197</v>
      </c>
      <c r="AG779">
        <v>-1.099116324196</v>
      </c>
      <c r="AH779">
        <v>12.8247169271487</v>
      </c>
      <c r="AI779">
        <v>94.629667999950101</v>
      </c>
      <c r="AJ779">
        <v>70.888439065346404</v>
      </c>
      <c r="AK779">
        <v>13.6172414588404</v>
      </c>
    </row>
    <row r="780" spans="1:37" x14ac:dyDescent="0.2">
      <c r="A780" t="str">
        <f>"20200111154040781"</f>
        <v>20200111154040781</v>
      </c>
      <c r="B780" t="str">
        <f>"1578728440776937"</f>
        <v>1578728440776937</v>
      </c>
      <c r="C780" t="s">
        <v>37</v>
      </c>
      <c r="D780">
        <v>5.7541479999999998</v>
      </c>
      <c r="E780">
        <v>0.6003018</v>
      </c>
      <c r="F780" t="s">
        <v>42</v>
      </c>
      <c r="G780">
        <v>-203.95920000000001</v>
      </c>
      <c r="H780" s="1">
        <v>-3.9765610000000002E-6</v>
      </c>
      <c r="I780">
        <v>362.64640000000003</v>
      </c>
      <c r="J780">
        <v>-211.9786</v>
      </c>
      <c r="K780">
        <v>1.098827</v>
      </c>
      <c r="L780">
        <v>367.41030000000001</v>
      </c>
      <c r="M780">
        <v>0.98799409999999899</v>
      </c>
      <c r="N780">
        <v>0</v>
      </c>
      <c r="O780">
        <v>-0.152425799999999</v>
      </c>
      <c r="P780">
        <v>0.95482319999999998</v>
      </c>
      <c r="Q780">
        <v>4.3277459999999997E-2</v>
      </c>
      <c r="R780">
        <v>-0.29400660000000001</v>
      </c>
      <c r="S780">
        <v>2.6847379999999998</v>
      </c>
      <c r="T780">
        <v>-0.35629549999999999</v>
      </c>
      <c r="U780">
        <v>-1.557709</v>
      </c>
      <c r="V780">
        <v>0.14696189999999901</v>
      </c>
      <c r="W780">
        <v>6.3774029999999995E-2</v>
      </c>
      <c r="X780">
        <v>0.98708419999999897</v>
      </c>
      <c r="Y780">
        <v>0.36274489999999998</v>
      </c>
      <c r="Z780">
        <v>-3.7874580000000001E-3</v>
      </c>
      <c r="AA780">
        <v>0.93188079999999995</v>
      </c>
      <c r="AB780">
        <v>48</v>
      </c>
      <c r="AC780">
        <v>8.0193999999999903</v>
      </c>
      <c r="AD780">
        <v>-1.098830976561</v>
      </c>
      <c r="AE780">
        <v>-4.7638999999999703</v>
      </c>
      <c r="AF780">
        <v>3.4377391170975198</v>
      </c>
      <c r="AG780">
        <v>-1.098830976561</v>
      </c>
      <c r="AH780">
        <v>8.53357866133525</v>
      </c>
      <c r="AI780">
        <v>96.811036032571593</v>
      </c>
      <c r="AJ780">
        <v>68.058034565937803</v>
      </c>
      <c r="AK780">
        <v>9.2653896044078294</v>
      </c>
    </row>
    <row r="781" spans="1:37" x14ac:dyDescent="0.2">
      <c r="A781" t="str">
        <f>"20200111154040794"</f>
        <v>20200111154040794</v>
      </c>
      <c r="B781" t="str">
        <f>"1578728440786696"</f>
        <v>1578728440786696</v>
      </c>
      <c r="C781" t="s">
        <v>37</v>
      </c>
      <c r="D781">
        <v>5.8083929999999997</v>
      </c>
      <c r="E781">
        <v>0.60316099999999995</v>
      </c>
      <c r="F781" t="s">
        <v>42</v>
      </c>
      <c r="G781">
        <v>-204.60550000000001</v>
      </c>
      <c r="H781" s="1">
        <v>-4.2708989999999998E-6</v>
      </c>
      <c r="I781">
        <v>362.78579999999999</v>
      </c>
      <c r="J781">
        <v>-211.7216</v>
      </c>
      <c r="K781">
        <v>1.0985529999999999</v>
      </c>
      <c r="L781">
        <v>367.3673</v>
      </c>
      <c r="M781">
        <v>0.98698560000000002</v>
      </c>
      <c r="N781">
        <v>0</v>
      </c>
      <c r="O781">
        <v>-0.15883259999999999</v>
      </c>
      <c r="P781">
        <v>0.95222459999999898</v>
      </c>
      <c r="Q781">
        <v>4.3104160000000002E-2</v>
      </c>
      <c r="R781">
        <v>-0.302342</v>
      </c>
      <c r="S781">
        <v>2.6483759999999998</v>
      </c>
      <c r="T781">
        <v>-0.39469309999999902</v>
      </c>
      <c r="U781">
        <v>-1.6611020000000001</v>
      </c>
      <c r="V781">
        <v>0.1492213</v>
      </c>
      <c r="W781">
        <v>6.3392859999999995E-2</v>
      </c>
      <c r="X781">
        <v>0.98676969999999997</v>
      </c>
      <c r="Y781">
        <v>0.38821479999999903</v>
      </c>
      <c r="Z781">
        <v>-5.1045470000000001E-3</v>
      </c>
      <c r="AA781">
        <v>0.92155480000000001</v>
      </c>
      <c r="AB781">
        <v>48</v>
      </c>
      <c r="AC781">
        <v>7.1160999999999799</v>
      </c>
      <c r="AD781">
        <v>-1.0985572708989999</v>
      </c>
      <c r="AE781">
        <v>-4.5815000000000001</v>
      </c>
      <c r="AF781">
        <v>3.33646370976953</v>
      </c>
      <c r="AG781">
        <v>-1.0985572708989999</v>
      </c>
      <c r="AH781">
        <v>7.6251578504493596</v>
      </c>
      <c r="AI781">
        <v>97.518893137980299</v>
      </c>
      <c r="AJ781">
        <v>66.367739145680503</v>
      </c>
      <c r="AK781">
        <v>8.3953469498480899</v>
      </c>
    </row>
    <row r="782" spans="1:37" x14ac:dyDescent="0.2">
      <c r="A782" t="str">
        <f>"20200111154040807"</f>
        <v>20200111154040807</v>
      </c>
      <c r="B782" t="str">
        <f>"1578728440797433"</f>
        <v>1578728440797433</v>
      </c>
      <c r="C782" t="s">
        <v>37</v>
      </c>
      <c r="D782">
        <v>5.8649190000000004</v>
      </c>
      <c r="E782">
        <v>0.60509329999999995</v>
      </c>
      <c r="F782" t="s">
        <v>42</v>
      </c>
      <c r="G782">
        <v>-204.73390000000001</v>
      </c>
      <c r="H782" s="1">
        <v>-4.3255599999999901E-6</v>
      </c>
      <c r="I782">
        <v>362.83069999999998</v>
      </c>
      <c r="J782">
        <v>-211.43780000000001</v>
      </c>
      <c r="K782">
        <v>1.098247</v>
      </c>
      <c r="L782">
        <v>367.3186</v>
      </c>
      <c r="M782">
        <v>0.98580279999999998</v>
      </c>
      <c r="N782">
        <v>0</v>
      </c>
      <c r="O782">
        <v>-0.16602139999999899</v>
      </c>
      <c r="P782">
        <v>0.94931909999999897</v>
      </c>
      <c r="Q782">
        <v>4.3285520000000001E-2</v>
      </c>
      <c r="R782">
        <v>-0.31131959999999997</v>
      </c>
      <c r="S782">
        <v>2.6275629999999999</v>
      </c>
      <c r="T782">
        <v>-0.41308479999999997</v>
      </c>
      <c r="U782">
        <v>-1.7058720000000001</v>
      </c>
      <c r="V782">
        <v>0.15139839999999999</v>
      </c>
      <c r="W782">
        <v>6.3346699999999895E-2</v>
      </c>
      <c r="X782">
        <v>0.98644100000000001</v>
      </c>
      <c r="Y782">
        <v>0.39572759999999901</v>
      </c>
      <c r="Z782">
        <v>-4.9045310000000002E-3</v>
      </c>
      <c r="AA782">
        <v>0.91835480000000003</v>
      </c>
      <c r="AB782">
        <v>48</v>
      </c>
      <c r="AC782">
        <v>6.7039</v>
      </c>
      <c r="AD782">
        <v>-1.0982513255599999</v>
      </c>
      <c r="AE782">
        <v>-4.4879000000000202</v>
      </c>
      <c r="AF782">
        <v>3.25196969236818</v>
      </c>
      <c r="AG782">
        <v>-1.0982513255599999</v>
      </c>
      <c r="AH782">
        <v>7.2222809646584301</v>
      </c>
      <c r="AI782">
        <v>97.894114504068398</v>
      </c>
      <c r="AJ782">
        <v>65.759435805678194</v>
      </c>
      <c r="AK782">
        <v>7.9964245251639197</v>
      </c>
    </row>
    <row r="783" spans="1:37" x14ac:dyDescent="0.2">
      <c r="A783" t="str">
        <f>"20200111154040820"</f>
        <v>20200111154040820</v>
      </c>
      <c r="B783" t="str">
        <f>"1578728440816953"</f>
        <v>1578728440816953</v>
      </c>
      <c r="C783" t="s">
        <v>37</v>
      </c>
      <c r="D783">
        <v>5.726286</v>
      </c>
      <c r="E783">
        <v>0.60673239999999995</v>
      </c>
      <c r="F783" t="s">
        <v>42</v>
      </c>
      <c r="G783">
        <v>-204.69139999999999</v>
      </c>
      <c r="H783" s="1">
        <v>-4.3105099999999902E-6</v>
      </c>
      <c r="I783">
        <v>362.80220000000003</v>
      </c>
      <c r="J783">
        <v>-211.1574</v>
      </c>
      <c r="K783">
        <v>1.097952</v>
      </c>
      <c r="L783">
        <v>367.26830000000001</v>
      </c>
      <c r="M783">
        <v>0.98454989999999998</v>
      </c>
      <c r="N783">
        <v>0</v>
      </c>
      <c r="O783">
        <v>-0.17330619999999999</v>
      </c>
      <c r="P783">
        <v>0.94629300000000005</v>
      </c>
      <c r="Q783">
        <v>4.3801199999999901E-2</v>
      </c>
      <c r="R783">
        <v>-0.32032959999999999</v>
      </c>
      <c r="S783">
        <v>2.60716199999999</v>
      </c>
      <c r="T783">
        <v>-0.42442059999999998</v>
      </c>
      <c r="U783">
        <v>-1.7453919999999901</v>
      </c>
      <c r="V783">
        <v>0.15354509999999999</v>
      </c>
      <c r="W783">
        <v>6.3627450000000002E-2</v>
      </c>
      <c r="X783">
        <v>0.98609099999999905</v>
      </c>
      <c r="Y783">
        <v>0.4017887</v>
      </c>
      <c r="Z783">
        <v>-4.4714100000000003E-3</v>
      </c>
      <c r="AA783">
        <v>0.91572149999999997</v>
      </c>
      <c r="AB783">
        <v>47</v>
      </c>
      <c r="AC783">
        <v>6.4660000000000002</v>
      </c>
      <c r="AD783">
        <v>-1.0979563105100001</v>
      </c>
      <c r="AE783">
        <v>-4.4660999999999804</v>
      </c>
      <c r="AF783">
        <v>3.2147724165920799</v>
      </c>
      <c r="AG783">
        <v>-1.0979563105100001</v>
      </c>
      <c r="AH783">
        <v>7.0055856999472796</v>
      </c>
      <c r="AI783">
        <v>98.106906489192397</v>
      </c>
      <c r="AJ783">
        <v>65.350223628173396</v>
      </c>
      <c r="AK783">
        <v>7.7857883833030002</v>
      </c>
    </row>
    <row r="784" spans="1:37" x14ac:dyDescent="0.2">
      <c r="A784" t="str">
        <f>"20200111154040834"</f>
        <v>20200111154040834</v>
      </c>
      <c r="B784" t="str">
        <f>"1578728440826713"</f>
        <v>1578728440826713</v>
      </c>
      <c r="C784" t="s">
        <v>37</v>
      </c>
      <c r="D784">
        <v>5.7601469999999999</v>
      </c>
      <c r="E784">
        <v>0.60665740000000001</v>
      </c>
      <c r="F784" t="s">
        <v>42</v>
      </c>
      <c r="G784">
        <v>-204.5462</v>
      </c>
      <c r="H784" s="1">
        <v>-4.2573599999999998E-6</v>
      </c>
      <c r="I784">
        <v>362.7122</v>
      </c>
      <c r="J784">
        <v>-210.8707</v>
      </c>
      <c r="K784">
        <v>1.0976520000000001</v>
      </c>
      <c r="L784">
        <v>367.21420000000001</v>
      </c>
      <c r="M784">
        <v>0.98317160000000003</v>
      </c>
      <c r="N784">
        <v>0</v>
      </c>
      <c r="O784">
        <v>-0.18097009999999999</v>
      </c>
      <c r="P784">
        <v>0.94287489999999996</v>
      </c>
      <c r="Q784">
        <v>4.4961050000000002E-2</v>
      </c>
      <c r="R784">
        <v>-0.3300999</v>
      </c>
      <c r="S784">
        <v>2.5867309999999999</v>
      </c>
      <c r="T784">
        <v>-0.42959019999999998</v>
      </c>
      <c r="U784">
        <v>-1.7826229999999901</v>
      </c>
      <c r="V784">
        <v>0.15615329999999999</v>
      </c>
      <c r="W784">
        <v>6.4523490000000003E-2</v>
      </c>
      <c r="X784">
        <v>0.98562309999999997</v>
      </c>
      <c r="Y784">
        <v>0.40695679999999901</v>
      </c>
      <c r="Z784">
        <v>-3.8316719999999999E-3</v>
      </c>
      <c r="AA784">
        <v>0.91343940000000001</v>
      </c>
      <c r="AB784">
        <v>47</v>
      </c>
      <c r="AC784">
        <v>6.3244999999999996</v>
      </c>
      <c r="AD784">
        <v>-1.0976562573599999</v>
      </c>
      <c r="AE784">
        <v>-4.5019999999999998</v>
      </c>
      <c r="AF784">
        <v>3.2183755932303502</v>
      </c>
      <c r="AG784">
        <v>-1.0976562573599999</v>
      </c>
      <c r="AH784">
        <v>6.8971041942679401</v>
      </c>
      <c r="AI784">
        <v>98.206549421059194</v>
      </c>
      <c r="AJ784">
        <v>64.9849690634464</v>
      </c>
      <c r="AK784">
        <v>7.6897878374510897</v>
      </c>
    </row>
    <row r="785" spans="1:37" x14ac:dyDescent="0.2">
      <c r="A785" t="str">
        <f>"20200111154040848"</f>
        <v>20200111154040848</v>
      </c>
      <c r="B785" t="str">
        <f>"1578728440837449"</f>
        <v>1578728440837449</v>
      </c>
      <c r="C785" t="s">
        <v>37</v>
      </c>
      <c r="D785">
        <v>5.870387</v>
      </c>
      <c r="E785">
        <v>0.6068635</v>
      </c>
      <c r="F785" t="s">
        <v>42</v>
      </c>
      <c r="G785">
        <v>-204.32249999999999</v>
      </c>
      <c r="H785" s="1">
        <v>-4.1684219999999999E-6</v>
      </c>
      <c r="I785">
        <v>362.60579999999999</v>
      </c>
      <c r="J785">
        <v>-210.58619999999999</v>
      </c>
      <c r="K785">
        <v>1.0973679999999999</v>
      </c>
      <c r="L785">
        <v>367.15879999999999</v>
      </c>
      <c r="M785">
        <v>0.98171719999999896</v>
      </c>
      <c r="N785">
        <v>0</v>
      </c>
      <c r="O785">
        <v>-0.18870999999999999</v>
      </c>
      <c r="P785">
        <v>0.93833609999999901</v>
      </c>
      <c r="Q785">
        <v>4.7155460000000003E-2</v>
      </c>
      <c r="R785">
        <v>-0.34249400000000002</v>
      </c>
      <c r="S785">
        <v>2.5692599999999999</v>
      </c>
      <c r="T785">
        <v>-0.43068109999999998</v>
      </c>
      <c r="U785">
        <v>-1.8081970000000001</v>
      </c>
      <c r="V785">
        <v>0.1615105</v>
      </c>
      <c r="W785">
        <v>6.6343479999999996E-2</v>
      </c>
      <c r="X785">
        <v>0.98463849999999997</v>
      </c>
      <c r="Y785">
        <v>0.40880830000000001</v>
      </c>
      <c r="Z785">
        <v>-2.8840509999999999E-3</v>
      </c>
      <c r="AA785">
        <v>0.91261569999999903</v>
      </c>
      <c r="AB785">
        <v>47</v>
      </c>
      <c r="AC785">
        <v>6.2637</v>
      </c>
      <c r="AD785">
        <v>-1.0973721684219999</v>
      </c>
      <c r="AE785">
        <v>-4.5529999999999902</v>
      </c>
      <c r="AF785">
        <v>3.2240086959807699</v>
      </c>
      <c r="AG785">
        <v>-1.0973721684219999</v>
      </c>
      <c r="AH785">
        <v>6.8725337391323196</v>
      </c>
      <c r="AI785">
        <v>98.225633866684106</v>
      </c>
      <c r="AJ785">
        <v>64.868021694681204</v>
      </c>
      <c r="AK785">
        <v>7.6700832944172701</v>
      </c>
    </row>
    <row r="786" spans="1:37" x14ac:dyDescent="0.2">
      <c r="A786" t="str">
        <f>"20200111154040864"</f>
        <v>20200111154040864</v>
      </c>
      <c r="B786" t="str">
        <f>"1578728440856969"</f>
        <v>1578728440856969</v>
      </c>
      <c r="C786" t="s">
        <v>37</v>
      </c>
      <c r="D786">
        <v>5.8424389999999997</v>
      </c>
      <c r="E786">
        <v>0.60687380000000002</v>
      </c>
      <c r="F786" t="s">
        <v>42</v>
      </c>
      <c r="G786">
        <v>-204.14089999999999</v>
      </c>
      <c r="H786" s="1">
        <v>-4.1006509999999997E-6</v>
      </c>
      <c r="I786">
        <v>362.49919999999997</v>
      </c>
      <c r="J786">
        <v>-210.25120000000001</v>
      </c>
      <c r="K786">
        <v>1.0970299999999999</v>
      </c>
      <c r="L786">
        <v>367.0908</v>
      </c>
      <c r="M786">
        <v>0.97988159999999902</v>
      </c>
      <c r="N786">
        <v>0</v>
      </c>
      <c r="O786">
        <v>-0.1980326</v>
      </c>
      <c r="P786">
        <v>0.93421589999999999</v>
      </c>
      <c r="Q786">
        <v>4.8182410000000002E-2</v>
      </c>
      <c r="R786">
        <v>-0.35343979999999903</v>
      </c>
      <c r="S786">
        <v>2.546875</v>
      </c>
      <c r="T786">
        <v>-0.43363049999999997</v>
      </c>
      <c r="U786">
        <v>-1.841278</v>
      </c>
      <c r="V786">
        <v>0.1637566</v>
      </c>
      <c r="W786">
        <v>6.7068559999999999E-2</v>
      </c>
      <c r="X786">
        <v>0.98421819999999904</v>
      </c>
      <c r="Y786">
        <v>0.41176079999999998</v>
      </c>
      <c r="Z786">
        <v>-1.7957649999999999E-3</v>
      </c>
      <c r="AA786">
        <v>0.91129020000000005</v>
      </c>
      <c r="AB786">
        <v>47</v>
      </c>
      <c r="AC786">
        <v>6.11030000000002</v>
      </c>
      <c r="AD786">
        <v>-1.097034100651</v>
      </c>
      <c r="AE786">
        <v>-4.5916000000000201</v>
      </c>
      <c r="AF786">
        <v>3.2237845217005598</v>
      </c>
      <c r="AG786">
        <v>-1.097034100651</v>
      </c>
      <c r="AH786">
        <v>6.7595258536587002</v>
      </c>
      <c r="AI786">
        <v>98.333845056155198</v>
      </c>
      <c r="AJ786">
        <v>64.502374941264193</v>
      </c>
      <c r="AK786">
        <v>7.5688480118593802</v>
      </c>
    </row>
    <row r="787" spans="1:37" x14ac:dyDescent="0.2">
      <c r="A787" t="str">
        <f>"20200111154040876"</f>
        <v>20200111154040876</v>
      </c>
      <c r="B787" t="str">
        <f>"1578728440866730"</f>
        <v>1578728440866730</v>
      </c>
      <c r="C787" t="s">
        <v>37</v>
      </c>
      <c r="D787">
        <v>5.7747099999999998</v>
      </c>
      <c r="E787">
        <v>0.60661080000000001</v>
      </c>
      <c r="F787" t="s">
        <v>42</v>
      </c>
      <c r="G787">
        <v>-203.9051</v>
      </c>
      <c r="H787" s="1">
        <v>-4.0060369999999998E-6</v>
      </c>
      <c r="I787">
        <v>362.39080000000001</v>
      </c>
      <c r="J787">
        <v>-209.98570000000001</v>
      </c>
      <c r="K787">
        <v>1.0967709999999999</v>
      </c>
      <c r="L787">
        <v>367.03399999999999</v>
      </c>
      <c r="M787">
        <v>0.97831610000000002</v>
      </c>
      <c r="N787">
        <v>0</v>
      </c>
      <c r="O787">
        <v>-0.2056375</v>
      </c>
      <c r="P787">
        <v>0.93061019999999905</v>
      </c>
      <c r="Q787">
        <v>4.8781629999999999E-2</v>
      </c>
      <c r="R787">
        <v>-0.36274679999999998</v>
      </c>
      <c r="S787">
        <v>2.5260159999999998</v>
      </c>
      <c r="T787">
        <v>-0.436668</v>
      </c>
      <c r="U787">
        <v>-1.87081899999999</v>
      </c>
      <c r="V787">
        <v>0.16600100000000001</v>
      </c>
      <c r="W787">
        <v>6.740111E-2</v>
      </c>
      <c r="X787">
        <v>0.98381949999999996</v>
      </c>
      <c r="Y787">
        <v>0.41517399999999999</v>
      </c>
      <c r="Z787">
        <v>-9.7472409999999998E-4</v>
      </c>
      <c r="AA787">
        <v>0.90974149999999998</v>
      </c>
      <c r="AB787">
        <v>47</v>
      </c>
      <c r="AC787">
        <v>6.0805999999999996</v>
      </c>
      <c r="AD787">
        <v>-1.0967750060369901</v>
      </c>
      <c r="AE787">
        <v>-4.64319999999997</v>
      </c>
      <c r="AF787">
        <v>3.22680948676576</v>
      </c>
      <c r="AG787">
        <v>-1.0967750060369901</v>
      </c>
      <c r="AH787">
        <v>6.7666132325865798</v>
      </c>
      <c r="AI787">
        <v>98.323467245443894</v>
      </c>
      <c r="AJ787">
        <v>64.504825150244102</v>
      </c>
      <c r="AK787">
        <v>7.57642854629837</v>
      </c>
    </row>
    <row r="788" spans="1:37" x14ac:dyDescent="0.2">
      <c r="A788" t="str">
        <f>"20200111154040887"</f>
        <v>20200111154040887</v>
      </c>
      <c r="B788" t="str">
        <f>"1578728440877001"</f>
        <v>1578728440877001</v>
      </c>
      <c r="C788" t="s">
        <v>37</v>
      </c>
      <c r="D788">
        <v>5.819998</v>
      </c>
      <c r="E788">
        <v>0.60636610000000002</v>
      </c>
      <c r="F788" t="s">
        <v>42</v>
      </c>
      <c r="G788">
        <v>-203.6516</v>
      </c>
      <c r="H788" s="1">
        <v>-3.9093659999999997E-6</v>
      </c>
      <c r="I788">
        <v>362.25150000000002</v>
      </c>
      <c r="J788">
        <v>-209.7585</v>
      </c>
      <c r="K788">
        <v>1.096552</v>
      </c>
      <c r="L788">
        <v>366.98410000000001</v>
      </c>
      <c r="M788">
        <v>0.97690969999999999</v>
      </c>
      <c r="N788">
        <v>0</v>
      </c>
      <c r="O788">
        <v>-0.21222729999999901</v>
      </c>
      <c r="P788">
        <v>0.92753220000000003</v>
      </c>
      <c r="Q788">
        <v>4.9148600000000001E-2</v>
      </c>
      <c r="R788">
        <v>-0.37049759999999998</v>
      </c>
      <c r="S788">
        <v>2.5082550000000001</v>
      </c>
      <c r="T788">
        <v>-0.43431389999999997</v>
      </c>
      <c r="U788">
        <v>-1.8938599999999901</v>
      </c>
      <c r="V788">
        <v>0.16762550000000001</v>
      </c>
      <c r="W788">
        <v>6.7547179999999998E-2</v>
      </c>
      <c r="X788">
        <v>0.98353400000000002</v>
      </c>
      <c r="Y788">
        <v>0.41751850000000001</v>
      </c>
      <c r="Z788">
        <v>-2.0232609999999999E-4</v>
      </c>
      <c r="AA788">
        <v>0.90866840000000004</v>
      </c>
      <c r="AB788">
        <v>47</v>
      </c>
      <c r="AC788">
        <v>6.1068999999999898</v>
      </c>
      <c r="AD788">
        <v>-1.096555909366</v>
      </c>
      <c r="AE788">
        <v>-4.7325999999999899</v>
      </c>
      <c r="AF788">
        <v>3.26256097132927</v>
      </c>
      <c r="AG788">
        <v>-1.096555909366</v>
      </c>
      <c r="AH788">
        <v>6.8347142330155499</v>
      </c>
      <c r="AI788">
        <v>98.238539665213594</v>
      </c>
      <c r="AJ788">
        <v>64.482454510354302</v>
      </c>
      <c r="AK788">
        <v>7.6524543514477603</v>
      </c>
    </row>
    <row r="789" spans="1:37" x14ac:dyDescent="0.2">
      <c r="A789" t="str">
        <f>"20200111154040900"</f>
        <v>20200111154040900</v>
      </c>
      <c r="B789" t="str">
        <f>"1578728440886759"</f>
        <v>1578728440886759</v>
      </c>
      <c r="C789" t="s">
        <v>37</v>
      </c>
      <c r="D789">
        <v>5.9124290000000004</v>
      </c>
      <c r="E789">
        <v>0.60634759999999999</v>
      </c>
      <c r="F789" t="s">
        <v>42</v>
      </c>
      <c r="G789">
        <v>-203.48929999999999</v>
      </c>
      <c r="H789" s="1">
        <v>-3.8449290000000004E-6</v>
      </c>
      <c r="I789">
        <v>362.17360000000002</v>
      </c>
      <c r="J789">
        <v>-209.50229999999999</v>
      </c>
      <c r="K789">
        <v>1.0963069999999999</v>
      </c>
      <c r="L789">
        <v>366.92619999999999</v>
      </c>
      <c r="M789">
        <v>0.975244</v>
      </c>
      <c r="N789">
        <v>0</v>
      </c>
      <c r="O789">
        <v>-0.21976519999999999</v>
      </c>
      <c r="P789">
        <v>0.92392980000000002</v>
      </c>
      <c r="Q789">
        <v>4.9132210000000003E-2</v>
      </c>
      <c r="R789">
        <v>-0.37939440000000002</v>
      </c>
      <c r="S789">
        <v>2.4933169999999998</v>
      </c>
      <c r="T789">
        <v>-0.43610900000000002</v>
      </c>
      <c r="U789">
        <v>-1.9131769999999999</v>
      </c>
      <c r="V789">
        <v>0.1695161</v>
      </c>
      <c r="W789">
        <v>6.727648E-2</v>
      </c>
      <c r="X789">
        <v>0.9832284</v>
      </c>
      <c r="Y789">
        <v>0.41761520000000002</v>
      </c>
      <c r="Z789">
        <v>8.8122109999999999E-4</v>
      </c>
      <c r="AA789">
        <v>0.90862350000000003</v>
      </c>
      <c r="AB789">
        <v>47</v>
      </c>
      <c r="AC789">
        <v>6.0129999999999999</v>
      </c>
      <c r="AD789">
        <v>-1.096310844929</v>
      </c>
      <c r="AE789">
        <v>-4.75259999999997</v>
      </c>
      <c r="AF789">
        <v>3.2480396255422401</v>
      </c>
      <c r="AG789">
        <v>-1.096310844929</v>
      </c>
      <c r="AH789">
        <v>6.7721215337820402</v>
      </c>
      <c r="AI789">
        <v>98.304561325099002</v>
      </c>
      <c r="AJ789">
        <v>64.376728665120197</v>
      </c>
      <c r="AK789">
        <v>7.5903418201103401</v>
      </c>
    </row>
    <row r="790" spans="1:37" x14ac:dyDescent="0.2">
      <c r="A790" t="str">
        <f>"20200111154040915"</f>
        <v>20200111154040915</v>
      </c>
      <c r="B790" t="str">
        <f>"1578728440907253"</f>
        <v>1578728440907253</v>
      </c>
      <c r="C790" t="s">
        <v>37</v>
      </c>
      <c r="D790">
        <v>5.768427</v>
      </c>
      <c r="E790">
        <v>0.60509259999999998</v>
      </c>
      <c r="F790" t="s">
        <v>42</v>
      </c>
      <c r="G790">
        <v>-203.24599999999899</v>
      </c>
      <c r="H790" s="1">
        <v>-3.7547330000000001E-6</v>
      </c>
      <c r="I790">
        <v>362.02839999999998</v>
      </c>
      <c r="J790">
        <v>-209.20429999999999</v>
      </c>
      <c r="K790">
        <v>1.096028</v>
      </c>
      <c r="L790">
        <v>366.85570000000001</v>
      </c>
      <c r="M790">
        <v>0.97318459999999996</v>
      </c>
      <c r="N790">
        <v>0</v>
      </c>
      <c r="O790">
        <v>-0.2287236</v>
      </c>
      <c r="P790">
        <v>0.91906719999999897</v>
      </c>
      <c r="Q790">
        <v>4.859629E-2</v>
      </c>
      <c r="R790">
        <v>-0.39109329999999998</v>
      </c>
      <c r="S790">
        <v>2.4745330000000001</v>
      </c>
      <c r="T790">
        <v>-0.43362329999999999</v>
      </c>
      <c r="U790">
        <v>-1.937225</v>
      </c>
      <c r="V790">
        <v>0.17297019999999999</v>
      </c>
      <c r="W790">
        <v>6.6397250000000005E-2</v>
      </c>
      <c r="X790">
        <v>0.98268650000000002</v>
      </c>
      <c r="Y790">
        <v>0.41818040000000001</v>
      </c>
      <c r="Z790">
        <v>2.1254099999999999E-3</v>
      </c>
      <c r="AA790">
        <v>0.90836149999999904</v>
      </c>
      <c r="AB790">
        <v>47</v>
      </c>
      <c r="AC790">
        <v>5.9583000000000004</v>
      </c>
      <c r="AD790">
        <v>-1.0960317547330001</v>
      </c>
      <c r="AE790">
        <v>-4.8273000000000303</v>
      </c>
      <c r="AF790">
        <v>3.2692602220040898</v>
      </c>
      <c r="AG790">
        <v>-1.0960317547330001</v>
      </c>
      <c r="AH790">
        <v>6.7664759595741204</v>
      </c>
      <c r="AI790">
        <v>98.297991020935598</v>
      </c>
      <c r="AJ790">
        <v>64.212232646852101</v>
      </c>
      <c r="AK790">
        <v>7.5943758741621297</v>
      </c>
    </row>
    <row r="791" spans="1:37" x14ac:dyDescent="0.2">
      <c r="A791" t="str">
        <f>"20200111154040927"</f>
        <v>20200111154040927</v>
      </c>
      <c r="B791" t="str">
        <f>"1578728440917015"</f>
        <v>1578728440917015</v>
      </c>
      <c r="C791" t="s">
        <v>37</v>
      </c>
      <c r="D791">
        <v>5.795293</v>
      </c>
      <c r="E791">
        <v>0.604581699999999</v>
      </c>
      <c r="F791" t="s">
        <v>42</v>
      </c>
      <c r="G791">
        <v>-203.03639999999999</v>
      </c>
      <c r="H791" s="1">
        <v>-3.67127799999999E-6</v>
      </c>
      <c r="I791">
        <v>361.92899999999997</v>
      </c>
      <c r="J791">
        <v>-208.9494</v>
      </c>
      <c r="K791">
        <v>1.095798</v>
      </c>
      <c r="L791">
        <v>366.79360000000003</v>
      </c>
      <c r="M791">
        <v>0.97133080000000005</v>
      </c>
      <c r="N791">
        <v>0</v>
      </c>
      <c r="O791">
        <v>-0.23648179999999899</v>
      </c>
      <c r="P791">
        <v>0.91512979999999999</v>
      </c>
      <c r="Q791">
        <v>4.8903200000000001E-2</v>
      </c>
      <c r="R791">
        <v>-0.40018280000000001</v>
      </c>
      <c r="S791">
        <v>2.453354</v>
      </c>
      <c r="T791">
        <v>-0.43596269999999998</v>
      </c>
      <c r="U791">
        <v>-1.959625</v>
      </c>
      <c r="V791">
        <v>0.1749144</v>
      </c>
      <c r="W791">
        <v>6.6450049999999997E-2</v>
      </c>
      <c r="X791">
        <v>0.98233869999999901</v>
      </c>
      <c r="Y791">
        <v>0.41984460000000001</v>
      </c>
      <c r="Z791">
        <v>3.1382570000000002E-3</v>
      </c>
      <c r="AA791">
        <v>0.90759059999999903</v>
      </c>
      <c r="AB791">
        <v>46</v>
      </c>
      <c r="AC791">
        <v>5.91300000000001</v>
      </c>
      <c r="AD791">
        <v>-1.0958016712780001</v>
      </c>
      <c r="AE791">
        <v>-4.8645999999999896</v>
      </c>
      <c r="AF791">
        <v>3.2610153448409198</v>
      </c>
      <c r="AG791">
        <v>-1.0958016712780001</v>
      </c>
      <c r="AH791">
        <v>6.7575095266435703</v>
      </c>
      <c r="AI791">
        <v>98.3089853327116</v>
      </c>
      <c r="AJ791">
        <v>64.239135153013706</v>
      </c>
      <c r="AK791">
        <v>7.5828053769526704</v>
      </c>
    </row>
    <row r="792" spans="1:37" x14ac:dyDescent="0.2">
      <c r="A792" t="str">
        <f>"20200111154040941"</f>
        <v>20200111154040941</v>
      </c>
      <c r="B792" t="str">
        <f>"1578728440937511"</f>
        <v>1578728440937511</v>
      </c>
      <c r="C792" t="s">
        <v>37</v>
      </c>
      <c r="D792">
        <v>5.8063440000000002</v>
      </c>
      <c r="E792">
        <v>0.60345649999999995</v>
      </c>
      <c r="F792" t="s">
        <v>42</v>
      </c>
      <c r="G792">
        <v>-202.8048</v>
      </c>
      <c r="H792" s="1">
        <v>-3.5837410000000002E-6</v>
      </c>
      <c r="I792">
        <v>361.79809999999998</v>
      </c>
      <c r="J792">
        <v>-208.6728</v>
      </c>
      <c r="K792">
        <v>1.095553</v>
      </c>
      <c r="L792">
        <v>366.72399999999999</v>
      </c>
      <c r="M792">
        <v>0.96921460000000004</v>
      </c>
      <c r="N792">
        <v>0</v>
      </c>
      <c r="O792">
        <v>-0.24502009999999999</v>
      </c>
      <c r="P792">
        <v>0.91079789999999905</v>
      </c>
      <c r="Q792">
        <v>4.917962E-2</v>
      </c>
      <c r="R792">
        <v>-0.40991319999999998</v>
      </c>
      <c r="S792">
        <v>2.435562</v>
      </c>
      <c r="T792">
        <v>-0.4343495</v>
      </c>
      <c r="U792">
        <v>-1.9800720000000001</v>
      </c>
      <c r="V792">
        <v>0.1767861</v>
      </c>
      <c r="W792">
        <v>6.6464330000000002E-2</v>
      </c>
      <c r="X792">
        <v>0.98200259999999995</v>
      </c>
      <c r="Y792">
        <v>0.41977829999999899</v>
      </c>
      <c r="Z792">
        <v>4.3733319999999997E-3</v>
      </c>
      <c r="AA792">
        <v>0.90761610000000004</v>
      </c>
      <c r="AB792">
        <v>46</v>
      </c>
      <c r="AC792">
        <v>5.8679999999999897</v>
      </c>
      <c r="AD792">
        <v>-1.095556583741</v>
      </c>
      <c r="AE792">
        <v>-4.9259000000000102</v>
      </c>
      <c r="AF792">
        <v>3.2705817018071999</v>
      </c>
      <c r="AG792">
        <v>-1.095556583741</v>
      </c>
      <c r="AH792">
        <v>6.75813521134637</v>
      </c>
      <c r="AI792">
        <v>98.301996888766297</v>
      </c>
      <c r="AJ792">
        <v>64.175461491284196</v>
      </c>
      <c r="AK792">
        <v>7.5874462390987603</v>
      </c>
    </row>
    <row r="793" spans="1:37" x14ac:dyDescent="0.2">
      <c r="A793" t="str">
        <f>"20200111154040954"</f>
        <v>20200111154040954</v>
      </c>
      <c r="B793" t="str">
        <f>"1578728440947270"</f>
        <v>1578728440947270</v>
      </c>
      <c r="C793" t="s">
        <v>37</v>
      </c>
      <c r="D793">
        <v>5.7892549999999998</v>
      </c>
      <c r="E793">
        <v>0.6029485</v>
      </c>
      <c r="F793" t="s">
        <v>42</v>
      </c>
      <c r="G793">
        <v>-202.5849</v>
      </c>
      <c r="H793" s="1">
        <v>-3.495706E-6</v>
      </c>
      <c r="I793">
        <v>361.69619999999998</v>
      </c>
      <c r="J793">
        <v>-208.422</v>
      </c>
      <c r="K793">
        <v>1.095351</v>
      </c>
      <c r="L793">
        <v>366.65809999999999</v>
      </c>
      <c r="M793">
        <v>0.96718799999999905</v>
      </c>
      <c r="N793">
        <v>0</v>
      </c>
      <c r="O793">
        <v>-0.25290879999999999</v>
      </c>
      <c r="P793">
        <v>0.90684880000000001</v>
      </c>
      <c r="Q793">
        <v>4.9391749999999998E-2</v>
      </c>
      <c r="R793">
        <v>-0.41855199999999998</v>
      </c>
      <c r="S793">
        <v>2.4184269999999999</v>
      </c>
      <c r="T793">
        <v>-0.43521490000000002</v>
      </c>
      <c r="U793">
        <v>-1.997314</v>
      </c>
      <c r="V793">
        <v>0.1781585</v>
      </c>
      <c r="W793">
        <v>6.6462899999999894E-2</v>
      </c>
      <c r="X793">
        <v>0.98175469999999898</v>
      </c>
      <c r="Y793">
        <v>0.41944920000000002</v>
      </c>
      <c r="Z793">
        <v>5.5618300000000002E-3</v>
      </c>
      <c r="AA793">
        <v>0.90776179999999995</v>
      </c>
      <c r="AB793">
        <v>46</v>
      </c>
      <c r="AC793">
        <v>5.8370999999999897</v>
      </c>
      <c r="AD793">
        <v>-1.095354495706</v>
      </c>
      <c r="AE793">
        <v>-4.9619000000000097</v>
      </c>
      <c r="AF793">
        <v>3.25722270335539</v>
      </c>
      <c r="AG793">
        <v>-1.095354495706</v>
      </c>
      <c r="AH793">
        <v>6.7642227806561301</v>
      </c>
      <c r="AI793">
        <v>98.300841623302006</v>
      </c>
      <c r="AJ793">
        <v>64.287469733562105</v>
      </c>
      <c r="AK793">
        <v>7.5870950328083104</v>
      </c>
    </row>
    <row r="794" spans="1:37" x14ac:dyDescent="0.2">
      <c r="A794" t="str">
        <f>"20200111154040967"</f>
        <v>20200111154040967</v>
      </c>
      <c r="B794" t="str">
        <f>"1578728440957030"</f>
        <v>1578728440957030</v>
      </c>
      <c r="C794" t="s">
        <v>37</v>
      </c>
      <c r="D794">
        <v>5.790546</v>
      </c>
      <c r="E794">
        <v>0.60245039999999905</v>
      </c>
      <c r="F794" t="s">
        <v>42</v>
      </c>
      <c r="G794">
        <v>-202.40039999999999</v>
      </c>
      <c r="H794" s="1">
        <v>-3.4239579999999999E-6</v>
      </c>
      <c r="I794">
        <v>361.601</v>
      </c>
      <c r="J794">
        <v>-208.15190000000001</v>
      </c>
      <c r="K794">
        <v>1.0951360000000001</v>
      </c>
      <c r="L794">
        <v>366.58550000000002</v>
      </c>
      <c r="M794">
        <v>0.96490959999999903</v>
      </c>
      <c r="N794">
        <v>0</v>
      </c>
      <c r="O794">
        <v>-0.26147480000000001</v>
      </c>
      <c r="P794">
        <v>0.90245370000000003</v>
      </c>
      <c r="Q794">
        <v>4.9790290000000001E-2</v>
      </c>
      <c r="R794">
        <v>-0.42789969999999999</v>
      </c>
      <c r="S794">
        <v>2.40123</v>
      </c>
      <c r="T794">
        <v>-0.43679679999999999</v>
      </c>
      <c r="U794">
        <v>-2.0166019999999998</v>
      </c>
      <c r="V794">
        <v>0.17964810000000001</v>
      </c>
      <c r="W794">
        <v>6.6633239999999996E-2</v>
      </c>
      <c r="X794">
        <v>0.98147169999999895</v>
      </c>
      <c r="Y794">
        <v>0.41894629999999999</v>
      </c>
      <c r="Z794">
        <v>6.8794059999999898E-3</v>
      </c>
      <c r="AA794">
        <v>0.90798489999999998</v>
      </c>
      <c r="AB794">
        <v>46</v>
      </c>
      <c r="AC794">
        <v>5.7515000000000196</v>
      </c>
      <c r="AD794">
        <v>-1.0951394239579999</v>
      </c>
      <c r="AE794">
        <v>-4.9845000000000201</v>
      </c>
      <c r="AF794">
        <v>3.23960369007504</v>
      </c>
      <c r="AG794">
        <v>-1.0951394239579999</v>
      </c>
      <c r="AH794">
        <v>6.7159356064781504</v>
      </c>
      <c r="AI794">
        <v>98.355362809737301</v>
      </c>
      <c r="AJ794">
        <v>64.248471132805093</v>
      </c>
      <c r="AK794">
        <v>7.5364549688176297</v>
      </c>
    </row>
    <row r="795" spans="1:37" x14ac:dyDescent="0.2">
      <c r="A795" t="str">
        <f>"20200111154040979"</f>
        <v>20200111154040979</v>
      </c>
      <c r="B795" t="str">
        <f>"1578728440977059"</f>
        <v>1578728440977059</v>
      </c>
      <c r="C795" t="s">
        <v>37</v>
      </c>
      <c r="D795">
        <v>5.7503229999999999</v>
      </c>
      <c r="E795">
        <v>0.601379</v>
      </c>
      <c r="F795" t="s">
        <v>42</v>
      </c>
      <c r="G795">
        <v>-202.1694</v>
      </c>
      <c r="H795" s="1">
        <v>-3.3374360000000002E-6</v>
      </c>
      <c r="I795">
        <v>361.46690000000001</v>
      </c>
      <c r="J795">
        <v>-207.89429999999999</v>
      </c>
      <c r="K795">
        <v>1.094937</v>
      </c>
      <c r="L795">
        <v>366.51389999999998</v>
      </c>
      <c r="M795">
        <v>0.96262809999999899</v>
      </c>
      <c r="N795">
        <v>0</v>
      </c>
      <c r="O795">
        <v>-0.26975979999999999</v>
      </c>
      <c r="P795">
        <v>0.8982118</v>
      </c>
      <c r="Q795">
        <v>5.0329230000000003E-2</v>
      </c>
      <c r="R795">
        <v>-0.43667159999999899</v>
      </c>
      <c r="S795">
        <v>2.3820039999999998</v>
      </c>
      <c r="T795">
        <v>-0.43603829999999999</v>
      </c>
      <c r="U795">
        <v>-2.0380250000000002</v>
      </c>
      <c r="V795">
        <v>0.1808295</v>
      </c>
      <c r="W795">
        <v>6.6968180000000002E-2</v>
      </c>
      <c r="X795">
        <v>0.98123189999999905</v>
      </c>
      <c r="Y795">
        <v>0.41954740000000001</v>
      </c>
      <c r="Z795">
        <v>8.0394409999999996E-3</v>
      </c>
      <c r="AA795">
        <v>0.90769789999999995</v>
      </c>
      <c r="AB795">
        <v>46</v>
      </c>
      <c r="AC795">
        <v>5.7248999999999901</v>
      </c>
      <c r="AD795">
        <v>-1.0949403374360001</v>
      </c>
      <c r="AE795">
        <v>-5.0469999999999597</v>
      </c>
      <c r="AF795">
        <v>3.2481357774437298</v>
      </c>
      <c r="AG795">
        <v>-1.0949403374360001</v>
      </c>
      <c r="AH795">
        <v>6.7357675361982396</v>
      </c>
      <c r="AI795">
        <v>98.330108346819102</v>
      </c>
      <c r="AJ795">
        <v>64.255609149581105</v>
      </c>
      <c r="AK795">
        <v>7.5577671750958704</v>
      </c>
    </row>
    <row r="796" spans="1:37" x14ac:dyDescent="0.2">
      <c r="A796" t="str">
        <f>"20200111154040994"</f>
        <v>20200111154040994</v>
      </c>
      <c r="B796" t="str">
        <f>"1578728440986818"</f>
        <v>1578728440986818</v>
      </c>
      <c r="C796" t="s">
        <v>37</v>
      </c>
      <c r="D796">
        <v>5.8050199999999998</v>
      </c>
      <c r="E796">
        <v>0.60094040000000004</v>
      </c>
      <c r="F796" t="s">
        <v>42</v>
      </c>
      <c r="G796">
        <v>-201.93940000000001</v>
      </c>
      <c r="H796" s="1">
        <v>-3.2484600000000001E-6</v>
      </c>
      <c r="I796">
        <v>361.34629999999999</v>
      </c>
      <c r="J796">
        <v>-207.6164</v>
      </c>
      <c r="K796">
        <v>1.0947279999999999</v>
      </c>
      <c r="L796">
        <v>366.43360000000001</v>
      </c>
      <c r="M796">
        <v>0.96004149999999999</v>
      </c>
      <c r="N796">
        <v>0</v>
      </c>
      <c r="O796">
        <v>-0.27883289999999999</v>
      </c>
      <c r="P796">
        <v>0.89324689999999995</v>
      </c>
      <c r="Q796">
        <v>5.141018E-2</v>
      </c>
      <c r="R796">
        <v>-0.44661769999999901</v>
      </c>
      <c r="S796">
        <v>2.3661189999999999</v>
      </c>
      <c r="T796">
        <v>-0.43506489999999998</v>
      </c>
      <c r="U796">
        <v>-2.0533139999999999</v>
      </c>
      <c r="V796">
        <v>0.1825513</v>
      </c>
      <c r="W796">
        <v>6.7814070000000004E-2</v>
      </c>
      <c r="X796">
        <v>0.98085489999999997</v>
      </c>
      <c r="Y796">
        <v>0.41744319999999902</v>
      </c>
      <c r="Z796">
        <v>9.5206159999999904E-3</v>
      </c>
      <c r="AA796">
        <v>0.90865309999999899</v>
      </c>
      <c r="AB796">
        <v>46</v>
      </c>
      <c r="AC796">
        <v>5.6769999999999898</v>
      </c>
      <c r="AD796">
        <v>-1.09473124846</v>
      </c>
      <c r="AE796">
        <v>-5.0873000000000204</v>
      </c>
      <c r="AF796">
        <v>3.23530534509141</v>
      </c>
      <c r="AG796">
        <v>-1.09473124846</v>
      </c>
      <c r="AH796">
        <v>6.7317931042085801</v>
      </c>
      <c r="AI796">
        <v>98.338595820599295</v>
      </c>
      <c r="AJ796">
        <v>64.331022066009297</v>
      </c>
      <c r="AK796">
        <v>7.5486870103483596</v>
      </c>
    </row>
    <row r="797" spans="1:37" x14ac:dyDescent="0.2">
      <c r="A797" t="str">
        <f>"20200111154041005"</f>
        <v>20200111154041005</v>
      </c>
      <c r="B797" t="str">
        <f>"1578728440996579"</f>
        <v>1578728440996579</v>
      </c>
      <c r="C797" t="s">
        <v>37</v>
      </c>
      <c r="D797">
        <v>5.5460849999999997</v>
      </c>
      <c r="E797">
        <v>0.60095810000000005</v>
      </c>
      <c r="F797" t="s">
        <v>42</v>
      </c>
      <c r="G797">
        <v>-201.64769999999999</v>
      </c>
      <c r="H797" s="1">
        <v>-3.145193E-6</v>
      </c>
      <c r="I797">
        <v>361.1499</v>
      </c>
      <c r="J797">
        <v>-207.38650000000001</v>
      </c>
      <c r="K797">
        <v>1.0945579999999999</v>
      </c>
      <c r="L797">
        <v>366.36579999999998</v>
      </c>
      <c r="M797">
        <v>0.95781550000000004</v>
      </c>
      <c r="N797">
        <v>0</v>
      </c>
      <c r="O797">
        <v>-0.28639100000000001</v>
      </c>
      <c r="P797">
        <v>0.88935119999999901</v>
      </c>
      <c r="Q797">
        <v>5.134391E-2</v>
      </c>
      <c r="R797">
        <v>-0.45433279999999898</v>
      </c>
      <c r="S797">
        <v>2.3452449999999998</v>
      </c>
      <c r="T797">
        <v>-0.43014750000000002</v>
      </c>
      <c r="U797">
        <v>-2.0760800000000001</v>
      </c>
      <c r="V797">
        <v>0.1833303</v>
      </c>
      <c r="W797">
        <v>6.7581890000000006E-2</v>
      </c>
      <c r="X797">
        <v>0.98072559999999998</v>
      </c>
      <c r="Y797">
        <v>0.41931499999999899</v>
      </c>
      <c r="Z797">
        <v>1.0374319999999999E-2</v>
      </c>
      <c r="AA797">
        <v>0.90778150000000002</v>
      </c>
      <c r="AB797">
        <v>46</v>
      </c>
      <c r="AC797">
        <v>5.7388000000000199</v>
      </c>
      <c r="AD797">
        <v>-1.094561145193</v>
      </c>
      <c r="AE797">
        <v>-5.2158999999999702</v>
      </c>
      <c r="AF797">
        <v>3.2877870073094702</v>
      </c>
      <c r="AG797">
        <v>-1.094561145193</v>
      </c>
      <c r="AH797">
        <v>6.8559107713078298</v>
      </c>
      <c r="AI797">
        <v>98.191743164285796</v>
      </c>
      <c r="AJ797">
        <v>64.379715120529696</v>
      </c>
      <c r="AK797">
        <v>7.68186956476963</v>
      </c>
    </row>
    <row r="798" spans="1:37" x14ac:dyDescent="0.2">
      <c r="A798" t="str">
        <f>"20200111154041016"</f>
        <v>20200111154041016</v>
      </c>
      <c r="B798" t="str">
        <f>"1578728441007315"</f>
        <v>1578728441007315</v>
      </c>
      <c r="C798" t="s">
        <v>37</v>
      </c>
      <c r="D798">
        <v>5.7939619999999996</v>
      </c>
      <c r="E798">
        <v>0.60055049999999999</v>
      </c>
      <c r="F798" t="s">
        <v>42</v>
      </c>
      <c r="G798">
        <v>-201.38640000000001</v>
      </c>
      <c r="H798" s="1">
        <v>-3.0562289999999998E-6</v>
      </c>
      <c r="I798">
        <v>360.95819999999998</v>
      </c>
      <c r="J798">
        <v>-207.16900000000001</v>
      </c>
      <c r="K798">
        <v>1.094401</v>
      </c>
      <c r="L798">
        <v>366.29930000000002</v>
      </c>
      <c r="M798">
        <v>0.95562029999999998</v>
      </c>
      <c r="N798">
        <v>0</v>
      </c>
      <c r="O798">
        <v>-0.2936376</v>
      </c>
      <c r="P798">
        <v>0.88561270000000003</v>
      </c>
      <c r="Q798">
        <v>5.1056509999999999E-2</v>
      </c>
      <c r="R798">
        <v>-0.46160980000000001</v>
      </c>
      <c r="S798">
        <v>2.3265530000000001</v>
      </c>
      <c r="T798">
        <v>-0.42442459999999999</v>
      </c>
      <c r="U798">
        <v>-2.096832</v>
      </c>
      <c r="V798">
        <v>0.1839481</v>
      </c>
      <c r="W798">
        <v>6.7147070000000003E-2</v>
      </c>
      <c r="X798">
        <v>0.98063979999999995</v>
      </c>
      <c r="Y798">
        <v>0.42061480000000001</v>
      </c>
      <c r="Z798">
        <v>1.11837E-2</v>
      </c>
      <c r="AA798">
        <v>0.90717039999999904</v>
      </c>
      <c r="AB798">
        <v>46</v>
      </c>
      <c r="AC798">
        <v>5.7826000000000004</v>
      </c>
      <c r="AD798">
        <v>-1.0944040562289901</v>
      </c>
      <c r="AE798">
        <v>-5.3411000000000399</v>
      </c>
      <c r="AF798">
        <v>3.3424354728305801</v>
      </c>
      <c r="AG798">
        <v>-1.0944040562289901</v>
      </c>
      <c r="AH798">
        <v>6.9617670326532002</v>
      </c>
      <c r="AI798">
        <v>98.065962133473903</v>
      </c>
      <c r="AJ798">
        <v>64.353728230362904</v>
      </c>
      <c r="AK798">
        <v>7.7997304661932798</v>
      </c>
    </row>
    <row r="799" spans="1:37" x14ac:dyDescent="0.2">
      <c r="A799" t="str">
        <f>"20200111154041027"</f>
        <v>20200111154041027</v>
      </c>
      <c r="B799" t="str">
        <f>"1578728441017076"</f>
        <v>1578728441017076</v>
      </c>
      <c r="C799" t="s">
        <v>37</v>
      </c>
      <c r="D799">
        <v>5.7467889999999997</v>
      </c>
      <c r="E799">
        <v>0.6000453</v>
      </c>
      <c r="F799" t="s">
        <v>42</v>
      </c>
      <c r="G799">
        <v>-201.22069999999999</v>
      </c>
      <c r="H799" s="1">
        <v>-2.9946780000000001E-6</v>
      </c>
      <c r="I799">
        <v>360.85969999999998</v>
      </c>
      <c r="J799">
        <v>-206.95570000000001</v>
      </c>
      <c r="K799">
        <v>1.0942479999999899</v>
      </c>
      <c r="L799">
        <v>366.2328</v>
      </c>
      <c r="M799">
        <v>0.95339479999999999</v>
      </c>
      <c r="N799">
        <v>0</v>
      </c>
      <c r="O799">
        <v>-0.30078959999999999</v>
      </c>
      <c r="P799">
        <v>0.88186989999999998</v>
      </c>
      <c r="Q799">
        <v>5.063289E-2</v>
      </c>
      <c r="R799">
        <v>-0.46876649999999997</v>
      </c>
      <c r="S799">
        <v>2.3106080000000002</v>
      </c>
      <c r="T799">
        <v>-0.42512060000000002</v>
      </c>
      <c r="U799">
        <v>-2.1130070000000001</v>
      </c>
      <c r="V799">
        <v>0.18453710000000001</v>
      </c>
      <c r="W799">
        <v>6.6580420000000001E-2</v>
      </c>
      <c r="X799">
        <v>0.98056779999999999</v>
      </c>
      <c r="Y799">
        <v>0.4204483</v>
      </c>
      <c r="Z799">
        <v>1.225037E-2</v>
      </c>
      <c r="AA799">
        <v>0.90723379999999998</v>
      </c>
      <c r="AB799">
        <v>46</v>
      </c>
      <c r="AC799">
        <v>5.7350000000000101</v>
      </c>
      <c r="AD799">
        <v>-1.0942509946779999</v>
      </c>
      <c r="AE799">
        <v>-5.3731000000000204</v>
      </c>
      <c r="AF799">
        <v>3.3339779767291602</v>
      </c>
      <c r="AG799">
        <v>-1.0942509946779999</v>
      </c>
      <c r="AH799">
        <v>6.9511246960315098</v>
      </c>
      <c r="AI799">
        <v>98.078531058777401</v>
      </c>
      <c r="AJ799">
        <v>64.376159104309593</v>
      </c>
      <c r="AK799">
        <v>7.7865864747299902</v>
      </c>
    </row>
    <row r="800" spans="1:37" x14ac:dyDescent="0.2">
      <c r="A800" t="str">
        <f>"20200111154041039"</f>
        <v>20200111154041039</v>
      </c>
      <c r="B800" t="str">
        <f>"1578728441036595"</f>
        <v>1578728441036595</v>
      </c>
      <c r="C800" t="s">
        <v>37</v>
      </c>
      <c r="D800">
        <v>5.7837839999999998</v>
      </c>
      <c r="E800">
        <v>0.59987119999999905</v>
      </c>
      <c r="F800" t="s">
        <v>42</v>
      </c>
      <c r="G800">
        <v>-201.06099999999901</v>
      </c>
      <c r="H800" s="1">
        <v>-2.9350319999999999E-6</v>
      </c>
      <c r="I800">
        <v>360.76620000000003</v>
      </c>
      <c r="J800">
        <v>-206.7191</v>
      </c>
      <c r="K800">
        <v>1.0940859999999999</v>
      </c>
      <c r="L800">
        <v>366.15710000000001</v>
      </c>
      <c r="M800">
        <v>0.95083449999999903</v>
      </c>
      <c r="N800">
        <v>0</v>
      </c>
      <c r="O800">
        <v>-0.30879289999999998</v>
      </c>
      <c r="P800">
        <v>0.87786580000000003</v>
      </c>
      <c r="Q800">
        <v>4.9899930000000002E-2</v>
      </c>
      <c r="R800">
        <v>-0.4763001</v>
      </c>
      <c r="S800">
        <v>2.2949980000000001</v>
      </c>
      <c r="T800">
        <v>-0.42602820000000002</v>
      </c>
      <c r="U800">
        <v>-2.1283259999999999</v>
      </c>
      <c r="V800">
        <v>0.1846689</v>
      </c>
      <c r="W800">
        <v>6.5714480000000006E-2</v>
      </c>
      <c r="X800">
        <v>0.98060139999999996</v>
      </c>
      <c r="Y800">
        <v>0.4192244</v>
      </c>
      <c r="Z800">
        <v>1.353217E-2</v>
      </c>
      <c r="AA800">
        <v>0.90778179999999997</v>
      </c>
      <c r="AB800">
        <v>45</v>
      </c>
      <c r="AC800">
        <v>5.6581000000000099</v>
      </c>
      <c r="AD800">
        <v>-1.094088935032</v>
      </c>
      <c r="AE800">
        <v>-5.3908999999999798</v>
      </c>
      <c r="AF800">
        <v>3.3146560410905601</v>
      </c>
      <c r="AG800">
        <v>-1.094088935032</v>
      </c>
      <c r="AH800">
        <v>6.9111127464279898</v>
      </c>
      <c r="AI800">
        <v>98.123551092773397</v>
      </c>
      <c r="AJ800">
        <v>64.377041676371903</v>
      </c>
      <c r="AK800">
        <v>7.7425741625338702</v>
      </c>
    </row>
    <row r="801" spans="1:37" x14ac:dyDescent="0.2">
      <c r="A801" t="str">
        <f>"20200111154041051"</f>
        <v>20200111154041051</v>
      </c>
      <c r="B801" t="str">
        <f>"1578728441047331"</f>
        <v>1578728441047331</v>
      </c>
      <c r="C801" t="s">
        <v>37</v>
      </c>
      <c r="D801">
        <v>5.7092049999999999</v>
      </c>
      <c r="E801">
        <v>0.59987119999999905</v>
      </c>
      <c r="F801" t="s">
        <v>42</v>
      </c>
      <c r="G801">
        <v>-200.94569999999999</v>
      </c>
      <c r="H801" s="1">
        <v>-2.8890339999999999E-6</v>
      </c>
      <c r="I801">
        <v>360.71199999999999</v>
      </c>
      <c r="J801">
        <v>-206.49969999999999</v>
      </c>
      <c r="K801">
        <v>1.0939399999999999</v>
      </c>
      <c r="L801">
        <v>366.0847</v>
      </c>
      <c r="M801">
        <v>0.94836880000000001</v>
      </c>
      <c r="N801">
        <v>0</v>
      </c>
      <c r="O801">
        <v>-0.31628869999999998</v>
      </c>
      <c r="P801">
        <v>0.87412639999999997</v>
      </c>
      <c r="Q801">
        <v>4.883672E-2</v>
      </c>
      <c r="R801">
        <v>-0.48323739999999998</v>
      </c>
      <c r="S801">
        <v>2.27684</v>
      </c>
      <c r="T801">
        <v>-0.43147439999999998</v>
      </c>
      <c r="U801">
        <v>-2.1474000000000002</v>
      </c>
      <c r="V801">
        <v>0.18465019999999999</v>
      </c>
      <c r="W801">
        <v>6.4538719999999994E-2</v>
      </c>
      <c r="X801">
        <v>0.98068299999999997</v>
      </c>
      <c r="Y801">
        <v>0.41972879999999901</v>
      </c>
      <c r="Z801">
        <v>1.476913E-2</v>
      </c>
      <c r="AA801">
        <v>0.90752940000000004</v>
      </c>
      <c r="AB801">
        <v>45</v>
      </c>
      <c r="AC801">
        <v>5.5540000000000003</v>
      </c>
      <c r="AD801">
        <v>-1.0939428890339999</v>
      </c>
      <c r="AE801">
        <v>-5.3727</v>
      </c>
      <c r="AF801">
        <v>3.2739519878164201</v>
      </c>
      <c r="AG801">
        <v>-1.0939428890339999</v>
      </c>
      <c r="AH801">
        <v>6.8315966099232899</v>
      </c>
      <c r="AI801">
        <v>98.216926322805605</v>
      </c>
      <c r="AJ801">
        <v>64.394548011859996</v>
      </c>
      <c r="AK801">
        <v>7.6541612802259804</v>
      </c>
    </row>
    <row r="802" spans="1:37" x14ac:dyDescent="0.2">
      <c r="A802" t="str">
        <f>"20200111154041063"</f>
        <v>20200111154041063</v>
      </c>
      <c r="B802" t="str">
        <f>"1578728441057090"</f>
        <v>1578728441057090</v>
      </c>
      <c r="C802" t="s">
        <v>37</v>
      </c>
      <c r="D802">
        <v>5.5057919999999996</v>
      </c>
      <c r="E802">
        <v>0.65278029999999998</v>
      </c>
      <c r="F802" t="s">
        <v>42</v>
      </c>
      <c r="G802">
        <v>-200.803</v>
      </c>
      <c r="H802" s="1">
        <v>-2.83658599999999E-6</v>
      </c>
      <c r="I802">
        <v>360.62450000000001</v>
      </c>
      <c r="J802">
        <v>-206.25290000000001</v>
      </c>
      <c r="K802">
        <v>1.0937779999999999</v>
      </c>
      <c r="L802">
        <v>366.00199999999899</v>
      </c>
      <c r="M802">
        <v>0.94550559999999995</v>
      </c>
      <c r="N802">
        <v>0</v>
      </c>
      <c r="O802">
        <v>-0.32475270000000001</v>
      </c>
      <c r="P802">
        <v>0.86946619999999997</v>
      </c>
      <c r="Q802">
        <v>4.7930420000000001E-2</v>
      </c>
      <c r="R802">
        <v>-0.49166149999999997</v>
      </c>
      <c r="S802">
        <v>2.2591709999999998</v>
      </c>
      <c r="T802">
        <v>-0.43382549999999998</v>
      </c>
      <c r="U802">
        <v>-2.1653439999999899</v>
      </c>
      <c r="V802">
        <v>0.18532760000000001</v>
      </c>
      <c r="W802">
        <v>6.3474710000000004E-2</v>
      </c>
      <c r="X802">
        <v>0.98062459999999996</v>
      </c>
      <c r="Y802">
        <v>0.41898619999999998</v>
      </c>
      <c r="Z802">
        <v>1.6160999999999998E-2</v>
      </c>
      <c r="AA802">
        <v>0.90784880000000001</v>
      </c>
      <c r="AB802">
        <v>45</v>
      </c>
      <c r="AC802">
        <v>5.4499000000000102</v>
      </c>
      <c r="AD802">
        <v>-1.093780836586</v>
      </c>
      <c r="AE802">
        <v>-5.37749999999994</v>
      </c>
      <c r="AF802">
        <v>3.2491935853934901</v>
      </c>
      <c r="AG802">
        <v>-1.093780836586</v>
      </c>
      <c r="AH802">
        <v>6.7631538603839196</v>
      </c>
      <c r="AI802">
        <v>98.293922573062503</v>
      </c>
      <c r="AJ802">
        <v>64.339169457433997</v>
      </c>
      <c r="AK802">
        <v>7.5824709437670004</v>
      </c>
    </row>
    <row r="803" spans="1:37" x14ac:dyDescent="0.2">
      <c r="A803" t="str">
        <f>"20200111154041074"</f>
        <v>20200111154041074</v>
      </c>
      <c r="B803" t="str">
        <f>"1578728441066851"</f>
        <v>1578728441066851</v>
      </c>
      <c r="C803" t="s">
        <v>37</v>
      </c>
      <c r="D803">
        <v>5.723903</v>
      </c>
      <c r="E803">
        <v>0.65069880000000002</v>
      </c>
      <c r="F803" t="s">
        <v>42</v>
      </c>
      <c r="G803">
        <v>-196.0855</v>
      </c>
      <c r="H803" s="1">
        <v>-3.5999909999999998E-6</v>
      </c>
      <c r="I803">
        <v>353.19439999999997</v>
      </c>
      <c r="J803">
        <v>-206.03099999999901</v>
      </c>
      <c r="K803">
        <v>1.0936379999999899</v>
      </c>
      <c r="L803">
        <v>365.92450000000002</v>
      </c>
      <c r="M803">
        <v>0.94282429999999995</v>
      </c>
      <c r="N803">
        <v>0</v>
      </c>
      <c r="O803">
        <v>-0.332460799999999</v>
      </c>
      <c r="P803">
        <v>0.86516680000000001</v>
      </c>
      <c r="Q803">
        <v>4.6839899999999997E-2</v>
      </c>
      <c r="R803">
        <v>-0.49929229999999902</v>
      </c>
      <c r="S803">
        <v>2.0220340000000001</v>
      </c>
      <c r="T803">
        <v>-0.21752630000000001</v>
      </c>
      <c r="U803">
        <v>-2.5471189999999999</v>
      </c>
      <c r="V803">
        <v>0.18590090000000001</v>
      </c>
      <c r="W803">
        <v>6.2252130000000003E-2</v>
      </c>
      <c r="X803">
        <v>0.98059449999999904</v>
      </c>
      <c r="Y803">
        <v>0.53144119999999995</v>
      </c>
      <c r="Z803">
        <v>4.0897470000000003E-3</v>
      </c>
      <c r="AA803">
        <v>0.84708539999999999</v>
      </c>
      <c r="AB803">
        <v>45</v>
      </c>
      <c r="AC803">
        <v>9.9454999999999796</v>
      </c>
      <c r="AD803">
        <v>-1.0936415999910001</v>
      </c>
      <c r="AE803">
        <v>-12.7301</v>
      </c>
      <c r="AF803">
        <v>8.6584775159599303</v>
      </c>
      <c r="AG803">
        <v>-1.0936415999910001</v>
      </c>
      <c r="AH803">
        <v>13.550772100830899</v>
      </c>
      <c r="AI803">
        <v>93.890642496614205</v>
      </c>
      <c r="AJ803">
        <v>57.422820892738301</v>
      </c>
      <c r="AK803">
        <v>16.117962320723699</v>
      </c>
    </row>
    <row r="804" spans="1:37" x14ac:dyDescent="0.2">
      <c r="A804" t="str">
        <f>"20200111154041086"</f>
        <v>20200111154041086</v>
      </c>
      <c r="B804" t="str">
        <f>"1578728441076610"</f>
        <v>1578728441076610</v>
      </c>
      <c r="C804" t="s">
        <v>37</v>
      </c>
      <c r="D804">
        <v>5.4219929999999996</v>
      </c>
      <c r="E804">
        <v>0.65252100000000002</v>
      </c>
      <c r="F804" t="s">
        <v>42</v>
      </c>
      <c r="G804">
        <v>-196.6113</v>
      </c>
      <c r="H804" s="1">
        <v>-4.1009360000000001E-6</v>
      </c>
      <c r="I804">
        <v>353.95819999999998</v>
      </c>
      <c r="J804">
        <v>-205.81979999999999</v>
      </c>
      <c r="K804">
        <v>1.0935109999999999</v>
      </c>
      <c r="L804">
        <v>365.84980000000002</v>
      </c>
      <c r="M804">
        <v>0.94020099999999995</v>
      </c>
      <c r="N804">
        <v>0</v>
      </c>
      <c r="O804">
        <v>-0.33981230000000001</v>
      </c>
      <c r="P804">
        <v>0.86070100000000005</v>
      </c>
      <c r="Q804">
        <v>4.6297919999999999E-2</v>
      </c>
      <c r="R804">
        <v>-0.50700199999999995</v>
      </c>
      <c r="S804">
        <v>2.008041</v>
      </c>
      <c r="T804">
        <v>-0.23313609999999901</v>
      </c>
      <c r="U804">
        <v>-2.5509029999999999</v>
      </c>
      <c r="V804">
        <v>0.1869876</v>
      </c>
      <c r="W804">
        <v>6.1560139999999999E-2</v>
      </c>
      <c r="X804">
        <v>0.98043159999999896</v>
      </c>
      <c r="Y804">
        <v>0.52825669999999902</v>
      </c>
      <c r="Z804">
        <v>5.108736E-3</v>
      </c>
      <c r="AA804">
        <v>0.84906939999999997</v>
      </c>
      <c r="AB804">
        <v>45</v>
      </c>
      <c r="AC804">
        <v>9.2084999999999795</v>
      </c>
      <c r="AD804">
        <v>-1.093515100936</v>
      </c>
      <c r="AE804">
        <v>-11.8916</v>
      </c>
      <c r="AF804">
        <v>8.0111975323937603</v>
      </c>
      <c r="AG804">
        <v>-1.093515100936</v>
      </c>
      <c r="AH804">
        <v>12.635450800206399</v>
      </c>
      <c r="AI804">
        <v>94.180352449432903</v>
      </c>
      <c r="AJ804">
        <v>57.624262062926597</v>
      </c>
      <c r="AK804">
        <v>15.000989237495</v>
      </c>
    </row>
    <row r="805" spans="1:37" x14ac:dyDescent="0.2">
      <c r="A805" t="str">
        <f>"20200111154041096"</f>
        <v>20200111154041096</v>
      </c>
      <c r="B805" t="str">
        <f>"1578728441087347"</f>
        <v>1578728441087347</v>
      </c>
      <c r="C805" t="s">
        <v>37</v>
      </c>
      <c r="D805">
        <v>5.4153070000000003</v>
      </c>
      <c r="E805">
        <v>0.65336050000000001</v>
      </c>
      <c r="F805" t="s">
        <v>42</v>
      </c>
      <c r="G805">
        <v>-195.74860000000001</v>
      </c>
      <c r="H805" s="1">
        <v>-3.280356E-6</v>
      </c>
      <c r="I805">
        <v>352.70760000000001</v>
      </c>
      <c r="J805">
        <v>-205.61879999999999</v>
      </c>
      <c r="K805">
        <v>1.093397</v>
      </c>
      <c r="L805">
        <v>365.7765</v>
      </c>
      <c r="M805">
        <v>0.937621699999999</v>
      </c>
      <c r="N805">
        <v>0</v>
      </c>
      <c r="O805">
        <v>-0.34686909999999999</v>
      </c>
      <c r="P805">
        <v>0.85637680000000005</v>
      </c>
      <c r="Q805">
        <v>4.5715539999999999E-2</v>
      </c>
      <c r="R805">
        <v>-0.514324</v>
      </c>
      <c r="S805">
        <v>1.9772189999999901</v>
      </c>
      <c r="T805">
        <v>-0.21468280000000001</v>
      </c>
      <c r="U805">
        <v>-2.5801090000000002</v>
      </c>
      <c r="V805">
        <v>0.18795880000000001</v>
      </c>
      <c r="W805">
        <v>6.0843349999999997E-2</v>
      </c>
      <c r="X805">
        <v>0.98029049999999995</v>
      </c>
      <c r="Y805">
        <v>0.53298800000000002</v>
      </c>
      <c r="Z805">
        <v>5.0266180000000001E-3</v>
      </c>
      <c r="AA805">
        <v>0.84610790000000002</v>
      </c>
      <c r="AB805">
        <v>45</v>
      </c>
      <c r="AC805">
        <v>9.8701999999999792</v>
      </c>
      <c r="AD805">
        <v>-1.0934002803559999</v>
      </c>
      <c r="AE805">
        <v>-13.0688999999999</v>
      </c>
      <c r="AF805">
        <v>8.7932403741125498</v>
      </c>
      <c r="AG805">
        <v>-1.0934002803559999</v>
      </c>
      <c r="AH805">
        <v>13.7302863255694</v>
      </c>
      <c r="AI805">
        <v>93.836545796675196</v>
      </c>
      <c r="AJ805">
        <v>57.363420981613302</v>
      </c>
      <c r="AK805">
        <v>16.341277888590099</v>
      </c>
    </row>
    <row r="806" spans="1:37" x14ac:dyDescent="0.2">
      <c r="A806" t="str">
        <f>"20200111154041106"</f>
        <v>20200111154041106</v>
      </c>
      <c r="B806" t="str">
        <f>"1578728441097107"</f>
        <v>1578728441097107</v>
      </c>
      <c r="C806" t="s">
        <v>37</v>
      </c>
      <c r="D806">
        <v>5.4839459999999898</v>
      </c>
      <c r="E806">
        <v>0.65315119999999904</v>
      </c>
      <c r="F806" t="s">
        <v>42</v>
      </c>
      <c r="G806">
        <v>-195.35579999999999</v>
      </c>
      <c r="H806" s="1">
        <v>-2.8830019999999998E-6</v>
      </c>
      <c r="I806">
        <v>352.09109999999998</v>
      </c>
      <c r="J806">
        <v>-205.41540000000001</v>
      </c>
      <c r="K806">
        <v>1.0932930000000001</v>
      </c>
      <c r="L806">
        <v>365.700999999999</v>
      </c>
      <c r="M806">
        <v>0.93494029999999995</v>
      </c>
      <c r="N806">
        <v>0</v>
      </c>
      <c r="O806">
        <v>-0.35403629999999903</v>
      </c>
      <c r="P806">
        <v>0.85204740000000001</v>
      </c>
      <c r="Q806">
        <v>4.492181E-2</v>
      </c>
      <c r="R806">
        <v>-0.52153400000000005</v>
      </c>
      <c r="S806">
        <v>1.9514309999999999</v>
      </c>
      <c r="T806">
        <v>-0.20790159999999999</v>
      </c>
      <c r="U806">
        <v>-2.6021730000000001</v>
      </c>
      <c r="V806">
        <v>0.18869359999999999</v>
      </c>
      <c r="W806">
        <v>5.9925699999999901E-2</v>
      </c>
      <c r="X806">
        <v>0.98020589999999996</v>
      </c>
      <c r="Y806">
        <v>0.535358</v>
      </c>
      <c r="Z806">
        <v>5.2816349999999998E-3</v>
      </c>
      <c r="AA806">
        <v>0.84460869999999999</v>
      </c>
      <c r="AB806">
        <v>45</v>
      </c>
      <c r="AC806">
        <v>10.0596</v>
      </c>
      <c r="AD806">
        <v>-1.0932958830020001</v>
      </c>
      <c r="AE806">
        <v>-13.6098999999999</v>
      </c>
      <c r="AF806">
        <v>9.1273880415403408</v>
      </c>
      <c r="AG806">
        <v>-1.0932958830020001</v>
      </c>
      <c r="AH806">
        <v>14.168274685670299</v>
      </c>
      <c r="AI806">
        <v>93.711551351053501</v>
      </c>
      <c r="AJ806">
        <v>57.209835534620296</v>
      </c>
      <c r="AK806">
        <v>16.889183399953001</v>
      </c>
    </row>
    <row r="807" spans="1:37" x14ac:dyDescent="0.2">
      <c r="A807" t="str">
        <f>"20200111154041120"</f>
        <v>20200111154041120</v>
      </c>
      <c r="B807" t="str">
        <f>"1578728441116628"</f>
        <v>1578728441116628</v>
      </c>
      <c r="C807" t="s">
        <v>37</v>
      </c>
      <c r="D807">
        <v>5.4149510000000003</v>
      </c>
      <c r="E807">
        <v>0.65320369999999905</v>
      </c>
      <c r="F807" t="s">
        <v>42</v>
      </c>
      <c r="G807">
        <v>-195.2072</v>
      </c>
      <c r="H807" s="1">
        <v>-2.7235299999999998E-6</v>
      </c>
      <c r="I807">
        <v>351.86309999999997</v>
      </c>
      <c r="J807">
        <v>-205.17490000000001</v>
      </c>
      <c r="K807">
        <v>1.09317</v>
      </c>
      <c r="L807">
        <v>365.60969999999998</v>
      </c>
      <c r="M807">
        <v>0.93166849999999901</v>
      </c>
      <c r="N807">
        <v>0</v>
      </c>
      <c r="O807">
        <v>-0.36256189999999999</v>
      </c>
      <c r="P807">
        <v>0.84691479999999997</v>
      </c>
      <c r="Q807">
        <v>4.4342409999999999E-2</v>
      </c>
      <c r="R807">
        <v>-0.52987680000000004</v>
      </c>
      <c r="S807">
        <v>1.930237</v>
      </c>
      <c r="T807">
        <v>-0.20672860000000001</v>
      </c>
      <c r="U807">
        <v>-2.6165769999999999</v>
      </c>
      <c r="V807">
        <v>0.18934479999999901</v>
      </c>
      <c r="W807">
        <v>5.9213620000000002E-2</v>
      </c>
      <c r="X807">
        <v>0.98012359999999898</v>
      </c>
      <c r="Y807">
        <v>0.53431269999999997</v>
      </c>
      <c r="Z807">
        <v>5.8952550000000003E-3</v>
      </c>
      <c r="AA807">
        <v>0.84526630000000003</v>
      </c>
      <c r="AB807">
        <v>45</v>
      </c>
      <c r="AC807">
        <v>9.9677000000000007</v>
      </c>
      <c r="AD807">
        <v>-1.0931727235299999</v>
      </c>
      <c r="AE807">
        <v>-13.746600000000001</v>
      </c>
      <c r="AF807">
        <v>9.1579043905475608</v>
      </c>
      <c r="AG807">
        <v>-1.0931727235299999</v>
      </c>
      <c r="AH807">
        <v>14.2155396072991</v>
      </c>
      <c r="AI807">
        <v>93.698821665939306</v>
      </c>
      <c r="AJ807">
        <v>57.209642790940798</v>
      </c>
      <c r="AK807">
        <v>16.945318107269902</v>
      </c>
    </row>
    <row r="808" spans="1:37" x14ac:dyDescent="0.2">
      <c r="A808" t="str">
        <f>"20200111154041133"</f>
        <v>20200111154041133</v>
      </c>
      <c r="B808" t="str">
        <f>"1578728441127363"</f>
        <v>1578728441127363</v>
      </c>
      <c r="C808" t="s">
        <v>37</v>
      </c>
      <c r="D808">
        <v>5.5393850000000002</v>
      </c>
      <c r="E808">
        <v>0.65323469999999995</v>
      </c>
      <c r="F808" t="s">
        <v>42</v>
      </c>
      <c r="G808">
        <v>-194.68729999999999</v>
      </c>
      <c r="H808" s="1">
        <v>-2.1274679999999999E-6</v>
      </c>
      <c r="I808">
        <v>351.0899</v>
      </c>
      <c r="J808">
        <v>-204.94200000000001</v>
      </c>
      <c r="K808">
        <v>1.0930530000000001</v>
      </c>
      <c r="L808">
        <v>365.51839999999999</v>
      </c>
      <c r="M808">
        <v>0.92838719999999997</v>
      </c>
      <c r="N808">
        <v>0</v>
      </c>
      <c r="O808">
        <v>-0.37088670000000001</v>
      </c>
      <c r="P808">
        <v>0.84200779999999997</v>
      </c>
      <c r="Q808">
        <v>4.4090320000000002E-2</v>
      </c>
      <c r="R808">
        <v>-0.53766059999999904</v>
      </c>
      <c r="S808">
        <v>1.9036869999999999</v>
      </c>
      <c r="T808">
        <v>-0.1984293</v>
      </c>
      <c r="U808">
        <v>-2.6355900000000001</v>
      </c>
      <c r="V808">
        <v>0.1896033</v>
      </c>
      <c r="W808">
        <v>5.8852330000000001E-2</v>
      </c>
      <c r="X808">
        <v>0.98009539999999995</v>
      </c>
      <c r="Y808">
        <v>0.53527409999999997</v>
      </c>
      <c r="Z808">
        <v>6.1902679999999996E-3</v>
      </c>
      <c r="AA808">
        <v>0.84465569999999901</v>
      </c>
      <c r="AB808">
        <v>45</v>
      </c>
      <c r="AC808">
        <v>10.2547</v>
      </c>
      <c r="AD808">
        <v>-1.093055127468</v>
      </c>
      <c r="AE808">
        <v>-14.4284999999999</v>
      </c>
      <c r="AF808">
        <v>9.5580500830145994</v>
      </c>
      <c r="AG808">
        <v>-1.093055127468</v>
      </c>
      <c r="AH808">
        <v>14.8191842477201</v>
      </c>
      <c r="AI808">
        <v>93.546941118450206</v>
      </c>
      <c r="AJ808">
        <v>57.178867920350903</v>
      </c>
      <c r="AK808">
        <v>17.668030809034001</v>
      </c>
    </row>
    <row r="809" spans="1:37" x14ac:dyDescent="0.2">
      <c r="A809" t="str">
        <f>"20200111154041144"</f>
        <v>20200111154041144</v>
      </c>
      <c r="B809" t="str">
        <f>"1578728441137123"</f>
        <v>1578728441137123</v>
      </c>
      <c r="C809" t="s">
        <v>37</v>
      </c>
      <c r="D809">
        <v>5.7296170000000002</v>
      </c>
      <c r="E809">
        <v>0.65145280000000005</v>
      </c>
      <c r="F809" t="s">
        <v>42</v>
      </c>
      <c r="G809">
        <v>-194.49770000000001</v>
      </c>
      <c r="H809" s="1">
        <v>-1.8851740000000001E-6</v>
      </c>
      <c r="I809">
        <v>350.76580000000001</v>
      </c>
      <c r="J809">
        <v>-204.70779999999999</v>
      </c>
      <c r="K809">
        <v>1.092937</v>
      </c>
      <c r="L809">
        <v>365.42520000000002</v>
      </c>
      <c r="M809">
        <v>0.92499349999999902</v>
      </c>
      <c r="N809">
        <v>0</v>
      </c>
      <c r="O809">
        <v>-0.37927499999999997</v>
      </c>
      <c r="P809">
        <v>0.83685919999999903</v>
      </c>
      <c r="Q809">
        <v>4.3369100000000001E-2</v>
      </c>
      <c r="R809">
        <v>-0.54569789999999996</v>
      </c>
      <c r="S809">
        <v>1.878708</v>
      </c>
      <c r="T809">
        <v>-0.1966175</v>
      </c>
      <c r="U809">
        <v>-2.6536869999999899</v>
      </c>
      <c r="V809">
        <v>0.1900829</v>
      </c>
      <c r="W809">
        <v>5.8008820000000003E-2</v>
      </c>
      <c r="X809">
        <v>0.98005279999999995</v>
      </c>
      <c r="Y809">
        <v>0.53565980000000002</v>
      </c>
      <c r="Z809">
        <v>6.6860080000000002E-3</v>
      </c>
      <c r="AA809">
        <v>0.84440740000000003</v>
      </c>
      <c r="AB809">
        <v>45</v>
      </c>
      <c r="AC809">
        <v>10.210099999999899</v>
      </c>
      <c r="AD809">
        <v>-1.0929388851740001</v>
      </c>
      <c r="AE809">
        <v>-14.6594</v>
      </c>
      <c r="AF809">
        <v>9.6538853276109897</v>
      </c>
      <c r="AG809">
        <v>-1.0929388851740001</v>
      </c>
      <c r="AH809">
        <v>14.9522895826977</v>
      </c>
      <c r="AI809">
        <v>93.514006252955099</v>
      </c>
      <c r="AJ809">
        <v>57.151854610018802</v>
      </c>
      <c r="AK809">
        <v>17.8315165112292</v>
      </c>
    </row>
    <row r="810" spans="1:37" x14ac:dyDescent="0.2">
      <c r="A810" t="str">
        <f>"20200111154041156"</f>
        <v>20200111154041156</v>
      </c>
      <c r="B810" t="str">
        <f>"1578728441146883"</f>
        <v>1578728441146883</v>
      </c>
      <c r="C810" t="s">
        <v>37</v>
      </c>
      <c r="D810">
        <v>5.4084529999999997</v>
      </c>
      <c r="E810">
        <v>0.651528199999999</v>
      </c>
      <c r="F810" t="s">
        <v>42</v>
      </c>
      <c r="G810">
        <v>-194.70259999999999</v>
      </c>
      <c r="H810" s="1">
        <v>-2.1505130000000001E-6</v>
      </c>
      <c r="I810">
        <v>351.12189999999998</v>
      </c>
      <c r="J810">
        <v>-204.48500000000001</v>
      </c>
      <c r="K810">
        <v>1.092832</v>
      </c>
      <c r="L810">
        <v>365.33339999999998</v>
      </c>
      <c r="M810">
        <v>0.92164919999999995</v>
      </c>
      <c r="N810">
        <v>0</v>
      </c>
      <c r="O810">
        <v>-0.38733410000000001</v>
      </c>
      <c r="P810">
        <v>0.83176329999999998</v>
      </c>
      <c r="Q810">
        <v>4.3114510000000002E-2</v>
      </c>
      <c r="R810">
        <v>-0.55345390000000005</v>
      </c>
      <c r="S810">
        <v>1.8607639999999901</v>
      </c>
      <c r="T810">
        <v>-0.2032651</v>
      </c>
      <c r="U810">
        <v>-2.660126</v>
      </c>
      <c r="V810">
        <v>0.19063429999999901</v>
      </c>
      <c r="W810">
        <v>5.7629420000000001E-2</v>
      </c>
      <c r="X810">
        <v>0.97996810000000001</v>
      </c>
      <c r="Y810">
        <v>0.53306229999999999</v>
      </c>
      <c r="Z810">
        <v>7.5832999999999899E-3</v>
      </c>
      <c r="AA810">
        <v>0.84604199999999996</v>
      </c>
      <c r="AB810">
        <v>45</v>
      </c>
      <c r="AC810">
        <v>9.7824000000000204</v>
      </c>
      <c r="AD810">
        <v>-1.0928341505129999</v>
      </c>
      <c r="AE810">
        <v>-14.211499999999999</v>
      </c>
      <c r="AF810">
        <v>9.2742415520611203</v>
      </c>
      <c r="AG810">
        <v>-1.0928341505129999</v>
      </c>
      <c r="AH810">
        <v>14.466383493936799</v>
      </c>
      <c r="AI810">
        <v>93.638896115673305</v>
      </c>
      <c r="AJ810">
        <v>57.336508165205203</v>
      </c>
      <c r="AK810">
        <v>17.218655413247301</v>
      </c>
    </row>
    <row r="811" spans="1:37" x14ac:dyDescent="0.2">
      <c r="A811" t="str">
        <f>"20200111154041169"</f>
        <v>20200111154041169</v>
      </c>
      <c r="B811" t="str">
        <f>"1578728441156643"</f>
        <v>1578728441156643</v>
      </c>
      <c r="C811" t="s">
        <v>37</v>
      </c>
      <c r="D811">
        <v>5.6766540000000001</v>
      </c>
      <c r="E811">
        <v>0.64981789999999995</v>
      </c>
      <c r="F811" t="s">
        <v>42</v>
      </c>
      <c r="G811">
        <v>-194.47389999999999</v>
      </c>
      <c r="H811" s="1">
        <v>-1.8587989999999899E-6</v>
      </c>
      <c r="I811">
        <v>350.7319</v>
      </c>
      <c r="J811">
        <v>-204.26070000000001</v>
      </c>
      <c r="K811">
        <v>1.0927309999999999</v>
      </c>
      <c r="L811">
        <v>365.23930000000001</v>
      </c>
      <c r="M811">
        <v>0.91818650000000002</v>
      </c>
      <c r="N811">
        <v>0</v>
      </c>
      <c r="O811">
        <v>-0.39547650000000001</v>
      </c>
      <c r="P811">
        <v>0.82638440000000002</v>
      </c>
      <c r="Q811">
        <v>4.2838840000000003E-2</v>
      </c>
      <c r="R811">
        <v>-0.56147460000000005</v>
      </c>
      <c r="S811">
        <v>1.8356779999999999</v>
      </c>
      <c r="T811">
        <v>-0.20038689999999901</v>
      </c>
      <c r="U811">
        <v>-2.6773989999999999</v>
      </c>
      <c r="V811">
        <v>0.19143399999999999</v>
      </c>
      <c r="W811">
        <v>5.7211440000000002E-2</v>
      </c>
      <c r="X811">
        <v>0.97983659999999995</v>
      </c>
      <c r="Y811">
        <v>0.53353159999999999</v>
      </c>
      <c r="Z811">
        <v>8.0231499999999997E-3</v>
      </c>
      <c r="AA811">
        <v>0.84574199999999999</v>
      </c>
      <c r="AB811">
        <v>45</v>
      </c>
      <c r="AC811">
        <v>9.7868000000000208</v>
      </c>
      <c r="AD811">
        <v>-1.092732858799</v>
      </c>
      <c r="AE811">
        <v>-14.507400000000001</v>
      </c>
      <c r="AF811">
        <v>9.4158508556154192</v>
      </c>
      <c r="AG811">
        <v>-1.092732858799</v>
      </c>
      <c r="AH811">
        <v>14.670161087010399</v>
      </c>
      <c r="AI811">
        <v>93.586934909874202</v>
      </c>
      <c r="AJ811">
        <v>57.306154627025698</v>
      </c>
      <c r="AK811">
        <v>17.466136915606899</v>
      </c>
    </row>
    <row r="812" spans="1:37" x14ac:dyDescent="0.2">
      <c r="A812" t="str">
        <f>"20200111154041184"</f>
        <v>20200111154041184</v>
      </c>
      <c r="B812" t="str">
        <f>"1578728441177138"</f>
        <v>1578728441177138</v>
      </c>
      <c r="C812" t="s">
        <v>37</v>
      </c>
      <c r="D812">
        <v>5.647132</v>
      </c>
      <c r="E812">
        <v>0.64623390000000003</v>
      </c>
      <c r="F812" t="s">
        <v>42</v>
      </c>
      <c r="G812">
        <v>-194.52549999999999</v>
      </c>
      <c r="H812" s="1">
        <v>-1.9490619999999999E-6</v>
      </c>
      <c r="I812">
        <v>350.8612</v>
      </c>
      <c r="J812">
        <v>-203.96850000000001</v>
      </c>
      <c r="K812">
        <v>1.092606</v>
      </c>
      <c r="L812">
        <v>365.11360000000002</v>
      </c>
      <c r="M812">
        <v>0.91352239999999996</v>
      </c>
      <c r="N812">
        <v>0</v>
      </c>
      <c r="O812">
        <v>-0.40613969999999999</v>
      </c>
      <c r="P812">
        <v>0.81887109999999996</v>
      </c>
      <c r="Q812">
        <v>4.2701910000000003E-2</v>
      </c>
      <c r="R812">
        <v>-0.57238750000000005</v>
      </c>
      <c r="S812">
        <v>1.817261</v>
      </c>
      <c r="T812">
        <v>-0.20398060000000001</v>
      </c>
      <c r="U812">
        <v>-2.6839599999999999</v>
      </c>
      <c r="V812">
        <v>0.193027799999999</v>
      </c>
      <c r="W812">
        <v>5.6852970000000003E-2</v>
      </c>
      <c r="X812">
        <v>0.97954479999999999</v>
      </c>
      <c r="Y812">
        <v>0.52862399999999998</v>
      </c>
      <c r="Z812">
        <v>9.1144180000000009E-3</v>
      </c>
      <c r="AA812">
        <v>0.84880719999999998</v>
      </c>
      <c r="AB812">
        <v>44</v>
      </c>
      <c r="AC812">
        <v>9.4430000000000103</v>
      </c>
      <c r="AD812">
        <v>-1.092607949062</v>
      </c>
      <c r="AE812">
        <v>-14.2524</v>
      </c>
      <c r="AF812">
        <v>9.1497635840443401</v>
      </c>
      <c r="AG812">
        <v>-1.092607949062</v>
      </c>
      <c r="AH812">
        <v>14.3600119906129</v>
      </c>
      <c r="AI812">
        <v>93.671527666638795</v>
      </c>
      <c r="AJ812">
        <v>57.4959502275169</v>
      </c>
      <c r="AK812">
        <v>17.062294984696699</v>
      </c>
    </row>
    <row r="813" spans="1:37" x14ac:dyDescent="0.2">
      <c r="A813" t="str">
        <f>"20200111154041195"</f>
        <v>20200111154041195</v>
      </c>
      <c r="B813" t="str">
        <f>"1578728441186898"</f>
        <v>1578728441186898</v>
      </c>
      <c r="C813" t="s">
        <v>37</v>
      </c>
      <c r="D813">
        <v>5.6277949999999999</v>
      </c>
      <c r="E813">
        <v>0.64450479999999999</v>
      </c>
      <c r="F813" t="s">
        <v>42</v>
      </c>
      <c r="G813">
        <v>-195.69569999999999</v>
      </c>
      <c r="H813" s="1">
        <v>-3.2961079999999999E-6</v>
      </c>
      <c r="I813">
        <v>352.76229999999998</v>
      </c>
      <c r="J813">
        <v>-203.74940000000001</v>
      </c>
      <c r="K813">
        <v>1.092514</v>
      </c>
      <c r="L813">
        <v>365.01609999999999</v>
      </c>
      <c r="M813">
        <v>0.90989830000000005</v>
      </c>
      <c r="N813">
        <v>0</v>
      </c>
      <c r="O813">
        <v>-0.4141997</v>
      </c>
      <c r="P813">
        <v>0.81337109999999901</v>
      </c>
      <c r="Q813">
        <v>4.3330059999999997E-2</v>
      </c>
      <c r="R813">
        <v>-0.58012989999999998</v>
      </c>
      <c r="S813">
        <v>1.7987519999999999</v>
      </c>
      <c r="T813">
        <v>-0.23756559999999999</v>
      </c>
      <c r="U813">
        <v>-2.6855470000000001</v>
      </c>
      <c r="V813">
        <v>0.19371070000000001</v>
      </c>
      <c r="W813">
        <v>5.7330930000000002E-2</v>
      </c>
      <c r="X813">
        <v>0.97938210000000003</v>
      </c>
      <c r="Y813">
        <v>0.52530929999999998</v>
      </c>
      <c r="Z813">
        <v>1.1449010000000001E-2</v>
      </c>
      <c r="AA813">
        <v>0.85083439999999999</v>
      </c>
      <c r="AB813">
        <v>44</v>
      </c>
      <c r="AC813">
        <v>8.0537000000000099</v>
      </c>
      <c r="AD813">
        <v>-1.0925172961080001</v>
      </c>
      <c r="AE813">
        <v>-12.2538</v>
      </c>
      <c r="AF813">
        <v>7.7727707365896102</v>
      </c>
      <c r="AG813">
        <v>-1.0925172961080001</v>
      </c>
      <c r="AH813">
        <v>12.3383255122866</v>
      </c>
      <c r="AI813">
        <v>94.284571811653393</v>
      </c>
      <c r="AJ813">
        <v>57.7903167015468</v>
      </c>
      <c r="AK813">
        <v>14.623400268508799</v>
      </c>
    </row>
    <row r="814" spans="1:37" x14ac:dyDescent="0.2">
      <c r="A814" t="str">
        <f>"20200111154041207"</f>
        <v>20200111154041207</v>
      </c>
      <c r="B814" t="str">
        <f>"1578728441196659"</f>
        <v>1578728441196659</v>
      </c>
      <c r="C814" t="s">
        <v>37</v>
      </c>
      <c r="D814">
        <v>5.7463739999999897</v>
      </c>
      <c r="E814">
        <v>0.64330580000000004</v>
      </c>
      <c r="F814" t="s">
        <v>42</v>
      </c>
      <c r="G814">
        <v>-195.8382</v>
      </c>
      <c r="H814" s="1">
        <v>-3.4794449999999999E-6</v>
      </c>
      <c r="I814">
        <v>353.06380000000001</v>
      </c>
      <c r="J814">
        <v>-203.55850000000001</v>
      </c>
      <c r="K814">
        <v>1.0924389999999999</v>
      </c>
      <c r="L814">
        <v>364.92989999999998</v>
      </c>
      <c r="M814">
        <v>0.90666340000000001</v>
      </c>
      <c r="N814">
        <v>0</v>
      </c>
      <c r="O814">
        <v>-0.42123739999999998</v>
      </c>
      <c r="P814">
        <v>0.80855569999999999</v>
      </c>
      <c r="Q814">
        <v>4.4075080000000003E-2</v>
      </c>
      <c r="R814">
        <v>-0.58676700000000004</v>
      </c>
      <c r="S814">
        <v>1.781631</v>
      </c>
      <c r="T814">
        <v>-0.24603699999999901</v>
      </c>
      <c r="U814">
        <v>-2.691681</v>
      </c>
      <c r="V814">
        <v>0.19419459999999999</v>
      </c>
      <c r="W814">
        <v>5.7944559999999999E-2</v>
      </c>
      <c r="X814">
        <v>0.97925019999999996</v>
      </c>
      <c r="Y814">
        <v>0.52336210000000005</v>
      </c>
      <c r="Z814">
        <v>1.25627E-2</v>
      </c>
      <c r="AA814">
        <v>0.85201779999999905</v>
      </c>
      <c r="AB814">
        <v>44</v>
      </c>
      <c r="AC814">
        <v>7.7202999999999999</v>
      </c>
      <c r="AD814">
        <v>-1.0924424794449901</v>
      </c>
      <c r="AE814">
        <v>-11.8660999999999</v>
      </c>
      <c r="AF814">
        <v>7.4639857045361504</v>
      </c>
      <c r="AG814">
        <v>-1.0924424794449901</v>
      </c>
      <c r="AH814">
        <v>11.9302376441715</v>
      </c>
      <c r="AI814">
        <v>94.438874171697805</v>
      </c>
      <c r="AJ814">
        <v>57.968421721407402</v>
      </c>
      <c r="AK814">
        <v>14.115065831048099</v>
      </c>
    </row>
    <row r="815" spans="1:37" x14ac:dyDescent="0.2">
      <c r="A815" t="str">
        <f>"20200111154041218"</f>
        <v>20200111154041218</v>
      </c>
      <c r="B815" t="str">
        <f>"1578728441207395"</f>
        <v>1578728441207395</v>
      </c>
      <c r="C815" t="s">
        <v>37</v>
      </c>
      <c r="D815">
        <v>5.7020169999999997</v>
      </c>
      <c r="E815">
        <v>0.64224239999999999</v>
      </c>
      <c r="F815" t="s">
        <v>42</v>
      </c>
      <c r="G815">
        <v>-195.87370000000001</v>
      </c>
      <c r="H815" s="1">
        <v>-3.5420999999999999E-6</v>
      </c>
      <c r="I815">
        <v>353.17259999999999</v>
      </c>
      <c r="J815">
        <v>-203.35640000000001</v>
      </c>
      <c r="K815">
        <v>1.0923529999999999</v>
      </c>
      <c r="L815">
        <v>364.8365</v>
      </c>
      <c r="M815">
        <v>0.90314879999999997</v>
      </c>
      <c r="N815">
        <v>0</v>
      </c>
      <c r="O815">
        <v>-0.428726199999999</v>
      </c>
      <c r="P815">
        <v>0.80343369999999903</v>
      </c>
      <c r="Q815">
        <v>4.4938510000000001E-2</v>
      </c>
      <c r="R815">
        <v>-0.59369620000000001</v>
      </c>
      <c r="S815">
        <v>1.7647090000000001</v>
      </c>
      <c r="T815">
        <v>-0.25086439999999999</v>
      </c>
      <c r="U815">
        <v>-2.6998899999999999</v>
      </c>
      <c r="V815">
        <v>0.1945751</v>
      </c>
      <c r="W815">
        <v>5.866764E-2</v>
      </c>
      <c r="X815">
        <v>0.97913159999999899</v>
      </c>
      <c r="Y815">
        <v>0.5212445</v>
      </c>
      <c r="Z815">
        <v>1.357058E-2</v>
      </c>
      <c r="AA815">
        <v>0.85329949999999999</v>
      </c>
      <c r="AB815">
        <v>44</v>
      </c>
      <c r="AC815">
        <v>7.4826999999999897</v>
      </c>
      <c r="AD815">
        <v>-1.0923565421000001</v>
      </c>
      <c r="AE815">
        <v>-11.6639</v>
      </c>
      <c r="AF815">
        <v>7.2828463034352096</v>
      </c>
      <c r="AG815">
        <v>-1.0923565421000001</v>
      </c>
      <c r="AH815">
        <v>11.6890156438874</v>
      </c>
      <c r="AI815">
        <v>94.534987680616297</v>
      </c>
      <c r="AJ815">
        <v>58.075012028602899</v>
      </c>
      <c r="AK815">
        <v>13.8154326684897</v>
      </c>
    </row>
    <row r="816" spans="1:37" x14ac:dyDescent="0.2">
      <c r="A816" t="str">
        <f>"20200111154041229"</f>
        <v>20200111154041229</v>
      </c>
      <c r="B816" t="str">
        <f>"1578728441226915"</f>
        <v>1578728441226915</v>
      </c>
      <c r="C816" t="s">
        <v>37</v>
      </c>
      <c r="D816">
        <v>5.6170109999999998</v>
      </c>
      <c r="E816">
        <v>0.64129239999999998</v>
      </c>
      <c r="F816" t="s">
        <v>42</v>
      </c>
      <c r="G816">
        <v>-195.92339999999999</v>
      </c>
      <c r="H816" s="1">
        <v>-3.6211049999999999E-6</v>
      </c>
      <c r="I816">
        <v>353.30779999999999</v>
      </c>
      <c r="J816">
        <v>-203.15110000000001</v>
      </c>
      <c r="K816">
        <v>1.0922670000000001</v>
      </c>
      <c r="L816">
        <v>364.73950000000002</v>
      </c>
      <c r="M816">
        <v>0.89948619999999901</v>
      </c>
      <c r="N816">
        <v>0</v>
      </c>
      <c r="O816">
        <v>-0.436363</v>
      </c>
      <c r="P816">
        <v>0.79804229999999998</v>
      </c>
      <c r="Q816">
        <v>4.5922739999999997E-2</v>
      </c>
      <c r="R816">
        <v>-0.60084899999999997</v>
      </c>
      <c r="S816">
        <v>1.7465520000000001</v>
      </c>
      <c r="T816">
        <v>-0.2566735</v>
      </c>
      <c r="U816">
        <v>-2.708923</v>
      </c>
      <c r="V816">
        <v>0.19510039999999901</v>
      </c>
      <c r="W816">
        <v>5.9493030000000002E-2</v>
      </c>
      <c r="X816">
        <v>0.97897730000000005</v>
      </c>
      <c r="Y816">
        <v>0.51935489999999995</v>
      </c>
      <c r="Z816">
        <v>1.4667879999999999E-2</v>
      </c>
      <c r="AA816">
        <v>0.85443279999999999</v>
      </c>
      <c r="AB816">
        <v>44</v>
      </c>
      <c r="AC816">
        <v>7.22770000000002</v>
      </c>
      <c r="AD816">
        <v>-1.092270621105</v>
      </c>
      <c r="AE816">
        <v>-11.431699999999999</v>
      </c>
      <c r="AF816">
        <v>7.0843754675865602</v>
      </c>
      <c r="AG816">
        <v>-1.092270621105</v>
      </c>
      <c r="AH816">
        <v>11.4180588853768</v>
      </c>
      <c r="AI816">
        <v>94.647161547719193</v>
      </c>
      <c r="AJ816">
        <v>58.182318960222297</v>
      </c>
      <c r="AK816">
        <v>13.481598554526199</v>
      </c>
    </row>
    <row r="817" spans="1:37" x14ac:dyDescent="0.2">
      <c r="A817" t="str">
        <f>"20200111154041241"</f>
        <v>20200111154041241</v>
      </c>
      <c r="B817" t="str">
        <f>"1578728441236675"</f>
        <v>1578728441236675</v>
      </c>
      <c r="C817" t="s">
        <v>37</v>
      </c>
      <c r="D817">
        <v>5.6534000000000004</v>
      </c>
      <c r="E817">
        <v>0.61945640000000002</v>
      </c>
      <c r="F817" t="s">
        <v>42</v>
      </c>
      <c r="G817">
        <v>-195.97239999999999</v>
      </c>
      <c r="H817" s="1">
        <v>-3.6966030000000002E-6</v>
      </c>
      <c r="I817">
        <v>353.43619999999999</v>
      </c>
      <c r="J817">
        <v>-202.94149999999999</v>
      </c>
      <c r="K817">
        <v>1.092174</v>
      </c>
      <c r="L817">
        <v>364.63900000000001</v>
      </c>
      <c r="M817">
        <v>0.89565709999999998</v>
      </c>
      <c r="N817">
        <v>0</v>
      </c>
      <c r="O817">
        <v>-0.44417499999999999</v>
      </c>
      <c r="P817">
        <v>0.79270419999999997</v>
      </c>
      <c r="Q817">
        <v>4.6554070000000003E-2</v>
      </c>
      <c r="R817">
        <v>-0.60782650000000005</v>
      </c>
      <c r="S817">
        <v>1.72699</v>
      </c>
      <c r="T817">
        <v>-0.26276719999999998</v>
      </c>
      <c r="U817">
        <v>-2.7192379999999998</v>
      </c>
      <c r="V817">
        <v>0.19521910000000001</v>
      </c>
      <c r="W817">
        <v>5.9975680000000003E-2</v>
      </c>
      <c r="X817">
        <v>0.97892409999999996</v>
      </c>
      <c r="Y817">
        <v>0.51777059999999997</v>
      </c>
      <c r="Z817">
        <v>1.581952E-2</v>
      </c>
      <c r="AA817">
        <v>0.85537319999999994</v>
      </c>
      <c r="AB817">
        <v>44</v>
      </c>
      <c r="AC817">
        <v>6.9690999999999903</v>
      </c>
      <c r="AD817">
        <v>-1.0921776966029999</v>
      </c>
      <c r="AE817">
        <v>-11.2028</v>
      </c>
      <c r="AF817">
        <v>6.8928919337029404</v>
      </c>
      <c r="AG817">
        <v>-1.0921776966029999</v>
      </c>
      <c r="AH817">
        <v>11.1444030668144</v>
      </c>
      <c r="AI817">
        <v>94.764484230475503</v>
      </c>
      <c r="AJ817">
        <v>58.262916544194397</v>
      </c>
      <c r="AK817">
        <v>13.149240702271999</v>
      </c>
    </row>
    <row r="818" spans="1:37" x14ac:dyDescent="0.2">
      <c r="A818" t="str">
        <f>"20200111154041254"</f>
        <v>20200111154041254</v>
      </c>
      <c r="B818" t="str">
        <f>"1578728441247411"</f>
        <v>1578728441247411</v>
      </c>
      <c r="C818" t="s">
        <v>37</v>
      </c>
      <c r="D818">
        <v>5.5771309999999996</v>
      </c>
      <c r="E818">
        <v>0.61972289999999997</v>
      </c>
      <c r="F818" t="s">
        <v>42</v>
      </c>
      <c r="G818">
        <v>-198.29759999999999</v>
      </c>
      <c r="H818" s="1">
        <v>-6.0381730000000004E-6</v>
      </c>
      <c r="I818">
        <v>357.97199999999998</v>
      </c>
      <c r="J818">
        <v>-202.7225</v>
      </c>
      <c r="K818">
        <v>1.092077</v>
      </c>
      <c r="L818">
        <v>364.53050000000002</v>
      </c>
      <c r="M818">
        <v>0.89153300000000002</v>
      </c>
      <c r="N818">
        <v>0</v>
      </c>
      <c r="O818">
        <v>-0.45240249999999999</v>
      </c>
      <c r="P818">
        <v>0.78698760000000001</v>
      </c>
      <c r="Q818">
        <v>4.699557E-2</v>
      </c>
      <c r="R818">
        <v>-0.61517619999999995</v>
      </c>
      <c r="S818">
        <v>1.81338499999999</v>
      </c>
      <c r="T818">
        <v>-0.42648449999999999</v>
      </c>
      <c r="U818">
        <v>-2.6033629999999999</v>
      </c>
      <c r="V818">
        <v>0.19535339999999901</v>
      </c>
      <c r="W818">
        <v>6.0239359999999999E-2</v>
      </c>
      <c r="X818">
        <v>0.97888109999999995</v>
      </c>
      <c r="Y818">
        <v>0.47270259999999997</v>
      </c>
      <c r="Z818">
        <v>3.0548200000000001E-2</v>
      </c>
      <c r="AA818">
        <v>0.88069240000000004</v>
      </c>
      <c r="AB818">
        <v>44</v>
      </c>
      <c r="AC818">
        <v>4.4249000000000001</v>
      </c>
      <c r="AD818">
        <v>-1.092083038173</v>
      </c>
      <c r="AE818">
        <v>-6.5585000000000298</v>
      </c>
      <c r="AF818">
        <v>3.77433149677519</v>
      </c>
      <c r="AG818">
        <v>-1.092083038173</v>
      </c>
      <c r="AH818">
        <v>6.7844878105682103</v>
      </c>
      <c r="AI818">
        <v>98.007004094027096</v>
      </c>
      <c r="AJ818">
        <v>60.912032581806699</v>
      </c>
      <c r="AK818">
        <v>7.8401210744199004</v>
      </c>
    </row>
    <row r="819" spans="1:37" x14ac:dyDescent="0.2">
      <c r="A819" t="str">
        <f>"20200111154041265"</f>
        <v>20200111154041265</v>
      </c>
      <c r="B819" t="str">
        <f>"1578728441257171"</f>
        <v>1578728441257171</v>
      </c>
      <c r="C819" t="s">
        <v>37</v>
      </c>
      <c r="D819">
        <v>5.5795129999999897</v>
      </c>
      <c r="E819">
        <v>0.61856089999999997</v>
      </c>
      <c r="F819" t="s">
        <v>42</v>
      </c>
      <c r="G819">
        <v>-198.10419999999999</v>
      </c>
      <c r="H819" s="1">
        <v>-5.9359820000000004E-6</v>
      </c>
      <c r="I819">
        <v>357.75699999999898</v>
      </c>
      <c r="J819">
        <v>-202.50880000000001</v>
      </c>
      <c r="K819">
        <v>1.091977</v>
      </c>
      <c r="L819">
        <v>364.42329999999998</v>
      </c>
      <c r="M819">
        <v>0.88741550000000002</v>
      </c>
      <c r="N819">
        <v>0</v>
      </c>
      <c r="O819">
        <v>-0.46043420000000002</v>
      </c>
      <c r="P819">
        <v>0.78137429999999997</v>
      </c>
      <c r="Q819">
        <v>4.723024E-2</v>
      </c>
      <c r="R819">
        <v>-0.62227290000000002</v>
      </c>
      <c r="S819">
        <v>1.787674</v>
      </c>
      <c r="T819">
        <v>-0.42273630000000001</v>
      </c>
      <c r="U819">
        <v>-2.6219790000000001</v>
      </c>
      <c r="V819">
        <v>0.19539599999999999</v>
      </c>
      <c r="W819">
        <v>6.0294100000000003E-2</v>
      </c>
      <c r="X819">
        <v>0.97886930000000005</v>
      </c>
      <c r="Y819">
        <v>0.47360920000000001</v>
      </c>
      <c r="Z819">
        <v>3.1411509999999997E-2</v>
      </c>
      <c r="AA819">
        <v>0.88017479999999904</v>
      </c>
      <c r="AB819">
        <v>44</v>
      </c>
      <c r="AC819">
        <v>4.4046000000000101</v>
      </c>
      <c r="AD819">
        <v>-1.0919829359819999</v>
      </c>
      <c r="AE819">
        <v>-6.6663000000000299</v>
      </c>
      <c r="AF819">
        <v>3.8174073919852902</v>
      </c>
      <c r="AG819">
        <v>-1.0919829359819999</v>
      </c>
      <c r="AH819">
        <v>6.8518461607832704</v>
      </c>
      <c r="AI819">
        <v>97.925858149301604</v>
      </c>
      <c r="AJ819">
        <v>60.876264005575997</v>
      </c>
      <c r="AK819">
        <v>7.9191427402150198</v>
      </c>
    </row>
    <row r="820" spans="1:37" x14ac:dyDescent="0.2">
      <c r="A820" t="str">
        <f>"20200111154041276"</f>
        <v>20200111154041276</v>
      </c>
      <c r="B820" t="str">
        <f>"1578728441266930"</f>
        <v>1578728441266930</v>
      </c>
      <c r="C820" t="s">
        <v>37</v>
      </c>
      <c r="D820">
        <v>5.645187</v>
      </c>
      <c r="E820">
        <v>0.61810269999999901</v>
      </c>
      <c r="F820" t="s">
        <v>42</v>
      </c>
      <c r="G820">
        <v>-197.8717</v>
      </c>
      <c r="H820" s="1">
        <v>-5.823078E-6</v>
      </c>
      <c r="I820">
        <v>357.52820000000003</v>
      </c>
      <c r="J820">
        <v>-202.30850000000001</v>
      </c>
      <c r="K820">
        <v>1.091877</v>
      </c>
      <c r="L820">
        <v>364.32</v>
      </c>
      <c r="M820">
        <v>0.88344899999999904</v>
      </c>
      <c r="N820">
        <v>0</v>
      </c>
      <c r="O820">
        <v>-0.46800730000000001</v>
      </c>
      <c r="P820">
        <v>0.77647959999999905</v>
      </c>
      <c r="Q820">
        <v>4.7134570000000001E-2</v>
      </c>
      <c r="R820">
        <v>-0.62837710000000002</v>
      </c>
      <c r="S820">
        <v>1.7693479999999999</v>
      </c>
      <c r="T820">
        <v>-0.41666019999999998</v>
      </c>
      <c r="U820">
        <v>-2.6309200000000001</v>
      </c>
      <c r="V820">
        <v>0.19469229999999901</v>
      </c>
      <c r="W820">
        <v>6.0046130000000003E-2</v>
      </c>
      <c r="X820">
        <v>0.97902469999999997</v>
      </c>
      <c r="Y820">
        <v>0.47175020000000001</v>
      </c>
      <c r="Z820">
        <v>3.2241409999999998E-2</v>
      </c>
      <c r="AA820">
        <v>0.8811426</v>
      </c>
      <c r="AB820">
        <v>44</v>
      </c>
      <c r="AC820">
        <v>4.4367999999999999</v>
      </c>
      <c r="AD820">
        <v>-1.091882823078</v>
      </c>
      <c r="AE820">
        <v>-6.7917999999999603</v>
      </c>
      <c r="AF820">
        <v>3.8548792947945998</v>
      </c>
      <c r="AG820">
        <v>-1.091882823078</v>
      </c>
      <c r="AH820">
        <v>6.9736999376832696</v>
      </c>
      <c r="AI820">
        <v>97.802625465235806</v>
      </c>
      <c r="AJ820">
        <v>61.0673279928764</v>
      </c>
      <c r="AK820">
        <v>8.0426857017797495</v>
      </c>
    </row>
    <row r="821" spans="1:37" x14ac:dyDescent="0.2">
      <c r="A821" t="str">
        <f>"20200111154041287"</f>
        <v>20200111154041287</v>
      </c>
      <c r="B821" t="str">
        <f>"1578728441276691"</f>
        <v>1578728441276691</v>
      </c>
      <c r="C821" t="s">
        <v>37</v>
      </c>
      <c r="D821">
        <v>5.5532789999999999</v>
      </c>
      <c r="E821">
        <v>0.61812159999999905</v>
      </c>
      <c r="F821" t="s">
        <v>42</v>
      </c>
      <c r="G821">
        <v>-197.72399999999999</v>
      </c>
      <c r="H821" s="1">
        <v>-5.7563289999999996E-6</v>
      </c>
      <c r="I821">
        <v>357.39769999999999</v>
      </c>
      <c r="J821">
        <v>-202.12260000000001</v>
      </c>
      <c r="K821">
        <v>1.0917829999999999</v>
      </c>
      <c r="L821">
        <v>364.2226</v>
      </c>
      <c r="M821">
        <v>0.87968570000000001</v>
      </c>
      <c r="N821">
        <v>0</v>
      </c>
      <c r="O821">
        <v>-0.47505059999999899</v>
      </c>
      <c r="P821">
        <v>0.77153619999999901</v>
      </c>
      <c r="Q821">
        <v>4.6928289999999998E-2</v>
      </c>
      <c r="R821">
        <v>-0.63445240000000003</v>
      </c>
      <c r="S821">
        <v>1.750229</v>
      </c>
      <c r="T821">
        <v>-0.41684349999999998</v>
      </c>
      <c r="U821">
        <v>-2.6427</v>
      </c>
      <c r="V821">
        <v>0.1945433</v>
      </c>
      <c r="W821">
        <v>5.9660579999999998E-2</v>
      </c>
      <c r="X821">
        <v>0.97907789999999995</v>
      </c>
      <c r="Y821">
        <v>0.470995</v>
      </c>
      <c r="Z821">
        <v>3.3359800000000002E-2</v>
      </c>
      <c r="AA821">
        <v>0.88150490000000004</v>
      </c>
      <c r="AB821">
        <v>44</v>
      </c>
      <c r="AC821">
        <v>4.3985999999999796</v>
      </c>
      <c r="AD821">
        <v>-1.0917887563290001</v>
      </c>
      <c r="AE821">
        <v>-6.8249000000000102</v>
      </c>
      <c r="AF821">
        <v>3.8456177951054298</v>
      </c>
      <c r="AG821">
        <v>-1.0917887563290001</v>
      </c>
      <c r="AH821">
        <v>6.98693729214963</v>
      </c>
      <c r="AI821">
        <v>97.795084080856995</v>
      </c>
      <c r="AJ821">
        <v>61.1715663330884</v>
      </c>
      <c r="AK821">
        <v>8.0497249418168995</v>
      </c>
    </row>
    <row r="822" spans="1:37" x14ac:dyDescent="0.2">
      <c r="A822" t="str">
        <f>"20200111154041301"</f>
        <v>20200111154041301</v>
      </c>
      <c r="B822" t="str">
        <f>"1578728441297187"</f>
        <v>1578728441297187</v>
      </c>
      <c r="C822" t="s">
        <v>37</v>
      </c>
      <c r="D822">
        <v>5.6539299999999999</v>
      </c>
      <c r="E822">
        <v>0.61822659999999996</v>
      </c>
      <c r="F822" t="s">
        <v>42</v>
      </c>
      <c r="G822">
        <v>-197.5565</v>
      </c>
      <c r="H822" s="1">
        <v>-5.6658E-6</v>
      </c>
      <c r="I822">
        <v>357.2054</v>
      </c>
      <c r="J822">
        <v>-201.88939999999999</v>
      </c>
      <c r="K822">
        <v>1.0916600000000001</v>
      </c>
      <c r="L822">
        <v>364.09800000000001</v>
      </c>
      <c r="M822">
        <v>0.87485059999999903</v>
      </c>
      <c r="N822">
        <v>0</v>
      </c>
      <c r="O822">
        <v>-0.48390699999999998</v>
      </c>
      <c r="P822">
        <v>0.76514150000000003</v>
      </c>
      <c r="Q822">
        <v>4.7008620000000001E-2</v>
      </c>
      <c r="R822">
        <v>-0.6421441</v>
      </c>
      <c r="S822">
        <v>1.7287599999999901</v>
      </c>
      <c r="T822">
        <v>-0.4133619</v>
      </c>
      <c r="U822">
        <v>-2.6567689999999899</v>
      </c>
      <c r="V822">
        <v>0.19447029999999901</v>
      </c>
      <c r="W822">
        <v>5.9490170000000002E-2</v>
      </c>
      <c r="X822">
        <v>0.97910280000000005</v>
      </c>
      <c r="Y822">
        <v>0.46929989999999999</v>
      </c>
      <c r="Z822">
        <v>3.4504510000000002E-2</v>
      </c>
      <c r="AA822">
        <v>0.8823645</v>
      </c>
      <c r="AB822">
        <v>44</v>
      </c>
      <c r="AC822">
        <v>4.3328999999999898</v>
      </c>
      <c r="AD822">
        <v>-1.0916656657999999</v>
      </c>
      <c r="AE822">
        <v>-6.8926000000000096</v>
      </c>
      <c r="AF822">
        <v>3.86471348745882</v>
      </c>
      <c r="AG822">
        <v>-1.0916656657999999</v>
      </c>
      <c r="AH822">
        <v>7.0018035638513396</v>
      </c>
      <c r="AI822">
        <v>97.772809487920796</v>
      </c>
      <c r="AJ822">
        <v>61.103071612010901</v>
      </c>
      <c r="AK822">
        <v>8.0717406680835602</v>
      </c>
    </row>
    <row r="823" spans="1:37" x14ac:dyDescent="0.2">
      <c r="A823" t="str">
        <f>"20200111154041313"</f>
        <v>20200111154041313</v>
      </c>
      <c r="B823" t="str">
        <f>"1578728441306946"</f>
        <v>1578728441306946</v>
      </c>
      <c r="C823" t="s">
        <v>37</v>
      </c>
      <c r="D823">
        <v>5.6084519999999998</v>
      </c>
      <c r="E823">
        <v>0.61822440000000001</v>
      </c>
      <c r="F823" t="s">
        <v>42</v>
      </c>
      <c r="G823">
        <v>-197.37479999999999</v>
      </c>
      <c r="H823" s="1">
        <v>-5.5684680000000001E-6</v>
      </c>
      <c r="I823">
        <v>356.99939999999998</v>
      </c>
      <c r="J823">
        <v>-201.66980000000001</v>
      </c>
      <c r="K823">
        <v>1.09155</v>
      </c>
      <c r="L823">
        <v>363.97710000000001</v>
      </c>
      <c r="M823">
        <v>0.87017449999999996</v>
      </c>
      <c r="N823">
        <v>0</v>
      </c>
      <c r="O823">
        <v>-0.49227599999999999</v>
      </c>
      <c r="P823">
        <v>0.75895990000000002</v>
      </c>
      <c r="Q823">
        <v>4.7224710000000003E-2</v>
      </c>
      <c r="R823">
        <v>-0.64942270000000002</v>
      </c>
      <c r="S823">
        <v>1.7012020000000001</v>
      </c>
      <c r="T823">
        <v>-0.41137059999999998</v>
      </c>
      <c r="U823">
        <v>-2.6749269999999998</v>
      </c>
      <c r="V823">
        <v>0.1944496</v>
      </c>
      <c r="W823">
        <v>5.944924E-2</v>
      </c>
      <c r="X823">
        <v>0.97910929999999996</v>
      </c>
      <c r="Y823">
        <v>0.47006569999999998</v>
      </c>
      <c r="Z823">
        <v>3.551381E-2</v>
      </c>
      <c r="AA823">
        <v>0.88191659999999905</v>
      </c>
      <c r="AB823">
        <v>44</v>
      </c>
      <c r="AC823">
        <v>4.2950000000000097</v>
      </c>
      <c r="AD823">
        <v>-1.0915555684680001</v>
      </c>
      <c r="AE823">
        <v>-6.97770000000002</v>
      </c>
      <c r="AF823">
        <v>3.88937582738953</v>
      </c>
      <c r="AG823">
        <v>-1.0915555684680001</v>
      </c>
      <c r="AH823">
        <v>7.0489049412319096</v>
      </c>
      <c r="AI823">
        <v>97.721341692539198</v>
      </c>
      <c r="AJ823">
        <v>61.111394133993798</v>
      </c>
      <c r="AK823">
        <v>8.1243952855741295</v>
      </c>
    </row>
    <row r="824" spans="1:37" x14ac:dyDescent="0.2">
      <c r="A824" t="str">
        <f>"20200111154041329"</f>
        <v>20200111154041329</v>
      </c>
      <c r="B824" t="str">
        <f>"1578728441327443"</f>
        <v>1578728441327443</v>
      </c>
      <c r="C824" t="s">
        <v>37</v>
      </c>
      <c r="D824">
        <v>5.5794220000000001</v>
      </c>
      <c r="E824">
        <v>0.61801459999999997</v>
      </c>
      <c r="F824" t="s">
        <v>42</v>
      </c>
      <c r="G824">
        <v>-197.23150000000001</v>
      </c>
      <c r="H824" s="1">
        <v>-5.4965329999999899E-6</v>
      </c>
      <c r="I824">
        <v>356.85140000000001</v>
      </c>
      <c r="J824">
        <v>-201.40369999999999</v>
      </c>
      <c r="K824">
        <v>1.091413</v>
      </c>
      <c r="L824">
        <v>363.82769999999999</v>
      </c>
      <c r="M824">
        <v>0.86436769999999996</v>
      </c>
      <c r="N824">
        <v>0</v>
      </c>
      <c r="O824">
        <v>-0.50241480000000005</v>
      </c>
      <c r="P824">
        <v>0.75133519999999998</v>
      </c>
      <c r="Q824">
        <v>4.7267320000000002E-2</v>
      </c>
      <c r="R824">
        <v>-0.65822630000000004</v>
      </c>
      <c r="S824">
        <v>1.67598</v>
      </c>
      <c r="T824">
        <v>-0.4121879</v>
      </c>
      <c r="U824">
        <v>-2.6907649999999999</v>
      </c>
      <c r="V824">
        <v>0.19442319999999999</v>
      </c>
      <c r="W824">
        <v>5.9171729999999999E-2</v>
      </c>
      <c r="X824">
        <v>0.97913139999999999</v>
      </c>
      <c r="Y824">
        <v>0.46810879999999999</v>
      </c>
      <c r="Z824">
        <v>3.7212599999999998E-2</v>
      </c>
      <c r="AA824">
        <v>0.88288699999999998</v>
      </c>
      <c r="AB824">
        <v>44</v>
      </c>
      <c r="AC824">
        <v>4.1721999999999699</v>
      </c>
      <c r="AD824">
        <v>-1.091418496533</v>
      </c>
      <c r="AE824">
        <v>-6.9762999999999797</v>
      </c>
      <c r="AF824">
        <v>3.8651156525677202</v>
      </c>
      <c r="AG824">
        <v>-1.091418496533</v>
      </c>
      <c r="AH824">
        <v>6.9869460947332698</v>
      </c>
      <c r="AI824">
        <v>97.783385275514902</v>
      </c>
      <c r="AJ824">
        <v>61.049026540639602</v>
      </c>
      <c r="AK824">
        <v>8.0590153910392104</v>
      </c>
    </row>
    <row r="825" spans="1:37" x14ac:dyDescent="0.2">
      <c r="A825" t="str">
        <f>"20200111154041340"</f>
        <v>20200111154041340</v>
      </c>
      <c r="B825" t="str">
        <f>"1578728441337203"</f>
        <v>1578728441337203</v>
      </c>
      <c r="C825" t="s">
        <v>37</v>
      </c>
      <c r="D825">
        <v>5.5458299999999996</v>
      </c>
      <c r="E825">
        <v>0.61758619999999897</v>
      </c>
      <c r="F825" t="s">
        <v>42</v>
      </c>
      <c r="G825">
        <v>-197.05840000000001</v>
      </c>
      <c r="H825" s="1">
        <v>-5.4104970000000002E-6</v>
      </c>
      <c r="I825">
        <v>356.67520000000002</v>
      </c>
      <c r="J825">
        <v>-201.2072</v>
      </c>
      <c r="K825">
        <v>1.091321</v>
      </c>
      <c r="L825">
        <v>363.71510000000001</v>
      </c>
      <c r="M825">
        <v>0.85998289999999999</v>
      </c>
      <c r="N825">
        <v>0</v>
      </c>
      <c r="O825">
        <v>-0.50989280000000003</v>
      </c>
      <c r="P825">
        <v>0.74574810000000002</v>
      </c>
      <c r="Q825">
        <v>4.697788E-2</v>
      </c>
      <c r="R825">
        <v>-0.664570199999999</v>
      </c>
      <c r="S825">
        <v>1.6457059999999999</v>
      </c>
      <c r="T825">
        <v>-0.41335709999999998</v>
      </c>
      <c r="U825">
        <v>-2.7088930000000002</v>
      </c>
      <c r="V825">
        <v>0.19420699999999999</v>
      </c>
      <c r="W825">
        <v>5.8652410000000002E-2</v>
      </c>
      <c r="X825">
        <v>0.97920549999999995</v>
      </c>
      <c r="Y825">
        <v>0.47030280000000002</v>
      </c>
      <c r="Z825">
        <v>3.8284810000000002E-2</v>
      </c>
      <c r="AA825">
        <v>0.88167430000000002</v>
      </c>
      <c r="AB825">
        <v>43</v>
      </c>
      <c r="AC825">
        <v>4.1487999999999898</v>
      </c>
      <c r="AD825">
        <v>-1.091326410497</v>
      </c>
      <c r="AE825">
        <v>-7.0398999999999798</v>
      </c>
      <c r="AF825">
        <v>3.8705770720756898</v>
      </c>
      <c r="AG825">
        <v>-1.091326410497</v>
      </c>
      <c r="AH825">
        <v>7.0336069631994604</v>
      </c>
      <c r="AI825">
        <v>97.741086083123903</v>
      </c>
      <c r="AJ825">
        <v>61.176116495682201</v>
      </c>
      <c r="AK825">
        <v>8.1020976986144895</v>
      </c>
    </row>
    <row r="826" spans="1:37" x14ac:dyDescent="0.2">
      <c r="A826" t="str">
        <f>"20200111154041351"</f>
        <v>20200111154041351</v>
      </c>
      <c r="B826" t="str">
        <f>"1578728441346963"</f>
        <v>1578728441346963</v>
      </c>
      <c r="C826" t="s">
        <v>37</v>
      </c>
      <c r="D826">
        <v>5.4925980000000001</v>
      </c>
      <c r="E826">
        <v>0.61723189999999994</v>
      </c>
      <c r="F826" t="s">
        <v>42</v>
      </c>
      <c r="G826">
        <v>-196.9187</v>
      </c>
      <c r="H826" s="1">
        <v>-5.3408069999999997E-6</v>
      </c>
      <c r="I826">
        <v>356.53219999999999</v>
      </c>
      <c r="J826">
        <v>-201.0187</v>
      </c>
      <c r="K826">
        <v>1.0912360000000001</v>
      </c>
      <c r="L826">
        <v>363.60410000000002</v>
      </c>
      <c r="M826">
        <v>0.85568999999999995</v>
      </c>
      <c r="N826">
        <v>0</v>
      </c>
      <c r="O826">
        <v>-0.517073</v>
      </c>
      <c r="P826">
        <v>0.74074910000000005</v>
      </c>
      <c r="Q826">
        <v>4.6547650000000003E-2</v>
      </c>
      <c r="R826">
        <v>-0.67016699999999996</v>
      </c>
      <c r="S826">
        <v>1.6243590000000001</v>
      </c>
      <c r="T826">
        <v>-0.41335649999999902</v>
      </c>
      <c r="U826">
        <v>-2.7206419999999998</v>
      </c>
      <c r="V826">
        <v>0.1933513</v>
      </c>
      <c r="W826">
        <v>5.803643E-2</v>
      </c>
      <c r="X826">
        <v>0.97941160000000005</v>
      </c>
      <c r="Y826">
        <v>0.4697383</v>
      </c>
      <c r="Z826">
        <v>3.9403140000000003E-2</v>
      </c>
      <c r="AA826">
        <v>0.88192590000000004</v>
      </c>
      <c r="AB826">
        <v>43</v>
      </c>
      <c r="AC826">
        <v>4.0999999999999899</v>
      </c>
      <c r="AD826">
        <v>-1.0912413408070001</v>
      </c>
      <c r="AE826">
        <v>-7.0719000000000198</v>
      </c>
      <c r="AF826">
        <v>3.8633531128770402</v>
      </c>
      <c r="AG826">
        <v>-1.0912413408070001</v>
      </c>
      <c r="AH826">
        <v>7.0410823192902301</v>
      </c>
      <c r="AI826">
        <v>97.737564585394495</v>
      </c>
      <c r="AJ826">
        <v>61.246978565901202</v>
      </c>
      <c r="AK826">
        <v>8.10513079263281</v>
      </c>
    </row>
    <row r="827" spans="1:37" x14ac:dyDescent="0.2">
      <c r="A827" t="str">
        <f>"20200111154041363"</f>
        <v>20200111154041363</v>
      </c>
      <c r="B827" t="str">
        <f>"1578728441356722"</f>
        <v>1578728441356722</v>
      </c>
      <c r="C827" t="s">
        <v>37</v>
      </c>
      <c r="D827">
        <v>5.5368519999999997</v>
      </c>
      <c r="E827">
        <v>0.61675219999999997</v>
      </c>
      <c r="F827" t="s">
        <v>42</v>
      </c>
      <c r="G827">
        <v>-196.7706</v>
      </c>
      <c r="H827" s="1">
        <v>-5.264556E-6</v>
      </c>
      <c r="I827">
        <v>356.3734</v>
      </c>
      <c r="J827">
        <v>-200.82429999999999</v>
      </c>
      <c r="K827">
        <v>1.0911500000000001</v>
      </c>
      <c r="L827">
        <v>363.48869999999999</v>
      </c>
      <c r="M827">
        <v>0.8511917</v>
      </c>
      <c r="N827">
        <v>0</v>
      </c>
      <c r="O827">
        <v>-0.52445390000000003</v>
      </c>
      <c r="P827">
        <v>0.73529149999999999</v>
      </c>
      <c r="Q827">
        <v>4.6230479999999997E-2</v>
      </c>
      <c r="R827">
        <v>-0.67617269999999996</v>
      </c>
      <c r="S827">
        <v>1.6047359999999999</v>
      </c>
      <c r="T827">
        <v>-0.4122207</v>
      </c>
      <c r="U827">
        <v>-2.7314150000000001</v>
      </c>
      <c r="V827">
        <v>0.19282530000000001</v>
      </c>
      <c r="W827">
        <v>5.7511359999999997E-2</v>
      </c>
      <c r="X827">
        <v>0.97954619999999903</v>
      </c>
      <c r="Y827">
        <v>0.46838469999999999</v>
      </c>
      <c r="Z827">
        <v>4.0493519999999998E-2</v>
      </c>
      <c r="AA827">
        <v>0.88259619999999905</v>
      </c>
      <c r="AB827">
        <v>43</v>
      </c>
      <c r="AC827">
        <v>4.0536999999999903</v>
      </c>
      <c r="AD827">
        <v>-1.0911552645560001</v>
      </c>
      <c r="AE827">
        <v>-7.1152999999999897</v>
      </c>
      <c r="AF827">
        <v>3.86275134473268</v>
      </c>
      <c r="AG827">
        <v>-1.0911552645560001</v>
      </c>
      <c r="AH827">
        <v>7.0583169623661703</v>
      </c>
      <c r="AI827">
        <v>97.722878536585</v>
      </c>
      <c r="AJ827">
        <v>61.309770811196699</v>
      </c>
      <c r="AK827">
        <v>8.1198094869170703</v>
      </c>
    </row>
    <row r="828" spans="1:37" x14ac:dyDescent="0.2">
      <c r="A828" t="str">
        <f>"20200111154041374"</f>
        <v>20200111154041374</v>
      </c>
      <c r="B828" t="str">
        <f>"1578728441367458"</f>
        <v>1578728441367458</v>
      </c>
      <c r="C828" t="s">
        <v>37</v>
      </c>
      <c r="D828">
        <v>5.5301679999999998</v>
      </c>
      <c r="E828">
        <v>0.61626890000000001</v>
      </c>
      <c r="F828" t="s">
        <v>42</v>
      </c>
      <c r="G828">
        <v>-196.6292</v>
      </c>
      <c r="H828" s="1">
        <v>-5.1865939999999999E-6</v>
      </c>
      <c r="I828">
        <v>356.2287</v>
      </c>
      <c r="J828">
        <v>-200.63059999999999</v>
      </c>
      <c r="K828">
        <v>1.091072</v>
      </c>
      <c r="L828">
        <v>363.36989999999997</v>
      </c>
      <c r="M828">
        <v>0.84661609999999998</v>
      </c>
      <c r="N828">
        <v>0</v>
      </c>
      <c r="O828">
        <v>-0.53181639999999997</v>
      </c>
      <c r="P828">
        <v>0.72980900000000004</v>
      </c>
      <c r="Q828">
        <v>4.6082970000000001E-2</v>
      </c>
      <c r="R828">
        <v>-0.68209629999999999</v>
      </c>
      <c r="S828">
        <v>1.5844119999999999</v>
      </c>
      <c r="T828">
        <v>-0.41210969999999902</v>
      </c>
      <c r="U828">
        <v>-2.7419739999999999</v>
      </c>
      <c r="V828">
        <v>0.19223750000000001</v>
      </c>
      <c r="W828">
        <v>5.7170980000000003E-2</v>
      </c>
      <c r="X828">
        <v>0.97968169999999899</v>
      </c>
      <c r="Y828">
        <v>0.46714849999999902</v>
      </c>
      <c r="Z828">
        <v>4.1676599999999897E-2</v>
      </c>
      <c r="AA828">
        <v>0.88319609999999904</v>
      </c>
      <c r="AB828">
        <v>43</v>
      </c>
      <c r="AC828">
        <v>4.0013999999999896</v>
      </c>
      <c r="AD828">
        <v>-1.0910771865940001</v>
      </c>
      <c r="AE828">
        <v>-7.1411999999999596</v>
      </c>
      <c r="AF828">
        <v>3.8502502842009299</v>
      </c>
      <c r="AG828">
        <v>-1.0910771865940001</v>
      </c>
      <c r="AH828">
        <v>7.0614864501593804</v>
      </c>
      <c r="AI828">
        <v>97.725378724338199</v>
      </c>
      <c r="AJ828">
        <v>61.398731035900099</v>
      </c>
      <c r="AK828">
        <v>8.11661675600614</v>
      </c>
    </row>
    <row r="829" spans="1:37" x14ac:dyDescent="0.2">
      <c r="A829" t="str">
        <f>"20200111154041386"</f>
        <v>20200111154041386</v>
      </c>
      <c r="B829" t="str">
        <f>"1578728441377218"</f>
        <v>1578728441377218</v>
      </c>
      <c r="C829" t="s">
        <v>37</v>
      </c>
      <c r="D829">
        <v>5.5199259999999999</v>
      </c>
      <c r="E829">
        <v>0.61584799999999995</v>
      </c>
      <c r="F829" t="s">
        <v>42</v>
      </c>
      <c r="G829">
        <v>-196.4999</v>
      </c>
      <c r="H829" s="1">
        <v>-5.0992689999999998E-6</v>
      </c>
      <c r="I829">
        <v>356.1028</v>
      </c>
      <c r="J829">
        <v>-200.44479999999999</v>
      </c>
      <c r="K829">
        <v>1.0910059999999999</v>
      </c>
      <c r="L829">
        <v>363.25490000000002</v>
      </c>
      <c r="M829">
        <v>0.84215930000000006</v>
      </c>
      <c r="N829">
        <v>0</v>
      </c>
      <c r="O829">
        <v>-0.53885360000000004</v>
      </c>
      <c r="P829">
        <v>0.72423019999999905</v>
      </c>
      <c r="Q829">
        <v>4.5761950000000003E-2</v>
      </c>
      <c r="R829">
        <v>-0.68803840000000005</v>
      </c>
      <c r="S829">
        <v>1.564392</v>
      </c>
      <c r="T829">
        <v>-0.41321649999999999</v>
      </c>
      <c r="U829">
        <v>-2.7522279999999899</v>
      </c>
      <c r="V829">
        <v>0.19205249999999999</v>
      </c>
      <c r="W829">
        <v>5.6649209999999998E-2</v>
      </c>
      <c r="X829">
        <v>0.97974819999999996</v>
      </c>
      <c r="Y829">
        <v>0.46609579999999901</v>
      </c>
      <c r="Z829">
        <v>4.2925449999999997E-2</v>
      </c>
      <c r="AA829">
        <v>0.88369229999999999</v>
      </c>
      <c r="AB829">
        <v>43</v>
      </c>
      <c r="AC829">
        <v>3.9448999999999899</v>
      </c>
      <c r="AD829">
        <v>-1.0910110992690001</v>
      </c>
      <c r="AE829">
        <v>-7.1521000000000097</v>
      </c>
      <c r="AF829">
        <v>3.8299398353197098</v>
      </c>
      <c r="AG829">
        <v>-1.0910110992690001</v>
      </c>
      <c r="AH829">
        <v>7.0518047003973097</v>
      </c>
      <c r="AI829">
        <v>97.742235894192106</v>
      </c>
      <c r="AJ829">
        <v>61.492958068441403</v>
      </c>
      <c r="AK829">
        <v>8.0985612236645199</v>
      </c>
    </row>
    <row r="830" spans="1:37" x14ac:dyDescent="0.2">
      <c r="A830" t="str">
        <f>"20200111154041396"</f>
        <v>20200111154041396</v>
      </c>
      <c r="B830" t="str">
        <f>"1578728441386979"</f>
        <v>1578728441386979</v>
      </c>
      <c r="C830" t="s">
        <v>37</v>
      </c>
      <c r="D830">
        <v>5.6494530000000003</v>
      </c>
      <c r="E830">
        <v>0.61560459999999995</v>
      </c>
      <c r="F830" t="s">
        <v>42</v>
      </c>
      <c r="G830">
        <v>-196.37569999999999</v>
      </c>
      <c r="H830" s="1">
        <v>-5.0128800000000002E-6</v>
      </c>
      <c r="I830">
        <v>355.97649999999999</v>
      </c>
      <c r="J830">
        <v>-200.25799999999899</v>
      </c>
      <c r="K830">
        <v>1.090948</v>
      </c>
      <c r="L830">
        <v>363.13650000000001</v>
      </c>
      <c r="M830">
        <v>0.83759879999999998</v>
      </c>
      <c r="N830">
        <v>0</v>
      </c>
      <c r="O830">
        <v>-0.54592249999999998</v>
      </c>
      <c r="P830">
        <v>0.71835740000000003</v>
      </c>
      <c r="Q830">
        <v>4.5393059999999999E-2</v>
      </c>
      <c r="R830">
        <v>-0.69419180000000003</v>
      </c>
      <c r="S830">
        <v>1.5442659999999999</v>
      </c>
      <c r="T830">
        <v>-0.41405760000000003</v>
      </c>
      <c r="U830">
        <v>-2.7622990000000001</v>
      </c>
      <c r="V830">
        <v>0.1921331</v>
      </c>
      <c r="W830">
        <v>5.607554E-2</v>
      </c>
      <c r="X830">
        <v>0.97976549999999996</v>
      </c>
      <c r="Y830">
        <v>0.46497440000000001</v>
      </c>
      <c r="Z830">
        <v>4.4164769999999999E-2</v>
      </c>
      <c r="AA830">
        <v>0.88422190000000001</v>
      </c>
      <c r="AB830">
        <v>43</v>
      </c>
      <c r="AC830">
        <v>3.8822999999999799</v>
      </c>
      <c r="AD830">
        <v>-1.09095301287999</v>
      </c>
      <c r="AE830">
        <v>-7.1600000000000197</v>
      </c>
      <c r="AF830">
        <v>3.8101830800273602</v>
      </c>
      <c r="AG830">
        <v>-1.09095301287999</v>
      </c>
      <c r="AH830">
        <v>7.0358057137808503</v>
      </c>
      <c r="AI830">
        <v>97.764273146939601</v>
      </c>
      <c r="AJ830">
        <v>61.562601876446102</v>
      </c>
      <c r="AK830">
        <v>8.0752854823659295</v>
      </c>
    </row>
    <row r="831" spans="1:37" x14ac:dyDescent="0.2">
      <c r="A831" t="str">
        <f>"20200111154041408"</f>
        <v>20200111154041408</v>
      </c>
      <c r="B831" t="str">
        <f>"1578728441396740"</f>
        <v>1578728441396740</v>
      </c>
      <c r="C831" t="s">
        <v>37</v>
      </c>
      <c r="D831">
        <v>5.506958</v>
      </c>
      <c r="E831">
        <v>0.61560459999999995</v>
      </c>
      <c r="F831" t="s">
        <v>42</v>
      </c>
      <c r="G831">
        <v>-196.26410000000001</v>
      </c>
      <c r="H831" s="1">
        <v>-4.9321130000000003E-6</v>
      </c>
      <c r="I831">
        <v>355.8562</v>
      </c>
      <c r="J831">
        <v>-200.06880000000001</v>
      </c>
      <c r="K831">
        <v>1.0908929999999999</v>
      </c>
      <c r="L831">
        <v>363.0145</v>
      </c>
      <c r="M831">
        <v>0.83290119999999901</v>
      </c>
      <c r="N831">
        <v>0</v>
      </c>
      <c r="O831">
        <v>-0.55306979999999994</v>
      </c>
      <c r="P831">
        <v>0.71235869999999901</v>
      </c>
      <c r="Q831">
        <v>4.529412E-2</v>
      </c>
      <c r="R831">
        <v>-0.70035249999999905</v>
      </c>
      <c r="S831">
        <v>1.52179</v>
      </c>
      <c r="T831">
        <v>-0.41567949999999998</v>
      </c>
      <c r="U831">
        <v>-2.7739560000000001</v>
      </c>
      <c r="V831">
        <v>0.19217670000000001</v>
      </c>
      <c r="W831">
        <v>5.5777979999999998E-2</v>
      </c>
      <c r="X831">
        <v>0.97977389999999998</v>
      </c>
      <c r="Y831">
        <v>0.46451759999999997</v>
      </c>
      <c r="Z831">
        <v>4.5458419999999999E-2</v>
      </c>
      <c r="AA831">
        <v>0.88439639999999997</v>
      </c>
      <c r="AB831">
        <v>43</v>
      </c>
      <c r="AC831">
        <v>3.8046999999999902</v>
      </c>
      <c r="AD831">
        <v>-1.0908979321129999</v>
      </c>
      <c r="AE831">
        <v>-7.1582999999999899</v>
      </c>
      <c r="AF831">
        <v>3.79001064282855</v>
      </c>
      <c r="AG831">
        <v>-1.0908979321129999</v>
      </c>
      <c r="AH831">
        <v>7.0025587450479803</v>
      </c>
      <c r="AI831">
        <v>97.801293426508593</v>
      </c>
      <c r="AJ831">
        <v>61.576318764773497</v>
      </c>
      <c r="AK831">
        <v>8.03679463149893</v>
      </c>
    </row>
    <row r="832" spans="1:37" x14ac:dyDescent="0.2">
      <c r="A832" t="str">
        <f>"20200111154041420"</f>
        <v>20200111154041420</v>
      </c>
      <c r="B832" t="str">
        <f>"1578728441417234"</f>
        <v>1578728441417234</v>
      </c>
      <c r="C832" t="s">
        <v>37</v>
      </c>
      <c r="D832">
        <v>5.5578479999999999</v>
      </c>
      <c r="E832">
        <v>0.64315129999999998</v>
      </c>
      <c r="F832" t="s">
        <v>42</v>
      </c>
      <c r="G832">
        <v>-196.1362</v>
      </c>
      <c r="H832" s="1">
        <v>-4.8288399999999997E-6</v>
      </c>
      <c r="I832">
        <v>355.69540000000001</v>
      </c>
      <c r="J832">
        <v>-199.87299999999999</v>
      </c>
      <c r="K832">
        <v>1.090846</v>
      </c>
      <c r="L832">
        <v>362.88619999999997</v>
      </c>
      <c r="M832">
        <v>0.82795919999999901</v>
      </c>
      <c r="N832">
        <v>0</v>
      </c>
      <c r="O832">
        <v>-0.56044719999999904</v>
      </c>
      <c r="P832">
        <v>0.70609560000000005</v>
      </c>
      <c r="Q832">
        <v>4.4873740000000002E-2</v>
      </c>
      <c r="R832">
        <v>-0.70669340000000003</v>
      </c>
      <c r="S832">
        <v>1.4975430000000001</v>
      </c>
      <c r="T832">
        <v>-0.41542570000000001</v>
      </c>
      <c r="U832">
        <v>-2.787201</v>
      </c>
      <c r="V832">
        <v>0.192194899999999</v>
      </c>
      <c r="W832">
        <v>5.5162379999999997E-2</v>
      </c>
      <c r="X832">
        <v>0.97980519999999904</v>
      </c>
      <c r="Y832">
        <v>0.46441650000000001</v>
      </c>
      <c r="Z832">
        <v>4.6556609999999998E-2</v>
      </c>
      <c r="AA832">
        <v>0.88439239999999997</v>
      </c>
      <c r="AB832">
        <v>43</v>
      </c>
      <c r="AC832">
        <v>3.7367999999999801</v>
      </c>
      <c r="AD832">
        <v>-1.0908508288400001</v>
      </c>
      <c r="AE832">
        <v>-7.1907999999999603</v>
      </c>
      <c r="AF832">
        <v>3.79144767320085</v>
      </c>
      <c r="AG832">
        <v>-1.0908508288400001</v>
      </c>
      <c r="AH832">
        <v>6.9985319715168597</v>
      </c>
      <c r="AI832">
        <v>97.8037260246534</v>
      </c>
      <c r="AJ832">
        <v>61.553424410588001</v>
      </c>
      <c r="AK832">
        <v>8.0339579751044692</v>
      </c>
    </row>
    <row r="833" spans="1:37" x14ac:dyDescent="0.2">
      <c r="A833" t="str">
        <f>"20200111154041431"</f>
        <v>20200111154041431</v>
      </c>
      <c r="B833" t="str">
        <f>"1578728441426996"</f>
        <v>1578728441426996</v>
      </c>
      <c r="C833" t="s">
        <v>37</v>
      </c>
      <c r="D833">
        <v>5.5534610000000004</v>
      </c>
      <c r="E833">
        <v>0.64876199999999995</v>
      </c>
      <c r="F833" t="s">
        <v>42</v>
      </c>
      <c r="G833">
        <v>-193.97569999999999</v>
      </c>
      <c r="H833" s="1">
        <v>-1.0954290000000001E-6</v>
      </c>
      <c r="I833">
        <v>349.6662</v>
      </c>
      <c r="J833">
        <v>-199.69299999999899</v>
      </c>
      <c r="K833">
        <v>1.090808</v>
      </c>
      <c r="L833">
        <v>362.76519999999999</v>
      </c>
      <c r="M833">
        <v>0.82333239999999996</v>
      </c>
      <c r="N833">
        <v>0</v>
      </c>
      <c r="O833">
        <v>-0.56722830000000002</v>
      </c>
      <c r="P833">
        <v>0.70015629999999995</v>
      </c>
      <c r="Q833">
        <v>4.4778789999999999E-2</v>
      </c>
      <c r="R833">
        <v>-0.71258469999999996</v>
      </c>
      <c r="S833">
        <v>1.3146359999999999</v>
      </c>
      <c r="T833">
        <v>-0.24317510000000001</v>
      </c>
      <c r="U833">
        <v>-2.9470519999999998</v>
      </c>
      <c r="V833">
        <v>0.19234619999999999</v>
      </c>
      <c r="W833">
        <v>5.4893850000000001E-2</v>
      </c>
      <c r="X833">
        <v>0.97979059999999996</v>
      </c>
      <c r="Y833">
        <v>0.520879599999999</v>
      </c>
      <c r="Z833">
        <v>2.526784E-2</v>
      </c>
      <c r="AA833">
        <v>0.85325620000000002</v>
      </c>
      <c r="AB833">
        <v>43</v>
      </c>
      <c r="AC833">
        <v>5.7172999999999901</v>
      </c>
      <c r="AD833">
        <v>-1.090809095429</v>
      </c>
      <c r="AE833">
        <v>-13.098999999999901</v>
      </c>
      <c r="AF833">
        <v>7.4995500177386303</v>
      </c>
      <c r="AG833">
        <v>-1.090809095429</v>
      </c>
      <c r="AH833">
        <v>12.0693402114475</v>
      </c>
      <c r="AI833">
        <v>94.389743573656304</v>
      </c>
      <c r="AJ833">
        <v>58.144339643396499</v>
      </c>
      <c r="AK833">
        <v>14.251388988126701</v>
      </c>
    </row>
    <row r="834" spans="1:37" x14ac:dyDescent="0.2">
      <c r="A834" t="str">
        <f>"20200111154041444"</f>
        <v>20200111154041444</v>
      </c>
      <c r="B834" t="str">
        <f>"1578728441436755"</f>
        <v>1578728441436755</v>
      </c>
      <c r="C834" t="s">
        <v>37</v>
      </c>
      <c r="D834">
        <v>5.5431989999999898</v>
      </c>
      <c r="E834">
        <v>0.6517039</v>
      </c>
      <c r="F834" t="s">
        <v>39</v>
      </c>
      <c r="G834">
        <v>-194.03649999999999</v>
      </c>
      <c r="H834" s="1">
        <v>-4.9131950000000003E-6</v>
      </c>
      <c r="I834">
        <v>349.32040000000001</v>
      </c>
      <c r="J834">
        <v>-199.50129999999999</v>
      </c>
      <c r="K834">
        <v>1.0907719999999901</v>
      </c>
      <c r="L834">
        <v>362.63529999999997</v>
      </c>
      <c r="M834">
        <v>0.81833420000000001</v>
      </c>
      <c r="N834">
        <v>0</v>
      </c>
      <c r="O834">
        <v>-0.57442119999999997</v>
      </c>
      <c r="P834">
        <v>0.69401409999999997</v>
      </c>
      <c r="Q834">
        <v>4.4919420000000002E-2</v>
      </c>
      <c r="R834">
        <v>-0.71855880000000005</v>
      </c>
      <c r="S834">
        <v>1.2577510000000001</v>
      </c>
      <c r="T834">
        <v>-0.2425467</v>
      </c>
      <c r="U834">
        <v>-2.9895019999999999</v>
      </c>
      <c r="V834">
        <v>0.19216659999999999</v>
      </c>
      <c r="W834">
        <v>5.4870519999999999E-2</v>
      </c>
      <c r="X834">
        <v>0.97982719999999901</v>
      </c>
      <c r="Y834">
        <v>0.5315704</v>
      </c>
      <c r="Z834">
        <v>2.5302709999999999E-2</v>
      </c>
      <c r="AA834">
        <v>0.846636099999999</v>
      </c>
      <c r="AB834">
        <v>43</v>
      </c>
      <c r="AC834">
        <v>5.4647999999999897</v>
      </c>
      <c r="AD834">
        <v>-1.09077691319499</v>
      </c>
      <c r="AE834">
        <v>-13.3148999999999</v>
      </c>
      <c r="AF834">
        <v>7.7140675850566804</v>
      </c>
      <c r="AG834">
        <v>-1.09077691319499</v>
      </c>
      <c r="AH834">
        <v>12.0534028012909</v>
      </c>
      <c r="AI834">
        <v>94.358768603892202</v>
      </c>
      <c r="AJ834">
        <v>57.3811285761969</v>
      </c>
      <c r="AK834">
        <v>14.352043480680599</v>
      </c>
    </row>
    <row r="835" spans="1:37" x14ac:dyDescent="0.2">
      <c r="A835" t="str">
        <f>"20200111154041455"</f>
        <v>20200111154041455</v>
      </c>
      <c r="B835" t="str">
        <f>"1578728441447491"</f>
        <v>1578728441447491</v>
      </c>
      <c r="C835" t="s">
        <v>37</v>
      </c>
      <c r="D835">
        <v>5.5918849999999898</v>
      </c>
      <c r="E835">
        <v>0.65278499999999995</v>
      </c>
      <c r="F835" t="s">
        <v>39</v>
      </c>
      <c r="G835">
        <v>-193.89609999999999</v>
      </c>
      <c r="H835" s="1">
        <v>-4.68246699999999E-6</v>
      </c>
      <c r="I835">
        <v>348.71559999999999</v>
      </c>
      <c r="J835">
        <v>-199.3013</v>
      </c>
      <c r="K835">
        <v>1.0907439999999999</v>
      </c>
      <c r="L835">
        <v>362.49560000000002</v>
      </c>
      <c r="M835">
        <v>0.81301109999999999</v>
      </c>
      <c r="N835">
        <v>0</v>
      </c>
      <c r="O835">
        <v>-0.58193640000000002</v>
      </c>
      <c r="P835">
        <v>0.68707689999999999</v>
      </c>
      <c r="Q835">
        <v>4.4935030000000001E-2</v>
      </c>
      <c r="R835">
        <v>-0.72519419999999901</v>
      </c>
      <c r="S835">
        <v>1.2147219999999901</v>
      </c>
      <c r="T835">
        <v>-0.23638419999999999</v>
      </c>
      <c r="U835">
        <v>-3.0165709999999999</v>
      </c>
      <c r="V835">
        <v>0.1925519</v>
      </c>
      <c r="W835">
        <v>5.4703399999999999E-2</v>
      </c>
      <c r="X835">
        <v>0.97976079999999999</v>
      </c>
      <c r="Y835">
        <v>0.53682419999999997</v>
      </c>
      <c r="Z835">
        <v>2.5054199999999999E-2</v>
      </c>
      <c r="AA835">
        <v>0.84332209999999996</v>
      </c>
      <c r="AB835">
        <v>43</v>
      </c>
      <c r="AC835">
        <v>5.4051999999999998</v>
      </c>
      <c r="AD835">
        <v>-1.0907486824670001</v>
      </c>
      <c r="AE835">
        <v>-13.78</v>
      </c>
      <c r="AF835">
        <v>8.0157478097478503</v>
      </c>
      <c r="AG835">
        <v>-1.0907486824670001</v>
      </c>
      <c r="AH835">
        <v>12.348771194140699</v>
      </c>
      <c r="AI835">
        <v>94.237216728589104</v>
      </c>
      <c r="AJ835">
        <v>57.011874061436203</v>
      </c>
      <c r="AK835">
        <v>14.7625910883903</v>
      </c>
    </row>
    <row r="836" spans="1:37" x14ac:dyDescent="0.2">
      <c r="A836" t="str">
        <f>"20200111154041467"</f>
        <v>20200111154041467</v>
      </c>
      <c r="B836" t="str">
        <f>"1578728441457250"</f>
        <v>1578728441457250</v>
      </c>
      <c r="C836" t="s">
        <v>37</v>
      </c>
      <c r="D836">
        <v>5.5524829999999996</v>
      </c>
      <c r="E836">
        <v>0.65337609999999902</v>
      </c>
      <c r="F836" t="s">
        <v>39</v>
      </c>
      <c r="G836">
        <v>-193.83330000000001</v>
      </c>
      <c r="H836" s="1">
        <v>-4.5729129999999996E-6</v>
      </c>
      <c r="I836">
        <v>348.4264</v>
      </c>
      <c r="J836">
        <v>-199.1268</v>
      </c>
      <c r="K836">
        <v>1.0907209999999901</v>
      </c>
      <c r="L836">
        <v>362.37220000000002</v>
      </c>
      <c r="M836">
        <v>0.80829600000000001</v>
      </c>
      <c r="N836">
        <v>0</v>
      </c>
      <c r="O836">
        <v>-0.58847209999999905</v>
      </c>
      <c r="P836">
        <v>0.68086619999999998</v>
      </c>
      <c r="Q836">
        <v>4.5600750000000002E-2</v>
      </c>
      <c r="R836">
        <v>-0.73098730000000001</v>
      </c>
      <c r="S836">
        <v>1.179214</v>
      </c>
      <c r="T836">
        <v>-0.23522759999999901</v>
      </c>
      <c r="U836">
        <v>-3.034119</v>
      </c>
      <c r="V836">
        <v>0.1930046</v>
      </c>
      <c r="W836">
        <v>5.5209040000000001E-2</v>
      </c>
      <c r="X836">
        <v>0.97964340000000005</v>
      </c>
      <c r="Y836">
        <v>0.54025529999999999</v>
      </c>
      <c r="Z836">
        <v>2.5348570000000001E-2</v>
      </c>
      <c r="AA836">
        <v>0.84111930000000001</v>
      </c>
      <c r="AB836">
        <v>43</v>
      </c>
      <c r="AC836">
        <v>5.2934999999999901</v>
      </c>
      <c r="AD836">
        <v>-1.0907255729130001</v>
      </c>
      <c r="AE836">
        <v>-13.9458</v>
      </c>
      <c r="AF836">
        <v>8.1153280302559097</v>
      </c>
      <c r="AG836">
        <v>-1.0907255729130001</v>
      </c>
      <c r="AH836">
        <v>12.421252509173099</v>
      </c>
      <c r="AI836">
        <v>94.204382065371604</v>
      </c>
      <c r="AJ836">
        <v>56.8417213987154</v>
      </c>
      <c r="AK836">
        <v>14.877356795167</v>
      </c>
    </row>
    <row r="837" spans="1:37" x14ac:dyDescent="0.2">
      <c r="A837" t="str">
        <f>"20200111154041478"</f>
        <v>20200111154041478</v>
      </c>
      <c r="B837" t="str">
        <f>"1578728441467011"</f>
        <v>1578728441467011</v>
      </c>
      <c r="C837" t="s">
        <v>37</v>
      </c>
      <c r="D837">
        <v>5.5569280000000001</v>
      </c>
      <c r="E837">
        <v>0.653578199999999</v>
      </c>
      <c r="F837" t="s">
        <v>39</v>
      </c>
      <c r="G837">
        <v>-193.70849999999999</v>
      </c>
      <c r="H837" s="1">
        <v>-4.4133139999999997E-6</v>
      </c>
      <c r="I837">
        <v>348.02249999999998</v>
      </c>
      <c r="J837">
        <v>-198.9393</v>
      </c>
      <c r="K837">
        <v>1.0907039999999999</v>
      </c>
      <c r="L837">
        <v>362.23689999999999</v>
      </c>
      <c r="M837">
        <v>0.80314079999999999</v>
      </c>
      <c r="N837">
        <v>0</v>
      </c>
      <c r="O837">
        <v>-0.59549280000000004</v>
      </c>
      <c r="P837">
        <v>0.67389580000000004</v>
      </c>
      <c r="Q837">
        <v>4.5856849999999998E-2</v>
      </c>
      <c r="R837">
        <v>-0.7374018</v>
      </c>
      <c r="S837">
        <v>1.150482</v>
      </c>
      <c r="T837">
        <v>-0.23159579999999999</v>
      </c>
      <c r="U837">
        <v>-3.0469059999999999</v>
      </c>
      <c r="V837">
        <v>0.193764299999999</v>
      </c>
      <c r="W837">
        <v>5.5289499999999998E-2</v>
      </c>
      <c r="X837">
        <v>0.9794889</v>
      </c>
      <c r="Y837">
        <v>0.54104799999999997</v>
      </c>
      <c r="Z837">
        <v>2.5522079999999999E-2</v>
      </c>
      <c r="AA837">
        <v>0.84060440000000003</v>
      </c>
      <c r="AB837">
        <v>43</v>
      </c>
      <c r="AC837">
        <v>5.2308000000000101</v>
      </c>
      <c r="AD837">
        <v>-1.0907084133139999</v>
      </c>
      <c r="AE837">
        <v>-14.214399999999999</v>
      </c>
      <c r="AF837">
        <v>8.2598941452791905</v>
      </c>
      <c r="AG837">
        <v>-1.0907084133139999</v>
      </c>
      <c r="AH837">
        <v>12.6025265391524</v>
      </c>
      <c r="AI837">
        <v>94.140132158988706</v>
      </c>
      <c r="AJ837">
        <v>56.7585359211633</v>
      </c>
      <c r="AK837">
        <v>15.107586547961001</v>
      </c>
    </row>
    <row r="838" spans="1:37" x14ac:dyDescent="0.2">
      <c r="A838" t="str">
        <f>"20200111154041489"</f>
        <v>20200111154041489</v>
      </c>
      <c r="B838" t="str">
        <f>"1578728441487506"</f>
        <v>1578728441487506</v>
      </c>
      <c r="C838" t="s">
        <v>37</v>
      </c>
      <c r="D838">
        <v>5.5270049999999999</v>
      </c>
      <c r="E838">
        <v>0.65354579999999995</v>
      </c>
      <c r="F838" t="s">
        <v>39</v>
      </c>
      <c r="G838">
        <v>-193.7047</v>
      </c>
      <c r="H838" s="1">
        <v>-4.3866840000000003E-6</v>
      </c>
      <c r="I838">
        <v>347.94619999999998</v>
      </c>
      <c r="J838">
        <v>-198.77090000000001</v>
      </c>
      <c r="K838">
        <v>1.0906879999999901</v>
      </c>
      <c r="L838">
        <v>362.11309999999997</v>
      </c>
      <c r="M838">
        <v>0.79843409999999904</v>
      </c>
      <c r="N838">
        <v>0</v>
      </c>
      <c r="O838">
        <v>-0.60179229999999995</v>
      </c>
      <c r="P838">
        <v>0.66747990000000001</v>
      </c>
      <c r="Q838">
        <v>4.6046749999999997E-2</v>
      </c>
      <c r="R838">
        <v>-0.74320269999999899</v>
      </c>
      <c r="S838">
        <v>1.120468</v>
      </c>
      <c r="T838">
        <v>-0.23346430000000001</v>
      </c>
      <c r="U838">
        <v>-3.0588989999999998</v>
      </c>
      <c r="V838">
        <v>0.1945442</v>
      </c>
      <c r="W838">
        <v>5.5325680000000002E-2</v>
      </c>
      <c r="X838">
        <v>0.97933219999999999</v>
      </c>
      <c r="Y838">
        <v>0.5427767</v>
      </c>
      <c r="Z838">
        <v>2.620666E-2</v>
      </c>
      <c r="AA838">
        <v>0.83946810000000005</v>
      </c>
      <c r="AB838">
        <v>43</v>
      </c>
      <c r="AC838">
        <v>5.0662000000000003</v>
      </c>
      <c r="AD838">
        <v>-1.0906923866839999</v>
      </c>
      <c r="AE838">
        <v>-14.166899999999901</v>
      </c>
      <c r="AF838">
        <v>8.2207761973661793</v>
      </c>
      <c r="AG838">
        <v>-1.0906923866839999</v>
      </c>
      <c r="AH838">
        <v>12.507025282333201</v>
      </c>
      <c r="AI838">
        <v>94.167995558903002</v>
      </c>
      <c r="AJ838">
        <v>56.683374240674603</v>
      </c>
      <c r="AK838">
        <v>15.006546990646299</v>
      </c>
    </row>
    <row r="839" spans="1:37" x14ac:dyDescent="0.2">
      <c r="A839" t="str">
        <f>"20200111154041504"</f>
        <v>20200111154041504</v>
      </c>
      <c r="B839" t="str">
        <f>"1578728441497266"</f>
        <v>1578728441497266</v>
      </c>
      <c r="C839" t="s">
        <v>37</v>
      </c>
      <c r="D839">
        <v>5.5384969999999996</v>
      </c>
      <c r="E839">
        <v>0.65352219999999905</v>
      </c>
      <c r="F839" t="s">
        <v>39</v>
      </c>
      <c r="G839">
        <v>-193.56209999999999</v>
      </c>
      <c r="H839" s="1">
        <v>-4.2134939999999998E-6</v>
      </c>
      <c r="I839">
        <v>347.51159999999999</v>
      </c>
      <c r="J839">
        <v>-198.5489</v>
      </c>
      <c r="K839">
        <v>1.0906719999999901</v>
      </c>
      <c r="L839">
        <v>361.94749999999999</v>
      </c>
      <c r="M839">
        <v>0.792126</v>
      </c>
      <c r="N839">
        <v>0</v>
      </c>
      <c r="O839">
        <v>-0.61007609999999901</v>
      </c>
      <c r="P839">
        <v>0.65899459999999999</v>
      </c>
      <c r="Q839">
        <v>4.586134E-2</v>
      </c>
      <c r="R839">
        <v>-0.75074839999999998</v>
      </c>
      <c r="S839">
        <v>1.094406</v>
      </c>
      <c r="T839">
        <v>-0.22916149999999999</v>
      </c>
      <c r="U839">
        <v>-3.0678709999999998</v>
      </c>
      <c r="V839">
        <v>0.19546459999999999</v>
      </c>
      <c r="W839">
        <v>5.4950039999999999E-2</v>
      </c>
      <c r="X839">
        <v>0.97917009999999904</v>
      </c>
      <c r="Y839">
        <v>0.54114779999999996</v>
      </c>
      <c r="Z839">
        <v>2.6499330000000001E-2</v>
      </c>
      <c r="AA839">
        <v>0.84050990000000003</v>
      </c>
      <c r="AB839">
        <v>43</v>
      </c>
      <c r="AC839">
        <v>4.9868000000000103</v>
      </c>
      <c r="AD839">
        <v>-1.09067621349399</v>
      </c>
      <c r="AE839">
        <v>-14.4359</v>
      </c>
      <c r="AF839">
        <v>8.3515756913816102</v>
      </c>
      <c r="AG839">
        <v>-1.09067621349399</v>
      </c>
      <c r="AH839">
        <v>12.6946246022433</v>
      </c>
      <c r="AI839">
        <v>94.105444521571997</v>
      </c>
      <c r="AJ839">
        <v>56.659768369891601</v>
      </c>
      <c r="AK839">
        <v>15.234562183516701</v>
      </c>
    </row>
    <row r="840" spans="1:37" x14ac:dyDescent="0.2">
      <c r="A840" t="str">
        <f>"20200111154041518"</f>
        <v>20200111154041518</v>
      </c>
      <c r="B840" t="str">
        <f>"1578728441507026"</f>
        <v>1578728441507026</v>
      </c>
      <c r="C840" t="s">
        <v>37</v>
      </c>
      <c r="D840">
        <v>5.5549919999999897</v>
      </c>
      <c r="E840">
        <v>0.65331740000000005</v>
      </c>
      <c r="F840" t="s">
        <v>39</v>
      </c>
      <c r="G840">
        <v>-193.47579999999999</v>
      </c>
      <c r="H840" s="1">
        <v>-4.0934559999999902E-6</v>
      </c>
      <c r="I840">
        <v>347.2038</v>
      </c>
      <c r="J840">
        <v>-198.31039999999999</v>
      </c>
      <c r="K840">
        <v>1.0906559999999901</v>
      </c>
      <c r="L840">
        <v>361.76440000000002</v>
      </c>
      <c r="M840">
        <v>0.78518829999999995</v>
      </c>
      <c r="N840">
        <v>0</v>
      </c>
      <c r="O840">
        <v>-0.61898359999999997</v>
      </c>
      <c r="P840">
        <v>0.64939049999999998</v>
      </c>
      <c r="Q840">
        <v>4.4175730000000003E-2</v>
      </c>
      <c r="R840">
        <v>-0.75917089999999998</v>
      </c>
      <c r="S840">
        <v>1.0596920000000001</v>
      </c>
      <c r="T840">
        <v>-0.22782620000000001</v>
      </c>
      <c r="U840">
        <v>-3.079742</v>
      </c>
      <c r="V840">
        <v>0.19685729999999901</v>
      </c>
      <c r="W840">
        <v>5.305737E-2</v>
      </c>
      <c r="X840">
        <v>0.97899539999999996</v>
      </c>
      <c r="Y840">
        <v>0.54113129999999998</v>
      </c>
      <c r="Z840">
        <v>2.7112259999999999E-2</v>
      </c>
      <c r="AA840">
        <v>0.84050100000000005</v>
      </c>
      <c r="AB840">
        <v>43</v>
      </c>
      <c r="AC840">
        <v>4.8345999999999902</v>
      </c>
      <c r="AD840">
        <v>-1.09066009345599</v>
      </c>
      <c r="AE840">
        <v>-14.560600000000001</v>
      </c>
      <c r="AF840">
        <v>8.3992575912462009</v>
      </c>
      <c r="AG840">
        <v>-1.09066009345599</v>
      </c>
      <c r="AH840">
        <v>12.746597043203099</v>
      </c>
      <c r="AI840">
        <v>94.086721542621603</v>
      </c>
      <c r="AJ840">
        <v>56.617467952078897</v>
      </c>
      <c r="AK840">
        <v>15.3040126667929</v>
      </c>
    </row>
    <row r="841" spans="1:37" x14ac:dyDescent="0.2">
      <c r="A841" t="str">
        <f>"20200111154041531"</f>
        <v>20200111154041531</v>
      </c>
      <c r="B841" t="str">
        <f>"1578728441527523"</f>
        <v>1578728441527523</v>
      </c>
      <c r="C841" t="s">
        <v>37</v>
      </c>
      <c r="D841">
        <v>5.6242900000000002</v>
      </c>
      <c r="E841">
        <v>0.65366000000000002</v>
      </c>
      <c r="F841" t="s">
        <v>39</v>
      </c>
      <c r="G841">
        <v>-193.49279999999999</v>
      </c>
      <c r="H841" s="1">
        <v>-4.0864030000000003E-6</v>
      </c>
      <c r="I841">
        <v>347.17430000000002</v>
      </c>
      <c r="J841">
        <v>-198.13</v>
      </c>
      <c r="K841">
        <v>1.090649</v>
      </c>
      <c r="L841">
        <v>361.62290000000002</v>
      </c>
      <c r="M841">
        <v>0.77983429999999998</v>
      </c>
      <c r="N841">
        <v>0</v>
      </c>
      <c r="O841">
        <v>-0.62571849999999996</v>
      </c>
      <c r="P841">
        <v>0.64229080000000005</v>
      </c>
      <c r="Q841">
        <v>4.3546189999999999E-2</v>
      </c>
      <c r="R841">
        <v>-0.76522279999999998</v>
      </c>
      <c r="S841">
        <v>1.020905</v>
      </c>
      <c r="T841">
        <v>-0.23112179999999999</v>
      </c>
      <c r="U841">
        <v>-3.0917970000000001</v>
      </c>
      <c r="V841">
        <v>0.19754630000000001</v>
      </c>
      <c r="W841">
        <v>5.2298339999999999E-2</v>
      </c>
      <c r="X841">
        <v>0.97889749999999998</v>
      </c>
      <c r="Y841">
        <v>0.54437449999999998</v>
      </c>
      <c r="Z841">
        <v>2.7983689999999999E-2</v>
      </c>
      <c r="AA841">
        <v>0.83837539999999999</v>
      </c>
      <c r="AB841">
        <v>43</v>
      </c>
      <c r="AC841">
        <v>4.6372</v>
      </c>
      <c r="AD841">
        <v>-1.090653086403</v>
      </c>
      <c r="AE841">
        <v>-14.448600000000001</v>
      </c>
      <c r="AF841">
        <v>8.3243304759907204</v>
      </c>
      <c r="AG841">
        <v>-1.090653086403</v>
      </c>
      <c r="AH841">
        <v>12.5940640090018</v>
      </c>
      <c r="AI841">
        <v>94.132173313310105</v>
      </c>
      <c r="AJ841">
        <v>56.5363914355394</v>
      </c>
      <c r="AK841">
        <v>15.1358663541676</v>
      </c>
    </row>
    <row r="842" spans="1:37" x14ac:dyDescent="0.2">
      <c r="A842" t="str">
        <f>"20200111154041542"</f>
        <v>20200111154041542</v>
      </c>
      <c r="B842" t="str">
        <f>"1578728441537282"</f>
        <v>1578728441537282</v>
      </c>
      <c r="C842" t="s">
        <v>37</v>
      </c>
      <c r="D842">
        <v>5.3051360000000001</v>
      </c>
      <c r="E842">
        <v>0.6543928</v>
      </c>
      <c r="F842" t="s">
        <v>39</v>
      </c>
      <c r="G842">
        <v>-193.32050000000001</v>
      </c>
      <c r="H842" s="1">
        <v>-3.8441689999999998E-6</v>
      </c>
      <c r="I842">
        <v>346.55220000000003</v>
      </c>
      <c r="J842">
        <v>-197.95849999999999</v>
      </c>
      <c r="K842">
        <v>1.090649</v>
      </c>
      <c r="L842">
        <v>361.4871</v>
      </c>
      <c r="M842">
        <v>0.774671</v>
      </c>
      <c r="N842">
        <v>0</v>
      </c>
      <c r="O842">
        <v>-0.63210230000000001</v>
      </c>
      <c r="P842">
        <v>0.63558760000000003</v>
      </c>
      <c r="Q842">
        <v>4.3052060000000003E-2</v>
      </c>
      <c r="R842">
        <v>-0.77082769999999901</v>
      </c>
      <c r="S842">
        <v>0.98999020000000004</v>
      </c>
      <c r="T842">
        <v>-0.2245016</v>
      </c>
      <c r="U842">
        <v>-3.1021730000000001</v>
      </c>
      <c r="V842">
        <v>0.19804559999999999</v>
      </c>
      <c r="W842">
        <v>5.1692630000000003E-2</v>
      </c>
      <c r="X842">
        <v>0.97882880000000005</v>
      </c>
      <c r="Y842">
        <v>0.54588879999999995</v>
      </c>
      <c r="Z842">
        <v>2.767404E-2</v>
      </c>
      <c r="AA842">
        <v>0.83740049999999899</v>
      </c>
      <c r="AB842">
        <v>43</v>
      </c>
      <c r="AC842">
        <v>4.6379999999999697</v>
      </c>
      <c r="AD842">
        <v>-1.090652844169</v>
      </c>
      <c r="AE842">
        <v>-14.934899999999899</v>
      </c>
      <c r="AF842">
        <v>8.5975580874582498</v>
      </c>
      <c r="AG842">
        <v>-1.090652844169</v>
      </c>
      <c r="AH842">
        <v>12.972373527470401</v>
      </c>
      <c r="AI842">
        <v>94.008779707822399</v>
      </c>
      <c r="AJ842">
        <v>56.465212469329202</v>
      </c>
      <c r="AK842">
        <v>15.6009616251668</v>
      </c>
    </row>
    <row r="843" spans="1:37" x14ac:dyDescent="0.2">
      <c r="A843" t="str">
        <f>"20200111154041554"</f>
        <v>20200111154041554</v>
      </c>
      <c r="B843" t="str">
        <f>"1578728441547042"</f>
        <v>1578728441547042</v>
      </c>
      <c r="C843" t="s">
        <v>37</v>
      </c>
      <c r="D843">
        <v>5.4498689999999996</v>
      </c>
      <c r="E843">
        <v>0.65473840000000005</v>
      </c>
      <c r="F843" t="s">
        <v>39</v>
      </c>
      <c r="G843">
        <v>-193.1866</v>
      </c>
      <c r="H843" s="1">
        <v>-3.584938E-6</v>
      </c>
      <c r="I843">
        <v>345.96929999999998</v>
      </c>
      <c r="J843">
        <v>-197.77599999999899</v>
      </c>
      <c r="K843">
        <v>1.0906499999999999</v>
      </c>
      <c r="L843">
        <v>361.3383</v>
      </c>
      <c r="M843">
        <v>0.76905979999999996</v>
      </c>
      <c r="N843">
        <v>0</v>
      </c>
      <c r="O843">
        <v>-0.63891980000000004</v>
      </c>
      <c r="P843">
        <v>0.62805419999999901</v>
      </c>
      <c r="Q843">
        <v>4.3049560000000001E-2</v>
      </c>
      <c r="R843">
        <v>-0.77697799999999995</v>
      </c>
      <c r="S843">
        <v>0.95771790000000001</v>
      </c>
      <c r="T843">
        <v>-0.21889739999999999</v>
      </c>
      <c r="U843">
        <v>-3.114471</v>
      </c>
      <c r="V843">
        <v>0.19892499999999999</v>
      </c>
      <c r="W843">
        <v>5.1565479999999997E-2</v>
      </c>
      <c r="X843">
        <v>0.97865709999999995</v>
      </c>
      <c r="Y843">
        <v>0.54735889999999998</v>
      </c>
      <c r="Z843">
        <v>2.7487660000000001E-2</v>
      </c>
      <c r="AA843">
        <v>0.83644649999999998</v>
      </c>
      <c r="AB843">
        <v>43</v>
      </c>
      <c r="AC843">
        <v>4.5893999999999799</v>
      </c>
      <c r="AD843">
        <v>-1.0906535849379999</v>
      </c>
      <c r="AE843">
        <v>-15.369</v>
      </c>
      <c r="AF843">
        <v>8.8479716322256401</v>
      </c>
      <c r="AG843">
        <v>-1.0906535849379999</v>
      </c>
      <c r="AH843">
        <v>13.2898269230169</v>
      </c>
      <c r="AI843">
        <v>93.907915475293606</v>
      </c>
      <c r="AJ843">
        <v>56.345504012555203</v>
      </c>
      <c r="AK843">
        <v>16.002988061320099</v>
      </c>
    </row>
    <row r="844" spans="1:37" x14ac:dyDescent="0.2">
      <c r="A844" t="str">
        <f>"20200111154041566"</f>
        <v>20200111154041566</v>
      </c>
      <c r="B844" t="str">
        <f>"1578728441556803"</f>
        <v>1578728441556803</v>
      </c>
      <c r="C844" t="s">
        <v>37</v>
      </c>
      <c r="D844">
        <v>5.4085179999999999</v>
      </c>
      <c r="E844">
        <v>0.65499479999999999</v>
      </c>
      <c r="F844" t="s">
        <v>39</v>
      </c>
      <c r="G844">
        <v>-193.05510000000001</v>
      </c>
      <c r="H844" s="1">
        <v>-3.3038119999999999E-6</v>
      </c>
      <c r="I844">
        <v>345.39550000000003</v>
      </c>
      <c r="J844">
        <v>-197.6</v>
      </c>
      <c r="K844">
        <v>1.090654</v>
      </c>
      <c r="L844">
        <v>361.19330000000002</v>
      </c>
      <c r="M844">
        <v>0.76356939999999995</v>
      </c>
      <c r="N844">
        <v>0</v>
      </c>
      <c r="O844">
        <v>-0.64547319999999997</v>
      </c>
      <c r="P844">
        <v>0.62102089999999999</v>
      </c>
      <c r="Q844">
        <v>4.3483040000000001E-2</v>
      </c>
      <c r="R844">
        <v>-0.78258719999999904</v>
      </c>
      <c r="S844">
        <v>0.92536929999999995</v>
      </c>
      <c r="T844">
        <v>-0.21378749999999999</v>
      </c>
      <c r="U844">
        <v>-3.1250610000000001</v>
      </c>
      <c r="V844">
        <v>0.19938139999999999</v>
      </c>
      <c r="W844">
        <v>5.1902629999999998E-2</v>
      </c>
      <c r="X844">
        <v>0.97854649999999999</v>
      </c>
      <c r="Y844">
        <v>0.54894270000000001</v>
      </c>
      <c r="Z844">
        <v>2.732598E-2</v>
      </c>
      <c r="AA844">
        <v>0.83541319999999997</v>
      </c>
      <c r="AB844">
        <v>43</v>
      </c>
      <c r="AC844">
        <v>4.5448999999999797</v>
      </c>
      <c r="AD844">
        <v>-1.090657303812</v>
      </c>
      <c r="AE844">
        <v>-15.797799999999899</v>
      </c>
      <c r="AF844">
        <v>9.0905778898263403</v>
      </c>
      <c r="AG844">
        <v>-1.090657303812</v>
      </c>
      <c r="AH844">
        <v>13.609722443794899</v>
      </c>
      <c r="AI844">
        <v>93.812526016825004</v>
      </c>
      <c r="AJ844">
        <v>56.259162954788998</v>
      </c>
      <c r="AK844">
        <v>16.4028255103349</v>
      </c>
    </row>
    <row r="845" spans="1:37" x14ac:dyDescent="0.2">
      <c r="A845" t="str">
        <f>"20200111154041577"</f>
        <v>20200111154041577</v>
      </c>
      <c r="B845" t="str">
        <f>"1578728441566562"</f>
        <v>1578728441566562</v>
      </c>
      <c r="C845" t="s">
        <v>37</v>
      </c>
      <c r="D845">
        <v>5.4115699999999904</v>
      </c>
      <c r="E845">
        <v>0.65508029999999995</v>
      </c>
      <c r="F845" t="s">
        <v>39</v>
      </c>
      <c r="G845">
        <v>-192.8997</v>
      </c>
      <c r="H845" s="1">
        <v>-2.9836059999999999E-6</v>
      </c>
      <c r="I845">
        <v>344.74549999999999</v>
      </c>
      <c r="J845">
        <v>-197.42509999999999</v>
      </c>
      <c r="K845">
        <v>1.09066</v>
      </c>
      <c r="L845">
        <v>361.04610000000002</v>
      </c>
      <c r="M845">
        <v>0.75800649999999903</v>
      </c>
      <c r="N845">
        <v>0</v>
      </c>
      <c r="O845">
        <v>-0.65199940000000001</v>
      </c>
      <c r="P845">
        <v>0.61411700000000002</v>
      </c>
      <c r="Q845">
        <v>4.3936699999999898E-2</v>
      </c>
      <c r="R845">
        <v>-0.78799149999999996</v>
      </c>
      <c r="S845">
        <v>0.89567569999999996</v>
      </c>
      <c r="T845">
        <v>-0.207832499999999</v>
      </c>
      <c r="U845">
        <v>-3.1342469999999998</v>
      </c>
      <c r="V845">
        <v>0.1995895</v>
      </c>
      <c r="W845">
        <v>5.2279779999999998E-2</v>
      </c>
      <c r="X845">
        <v>0.97848400000000002</v>
      </c>
      <c r="Y845">
        <v>0.54974630000000002</v>
      </c>
      <c r="Z845">
        <v>2.705863E-2</v>
      </c>
      <c r="AA845">
        <v>0.83489329999999995</v>
      </c>
      <c r="AB845">
        <v>43</v>
      </c>
      <c r="AC845">
        <v>4.5253999999999897</v>
      </c>
      <c r="AD845">
        <v>-1.090662983606</v>
      </c>
      <c r="AE845">
        <v>-16.300599999999999</v>
      </c>
      <c r="AF845">
        <v>9.36798358429097</v>
      </c>
      <c r="AG845">
        <v>-1.090662983606</v>
      </c>
      <c r="AH845">
        <v>14.002333694141999</v>
      </c>
      <c r="AI845">
        <v>93.704099656162995</v>
      </c>
      <c r="AJ845">
        <v>56.2162835651027</v>
      </c>
      <c r="AK845">
        <v>16.882357982860601</v>
      </c>
    </row>
    <row r="846" spans="1:37" x14ac:dyDescent="0.2">
      <c r="A846" t="str">
        <f>"20200111154041589"</f>
        <v>20200111154041589</v>
      </c>
      <c r="B846" t="str">
        <f>"1578728441587059"</f>
        <v>1578728441587059</v>
      </c>
      <c r="C846" t="s">
        <v>37</v>
      </c>
      <c r="D846">
        <v>5.7229049999999999</v>
      </c>
      <c r="E846">
        <v>0.65446969999999904</v>
      </c>
      <c r="F846" t="s">
        <v>39</v>
      </c>
      <c r="G846">
        <v>-192.72900000000001</v>
      </c>
      <c r="H846" s="1">
        <v>-2.6343579999999998E-6</v>
      </c>
      <c r="I846">
        <v>344.03730000000002</v>
      </c>
      <c r="J846">
        <v>-197.25739999999999</v>
      </c>
      <c r="K846">
        <v>1.0906690000000001</v>
      </c>
      <c r="L846">
        <v>360.90230000000003</v>
      </c>
      <c r="M846">
        <v>0.75257769999999902</v>
      </c>
      <c r="N846">
        <v>0</v>
      </c>
      <c r="O846">
        <v>-0.65825990000000001</v>
      </c>
      <c r="P846">
        <v>0.60766529999999996</v>
      </c>
      <c r="Q846">
        <v>4.442252E-2</v>
      </c>
      <c r="R846">
        <v>-0.79295019999999905</v>
      </c>
      <c r="S846">
        <v>0.86756900000000003</v>
      </c>
      <c r="T846">
        <v>-0.2014917</v>
      </c>
      <c r="U846">
        <v>-3.142242</v>
      </c>
      <c r="V846">
        <v>0.1994648</v>
      </c>
      <c r="W846">
        <v>5.2713580000000003E-2</v>
      </c>
      <c r="X846">
        <v>0.97848609999999903</v>
      </c>
      <c r="Y846">
        <v>0.55031419999999998</v>
      </c>
      <c r="Z846">
        <v>2.670399E-2</v>
      </c>
      <c r="AA846">
        <v>0.83453049999999995</v>
      </c>
      <c r="AB846">
        <v>43</v>
      </c>
      <c r="AC846">
        <v>4.5283999999999702</v>
      </c>
      <c r="AD846">
        <v>-1.0906716343580001</v>
      </c>
      <c r="AE846">
        <v>-16.864999999999998</v>
      </c>
      <c r="AF846">
        <v>9.6751731025641607</v>
      </c>
      <c r="AG846">
        <v>-1.0906716343580001</v>
      </c>
      <c r="AH846">
        <v>14.4554618519303</v>
      </c>
      <c r="AI846">
        <v>93.587864238166802</v>
      </c>
      <c r="AJ846">
        <v>56.205242115339402</v>
      </c>
      <c r="AK846">
        <v>17.428680860328701</v>
      </c>
    </row>
    <row r="847" spans="1:37" x14ac:dyDescent="0.2">
      <c r="A847" t="str">
        <f>"20200111154041601"</f>
        <v>20200111154041601</v>
      </c>
      <c r="B847" t="str">
        <f>"1578728441596818"</f>
        <v>1578728441596818</v>
      </c>
      <c r="C847" t="s">
        <v>37</v>
      </c>
      <c r="D847">
        <v>5.4660299999999999</v>
      </c>
      <c r="E847">
        <v>0.65435390000000004</v>
      </c>
      <c r="F847" t="s">
        <v>39</v>
      </c>
      <c r="G847">
        <v>-192.49590000000001</v>
      </c>
      <c r="H847" s="1">
        <v>-2.2134150000000001E-6</v>
      </c>
      <c r="I847">
        <v>343.20060000000001</v>
      </c>
      <c r="J847">
        <v>-197.0744</v>
      </c>
      <c r="K847">
        <v>1.090676</v>
      </c>
      <c r="L847">
        <v>360.74360000000001</v>
      </c>
      <c r="M847">
        <v>0.74656180000000005</v>
      </c>
      <c r="N847">
        <v>0</v>
      </c>
      <c r="O847">
        <v>-0.66507669999999997</v>
      </c>
      <c r="P847">
        <v>0.60049090000000005</v>
      </c>
      <c r="Q847">
        <v>4.5144499999999997E-2</v>
      </c>
      <c r="R847">
        <v>-0.79835639999999997</v>
      </c>
      <c r="S847">
        <v>0.84616089999999999</v>
      </c>
      <c r="T847">
        <v>-0.19382189999999999</v>
      </c>
      <c r="U847">
        <v>-3.1457519999999999</v>
      </c>
      <c r="V847">
        <v>0.1993896</v>
      </c>
      <c r="W847">
        <v>5.338068E-2</v>
      </c>
      <c r="X847">
        <v>0.97846529999999998</v>
      </c>
      <c r="Y847">
        <v>0.54825539999999995</v>
      </c>
      <c r="Z847">
        <v>2.6279400000000001E-2</v>
      </c>
      <c r="AA847">
        <v>0.83589799999999903</v>
      </c>
      <c r="AB847">
        <v>43</v>
      </c>
      <c r="AC847">
        <v>4.5784999999999902</v>
      </c>
      <c r="AD847">
        <v>-1.0906782134149999</v>
      </c>
      <c r="AE847">
        <v>-17.542999999999999</v>
      </c>
      <c r="AF847">
        <v>10.017230318052899</v>
      </c>
      <c r="AG847">
        <v>-1.0906782134149999</v>
      </c>
      <c r="AH847">
        <v>15.0335725189136</v>
      </c>
      <c r="AI847">
        <v>93.455003431841007</v>
      </c>
      <c r="AJ847">
        <v>56.323526568308402</v>
      </c>
      <c r="AK847">
        <v>18.098143133801699</v>
      </c>
    </row>
    <row r="848" spans="1:37" x14ac:dyDescent="0.2">
      <c r="A848" t="str">
        <f>"20200111154041614"</f>
        <v>20200111154041614</v>
      </c>
      <c r="B848" t="str">
        <f>"1578728441607554"</f>
        <v>1578728441607554</v>
      </c>
      <c r="C848" t="s">
        <v>37</v>
      </c>
      <c r="D848">
        <v>5.4891589999999999</v>
      </c>
      <c r="E848">
        <v>0.6543561</v>
      </c>
      <c r="F848" t="s">
        <v>39</v>
      </c>
      <c r="G848">
        <v>-192.32689999999999</v>
      </c>
      <c r="H848" s="1">
        <v>-1.848201E-6</v>
      </c>
      <c r="I848">
        <v>342.45409999999998</v>
      </c>
      <c r="J848">
        <v>-196.8954</v>
      </c>
      <c r="K848">
        <v>1.090678</v>
      </c>
      <c r="L848">
        <v>360.5838</v>
      </c>
      <c r="M848">
        <v>0.74053659999999999</v>
      </c>
      <c r="N848">
        <v>0</v>
      </c>
      <c r="O848">
        <v>-0.6717803</v>
      </c>
      <c r="P848">
        <v>0.5934507</v>
      </c>
      <c r="Q848">
        <v>4.5366570000000002E-2</v>
      </c>
      <c r="R848">
        <v>-0.80359150000000001</v>
      </c>
      <c r="S848">
        <v>0.8183899</v>
      </c>
      <c r="T848">
        <v>-0.18801470000000001</v>
      </c>
      <c r="U848">
        <v>-3.1528019999999999</v>
      </c>
      <c r="V848">
        <v>0.1991667</v>
      </c>
      <c r="W848">
        <v>5.3564000000000001E-2</v>
      </c>
      <c r="X848">
        <v>0.9785007</v>
      </c>
      <c r="Y848">
        <v>0.54807459999999997</v>
      </c>
      <c r="Z848">
        <v>2.5991170000000001E-2</v>
      </c>
      <c r="AA848">
        <v>0.83602549999999898</v>
      </c>
      <c r="AB848">
        <v>43</v>
      </c>
      <c r="AC848">
        <v>4.5685000000000002</v>
      </c>
      <c r="AD848">
        <v>-1.0906798482009901</v>
      </c>
      <c r="AE848">
        <v>-18.1297</v>
      </c>
      <c r="AF848">
        <v>10.323187872316</v>
      </c>
      <c r="AG848">
        <v>-1.0906798482009901</v>
      </c>
      <c r="AH848">
        <v>15.511993147443601</v>
      </c>
      <c r="AI848">
        <v>93.349970290880293</v>
      </c>
      <c r="AJ848">
        <v>56.356346284089298</v>
      </c>
      <c r="AK848">
        <v>18.664932943483699</v>
      </c>
    </row>
    <row r="849" spans="1:37" x14ac:dyDescent="0.2">
      <c r="A849" t="str">
        <f>"20200111154041632"</f>
        <v>20200111154041632</v>
      </c>
      <c r="B849" t="str">
        <f>"1578728441627075"</f>
        <v>1578728441627075</v>
      </c>
      <c r="C849" t="s">
        <v>37</v>
      </c>
      <c r="D849">
        <v>5.5171789999999996</v>
      </c>
      <c r="E849">
        <v>0.65418199999999904</v>
      </c>
      <c r="F849" t="s">
        <v>39</v>
      </c>
      <c r="G849">
        <v>-192.23400000000001</v>
      </c>
      <c r="H849" s="1">
        <v>-1.6126089999999899E-6</v>
      </c>
      <c r="I849">
        <v>341.96260000000001</v>
      </c>
      <c r="J849">
        <v>-196.64680000000001</v>
      </c>
      <c r="K849">
        <v>1.0906879999999901</v>
      </c>
      <c r="L849">
        <v>360.3578</v>
      </c>
      <c r="M849">
        <v>0.73199190000000003</v>
      </c>
      <c r="N849">
        <v>0</v>
      </c>
      <c r="O849">
        <v>-0.68108269999999904</v>
      </c>
      <c r="P849">
        <v>0.5837</v>
      </c>
      <c r="Q849">
        <v>4.5138270000000001E-2</v>
      </c>
      <c r="R849">
        <v>-0.81071409999999999</v>
      </c>
      <c r="S849">
        <v>0.79093930000000001</v>
      </c>
      <c r="T849">
        <v>-0.18506439999999999</v>
      </c>
      <c r="U849">
        <v>-3.1596069999999998</v>
      </c>
      <c r="V849">
        <v>0.1986193</v>
      </c>
      <c r="W849">
        <v>5.3301170000000002E-2</v>
      </c>
      <c r="X849">
        <v>0.97862629999999995</v>
      </c>
      <c r="Y849">
        <v>0.54477240000000005</v>
      </c>
      <c r="Z849">
        <v>2.6347249999999999E-2</v>
      </c>
      <c r="AA849">
        <v>0.83816990000000002</v>
      </c>
      <c r="AB849">
        <v>42</v>
      </c>
      <c r="AC849">
        <v>4.4127999999999998</v>
      </c>
      <c r="AD849">
        <v>-1.09068961260899</v>
      </c>
      <c r="AE849">
        <v>-18.3951999999999</v>
      </c>
      <c r="AF849">
        <v>10.426638568329899</v>
      </c>
      <c r="AG849">
        <v>-1.09068961260899</v>
      </c>
      <c r="AH849">
        <v>15.709041939055099</v>
      </c>
      <c r="AI849">
        <v>93.310755549415603</v>
      </c>
      <c r="AJ849">
        <v>56.4263843033429</v>
      </c>
      <c r="AK849">
        <v>18.885931121039</v>
      </c>
    </row>
    <row r="850" spans="1:37" x14ac:dyDescent="0.2">
      <c r="A850" t="str">
        <f>"20200111154041644"</f>
        <v>20200111154041644</v>
      </c>
      <c r="B850" t="str">
        <f>"1578728441636835"</f>
        <v>1578728441636835</v>
      </c>
      <c r="C850" t="s">
        <v>37</v>
      </c>
      <c r="D850">
        <v>5.4977729999999996</v>
      </c>
      <c r="E850">
        <v>0.65401430000000005</v>
      </c>
      <c r="F850" t="s">
        <v>39</v>
      </c>
      <c r="G850">
        <v>-192.14570000000001</v>
      </c>
      <c r="H850" s="1">
        <v>-1.3642509999999999E-6</v>
      </c>
      <c r="I850">
        <v>341.4384</v>
      </c>
      <c r="J850">
        <v>-196.47470000000001</v>
      </c>
      <c r="K850">
        <v>1.0906959999999899</v>
      </c>
      <c r="L850">
        <v>360.19869999999997</v>
      </c>
      <c r="M850">
        <v>0.72595549999999998</v>
      </c>
      <c r="N850">
        <v>0</v>
      </c>
      <c r="O850">
        <v>-0.68751399999999996</v>
      </c>
      <c r="P850">
        <v>0.57667219999999997</v>
      </c>
      <c r="Q850">
        <v>4.5017799999999997E-2</v>
      </c>
      <c r="R850">
        <v>-0.81573430000000002</v>
      </c>
      <c r="S850">
        <v>0.75367740000000005</v>
      </c>
      <c r="T850">
        <v>-0.1826305</v>
      </c>
      <c r="U850">
        <v>-3.1679689999999998</v>
      </c>
      <c r="V850">
        <v>0.198439</v>
      </c>
      <c r="W850">
        <v>5.3150699999999898E-2</v>
      </c>
      <c r="X850">
        <v>0.97867099999999996</v>
      </c>
      <c r="Y850">
        <v>0.54720179999999996</v>
      </c>
      <c r="Z850">
        <v>2.6403349999999999E-2</v>
      </c>
      <c r="AA850">
        <v>0.836584199999999</v>
      </c>
      <c r="AB850">
        <v>42</v>
      </c>
      <c r="AC850">
        <v>4.3289999999999997</v>
      </c>
      <c r="AD850">
        <v>-1.0906973642509901</v>
      </c>
      <c r="AE850">
        <v>-18.760299999999901</v>
      </c>
      <c r="AF850">
        <v>10.610510059840299</v>
      </c>
      <c r="AG850">
        <v>-1.0906973642509901</v>
      </c>
      <c r="AH850">
        <v>15.991820919169401</v>
      </c>
      <c r="AI850">
        <v>93.252719305384502</v>
      </c>
      <c r="AJ850">
        <v>56.435883124459998</v>
      </c>
      <c r="AK850">
        <v>19.222665808392499</v>
      </c>
    </row>
    <row r="851" spans="1:37" x14ac:dyDescent="0.2">
      <c r="A851" t="str">
        <f>"20200111154041658"</f>
        <v>20200111154041658</v>
      </c>
      <c r="B851" t="str">
        <f>"1578728441647571"</f>
        <v>1578728441647571</v>
      </c>
      <c r="C851" t="s">
        <v>37</v>
      </c>
      <c r="D851">
        <v>5.7422399999999998</v>
      </c>
      <c r="E851">
        <v>0.65292950000000005</v>
      </c>
      <c r="F851" t="s">
        <v>39</v>
      </c>
      <c r="G851">
        <v>-192.1078</v>
      </c>
      <c r="H851" s="1">
        <v>-1.229676E-6</v>
      </c>
      <c r="I851">
        <v>341.14819999999997</v>
      </c>
      <c r="J851">
        <v>-196.2783</v>
      </c>
      <c r="K851">
        <v>1.090708</v>
      </c>
      <c r="L851">
        <v>360.01220000000001</v>
      </c>
      <c r="M851">
        <v>0.71889809999999998</v>
      </c>
      <c r="N851">
        <v>0</v>
      </c>
      <c r="O851">
        <v>-0.69489160000000005</v>
      </c>
      <c r="P851">
        <v>0.56846430000000003</v>
      </c>
      <c r="Q851">
        <v>4.4802050000000003E-2</v>
      </c>
      <c r="R851">
        <v>-0.82148709999999903</v>
      </c>
      <c r="S851">
        <v>0.72744750000000002</v>
      </c>
      <c r="T851">
        <v>-0.18169160000000001</v>
      </c>
      <c r="U851">
        <v>-3.173492</v>
      </c>
      <c r="V851">
        <v>0.19825309999999999</v>
      </c>
      <c r="W851">
        <v>5.2907379999999997E-2</v>
      </c>
      <c r="X851">
        <v>0.97872190000000003</v>
      </c>
      <c r="Y851">
        <v>0.54554579999999997</v>
      </c>
      <c r="Z851">
        <v>2.6843970000000002E-2</v>
      </c>
      <c r="AA851">
        <v>0.83765100000000003</v>
      </c>
      <c r="AB851">
        <v>42</v>
      </c>
      <c r="AC851">
        <v>4.1704999999999997</v>
      </c>
      <c r="AD851">
        <v>-1.0907092296759999</v>
      </c>
      <c r="AE851">
        <v>-18.864000000000001</v>
      </c>
      <c r="AF851">
        <v>10.631023383328801</v>
      </c>
      <c r="AG851">
        <v>-1.0907092296759999</v>
      </c>
      <c r="AH851">
        <v>16.0579245865686</v>
      </c>
      <c r="AI851">
        <v>93.241557844718002</v>
      </c>
      <c r="AJ851">
        <v>56.493760560097598</v>
      </c>
      <c r="AK851">
        <v>19.288992893059699</v>
      </c>
    </row>
    <row r="852" spans="1:37" x14ac:dyDescent="0.2">
      <c r="A852" t="str">
        <f>"20200111154041672"</f>
        <v>20200111154041672</v>
      </c>
      <c r="B852" t="str">
        <f>"1578728441667090"</f>
        <v>1578728441667090</v>
      </c>
      <c r="C852" t="s">
        <v>37</v>
      </c>
      <c r="D852">
        <v>5.8060900000000002</v>
      </c>
      <c r="E852">
        <v>0.65093800000000002</v>
      </c>
      <c r="F852" t="s">
        <v>39</v>
      </c>
      <c r="G852">
        <v>-192.3073</v>
      </c>
      <c r="H852" s="1">
        <v>-1.674746E-6</v>
      </c>
      <c r="I852">
        <v>342.06199999999899</v>
      </c>
      <c r="J852">
        <v>-196.08779999999999</v>
      </c>
      <c r="K852">
        <v>1.0907180000000001</v>
      </c>
      <c r="L852">
        <v>359.82749999999999</v>
      </c>
      <c r="M852">
        <v>0.71189930000000001</v>
      </c>
      <c r="N852">
        <v>0</v>
      </c>
      <c r="O852">
        <v>-0.7020613</v>
      </c>
      <c r="P852">
        <v>0.56057060000000003</v>
      </c>
      <c r="Q852">
        <v>4.4696310000000003E-2</v>
      </c>
      <c r="R852">
        <v>-0.82690010000000003</v>
      </c>
      <c r="S852">
        <v>0.70265200000000005</v>
      </c>
      <c r="T852">
        <v>-0.19299549999999999</v>
      </c>
      <c r="U852">
        <v>-3.1762079999999999</v>
      </c>
      <c r="V852">
        <v>0.19781499999999999</v>
      </c>
      <c r="W852">
        <v>5.2791659999999997E-2</v>
      </c>
      <c r="X852">
        <v>0.97881669999999998</v>
      </c>
      <c r="Y852">
        <v>0.54353169999999995</v>
      </c>
      <c r="Z852">
        <v>2.913688E-2</v>
      </c>
      <c r="AA852">
        <v>0.83888280000000004</v>
      </c>
      <c r="AB852">
        <v>42</v>
      </c>
      <c r="AC852">
        <v>3.78049999999998</v>
      </c>
      <c r="AD852">
        <v>-1.090719674746</v>
      </c>
      <c r="AE852">
        <v>-17.765499999999999</v>
      </c>
      <c r="AF852">
        <v>9.9587379941754808</v>
      </c>
      <c r="AG852">
        <v>-1.090719674746</v>
      </c>
      <c r="AH852">
        <v>15.1116570178404</v>
      </c>
      <c r="AI852">
        <v>93.448891459764297</v>
      </c>
      <c r="AJ852">
        <v>56.6147054204094</v>
      </c>
      <c r="AK852">
        <v>18.130866214010801</v>
      </c>
    </row>
    <row r="853" spans="1:37" x14ac:dyDescent="0.2">
      <c r="A853" t="str">
        <f>"20200111154041691"</f>
        <v>20200111154041691</v>
      </c>
      <c r="B853" t="str">
        <f>"1578728441687587"</f>
        <v>1578728441687587</v>
      </c>
      <c r="C853" t="s">
        <v>37</v>
      </c>
      <c r="D853">
        <v>5.7310080000000001</v>
      </c>
      <c r="E853">
        <v>0.62342359999999997</v>
      </c>
      <c r="F853" t="s">
        <v>39</v>
      </c>
      <c r="G853">
        <v>-192.58959999999999</v>
      </c>
      <c r="H853" s="1">
        <v>-2.4234200000000001E-6</v>
      </c>
      <c r="I853">
        <v>343.63199999999898</v>
      </c>
      <c r="J853">
        <v>-195.82919999999999</v>
      </c>
      <c r="K853">
        <v>1.0907309999999999</v>
      </c>
      <c r="L853">
        <v>359.57119999999998</v>
      </c>
      <c r="M853">
        <v>0.70215740000000004</v>
      </c>
      <c r="N853">
        <v>0</v>
      </c>
      <c r="O853">
        <v>-0.71180549999999998</v>
      </c>
      <c r="P853">
        <v>0.54938549999999997</v>
      </c>
      <c r="Q853">
        <v>4.4814149999999997E-2</v>
      </c>
      <c r="R853">
        <v>-0.83436679999999996</v>
      </c>
      <c r="S853">
        <v>0.68571470000000001</v>
      </c>
      <c r="T853">
        <v>-0.21380360000000001</v>
      </c>
      <c r="U853">
        <v>-3.174652</v>
      </c>
      <c r="V853">
        <v>0.1975027</v>
      </c>
      <c r="W853">
        <v>5.2889749999999999E-2</v>
      </c>
      <c r="X853">
        <v>0.97887449999999998</v>
      </c>
      <c r="Y853">
        <v>0.53614340000000005</v>
      </c>
      <c r="Z853">
        <v>3.3368290000000002E-2</v>
      </c>
      <c r="AA853">
        <v>0.84346719999999897</v>
      </c>
      <c r="AB853">
        <v>42</v>
      </c>
      <c r="AC853">
        <v>3.23959999999999</v>
      </c>
      <c r="AD853">
        <v>-1.0907334234199999</v>
      </c>
      <c r="AE853">
        <v>-15.9392</v>
      </c>
      <c r="AF853">
        <v>8.8474434072054304</v>
      </c>
      <c r="AG853">
        <v>-1.0907334234199999</v>
      </c>
      <c r="AH853">
        <v>13.561430814790601</v>
      </c>
      <c r="AI853">
        <v>93.853699824122003</v>
      </c>
      <c r="AJ853">
        <v>56.879671611411702</v>
      </c>
      <c r="AK853">
        <v>16.228966695049301</v>
      </c>
    </row>
    <row r="854" spans="1:37" x14ac:dyDescent="0.2">
      <c r="A854" t="str">
        <f>"20200111154041705"</f>
        <v>20200111154041705</v>
      </c>
      <c r="B854" t="str">
        <f>"1578728441697346"</f>
        <v>1578728441697346</v>
      </c>
      <c r="C854" t="s">
        <v>37</v>
      </c>
      <c r="D854">
        <v>5.7540610000000001</v>
      </c>
      <c r="E854">
        <v>0.62237330000000002</v>
      </c>
      <c r="F854" t="s">
        <v>42</v>
      </c>
      <c r="G854">
        <v>-193.8828</v>
      </c>
      <c r="H854" s="1">
        <v>-2.6496559999999999E-6</v>
      </c>
      <c r="I854">
        <v>352.33370000000002</v>
      </c>
      <c r="J854">
        <v>-195.64689999999999</v>
      </c>
      <c r="K854">
        <v>1.0907450000000001</v>
      </c>
      <c r="L854">
        <v>359.38639999999998</v>
      </c>
      <c r="M854">
        <v>0.69511829999999997</v>
      </c>
      <c r="N854">
        <v>0</v>
      </c>
      <c r="O854">
        <v>-0.71868180000000004</v>
      </c>
      <c r="P854">
        <v>0.54132259999999999</v>
      </c>
      <c r="Q854">
        <v>4.4660310000000002E-2</v>
      </c>
      <c r="R854">
        <v>-0.83962829999999999</v>
      </c>
      <c r="S854">
        <v>0.82716369999999895</v>
      </c>
      <c r="T854">
        <v>-0.46352949999999998</v>
      </c>
      <c r="U854">
        <v>-3.0757140000000001</v>
      </c>
      <c r="V854">
        <v>0.19729369999999999</v>
      </c>
      <c r="W854">
        <v>5.2725000000000001E-2</v>
      </c>
      <c r="X854">
        <v>0.97892559999999995</v>
      </c>
      <c r="Y854">
        <v>0.48519849999999998</v>
      </c>
      <c r="Z854">
        <v>7.7776579999999998E-2</v>
      </c>
      <c r="AA854">
        <v>0.87093809999999905</v>
      </c>
      <c r="AB854">
        <v>42</v>
      </c>
      <c r="AC854">
        <v>1.76409999999998</v>
      </c>
      <c r="AD854">
        <v>-1.090747649656</v>
      </c>
      <c r="AE854">
        <v>-7.0526999999999598</v>
      </c>
      <c r="AF854">
        <v>3.5551644016030401</v>
      </c>
      <c r="AG854">
        <v>-1.090747649656</v>
      </c>
      <c r="AH854">
        <v>6.1572696591047</v>
      </c>
      <c r="AI854">
        <v>98.721848300907595</v>
      </c>
      <c r="AJ854">
        <v>59.9981638034212</v>
      </c>
      <c r="AK854">
        <v>7.1931143472481303</v>
      </c>
    </row>
    <row r="855" spans="1:37" x14ac:dyDescent="0.2">
      <c r="A855" t="str">
        <f>"20200111154041723"</f>
        <v>20200111154041723</v>
      </c>
      <c r="B855" t="str">
        <f>"1578728441716867"</f>
        <v>1578728441716867</v>
      </c>
      <c r="C855" t="s">
        <v>37</v>
      </c>
      <c r="D855">
        <v>5.7632430000000001</v>
      </c>
      <c r="E855">
        <v>0.62178310000000003</v>
      </c>
      <c r="F855" t="s">
        <v>42</v>
      </c>
      <c r="G855">
        <v>-193.7792</v>
      </c>
      <c r="H855" s="1">
        <v>-2.5657069999999998E-6</v>
      </c>
      <c r="I855">
        <v>352.23840000000001</v>
      </c>
      <c r="J855">
        <v>-195.4041</v>
      </c>
      <c r="K855">
        <v>1.0907610000000001</v>
      </c>
      <c r="L855">
        <v>359.13409999999999</v>
      </c>
      <c r="M855">
        <v>0.68548769999999903</v>
      </c>
      <c r="N855">
        <v>0</v>
      </c>
      <c r="O855">
        <v>-0.72787409999999997</v>
      </c>
      <c r="P855">
        <v>0.53043879999999999</v>
      </c>
      <c r="Q855">
        <v>4.4771600000000002E-2</v>
      </c>
      <c r="R855">
        <v>-0.84654030000000002</v>
      </c>
      <c r="S855">
        <v>0.80458069999999904</v>
      </c>
      <c r="T855">
        <v>-0.46988279999999899</v>
      </c>
      <c r="U855">
        <v>-3.079285</v>
      </c>
      <c r="V855">
        <v>0.19689309999999999</v>
      </c>
      <c r="W855">
        <v>5.2834039999999999E-2</v>
      </c>
      <c r="X855">
        <v>0.97900030000000005</v>
      </c>
      <c r="Y855">
        <v>0.47984700000000002</v>
      </c>
      <c r="Z855">
        <v>8.0912579999999998E-2</v>
      </c>
      <c r="AA855">
        <v>0.87361319999999998</v>
      </c>
      <c r="AB855">
        <v>42</v>
      </c>
      <c r="AC855">
        <v>1.62489999999999</v>
      </c>
      <c r="AD855">
        <v>-1.0907635657070001</v>
      </c>
      <c r="AE855">
        <v>-6.8956999999999704</v>
      </c>
      <c r="AF855">
        <v>3.4626557041133799</v>
      </c>
      <c r="AG855">
        <v>-1.0907635657070001</v>
      </c>
      <c r="AH855">
        <v>5.9919509188026403</v>
      </c>
      <c r="AI855">
        <v>98.956885977168696</v>
      </c>
      <c r="AJ855">
        <v>59.9770474047818</v>
      </c>
      <c r="AK855">
        <v>7.0059421561159496</v>
      </c>
    </row>
    <row r="856" spans="1:37" x14ac:dyDescent="0.2">
      <c r="A856" t="str">
        <f>"20200111154041737"</f>
        <v>20200111154041737</v>
      </c>
      <c r="B856" t="str">
        <f>"1578728441727603"</f>
        <v>1578728441727603</v>
      </c>
      <c r="C856" t="s">
        <v>37</v>
      </c>
      <c r="D856">
        <v>5.7334750000000003</v>
      </c>
      <c r="E856">
        <v>0.62123249999999997</v>
      </c>
      <c r="F856" t="s">
        <v>42</v>
      </c>
      <c r="G856">
        <v>-193.6285</v>
      </c>
      <c r="H856" s="1">
        <v>-2.384048E-6</v>
      </c>
      <c r="I856">
        <v>351.99930000000001</v>
      </c>
      <c r="J856">
        <v>-195.2149</v>
      </c>
      <c r="K856">
        <v>1.090778</v>
      </c>
      <c r="L856">
        <v>358.93150000000003</v>
      </c>
      <c r="M856">
        <v>0.67774959999999995</v>
      </c>
      <c r="N856">
        <v>0</v>
      </c>
      <c r="O856">
        <v>-0.73508519999999999</v>
      </c>
      <c r="P856">
        <v>0.52156570000000002</v>
      </c>
      <c r="Q856">
        <v>4.482191E-2</v>
      </c>
      <c r="R856">
        <v>-0.85203309999999999</v>
      </c>
      <c r="S856">
        <v>0.7683411</v>
      </c>
      <c r="T856">
        <v>-0.47199370000000002</v>
      </c>
      <c r="U856">
        <v>-3.0873719999999998</v>
      </c>
      <c r="V856">
        <v>0.1967622</v>
      </c>
      <c r="W856">
        <v>5.2877849999999997E-2</v>
      </c>
      <c r="X856">
        <v>0.97902429999999996</v>
      </c>
      <c r="Y856">
        <v>0.48078660000000001</v>
      </c>
      <c r="Z856">
        <v>8.2587140000000003E-2</v>
      </c>
      <c r="AA856">
        <v>0.87293960000000004</v>
      </c>
      <c r="AB856">
        <v>42</v>
      </c>
      <c r="AC856">
        <v>1.58639999999999</v>
      </c>
      <c r="AD856">
        <v>-1.0907803840479999</v>
      </c>
      <c r="AE856">
        <v>-6.9322000000000203</v>
      </c>
      <c r="AF856">
        <v>3.4514930020174899</v>
      </c>
      <c r="AG856">
        <v>-1.0907803840479999</v>
      </c>
      <c r="AH856">
        <v>6.03001427269011</v>
      </c>
      <c r="AI856">
        <v>98.922229747029704</v>
      </c>
      <c r="AJ856">
        <v>60.213801972943401</v>
      </c>
      <c r="AK856">
        <v>7.0330418680714599</v>
      </c>
    </row>
    <row r="857" spans="1:37" x14ac:dyDescent="0.2">
      <c r="A857" t="str">
        <f>"20200111154041756"</f>
        <v>20200111154041756</v>
      </c>
      <c r="B857" t="str">
        <f>"1578728441747125"</f>
        <v>1578728441747125</v>
      </c>
      <c r="C857" t="s">
        <v>37</v>
      </c>
      <c r="D857">
        <v>5.7484479999999998</v>
      </c>
      <c r="E857">
        <v>0.62008809999999903</v>
      </c>
      <c r="F857" t="s">
        <v>42</v>
      </c>
      <c r="G857">
        <v>-193.50280000000001</v>
      </c>
      <c r="H857" s="1">
        <v>-2.21816E-6</v>
      </c>
      <c r="I857">
        <v>351.77550000000002</v>
      </c>
      <c r="J857">
        <v>-194.97620000000001</v>
      </c>
      <c r="K857">
        <v>1.0907959999999901</v>
      </c>
      <c r="L857">
        <v>358.67020000000002</v>
      </c>
      <c r="M857">
        <v>0.66773119999999997</v>
      </c>
      <c r="N857">
        <v>0</v>
      </c>
      <c r="O857">
        <v>-0.74419809999999997</v>
      </c>
      <c r="P857">
        <v>0.51036840000000006</v>
      </c>
      <c r="Q857">
        <v>4.5280180000000003E-2</v>
      </c>
      <c r="R857">
        <v>-0.85876330000000001</v>
      </c>
      <c r="S857">
        <v>0.73997500000000005</v>
      </c>
      <c r="T857">
        <v>-0.47144039999999998</v>
      </c>
      <c r="U857">
        <v>-3.0928339999999999</v>
      </c>
      <c r="V857">
        <v>0.19631799999999999</v>
      </c>
      <c r="W857">
        <v>5.3346400000000002E-2</v>
      </c>
      <c r="X857">
        <v>0.97908809999999902</v>
      </c>
      <c r="Y857">
        <v>0.47687770000000002</v>
      </c>
      <c r="Z857">
        <v>8.4470240000000002E-2</v>
      </c>
      <c r="AA857">
        <v>0.87490140000000005</v>
      </c>
      <c r="AB857">
        <v>42</v>
      </c>
      <c r="AC857">
        <v>1.4733999999999901</v>
      </c>
      <c r="AD857">
        <v>-1.09079821815999</v>
      </c>
      <c r="AE857">
        <v>-6.8947000000000003</v>
      </c>
      <c r="AF857">
        <v>3.42583526194518</v>
      </c>
      <c r="AG857">
        <v>-1.09079821815999</v>
      </c>
      <c r="AH857">
        <v>5.9728185857502698</v>
      </c>
      <c r="AI857">
        <v>99.001891100444595</v>
      </c>
      <c r="AJ857">
        <v>60.162669823672097</v>
      </c>
      <c r="AK857">
        <v>6.9714238038590004</v>
      </c>
    </row>
    <row r="858" spans="1:37" x14ac:dyDescent="0.2">
      <c r="A858" t="str">
        <f>"20200111154041780"</f>
        <v>20200111154041780</v>
      </c>
      <c r="B858" t="str">
        <f>"1578728441777378"</f>
        <v>1578728441777378</v>
      </c>
      <c r="C858" t="s">
        <v>37</v>
      </c>
      <c r="D858">
        <v>5.8529159999999996</v>
      </c>
      <c r="E858">
        <v>0.62002809999999997</v>
      </c>
      <c r="F858" t="s">
        <v>42</v>
      </c>
      <c r="G858">
        <v>-193.35400000000001</v>
      </c>
      <c r="H858" s="1">
        <v>-2.0530859999999999E-6</v>
      </c>
      <c r="I858">
        <v>351.56349999999998</v>
      </c>
      <c r="J858">
        <v>-194.67070000000001</v>
      </c>
      <c r="K858">
        <v>1.090827</v>
      </c>
      <c r="L858">
        <v>358.32549999999998</v>
      </c>
      <c r="M858">
        <v>0.65445959999999903</v>
      </c>
      <c r="N858">
        <v>0</v>
      </c>
      <c r="O858">
        <v>-0.75589619999999902</v>
      </c>
      <c r="P858">
        <v>0.4956738</v>
      </c>
      <c r="Q858">
        <v>4.5824219999999999E-2</v>
      </c>
      <c r="R858">
        <v>-0.86729940000000005</v>
      </c>
      <c r="S858">
        <v>0.70716859999999904</v>
      </c>
      <c r="T858">
        <v>-0.47553820000000002</v>
      </c>
      <c r="U858">
        <v>-3.0981749999999999</v>
      </c>
      <c r="V858">
        <v>0.195665899999999</v>
      </c>
      <c r="W858">
        <v>5.3913490000000001E-2</v>
      </c>
      <c r="X858">
        <v>0.97918749999999999</v>
      </c>
      <c r="Y858">
        <v>0.47052349999999998</v>
      </c>
      <c r="Z858">
        <v>8.7848620000000002E-2</v>
      </c>
      <c r="AA858">
        <v>0.8780036</v>
      </c>
      <c r="AB858">
        <v>42</v>
      </c>
      <c r="AC858">
        <v>1.31669999999999</v>
      </c>
      <c r="AD858">
        <v>-1.0908290530860001</v>
      </c>
      <c r="AE858">
        <v>-6.7619999999999996</v>
      </c>
      <c r="AF858">
        <v>3.34677540824288</v>
      </c>
      <c r="AG858">
        <v>-1.0908290530860001</v>
      </c>
      <c r="AH858">
        <v>5.8278832104215299</v>
      </c>
      <c r="AI858">
        <v>99.219484141699198</v>
      </c>
      <c r="AJ858">
        <v>60.132564158397898</v>
      </c>
      <c r="AK858">
        <v>6.8084533023726399</v>
      </c>
    </row>
    <row r="859" spans="1:37" x14ac:dyDescent="0.2">
      <c r="A859" t="str">
        <f>"20200111154041794"</f>
        <v>20200111154041794</v>
      </c>
      <c r="B859" t="str">
        <f>"1578728441787139"</f>
        <v>1578728441787139</v>
      </c>
      <c r="C859" t="s">
        <v>37</v>
      </c>
      <c r="D859">
        <v>5.7799420000000001</v>
      </c>
      <c r="E859">
        <v>0.61977689999999996</v>
      </c>
      <c r="F859" t="s">
        <v>42</v>
      </c>
      <c r="G859">
        <v>-193.16839999999999</v>
      </c>
      <c r="H859" s="1">
        <v>-1.782052E-6</v>
      </c>
      <c r="I859">
        <v>351.1891</v>
      </c>
      <c r="J859">
        <v>-194.49250000000001</v>
      </c>
      <c r="K859">
        <v>1.0908450000000001</v>
      </c>
      <c r="L859">
        <v>358.11750000000001</v>
      </c>
      <c r="M859">
        <v>0.64643280000000003</v>
      </c>
      <c r="N859">
        <v>0</v>
      </c>
      <c r="O859">
        <v>-0.76277209999999995</v>
      </c>
      <c r="P859">
        <v>0.48703149999999901</v>
      </c>
      <c r="Q859">
        <v>4.587306E-2</v>
      </c>
      <c r="R859">
        <v>-0.87217889999999998</v>
      </c>
      <c r="S859">
        <v>0.65469359999999999</v>
      </c>
      <c r="T859">
        <v>-0.47536469999999997</v>
      </c>
      <c r="U859">
        <v>-3.1099239999999999</v>
      </c>
      <c r="V859">
        <v>0.19504289999999999</v>
      </c>
      <c r="W859">
        <v>5.3990629999999998E-2</v>
      </c>
      <c r="X859">
        <v>0.9793075</v>
      </c>
      <c r="Y859">
        <v>0.47604730000000001</v>
      </c>
      <c r="Z859">
        <v>8.8802149999999996E-2</v>
      </c>
      <c r="AA859">
        <v>0.874924699999999</v>
      </c>
      <c r="AB859">
        <v>42</v>
      </c>
      <c r="AC859">
        <v>1.32410000000001</v>
      </c>
      <c r="AD859">
        <v>-1.090846782052</v>
      </c>
      <c r="AE859">
        <v>-6.9284000000000097</v>
      </c>
      <c r="AF859">
        <v>3.3882524455124101</v>
      </c>
      <c r="AG859">
        <v>-1.090846782052</v>
      </c>
      <c r="AH859">
        <v>5.9982123268749099</v>
      </c>
      <c r="AI859">
        <v>98.997815855258196</v>
      </c>
      <c r="AJ859">
        <v>60.538892178014201</v>
      </c>
      <c r="AK859">
        <v>6.9748657660709199</v>
      </c>
    </row>
    <row r="860" spans="1:37" x14ac:dyDescent="0.2">
      <c r="A860" t="str">
        <f>"20200111154041812"</f>
        <v>20200111154041812</v>
      </c>
      <c r="B860" t="str">
        <f>"1578728441806659"</f>
        <v>1578728441806659</v>
      </c>
      <c r="C860" t="s">
        <v>37</v>
      </c>
      <c r="D860">
        <v>5.8106159999999996</v>
      </c>
      <c r="E860">
        <v>0.61948309999999995</v>
      </c>
      <c r="F860" t="s">
        <v>42</v>
      </c>
      <c r="G860">
        <v>-193.0609</v>
      </c>
      <c r="H860" s="1">
        <v>-1.6339949999999901E-6</v>
      </c>
      <c r="I860">
        <v>350.98719999999997</v>
      </c>
      <c r="J860">
        <v>-194.28880000000001</v>
      </c>
      <c r="K860">
        <v>1.0908679999999999</v>
      </c>
      <c r="L860">
        <v>357.87479999999999</v>
      </c>
      <c r="M860">
        <v>0.63702899999999996</v>
      </c>
      <c r="N860">
        <v>0</v>
      </c>
      <c r="O860">
        <v>-0.77064319999999997</v>
      </c>
      <c r="P860">
        <v>0.47721340000000001</v>
      </c>
      <c r="Q860">
        <v>4.7295320000000002E-2</v>
      </c>
      <c r="R860">
        <v>-0.87751389999999996</v>
      </c>
      <c r="S860">
        <v>0.62550349999999999</v>
      </c>
      <c r="T860">
        <v>-0.47663369999999999</v>
      </c>
      <c r="U860">
        <v>-3.1154790000000001</v>
      </c>
      <c r="V860">
        <v>0.1940364</v>
      </c>
      <c r="W860">
        <v>5.5462320000000002E-2</v>
      </c>
      <c r="X860">
        <v>0.97942530000000005</v>
      </c>
      <c r="Y860">
        <v>0.47348199999999901</v>
      </c>
      <c r="Z860">
        <v>9.0710949999999999E-2</v>
      </c>
      <c r="AA860">
        <v>0.87612000000000001</v>
      </c>
      <c r="AB860">
        <v>42</v>
      </c>
      <c r="AC860">
        <v>1.2279</v>
      </c>
      <c r="AD860">
        <v>-1.0908696339949999</v>
      </c>
      <c r="AE860">
        <v>-6.8876000000000204</v>
      </c>
      <c r="AF860">
        <v>3.3601574968618801</v>
      </c>
      <c r="AG860">
        <v>-1.0908696339949999</v>
      </c>
      <c r="AH860">
        <v>5.9464429699071601</v>
      </c>
      <c r="AI860">
        <v>99.074301123987198</v>
      </c>
      <c r="AJ860">
        <v>60.530504549942897</v>
      </c>
      <c r="AK860">
        <v>6.9167072336804702</v>
      </c>
    </row>
    <row r="861" spans="1:37" x14ac:dyDescent="0.2">
      <c r="A861" t="str">
        <f>"20200111154041826"</f>
        <v>20200111154041826</v>
      </c>
      <c r="B861" t="str">
        <f>"1578728441817395"</f>
        <v>1578728441817395</v>
      </c>
      <c r="C861" t="s">
        <v>37</v>
      </c>
      <c r="D861">
        <v>5.8168530000000001</v>
      </c>
      <c r="E861">
        <v>0.61119869999999898</v>
      </c>
      <c r="F861" t="s">
        <v>42</v>
      </c>
      <c r="G861">
        <v>-192.9271</v>
      </c>
      <c r="H861" s="1">
        <v>-1.4298099999999999E-6</v>
      </c>
      <c r="I861">
        <v>350.70249999999999</v>
      </c>
      <c r="J861">
        <v>-194.11320000000001</v>
      </c>
      <c r="K861">
        <v>1.090889</v>
      </c>
      <c r="L861">
        <v>357.66090000000003</v>
      </c>
      <c r="M861">
        <v>0.62870689999999996</v>
      </c>
      <c r="N861">
        <v>0</v>
      </c>
      <c r="O861">
        <v>-0.77744780000000002</v>
      </c>
      <c r="P861">
        <v>0.468085999999999</v>
      </c>
      <c r="Q861">
        <v>4.8019819999999998E-2</v>
      </c>
      <c r="R861">
        <v>-0.88237759999999998</v>
      </c>
      <c r="S861">
        <v>0.59274289999999996</v>
      </c>
      <c r="T861">
        <v>-0.47484340000000003</v>
      </c>
      <c r="U861">
        <v>-3.1220400000000001</v>
      </c>
      <c r="V861">
        <v>0.1936717</v>
      </c>
      <c r="W861">
        <v>5.620551E-2</v>
      </c>
      <c r="X861">
        <v>0.97945509999999902</v>
      </c>
      <c r="Y861">
        <v>0.473245799999999</v>
      </c>
      <c r="Z861">
        <v>9.1697009999999995E-2</v>
      </c>
      <c r="AA861">
        <v>0.87614499999999995</v>
      </c>
      <c r="AB861">
        <v>42</v>
      </c>
      <c r="AC861">
        <v>1.1861000000000099</v>
      </c>
      <c r="AD861">
        <v>-1.09089042981</v>
      </c>
      <c r="AE861">
        <v>-6.9584000000000401</v>
      </c>
      <c r="AF861">
        <v>3.3726341056642202</v>
      </c>
      <c r="AG861">
        <v>-1.09089042981</v>
      </c>
      <c r="AH861">
        <v>6.0128238757958501</v>
      </c>
      <c r="AI861">
        <v>98.991658421544599</v>
      </c>
      <c r="AJ861">
        <v>60.711634499273998</v>
      </c>
      <c r="AK861">
        <v>6.9798820693390802</v>
      </c>
    </row>
    <row r="862" spans="1:37" x14ac:dyDescent="0.2">
      <c r="A862" t="str">
        <f>"20200111154041846"</f>
        <v>20200111154041846</v>
      </c>
      <c r="B862" t="str">
        <f>"1578728441836914"</f>
        <v>1578728441836914</v>
      </c>
      <c r="C862" t="s">
        <v>37</v>
      </c>
      <c r="D862">
        <v>5.8948279999999897</v>
      </c>
      <c r="E862">
        <v>0.64393040000000001</v>
      </c>
      <c r="F862" t="s">
        <v>42</v>
      </c>
      <c r="G862">
        <v>-192.71170000000001</v>
      </c>
      <c r="H862" s="1">
        <v>-1.3427549999999999E-6</v>
      </c>
      <c r="I862">
        <v>350.65219999999999</v>
      </c>
      <c r="J862">
        <v>-193.8776</v>
      </c>
      <c r="K862">
        <v>1.0909199999999999</v>
      </c>
      <c r="L862">
        <v>357.36559999999997</v>
      </c>
      <c r="M862">
        <v>0.61718719999999905</v>
      </c>
      <c r="N862">
        <v>0</v>
      </c>
      <c r="O862">
        <v>-0.78662410000000005</v>
      </c>
      <c r="P862">
        <v>0.45529510000000001</v>
      </c>
      <c r="Q862">
        <v>4.8756920000000002E-2</v>
      </c>
      <c r="R862">
        <v>-0.88900499999999905</v>
      </c>
      <c r="S862">
        <v>0.61938479999999996</v>
      </c>
      <c r="T862">
        <v>-0.482128</v>
      </c>
      <c r="U862">
        <v>-3.097534</v>
      </c>
      <c r="V862">
        <v>0.19339509999999999</v>
      </c>
      <c r="W862">
        <v>5.6959610000000001E-2</v>
      </c>
      <c r="X862">
        <v>0.97946610000000001</v>
      </c>
      <c r="Y862">
        <v>0.45174429999999999</v>
      </c>
      <c r="Z862">
        <v>9.6642359999999997E-2</v>
      </c>
      <c r="AA862">
        <v>0.88689759999999995</v>
      </c>
      <c r="AB862">
        <v>42</v>
      </c>
      <c r="AC862">
        <v>1.1658999999999899</v>
      </c>
      <c r="AD862">
        <v>-1.090921342755</v>
      </c>
      <c r="AE862">
        <v>-6.7133999999999698</v>
      </c>
      <c r="AF862">
        <v>3.1461429524602602</v>
      </c>
      <c r="AG862">
        <v>-1.090921342755</v>
      </c>
      <c r="AH862">
        <v>5.8514199347130802</v>
      </c>
      <c r="AI862">
        <v>99.325121517243602</v>
      </c>
      <c r="AJ862">
        <v>61.7343379774235</v>
      </c>
      <c r="AK862">
        <v>6.7325656406567198</v>
      </c>
    </row>
    <row r="863" spans="1:37" x14ac:dyDescent="0.2">
      <c r="A863" t="str">
        <f>"20200111154041859"</f>
        <v>20200111154041859</v>
      </c>
      <c r="B863" t="str">
        <f>"1578728441857411"</f>
        <v>1578728441857411</v>
      </c>
      <c r="C863" t="s">
        <v>37</v>
      </c>
      <c r="D863">
        <v>5.9140100000000002</v>
      </c>
      <c r="E863">
        <v>0.64660069999999903</v>
      </c>
      <c r="F863" t="s">
        <v>39</v>
      </c>
      <c r="G863">
        <v>-192.2261</v>
      </c>
      <c r="H863" s="1">
        <v>-1.5910990000000001E-6</v>
      </c>
      <c r="I863">
        <v>341.91730000000001</v>
      </c>
      <c r="J863">
        <v>-193.7236</v>
      </c>
      <c r="K863">
        <v>1.0909389999999899</v>
      </c>
      <c r="L863">
        <v>357.16750000000002</v>
      </c>
      <c r="M863">
        <v>0.609429</v>
      </c>
      <c r="N863">
        <v>0</v>
      </c>
      <c r="O863">
        <v>-0.79264990000000002</v>
      </c>
      <c r="P863">
        <v>0.44668229999999998</v>
      </c>
      <c r="Q863">
        <v>4.882251E-2</v>
      </c>
      <c r="R863">
        <v>-0.89335980000000004</v>
      </c>
      <c r="S863">
        <v>0.34329219999999999</v>
      </c>
      <c r="T863">
        <v>-0.22676389999999999</v>
      </c>
      <c r="U863">
        <v>-3.2111509999999899</v>
      </c>
      <c r="V863">
        <v>0.19323679999999999</v>
      </c>
      <c r="W863">
        <v>5.7036249999999997E-2</v>
      </c>
      <c r="X863">
        <v>0.9794929</v>
      </c>
      <c r="Y863">
        <v>0.52179500000000001</v>
      </c>
      <c r="Z863">
        <v>4.3523599999999898E-2</v>
      </c>
      <c r="AA863">
        <v>0.85195989999999999</v>
      </c>
      <c r="AB863">
        <v>42</v>
      </c>
      <c r="AC863">
        <v>1.4975000000000001</v>
      </c>
      <c r="AD863">
        <v>-1.090940591099</v>
      </c>
      <c r="AE863">
        <v>-15.2502</v>
      </c>
      <c r="AF863">
        <v>8.0672577929793405</v>
      </c>
      <c r="AG863">
        <v>-1.090940591099</v>
      </c>
      <c r="AH863">
        <v>12.9370835481807</v>
      </c>
      <c r="AI863">
        <v>94.092800103115593</v>
      </c>
      <c r="AJ863">
        <v>58.053315712819099</v>
      </c>
      <c r="AK863">
        <v>15.285252055635199</v>
      </c>
    </row>
    <row r="864" spans="1:37" x14ac:dyDescent="0.2">
      <c r="A864" t="str">
        <f>"20200111154041878"</f>
        <v>20200111154041878</v>
      </c>
      <c r="B864" t="str">
        <f>"1578728441867170"</f>
        <v>1578728441867170</v>
      </c>
      <c r="C864" t="s">
        <v>37</v>
      </c>
      <c r="D864">
        <v>5.82951</v>
      </c>
      <c r="E864">
        <v>0.64692749999999999</v>
      </c>
      <c r="F864" t="s">
        <v>39</v>
      </c>
      <c r="G864">
        <v>-192.43389999999999</v>
      </c>
      <c r="H864" s="1">
        <v>-2.1020879999999998E-6</v>
      </c>
      <c r="I864">
        <v>342.9796</v>
      </c>
      <c r="J864">
        <v>-193.51130000000001</v>
      </c>
      <c r="K864">
        <v>1.0909580000000001</v>
      </c>
      <c r="L864">
        <v>356.88720000000001</v>
      </c>
      <c r="M864">
        <v>0.59841750000000005</v>
      </c>
      <c r="N864">
        <v>0</v>
      </c>
      <c r="O864">
        <v>-0.80099560000000003</v>
      </c>
      <c r="P864">
        <v>0.43415529999999902</v>
      </c>
      <c r="Q864">
        <v>4.8848229999999999E-2</v>
      </c>
      <c r="R864">
        <v>-0.89951289999999995</v>
      </c>
      <c r="S864">
        <v>0.29316709999999901</v>
      </c>
      <c r="T864">
        <v>-0.24798289999999901</v>
      </c>
      <c r="U864">
        <v>-3.2250669999999899</v>
      </c>
      <c r="V864">
        <v>0.19338649999999999</v>
      </c>
      <c r="W864">
        <v>5.7060060000000003E-2</v>
      </c>
      <c r="X864">
        <v>0.97946200000000005</v>
      </c>
      <c r="Y864">
        <v>0.523509</v>
      </c>
      <c r="Z864">
        <v>4.8270220000000003E-2</v>
      </c>
      <c r="AA864">
        <v>0.85065170000000001</v>
      </c>
      <c r="AB864">
        <v>42</v>
      </c>
      <c r="AC864">
        <v>1.0774000000000099</v>
      </c>
      <c r="AD864">
        <v>-1.090960102088</v>
      </c>
      <c r="AE864">
        <v>-13.9076</v>
      </c>
      <c r="AF864">
        <v>7.4153301439340504</v>
      </c>
      <c r="AG864">
        <v>-1.090960102088</v>
      </c>
      <c r="AH864">
        <v>11.714789062523</v>
      </c>
      <c r="AI864">
        <v>94.499190904385301</v>
      </c>
      <c r="AJ864">
        <v>57.666648175001399</v>
      </c>
      <c r="AK864">
        <v>13.907321735952401</v>
      </c>
    </row>
    <row r="865" spans="1:37" x14ac:dyDescent="0.2">
      <c r="A865" t="str">
        <f>"20200111154041892"</f>
        <v>20200111154041892</v>
      </c>
      <c r="B865" t="str">
        <f>"1578728441886691"</f>
        <v>1578728441886691</v>
      </c>
      <c r="C865" t="s">
        <v>37</v>
      </c>
      <c r="D865">
        <v>5.6040769999999904</v>
      </c>
      <c r="E865">
        <v>0.64874200000000004</v>
      </c>
      <c r="F865" t="s">
        <v>39</v>
      </c>
      <c r="G865">
        <v>-192.40530000000001</v>
      </c>
      <c r="H865" s="1">
        <v>-1.826001E-6</v>
      </c>
      <c r="I865">
        <v>342.3537</v>
      </c>
      <c r="J865">
        <v>-193.35419999999999</v>
      </c>
      <c r="K865">
        <v>1.0909739999999899</v>
      </c>
      <c r="L865">
        <v>356.67430000000002</v>
      </c>
      <c r="M865">
        <v>0.59002359999999998</v>
      </c>
      <c r="N865">
        <v>0</v>
      </c>
      <c r="O865">
        <v>-0.80719859999999999</v>
      </c>
      <c r="P865">
        <v>0.42474979999999901</v>
      </c>
      <c r="Q865">
        <v>4.8957630000000002E-2</v>
      </c>
      <c r="R865">
        <v>-0.90398619999999996</v>
      </c>
      <c r="S865">
        <v>0.245773299999999</v>
      </c>
      <c r="T865">
        <v>-0.24243919999999999</v>
      </c>
      <c r="U865">
        <v>-3.2297060000000002</v>
      </c>
      <c r="V865">
        <v>0.19337789999999999</v>
      </c>
      <c r="W865">
        <v>5.7174299999999997E-2</v>
      </c>
      <c r="X865">
        <v>0.97945700000000002</v>
      </c>
      <c r="Y865">
        <v>0.52711969999999997</v>
      </c>
      <c r="Z865">
        <v>4.7725129999999998E-2</v>
      </c>
      <c r="AA865">
        <v>0.84844979999999903</v>
      </c>
      <c r="AB865">
        <v>41</v>
      </c>
      <c r="AC865">
        <v>0.94889999999997998</v>
      </c>
      <c r="AD865">
        <v>-1.0909758260009901</v>
      </c>
      <c r="AE865">
        <v>-14.320600000000001</v>
      </c>
      <c r="AF865">
        <v>7.6405539552721198</v>
      </c>
      <c r="AG865">
        <v>-1.0909758260009901</v>
      </c>
      <c r="AH865">
        <v>12.0516367862436</v>
      </c>
      <c r="AI865">
        <v>94.372033334740905</v>
      </c>
      <c r="AJ865">
        <v>57.625925827135298</v>
      </c>
      <c r="AK865">
        <v>14.3111929001003</v>
      </c>
    </row>
    <row r="866" spans="1:37" x14ac:dyDescent="0.2">
      <c r="A866" t="str">
        <f>"20200111154041906"</f>
        <v>20200111154041906</v>
      </c>
      <c r="B866" t="str">
        <f>"1578728441897426"</f>
        <v>1578728441897426</v>
      </c>
      <c r="C866" t="s">
        <v>37</v>
      </c>
      <c r="D866">
        <v>5.9555790000000002</v>
      </c>
      <c r="E866">
        <v>0.6481635</v>
      </c>
      <c r="F866" t="s">
        <v>39</v>
      </c>
      <c r="G866">
        <v>-192.3698</v>
      </c>
      <c r="H866" s="1">
        <v>-1.1123079999999999E-6</v>
      </c>
      <c r="I866">
        <v>340.7122</v>
      </c>
      <c r="J866">
        <v>-193.20339999999999</v>
      </c>
      <c r="K866">
        <v>1.090989</v>
      </c>
      <c r="L866">
        <v>356.46629999999999</v>
      </c>
      <c r="M866">
        <v>0.58178809999999903</v>
      </c>
      <c r="N866">
        <v>0</v>
      </c>
      <c r="O866">
        <v>-0.8131545</v>
      </c>
      <c r="P866">
        <v>0.41520439999999997</v>
      </c>
      <c r="Q866">
        <v>4.9136630000000001E-2</v>
      </c>
      <c r="R866">
        <v>-0.9084004</v>
      </c>
      <c r="S866">
        <v>0.19963069999999999</v>
      </c>
      <c r="T866">
        <v>-0.22122820000000001</v>
      </c>
      <c r="U866">
        <v>-3.2368160000000001</v>
      </c>
      <c r="V866">
        <v>0.19373979999999999</v>
      </c>
      <c r="W866">
        <v>5.7339969999999997E-2</v>
      </c>
      <c r="X866">
        <v>0.97937580000000002</v>
      </c>
      <c r="Y866">
        <v>0.53066610000000003</v>
      </c>
      <c r="Z866">
        <v>4.398995E-2</v>
      </c>
      <c r="AA866">
        <v>0.84643869999999899</v>
      </c>
      <c r="AB866">
        <v>41</v>
      </c>
      <c r="AC866">
        <v>0.83359999999998902</v>
      </c>
      <c r="AD866">
        <v>-1.0909901123079999</v>
      </c>
      <c r="AE866">
        <v>-15.7540999999999</v>
      </c>
      <c r="AF866">
        <v>8.4485818347617201</v>
      </c>
      <c r="AG866">
        <v>-1.0909901123079999</v>
      </c>
      <c r="AH866">
        <v>13.2342158938635</v>
      </c>
      <c r="AI866">
        <v>93.974817804060507</v>
      </c>
      <c r="AJ866">
        <v>57.446274628138802</v>
      </c>
      <c r="AK866">
        <v>15.7389092623729</v>
      </c>
    </row>
    <row r="867" spans="1:37" x14ac:dyDescent="0.2">
      <c r="A867" t="str">
        <f>"20200111154041924"</f>
        <v>20200111154041924</v>
      </c>
      <c r="B867" t="str">
        <f>"1578728441916946"</f>
        <v>1578728441916946</v>
      </c>
      <c r="C867" t="s">
        <v>37</v>
      </c>
      <c r="D867">
        <v>5.6967290000000004</v>
      </c>
      <c r="E867">
        <v>0.64770779999999994</v>
      </c>
      <c r="F867" t="s">
        <v>39</v>
      </c>
      <c r="G867">
        <v>-192.36580000000001</v>
      </c>
      <c r="H867" s="1">
        <v>-1.0426640000000001E-6</v>
      </c>
      <c r="I867">
        <v>340.5523</v>
      </c>
      <c r="J867">
        <v>-193.00790000000001</v>
      </c>
      <c r="K867">
        <v>1.0910070000000001</v>
      </c>
      <c r="L867">
        <v>356.1891</v>
      </c>
      <c r="M867">
        <v>0.57078200000000001</v>
      </c>
      <c r="N867">
        <v>0</v>
      </c>
      <c r="O867">
        <v>-0.82091749999999997</v>
      </c>
      <c r="P867">
        <v>0.40318189999999998</v>
      </c>
      <c r="Q867">
        <v>4.9320490000000002E-2</v>
      </c>
      <c r="R867">
        <v>-0.91378999999999999</v>
      </c>
      <c r="S867">
        <v>0.1703644</v>
      </c>
      <c r="T867">
        <v>-0.22188820000000001</v>
      </c>
      <c r="U867">
        <v>-3.2366329999999999</v>
      </c>
      <c r="V867">
        <v>0.19347149999999999</v>
      </c>
      <c r="W867">
        <v>5.7543249999999997E-2</v>
      </c>
      <c r="X867">
        <v>0.97941699999999998</v>
      </c>
      <c r="Y867">
        <v>0.52687510000000004</v>
      </c>
      <c r="Z867">
        <v>4.4985730000000002E-2</v>
      </c>
      <c r="AA867">
        <v>0.84875140000000004</v>
      </c>
      <c r="AB867">
        <v>41</v>
      </c>
      <c r="AC867">
        <v>0.642099999999999</v>
      </c>
      <c r="AD867">
        <v>-1.0910080426640001</v>
      </c>
      <c r="AE867">
        <v>-15.6367999999999</v>
      </c>
      <c r="AF867">
        <v>8.3587400453182994</v>
      </c>
      <c r="AG867">
        <v>-1.0910080426640001</v>
      </c>
      <c r="AH867">
        <v>13.1411535594327</v>
      </c>
      <c r="AI867">
        <v>94.007130489264199</v>
      </c>
      <c r="AJ867">
        <v>57.540639775155</v>
      </c>
      <c r="AK867">
        <v>15.612454982063401</v>
      </c>
    </row>
    <row r="868" spans="1:37" x14ac:dyDescent="0.2">
      <c r="A868" t="str">
        <f>"20200111154041948"</f>
        <v>20200111154041948</v>
      </c>
      <c r="B868" t="str">
        <f>"1578728441937442"</f>
        <v>1578728441937442</v>
      </c>
      <c r="C868" t="s">
        <v>37</v>
      </c>
      <c r="D868">
        <v>5.7054150000000003</v>
      </c>
      <c r="E868">
        <v>0.64611600000000002</v>
      </c>
      <c r="F868" t="s">
        <v>39</v>
      </c>
      <c r="G868">
        <v>-192.36590000000001</v>
      </c>
      <c r="H868" s="1">
        <v>-9.5313750000000001E-7</v>
      </c>
      <c r="I868">
        <v>340.34350000000001</v>
      </c>
      <c r="J868">
        <v>-192.7577</v>
      </c>
      <c r="K868">
        <v>1.0910260000000001</v>
      </c>
      <c r="L868">
        <v>355.82130000000001</v>
      </c>
      <c r="M868">
        <v>0.5561123</v>
      </c>
      <c r="N868">
        <v>0</v>
      </c>
      <c r="O868">
        <v>-0.83092520000000003</v>
      </c>
      <c r="P868">
        <v>0.38824199999999998</v>
      </c>
      <c r="Q868">
        <v>4.8905459999999998E-2</v>
      </c>
      <c r="R868">
        <v>-0.92025919999999894</v>
      </c>
      <c r="S868">
        <v>0.1311493</v>
      </c>
      <c r="T868">
        <v>-0.2228879</v>
      </c>
      <c r="U868">
        <v>-3.2371829999999999</v>
      </c>
      <c r="V868">
        <v>0.19202359999999999</v>
      </c>
      <c r="W868">
        <v>5.720716E-2</v>
      </c>
      <c r="X868">
        <v>0.97972150000000002</v>
      </c>
      <c r="Y868">
        <v>0.52204479999999998</v>
      </c>
      <c r="Z868">
        <v>4.6295360000000001E-2</v>
      </c>
      <c r="AA868">
        <v>0.85166070000000005</v>
      </c>
      <c r="AB868">
        <v>41</v>
      </c>
      <c r="AC868">
        <v>0.39179999999998899</v>
      </c>
      <c r="AD868">
        <v>-1.0910269531375001</v>
      </c>
      <c r="AE868">
        <v>-15.4778</v>
      </c>
      <c r="AF868">
        <v>8.2421635228219507</v>
      </c>
      <c r="AG868">
        <v>-1.0910269531375001</v>
      </c>
      <c r="AH868">
        <v>13.016123716312601</v>
      </c>
      <c r="AI868">
        <v>94.050760426185704</v>
      </c>
      <c r="AJ868">
        <v>57.656896996247802</v>
      </c>
      <c r="AK868">
        <v>15.444839783816599</v>
      </c>
    </row>
    <row r="869" spans="1:37" x14ac:dyDescent="0.2">
      <c r="A869" t="str">
        <f>"20200111154041959"</f>
        <v>20200111154041959</v>
      </c>
      <c r="B869" t="str">
        <f>"1578728441956962"</f>
        <v>1578728441956962</v>
      </c>
      <c r="C869" t="s">
        <v>37</v>
      </c>
      <c r="D869">
        <v>5.9350870000000002</v>
      </c>
      <c r="E869">
        <v>0.64324130000000002</v>
      </c>
      <c r="F869" t="s">
        <v>39</v>
      </c>
      <c r="G869">
        <v>-192.34299999999999</v>
      </c>
      <c r="H869" s="1">
        <v>-1.1526519999999999E-6</v>
      </c>
      <c r="I869">
        <v>340.82279999999997</v>
      </c>
      <c r="J869">
        <v>-192.6317</v>
      </c>
      <c r="K869">
        <v>1.0910359999999999</v>
      </c>
      <c r="L869">
        <v>355.6311</v>
      </c>
      <c r="M869">
        <v>0.54849309999999996</v>
      </c>
      <c r="N869">
        <v>0</v>
      </c>
      <c r="O869">
        <v>-0.83597429999999995</v>
      </c>
      <c r="P869">
        <v>0.38090629999999998</v>
      </c>
      <c r="Q869">
        <v>4.9043759999999999E-2</v>
      </c>
      <c r="R869">
        <v>-0.92331249999999998</v>
      </c>
      <c r="S869">
        <v>8.9447020000000002E-2</v>
      </c>
      <c r="T869">
        <v>-0.23530129999999999</v>
      </c>
      <c r="U869">
        <v>-3.2347109999999999</v>
      </c>
      <c r="V869">
        <v>0.1908656</v>
      </c>
      <c r="W869">
        <v>5.7406150000000003E-2</v>
      </c>
      <c r="X869">
        <v>0.97993609999999898</v>
      </c>
      <c r="Y869">
        <v>0.52517709999999995</v>
      </c>
      <c r="Z869">
        <v>4.9362959999999997E-2</v>
      </c>
      <c r="AA869">
        <v>0.84956010000000004</v>
      </c>
      <c r="AB869">
        <v>41</v>
      </c>
      <c r="AC869">
        <v>0.28870000000000501</v>
      </c>
      <c r="AD869">
        <v>-1.091037152652</v>
      </c>
      <c r="AE869">
        <v>-14.808299999999999</v>
      </c>
      <c r="AF869">
        <v>7.8395562501647298</v>
      </c>
      <c r="AG869">
        <v>-1.091037152652</v>
      </c>
      <c r="AH869">
        <v>12.4719272274374</v>
      </c>
      <c r="AI869">
        <v>94.235771121071593</v>
      </c>
      <c r="AJ869">
        <v>57.847510128899302</v>
      </c>
      <c r="AK869">
        <v>14.7715257517448</v>
      </c>
    </row>
    <row r="870" spans="1:37" x14ac:dyDescent="0.2">
      <c r="A870" t="str">
        <f>"20200111154041979"</f>
        <v>20200111154041979</v>
      </c>
      <c r="B870" t="str">
        <f>"1578728441966722"</f>
        <v>1578728441966722</v>
      </c>
      <c r="C870" t="s">
        <v>37</v>
      </c>
      <c r="D870">
        <v>5.8984680000000003</v>
      </c>
      <c r="E870">
        <v>0.641791</v>
      </c>
      <c r="F870" t="s">
        <v>39</v>
      </c>
      <c r="G870">
        <v>-192.2782</v>
      </c>
      <c r="H870" s="1">
        <v>-1.70510799999999E-6</v>
      </c>
      <c r="I870">
        <v>342.15069999999997</v>
      </c>
      <c r="J870">
        <v>-192.44309999999999</v>
      </c>
      <c r="K870">
        <v>1.091059</v>
      </c>
      <c r="L870">
        <v>355.33819999999997</v>
      </c>
      <c r="M870">
        <v>0.53672849999999905</v>
      </c>
      <c r="N870">
        <v>0</v>
      </c>
      <c r="O870">
        <v>-0.84357579999999999</v>
      </c>
      <c r="P870">
        <v>0.37055309999999902</v>
      </c>
      <c r="Q870">
        <v>5.0368699999999898E-2</v>
      </c>
      <c r="R870">
        <v>-0.92744509999999902</v>
      </c>
      <c r="S870">
        <v>8.4640499999999994E-2</v>
      </c>
      <c r="T870">
        <v>-0.26126959999999999</v>
      </c>
      <c r="U870">
        <v>-3.228119</v>
      </c>
      <c r="V870">
        <v>0.18812200000000001</v>
      </c>
      <c r="W870">
        <v>5.8870890000000002E-2</v>
      </c>
      <c r="X870">
        <v>0.98037969999999897</v>
      </c>
      <c r="Y870">
        <v>0.51442339999999998</v>
      </c>
      <c r="Z870">
        <v>5.6069649999999999E-2</v>
      </c>
      <c r="AA870">
        <v>0.8557013</v>
      </c>
      <c r="AB870">
        <v>41</v>
      </c>
      <c r="AC870">
        <v>0.164899999999988</v>
      </c>
      <c r="AD870">
        <v>-1.0910607051079999</v>
      </c>
      <c r="AE870">
        <v>-13.1875</v>
      </c>
      <c r="AF870">
        <v>6.8928765120509201</v>
      </c>
      <c r="AG870">
        <v>-1.0910607051079999</v>
      </c>
      <c r="AH870">
        <v>11.138626256061499</v>
      </c>
      <c r="AI870">
        <v>94.761413698362304</v>
      </c>
      <c r="AJ870">
        <v>58.249682211616097</v>
      </c>
      <c r="AK870">
        <v>13.144244175487501</v>
      </c>
    </row>
    <row r="871" spans="1:37" x14ac:dyDescent="0.2">
      <c r="A871" t="str">
        <f>"20200111154041993"</f>
        <v>20200111154041993</v>
      </c>
      <c r="B871" t="str">
        <f>"1578728441987219"</f>
        <v>1578728441987219</v>
      </c>
      <c r="C871" t="s">
        <v>37</v>
      </c>
      <c r="D871">
        <v>5.8436159999999999</v>
      </c>
      <c r="E871">
        <v>0.63957059999999999</v>
      </c>
      <c r="F871" t="s">
        <v>39</v>
      </c>
      <c r="G871">
        <v>-192.2012</v>
      </c>
      <c r="H871" s="1">
        <v>-1.7013989999999999E-6</v>
      </c>
      <c r="I871">
        <v>342.18979999999999</v>
      </c>
      <c r="J871">
        <v>-192.3056</v>
      </c>
      <c r="K871">
        <v>1.091073</v>
      </c>
      <c r="L871">
        <v>355.11860000000001</v>
      </c>
      <c r="M871">
        <v>0.52787439999999997</v>
      </c>
      <c r="N871">
        <v>0</v>
      </c>
      <c r="O871">
        <v>-0.84914449999999997</v>
      </c>
      <c r="P871">
        <v>0.36200579999999999</v>
      </c>
      <c r="Q871">
        <v>5.1200259999999997E-2</v>
      </c>
      <c r="R871">
        <v>-0.93076909999999902</v>
      </c>
      <c r="S871">
        <v>5.9326169999999998E-2</v>
      </c>
      <c r="T871">
        <v>-0.26765869999999897</v>
      </c>
      <c r="U871">
        <v>-3.2255549999999999</v>
      </c>
      <c r="V871">
        <v>0.18689810000000001</v>
      </c>
      <c r="W871">
        <v>5.9765770000000003E-2</v>
      </c>
      <c r="X871">
        <v>0.98055959999999998</v>
      </c>
      <c r="Y871">
        <v>0.51214490000000001</v>
      </c>
      <c r="Z871">
        <v>5.8212720000000003E-2</v>
      </c>
      <c r="AA871">
        <v>0.85692409999999997</v>
      </c>
      <c r="AB871">
        <v>41</v>
      </c>
      <c r="AC871">
        <v>0.10439999999999799</v>
      </c>
      <c r="AD871">
        <v>-1.0910747013990001</v>
      </c>
      <c r="AE871">
        <v>-12.928800000000001</v>
      </c>
      <c r="AF871">
        <v>6.6895114785429897</v>
      </c>
      <c r="AG871">
        <v>-1.0910747013990001</v>
      </c>
      <c r="AH871">
        <v>10.9571670804383</v>
      </c>
      <c r="AI871">
        <v>94.857850619380599</v>
      </c>
      <c r="AJ871">
        <v>58.595321518255702</v>
      </c>
      <c r="AK871">
        <v>12.884080031350001</v>
      </c>
    </row>
    <row r="872" spans="1:37" x14ac:dyDescent="0.2">
      <c r="A872" t="str">
        <f>"20200111154042006"</f>
        <v>20200111154042006</v>
      </c>
      <c r="B872" t="str">
        <f>"1578728441996978"</f>
        <v>1578728441996978</v>
      </c>
      <c r="C872" t="s">
        <v>37</v>
      </c>
      <c r="D872">
        <v>5.8653760000000004</v>
      </c>
      <c r="E872">
        <v>0.63859829999999995</v>
      </c>
      <c r="F872" t="s">
        <v>39</v>
      </c>
      <c r="G872">
        <v>-192.12719999999999</v>
      </c>
      <c r="H872" s="1">
        <v>-1.8557069999999899E-6</v>
      </c>
      <c r="I872">
        <v>342.59550000000002</v>
      </c>
      <c r="J872">
        <v>-192.1704</v>
      </c>
      <c r="K872">
        <v>1.0910759999999999</v>
      </c>
      <c r="L872">
        <v>354.89850000000001</v>
      </c>
      <c r="M872">
        <v>0.51896880000000001</v>
      </c>
      <c r="N872">
        <v>0</v>
      </c>
      <c r="O872">
        <v>-0.8546163</v>
      </c>
      <c r="P872">
        <v>0.35353759999999901</v>
      </c>
      <c r="Q872">
        <v>5.1907160000000001E-2</v>
      </c>
      <c r="R872">
        <v>-0.93397929999999996</v>
      </c>
      <c r="S872">
        <v>4.5883180000000003E-2</v>
      </c>
      <c r="T872">
        <v>-0.28060580000000002</v>
      </c>
      <c r="U872">
        <v>-3.2207340000000002</v>
      </c>
      <c r="V872">
        <v>0.18556449999999999</v>
      </c>
      <c r="W872">
        <v>6.0540650000000001E-2</v>
      </c>
      <c r="X872">
        <v>0.98076529999999995</v>
      </c>
      <c r="Y872">
        <v>0.50670439999999894</v>
      </c>
      <c r="Z872">
        <v>6.1944979999999997E-2</v>
      </c>
      <c r="AA872">
        <v>0.85989150000000003</v>
      </c>
      <c r="AB872">
        <v>41</v>
      </c>
      <c r="AC872">
        <v>4.3200000000012999E-2</v>
      </c>
      <c r="AD872">
        <v>-1.091077855707</v>
      </c>
      <c r="AE872">
        <v>-12.3029999999999</v>
      </c>
      <c r="AF872">
        <v>6.2993707573920101</v>
      </c>
      <c r="AG872">
        <v>-1.091077855707</v>
      </c>
      <c r="AH872">
        <v>10.456122493522001</v>
      </c>
      <c r="AI872">
        <v>95.107570739934602</v>
      </c>
      <c r="AJ872">
        <v>58.9328176884881</v>
      </c>
      <c r="AK872">
        <v>12.255734185508301</v>
      </c>
    </row>
    <row r="873" spans="1:37" x14ac:dyDescent="0.2">
      <c r="A873" t="str">
        <f>"20200111154042026"</f>
        <v>20200111154042026</v>
      </c>
      <c r="B873" t="str">
        <f>"1578728442017475"</f>
        <v>1578728442017475</v>
      </c>
      <c r="C873" t="s">
        <v>37</v>
      </c>
      <c r="D873">
        <v>5.860703</v>
      </c>
      <c r="E873">
        <v>0.63636269999999995</v>
      </c>
      <c r="F873" t="s">
        <v>39</v>
      </c>
      <c r="G873">
        <v>-192.0771</v>
      </c>
      <c r="H873" s="1">
        <v>-1.8485349999999899E-6</v>
      </c>
      <c r="I873">
        <v>342.60980000000001</v>
      </c>
      <c r="J873">
        <v>-191.98990000000001</v>
      </c>
      <c r="K873">
        <v>1.0910869999999999</v>
      </c>
      <c r="L873">
        <v>354.59570000000002</v>
      </c>
      <c r="M873">
        <v>0.50667659999999903</v>
      </c>
      <c r="N873">
        <v>0</v>
      </c>
      <c r="O873">
        <v>-0.86196070000000002</v>
      </c>
      <c r="P873">
        <v>0.342564799999999</v>
      </c>
      <c r="Q873">
        <v>5.2281719999999997E-2</v>
      </c>
      <c r="R873">
        <v>-0.938038699999999</v>
      </c>
      <c r="S873">
        <v>2.4429320000000001E-2</v>
      </c>
      <c r="T873">
        <v>-0.28577779999999903</v>
      </c>
      <c r="U873">
        <v>-3.2186889999999999</v>
      </c>
      <c r="V873">
        <v>0.1830213</v>
      </c>
      <c r="W873">
        <v>6.104279E-2</v>
      </c>
      <c r="X873">
        <v>0.98121199999999997</v>
      </c>
      <c r="Y873">
        <v>0.50007040000000003</v>
      </c>
      <c r="Z873">
        <v>6.4251970000000005E-2</v>
      </c>
      <c r="AA873">
        <v>0.86359789999999903</v>
      </c>
      <c r="AB873">
        <v>41</v>
      </c>
      <c r="AC873">
        <v>-8.7199999999995698E-2</v>
      </c>
      <c r="AD873">
        <v>-1.0910888485350001</v>
      </c>
      <c r="AE873">
        <v>-11.985900000000001</v>
      </c>
      <c r="AF873">
        <v>6.0985346393448499</v>
      </c>
      <c r="AG873">
        <v>-1.0910888485350001</v>
      </c>
      <c r="AH873">
        <v>10.204195123688701</v>
      </c>
      <c r="AI873">
        <v>95.244080495415602</v>
      </c>
      <c r="AJ873">
        <v>59.135360514589898</v>
      </c>
      <c r="AK873">
        <v>11.9376797471283</v>
      </c>
    </row>
    <row r="874" spans="1:37" x14ac:dyDescent="0.2">
      <c r="A874" t="str">
        <f>"20200111154042038"</f>
        <v>20200111154042038</v>
      </c>
      <c r="B874" t="str">
        <f>"1578728442027234"</f>
        <v>1578728442027234</v>
      </c>
      <c r="C874" t="s">
        <v>37</v>
      </c>
      <c r="D874">
        <v>5.8338760000000001</v>
      </c>
      <c r="E874">
        <v>0.63541749999999997</v>
      </c>
      <c r="F874" t="s">
        <v>39</v>
      </c>
      <c r="G874">
        <v>-191.9776</v>
      </c>
      <c r="H874" s="1">
        <v>-1.9346460000000001E-6</v>
      </c>
      <c r="I874">
        <v>342.8723</v>
      </c>
      <c r="J874">
        <v>-191.8638</v>
      </c>
      <c r="K874">
        <v>1.091092</v>
      </c>
      <c r="L874">
        <v>354.37740000000002</v>
      </c>
      <c r="M874">
        <v>0.49779059999999897</v>
      </c>
      <c r="N874">
        <v>0</v>
      </c>
      <c r="O874">
        <v>-0.86712279999999997</v>
      </c>
      <c r="P874">
        <v>0.33428959999999902</v>
      </c>
      <c r="Q874">
        <v>5.2480720000000002E-2</v>
      </c>
      <c r="R874">
        <v>-0.94100819999999996</v>
      </c>
      <c r="S874">
        <v>3.3874509999999901E-3</v>
      </c>
      <c r="T874">
        <v>-0.29908699999999999</v>
      </c>
      <c r="U874">
        <v>-3.2135929999999999</v>
      </c>
      <c r="V874">
        <v>0.18158150000000001</v>
      </c>
      <c r="W874">
        <v>6.131408E-2</v>
      </c>
      <c r="X874">
        <v>0.98146250000000002</v>
      </c>
      <c r="Y874">
        <v>0.49680219999999897</v>
      </c>
      <c r="Z874">
        <v>6.8120390000000003E-2</v>
      </c>
      <c r="AA874">
        <v>0.86518619999999902</v>
      </c>
      <c r="AB874">
        <v>41</v>
      </c>
      <c r="AC874">
        <v>-0.113799999999997</v>
      </c>
      <c r="AD874">
        <v>-1.091093934646</v>
      </c>
      <c r="AE874">
        <v>-11.505100000000001</v>
      </c>
      <c r="AF874">
        <v>5.7747587832902898</v>
      </c>
      <c r="AG874">
        <v>-1.091093934646</v>
      </c>
      <c r="AH874">
        <v>9.8327616936052298</v>
      </c>
      <c r="AI874">
        <v>95.465641001534905</v>
      </c>
      <c r="AJ874">
        <v>59.574379827677397</v>
      </c>
      <c r="AK874">
        <v>11.4551965283289</v>
      </c>
    </row>
    <row r="875" spans="1:37" x14ac:dyDescent="0.2">
      <c r="A875" t="str">
        <f>"20200111154042058"</f>
        <v>20200111154042058</v>
      </c>
      <c r="B875" t="str">
        <f>"1578728442046763"</f>
        <v>1578728442046763</v>
      </c>
      <c r="C875" t="s">
        <v>37</v>
      </c>
      <c r="D875">
        <v>5.849202</v>
      </c>
      <c r="E875">
        <v>0.61431349999999996</v>
      </c>
      <c r="F875" t="s">
        <v>39</v>
      </c>
      <c r="G875">
        <v>-191.9281</v>
      </c>
      <c r="H875" s="1">
        <v>-1.8980089999999999E-6</v>
      </c>
      <c r="I875">
        <v>342.81760000000003</v>
      </c>
      <c r="J875">
        <v>-191.68599999999901</v>
      </c>
      <c r="K875">
        <v>1.0911010000000001</v>
      </c>
      <c r="L875">
        <v>354.0609</v>
      </c>
      <c r="M875">
        <v>0.48485829999999902</v>
      </c>
      <c r="N875">
        <v>0</v>
      </c>
      <c r="O875">
        <v>-0.87441970000000002</v>
      </c>
      <c r="P875">
        <v>0.32265260000000001</v>
      </c>
      <c r="Q875">
        <v>5.25954E-2</v>
      </c>
      <c r="R875">
        <v>-0.94505539999999999</v>
      </c>
      <c r="S875">
        <v>-1.7868040000000002E-2</v>
      </c>
      <c r="T875">
        <v>-0.3031085</v>
      </c>
      <c r="U875">
        <v>-3.2113649999999998</v>
      </c>
      <c r="V875">
        <v>0.179118</v>
      </c>
      <c r="W875">
        <v>6.1550140000000003E-2</v>
      </c>
      <c r="X875">
        <v>0.98190029999999995</v>
      </c>
      <c r="Y875">
        <v>0.4896277</v>
      </c>
      <c r="Z875">
        <v>7.0284050000000001E-2</v>
      </c>
      <c r="AA875">
        <v>0.86909429999999999</v>
      </c>
      <c r="AB875">
        <v>41</v>
      </c>
      <c r="AC875">
        <v>-0.24210000000002199</v>
      </c>
      <c r="AD875">
        <v>-1.0911028980090001</v>
      </c>
      <c r="AE875">
        <v>-11.2432999999999</v>
      </c>
      <c r="AF875">
        <v>5.6111419687439401</v>
      </c>
      <c r="AG875">
        <v>-1.0911028980090001</v>
      </c>
      <c r="AH875">
        <v>9.6248472604484494</v>
      </c>
      <c r="AI875">
        <v>95.593455095173994</v>
      </c>
      <c r="AJ875">
        <v>59.758454332769404</v>
      </c>
      <c r="AK875">
        <v>11.194333589562399</v>
      </c>
    </row>
    <row r="876" spans="1:37" x14ac:dyDescent="0.2">
      <c r="A876" t="str">
        <f>"20200111154042075"</f>
        <v>20200111154042075</v>
      </c>
      <c r="B876" t="str">
        <f>"1578728442067251"</f>
        <v>1578728442067251</v>
      </c>
      <c r="C876" t="s">
        <v>37</v>
      </c>
      <c r="D876">
        <v>5.9215369999999998</v>
      </c>
      <c r="E876">
        <v>0.61145079999999996</v>
      </c>
      <c r="F876" t="s">
        <v>39</v>
      </c>
      <c r="G876">
        <v>-191.41929999999999</v>
      </c>
      <c r="H876" s="1">
        <v>-3.0048489999999999E-6</v>
      </c>
      <c r="I876">
        <v>345.71319999999997</v>
      </c>
      <c r="J876">
        <v>-191.53819999999999</v>
      </c>
      <c r="K876">
        <v>1.091102</v>
      </c>
      <c r="L876">
        <v>353.78870000000001</v>
      </c>
      <c r="M876">
        <v>0.47369749999999999</v>
      </c>
      <c r="N876">
        <v>0</v>
      </c>
      <c r="O876">
        <v>-0.88051599999999997</v>
      </c>
      <c r="P876">
        <v>0.31168790000000002</v>
      </c>
      <c r="Q876">
        <v>5.2532080000000002E-2</v>
      </c>
      <c r="R876">
        <v>-0.94873149999999995</v>
      </c>
      <c r="S876">
        <v>0.1010437</v>
      </c>
      <c r="T876">
        <v>-0.41340640000000001</v>
      </c>
      <c r="U876">
        <v>-3.1628419999999999</v>
      </c>
      <c r="V876">
        <v>0.1779975</v>
      </c>
      <c r="W876">
        <v>6.1542050000000001E-2</v>
      </c>
      <c r="X876">
        <v>0.98210459999999999</v>
      </c>
      <c r="Y876">
        <v>0.44536350000000002</v>
      </c>
      <c r="Z876">
        <v>9.9720950000000003E-2</v>
      </c>
      <c r="AA876">
        <v>0.88977929999999905</v>
      </c>
      <c r="AB876">
        <v>41</v>
      </c>
      <c r="AC876">
        <v>0.118899999999996</v>
      </c>
      <c r="AD876">
        <v>-1.0911050048490001</v>
      </c>
      <c r="AE876">
        <v>-8.0755000000000301</v>
      </c>
      <c r="AF876">
        <v>3.6545126478096299</v>
      </c>
      <c r="AG876">
        <v>-1.0911050048490001</v>
      </c>
      <c r="AH876">
        <v>7.0395304964005403</v>
      </c>
      <c r="AI876">
        <v>97.832681576212806</v>
      </c>
      <c r="AJ876">
        <v>62.564299375322904</v>
      </c>
      <c r="AK876">
        <v>8.0063076654822805</v>
      </c>
    </row>
    <row r="877" spans="1:37" x14ac:dyDescent="0.2">
      <c r="A877" t="str">
        <f>"20200111154042091"</f>
        <v>20200111154042091</v>
      </c>
      <c r="B877" t="str">
        <f>"1578728442086772"</f>
        <v>1578728442086772</v>
      </c>
      <c r="C877" t="s">
        <v>37</v>
      </c>
      <c r="D877">
        <v>5.8622899999999998</v>
      </c>
      <c r="E877">
        <v>0.61073049999999995</v>
      </c>
      <c r="F877" t="s">
        <v>39</v>
      </c>
      <c r="G877">
        <v>-191.31229999999999</v>
      </c>
      <c r="H877" s="1">
        <v>-2.89292E-6</v>
      </c>
      <c r="I877">
        <v>345.51870000000002</v>
      </c>
      <c r="J877">
        <v>-191.39859999999999</v>
      </c>
      <c r="K877">
        <v>1.0911139999999999</v>
      </c>
      <c r="L877">
        <v>353.524</v>
      </c>
      <c r="M877">
        <v>0.46280879999999902</v>
      </c>
      <c r="N877">
        <v>0</v>
      </c>
      <c r="O877">
        <v>-0.88628719999999905</v>
      </c>
      <c r="P877">
        <v>0.30195050000000001</v>
      </c>
      <c r="Q877">
        <v>5.2363529999999998E-2</v>
      </c>
      <c r="R877">
        <v>-0.95188419999999896</v>
      </c>
      <c r="S877">
        <v>8.6227419999999999E-2</v>
      </c>
      <c r="T877">
        <v>-0.416500599999999</v>
      </c>
      <c r="U877">
        <v>-3.15686</v>
      </c>
      <c r="V877">
        <v>0.17595179999999999</v>
      </c>
      <c r="W877">
        <v>6.1473510000000002E-2</v>
      </c>
      <c r="X877">
        <v>0.9824775</v>
      </c>
      <c r="Y877">
        <v>0.43844849999999902</v>
      </c>
      <c r="Z877">
        <v>0.101988699999999</v>
      </c>
      <c r="AA877">
        <v>0.89295079999999905</v>
      </c>
      <c r="AB877">
        <v>41</v>
      </c>
      <c r="AC877">
        <v>8.6299999999994201E-2</v>
      </c>
      <c r="AD877">
        <v>-1.0911168929199999</v>
      </c>
      <c r="AE877">
        <v>-8.0052999999999699</v>
      </c>
      <c r="AF877">
        <v>3.5628062082388601</v>
      </c>
      <c r="AG877">
        <v>-1.0911168929199999</v>
      </c>
      <c r="AH877">
        <v>7.0058799290095601</v>
      </c>
      <c r="AI877">
        <v>97.903461964365206</v>
      </c>
      <c r="AJ877">
        <v>63.044608598174001</v>
      </c>
      <c r="AK877">
        <v>7.9351419477649996</v>
      </c>
    </row>
    <row r="878" spans="1:37" x14ac:dyDescent="0.2">
      <c r="A878" t="str">
        <f>"20200111154042106"</f>
        <v>20200111154042106</v>
      </c>
      <c r="B878" t="str">
        <f>"1578728442097507"</f>
        <v>1578728442097507</v>
      </c>
      <c r="C878" t="s">
        <v>37</v>
      </c>
      <c r="D878">
        <v>5.9566049999999997</v>
      </c>
      <c r="E878">
        <v>0.61040869999999903</v>
      </c>
      <c r="F878" t="s">
        <v>39</v>
      </c>
      <c r="G878">
        <v>-191.23939999999999</v>
      </c>
      <c r="H878" s="1">
        <v>-2.6938599999999902E-6</v>
      </c>
      <c r="I878">
        <v>345.09989999999999</v>
      </c>
      <c r="J878">
        <v>-191.27529999999999</v>
      </c>
      <c r="K878">
        <v>1.0911249999999999</v>
      </c>
      <c r="L878">
        <v>353.28410000000002</v>
      </c>
      <c r="M878">
        <v>0.4529067</v>
      </c>
      <c r="N878">
        <v>0</v>
      </c>
      <c r="O878">
        <v>-0.89138830000000002</v>
      </c>
      <c r="P878">
        <v>0.29245470000000001</v>
      </c>
      <c r="Q878">
        <v>5.2729760000000001E-2</v>
      </c>
      <c r="R878">
        <v>-0.95482469999999997</v>
      </c>
      <c r="S878">
        <v>5.960083E-2</v>
      </c>
      <c r="T878">
        <v>-0.40866459999999999</v>
      </c>
      <c r="U878">
        <v>-3.1551819999999999</v>
      </c>
      <c r="V878">
        <v>0.1747997</v>
      </c>
      <c r="W878">
        <v>6.1895659999999998E-2</v>
      </c>
      <c r="X878">
        <v>0.98265659999999899</v>
      </c>
      <c r="Y878">
        <v>0.4359653</v>
      </c>
      <c r="Z878">
        <v>0.10120169999999901</v>
      </c>
      <c r="AA878">
        <v>0.89425529999999998</v>
      </c>
      <c r="AB878">
        <v>41</v>
      </c>
      <c r="AC878">
        <v>3.5899999999998003E-2</v>
      </c>
      <c r="AD878">
        <v>-1.0911276938600001</v>
      </c>
      <c r="AE878">
        <v>-8.1842000000000308</v>
      </c>
      <c r="AF878">
        <v>3.6110503761860602</v>
      </c>
      <c r="AG878">
        <v>-1.0911276938600001</v>
      </c>
      <c r="AH878">
        <v>7.1849583399442301</v>
      </c>
      <c r="AI878">
        <v>97.727249006227893</v>
      </c>
      <c r="AJ878">
        <v>63.31659587563</v>
      </c>
      <c r="AK878">
        <v>8.1150397910543806</v>
      </c>
    </row>
    <row r="879" spans="1:37" x14ac:dyDescent="0.2">
      <c r="A879" t="str">
        <f>"20200111154042127"</f>
        <v>20200111154042127</v>
      </c>
      <c r="B879" t="str">
        <f>"1578728442117026"</f>
        <v>1578728442117026</v>
      </c>
      <c r="C879" t="s">
        <v>37</v>
      </c>
      <c r="D879">
        <v>5.9379080000000002</v>
      </c>
      <c r="E879">
        <v>0.60854049999999904</v>
      </c>
      <c r="F879" t="s">
        <v>39</v>
      </c>
      <c r="G879">
        <v>-191.19550000000001</v>
      </c>
      <c r="H879" s="1">
        <v>-2.62649299999999E-6</v>
      </c>
      <c r="I879">
        <v>344.9701</v>
      </c>
      <c r="J879">
        <v>-191.10310000000001</v>
      </c>
      <c r="K879">
        <v>1.091135</v>
      </c>
      <c r="L879">
        <v>352.93619999999999</v>
      </c>
      <c r="M879">
        <v>0.43850810000000001</v>
      </c>
      <c r="N879">
        <v>0</v>
      </c>
      <c r="O879">
        <v>-0.898559</v>
      </c>
      <c r="P879">
        <v>0.27926469999999998</v>
      </c>
      <c r="Q879">
        <v>5.3688720000000002E-2</v>
      </c>
      <c r="R879">
        <v>-0.95871219999999902</v>
      </c>
      <c r="S879">
        <v>3.0288700000000002E-2</v>
      </c>
      <c r="T879">
        <v>-0.41413309999999998</v>
      </c>
      <c r="U879">
        <v>-3.155548</v>
      </c>
      <c r="V879">
        <v>0.1725573</v>
      </c>
      <c r="W879">
        <v>6.2963130000000006E-2</v>
      </c>
      <c r="X879">
        <v>0.98298509999999995</v>
      </c>
      <c r="Y879">
        <v>0.42979449999999902</v>
      </c>
      <c r="Z879">
        <v>0.1041007</v>
      </c>
      <c r="AA879">
        <v>0.89690569999999903</v>
      </c>
      <c r="AB879">
        <v>41</v>
      </c>
      <c r="AC879">
        <v>-9.2399999999997803E-2</v>
      </c>
      <c r="AD879">
        <v>-1.0911376264929999</v>
      </c>
      <c r="AE879">
        <v>-7.9660999999999804</v>
      </c>
      <c r="AF879">
        <v>3.5109060188468999</v>
      </c>
      <c r="AG879">
        <v>-1.0911376264929999</v>
      </c>
      <c r="AH879">
        <v>6.9874908292777302</v>
      </c>
      <c r="AI879">
        <v>97.943349359400798</v>
      </c>
      <c r="AJ879">
        <v>63.322489112496498</v>
      </c>
      <c r="AK879">
        <v>7.8956994929116</v>
      </c>
    </row>
    <row r="880" spans="1:37" x14ac:dyDescent="0.2">
      <c r="A880" t="str">
        <f>"20200111154042149"</f>
        <v>20200111154042149</v>
      </c>
      <c r="B880" t="str">
        <f>"1578728442137522"</f>
        <v>1578728442137522</v>
      </c>
      <c r="C880" t="s">
        <v>37</v>
      </c>
      <c r="D880">
        <v>5.8609770000000001</v>
      </c>
      <c r="E880">
        <v>0.60698809999999903</v>
      </c>
      <c r="F880" t="s">
        <v>39</v>
      </c>
      <c r="G880">
        <v>-191.10059999999999</v>
      </c>
      <c r="H880" s="1">
        <v>-2.394436E-6</v>
      </c>
      <c r="I880">
        <v>344.488</v>
      </c>
      <c r="J880">
        <v>-190.93049999999999</v>
      </c>
      <c r="K880">
        <v>1.0911360000000001</v>
      </c>
      <c r="L880">
        <v>352.57229999999998</v>
      </c>
      <c r="M880">
        <v>0.42338919999999902</v>
      </c>
      <c r="N880">
        <v>0</v>
      </c>
      <c r="O880">
        <v>-0.90578119999999995</v>
      </c>
      <c r="P880">
        <v>0.265347</v>
      </c>
      <c r="Q880">
        <v>5.3540879999999999E-2</v>
      </c>
      <c r="R880">
        <v>-0.9626654</v>
      </c>
      <c r="S880">
        <v>9.4604490000000003E-4</v>
      </c>
      <c r="T880">
        <v>-0.40706569999999997</v>
      </c>
      <c r="U880">
        <v>-3.1517330000000001</v>
      </c>
      <c r="V880">
        <v>0.17032130000000001</v>
      </c>
      <c r="W880">
        <v>6.2921240000000003E-2</v>
      </c>
      <c r="X880">
        <v>0.98337759999999996</v>
      </c>
      <c r="Y880">
        <v>0.42301040000000001</v>
      </c>
      <c r="Z880">
        <v>0.10405059999999999</v>
      </c>
      <c r="AA880">
        <v>0.90013089999999996</v>
      </c>
      <c r="AB880">
        <v>41</v>
      </c>
      <c r="AC880">
        <v>-0.17009999999999001</v>
      </c>
      <c r="AD880">
        <v>-1.091138394436</v>
      </c>
      <c r="AE880">
        <v>-8.0842999999999208</v>
      </c>
      <c r="AF880">
        <v>3.5134431557279102</v>
      </c>
      <c r="AG880">
        <v>-1.091138394436</v>
      </c>
      <c r="AH880">
        <v>7.1220000923647797</v>
      </c>
      <c r="AI880">
        <v>97.823300877302302</v>
      </c>
      <c r="AJ880">
        <v>63.741837939787303</v>
      </c>
      <c r="AK880">
        <v>8.0160932579397794</v>
      </c>
    </row>
    <row r="881" spans="1:37" x14ac:dyDescent="0.2">
      <c r="A881" t="str">
        <f>"20200111154042171"</f>
        <v>20200111154042171</v>
      </c>
      <c r="B881" t="str">
        <f>"1578728442166802"</f>
        <v>1578728442166802</v>
      </c>
      <c r="C881" t="s">
        <v>37</v>
      </c>
      <c r="D881">
        <v>5.8604310000000002</v>
      </c>
      <c r="E881">
        <v>0.60475519999999905</v>
      </c>
      <c r="F881" t="s">
        <v>39</v>
      </c>
      <c r="G881">
        <v>-191.0198</v>
      </c>
      <c r="H881" s="1">
        <v>-2.205688E-6</v>
      </c>
      <c r="I881">
        <v>344.09809999999999</v>
      </c>
      <c r="J881">
        <v>-190.75819999999999</v>
      </c>
      <c r="K881">
        <v>1.091143</v>
      </c>
      <c r="L881">
        <v>352.19229999999999</v>
      </c>
      <c r="M881">
        <v>0.40754029999999902</v>
      </c>
      <c r="N881">
        <v>0</v>
      </c>
      <c r="O881">
        <v>-0.91302190000000005</v>
      </c>
      <c r="P881">
        <v>0.25039119999999998</v>
      </c>
      <c r="Q881">
        <v>5.332344E-2</v>
      </c>
      <c r="R881">
        <v>-0.96667559999999997</v>
      </c>
      <c r="S881">
        <v>-3.3157350000000002E-2</v>
      </c>
      <c r="T881">
        <v>-0.4053407</v>
      </c>
      <c r="U881">
        <v>-3.14800999999999</v>
      </c>
      <c r="V881">
        <v>0.16842399999999999</v>
      </c>
      <c r="W881">
        <v>6.2792749999999994E-2</v>
      </c>
      <c r="X881">
        <v>0.98371260000000005</v>
      </c>
      <c r="Y881">
        <v>0.41697339999999999</v>
      </c>
      <c r="Z881">
        <v>0.1052828</v>
      </c>
      <c r="AA881">
        <v>0.90280039999999995</v>
      </c>
      <c r="AB881">
        <v>40</v>
      </c>
      <c r="AC881">
        <v>-0.26160000000001499</v>
      </c>
      <c r="AD881">
        <v>-1.091145205688</v>
      </c>
      <c r="AE881">
        <v>-8.0942000000000007</v>
      </c>
      <c r="AF881">
        <v>3.4750092817319702</v>
      </c>
      <c r="AG881">
        <v>-1.091145205688</v>
      </c>
      <c r="AH881">
        <v>7.1547836745345696</v>
      </c>
      <c r="AI881">
        <v>97.8111601162868</v>
      </c>
      <c r="AJ881">
        <v>64.094602326073002</v>
      </c>
      <c r="AK881">
        <v>8.0285251944180693</v>
      </c>
    </row>
    <row r="882" spans="1:37" x14ac:dyDescent="0.2">
      <c r="A882" t="str">
        <f>"20200111154042194"</f>
        <v>20200111154042194</v>
      </c>
      <c r="B882" t="str">
        <f>"1578728442187299"</f>
        <v>1578728442187299</v>
      </c>
      <c r="C882" t="s">
        <v>37</v>
      </c>
      <c r="D882">
        <v>5.8500160000000001</v>
      </c>
      <c r="E882">
        <v>0.60297060000000002</v>
      </c>
      <c r="F882" t="s">
        <v>39</v>
      </c>
      <c r="G882">
        <v>-190.93190000000001</v>
      </c>
      <c r="H882" s="1">
        <v>-2.0109370000000001E-6</v>
      </c>
      <c r="I882">
        <v>343.69869999999997</v>
      </c>
      <c r="J882">
        <v>-190.59520000000001</v>
      </c>
      <c r="K882">
        <v>1.0911459999999999</v>
      </c>
      <c r="L882">
        <v>351.8159</v>
      </c>
      <c r="M882">
        <v>0.39178000000000002</v>
      </c>
      <c r="N882">
        <v>0</v>
      </c>
      <c r="O882">
        <v>-0.91989480000000001</v>
      </c>
      <c r="P882">
        <v>0.23635700000000001</v>
      </c>
      <c r="Q882">
        <v>5.3232799999999997E-2</v>
      </c>
      <c r="R882">
        <v>-0.97020699999999904</v>
      </c>
      <c r="S882">
        <v>-6.4254759999999994E-2</v>
      </c>
      <c r="T882">
        <v>-0.40367979999999998</v>
      </c>
      <c r="U882">
        <v>-3.1423030000000001</v>
      </c>
      <c r="V882">
        <v>0.1657602</v>
      </c>
      <c r="W882">
        <v>6.2827499999999994E-2</v>
      </c>
      <c r="X882">
        <v>0.98416269999999995</v>
      </c>
      <c r="Y882">
        <v>0.41029349999999998</v>
      </c>
      <c r="Z882">
        <v>0.1065318</v>
      </c>
      <c r="AA882">
        <v>0.90570980000000001</v>
      </c>
      <c r="AB882">
        <v>40</v>
      </c>
      <c r="AC882">
        <v>-0.33670000000000699</v>
      </c>
      <c r="AD882">
        <v>-1.091148010937</v>
      </c>
      <c r="AE882">
        <v>-8.11720000000002</v>
      </c>
      <c r="AF882">
        <v>3.4285649838032501</v>
      </c>
      <c r="AG882">
        <v>-1.091148010937</v>
      </c>
      <c r="AH882">
        <v>7.2061746248991598</v>
      </c>
      <c r="AI882">
        <v>97.785855208690094</v>
      </c>
      <c r="AJ882">
        <v>64.555756560844699</v>
      </c>
      <c r="AK882">
        <v>8.0544779194230909</v>
      </c>
    </row>
    <row r="883" spans="1:37" x14ac:dyDescent="0.2">
      <c r="A883" t="str">
        <f>"20200111154042216"</f>
        <v>20200111154042216</v>
      </c>
      <c r="B883" t="str">
        <f>"1578728442206819"</f>
        <v>1578728442206819</v>
      </c>
      <c r="C883" t="s">
        <v>37</v>
      </c>
      <c r="D883">
        <v>5.8407879999999999</v>
      </c>
      <c r="E883">
        <v>0.58769490000000002</v>
      </c>
      <c r="F883" t="s">
        <v>39</v>
      </c>
      <c r="G883">
        <v>-190.85669999999999</v>
      </c>
      <c r="H883" s="1">
        <v>-1.8462509999999999E-6</v>
      </c>
      <c r="I883">
        <v>343.3614</v>
      </c>
      <c r="J883">
        <v>-190.44099999999901</v>
      </c>
      <c r="K883">
        <v>1.091148</v>
      </c>
      <c r="L883">
        <v>351.44209999999998</v>
      </c>
      <c r="M883">
        <v>0.37607669999999999</v>
      </c>
      <c r="N883">
        <v>0</v>
      </c>
      <c r="O883">
        <v>-0.92642569999999902</v>
      </c>
      <c r="P883">
        <v>0.2233607</v>
      </c>
      <c r="Q883">
        <v>5.2971829999999998E-2</v>
      </c>
      <c r="R883">
        <v>-0.97329560000000004</v>
      </c>
      <c r="S883">
        <v>-9.7045899999999893E-2</v>
      </c>
      <c r="T883">
        <v>-0.40499990000000002</v>
      </c>
      <c r="U883">
        <v>-3.1380309999999998</v>
      </c>
      <c r="V883">
        <v>0.1621744</v>
      </c>
      <c r="W883">
        <v>6.2735180000000001E-2</v>
      </c>
      <c r="X883">
        <v>0.98476580000000002</v>
      </c>
      <c r="Y883">
        <v>0.40426119999999999</v>
      </c>
      <c r="Z883">
        <v>0.1084188</v>
      </c>
      <c r="AA883">
        <v>0.90819499999999997</v>
      </c>
      <c r="AB883">
        <v>40</v>
      </c>
      <c r="AC883">
        <v>-0.415700000000015</v>
      </c>
      <c r="AD883">
        <v>-1.0911498462510001</v>
      </c>
      <c r="AE883">
        <v>-8.08069999999997</v>
      </c>
      <c r="AF883">
        <v>3.3634295251208801</v>
      </c>
      <c r="AG883">
        <v>-1.0911498462510001</v>
      </c>
      <c r="AH883">
        <v>7.2000041641212702</v>
      </c>
      <c r="AI883">
        <v>97.818146764153695</v>
      </c>
      <c r="AJ883">
        <v>64.960712585854694</v>
      </c>
      <c r="AK883">
        <v>8.0214291819346109</v>
      </c>
    </row>
    <row r="884" spans="1:37" x14ac:dyDescent="0.2">
      <c r="A884" t="str">
        <f>"20200111154042239"</f>
        <v>20200111154042239</v>
      </c>
      <c r="B884" t="str">
        <f>"1578728442227314"</f>
        <v>1578728442227314</v>
      </c>
      <c r="C884" t="s">
        <v>37</v>
      </c>
      <c r="D884">
        <v>5.8340129999999997</v>
      </c>
      <c r="E884">
        <v>0.58583640000000003</v>
      </c>
      <c r="F884" t="s">
        <v>39</v>
      </c>
      <c r="G884">
        <v>-190.49760000000001</v>
      </c>
      <c r="H884" s="1">
        <v>-1.782242E-6</v>
      </c>
      <c r="I884">
        <v>343.43490000000003</v>
      </c>
      <c r="J884">
        <v>-190.28989999999999</v>
      </c>
      <c r="K884">
        <v>1.091143</v>
      </c>
      <c r="L884">
        <v>351.0573</v>
      </c>
      <c r="M884">
        <v>0.35985790000000001</v>
      </c>
      <c r="N884">
        <v>0</v>
      </c>
      <c r="O884">
        <v>-0.93284549999999999</v>
      </c>
      <c r="P884">
        <v>0.2087405</v>
      </c>
      <c r="Q884">
        <v>5.2995920000000002E-2</v>
      </c>
      <c r="R884">
        <v>-0.97653449999999997</v>
      </c>
      <c r="S884">
        <v>-2.1987920000000001E-2</v>
      </c>
      <c r="T884">
        <v>-0.42385980000000001</v>
      </c>
      <c r="U884">
        <v>-3.1104129999999999</v>
      </c>
      <c r="V884">
        <v>0.15976199999999999</v>
      </c>
      <c r="W884">
        <v>6.2869369999999994E-2</v>
      </c>
      <c r="X884">
        <v>0.98515149999999996</v>
      </c>
      <c r="Y884">
        <v>0.36632759999999998</v>
      </c>
      <c r="Z884">
        <v>0.1167898</v>
      </c>
      <c r="AA884">
        <v>0.92312739999999904</v>
      </c>
      <c r="AB884">
        <v>40</v>
      </c>
      <c r="AC884">
        <v>-0.20770000000001601</v>
      </c>
      <c r="AD884">
        <v>-1.091144782242</v>
      </c>
      <c r="AE884">
        <v>-7.6223999999999696</v>
      </c>
      <c r="AF884">
        <v>2.87823907524194</v>
      </c>
      <c r="AG884">
        <v>-1.091144782242</v>
      </c>
      <c r="AH884">
        <v>6.8956405335999804</v>
      </c>
      <c r="AI884">
        <v>98.307998277069203</v>
      </c>
      <c r="AJ884">
        <v>67.344352070898594</v>
      </c>
      <c r="AK884">
        <v>7.5514710804379401</v>
      </c>
    </row>
    <row r="885" spans="1:37" x14ac:dyDescent="0.2">
      <c r="A885" t="str">
        <f>"20200111154042253"</f>
        <v>20200111154042253</v>
      </c>
      <c r="B885" t="str">
        <f>"1578728442246834"</f>
        <v>1578728442246834</v>
      </c>
      <c r="C885" t="s">
        <v>37</v>
      </c>
      <c r="D885">
        <v>5.8716290000000004</v>
      </c>
      <c r="E885">
        <v>0.58376430000000001</v>
      </c>
      <c r="F885" t="s">
        <v>39</v>
      </c>
      <c r="G885">
        <v>-190.42869999999999</v>
      </c>
      <c r="H885" s="1">
        <v>-1.580856E-6</v>
      </c>
      <c r="I885">
        <v>343.00819999999999</v>
      </c>
      <c r="J885">
        <v>-190.19759999999999</v>
      </c>
      <c r="K885">
        <v>1.0911439999999999</v>
      </c>
      <c r="L885">
        <v>350.8109</v>
      </c>
      <c r="M885">
        <v>0.34945229999999999</v>
      </c>
      <c r="N885">
        <v>0</v>
      </c>
      <c r="O885">
        <v>-0.93679330000000005</v>
      </c>
      <c r="P885">
        <v>0.19899910000000001</v>
      </c>
      <c r="Q885">
        <v>5.2651450000000002E-2</v>
      </c>
      <c r="R885">
        <v>-0.97858449999999997</v>
      </c>
      <c r="S885">
        <v>-5.3588869999999997E-2</v>
      </c>
      <c r="T885">
        <v>-0.42111520000000002</v>
      </c>
      <c r="U885">
        <v>-3.1064449999999999</v>
      </c>
      <c r="V885">
        <v>0.15860369999999999</v>
      </c>
      <c r="W885">
        <v>6.2575270000000002E-2</v>
      </c>
      <c r="X885">
        <v>0.98535740000000005</v>
      </c>
      <c r="Y885">
        <v>0.36537379999999903</v>
      </c>
      <c r="Z885">
        <v>0.11699560000000001</v>
      </c>
      <c r="AA885">
        <v>0.9234793</v>
      </c>
      <c r="AB885">
        <v>40</v>
      </c>
      <c r="AC885">
        <v>-0.231099999999997</v>
      </c>
      <c r="AD885">
        <v>-1.091145580856</v>
      </c>
      <c r="AE885">
        <v>-7.8027000000000104</v>
      </c>
      <c r="AF885">
        <v>2.8871960903644598</v>
      </c>
      <c r="AG885">
        <v>-1.091145580856</v>
      </c>
      <c r="AH885">
        <v>7.0912939075965502</v>
      </c>
      <c r="AI885">
        <v>98.110715227469498</v>
      </c>
      <c r="AJ885">
        <v>67.846472094256697</v>
      </c>
      <c r="AK885">
        <v>7.7338831919517199</v>
      </c>
    </row>
    <row r="886" spans="1:37" x14ac:dyDescent="0.2">
      <c r="A886" t="str">
        <f>"20200111154042271"</f>
        <v>20200111154042271</v>
      </c>
      <c r="B886" t="str">
        <f>"1578728442267330"</f>
        <v>1578728442267330</v>
      </c>
      <c r="C886" t="s">
        <v>37</v>
      </c>
      <c r="D886">
        <v>5.5803209999999996</v>
      </c>
      <c r="E886">
        <v>0.58918389999999998</v>
      </c>
      <c r="F886" t="s">
        <v>39</v>
      </c>
      <c r="G886">
        <v>-190.37209999999999</v>
      </c>
      <c r="H886" s="1">
        <v>-1.499959E-6</v>
      </c>
      <c r="I886">
        <v>342.85469999999998</v>
      </c>
      <c r="J886">
        <v>-190.08690000000001</v>
      </c>
      <c r="K886">
        <v>1.091148</v>
      </c>
      <c r="L886">
        <v>350.50459999999998</v>
      </c>
      <c r="M886">
        <v>0.33648459999999902</v>
      </c>
      <c r="N886">
        <v>0</v>
      </c>
      <c r="O886">
        <v>-0.94152909999999901</v>
      </c>
      <c r="P886">
        <v>0.18814539999999999</v>
      </c>
      <c r="Q886">
        <v>5.183169E-2</v>
      </c>
      <c r="R886">
        <v>-0.98077269999999905</v>
      </c>
      <c r="S886">
        <v>-6.8069459999999998E-2</v>
      </c>
      <c r="T886">
        <v>-0.42547390000000002</v>
      </c>
      <c r="U886">
        <v>-3.1023860000000001</v>
      </c>
      <c r="V886">
        <v>0.15589129999999901</v>
      </c>
      <c r="W886">
        <v>6.1878530000000001E-2</v>
      </c>
      <c r="X886">
        <v>0.98583410000000005</v>
      </c>
      <c r="Y886">
        <v>0.35683749999999997</v>
      </c>
      <c r="Z886">
        <v>0.11951639999999999</v>
      </c>
      <c r="AA886">
        <v>0.92648949999999997</v>
      </c>
      <c r="AB886">
        <v>40</v>
      </c>
      <c r="AC886">
        <v>-0.28519999999997397</v>
      </c>
      <c r="AD886">
        <v>-1.0911494999589999</v>
      </c>
      <c r="AE886">
        <v>-7.6498999999999997</v>
      </c>
      <c r="AF886">
        <v>2.78641481027877</v>
      </c>
      <c r="AG886">
        <v>-1.0911494999589999</v>
      </c>
      <c r="AH886">
        <v>6.9661781325616303</v>
      </c>
      <c r="AI886">
        <v>98.274663986543899</v>
      </c>
      <c r="AJ886">
        <v>68.198990715795404</v>
      </c>
      <c r="AK886">
        <v>7.5817117131147604</v>
      </c>
    </row>
    <row r="887" spans="1:37" x14ac:dyDescent="0.2">
      <c r="A887" t="str">
        <f>"20200111154042294"</f>
        <v>20200111154042294</v>
      </c>
      <c r="B887" t="str">
        <f>"1578728442286851"</f>
        <v>1578728442286851</v>
      </c>
      <c r="C887" t="s">
        <v>37</v>
      </c>
      <c r="D887">
        <v>5.7623579999999999</v>
      </c>
      <c r="E887">
        <v>0.59122540000000001</v>
      </c>
      <c r="F887" t="s">
        <v>39</v>
      </c>
      <c r="G887">
        <v>-190.52279999999999</v>
      </c>
      <c r="H887" s="1">
        <v>-7.8782019999999895E-7</v>
      </c>
      <c r="I887">
        <v>341.10129999999998</v>
      </c>
      <c r="J887">
        <v>-189.9453</v>
      </c>
      <c r="K887">
        <v>1.0911500000000001</v>
      </c>
      <c r="L887">
        <v>350.09190000000001</v>
      </c>
      <c r="M887">
        <v>0.318974599999999</v>
      </c>
      <c r="N887">
        <v>0</v>
      </c>
      <c r="O887">
        <v>-0.94760480000000002</v>
      </c>
      <c r="P887">
        <v>0.174152</v>
      </c>
      <c r="Q887">
        <v>5.131579E-2</v>
      </c>
      <c r="R887">
        <v>-0.98338099999999995</v>
      </c>
      <c r="S887">
        <v>-0.1439819</v>
      </c>
      <c r="T887">
        <v>-0.36035289999999998</v>
      </c>
      <c r="U887">
        <v>-3.1054689999999998</v>
      </c>
      <c r="V887">
        <v>0.1516468</v>
      </c>
      <c r="W887">
        <v>6.1553009999999998E-2</v>
      </c>
      <c r="X887">
        <v>0.98651639999999996</v>
      </c>
      <c r="Y887">
        <v>0.36224440000000002</v>
      </c>
      <c r="Z887">
        <v>0.10225620000000001</v>
      </c>
      <c r="AA887">
        <v>0.92645699999999997</v>
      </c>
      <c r="AB887">
        <v>40</v>
      </c>
      <c r="AC887">
        <v>-0.57749999999998602</v>
      </c>
      <c r="AD887">
        <v>-1.09115078782019</v>
      </c>
      <c r="AE887">
        <v>-8.9906000000000201</v>
      </c>
      <c r="AF887">
        <v>3.3661493319263398</v>
      </c>
      <c r="AG887">
        <v>-1.09115078782019</v>
      </c>
      <c r="AH887">
        <v>8.2160575988197593</v>
      </c>
      <c r="AI887">
        <v>97.0061094040569</v>
      </c>
      <c r="AJ887">
        <v>67.720905185213795</v>
      </c>
      <c r="AK887">
        <v>8.9456790593958093</v>
      </c>
    </row>
    <row r="888" spans="1:37" x14ac:dyDescent="0.2">
      <c r="A888" t="str">
        <f>"20200111154042317"</f>
        <v>20200111154042317</v>
      </c>
      <c r="B888" t="str">
        <f>"1578728442307346"</f>
        <v>1578728442307346</v>
      </c>
      <c r="C888" t="s">
        <v>37</v>
      </c>
      <c r="D888">
        <v>5.8034660000000002</v>
      </c>
      <c r="E888">
        <v>0.59299769999999996</v>
      </c>
      <c r="F888" t="s">
        <v>39</v>
      </c>
      <c r="G888">
        <v>-190.61</v>
      </c>
      <c r="H888" s="1">
        <v>-3.521093E-7</v>
      </c>
      <c r="I888">
        <v>340.03160000000003</v>
      </c>
      <c r="J888">
        <v>-189.82409999999999</v>
      </c>
      <c r="K888">
        <v>1.0911549999999901</v>
      </c>
      <c r="L888">
        <v>349.71710000000002</v>
      </c>
      <c r="M888">
        <v>0.30303219999999997</v>
      </c>
      <c r="N888">
        <v>0</v>
      </c>
      <c r="O888">
        <v>-0.95282289999999903</v>
      </c>
      <c r="P888">
        <v>0.16196350000000001</v>
      </c>
      <c r="Q888">
        <v>5.1477490000000001E-2</v>
      </c>
      <c r="R888">
        <v>-0.98545329999999998</v>
      </c>
      <c r="S888">
        <v>-0.2051239</v>
      </c>
      <c r="T888">
        <v>-0.33673069999999999</v>
      </c>
      <c r="U888">
        <v>-3.1046450000000001</v>
      </c>
      <c r="V888">
        <v>0.14731240000000001</v>
      </c>
      <c r="W888">
        <v>6.190756E-2</v>
      </c>
      <c r="X888">
        <v>0.98715069999999905</v>
      </c>
      <c r="Y888">
        <v>0.36486000000000002</v>
      </c>
      <c r="Z888">
        <v>9.6385620000000005E-2</v>
      </c>
      <c r="AA888">
        <v>0.92605999999999999</v>
      </c>
      <c r="AB888">
        <v>40</v>
      </c>
      <c r="AC888">
        <v>-0.78590000000002602</v>
      </c>
      <c r="AD888">
        <v>-1.09115535210929</v>
      </c>
      <c r="AE888">
        <v>-9.6854999999999905</v>
      </c>
      <c r="AF888">
        <v>3.6385167142978201</v>
      </c>
      <c r="AG888">
        <v>-1.09115535210929</v>
      </c>
      <c r="AH888">
        <v>8.8797971363427592</v>
      </c>
      <c r="AI888">
        <v>96.486981706151298</v>
      </c>
      <c r="AJ888">
        <v>67.718524918869306</v>
      </c>
      <c r="AK888">
        <v>9.6581686185975499</v>
      </c>
    </row>
    <row r="889" spans="1:37" x14ac:dyDescent="0.2">
      <c r="A889" t="str">
        <f>"20200111154042339"</f>
        <v>20200111154042339</v>
      </c>
      <c r="B889" t="str">
        <f>"1578728442326866"</f>
        <v>1578728442326866</v>
      </c>
      <c r="C889" t="s">
        <v>37</v>
      </c>
      <c r="D889">
        <v>5.5696890000000003</v>
      </c>
      <c r="E889">
        <v>0.59600690000000001</v>
      </c>
      <c r="F889" t="s">
        <v>39</v>
      </c>
      <c r="G889">
        <v>-191.15260000000001</v>
      </c>
      <c r="H889" s="1">
        <v>-2.0154269999999999E-6</v>
      </c>
      <c r="I889">
        <v>333.57229999999998</v>
      </c>
      <c r="J889">
        <v>-189.70480000000001</v>
      </c>
      <c r="K889">
        <v>1.0911599999999999</v>
      </c>
      <c r="L889">
        <v>349.32510000000002</v>
      </c>
      <c r="M889">
        <v>0.28633130000000001</v>
      </c>
      <c r="N889">
        <v>0</v>
      </c>
      <c r="O889">
        <v>-0.95797459999999901</v>
      </c>
      <c r="P889">
        <v>0.1493476</v>
      </c>
      <c r="Q889">
        <v>5.1903350000000001E-2</v>
      </c>
      <c r="R889">
        <v>-0.98742160000000001</v>
      </c>
      <c r="S889">
        <v>-0.25485229999999998</v>
      </c>
      <c r="T889">
        <v>-0.20932379999999901</v>
      </c>
      <c r="U889">
        <v>-3.0971679999999999</v>
      </c>
      <c r="V889">
        <v>0.1426916</v>
      </c>
      <c r="W889">
        <v>6.2536240000000007E-2</v>
      </c>
      <c r="X889">
        <v>0.98778960000000005</v>
      </c>
      <c r="Y889">
        <v>0.36380269999999998</v>
      </c>
      <c r="Z889">
        <v>6.076815E-2</v>
      </c>
      <c r="AA889">
        <v>0.92949169999999903</v>
      </c>
      <c r="AB889">
        <v>40</v>
      </c>
      <c r="AC889">
        <v>-1.4478</v>
      </c>
      <c r="AD889">
        <v>-1.0911620154270001</v>
      </c>
      <c r="AE889">
        <v>-15.752800000000001</v>
      </c>
      <c r="AF889">
        <v>5.8704267983752896</v>
      </c>
      <c r="AG889">
        <v>-1.0911620154270001</v>
      </c>
      <c r="AH889">
        <v>14.608919883858499</v>
      </c>
      <c r="AI889">
        <v>93.964560834032795</v>
      </c>
      <c r="AJ889">
        <v>68.107838084441596</v>
      </c>
      <c r="AK889">
        <v>15.782049471218601</v>
      </c>
    </row>
    <row r="890" spans="1:37" x14ac:dyDescent="0.2">
      <c r="A890" t="str">
        <f>"20200111154042363"</f>
        <v>20200111154042363</v>
      </c>
      <c r="B890" t="str">
        <f>"1578728442357122"</f>
        <v>1578728442357122</v>
      </c>
      <c r="C890" t="s">
        <v>37</v>
      </c>
      <c r="D890">
        <v>5.7689349999999999</v>
      </c>
      <c r="E890">
        <v>0.59285410000000005</v>
      </c>
      <c r="F890" t="s">
        <v>39</v>
      </c>
      <c r="G890">
        <v>-191.50659999999999</v>
      </c>
      <c r="H890" s="1">
        <v>-1.354781E-6</v>
      </c>
      <c r="I890">
        <v>331.81270000000001</v>
      </c>
      <c r="J890">
        <v>-189.58629999999999</v>
      </c>
      <c r="K890">
        <v>1.091172</v>
      </c>
      <c r="L890">
        <v>348.90969999999999</v>
      </c>
      <c r="M890">
        <v>0.26860709999999999</v>
      </c>
      <c r="N890">
        <v>0</v>
      </c>
      <c r="O890">
        <v>-0.96309509999999898</v>
      </c>
      <c r="P890">
        <v>0.13659569999999999</v>
      </c>
      <c r="Q890">
        <v>5.2369449999999998E-2</v>
      </c>
      <c r="R890">
        <v>-0.98924190000000001</v>
      </c>
      <c r="S890">
        <v>-0.31860349999999998</v>
      </c>
      <c r="T890">
        <v>-0.1929401</v>
      </c>
      <c r="U890">
        <v>-3.0965579999999999</v>
      </c>
      <c r="V890">
        <v>0.1372197</v>
      </c>
      <c r="W890">
        <v>6.3241519999999996E-2</v>
      </c>
      <c r="X890">
        <v>0.9885197</v>
      </c>
      <c r="Y890">
        <v>0.36563590000000001</v>
      </c>
      <c r="Z890">
        <v>5.6442069999999997E-2</v>
      </c>
      <c r="AA890">
        <v>0.92904509999999996</v>
      </c>
      <c r="AB890">
        <v>40</v>
      </c>
      <c r="AC890">
        <v>-1.9202999999999899</v>
      </c>
      <c r="AD890">
        <v>-1.0911733547810001</v>
      </c>
      <c r="AE890">
        <v>-17.096999999999898</v>
      </c>
      <c r="AF890">
        <v>6.4169547033455903</v>
      </c>
      <c r="AG890">
        <v>-1.0911733547810001</v>
      </c>
      <c r="AH890">
        <v>15.888694933287701</v>
      </c>
      <c r="AI890">
        <v>93.643608516041894</v>
      </c>
      <c r="AJ890">
        <v>68.007734207072104</v>
      </c>
      <c r="AK890">
        <v>17.170282281839601</v>
      </c>
    </row>
    <row r="891" spans="1:37" x14ac:dyDescent="0.2">
      <c r="A891" t="str">
        <f>"20200111154042383"</f>
        <v>20200111154042383</v>
      </c>
      <c r="B891" t="str">
        <f>"1578728442376644"</f>
        <v>1578728442376644</v>
      </c>
      <c r="C891" t="s">
        <v>37</v>
      </c>
      <c r="D891">
        <v>5.783112</v>
      </c>
      <c r="E891">
        <v>0.59224699999999997</v>
      </c>
      <c r="F891" t="s">
        <v>39</v>
      </c>
      <c r="G891">
        <v>-191.44909999999999</v>
      </c>
      <c r="H891" s="1">
        <v>-1.3010459999999999E-6</v>
      </c>
      <c r="I891">
        <v>331.72309999999999</v>
      </c>
      <c r="J891">
        <v>-189.49359999999999</v>
      </c>
      <c r="K891">
        <v>1.0911819999999901</v>
      </c>
      <c r="L891">
        <v>348.5607</v>
      </c>
      <c r="M891">
        <v>0.2537044</v>
      </c>
      <c r="N891">
        <v>0</v>
      </c>
      <c r="O891">
        <v>-0.96712799999999999</v>
      </c>
      <c r="P891">
        <v>0.1265029</v>
      </c>
      <c r="Q891">
        <v>5.3350710000000003E-2</v>
      </c>
      <c r="R891">
        <v>-0.99053069999999899</v>
      </c>
      <c r="S891">
        <v>-0.33483889999999999</v>
      </c>
      <c r="T891">
        <v>-0.19613420000000001</v>
      </c>
      <c r="U891">
        <v>-3.0892330000000001</v>
      </c>
      <c r="V891">
        <v>0.13206119999999999</v>
      </c>
      <c r="W891">
        <v>6.4446409999999996E-2</v>
      </c>
      <c r="X891">
        <v>0.98914429999999998</v>
      </c>
      <c r="Y891">
        <v>0.35629179999999999</v>
      </c>
      <c r="Z891">
        <v>5.7989930000000002E-2</v>
      </c>
      <c r="AA891">
        <v>0.93257350000000006</v>
      </c>
      <c r="AB891">
        <v>40</v>
      </c>
      <c r="AC891">
        <v>-1.9555</v>
      </c>
      <c r="AD891">
        <v>-1.0911833010459999</v>
      </c>
      <c r="AE891">
        <v>-16.837599999999998</v>
      </c>
      <c r="AF891">
        <v>6.1384713616064603</v>
      </c>
      <c r="AG891">
        <v>-1.0911833010459999</v>
      </c>
      <c r="AH891">
        <v>15.725179885247799</v>
      </c>
      <c r="AI891">
        <v>93.698477591406998</v>
      </c>
      <c r="AJ891">
        <v>68.676346357331994</v>
      </c>
      <c r="AK891">
        <v>16.916051373684901</v>
      </c>
    </row>
    <row r="892" spans="1:37" x14ac:dyDescent="0.2">
      <c r="A892" t="str">
        <f>"20200111154042409"</f>
        <v>20200111154042409</v>
      </c>
      <c r="B892" t="str">
        <f>"1578728442398000"</f>
        <v>1578728442398000</v>
      </c>
      <c r="C892" t="s">
        <v>37</v>
      </c>
      <c r="D892">
        <v>5.8138199999999998</v>
      </c>
      <c r="E892">
        <v>0.59006349999999996</v>
      </c>
      <c r="F892" t="s">
        <v>39</v>
      </c>
      <c r="G892">
        <v>-191.52430000000001</v>
      </c>
      <c r="H892" s="1">
        <v>-1.1100879999999899E-6</v>
      </c>
      <c r="I892">
        <v>331.23140000000001</v>
      </c>
      <c r="J892">
        <v>-189.38239999999999</v>
      </c>
      <c r="K892">
        <v>1.0912109999999999</v>
      </c>
      <c r="L892">
        <v>348.10750000000002</v>
      </c>
      <c r="M892">
        <v>0.23434259999999901</v>
      </c>
      <c r="N892">
        <v>0</v>
      </c>
      <c r="O892">
        <v>-0.97200209999999998</v>
      </c>
      <c r="P892">
        <v>0.111601299999999</v>
      </c>
      <c r="Q892">
        <v>5.3982179999999998E-2</v>
      </c>
      <c r="R892">
        <v>-0.9922858</v>
      </c>
      <c r="S892">
        <v>-0.36154169999999902</v>
      </c>
      <c r="T892">
        <v>-0.194274799999999</v>
      </c>
      <c r="U892">
        <v>-3.0853269999999999</v>
      </c>
      <c r="V892">
        <v>0.1271901</v>
      </c>
      <c r="W892">
        <v>6.5275310000000003E-2</v>
      </c>
      <c r="X892">
        <v>0.98972819999999995</v>
      </c>
      <c r="Y892">
        <v>0.3457112</v>
      </c>
      <c r="Z892">
        <v>5.8070579999999997E-2</v>
      </c>
      <c r="AA892">
        <v>0.93654230000000005</v>
      </c>
      <c r="AB892">
        <v>40</v>
      </c>
      <c r="AC892">
        <v>-2.1419000000000201</v>
      </c>
      <c r="AD892">
        <v>-1.0912121100879999</v>
      </c>
      <c r="AE892">
        <v>-16.876100000000001</v>
      </c>
      <c r="AF892">
        <v>6.0128715320899202</v>
      </c>
      <c r="AG892">
        <v>-1.0912121100879999</v>
      </c>
      <c r="AH892">
        <v>15.838844443872199</v>
      </c>
      <c r="AI892">
        <v>93.685305534811206</v>
      </c>
      <c r="AJ892">
        <v>69.211827404112597</v>
      </c>
      <c r="AK892">
        <v>16.976877252539701</v>
      </c>
    </row>
    <row r="893" spans="1:37" x14ac:dyDescent="0.2">
      <c r="A893" t="str">
        <f>"20200111154042430"</f>
        <v>20200111154042430</v>
      </c>
      <c r="B893" t="str">
        <f>"1578728442427279"</f>
        <v>1578728442427279</v>
      </c>
      <c r="C893" t="s">
        <v>37</v>
      </c>
      <c r="D893">
        <v>5.8136080000000003</v>
      </c>
      <c r="E893">
        <v>0.58695909999999996</v>
      </c>
      <c r="F893" t="s">
        <v>39</v>
      </c>
      <c r="G893">
        <v>-191.51740000000001</v>
      </c>
      <c r="H893" s="1">
        <v>-1.118272E-6</v>
      </c>
      <c r="I893">
        <v>331.25470000000001</v>
      </c>
      <c r="J893">
        <v>-189.29859999999999</v>
      </c>
      <c r="K893">
        <v>1.0912269999999999</v>
      </c>
      <c r="L893">
        <v>347.738</v>
      </c>
      <c r="M893">
        <v>0.21854409999999999</v>
      </c>
      <c r="N893">
        <v>0</v>
      </c>
      <c r="O893">
        <v>-0.97567610000000005</v>
      </c>
      <c r="P893">
        <v>0.1019177</v>
      </c>
      <c r="Q893">
        <v>5.2847230000000002E-2</v>
      </c>
      <c r="R893">
        <v>-0.993388099999999</v>
      </c>
      <c r="S893">
        <v>-0.38992309999999902</v>
      </c>
      <c r="T893">
        <v>-0.19929920000000001</v>
      </c>
      <c r="U893">
        <v>-3.0780029999999998</v>
      </c>
      <c r="V893">
        <v>0.12074169999999999</v>
      </c>
      <c r="W893">
        <v>6.441595E-2</v>
      </c>
      <c r="X893">
        <v>0.99059179999999902</v>
      </c>
      <c r="Y893">
        <v>0.33923439999999999</v>
      </c>
      <c r="Z893">
        <v>6.0105459999999999E-2</v>
      </c>
      <c r="AA893">
        <v>0.938779699999999</v>
      </c>
      <c r="AB893">
        <v>40</v>
      </c>
      <c r="AC893">
        <v>-2.2188000000000101</v>
      </c>
      <c r="AD893">
        <v>-1.0912281182719901</v>
      </c>
      <c r="AE893">
        <v>-16.4833</v>
      </c>
      <c r="AF893">
        <v>5.7432846745288701</v>
      </c>
      <c r="AG893">
        <v>-1.0912281182719901</v>
      </c>
      <c r="AH893">
        <v>15.532889813225401</v>
      </c>
      <c r="AI893">
        <v>93.769925395439898</v>
      </c>
      <c r="AJ893">
        <v>69.708130768293202</v>
      </c>
      <c r="AK893">
        <v>16.596588914851999</v>
      </c>
    </row>
    <row r="894" spans="1:37" x14ac:dyDescent="0.2">
      <c r="A894" t="str">
        <f>"20200111154042453"</f>
        <v>20200111154042453</v>
      </c>
      <c r="B894" t="str">
        <f>"1578728442446799"</f>
        <v>1578728442446799</v>
      </c>
      <c r="C894" t="s">
        <v>37</v>
      </c>
      <c r="D894">
        <v>5.7405980000000003</v>
      </c>
      <c r="E894">
        <v>0.55565180000000003</v>
      </c>
      <c r="F894" t="s">
        <v>39</v>
      </c>
      <c r="G894">
        <v>-191.34350000000001</v>
      </c>
      <c r="H894" s="1">
        <v>-1.337004E-6</v>
      </c>
      <c r="I894">
        <v>331.87240000000003</v>
      </c>
      <c r="J894">
        <v>-189.2159</v>
      </c>
      <c r="K894">
        <v>1.0912469999999901</v>
      </c>
      <c r="L894">
        <v>347.34230000000002</v>
      </c>
      <c r="M894">
        <v>0.20163249999999999</v>
      </c>
      <c r="N894">
        <v>0</v>
      </c>
      <c r="O894">
        <v>-0.97931170000000001</v>
      </c>
      <c r="P894">
        <v>9.324412E-2</v>
      </c>
      <c r="Q894">
        <v>5.0732560000000003E-2</v>
      </c>
      <c r="R894">
        <v>-0.99434999999999996</v>
      </c>
      <c r="S894">
        <v>-0.39593509999999998</v>
      </c>
      <c r="T894">
        <v>-0.2112802</v>
      </c>
      <c r="U894">
        <v>-3.0718380000000001</v>
      </c>
      <c r="V894">
        <v>0.1121648</v>
      </c>
      <c r="W894">
        <v>6.2674259999999996E-2</v>
      </c>
      <c r="X894">
        <v>0.99171109999999896</v>
      </c>
      <c r="Y894">
        <v>0.32493230000000001</v>
      </c>
      <c r="Z894">
        <v>6.43677E-2</v>
      </c>
      <c r="AA894">
        <v>0.9435443</v>
      </c>
      <c r="AB894">
        <v>40</v>
      </c>
      <c r="AC894">
        <v>-2.1276000000000002</v>
      </c>
      <c r="AD894">
        <v>-1.09124833700399</v>
      </c>
      <c r="AE894">
        <v>-15.4698999999999</v>
      </c>
      <c r="AF894">
        <v>5.1782920138326496</v>
      </c>
      <c r="AG894">
        <v>-1.09124833700399</v>
      </c>
      <c r="AH894">
        <v>14.651466380115901</v>
      </c>
      <c r="AI894">
        <v>94.016919432637494</v>
      </c>
      <c r="AJ894">
        <v>70.534979535354097</v>
      </c>
      <c r="AK894">
        <v>15.577900956200899</v>
      </c>
    </row>
    <row r="895" spans="1:37" x14ac:dyDescent="0.2">
      <c r="A895" t="str">
        <f>"20200111154042475"</f>
        <v>20200111154042475</v>
      </c>
      <c r="B895" t="str">
        <f>"1578728442467296"</f>
        <v>1578728442467296</v>
      </c>
      <c r="C895" t="s">
        <v>37</v>
      </c>
      <c r="D895">
        <v>5.7047790000000003</v>
      </c>
      <c r="E895">
        <v>0.55661709999999998</v>
      </c>
      <c r="F895" t="s">
        <v>39</v>
      </c>
      <c r="G895">
        <v>-190.40790000000001</v>
      </c>
      <c r="H895" s="1">
        <v>-3.03427799999999E-6</v>
      </c>
      <c r="I895">
        <v>326.40910000000002</v>
      </c>
      <c r="J895">
        <v>-189.14320000000001</v>
      </c>
      <c r="K895">
        <v>1.0912809999999999</v>
      </c>
      <c r="L895">
        <v>346.96249999999998</v>
      </c>
      <c r="M895">
        <v>0.18541479999999999</v>
      </c>
      <c r="N895">
        <v>0</v>
      </c>
      <c r="O895">
        <v>-0.98251219999999995</v>
      </c>
      <c r="P895">
        <v>9.3050969999999997E-2</v>
      </c>
      <c r="Q895">
        <v>4.8888800000000003E-2</v>
      </c>
      <c r="R895">
        <v>-0.99446029999999996</v>
      </c>
      <c r="S895">
        <v>-0.17318729999999999</v>
      </c>
      <c r="T895">
        <v>-0.15854939999999901</v>
      </c>
      <c r="U895">
        <v>-3.0414119999999998</v>
      </c>
      <c r="V895">
        <v>9.5874780000000007E-2</v>
      </c>
      <c r="W895">
        <v>6.1564399999999998E-2</v>
      </c>
      <c r="X895">
        <v>0.99348769999999997</v>
      </c>
      <c r="Y895">
        <v>0.24093100000000001</v>
      </c>
      <c r="Z895">
        <v>4.9896009999999998E-2</v>
      </c>
      <c r="AA895">
        <v>0.96925879999999998</v>
      </c>
      <c r="AB895">
        <v>39</v>
      </c>
      <c r="AC895">
        <v>-1.2646999999999999</v>
      </c>
      <c r="AD895">
        <v>-1.0912840342779999</v>
      </c>
      <c r="AE895">
        <v>-20.5533999999999</v>
      </c>
      <c r="AF895">
        <v>5.0400687067685404</v>
      </c>
      <c r="AG895">
        <v>-1.0912840342779999</v>
      </c>
      <c r="AH895">
        <v>19.906471804841601</v>
      </c>
      <c r="AI895">
        <v>93.042045983969999</v>
      </c>
      <c r="AJ895">
        <v>75.792001565344094</v>
      </c>
      <c r="AK895">
        <v>20.563579774187499</v>
      </c>
    </row>
    <row r="896" spans="1:37" x14ac:dyDescent="0.2">
      <c r="A896" t="str">
        <f>"20200111154042496"</f>
        <v>20200111154042496</v>
      </c>
      <c r="B896" t="str">
        <f>"1578728442486816"</f>
        <v>1578728442486816</v>
      </c>
      <c r="C896" t="s">
        <v>37</v>
      </c>
      <c r="D896">
        <v>5.6765040000000004</v>
      </c>
      <c r="E896">
        <v>0.55757089999999998</v>
      </c>
      <c r="F896" t="s">
        <v>39</v>
      </c>
      <c r="G896">
        <v>-190.328</v>
      </c>
      <c r="H896" s="1">
        <v>-3.3827330000000001E-6</v>
      </c>
      <c r="I896">
        <v>327.27089999999998</v>
      </c>
      <c r="J896">
        <v>-189.07560000000001</v>
      </c>
      <c r="K896">
        <v>1.091337</v>
      </c>
      <c r="L896">
        <v>346.5736</v>
      </c>
      <c r="M896">
        <v>0.16883629999999999</v>
      </c>
      <c r="N896">
        <v>0</v>
      </c>
      <c r="O896">
        <v>-0.98549730000000002</v>
      </c>
      <c r="P896">
        <v>8.37006E-2</v>
      </c>
      <c r="Q896">
        <v>5.1298570000000002E-2</v>
      </c>
      <c r="R896">
        <v>-0.99516970000000005</v>
      </c>
      <c r="S896">
        <v>-0.1830444</v>
      </c>
      <c r="T896">
        <v>-0.1685904</v>
      </c>
      <c r="U896">
        <v>-3.04211399999999</v>
      </c>
      <c r="V896">
        <v>8.8552080000000005E-2</v>
      </c>
      <c r="W896">
        <v>6.4278420000000003E-2</v>
      </c>
      <c r="X896">
        <v>0.99399539999999997</v>
      </c>
      <c r="Y896">
        <v>0.2276647</v>
      </c>
      <c r="Z896">
        <v>5.336573E-2</v>
      </c>
      <c r="AA896">
        <v>0.97227619999999904</v>
      </c>
      <c r="AB896">
        <v>39</v>
      </c>
      <c r="AC896">
        <v>-1.25239999999999</v>
      </c>
      <c r="AD896">
        <v>-1.0913403827329999</v>
      </c>
      <c r="AE896">
        <v>-19.302700000000002</v>
      </c>
      <c r="AF896">
        <v>4.4796241154430101</v>
      </c>
      <c r="AG896">
        <v>-1.0913403827329999</v>
      </c>
      <c r="AH896">
        <v>18.754332267171598</v>
      </c>
      <c r="AI896">
        <v>93.239438387585693</v>
      </c>
      <c r="AJ896">
        <v>76.566145649454697</v>
      </c>
      <c r="AK896">
        <v>19.312768699337699</v>
      </c>
    </row>
    <row r="897" spans="1:37" x14ac:dyDescent="0.2">
      <c r="A897" t="str">
        <f>"20200111154042520"</f>
        <v>20200111154042520</v>
      </c>
      <c r="B897" t="str">
        <f>"1578728442517072"</f>
        <v>1578728442517072</v>
      </c>
      <c r="C897" t="s">
        <v>37</v>
      </c>
      <c r="D897">
        <v>5.6756039999999999</v>
      </c>
      <c r="E897">
        <v>0.55811069999999996</v>
      </c>
      <c r="F897" t="s">
        <v>39</v>
      </c>
      <c r="G897">
        <v>-190.5146</v>
      </c>
      <c r="H897" s="1">
        <v>-3.1337650000000001E-6</v>
      </c>
      <c r="I897">
        <v>326.57479999999998</v>
      </c>
      <c r="J897">
        <v>-189.00880000000001</v>
      </c>
      <c r="K897">
        <v>1.091412</v>
      </c>
      <c r="L897">
        <v>346.14510000000001</v>
      </c>
      <c r="M897">
        <v>0.150608299999999</v>
      </c>
      <c r="N897">
        <v>0</v>
      </c>
      <c r="O897">
        <v>-0.98844809999999905</v>
      </c>
      <c r="P897">
        <v>7.2576790000000002E-2</v>
      </c>
      <c r="Q897">
        <v>5.2425560000000003E-2</v>
      </c>
      <c r="R897">
        <v>-0.99598430000000004</v>
      </c>
      <c r="S897">
        <v>-0.21885679999999899</v>
      </c>
      <c r="T897">
        <v>-0.1659794</v>
      </c>
      <c r="U897">
        <v>-3.0415649999999999</v>
      </c>
      <c r="V897">
        <v>8.1328650000000002E-2</v>
      </c>
      <c r="W897">
        <v>6.5694970000000005E-2</v>
      </c>
      <c r="X897">
        <v>0.99451990000000001</v>
      </c>
      <c r="Y897">
        <v>0.22108829999999999</v>
      </c>
      <c r="Z897">
        <v>5.281305E-2</v>
      </c>
      <c r="AA897">
        <v>0.97382269999999904</v>
      </c>
      <c r="AB897">
        <v>39</v>
      </c>
      <c r="AC897">
        <v>-1.50579999999999</v>
      </c>
      <c r="AD897">
        <v>-1.091415133765</v>
      </c>
      <c r="AE897">
        <v>-19.5703</v>
      </c>
      <c r="AF897">
        <v>4.4228177559460899</v>
      </c>
      <c r="AG897">
        <v>-1.091415133765</v>
      </c>
      <c r="AH897">
        <v>19.0612535908948</v>
      </c>
      <c r="AI897">
        <v>93.192451420393795</v>
      </c>
      <c r="AJ897">
        <v>76.936717771302895</v>
      </c>
      <c r="AK897">
        <v>19.598058382220501</v>
      </c>
    </row>
    <row r="898" spans="1:37" x14ac:dyDescent="0.2">
      <c r="A898" t="str">
        <f>"20200111154042539"</f>
        <v>20200111154042539</v>
      </c>
      <c r="B898" t="str">
        <f>"1578728442526831"</f>
        <v>1578728442526831</v>
      </c>
      <c r="C898" t="s">
        <v>37</v>
      </c>
      <c r="D898">
        <v>5.6525569999999998</v>
      </c>
      <c r="E898">
        <v>0.5579826</v>
      </c>
      <c r="F898" t="s">
        <v>39</v>
      </c>
      <c r="G898">
        <v>-190.67660000000001</v>
      </c>
      <c r="H898" s="1">
        <v>-3.1139099999999998E-6</v>
      </c>
      <c r="I898">
        <v>326.42809999999997</v>
      </c>
      <c r="J898">
        <v>-188.96260000000001</v>
      </c>
      <c r="K898">
        <v>1.091469</v>
      </c>
      <c r="L898">
        <v>345.80939999999998</v>
      </c>
      <c r="M898">
        <v>0.13637009999999999</v>
      </c>
      <c r="N898">
        <v>0</v>
      </c>
      <c r="O898">
        <v>-0.99051369999999905</v>
      </c>
      <c r="P898">
        <v>6.7809019999999998E-2</v>
      </c>
      <c r="Q898">
        <v>5.2961460000000002E-2</v>
      </c>
      <c r="R898">
        <v>-0.996291699999999</v>
      </c>
      <c r="S898">
        <v>-0.25711060000000002</v>
      </c>
      <c r="T898">
        <v>-0.16825779999999901</v>
      </c>
      <c r="U898">
        <v>-3.0396730000000001</v>
      </c>
      <c r="V898">
        <v>7.1783970000000002E-2</v>
      </c>
      <c r="W898">
        <v>6.6633700000000004E-2</v>
      </c>
      <c r="X898">
        <v>0.99519190000000002</v>
      </c>
      <c r="Y898">
        <v>0.21927529999999901</v>
      </c>
      <c r="Z898">
        <v>5.3725090000000003E-2</v>
      </c>
      <c r="AA898">
        <v>0.97418269999999996</v>
      </c>
      <c r="AB898">
        <v>39</v>
      </c>
      <c r="AC898">
        <v>-1.71399999999999</v>
      </c>
      <c r="AD898">
        <v>-1.0914721139100001</v>
      </c>
      <c r="AE898">
        <v>-19.3813</v>
      </c>
      <c r="AF898">
        <v>4.3277718912391903</v>
      </c>
      <c r="AG898">
        <v>-1.0914721139100001</v>
      </c>
      <c r="AH898">
        <v>18.906918126167501</v>
      </c>
      <c r="AI898">
        <v>93.220827109984199</v>
      </c>
      <c r="AJ898">
        <v>77.1071710706956</v>
      </c>
      <c r="AK898">
        <v>19.426591928273101</v>
      </c>
    </row>
    <row r="899" spans="1:37" x14ac:dyDescent="0.2">
      <c r="A899" t="str">
        <f>"20200111154042562"</f>
        <v>20200111154042562</v>
      </c>
      <c r="B899" t="str">
        <f>"1578728442557087"</f>
        <v>1578728442557087</v>
      </c>
      <c r="C899" t="s">
        <v>37</v>
      </c>
      <c r="D899">
        <v>5.6736309999999897</v>
      </c>
      <c r="E899">
        <v>0.55798859999999995</v>
      </c>
      <c r="F899" t="s">
        <v>39</v>
      </c>
      <c r="G899">
        <v>-190.7483</v>
      </c>
      <c r="H899" s="1">
        <v>-2.8777150000000002E-6</v>
      </c>
      <c r="I899">
        <v>325.832999999999</v>
      </c>
      <c r="J899">
        <v>-188.91370000000001</v>
      </c>
      <c r="K899">
        <v>1.0915459999999999</v>
      </c>
      <c r="L899">
        <v>345.4101</v>
      </c>
      <c r="M899">
        <v>0.11949709999999999</v>
      </c>
      <c r="N899">
        <v>0</v>
      </c>
      <c r="O899">
        <v>-0.99269159999999901</v>
      </c>
      <c r="P899">
        <v>5.9043869999999998E-2</v>
      </c>
      <c r="Q899">
        <v>5.453479E-2</v>
      </c>
      <c r="R899">
        <v>-0.99676450000000005</v>
      </c>
      <c r="S899">
        <v>-0.27162170000000002</v>
      </c>
      <c r="T899">
        <v>-0.1660191</v>
      </c>
      <c r="U899">
        <v>-3.038513</v>
      </c>
      <c r="V899">
        <v>6.3646309999999998E-2</v>
      </c>
      <c r="W899">
        <v>6.853099E-2</v>
      </c>
      <c r="X899">
        <v>0.99561669999999902</v>
      </c>
      <c r="Y899">
        <v>0.20730989999999999</v>
      </c>
      <c r="Z899">
        <v>5.3270850000000002E-2</v>
      </c>
      <c r="AA899">
        <v>0.97682389999999997</v>
      </c>
      <c r="AB899">
        <v>39</v>
      </c>
      <c r="AC899">
        <v>-1.83459999999999</v>
      </c>
      <c r="AD899">
        <v>-1.091548877715</v>
      </c>
      <c r="AE899">
        <v>-19.577100000000002</v>
      </c>
      <c r="AF899">
        <v>4.1484050637715404</v>
      </c>
      <c r="AG899">
        <v>-1.091548877715</v>
      </c>
      <c r="AH899">
        <v>19.158479830031599</v>
      </c>
      <c r="AI899">
        <v>93.187182031892206</v>
      </c>
      <c r="AJ899">
        <v>77.782301352393404</v>
      </c>
      <c r="AK899">
        <v>19.632832014849299</v>
      </c>
    </row>
    <row r="900" spans="1:37" x14ac:dyDescent="0.2">
      <c r="A900" t="str">
        <f>"20200111154042586"</f>
        <v>20200111154042586</v>
      </c>
      <c r="B900" t="str">
        <f>"1578728442577583"</f>
        <v>1578728442577583</v>
      </c>
      <c r="C900" t="s">
        <v>37</v>
      </c>
      <c r="D900">
        <v>5.6986980000000003</v>
      </c>
      <c r="E900">
        <v>0.5574538</v>
      </c>
      <c r="F900" t="s">
        <v>39</v>
      </c>
      <c r="G900">
        <v>-190.99510000000001</v>
      </c>
      <c r="H900" s="1">
        <v>-2.2442879999999999E-6</v>
      </c>
      <c r="I900">
        <v>324.20339999999999</v>
      </c>
      <c r="J900">
        <v>-188.87010000000001</v>
      </c>
      <c r="K900">
        <v>1.09165</v>
      </c>
      <c r="L900">
        <v>344.98790000000002</v>
      </c>
      <c r="M900">
        <v>0.1017547</v>
      </c>
      <c r="N900">
        <v>0</v>
      </c>
      <c r="O900">
        <v>-0.994668199999999</v>
      </c>
      <c r="P900">
        <v>4.7374960000000001E-2</v>
      </c>
      <c r="Q900">
        <v>5.530591E-2</v>
      </c>
      <c r="R900">
        <v>-0.99734509999999899</v>
      </c>
      <c r="S900">
        <v>-0.29797360000000001</v>
      </c>
      <c r="T900">
        <v>-0.15626479999999901</v>
      </c>
      <c r="U900">
        <v>-3.0359189999999998</v>
      </c>
      <c r="V900">
        <v>5.7531190000000003E-2</v>
      </c>
      <c r="W900">
        <v>6.9524740000000002E-2</v>
      </c>
      <c r="X900">
        <v>0.99591989999999997</v>
      </c>
      <c r="Y900">
        <v>0.19832929999999999</v>
      </c>
      <c r="Z900">
        <v>5.0371689999999997E-2</v>
      </c>
      <c r="AA900">
        <v>0.97884020000000005</v>
      </c>
      <c r="AB900">
        <v>39</v>
      </c>
      <c r="AC900">
        <v>-2.125</v>
      </c>
      <c r="AD900">
        <v>-1.0916522442879999</v>
      </c>
      <c r="AE900">
        <v>-20.784500000000001</v>
      </c>
      <c r="AF900">
        <v>4.2176705280928797</v>
      </c>
      <c r="AG900">
        <v>-1.0916522442879999</v>
      </c>
      <c r="AH900">
        <v>20.4046229128543</v>
      </c>
      <c r="AI900">
        <v>92.9991379805858</v>
      </c>
      <c r="AJ900">
        <v>78.321336375745801</v>
      </c>
      <c r="AK900">
        <v>20.864541344630101</v>
      </c>
    </row>
    <row r="901" spans="1:37" x14ac:dyDescent="0.2">
      <c r="A901" t="str">
        <f>"20200111154042607"</f>
        <v>20200111154042607</v>
      </c>
      <c r="B901" t="str">
        <f>"1578728442597103"</f>
        <v>1578728442597103</v>
      </c>
      <c r="C901" t="s">
        <v>37</v>
      </c>
      <c r="D901">
        <v>5.702318</v>
      </c>
      <c r="E901">
        <v>0.55715119999999996</v>
      </c>
      <c r="F901" t="s">
        <v>39</v>
      </c>
      <c r="G901">
        <v>-191.1919</v>
      </c>
      <c r="H901" s="1">
        <v>-2.0157360000000002E-6</v>
      </c>
      <c r="I901">
        <v>323.54860000000002</v>
      </c>
      <c r="J901">
        <v>-188.83670000000001</v>
      </c>
      <c r="K901">
        <v>1.0917509999999999</v>
      </c>
      <c r="L901">
        <v>344.59730000000002</v>
      </c>
      <c r="M901">
        <v>8.5441429999999999E-2</v>
      </c>
      <c r="N901">
        <v>0</v>
      </c>
      <c r="O901">
        <v>-0.99620309999999901</v>
      </c>
      <c r="P901">
        <v>3.8937140000000002E-2</v>
      </c>
      <c r="Q901">
        <v>5.3691919999999997E-2</v>
      </c>
      <c r="R901">
        <v>-0.99779819999999997</v>
      </c>
      <c r="S901">
        <v>-0.32836909999999903</v>
      </c>
      <c r="T901">
        <v>-0.15438959999999999</v>
      </c>
      <c r="U901">
        <v>-3.0321039999999999</v>
      </c>
      <c r="V901">
        <v>4.9548330000000002E-2</v>
      </c>
      <c r="W901">
        <v>6.8217490000000006E-2</v>
      </c>
      <c r="X901">
        <v>0.99643930000000003</v>
      </c>
      <c r="Y901">
        <v>0.19209479999999901</v>
      </c>
      <c r="Z901">
        <v>4.9953740000000003E-2</v>
      </c>
      <c r="AA901">
        <v>0.98010419999999998</v>
      </c>
      <c r="AB901">
        <v>39</v>
      </c>
      <c r="AC901">
        <v>-2.3551999999999902</v>
      </c>
      <c r="AD901">
        <v>-1.09175301573599</v>
      </c>
      <c r="AE901">
        <v>-21.0487</v>
      </c>
      <c r="AF901">
        <v>4.1342823099110602</v>
      </c>
      <c r="AG901">
        <v>-1.09175301573599</v>
      </c>
      <c r="AH901">
        <v>20.715406502611302</v>
      </c>
      <c r="AI901">
        <v>92.958598960760199</v>
      </c>
      <c r="AJ901">
        <v>78.713470127590796</v>
      </c>
      <c r="AK901">
        <v>21.152122386035899</v>
      </c>
    </row>
    <row r="902" spans="1:37" x14ac:dyDescent="0.2">
      <c r="A902" t="str">
        <f>"20200111154042630"</f>
        <v>20200111154042630</v>
      </c>
      <c r="B902" t="str">
        <f>"1578728442627359"</f>
        <v>1578728442627359</v>
      </c>
      <c r="C902" t="s">
        <v>37</v>
      </c>
      <c r="D902">
        <v>5.6862009999999996</v>
      </c>
      <c r="E902">
        <v>0.54639059999999995</v>
      </c>
      <c r="F902" t="s">
        <v>39</v>
      </c>
      <c r="G902">
        <v>-191.3004</v>
      </c>
      <c r="H902" s="1">
        <v>-1.989876E-6</v>
      </c>
      <c r="I902">
        <v>323.42110000000002</v>
      </c>
      <c r="J902">
        <v>-188.80940000000001</v>
      </c>
      <c r="K902">
        <v>1.091861</v>
      </c>
      <c r="L902">
        <v>344.20069999999998</v>
      </c>
      <c r="M902">
        <v>6.8973399999999893E-2</v>
      </c>
      <c r="N902">
        <v>0</v>
      </c>
      <c r="O902">
        <v>-0.99747989999999997</v>
      </c>
      <c r="P902">
        <v>3.0461129999999999E-2</v>
      </c>
      <c r="Q902">
        <v>5.3224580000000001E-2</v>
      </c>
      <c r="R902">
        <v>-0.99811830000000001</v>
      </c>
      <c r="S902">
        <v>-0.3523712</v>
      </c>
      <c r="T902">
        <v>-0.15614890000000001</v>
      </c>
      <c r="U902">
        <v>-3.02874799999999</v>
      </c>
      <c r="V902">
        <v>4.1508379999999998E-2</v>
      </c>
      <c r="W902">
        <v>6.8052420000000002E-2</v>
      </c>
      <c r="X902">
        <v>0.99681790000000003</v>
      </c>
      <c r="Y902">
        <v>0.1836585</v>
      </c>
      <c r="Z902">
        <v>5.069452E-2</v>
      </c>
      <c r="AA902">
        <v>0.98168199999999906</v>
      </c>
      <c r="AB902">
        <v>39</v>
      </c>
      <c r="AC902">
        <v>-2.4909999999999801</v>
      </c>
      <c r="AD902">
        <v>-1.0918629898759999</v>
      </c>
      <c r="AE902">
        <v>-20.779599999999899</v>
      </c>
      <c r="AF902">
        <v>3.9078672461430699</v>
      </c>
      <c r="AG902">
        <v>-1.0918629898759999</v>
      </c>
      <c r="AH902">
        <v>20.502458405430499</v>
      </c>
      <c r="AI902">
        <v>92.9946085082656</v>
      </c>
      <c r="AJ902">
        <v>79.2085907984344</v>
      </c>
      <c r="AK902">
        <v>20.900105068361398</v>
      </c>
    </row>
    <row r="903" spans="1:37" x14ac:dyDescent="0.2">
      <c r="A903" t="str">
        <f>"20200111154042651"</f>
        <v>20200111154042651</v>
      </c>
      <c r="B903" t="str">
        <f>"1578728442646879"</f>
        <v>1578728442646879</v>
      </c>
      <c r="C903" t="s">
        <v>37</v>
      </c>
      <c r="D903">
        <v>5.63192</v>
      </c>
      <c r="E903">
        <v>0.54684489999999997</v>
      </c>
      <c r="F903" t="s">
        <v>39</v>
      </c>
      <c r="G903">
        <v>-190.33670000000001</v>
      </c>
      <c r="H903" s="1">
        <v>-3.9376210000000002E-6</v>
      </c>
      <c r="I903">
        <v>328.55900000000003</v>
      </c>
      <c r="J903">
        <v>-188.78980000000001</v>
      </c>
      <c r="K903">
        <v>1.091963</v>
      </c>
      <c r="L903">
        <v>343.82909999999998</v>
      </c>
      <c r="M903">
        <v>5.3653149999999997E-2</v>
      </c>
      <c r="N903">
        <v>0</v>
      </c>
      <c r="O903">
        <v>-0.99842229999999998</v>
      </c>
      <c r="P903">
        <v>1.9934029999999998E-2</v>
      </c>
      <c r="Q903">
        <v>5.5311300000000001E-2</v>
      </c>
      <c r="R903">
        <v>-0.9982704</v>
      </c>
      <c r="S903">
        <v>-0.29545589999999999</v>
      </c>
      <c r="T903">
        <v>-0.2112251</v>
      </c>
      <c r="U903">
        <v>-3.0259399999999999</v>
      </c>
      <c r="V903">
        <v>3.6780750000000001E-2</v>
      </c>
      <c r="W903">
        <v>7.0292930000000003E-2</v>
      </c>
      <c r="X903">
        <v>0.99684799999999996</v>
      </c>
      <c r="Y903">
        <v>0.15021319999999999</v>
      </c>
      <c r="Z903">
        <v>6.8926470000000004E-2</v>
      </c>
      <c r="AA903">
        <v>0.98624799999999901</v>
      </c>
      <c r="AB903">
        <v>39</v>
      </c>
      <c r="AC903">
        <v>-1.5468999999999899</v>
      </c>
      <c r="AD903">
        <v>-1.0919669376209999</v>
      </c>
      <c r="AE903">
        <v>-15.2700999999999</v>
      </c>
      <c r="AF903">
        <v>2.3521665274114398</v>
      </c>
      <c r="AG903">
        <v>-1.0919669376209999</v>
      </c>
      <c r="AH903">
        <v>15.088716579359399</v>
      </c>
      <c r="AI903">
        <v>94.090038240140899</v>
      </c>
      <c r="AJ903">
        <v>81.139526907416396</v>
      </c>
      <c r="AK903">
        <v>15.3099460213865</v>
      </c>
    </row>
    <row r="904" spans="1:37" x14ac:dyDescent="0.2">
      <c r="A904" t="str">
        <f>"20200111154042674"</f>
        <v>20200111154042674</v>
      </c>
      <c r="B904" t="str">
        <f>"1578728442667375"</f>
        <v>1578728442667375</v>
      </c>
      <c r="C904" t="s">
        <v>37</v>
      </c>
      <c r="D904">
        <v>5.612965</v>
      </c>
      <c r="E904">
        <v>0.54608570000000001</v>
      </c>
      <c r="F904" t="s">
        <v>39</v>
      </c>
      <c r="G904">
        <v>-190.6448</v>
      </c>
      <c r="H904" s="1">
        <v>-3.2503309999999998E-6</v>
      </c>
      <c r="I904">
        <v>326.76580000000001</v>
      </c>
      <c r="J904">
        <v>-188.77510000000001</v>
      </c>
      <c r="K904">
        <v>1.092098</v>
      </c>
      <c r="L904">
        <v>343.42219999999998</v>
      </c>
      <c r="M904">
        <v>3.7013820000000003E-2</v>
      </c>
      <c r="N904">
        <v>0</v>
      </c>
      <c r="O904">
        <v>-0.99917860000000003</v>
      </c>
      <c r="P904">
        <v>6.7578969999999997E-3</v>
      </c>
      <c r="Q904">
        <v>5.4525579999999997E-2</v>
      </c>
      <c r="R904">
        <v>-0.99848979999999998</v>
      </c>
      <c r="S904">
        <v>-0.32858280000000001</v>
      </c>
      <c r="T904">
        <v>-0.19342579999999901</v>
      </c>
      <c r="U904">
        <v>-3.0225219999999999</v>
      </c>
      <c r="V904">
        <v>3.3270340000000002E-2</v>
      </c>
      <c r="W904">
        <v>6.9600839999999997E-2</v>
      </c>
      <c r="X904">
        <v>0.99701989999999996</v>
      </c>
      <c r="Y904">
        <v>0.14458550000000001</v>
      </c>
      <c r="Z904">
        <v>6.3277239999999998E-2</v>
      </c>
      <c r="AA904">
        <v>0.98746699999999998</v>
      </c>
      <c r="AB904">
        <v>39</v>
      </c>
      <c r="AC904">
        <v>-1.8696999999999899</v>
      </c>
      <c r="AD904">
        <v>-1.0921012503309999</v>
      </c>
      <c r="AE904">
        <v>-16.656399999999898</v>
      </c>
      <c r="AF904">
        <v>2.4745138659244099</v>
      </c>
      <c r="AG904">
        <v>-1.0921012503309999</v>
      </c>
      <c r="AH904">
        <v>16.5056946196665</v>
      </c>
      <c r="AI904">
        <v>93.743747657623501</v>
      </c>
      <c r="AJ904">
        <v>81.4737847049999</v>
      </c>
      <c r="AK904">
        <v>16.725844041222899</v>
      </c>
    </row>
    <row r="905" spans="1:37" x14ac:dyDescent="0.2">
      <c r="A905" t="str">
        <f>"20200111154042697"</f>
        <v>20200111154042697</v>
      </c>
      <c r="B905" t="str">
        <f>"1578728442687518"</f>
        <v>1578728442687518</v>
      </c>
      <c r="C905" t="s">
        <v>37</v>
      </c>
      <c r="D905">
        <v>5.5856510000000004</v>
      </c>
      <c r="E905">
        <v>0.54525880000000004</v>
      </c>
      <c r="F905" t="s">
        <v>39</v>
      </c>
      <c r="G905">
        <v>-190.84229999999999</v>
      </c>
      <c r="H905" s="1">
        <v>-3.0537439999999899E-6</v>
      </c>
      <c r="I905">
        <v>326.185</v>
      </c>
      <c r="J905">
        <v>-188.767</v>
      </c>
      <c r="K905">
        <v>1.092249</v>
      </c>
      <c r="L905">
        <v>343.00720000000001</v>
      </c>
      <c r="M905">
        <v>2.02144E-2</v>
      </c>
      <c r="N905">
        <v>0</v>
      </c>
      <c r="O905">
        <v>-0.99966089999999996</v>
      </c>
      <c r="P905">
        <v>-5.219296E-3</v>
      </c>
      <c r="Q905">
        <v>5.1298660000000003E-2</v>
      </c>
      <c r="R905">
        <v>-0.9986699</v>
      </c>
      <c r="S905">
        <v>-0.36187740000000002</v>
      </c>
      <c r="T905">
        <v>-0.19117400000000001</v>
      </c>
      <c r="U905">
        <v>-3.017395</v>
      </c>
      <c r="V905">
        <v>2.8304200000000002E-2</v>
      </c>
      <c r="W905">
        <v>6.6525230000000005E-2</v>
      </c>
      <c r="X905">
        <v>0.99738320000000003</v>
      </c>
      <c r="Y905">
        <v>0.13889170000000001</v>
      </c>
      <c r="Z905">
        <v>6.2680940000000004E-2</v>
      </c>
      <c r="AA905">
        <v>0.98832189999999998</v>
      </c>
      <c r="AB905">
        <v>39</v>
      </c>
      <c r="AC905">
        <v>-2.0752999999999902</v>
      </c>
      <c r="AD905">
        <v>-1.0922520537439999</v>
      </c>
      <c r="AE905">
        <v>-16.822199999999999</v>
      </c>
      <c r="AF905">
        <v>2.4049853940541102</v>
      </c>
      <c r="AG905">
        <v>-1.0922520537439999</v>
      </c>
      <c r="AH905">
        <v>16.707425880851702</v>
      </c>
      <c r="AI905">
        <v>93.702349618614704</v>
      </c>
      <c r="AJ905">
        <v>81.808706430763905</v>
      </c>
      <c r="AK905">
        <v>16.914935674092099</v>
      </c>
    </row>
    <row r="906" spans="1:37" x14ac:dyDescent="0.2">
      <c r="A906" t="str">
        <f>"20200111154042720"</f>
        <v>20200111154042720</v>
      </c>
      <c r="B906" t="str">
        <f>"1578728442716798"</f>
        <v>1578728442716798</v>
      </c>
      <c r="C906" t="s">
        <v>37</v>
      </c>
      <c r="D906">
        <v>5.6014599999999897</v>
      </c>
      <c r="E906">
        <v>0.54351619999999901</v>
      </c>
      <c r="F906" t="s">
        <v>39</v>
      </c>
      <c r="G906">
        <v>-190.92429999999999</v>
      </c>
      <c r="H906" s="1">
        <v>-3.1868970000000001E-6</v>
      </c>
      <c r="I906">
        <v>326.44459999999998</v>
      </c>
      <c r="J906">
        <v>-188.76580000000001</v>
      </c>
      <c r="K906">
        <v>1.0924160000000001</v>
      </c>
      <c r="L906">
        <v>342.60899999999998</v>
      </c>
      <c r="M906">
        <v>4.2940629999999999E-3</v>
      </c>
      <c r="N906">
        <v>0</v>
      </c>
      <c r="O906">
        <v>-0.99985740000000001</v>
      </c>
      <c r="P906">
        <v>-1.7506649999999999E-2</v>
      </c>
      <c r="Q906">
        <v>5.0223480000000001E-2</v>
      </c>
      <c r="R906">
        <v>-0.99858499999999994</v>
      </c>
      <c r="S906">
        <v>-0.39233400000000002</v>
      </c>
      <c r="T906">
        <v>-0.19864000000000001</v>
      </c>
      <c r="U906">
        <v>-3.0121150000000001</v>
      </c>
      <c r="V906">
        <v>2.4616559999999999E-2</v>
      </c>
      <c r="W906">
        <v>6.5542240000000002E-2</v>
      </c>
      <c r="X906">
        <v>0.99754609999999899</v>
      </c>
      <c r="Y906">
        <v>0.13314329999999999</v>
      </c>
      <c r="Z906">
        <v>6.5235879999999996E-2</v>
      </c>
      <c r="AA906">
        <v>0.98894749999999998</v>
      </c>
      <c r="AB906">
        <v>39</v>
      </c>
      <c r="AC906">
        <v>-2.1584999999999699</v>
      </c>
      <c r="AD906">
        <v>-1.0924191868969999</v>
      </c>
      <c r="AE906">
        <v>-16.164400000000001</v>
      </c>
      <c r="AF906">
        <v>2.2179477425184402</v>
      </c>
      <c r="AG906">
        <v>-1.0924191868969999</v>
      </c>
      <c r="AH906">
        <v>16.082812800714098</v>
      </c>
      <c r="AI906">
        <v>93.849503573507803</v>
      </c>
      <c r="AJ906">
        <v>82.147984655763807</v>
      </c>
      <c r="AK906">
        <v>16.271740516959301</v>
      </c>
    </row>
    <row r="907" spans="1:37" x14ac:dyDescent="0.2">
      <c r="A907" t="str">
        <f>"20200111154042743"</f>
        <v>20200111154042743</v>
      </c>
      <c r="B907" t="str">
        <f>"1578728442737294"</f>
        <v>1578728442737294</v>
      </c>
      <c r="C907" t="s">
        <v>37</v>
      </c>
      <c r="D907">
        <v>5.8796929999999996</v>
      </c>
      <c r="E907">
        <v>0.54236070000000003</v>
      </c>
      <c r="F907" t="s">
        <v>39</v>
      </c>
      <c r="G907">
        <v>-190.99700000000001</v>
      </c>
      <c r="H907" s="1">
        <v>-3.209081E-6</v>
      </c>
      <c r="I907">
        <v>326.45119999999997</v>
      </c>
      <c r="J907">
        <v>-188.77090000000001</v>
      </c>
      <c r="K907">
        <v>1.0926169999999999</v>
      </c>
      <c r="L907">
        <v>342.21890000000002</v>
      </c>
      <c r="M907">
        <v>-1.108014E-2</v>
      </c>
      <c r="N907">
        <v>0</v>
      </c>
      <c r="O907">
        <v>-0.99980650000000004</v>
      </c>
      <c r="P907">
        <v>-3.1352640000000001E-2</v>
      </c>
      <c r="Q907">
        <v>5.0009869999999998E-2</v>
      </c>
      <c r="R907">
        <v>-0.9982569</v>
      </c>
      <c r="S907">
        <v>-0.41526790000000002</v>
      </c>
      <c r="T907">
        <v>-0.20331689999999999</v>
      </c>
      <c r="U907">
        <v>-3.0072329999999998</v>
      </c>
      <c r="V907">
        <v>2.3067460000000001E-2</v>
      </c>
      <c r="W907">
        <v>6.5325739999999993E-2</v>
      </c>
      <c r="X907">
        <v>0.99759730000000002</v>
      </c>
      <c r="Y907">
        <v>0.12549979999999999</v>
      </c>
      <c r="Z907">
        <v>6.6866670000000003E-2</v>
      </c>
      <c r="AA907">
        <v>0.98983770000000004</v>
      </c>
      <c r="AB907">
        <v>39</v>
      </c>
      <c r="AC907">
        <v>-2.2261000000000002</v>
      </c>
      <c r="AD907">
        <v>-1.092620209081</v>
      </c>
      <c r="AE907">
        <v>-15.7677</v>
      </c>
      <c r="AF907">
        <v>2.0416200888865599</v>
      </c>
      <c r="AG907">
        <v>-1.092620209081</v>
      </c>
      <c r="AH907">
        <v>15.7174040513921</v>
      </c>
      <c r="AI907">
        <v>93.943584546576005</v>
      </c>
      <c r="AJ907">
        <v>82.598975742657899</v>
      </c>
      <c r="AK907">
        <v>15.887064600591099</v>
      </c>
    </row>
    <row r="908" spans="1:37" x14ac:dyDescent="0.2">
      <c r="A908" t="str">
        <f>"20200111154042765"</f>
        <v>20200111154042765</v>
      </c>
      <c r="B908" t="str">
        <f>"1578728442756814"</f>
        <v>1578728442756814</v>
      </c>
      <c r="C908" t="s">
        <v>37</v>
      </c>
      <c r="D908">
        <v>5.8239780000000003</v>
      </c>
      <c r="E908">
        <v>0.54163719999999904</v>
      </c>
      <c r="F908" t="s">
        <v>39</v>
      </c>
      <c r="G908">
        <v>-191.2055</v>
      </c>
      <c r="H908" s="1">
        <v>-3.0037419999999899E-6</v>
      </c>
      <c r="I908">
        <v>325.84320000000002</v>
      </c>
      <c r="J908">
        <v>-188.7825</v>
      </c>
      <c r="K908">
        <v>1.0928469999999999</v>
      </c>
      <c r="L908">
        <v>341.82470000000001</v>
      </c>
      <c r="M908">
        <v>-2.6339350000000001E-2</v>
      </c>
      <c r="N908">
        <v>0</v>
      </c>
      <c r="O908">
        <v>-0.99952209999999997</v>
      </c>
      <c r="P908">
        <v>-4.3634529999999998E-2</v>
      </c>
      <c r="Q908">
        <v>4.9028759999999998E-2</v>
      </c>
      <c r="R908">
        <v>-0.99784390000000001</v>
      </c>
      <c r="S908">
        <v>-0.44619750000000002</v>
      </c>
      <c r="T908">
        <v>-0.20025000000000001</v>
      </c>
      <c r="U908">
        <v>-3.0012509999999999</v>
      </c>
      <c r="V908">
        <v>2.003402E-2</v>
      </c>
      <c r="W908">
        <v>6.4397389999999999E-2</v>
      </c>
      <c r="X908">
        <v>0.99772320000000003</v>
      </c>
      <c r="Y908">
        <v>0.1206269</v>
      </c>
      <c r="Z908">
        <v>6.5935859999999999E-2</v>
      </c>
      <c r="AA908">
        <v>0.99050579999999999</v>
      </c>
      <c r="AB908">
        <v>39</v>
      </c>
      <c r="AC908">
        <v>-2.423</v>
      </c>
      <c r="AD908">
        <v>-1.0928500037419999</v>
      </c>
      <c r="AE908">
        <v>-15.981499999999899</v>
      </c>
      <c r="AF908">
        <v>1.99205591461319</v>
      </c>
      <c r="AG908">
        <v>-1.0928500037419999</v>
      </c>
      <c r="AH908">
        <v>15.9667974522694</v>
      </c>
      <c r="AI908">
        <v>93.885482093793598</v>
      </c>
      <c r="AJ908">
        <v>82.888388279269194</v>
      </c>
      <c r="AK908">
        <v>16.127654162320699</v>
      </c>
    </row>
    <row r="909" spans="1:37" x14ac:dyDescent="0.2">
      <c r="A909" t="str">
        <f>"20200111154042788"</f>
        <v>20200111154042788</v>
      </c>
      <c r="B909" t="str">
        <f>"1578728442777310"</f>
        <v>1578728442777310</v>
      </c>
      <c r="C909" t="s">
        <v>37</v>
      </c>
      <c r="D909">
        <v>5.5908360000000004</v>
      </c>
      <c r="E909">
        <v>0.54109269999999998</v>
      </c>
      <c r="F909" t="s">
        <v>38</v>
      </c>
      <c r="G909">
        <v>-188.9486</v>
      </c>
      <c r="H909">
        <v>1.02308</v>
      </c>
      <c r="I909">
        <v>340.78269999999998</v>
      </c>
      <c r="J909">
        <v>-188.8006</v>
      </c>
      <c r="K909">
        <v>1.0931090000000001</v>
      </c>
      <c r="L909">
        <v>341.42540000000002</v>
      </c>
      <c r="M909">
        <v>-4.1484790000000001E-2</v>
      </c>
      <c r="N909">
        <v>0</v>
      </c>
      <c r="O909">
        <v>-0.9990097</v>
      </c>
      <c r="P909">
        <v>-5.2832179999999999E-2</v>
      </c>
      <c r="Q909">
        <v>4.7186680000000002E-2</v>
      </c>
      <c r="R909">
        <v>-0.99748799999999904</v>
      </c>
      <c r="S909">
        <v>-0.47714229999999902</v>
      </c>
      <c r="T909">
        <v>-0.20048750000000001</v>
      </c>
      <c r="U909">
        <v>-2.995514</v>
      </c>
      <c r="V909">
        <v>1.398596E-2</v>
      </c>
      <c r="W909">
        <v>6.2724230000000006E-2</v>
      </c>
      <c r="X909">
        <v>0.99793290000000001</v>
      </c>
      <c r="Y909">
        <v>0.11584999999999999</v>
      </c>
      <c r="Z909">
        <v>6.6054660000000001E-2</v>
      </c>
      <c r="AA909">
        <v>0.9910679</v>
      </c>
      <c r="AB909">
        <v>39</v>
      </c>
      <c r="AC909">
        <v>-0.147999999999996</v>
      </c>
      <c r="AD909">
        <v>-7.0029000000000105E-2</v>
      </c>
      <c r="AE909">
        <v>-0.64270000000004701</v>
      </c>
      <c r="AF909">
        <v>0.119855518888142</v>
      </c>
      <c r="AG909">
        <v>-7.0029000000000105E-2</v>
      </c>
      <c r="AH909">
        <v>0.64105946471793296</v>
      </c>
      <c r="AI909">
        <v>96.1288705390714</v>
      </c>
      <c r="AJ909">
        <v>79.409973936520302</v>
      </c>
      <c r="AK909">
        <v>0.65591664375390601</v>
      </c>
    </row>
    <row r="910" spans="1:37" x14ac:dyDescent="0.2">
      <c r="A910" t="str">
        <f>"20200111154042812"</f>
        <v>20200111154042812</v>
      </c>
      <c r="B910" t="str">
        <f>"1578728442807566"</f>
        <v>1578728442807566</v>
      </c>
      <c r="C910" t="s">
        <v>37</v>
      </c>
      <c r="D910">
        <v>5.631316</v>
      </c>
      <c r="E910">
        <v>0.52292039999999995</v>
      </c>
      <c r="F910" t="s">
        <v>38</v>
      </c>
      <c r="G910">
        <v>-188.96719999999999</v>
      </c>
      <c r="H910">
        <v>1.0255909999999999</v>
      </c>
      <c r="I910">
        <v>340.4323</v>
      </c>
      <c r="J910">
        <v>-188.82599999999999</v>
      </c>
      <c r="K910">
        <v>1.093402</v>
      </c>
      <c r="L910">
        <v>341.00869999999998</v>
      </c>
      <c r="M910">
        <v>-5.6968810000000002E-2</v>
      </c>
      <c r="N910">
        <v>0</v>
      </c>
      <c r="O910">
        <v>-0.99824789999999997</v>
      </c>
      <c r="P910">
        <v>-6.1970709999999998E-2</v>
      </c>
      <c r="Q910">
        <v>4.7124729999999997E-2</v>
      </c>
      <c r="R910">
        <v>-0.99696499999999999</v>
      </c>
      <c r="S910">
        <v>-0.50115969999999999</v>
      </c>
      <c r="T910">
        <v>-0.2031953</v>
      </c>
      <c r="U910">
        <v>-2.9906619999999999</v>
      </c>
      <c r="V910">
        <v>7.6066689999999999E-3</v>
      </c>
      <c r="W910">
        <v>6.2831780000000004E-2</v>
      </c>
      <c r="X910">
        <v>0.99799509999999902</v>
      </c>
      <c r="Y910">
        <v>0.1084382</v>
      </c>
      <c r="Z910">
        <v>6.6958030000000002E-2</v>
      </c>
      <c r="AA910">
        <v>0.99184570000000005</v>
      </c>
      <c r="AB910">
        <v>39</v>
      </c>
      <c r="AC910">
        <v>-0.14119999999999699</v>
      </c>
      <c r="AD910">
        <v>-6.7810999999999996E-2</v>
      </c>
      <c r="AE910">
        <v>-0.57639999999997804</v>
      </c>
      <c r="AF910">
        <v>0.106735957290405</v>
      </c>
      <c r="AG910">
        <v>-6.7810999999999996E-2</v>
      </c>
      <c r="AH910">
        <v>0.57598802719667297</v>
      </c>
      <c r="AI910">
        <v>96.6031180187844</v>
      </c>
      <c r="AJ910">
        <v>79.501645826883902</v>
      </c>
      <c r="AK910">
        <v>0.58970594686980604</v>
      </c>
    </row>
    <row r="911" spans="1:37" x14ac:dyDescent="0.2">
      <c r="A911" t="str">
        <f>"20200111154042834"</f>
        <v>20200111154042834</v>
      </c>
      <c r="B911" t="str">
        <f>"1578728442827087"</f>
        <v>1578728442827087</v>
      </c>
      <c r="C911" t="s">
        <v>37</v>
      </c>
      <c r="D911">
        <v>5.5583530000000003</v>
      </c>
      <c r="E911">
        <v>0.52139279999999999</v>
      </c>
      <c r="F911" t="s">
        <v>38</v>
      </c>
      <c r="G911">
        <v>-188.94589999999999</v>
      </c>
      <c r="H911">
        <v>1.037139</v>
      </c>
      <c r="I911">
        <v>340.07240000000002</v>
      </c>
      <c r="J911">
        <v>-188.85720000000001</v>
      </c>
      <c r="K911">
        <v>1.0937209999999999</v>
      </c>
      <c r="L911">
        <v>340.5985</v>
      </c>
      <c r="M911">
        <v>-7.1863699999999905E-2</v>
      </c>
      <c r="N911">
        <v>0</v>
      </c>
      <c r="O911">
        <v>-0.99728799999999995</v>
      </c>
      <c r="P911">
        <v>-7.0498000000000005E-2</v>
      </c>
      <c r="Q911">
        <v>4.8977439999999997E-2</v>
      </c>
      <c r="R911">
        <v>-0.99630889999999905</v>
      </c>
      <c r="S911">
        <v>-0.38322449999999902</v>
      </c>
      <c r="T911">
        <v>-0.1800061</v>
      </c>
      <c r="U911">
        <v>-2.993805</v>
      </c>
      <c r="V911">
        <v>1.2759659999999999E-3</v>
      </c>
      <c r="W911">
        <v>6.4845639999999996E-2</v>
      </c>
      <c r="X911">
        <v>0.99789450000000002</v>
      </c>
      <c r="Y911">
        <v>5.5124970000000002E-2</v>
      </c>
      <c r="Z911">
        <v>5.9498240000000001E-2</v>
      </c>
      <c r="AA911">
        <v>0.99670519999999996</v>
      </c>
      <c r="AB911">
        <v>39</v>
      </c>
      <c r="AC911">
        <v>-8.8699999999988594E-2</v>
      </c>
      <c r="AD911">
        <v>-5.6581999999999903E-2</v>
      </c>
      <c r="AE911">
        <v>-0.52609999999998502</v>
      </c>
      <c r="AF911">
        <v>5.0094911864732E-2</v>
      </c>
      <c r="AG911">
        <v>-5.6581999999999903E-2</v>
      </c>
      <c r="AH911">
        <v>0.52520737047979804</v>
      </c>
      <c r="AI911">
        <v>96.121343257762604</v>
      </c>
      <c r="AJ911">
        <v>84.551542198281496</v>
      </c>
      <c r="AK911">
        <v>0.53061643861177099</v>
      </c>
    </row>
    <row r="912" spans="1:37" x14ac:dyDescent="0.2">
      <c r="A912" t="str">
        <f>"20200111154042855"</f>
        <v>20200111154042855</v>
      </c>
      <c r="B912" t="str">
        <f>"1578728442847581"</f>
        <v>1578728442847581</v>
      </c>
      <c r="C912" t="s">
        <v>37</v>
      </c>
      <c r="D912">
        <v>5.6325750000000001</v>
      </c>
      <c r="E912">
        <v>0.51976789999999995</v>
      </c>
      <c r="F912" t="s">
        <v>38</v>
      </c>
      <c r="G912">
        <v>-188.97309999999999</v>
      </c>
      <c r="H912">
        <v>1.037944</v>
      </c>
      <c r="I912">
        <v>339.72239999999999</v>
      </c>
      <c r="J912">
        <v>-188.89</v>
      </c>
      <c r="K912">
        <v>1.0940289999999999</v>
      </c>
      <c r="L912">
        <v>340.23559999999998</v>
      </c>
      <c r="M912">
        <v>-8.4708829999999999E-2</v>
      </c>
      <c r="N912">
        <v>0</v>
      </c>
      <c r="O912">
        <v>-0.99628030000000001</v>
      </c>
      <c r="P912">
        <v>-7.614812E-2</v>
      </c>
      <c r="Q912">
        <v>4.8640120000000002E-2</v>
      </c>
      <c r="R912">
        <v>-0.9959093</v>
      </c>
      <c r="S912">
        <v>-0.39570620000000001</v>
      </c>
      <c r="T912">
        <v>-0.1904187</v>
      </c>
      <c r="U912">
        <v>-2.992432</v>
      </c>
      <c r="V912">
        <v>-5.9882090000000004E-3</v>
      </c>
      <c r="W912">
        <v>6.4706680000000003E-2</v>
      </c>
      <c r="X912">
        <v>0.99788639999999995</v>
      </c>
      <c r="Y912">
        <v>4.6374770000000003E-2</v>
      </c>
      <c r="Z912">
        <v>6.2857079999999996E-2</v>
      </c>
      <c r="AA912">
        <v>0.99694450000000001</v>
      </c>
      <c r="AB912">
        <v>39</v>
      </c>
      <c r="AC912">
        <v>-8.31000000000017E-2</v>
      </c>
      <c r="AD912">
        <v>-5.60850000000001E-2</v>
      </c>
      <c r="AE912">
        <v>-0.513199999999983</v>
      </c>
      <c r="AF912">
        <v>3.8870856142760597E-2</v>
      </c>
      <c r="AG912">
        <v>-5.60850000000001E-2</v>
      </c>
      <c r="AH912">
        <v>0.512431454606876</v>
      </c>
      <c r="AI912">
        <v>96.228339616242394</v>
      </c>
      <c r="AJ912">
        <v>85.662094984757204</v>
      </c>
      <c r="AK912">
        <v>0.51695499451382598</v>
      </c>
    </row>
    <row r="913" spans="1:37" x14ac:dyDescent="0.2">
      <c r="A913" t="str">
        <f>"20200111154042877"</f>
        <v>20200111154042877</v>
      </c>
      <c r="B913" t="str">
        <f>"1578728442867102"</f>
        <v>1578728442867102</v>
      </c>
      <c r="C913" t="s">
        <v>37</v>
      </c>
      <c r="D913">
        <v>5.6075419999999996</v>
      </c>
      <c r="E913">
        <v>0.51286639999999994</v>
      </c>
      <c r="F913" t="s">
        <v>38</v>
      </c>
      <c r="G913">
        <v>-189.00479999999999</v>
      </c>
      <c r="H913">
        <v>1.0356319999999899</v>
      </c>
      <c r="I913">
        <v>339.37560000000002</v>
      </c>
      <c r="J913">
        <v>-188.9297</v>
      </c>
      <c r="K913">
        <v>1.094387</v>
      </c>
      <c r="L913">
        <v>339.85169999999999</v>
      </c>
      <c r="M913">
        <v>-9.7921770000000005E-2</v>
      </c>
      <c r="N913">
        <v>0</v>
      </c>
      <c r="O913">
        <v>-0.99507000000000001</v>
      </c>
      <c r="P913">
        <v>-8.1473169999999998E-2</v>
      </c>
      <c r="Q913">
        <v>4.6858419999999998E-2</v>
      </c>
      <c r="R913">
        <v>-0.99557329999999999</v>
      </c>
      <c r="S913">
        <v>-0.3995514</v>
      </c>
      <c r="T913">
        <v>-0.2031509</v>
      </c>
      <c r="U913">
        <v>-2.9916689999999999</v>
      </c>
      <c r="V913">
        <v>-1.4028000000000001E-2</v>
      </c>
      <c r="W913">
        <v>6.3132540000000001E-2</v>
      </c>
      <c r="X913">
        <v>0.99790659999999898</v>
      </c>
      <c r="Y913">
        <v>3.437262E-2</v>
      </c>
      <c r="Z913">
        <v>6.6947069999999997E-2</v>
      </c>
      <c r="AA913">
        <v>0.9971643</v>
      </c>
      <c r="AB913">
        <v>39</v>
      </c>
      <c r="AC913">
        <v>-7.5099999999991895E-2</v>
      </c>
      <c r="AD913">
        <v>-5.8755000000000099E-2</v>
      </c>
      <c r="AE913">
        <v>-0.47609999999997399</v>
      </c>
      <c r="AF913">
        <v>2.7701036705937401E-2</v>
      </c>
      <c r="AG913">
        <v>-5.8755000000000099E-2</v>
      </c>
      <c r="AH913">
        <v>0.47412073992521903</v>
      </c>
      <c r="AI913">
        <v>97.052408426276003</v>
      </c>
      <c r="AJ913">
        <v>86.656231053316702</v>
      </c>
      <c r="AK913">
        <v>0.47854986520405601</v>
      </c>
    </row>
    <row r="914" spans="1:37" x14ac:dyDescent="0.2">
      <c r="A914" t="str">
        <f>"20200111154042899"</f>
        <v>20200111154042899</v>
      </c>
      <c r="B914" t="str">
        <f>"1578728442887597"</f>
        <v>1578728442887597</v>
      </c>
      <c r="C914" t="s">
        <v>37</v>
      </c>
      <c r="D914">
        <v>5.628514</v>
      </c>
      <c r="E914">
        <v>0.51099709999999998</v>
      </c>
      <c r="F914" t="s">
        <v>38</v>
      </c>
      <c r="G914">
        <v>-189.02879999999999</v>
      </c>
      <c r="H914">
        <v>1.0250280000000001</v>
      </c>
      <c r="I914">
        <v>339.0342</v>
      </c>
      <c r="J914">
        <v>-188.97329999999999</v>
      </c>
      <c r="K914">
        <v>1.0947719999999901</v>
      </c>
      <c r="L914">
        <v>339.47919999999999</v>
      </c>
      <c r="M914">
        <v>-0.1103396</v>
      </c>
      <c r="N914">
        <v>0</v>
      </c>
      <c r="O914">
        <v>-0.99377109999999902</v>
      </c>
      <c r="P914">
        <v>-8.5486839999999994E-2</v>
      </c>
      <c r="Q914">
        <v>4.4056400000000003E-2</v>
      </c>
      <c r="R914">
        <v>-0.99536460000000004</v>
      </c>
      <c r="S914">
        <v>-0.36265559999999902</v>
      </c>
      <c r="T914">
        <v>-0.25403890000000001</v>
      </c>
      <c r="U914">
        <v>-2.9956049999999999</v>
      </c>
      <c r="V914">
        <v>-2.2645129999999999E-2</v>
      </c>
      <c r="W914">
        <v>6.0542079999999998E-2</v>
      </c>
      <c r="X914">
        <v>0.99790869999999998</v>
      </c>
      <c r="Y914">
        <v>9.4762459999999903E-3</v>
      </c>
      <c r="Z914">
        <v>8.3425769999999996E-2</v>
      </c>
      <c r="AA914">
        <v>0.99646900000000005</v>
      </c>
      <c r="AB914">
        <v>39</v>
      </c>
      <c r="AC914">
        <v>-5.5499999999994998E-2</v>
      </c>
      <c r="AD914">
        <v>-6.9743999999999806E-2</v>
      </c>
      <c r="AE914">
        <v>-0.44499999999999301</v>
      </c>
      <c r="AF914">
        <v>5.9109425021373098E-3</v>
      </c>
      <c r="AG914">
        <v>-6.9743999999999806E-2</v>
      </c>
      <c r="AH914">
        <v>0.437817051973105</v>
      </c>
      <c r="AI914">
        <v>99.050322865650898</v>
      </c>
      <c r="AJ914">
        <v>89.226500014462999</v>
      </c>
      <c r="AK914">
        <v>0.44337674248395598</v>
      </c>
    </row>
    <row r="915" spans="1:37" x14ac:dyDescent="0.2">
      <c r="A915" t="str">
        <f>"20200111154042922"</f>
        <v>20200111154042922</v>
      </c>
      <c r="B915" t="str">
        <f>"1578728442916878"</f>
        <v>1578728442916878</v>
      </c>
      <c r="C915" t="s">
        <v>37</v>
      </c>
      <c r="D915">
        <v>5.6220309999999998</v>
      </c>
      <c r="E915">
        <v>0.51024309999999995</v>
      </c>
      <c r="F915" t="s">
        <v>39</v>
      </c>
      <c r="G915">
        <v>-190.7176</v>
      </c>
      <c r="H915" s="1">
        <v>-2.4795659999999999E-6</v>
      </c>
      <c r="I915">
        <v>324.92399999999998</v>
      </c>
      <c r="J915">
        <v>-189.02520000000001</v>
      </c>
      <c r="K915">
        <v>1.095229</v>
      </c>
      <c r="L915">
        <v>339.07929999999999</v>
      </c>
      <c r="M915">
        <v>-0.12319049999999999</v>
      </c>
      <c r="N915">
        <v>0</v>
      </c>
      <c r="O915">
        <v>-0.99226150000000002</v>
      </c>
      <c r="P915">
        <v>-9.060211E-2</v>
      </c>
      <c r="Q915">
        <v>4.3695369999999997E-2</v>
      </c>
      <c r="R915">
        <v>-0.99492829999999999</v>
      </c>
      <c r="S915">
        <v>-0.35870359999999901</v>
      </c>
      <c r="T915">
        <v>-0.22512889999999899</v>
      </c>
      <c r="U915">
        <v>-2.993134</v>
      </c>
      <c r="V915">
        <v>-3.051369E-2</v>
      </c>
      <c r="W915">
        <v>6.033504E-2</v>
      </c>
      <c r="X915">
        <v>0.99771169999999998</v>
      </c>
      <c r="Y915">
        <v>-4.5735819999999996E-3</v>
      </c>
      <c r="Z915">
        <v>7.3886510000000002E-2</v>
      </c>
      <c r="AA915">
        <v>0.99725620000000004</v>
      </c>
      <c r="AB915">
        <v>39</v>
      </c>
      <c r="AC915">
        <v>-1.6923999999999899</v>
      </c>
      <c r="AD915">
        <v>-1.0952314795660001</v>
      </c>
      <c r="AE915">
        <v>-14.155299999999899</v>
      </c>
      <c r="AF915">
        <v>-6.4124430626038398E-2</v>
      </c>
      <c r="AG915">
        <v>-1.0952314795660001</v>
      </c>
      <c r="AH915">
        <v>14.1723192676123</v>
      </c>
      <c r="AI915">
        <v>94.418968121950897</v>
      </c>
      <c r="AJ915">
        <v>90.259240149577394</v>
      </c>
      <c r="AK915">
        <v>14.214720446057701</v>
      </c>
    </row>
    <row r="916" spans="1:37" x14ac:dyDescent="0.2">
      <c r="A916" t="str">
        <f>"20200111154042944"</f>
        <v>20200111154042944</v>
      </c>
      <c r="B916" t="str">
        <f>"1578728442937373"</f>
        <v>1578728442937373</v>
      </c>
      <c r="C916" t="s">
        <v>37</v>
      </c>
      <c r="D916">
        <v>5.6780660000000003</v>
      </c>
      <c r="E916">
        <v>0.50953619999999999</v>
      </c>
      <c r="F916" t="s">
        <v>39</v>
      </c>
      <c r="G916">
        <v>-190.97499999999999</v>
      </c>
      <c r="H916" s="1">
        <v>-1.8033129999999899E-6</v>
      </c>
      <c r="I916">
        <v>323.18799999999999</v>
      </c>
      <c r="J916">
        <v>-189.0772</v>
      </c>
      <c r="K916">
        <v>1.095693</v>
      </c>
      <c r="L916">
        <v>338.71480000000003</v>
      </c>
      <c r="M916">
        <v>-0.13440940000000001</v>
      </c>
      <c r="N916">
        <v>0</v>
      </c>
      <c r="O916">
        <v>-0.99080569999999901</v>
      </c>
      <c r="P916">
        <v>-9.4589290000000006E-2</v>
      </c>
      <c r="Q916">
        <v>4.4852690000000001E-2</v>
      </c>
      <c r="R916">
        <v>-0.99450569999999905</v>
      </c>
      <c r="S916">
        <v>-0.36697390000000002</v>
      </c>
      <c r="T916">
        <v>-0.20613499999999901</v>
      </c>
      <c r="U916">
        <v>-2.990936</v>
      </c>
      <c r="V916">
        <v>-3.782539E-2</v>
      </c>
      <c r="W916">
        <v>6.1614870000000002E-2</v>
      </c>
      <c r="X916">
        <v>0.99738300000000002</v>
      </c>
      <c r="Y916">
        <v>-1.3028959999999999E-2</v>
      </c>
      <c r="Z916">
        <v>6.7569560000000001E-2</v>
      </c>
      <c r="AA916">
        <v>0.99762949999999995</v>
      </c>
      <c r="AB916">
        <v>39</v>
      </c>
      <c r="AC916">
        <v>-1.8977999999999799</v>
      </c>
      <c r="AD916">
        <v>-1.0956948033130001</v>
      </c>
      <c r="AE916">
        <v>-15.5268</v>
      </c>
      <c r="AF916">
        <v>-0.205612576462226</v>
      </c>
      <c r="AG916">
        <v>-1.0956948033130001</v>
      </c>
      <c r="AH916">
        <v>15.5646184993017</v>
      </c>
      <c r="AI916">
        <v>94.0264296628946</v>
      </c>
      <c r="AJ916">
        <v>90.756847823149101</v>
      </c>
      <c r="AK916">
        <v>15.604492066786801</v>
      </c>
    </row>
    <row r="917" spans="1:37" x14ac:dyDescent="0.2">
      <c r="A917" t="str">
        <f>"20200111154042966"</f>
        <v>20200111154042966</v>
      </c>
      <c r="B917" t="str">
        <f>"1578728442956894"</f>
        <v>1578728442956894</v>
      </c>
      <c r="C917" t="s">
        <v>37</v>
      </c>
      <c r="D917">
        <v>5.6851649999999996</v>
      </c>
      <c r="E917">
        <v>0.50881359999999998</v>
      </c>
      <c r="F917" t="s">
        <v>39</v>
      </c>
      <c r="G917">
        <v>-191.0942</v>
      </c>
      <c r="H917" s="1">
        <v>-1.557519E-6</v>
      </c>
      <c r="I917">
        <v>322.54109999999997</v>
      </c>
      <c r="J917">
        <v>-189.13820000000001</v>
      </c>
      <c r="K917">
        <v>1.096249</v>
      </c>
      <c r="L917">
        <v>338.3211</v>
      </c>
      <c r="M917">
        <v>-0.14593249999999999</v>
      </c>
      <c r="N917">
        <v>0</v>
      </c>
      <c r="O917">
        <v>-0.98917569999999999</v>
      </c>
      <c r="P917">
        <v>-9.9474859999999998E-2</v>
      </c>
      <c r="Q917">
        <v>4.6174449999999999E-2</v>
      </c>
      <c r="R917">
        <v>-0.99396819999999897</v>
      </c>
      <c r="S917">
        <v>-0.3729095</v>
      </c>
      <c r="T917">
        <v>-0.2025739</v>
      </c>
      <c r="U917">
        <v>-2.9902340000000001</v>
      </c>
      <c r="V917">
        <v>-4.456446E-2</v>
      </c>
      <c r="W917">
        <v>6.3004050000000006E-2</v>
      </c>
      <c r="X917">
        <v>0.99701779999999995</v>
      </c>
      <c r="Y917">
        <v>-2.2677119999999999E-2</v>
      </c>
      <c r="Z917">
        <v>6.6245289999999998E-2</v>
      </c>
      <c r="AA917">
        <v>0.99754569999999998</v>
      </c>
      <c r="AB917">
        <v>38</v>
      </c>
      <c r="AC917">
        <v>-1.95599999999998</v>
      </c>
      <c r="AD917">
        <v>-1.096250557519</v>
      </c>
      <c r="AE917">
        <v>-15.78</v>
      </c>
      <c r="AF917">
        <v>-0.36628941579688801</v>
      </c>
      <c r="AG917">
        <v>-1.096250557519</v>
      </c>
      <c r="AH917">
        <v>15.8213041853584</v>
      </c>
      <c r="AI917">
        <v>93.962603426375395</v>
      </c>
      <c r="AJ917">
        <v>91.326255340395704</v>
      </c>
      <c r="AK917">
        <v>15.863467443993001</v>
      </c>
    </row>
    <row r="918" spans="1:37" x14ac:dyDescent="0.2">
      <c r="A918" t="str">
        <f>"20200111154042988"</f>
        <v>20200111154042988</v>
      </c>
      <c r="B918" t="str">
        <f>"1578728442977390"</f>
        <v>1578728442977390</v>
      </c>
      <c r="C918" t="s">
        <v>37</v>
      </c>
      <c r="D918">
        <v>5.6757419999999996</v>
      </c>
      <c r="E918">
        <v>0.507909099999999</v>
      </c>
      <c r="F918" t="s">
        <v>39</v>
      </c>
      <c r="G918">
        <v>-191.22319999999999</v>
      </c>
      <c r="H918" s="1">
        <v>-1.3561269999999999E-6</v>
      </c>
      <c r="I918">
        <v>321.99160000000001</v>
      </c>
      <c r="J918">
        <v>-189.20060000000001</v>
      </c>
      <c r="K918">
        <v>1.0967899999999999</v>
      </c>
      <c r="L918">
        <v>337.94580000000002</v>
      </c>
      <c r="M918">
        <v>-0.15641659999999999</v>
      </c>
      <c r="N918">
        <v>0</v>
      </c>
      <c r="O918">
        <v>-0.987573699999999</v>
      </c>
      <c r="P918">
        <v>-0.1075801</v>
      </c>
      <c r="Q918">
        <v>4.6698209999999997E-2</v>
      </c>
      <c r="R918">
        <v>-0.99309950000000002</v>
      </c>
      <c r="S918">
        <v>-0.3816833</v>
      </c>
      <c r="T918">
        <v>-0.20068440000000001</v>
      </c>
      <c r="U918">
        <v>-2.9893489999999998</v>
      </c>
      <c r="V918">
        <v>-4.7069369999999999E-2</v>
      </c>
      <c r="W918">
        <v>6.3450900000000005E-2</v>
      </c>
      <c r="X918">
        <v>0.99687429999999999</v>
      </c>
      <c r="Y918">
        <v>-3.0356499999999901E-2</v>
      </c>
      <c r="Z918">
        <v>6.5471119999999994E-2</v>
      </c>
      <c r="AA918">
        <v>0.99739259999999996</v>
      </c>
      <c r="AB918">
        <v>38</v>
      </c>
      <c r="AC918">
        <v>-2.0225999999999802</v>
      </c>
      <c r="AD918">
        <v>-1.096791356127</v>
      </c>
      <c r="AE918">
        <v>-15.9542</v>
      </c>
      <c r="AF918">
        <v>-0.49578689576495399</v>
      </c>
      <c r="AG918">
        <v>-1.096791356127</v>
      </c>
      <c r="AH918">
        <v>15.9997619834067</v>
      </c>
      <c r="AI918">
        <v>93.919642707702195</v>
      </c>
      <c r="AJ918">
        <v>91.774864521634598</v>
      </c>
      <c r="AK918">
        <v>16.044972404169201</v>
      </c>
    </row>
    <row r="919" spans="1:37" x14ac:dyDescent="0.2">
      <c r="A919" t="str">
        <f>"20200111154043011"</f>
        <v>20200111154043011</v>
      </c>
      <c r="B919" t="str">
        <f>"1578728443007646"</f>
        <v>1578728443007646</v>
      </c>
      <c r="C919" t="s">
        <v>37</v>
      </c>
      <c r="D919">
        <v>6.0012150000000002</v>
      </c>
      <c r="E919">
        <v>0.50677039999999995</v>
      </c>
      <c r="F919" t="s">
        <v>39</v>
      </c>
      <c r="G919">
        <v>-191.39250000000001</v>
      </c>
      <c r="H919" s="1">
        <v>-1.191064E-6</v>
      </c>
      <c r="I919">
        <v>321.5018</v>
      </c>
      <c r="J919">
        <v>-189.2698</v>
      </c>
      <c r="K919">
        <v>1.0973740000000001</v>
      </c>
      <c r="L919">
        <v>337.55500000000001</v>
      </c>
      <c r="M919">
        <v>-0.16675770000000001</v>
      </c>
      <c r="N919">
        <v>0</v>
      </c>
      <c r="O919">
        <v>-0.98588169999999897</v>
      </c>
      <c r="P919">
        <v>-0.1128451</v>
      </c>
      <c r="Q919">
        <v>4.6450829999999999E-2</v>
      </c>
      <c r="R919">
        <v>-0.99252640000000003</v>
      </c>
      <c r="S919">
        <v>-0.39816279999999998</v>
      </c>
      <c r="T919">
        <v>-0.19923289999999999</v>
      </c>
      <c r="U919">
        <v>-2.9870610000000002</v>
      </c>
      <c r="V919">
        <v>-5.2331620000000002E-2</v>
      </c>
      <c r="W919">
        <v>6.3198210000000005E-2</v>
      </c>
      <c r="X919">
        <v>0.99662799999999996</v>
      </c>
      <c r="Y919">
        <v>-3.5319879999999998E-2</v>
      </c>
      <c r="Z919">
        <v>6.4853359999999999E-2</v>
      </c>
      <c r="AA919">
        <v>0.99726959999999998</v>
      </c>
      <c r="AB919">
        <v>38</v>
      </c>
      <c r="AC919">
        <v>-2.1227</v>
      </c>
      <c r="AD919">
        <v>-1.0973751910639999</v>
      </c>
      <c r="AE919">
        <v>-16.0532</v>
      </c>
      <c r="AF919">
        <v>-0.58165924457407303</v>
      </c>
      <c r="AG919">
        <v>-1.0973751910639999</v>
      </c>
      <c r="AH919">
        <v>16.1084072493076</v>
      </c>
      <c r="AI919">
        <v>93.894687336488602</v>
      </c>
      <c r="AJ919">
        <v>92.067997548224398</v>
      </c>
      <c r="AK919">
        <v>16.1562168807028</v>
      </c>
    </row>
    <row r="920" spans="1:37" x14ac:dyDescent="0.2">
      <c r="A920" t="str">
        <f>"20200111154043033"</f>
        <v>20200111154043033</v>
      </c>
      <c r="B920" t="str">
        <f>"1578728443027166"</f>
        <v>1578728443027166</v>
      </c>
      <c r="C920" t="s">
        <v>37</v>
      </c>
      <c r="D920">
        <v>5.7214320000000001</v>
      </c>
      <c r="E920">
        <v>0.50617970000000001</v>
      </c>
      <c r="F920" t="s">
        <v>39</v>
      </c>
      <c r="G920">
        <v>-191.50960000000001</v>
      </c>
      <c r="H920" s="1">
        <v>-1.017062E-6</v>
      </c>
      <c r="I920">
        <v>321.02359999999999</v>
      </c>
      <c r="J920">
        <v>-189.33930000000001</v>
      </c>
      <c r="K920">
        <v>1.097982</v>
      </c>
      <c r="L920">
        <v>337.18329999999997</v>
      </c>
      <c r="M920">
        <v>-0.17597739999999901</v>
      </c>
      <c r="N920">
        <v>0</v>
      </c>
      <c r="O920">
        <v>-0.98427929999999997</v>
      </c>
      <c r="P920">
        <v>-0.1181237</v>
      </c>
      <c r="Q920">
        <v>4.5581299999999998E-2</v>
      </c>
      <c r="R920">
        <v>-0.99195239999999996</v>
      </c>
      <c r="S920">
        <v>-0.40454099999999998</v>
      </c>
      <c r="T920">
        <v>-0.19820399999999999</v>
      </c>
      <c r="U920">
        <v>-2.98584</v>
      </c>
      <c r="V920">
        <v>-5.648508E-2</v>
      </c>
      <c r="W920">
        <v>6.2278300000000002E-2</v>
      </c>
      <c r="X920">
        <v>0.99645910000000004</v>
      </c>
      <c r="Y920">
        <v>-4.252239E-2</v>
      </c>
      <c r="Z920">
        <v>6.4370070000000001E-2</v>
      </c>
      <c r="AA920">
        <v>0.99701969999999995</v>
      </c>
      <c r="AB920">
        <v>38</v>
      </c>
      <c r="AC920">
        <v>-2.1702999999999899</v>
      </c>
      <c r="AD920">
        <v>-1.097983017062</v>
      </c>
      <c r="AE920">
        <v>-16.159699999999901</v>
      </c>
      <c r="AF920">
        <v>-0.70444612680893004</v>
      </c>
      <c r="AG920">
        <v>-1.097983017062</v>
      </c>
      <c r="AH920">
        <v>16.215888225170701</v>
      </c>
      <c r="AI920">
        <v>93.869964321728702</v>
      </c>
      <c r="AJ920">
        <v>92.487463411128203</v>
      </c>
      <c r="AK920">
        <v>16.268277167007</v>
      </c>
    </row>
    <row r="921" spans="1:37" x14ac:dyDescent="0.2">
      <c r="A921" t="str">
        <f>"20200111154043056"</f>
        <v>20200111154043056</v>
      </c>
      <c r="B921" t="str">
        <f>"1578728443047662"</f>
        <v>1578728443047662</v>
      </c>
      <c r="C921" t="s">
        <v>37</v>
      </c>
      <c r="D921">
        <v>6.1831290000000001</v>
      </c>
      <c r="E921">
        <v>0.50561789999999995</v>
      </c>
      <c r="F921" t="s">
        <v>39</v>
      </c>
      <c r="G921">
        <v>-191.62540000000001</v>
      </c>
      <c r="H921" s="1">
        <v>-9.3421079999999999E-7</v>
      </c>
      <c r="I921">
        <v>320.75869999999998</v>
      </c>
      <c r="J921">
        <v>-189.41820000000001</v>
      </c>
      <c r="K921">
        <v>1.0987209999999901</v>
      </c>
      <c r="L921">
        <v>336.78140000000002</v>
      </c>
      <c r="M921">
        <v>-0.18518799999999999</v>
      </c>
      <c r="N921">
        <v>0</v>
      </c>
      <c r="O921">
        <v>-0.98258979999999996</v>
      </c>
      <c r="P921">
        <v>-0.1233522</v>
      </c>
      <c r="Q921">
        <v>4.4752430000000003E-2</v>
      </c>
      <c r="R921">
        <v>-0.99135379999999995</v>
      </c>
      <c r="S921">
        <v>-0.415329</v>
      </c>
      <c r="T921">
        <v>-0.19947989999999999</v>
      </c>
      <c r="U921">
        <v>-2.9840089999999999</v>
      </c>
      <c r="V921">
        <v>-6.0706399999999897E-2</v>
      </c>
      <c r="W921">
        <v>6.1357380000000003E-2</v>
      </c>
      <c r="X921">
        <v>0.99626800000000004</v>
      </c>
      <c r="Y921">
        <v>-4.8262380000000001E-2</v>
      </c>
      <c r="Z921">
        <v>6.4630389999999996E-2</v>
      </c>
      <c r="AA921">
        <v>0.99674149999999995</v>
      </c>
      <c r="AB921">
        <v>38</v>
      </c>
      <c r="AC921">
        <v>-2.2071999999999998</v>
      </c>
      <c r="AD921">
        <v>-1.0987219342108001</v>
      </c>
      <c r="AE921">
        <v>-16.0227</v>
      </c>
      <c r="AF921">
        <v>-0.79486046392387699</v>
      </c>
      <c r="AG921">
        <v>-1.0987219342108001</v>
      </c>
      <c r="AH921">
        <v>16.080083155378102</v>
      </c>
      <c r="AI921">
        <v>93.904085581742805</v>
      </c>
      <c r="AJ921">
        <v>92.829905185200104</v>
      </c>
      <c r="AK921">
        <v>16.1371641662871</v>
      </c>
    </row>
    <row r="922" spans="1:37" x14ac:dyDescent="0.2">
      <c r="A922" t="str">
        <f>"20200111154043078"</f>
        <v>20200111154043078</v>
      </c>
      <c r="B922" t="str">
        <f>"1578728443067182"</f>
        <v>1578728443067182</v>
      </c>
      <c r="C922" t="s">
        <v>37</v>
      </c>
      <c r="D922">
        <v>5.6705329999999998</v>
      </c>
      <c r="E922">
        <v>0.50524290000000005</v>
      </c>
      <c r="F922" t="s">
        <v>39</v>
      </c>
      <c r="G922">
        <v>-191.73390000000001</v>
      </c>
      <c r="H922" s="1">
        <v>-8.9335939999999999E-7</v>
      </c>
      <c r="I922">
        <v>320.59609999999998</v>
      </c>
      <c r="J922">
        <v>-189.4948</v>
      </c>
      <c r="K922">
        <v>1.099505</v>
      </c>
      <c r="L922">
        <v>336.40699999999998</v>
      </c>
      <c r="M922">
        <v>-0.1929652</v>
      </c>
      <c r="N922">
        <v>0</v>
      </c>
      <c r="O922">
        <v>-0.98109329999999995</v>
      </c>
      <c r="P922">
        <v>-0.1278367</v>
      </c>
      <c r="Q922">
        <v>4.363968E-2</v>
      </c>
      <c r="R922">
        <v>-0.99083480000000002</v>
      </c>
      <c r="S922">
        <v>-0.42668149999999899</v>
      </c>
      <c r="T922">
        <v>-0.20244470000000001</v>
      </c>
      <c r="U922">
        <v>-2.982208</v>
      </c>
      <c r="V922">
        <v>-6.4246239999999996E-2</v>
      </c>
      <c r="W922">
        <v>6.011942E-2</v>
      </c>
      <c r="X922">
        <v>0.99612149999999999</v>
      </c>
      <c r="Y922">
        <v>-5.2379389999999998E-2</v>
      </c>
      <c r="Z922">
        <v>6.5451469999999998E-2</v>
      </c>
      <c r="AA922">
        <v>0.99647999999999903</v>
      </c>
      <c r="AB922">
        <v>38</v>
      </c>
      <c r="AC922">
        <v>-2.2391000000000001</v>
      </c>
      <c r="AD922">
        <v>-1.0995058933594</v>
      </c>
      <c r="AE922">
        <v>-15.8109</v>
      </c>
      <c r="AF922">
        <v>-0.85025067740541005</v>
      </c>
      <c r="AG922">
        <v>-1.0995058933594</v>
      </c>
      <c r="AH922">
        <v>15.870553262125499</v>
      </c>
      <c r="AI922">
        <v>93.957440240508504</v>
      </c>
      <c r="AJ922">
        <v>93.066638376248704</v>
      </c>
      <c r="AK922">
        <v>15.9312993905056</v>
      </c>
    </row>
    <row r="923" spans="1:37" x14ac:dyDescent="0.2">
      <c r="A923" t="str">
        <f>"20200111154043102"</f>
        <v>20200111154043102</v>
      </c>
      <c r="B923" t="str">
        <f>"1578728443097438"</f>
        <v>1578728443097438</v>
      </c>
      <c r="C923" t="s">
        <v>37</v>
      </c>
      <c r="D923">
        <v>5.6431009999999997</v>
      </c>
      <c r="E923">
        <v>0.49642619999999998</v>
      </c>
      <c r="F923" t="s">
        <v>39</v>
      </c>
      <c r="G923">
        <v>-191.82220000000001</v>
      </c>
      <c r="H923" s="1">
        <v>-8.9505150000000005E-7</v>
      </c>
      <c r="I923">
        <v>320.5453</v>
      </c>
      <c r="J923">
        <v>-189.57820000000001</v>
      </c>
      <c r="K923">
        <v>1.1004309999999999</v>
      </c>
      <c r="L923">
        <v>336.01260000000002</v>
      </c>
      <c r="M923">
        <v>-0.20023469999999999</v>
      </c>
      <c r="N923">
        <v>0</v>
      </c>
      <c r="O923">
        <v>-0.97963699999999998</v>
      </c>
      <c r="P923">
        <v>-0.1325074</v>
      </c>
      <c r="Q923">
        <v>4.2337010000000001E-2</v>
      </c>
      <c r="R923">
        <v>-0.99027749999999903</v>
      </c>
      <c r="S923">
        <v>-0.4373322</v>
      </c>
      <c r="T923">
        <v>-0.20660149999999999</v>
      </c>
      <c r="U923">
        <v>-2.9804689999999998</v>
      </c>
      <c r="V923">
        <v>-6.7114179999999996E-2</v>
      </c>
      <c r="W923">
        <v>5.8632410000000003E-2</v>
      </c>
      <c r="X923">
        <v>0.99602099999999905</v>
      </c>
      <c r="Y923">
        <v>-5.6226720000000001E-2</v>
      </c>
      <c r="Z923">
        <v>6.6654499999999894E-2</v>
      </c>
      <c r="AA923">
        <v>0.99619059999999904</v>
      </c>
      <c r="AB923">
        <v>38</v>
      </c>
      <c r="AC923">
        <v>-2.2440000000000002</v>
      </c>
      <c r="AD923">
        <v>-1.1004318950515</v>
      </c>
      <c r="AE923">
        <v>-15.4673</v>
      </c>
      <c r="AF923">
        <v>-0.89444835858625404</v>
      </c>
      <c r="AG923">
        <v>-1.1004318950515</v>
      </c>
      <c r="AH923">
        <v>15.526392297690901</v>
      </c>
      <c r="AI923">
        <v>94.047366879838705</v>
      </c>
      <c r="AJ923">
        <v>93.297065732783096</v>
      </c>
      <c r="AK923">
        <v>15.5910181195334</v>
      </c>
    </row>
    <row r="924" spans="1:37" x14ac:dyDescent="0.2">
      <c r="A924" t="str">
        <f>"20200111154043125"</f>
        <v>20200111154043125</v>
      </c>
      <c r="B924" t="str">
        <f>"1578728443116958"</f>
        <v>1578728443116958</v>
      </c>
      <c r="C924" t="s">
        <v>37</v>
      </c>
      <c r="D924">
        <v>5.9108549999999997</v>
      </c>
      <c r="E924">
        <v>0.4945852</v>
      </c>
      <c r="F924" t="s">
        <v>39</v>
      </c>
      <c r="G924">
        <v>-191.1284</v>
      </c>
      <c r="H924" s="1">
        <v>-2.1733259999999999E-6</v>
      </c>
      <c r="I924">
        <v>323.95530000000002</v>
      </c>
      <c r="J924">
        <v>-189.66200000000001</v>
      </c>
      <c r="K924">
        <v>1.1014549999999901</v>
      </c>
      <c r="L924">
        <v>335.62759999999997</v>
      </c>
      <c r="M924">
        <v>-0.20621629999999999</v>
      </c>
      <c r="N924">
        <v>0</v>
      </c>
      <c r="O924">
        <v>-0.97839699999999996</v>
      </c>
      <c r="P924">
        <v>-0.13685890000000001</v>
      </c>
      <c r="Q924">
        <v>4.1079339999999999E-2</v>
      </c>
      <c r="R924">
        <v>-0.98973829999999996</v>
      </c>
      <c r="S924">
        <v>-0.38438420000000001</v>
      </c>
      <c r="T924">
        <v>-0.2728623</v>
      </c>
      <c r="U924">
        <v>-2.989716</v>
      </c>
      <c r="V924">
        <v>-6.9005070000000002E-2</v>
      </c>
      <c r="W924">
        <v>5.7146229999999999E-2</v>
      </c>
      <c r="X924">
        <v>0.99597819999999904</v>
      </c>
      <c r="Y924">
        <v>-8.0275189999999996E-2</v>
      </c>
      <c r="Z924">
        <v>8.7473809999999999E-2</v>
      </c>
      <c r="AA924">
        <v>0.99292709999999995</v>
      </c>
      <c r="AB924">
        <v>38</v>
      </c>
      <c r="AC924">
        <v>-1.4663999999999899</v>
      </c>
      <c r="AD924">
        <v>-1.1014571733259999</v>
      </c>
      <c r="AE924">
        <v>-11.6722999999999</v>
      </c>
      <c r="AF924">
        <v>-0.96395090128410599</v>
      </c>
      <c r="AG924">
        <v>-1.1014571733259999</v>
      </c>
      <c r="AH924">
        <v>11.621911917119199</v>
      </c>
      <c r="AI924">
        <v>95.395571813420105</v>
      </c>
      <c r="AJ924">
        <v>94.741404618729902</v>
      </c>
      <c r="AK924">
        <v>11.713720410443299</v>
      </c>
    </row>
    <row r="925" spans="1:37" x14ac:dyDescent="0.2">
      <c r="A925" t="str">
        <f>"20200111154043145"</f>
        <v>20200111154043145</v>
      </c>
      <c r="B925" t="str">
        <f>"1578728443137454"</f>
        <v>1578728443137454</v>
      </c>
      <c r="C925" t="s">
        <v>37</v>
      </c>
      <c r="D925">
        <v>5.7207939999999997</v>
      </c>
      <c r="E925">
        <v>0.49372820000000001</v>
      </c>
      <c r="F925" t="s">
        <v>39</v>
      </c>
      <c r="G925">
        <v>-191.28829999999999</v>
      </c>
      <c r="H925" s="1">
        <v>-1.766119E-6</v>
      </c>
      <c r="I925">
        <v>322.90690000000001</v>
      </c>
      <c r="J925">
        <v>-189.73820000000001</v>
      </c>
      <c r="K925">
        <v>1.1024510000000001</v>
      </c>
      <c r="L925">
        <v>335.2842</v>
      </c>
      <c r="M925">
        <v>-0.21060989999999999</v>
      </c>
      <c r="N925">
        <v>0</v>
      </c>
      <c r="O925">
        <v>-0.97746180000000005</v>
      </c>
      <c r="P925">
        <v>-0.14094579999999901</v>
      </c>
      <c r="Q925">
        <v>4.1325260000000003E-2</v>
      </c>
      <c r="R925">
        <v>-0.98915419999999998</v>
      </c>
      <c r="S925">
        <v>-0.38214109999999901</v>
      </c>
      <c r="T925">
        <v>-0.25881270000000001</v>
      </c>
      <c r="U925">
        <v>-2.9890140000000001</v>
      </c>
      <c r="V925">
        <v>-6.9495630000000003E-2</v>
      </c>
      <c r="W925">
        <v>5.7151460000000001E-2</v>
      </c>
      <c r="X925">
        <v>0.99594380000000005</v>
      </c>
      <c r="Y925">
        <v>-8.5405410000000001E-2</v>
      </c>
      <c r="Z925">
        <v>8.2888359999999994E-2</v>
      </c>
      <c r="AA925">
        <v>0.99289240000000001</v>
      </c>
      <c r="AB925">
        <v>38</v>
      </c>
      <c r="AC925">
        <v>-1.55009999999998</v>
      </c>
      <c r="AD925">
        <v>-1.102452766119</v>
      </c>
      <c r="AE925">
        <v>-12.3772999999999</v>
      </c>
      <c r="AF925">
        <v>-1.0832725589985499</v>
      </c>
      <c r="AG925">
        <v>-1.102452766119</v>
      </c>
      <c r="AH925">
        <v>12.329812188631999</v>
      </c>
      <c r="AI925">
        <v>95.089930629625101</v>
      </c>
      <c r="AJ925">
        <v>95.020999631909106</v>
      </c>
      <c r="AK925">
        <v>12.4263087900447</v>
      </c>
    </row>
    <row r="926" spans="1:37" x14ac:dyDescent="0.2">
      <c r="A926" t="str">
        <f>"20200111154043167"</f>
        <v>20200111154043167</v>
      </c>
      <c r="B926" t="str">
        <f>"1578728443156974"</f>
        <v>1578728443156974</v>
      </c>
      <c r="C926" t="s">
        <v>37</v>
      </c>
      <c r="D926">
        <v>5.6615890000000002</v>
      </c>
      <c r="E926">
        <v>0.49294460000000001</v>
      </c>
      <c r="F926" t="s">
        <v>39</v>
      </c>
      <c r="G926">
        <v>-191.4941</v>
      </c>
      <c r="H926" s="1">
        <v>-1.312327E-6</v>
      </c>
      <c r="I926">
        <v>321.72149999999999</v>
      </c>
      <c r="J926">
        <v>-189.82169999999999</v>
      </c>
      <c r="K926">
        <v>1.103513</v>
      </c>
      <c r="L926">
        <v>334.91309999999999</v>
      </c>
      <c r="M926">
        <v>-0.2144692</v>
      </c>
      <c r="N926">
        <v>0</v>
      </c>
      <c r="O926">
        <v>-0.97662349999999998</v>
      </c>
      <c r="P926">
        <v>-0.1439356</v>
      </c>
      <c r="Q926">
        <v>4.1106249999999997E-2</v>
      </c>
      <c r="R926">
        <v>-0.98873330000000004</v>
      </c>
      <c r="S926">
        <v>-0.38682559999999999</v>
      </c>
      <c r="T926">
        <v>-0.2428747</v>
      </c>
      <c r="U926">
        <v>-2.9879150000000001</v>
      </c>
      <c r="V926">
        <v>-7.0568350000000002E-2</v>
      </c>
      <c r="W926">
        <v>5.6691110000000003E-2</v>
      </c>
      <c r="X926">
        <v>0.99589470000000002</v>
      </c>
      <c r="Y926">
        <v>-8.7709200000000001E-2</v>
      </c>
      <c r="Z926">
        <v>7.7729530000000005E-2</v>
      </c>
      <c r="AA926">
        <v>0.99310889999999996</v>
      </c>
      <c r="AB926">
        <v>38</v>
      </c>
      <c r="AC926">
        <v>-1.6724000000000101</v>
      </c>
      <c r="AD926">
        <v>-1.1035143123269999</v>
      </c>
      <c r="AE926">
        <v>-13.1915999999999</v>
      </c>
      <c r="AF926">
        <v>-1.18783133618991</v>
      </c>
      <c r="AG926">
        <v>-1.1035143123269999</v>
      </c>
      <c r="AH926">
        <v>13.152708179583801</v>
      </c>
      <c r="AI926">
        <v>94.776544146897095</v>
      </c>
      <c r="AJ926">
        <v>95.160427382771303</v>
      </c>
      <c r="AK926">
        <v>13.2522609232552</v>
      </c>
    </row>
    <row r="927" spans="1:37" x14ac:dyDescent="0.2">
      <c r="A927" t="str">
        <f>"20200111154043190"</f>
        <v>20200111154043190</v>
      </c>
      <c r="B927" t="str">
        <f>"1578728443187230"</f>
        <v>1578728443187230</v>
      </c>
      <c r="C927" t="s">
        <v>37</v>
      </c>
      <c r="D927">
        <v>5.6645810000000001</v>
      </c>
      <c r="E927">
        <v>0.49172709999999997</v>
      </c>
      <c r="F927" t="s">
        <v>39</v>
      </c>
      <c r="G927">
        <v>-191.5608</v>
      </c>
      <c r="H927" s="1">
        <v>-1.2655289999999999E-6</v>
      </c>
      <c r="I927">
        <v>321.5711</v>
      </c>
      <c r="J927">
        <v>-189.90450000000001</v>
      </c>
      <c r="K927">
        <v>1.104508</v>
      </c>
      <c r="L927">
        <v>334.54829999999998</v>
      </c>
      <c r="M927">
        <v>-0.21738049999999901</v>
      </c>
      <c r="N927">
        <v>0</v>
      </c>
      <c r="O927">
        <v>-0.97598099999999999</v>
      </c>
      <c r="P927">
        <v>-0.14496609999999999</v>
      </c>
      <c r="Q927">
        <v>4.0728159999999999E-2</v>
      </c>
      <c r="R927">
        <v>-0.98859819999999998</v>
      </c>
      <c r="S927">
        <v>-0.38945009999999902</v>
      </c>
      <c r="T927">
        <v>-0.24711749999999999</v>
      </c>
      <c r="U927">
        <v>-2.987762</v>
      </c>
      <c r="V927">
        <v>-7.2644429999999996E-2</v>
      </c>
      <c r="W927">
        <v>5.6098389999999998E-2</v>
      </c>
      <c r="X927">
        <v>0.99577899999999997</v>
      </c>
      <c r="Y927">
        <v>-8.9828149999999996E-2</v>
      </c>
      <c r="Z927">
        <v>7.8991759999999994E-2</v>
      </c>
      <c r="AA927">
        <v>0.99281980000000003</v>
      </c>
      <c r="AB927">
        <v>38</v>
      </c>
      <c r="AC927">
        <v>-1.6562999999999799</v>
      </c>
      <c r="AD927">
        <v>-1.1045092655290001</v>
      </c>
      <c r="AE927">
        <v>-12.9771999999999</v>
      </c>
      <c r="AF927">
        <v>-1.19607202571321</v>
      </c>
      <c r="AG927">
        <v>-1.1045092655290001</v>
      </c>
      <c r="AH927">
        <v>12.9346983254731</v>
      </c>
      <c r="AI927">
        <v>94.860080482580898</v>
      </c>
      <c r="AJ927">
        <v>95.283118867881996</v>
      </c>
      <c r="AK927">
        <v>13.036753805274101</v>
      </c>
    </row>
    <row r="928" spans="1:37" x14ac:dyDescent="0.2">
      <c r="A928" t="str">
        <f>"20200111154043213"</f>
        <v>20200111154043213</v>
      </c>
      <c r="B928" t="str">
        <f>"1578728443206749"</f>
        <v>1578728443206749</v>
      </c>
      <c r="C928" t="s">
        <v>37</v>
      </c>
      <c r="D928">
        <v>5.6568740000000002</v>
      </c>
      <c r="E928">
        <v>0.49107889999999998</v>
      </c>
      <c r="F928" t="s">
        <v>39</v>
      </c>
      <c r="G928">
        <v>-191.6044</v>
      </c>
      <c r="H928" s="1">
        <v>-1.1499259999999899E-6</v>
      </c>
      <c r="I928">
        <v>321.27449999999999</v>
      </c>
      <c r="J928">
        <v>-189.99279999999999</v>
      </c>
      <c r="K928">
        <v>1.10555</v>
      </c>
      <c r="L928">
        <v>334.16230000000002</v>
      </c>
      <c r="M928">
        <v>-0.219484499999999</v>
      </c>
      <c r="N928">
        <v>0</v>
      </c>
      <c r="O928">
        <v>-0.97551080000000001</v>
      </c>
      <c r="P928">
        <v>-0.1450272</v>
      </c>
      <c r="Q928">
        <v>4.0898829999999997E-2</v>
      </c>
      <c r="R928">
        <v>-0.98858199999999996</v>
      </c>
      <c r="S928">
        <v>-0.38273620000000003</v>
      </c>
      <c r="T928">
        <v>-0.24868969999999899</v>
      </c>
      <c r="U928">
        <v>-2.9887079999999999</v>
      </c>
      <c r="V928">
        <v>-7.4863810000000003E-2</v>
      </c>
      <c r="W928">
        <v>5.6040310000000003E-2</v>
      </c>
      <c r="X928">
        <v>0.99561789999999994</v>
      </c>
      <c r="Y928">
        <v>-9.4212959999999998E-2</v>
      </c>
      <c r="Z928">
        <v>7.9402600000000004E-2</v>
      </c>
      <c r="AA928">
        <v>0.99238059999999995</v>
      </c>
      <c r="AB928">
        <v>38</v>
      </c>
      <c r="AC928">
        <v>-1.6116000000000099</v>
      </c>
      <c r="AD928">
        <v>-1.105551149926</v>
      </c>
      <c r="AE928">
        <v>-12.8878</v>
      </c>
      <c r="AF928">
        <v>-1.2476285449323301</v>
      </c>
      <c r="AG928">
        <v>-1.105551149926</v>
      </c>
      <c r="AH928">
        <v>12.834246851818699</v>
      </c>
      <c r="AI928">
        <v>94.900359379163305</v>
      </c>
      <c r="AJ928">
        <v>95.552327761570695</v>
      </c>
      <c r="AK928">
        <v>12.942052100986601</v>
      </c>
    </row>
    <row r="929" spans="1:37" x14ac:dyDescent="0.2">
      <c r="A929" t="str">
        <f>"20200111154043234"</f>
        <v>20200111154043234</v>
      </c>
      <c r="B929" t="str">
        <f>"1578728443227247"</f>
        <v>1578728443227247</v>
      </c>
      <c r="C929" t="s">
        <v>37</v>
      </c>
      <c r="D929">
        <v>5.8976629999999997</v>
      </c>
      <c r="E929">
        <v>0.49052079999999998</v>
      </c>
      <c r="F929" t="s">
        <v>39</v>
      </c>
      <c r="G929">
        <v>-191.6652</v>
      </c>
      <c r="H929" s="1">
        <v>-1.005634E-6</v>
      </c>
      <c r="I929">
        <v>320.90050000000002</v>
      </c>
      <c r="J929">
        <v>-190.0718</v>
      </c>
      <c r="K929">
        <v>1.1064780000000001</v>
      </c>
      <c r="L929">
        <v>333.8175</v>
      </c>
      <c r="M929">
        <v>-0.22055359999999999</v>
      </c>
      <c r="N929">
        <v>0</v>
      </c>
      <c r="O929">
        <v>-0.97527070000000005</v>
      </c>
      <c r="P929">
        <v>-0.14417369999999999</v>
      </c>
      <c r="Q929">
        <v>4.2430669999999997E-2</v>
      </c>
      <c r="R929">
        <v>-0.98864259999999904</v>
      </c>
      <c r="S929">
        <v>-0.37701420000000002</v>
      </c>
      <c r="T929">
        <v>-0.2492287</v>
      </c>
      <c r="U929">
        <v>-2.989655</v>
      </c>
      <c r="V929">
        <v>-7.6908299999999999E-2</v>
      </c>
      <c r="W929">
        <v>5.7365199999999901E-2</v>
      </c>
      <c r="X929">
        <v>0.99538649999999995</v>
      </c>
      <c r="Y929">
        <v>-9.7213469999999996E-2</v>
      </c>
      <c r="Z929">
        <v>7.9516379999999998E-2</v>
      </c>
      <c r="AA929">
        <v>0.99208200000000002</v>
      </c>
      <c r="AB929">
        <v>38</v>
      </c>
      <c r="AC929">
        <v>-1.5933999999999999</v>
      </c>
      <c r="AD929">
        <v>-1.1064790056339999</v>
      </c>
      <c r="AE929">
        <v>-12.9169999999999</v>
      </c>
      <c r="AF929">
        <v>-1.28573310013958</v>
      </c>
      <c r="AG929">
        <v>-1.1064790056339999</v>
      </c>
      <c r="AH929">
        <v>12.8573871611725</v>
      </c>
      <c r="AI929">
        <v>94.894341538501607</v>
      </c>
      <c r="AJ929">
        <v>95.710568359061398</v>
      </c>
      <c r="AK929">
        <v>12.968801409806099</v>
      </c>
    </row>
    <row r="930" spans="1:37" x14ac:dyDescent="0.2">
      <c r="A930" t="str">
        <f>"20200111154043257"</f>
        <v>20200111154043257</v>
      </c>
      <c r="B930" t="str">
        <f>"1578728443246766"</f>
        <v>1578728443246766</v>
      </c>
      <c r="C930" t="s">
        <v>37</v>
      </c>
      <c r="D930">
        <v>5.6165120000000002</v>
      </c>
      <c r="E930">
        <v>0.48977520000000002</v>
      </c>
      <c r="F930" t="s">
        <v>39</v>
      </c>
      <c r="G930">
        <v>-191.76329999999999</v>
      </c>
      <c r="H930" s="1">
        <v>-6.8816950000000004E-7</v>
      </c>
      <c r="I930">
        <v>320.09960000000001</v>
      </c>
      <c r="J930">
        <v>-190.1618</v>
      </c>
      <c r="K930">
        <v>1.1075429999999999</v>
      </c>
      <c r="L930">
        <v>333.42399999999998</v>
      </c>
      <c r="M930">
        <v>-0.2208888</v>
      </c>
      <c r="N930">
        <v>0</v>
      </c>
      <c r="O930">
        <v>-0.97519579999999995</v>
      </c>
      <c r="P930">
        <v>-0.14352679999999901</v>
      </c>
      <c r="Q930">
        <v>4.437199E-2</v>
      </c>
      <c r="R930">
        <v>-0.98865119999999895</v>
      </c>
      <c r="S930">
        <v>-0.36880489999999999</v>
      </c>
      <c r="T930">
        <v>-0.241256</v>
      </c>
      <c r="U930">
        <v>-2.991028</v>
      </c>
      <c r="V930">
        <v>-7.8012129999999999E-2</v>
      </c>
      <c r="W930">
        <v>5.905796E-2</v>
      </c>
      <c r="X930">
        <v>0.99520159999999902</v>
      </c>
      <c r="Y930">
        <v>-0.1002673</v>
      </c>
      <c r="Z930">
        <v>7.6945559999999996E-2</v>
      </c>
      <c r="AA930">
        <v>0.9919808</v>
      </c>
      <c r="AB930">
        <v>38</v>
      </c>
      <c r="AC930">
        <v>-1.6014999999999799</v>
      </c>
      <c r="AD930">
        <v>-1.1075436881695</v>
      </c>
      <c r="AE930">
        <v>-13.324400000000001</v>
      </c>
      <c r="AF930">
        <v>-1.37222775687822</v>
      </c>
      <c r="AG930">
        <v>-1.1075436881695</v>
      </c>
      <c r="AH930">
        <v>13.2586937625553</v>
      </c>
      <c r="AI930">
        <v>94.749771212484205</v>
      </c>
      <c r="AJ930">
        <v>95.908872138710805</v>
      </c>
      <c r="AK930">
        <v>13.375448490692699</v>
      </c>
    </row>
    <row r="931" spans="1:37" x14ac:dyDescent="0.2">
      <c r="A931" t="str">
        <f>"20200111154043279"</f>
        <v>20200111154043279</v>
      </c>
      <c r="B931" t="str">
        <f>"1578728443267262"</f>
        <v>1578728443267262</v>
      </c>
      <c r="C931" t="s">
        <v>37</v>
      </c>
      <c r="D931">
        <v>5.7777640000000003</v>
      </c>
      <c r="E931">
        <v>0.48949039999999999</v>
      </c>
      <c r="F931" t="s">
        <v>39</v>
      </c>
      <c r="G931">
        <v>-191.8433</v>
      </c>
      <c r="H931" s="1">
        <v>-4.9918969999999997E-6</v>
      </c>
      <c r="I931">
        <v>319.43380000000002</v>
      </c>
      <c r="J931">
        <v>-190.245</v>
      </c>
      <c r="K931">
        <v>1.1085290000000001</v>
      </c>
      <c r="L931">
        <v>333.05759999999998</v>
      </c>
      <c r="M931">
        <v>-0.22038629999999901</v>
      </c>
      <c r="N931">
        <v>0</v>
      </c>
      <c r="O931">
        <v>-0.97531009999999996</v>
      </c>
      <c r="P931">
        <v>-0.14251639999999999</v>
      </c>
      <c r="Q931">
        <v>4.6094950000000003E-2</v>
      </c>
      <c r="R931">
        <v>-0.9887186</v>
      </c>
      <c r="S931">
        <v>-0.35972599999999999</v>
      </c>
      <c r="T931">
        <v>-0.2369367</v>
      </c>
      <c r="U931">
        <v>-2.9928889999999999</v>
      </c>
      <c r="V931">
        <v>-7.8627680000000005E-2</v>
      </c>
      <c r="W931">
        <v>6.0549699999999998E-2</v>
      </c>
      <c r="X931">
        <v>0.99506349999999999</v>
      </c>
      <c r="Y931">
        <v>-0.1027811</v>
      </c>
      <c r="Z931">
        <v>7.5546580000000002E-2</v>
      </c>
      <c r="AA931">
        <v>0.99183099999999902</v>
      </c>
      <c r="AB931">
        <v>38</v>
      </c>
      <c r="AC931">
        <v>-1.5982999999999901</v>
      </c>
      <c r="AD931">
        <v>-1.1085339918970001</v>
      </c>
      <c r="AE931">
        <v>-13.6237999999999</v>
      </c>
      <c r="AF931">
        <v>-1.4344371999323899</v>
      </c>
      <c r="AG931">
        <v>-1.1085339918970001</v>
      </c>
      <c r="AH931">
        <v>13.5525293607724</v>
      </c>
      <c r="AI931">
        <v>94.650258560350693</v>
      </c>
      <c r="AJ931">
        <v>96.041849160399195</v>
      </c>
      <c r="AK931">
        <v>13.6732406461065</v>
      </c>
    </row>
    <row r="932" spans="1:37" x14ac:dyDescent="0.2">
      <c r="A932" t="str">
        <f>"20200111154043304"</f>
        <v>20200111154043304</v>
      </c>
      <c r="B932" t="str">
        <f>"1578728443297518"</f>
        <v>1578728443297518</v>
      </c>
      <c r="C932" t="s">
        <v>37</v>
      </c>
      <c r="D932">
        <v>5.679303</v>
      </c>
      <c r="E932">
        <v>0.51332230000000001</v>
      </c>
      <c r="F932" t="s">
        <v>39</v>
      </c>
      <c r="G932">
        <v>-191.93029999999999</v>
      </c>
      <c r="H932" s="1">
        <v>-4.7552629999999996E-6</v>
      </c>
      <c r="I932">
        <v>318.7774</v>
      </c>
      <c r="J932">
        <v>-190.33629999999999</v>
      </c>
      <c r="K932">
        <v>1.1096029999999999</v>
      </c>
      <c r="L932">
        <v>332.65100000000001</v>
      </c>
      <c r="M932">
        <v>-0.21897259999999999</v>
      </c>
      <c r="N932">
        <v>0</v>
      </c>
      <c r="O932">
        <v>-0.97562939999999998</v>
      </c>
      <c r="P932">
        <v>-0.14171439999999999</v>
      </c>
      <c r="Q932">
        <v>4.7664190000000002E-2</v>
      </c>
      <c r="R932">
        <v>-0.98875949999999901</v>
      </c>
      <c r="S932">
        <v>-0.35336299999999998</v>
      </c>
      <c r="T932">
        <v>-0.232425299999999</v>
      </c>
      <c r="U932">
        <v>-2.99411</v>
      </c>
      <c r="V932">
        <v>-7.812645E-2</v>
      </c>
      <c r="W932">
        <v>6.1870920000000003E-2</v>
      </c>
      <c r="X932">
        <v>0.99502179999999996</v>
      </c>
      <c r="Y932">
        <v>-0.1034528</v>
      </c>
      <c r="Z932">
        <v>7.412966E-2</v>
      </c>
      <c r="AA932">
        <v>0.99186810000000003</v>
      </c>
      <c r="AB932">
        <v>38</v>
      </c>
      <c r="AC932">
        <v>-1.5939999999999901</v>
      </c>
      <c r="AD932">
        <v>-1.1096077552629999</v>
      </c>
      <c r="AE932">
        <v>-13.8736</v>
      </c>
      <c r="AF932">
        <v>-1.4736283762270399</v>
      </c>
      <c r="AG932">
        <v>-1.1096077552629999</v>
      </c>
      <c r="AH932">
        <v>13.798793378035001</v>
      </c>
      <c r="AI932">
        <v>94.571571115843</v>
      </c>
      <c r="AJ932">
        <v>96.095741793944001</v>
      </c>
      <c r="AK932">
        <v>13.921548356826699</v>
      </c>
    </row>
    <row r="933" spans="1:37" x14ac:dyDescent="0.2">
      <c r="A933" t="str">
        <f>"20200111154043323"</f>
        <v>20200111154043323</v>
      </c>
      <c r="B933" t="str">
        <f>"1578728443317038"</f>
        <v>1578728443317038</v>
      </c>
      <c r="C933" t="s">
        <v>37</v>
      </c>
      <c r="D933">
        <v>5.8896110000000004</v>
      </c>
      <c r="E933">
        <v>0.51335500000000001</v>
      </c>
      <c r="F933" t="s">
        <v>39</v>
      </c>
      <c r="G933">
        <v>-193.7801</v>
      </c>
      <c r="H933" s="1">
        <v>-2.9139449999999999E-6</v>
      </c>
      <c r="I933">
        <v>313.62830000000002</v>
      </c>
      <c r="J933">
        <v>-190.41130000000001</v>
      </c>
      <c r="K933">
        <v>1.1104540000000001</v>
      </c>
      <c r="L933">
        <v>332.31220000000002</v>
      </c>
      <c r="M933">
        <v>-0.21710749999999901</v>
      </c>
      <c r="N933">
        <v>0</v>
      </c>
      <c r="O933">
        <v>-0.97604650000000004</v>
      </c>
      <c r="P933">
        <v>-0.14096939999999999</v>
      </c>
      <c r="Q933">
        <v>4.8439879999999998E-2</v>
      </c>
      <c r="R933">
        <v>-0.9888287</v>
      </c>
      <c r="S933">
        <v>-0.53685000000000005</v>
      </c>
      <c r="T933">
        <v>-0.17297860000000001</v>
      </c>
      <c r="U933">
        <v>-2.9654849999999899</v>
      </c>
      <c r="V933">
        <v>-7.7090679999999995E-2</v>
      </c>
      <c r="W933">
        <v>6.2457720000000001E-2</v>
      </c>
      <c r="X933">
        <v>0.99506589999999995</v>
      </c>
      <c r="Y933">
        <v>-4.0051719999999999E-2</v>
      </c>
      <c r="Z933">
        <v>5.5688969999999997E-2</v>
      </c>
      <c r="AA933">
        <v>0.99764449999999905</v>
      </c>
      <c r="AB933">
        <v>38</v>
      </c>
      <c r="AC933">
        <v>-3.36879999999999</v>
      </c>
      <c r="AD933">
        <v>-1.110456913945</v>
      </c>
      <c r="AE933">
        <v>-18.683899999999898</v>
      </c>
      <c r="AF933">
        <v>-0.76576546542872403</v>
      </c>
      <c r="AG933">
        <v>-1.110456913945</v>
      </c>
      <c r="AH933">
        <v>18.904943939869401</v>
      </c>
      <c r="AI933">
        <v>93.358884294502303</v>
      </c>
      <c r="AJ933">
        <v>92.319560272279205</v>
      </c>
      <c r="AK933">
        <v>18.9530054786932</v>
      </c>
    </row>
    <row r="934" spans="1:37" x14ac:dyDescent="0.2">
      <c r="A934" t="str">
        <f>"20200111154043346"</f>
        <v>20200111154043346</v>
      </c>
      <c r="B934" t="str">
        <f>"1578728443337534"</f>
        <v>1578728443337534</v>
      </c>
      <c r="C934" t="s">
        <v>37</v>
      </c>
      <c r="D934">
        <v>5.7047629999999998</v>
      </c>
      <c r="E934">
        <v>0.5127062</v>
      </c>
      <c r="F934" t="s">
        <v>39</v>
      </c>
      <c r="G934">
        <v>-193.89779999999999</v>
      </c>
      <c r="H934" s="1">
        <v>-2.6228449999999999E-6</v>
      </c>
      <c r="I934">
        <v>312.94619999999998</v>
      </c>
      <c r="J934">
        <v>-190.4897</v>
      </c>
      <c r="K934">
        <v>1.111259</v>
      </c>
      <c r="L934">
        <v>331.95179999999999</v>
      </c>
      <c r="M934">
        <v>-0.2145812</v>
      </c>
      <c r="N934">
        <v>0</v>
      </c>
      <c r="O934">
        <v>-0.97660519999999995</v>
      </c>
      <c r="P934">
        <v>-0.140031399999999</v>
      </c>
      <c r="Q934">
        <v>4.9124389999999997E-2</v>
      </c>
      <c r="R934">
        <v>-0.98892769999999997</v>
      </c>
      <c r="S934">
        <v>-0.53399659999999904</v>
      </c>
      <c r="T934">
        <v>-0.17007990000000001</v>
      </c>
      <c r="U934">
        <v>-2.9661249999999999</v>
      </c>
      <c r="V934">
        <v>-7.5573130000000002E-2</v>
      </c>
      <c r="W934">
        <v>6.2968839999999998E-2</v>
      </c>
      <c r="X934">
        <v>0.99514999999999998</v>
      </c>
      <c r="Y934">
        <v>-3.8424300000000002E-2</v>
      </c>
      <c r="Z934">
        <v>5.480057E-2</v>
      </c>
      <c r="AA934">
        <v>0.99775769999999997</v>
      </c>
      <c r="AB934">
        <v>38</v>
      </c>
      <c r="AC934">
        <v>-3.4080999999999899</v>
      </c>
      <c r="AD934">
        <v>-1.1112616228450001</v>
      </c>
      <c r="AE934">
        <v>-19.005600000000001</v>
      </c>
      <c r="AF934">
        <v>-0.74747439039536701</v>
      </c>
      <c r="AG934">
        <v>-1.1112616228450001</v>
      </c>
      <c r="AH934">
        <v>19.2304880643503</v>
      </c>
      <c r="AI934">
        <v>93.304751707546998</v>
      </c>
      <c r="AJ934">
        <v>92.225922673332903</v>
      </c>
      <c r="AK934">
        <v>19.277066466447199</v>
      </c>
    </row>
    <row r="935" spans="1:37" x14ac:dyDescent="0.2">
      <c r="A935" t="str">
        <f>"20200111154043369"</f>
        <v>20200111154043369</v>
      </c>
      <c r="B935" t="str">
        <f>"1578728443366814"</f>
        <v>1578728443366814</v>
      </c>
      <c r="C935" t="s">
        <v>37</v>
      </c>
      <c r="D935">
        <v>5.7194039999999999</v>
      </c>
      <c r="E935">
        <v>0.50784200000000002</v>
      </c>
      <c r="F935" t="s">
        <v>39</v>
      </c>
      <c r="G935">
        <v>-193.78020000000001</v>
      </c>
      <c r="H935" s="1">
        <v>-2.7915049999999998E-6</v>
      </c>
      <c r="I935">
        <v>313.36919999999998</v>
      </c>
      <c r="J935">
        <v>-190.57169999999999</v>
      </c>
      <c r="K935">
        <v>1.1120159999999999</v>
      </c>
      <c r="L935">
        <v>331.56689999999998</v>
      </c>
      <c r="M935">
        <v>-0.21132759999999901</v>
      </c>
      <c r="N935">
        <v>0</v>
      </c>
      <c r="O935">
        <v>-0.97731489999999999</v>
      </c>
      <c r="P935">
        <v>-0.13852159999999999</v>
      </c>
      <c r="Q935">
        <v>4.970687E-2</v>
      </c>
      <c r="R935">
        <v>-0.98911139999999997</v>
      </c>
      <c r="S935">
        <v>-0.52555850000000004</v>
      </c>
      <c r="T935">
        <v>-0.1774896</v>
      </c>
      <c r="U935">
        <v>-2.9679869999999999</v>
      </c>
      <c r="V935">
        <v>-7.3886950000000007E-2</v>
      </c>
      <c r="W935">
        <v>6.3390940000000007E-2</v>
      </c>
      <c r="X935">
        <v>0.99524990000000002</v>
      </c>
      <c r="Y935">
        <v>-3.7978520000000002E-2</v>
      </c>
      <c r="Z935">
        <v>5.7221580000000001E-2</v>
      </c>
      <c r="AA935">
        <v>0.9976389</v>
      </c>
      <c r="AB935">
        <v>38</v>
      </c>
      <c r="AC935">
        <v>-3.2085000000000101</v>
      </c>
      <c r="AD935">
        <v>-1.1120187915049999</v>
      </c>
      <c r="AE935">
        <v>-18.197700000000001</v>
      </c>
      <c r="AF935">
        <v>-0.70746893452781801</v>
      </c>
      <c r="AG935">
        <v>-1.1120187915049999</v>
      </c>
      <c r="AH935">
        <v>18.398109799729099</v>
      </c>
      <c r="AI935">
        <v>93.456316113135301</v>
      </c>
      <c r="AJ935">
        <v>92.202129625222199</v>
      </c>
      <c r="AK935">
        <v>18.445257989219598</v>
      </c>
    </row>
    <row r="936" spans="1:37" x14ac:dyDescent="0.2">
      <c r="A936" t="str">
        <f>"20200111154043391"</f>
        <v>20200111154043391</v>
      </c>
      <c r="B936" t="str">
        <f>"1578728443387310"</f>
        <v>1578728443387310</v>
      </c>
      <c r="C936" t="s">
        <v>37</v>
      </c>
      <c r="D936">
        <v>5.7193110000000003</v>
      </c>
      <c r="E936">
        <v>0.50853119999999996</v>
      </c>
      <c r="F936" t="s">
        <v>39</v>
      </c>
      <c r="G936">
        <v>-192.38310000000001</v>
      </c>
      <c r="H936" s="1">
        <v>-9.8719030000000002E-7</v>
      </c>
      <c r="I936">
        <v>320.41219999999998</v>
      </c>
      <c r="J936">
        <v>-190.64490000000001</v>
      </c>
      <c r="K936">
        <v>1.112619</v>
      </c>
      <c r="L936">
        <v>331.21620000000001</v>
      </c>
      <c r="M936">
        <v>-0.20793439999999999</v>
      </c>
      <c r="N936">
        <v>0</v>
      </c>
      <c r="O936">
        <v>-0.97804279999999999</v>
      </c>
      <c r="P936">
        <v>-0.1366512</v>
      </c>
      <c r="Q936">
        <v>4.8903490000000001E-2</v>
      </c>
      <c r="R936">
        <v>-0.98941159999999995</v>
      </c>
      <c r="S936">
        <v>-0.48396299999999998</v>
      </c>
      <c r="T936">
        <v>-0.29709580000000002</v>
      </c>
      <c r="U936">
        <v>-2.980194</v>
      </c>
      <c r="V936">
        <v>-7.2410920000000004E-2</v>
      </c>
      <c r="W936">
        <v>6.2464390000000002E-2</v>
      </c>
      <c r="X936">
        <v>0.99541689999999905</v>
      </c>
      <c r="Y936">
        <v>-4.9222000000000002E-2</v>
      </c>
      <c r="Z936">
        <v>9.5294519999999994E-2</v>
      </c>
      <c r="AA936">
        <v>0.99423150000000005</v>
      </c>
      <c r="AB936">
        <v>38</v>
      </c>
      <c r="AC936">
        <v>-1.7382</v>
      </c>
      <c r="AD936">
        <v>-1.1126199871903</v>
      </c>
      <c r="AE936">
        <v>-10.804</v>
      </c>
      <c r="AF936">
        <v>-0.54095049308897403</v>
      </c>
      <c r="AG936">
        <v>-1.1126199871903</v>
      </c>
      <c r="AH936">
        <v>10.817446600427299</v>
      </c>
      <c r="AI936">
        <v>95.865184496941495</v>
      </c>
      <c r="AJ936">
        <v>92.862818192713505</v>
      </c>
      <c r="AK936">
        <v>10.8879613162871</v>
      </c>
    </row>
    <row r="937" spans="1:37" x14ac:dyDescent="0.2">
      <c r="A937" t="str">
        <f>"20200111154043413"</f>
        <v>20200111154043413</v>
      </c>
      <c r="B937" t="str">
        <f>"1578728443406830"</f>
        <v>1578728443406830</v>
      </c>
      <c r="C937" t="s">
        <v>37</v>
      </c>
      <c r="D937">
        <v>5.9228959999999997</v>
      </c>
      <c r="E937">
        <v>0.5078724</v>
      </c>
      <c r="F937" t="s">
        <v>39</v>
      </c>
      <c r="G937">
        <v>-192.59909999999999</v>
      </c>
      <c r="H937" s="1">
        <v>-5.0287209999999998E-6</v>
      </c>
      <c r="I937">
        <v>319.18060000000003</v>
      </c>
      <c r="J937">
        <v>-190.72229999999999</v>
      </c>
      <c r="K937">
        <v>1.1131930000000001</v>
      </c>
      <c r="L937">
        <v>330.83620000000002</v>
      </c>
      <c r="M937">
        <v>-0.20386179999999901</v>
      </c>
      <c r="N937">
        <v>0</v>
      </c>
      <c r="O937">
        <v>-0.97890010000000005</v>
      </c>
      <c r="P937">
        <v>-0.13337309999999999</v>
      </c>
      <c r="Q937">
        <v>4.7912540000000003E-2</v>
      </c>
      <c r="R937">
        <v>-0.98990730000000005</v>
      </c>
      <c r="S937">
        <v>-0.48368840000000002</v>
      </c>
      <c r="T937">
        <v>-0.27538479999999999</v>
      </c>
      <c r="U937">
        <v>-2.9789119999999998</v>
      </c>
      <c r="V937">
        <v>-7.1655440000000001E-2</v>
      </c>
      <c r="W937">
        <v>6.1355479999999997E-2</v>
      </c>
      <c r="X937">
        <v>0.995540599999999</v>
      </c>
      <c r="Y937">
        <v>-4.4983499999999899E-2</v>
      </c>
      <c r="Z937">
        <v>8.855333E-2</v>
      </c>
      <c r="AA937">
        <v>0.99505519999999903</v>
      </c>
      <c r="AB937">
        <v>38</v>
      </c>
      <c r="AC937">
        <v>-1.8768</v>
      </c>
      <c r="AD937">
        <v>-1.1131980287209999</v>
      </c>
      <c r="AE937">
        <v>-11.6555999999999</v>
      </c>
      <c r="AF937">
        <v>-0.53423446357651605</v>
      </c>
      <c r="AG937">
        <v>-1.1131980287209999</v>
      </c>
      <c r="AH937">
        <v>11.689492288257799</v>
      </c>
      <c r="AI937">
        <v>95.4342714075093</v>
      </c>
      <c r="AJ937">
        <v>92.616717206417903</v>
      </c>
      <c r="AK937">
        <v>11.754524502099599</v>
      </c>
    </row>
    <row r="938" spans="1:37" x14ac:dyDescent="0.2">
      <c r="A938" t="str">
        <f>"20200111154043436"</f>
        <v>20200111154043436</v>
      </c>
      <c r="B938" t="str">
        <f>"1578728443427326"</f>
        <v>1578728443427326</v>
      </c>
      <c r="C938" t="s">
        <v>37</v>
      </c>
      <c r="D938">
        <v>5.8505719999999997</v>
      </c>
      <c r="E938">
        <v>0.50758139999999996</v>
      </c>
      <c r="F938" t="s">
        <v>39</v>
      </c>
      <c r="G938">
        <v>-192.7859</v>
      </c>
      <c r="H938" s="1">
        <v>-4.4964389999999999E-6</v>
      </c>
      <c r="I938">
        <v>317.70830000000001</v>
      </c>
      <c r="J938">
        <v>-190.79400000000001</v>
      </c>
      <c r="K938">
        <v>1.1136649999999999</v>
      </c>
      <c r="L938">
        <v>330.47559999999999</v>
      </c>
      <c r="M938">
        <v>-0.19969790000000001</v>
      </c>
      <c r="N938">
        <v>0</v>
      </c>
      <c r="O938">
        <v>-0.97975829999999997</v>
      </c>
      <c r="P938">
        <v>-0.12933839999999999</v>
      </c>
      <c r="Q938">
        <v>4.6673319999999997E-2</v>
      </c>
      <c r="R938">
        <v>-0.99050159999999998</v>
      </c>
      <c r="S938">
        <v>-0.46836850000000002</v>
      </c>
      <c r="T938">
        <v>-0.25266470000000002</v>
      </c>
      <c r="U938">
        <v>-2.9796749999999999</v>
      </c>
      <c r="V938">
        <v>-7.1552110000000002E-2</v>
      </c>
      <c r="W938">
        <v>6.0016609999999998E-2</v>
      </c>
      <c r="X938">
        <v>0.9956296</v>
      </c>
      <c r="Y938">
        <v>-4.566783E-2</v>
      </c>
      <c r="Z938">
        <v>8.1417610000000001E-2</v>
      </c>
      <c r="AA938">
        <v>0.99563330000000005</v>
      </c>
      <c r="AB938">
        <v>38</v>
      </c>
      <c r="AC938">
        <v>-1.99189999999998</v>
      </c>
      <c r="AD938">
        <v>-1.1136694964389999</v>
      </c>
      <c r="AE938">
        <v>-12.767299999999899</v>
      </c>
      <c r="AF938">
        <v>-0.593670816238421</v>
      </c>
      <c r="AG938">
        <v>-1.1136694964389999</v>
      </c>
      <c r="AH938">
        <v>12.812728709773101</v>
      </c>
      <c r="AI938">
        <v>94.962309441588104</v>
      </c>
      <c r="AJ938">
        <v>92.652871400493893</v>
      </c>
      <c r="AK938">
        <v>12.8747319108243</v>
      </c>
    </row>
    <row r="939" spans="1:37" x14ac:dyDescent="0.2">
      <c r="A939" t="str">
        <f>"20200111154043459"</f>
        <v>20200111154043459</v>
      </c>
      <c r="B939" t="str">
        <f>"1578728443446846"</f>
        <v>1578728443446846</v>
      </c>
      <c r="C939" t="s">
        <v>37</v>
      </c>
      <c r="D939">
        <v>5.6403800000000004</v>
      </c>
      <c r="E939">
        <v>0.50752569999999997</v>
      </c>
      <c r="F939" t="s">
        <v>39</v>
      </c>
      <c r="G939">
        <v>-192.8382</v>
      </c>
      <c r="H939" s="1">
        <v>-4.2610959999999996E-6</v>
      </c>
      <c r="I939">
        <v>317.07119999999998</v>
      </c>
      <c r="J939">
        <v>-190.87020000000001</v>
      </c>
      <c r="K939">
        <v>1.1141000000000001</v>
      </c>
      <c r="L939">
        <v>330.08179999999999</v>
      </c>
      <c r="M939">
        <v>-0.19490499999999999</v>
      </c>
      <c r="N939">
        <v>0</v>
      </c>
      <c r="O939">
        <v>-0.98072340000000002</v>
      </c>
      <c r="P939">
        <v>-0.12406300000000001</v>
      </c>
      <c r="Q939">
        <v>4.6076659999999998E-2</v>
      </c>
      <c r="R939">
        <v>-0.99120429999999904</v>
      </c>
      <c r="S939">
        <v>-0.45463559999999997</v>
      </c>
      <c r="T939">
        <v>-0.24767539999999999</v>
      </c>
      <c r="U939">
        <v>-2.9810789999999998</v>
      </c>
      <c r="V939">
        <v>-7.2048360000000006E-2</v>
      </c>
      <c r="W939">
        <v>5.9322140000000002E-2</v>
      </c>
      <c r="X939">
        <v>0.99563539999999995</v>
      </c>
      <c r="Y939">
        <v>-4.5315319999999999E-2</v>
      </c>
      <c r="Z939">
        <v>7.9929840000000002E-2</v>
      </c>
      <c r="AA939">
        <v>0.99576989999999999</v>
      </c>
      <c r="AB939">
        <v>38</v>
      </c>
      <c r="AC939">
        <v>-1.96799999999998</v>
      </c>
      <c r="AD939">
        <v>-1.1141042610959999</v>
      </c>
      <c r="AE939">
        <v>-13.0106</v>
      </c>
      <c r="AF939">
        <v>-0.60151401140691096</v>
      </c>
      <c r="AG939">
        <v>-1.1141042610959999</v>
      </c>
      <c r="AH939">
        <v>13.051088125417801</v>
      </c>
      <c r="AI939">
        <v>94.874067978607897</v>
      </c>
      <c r="AJ939">
        <v>92.638848330956904</v>
      </c>
      <c r="AK939">
        <v>13.112358623372501</v>
      </c>
    </row>
    <row r="940" spans="1:37" x14ac:dyDescent="0.2">
      <c r="A940" t="str">
        <f>"20200111154043481"</f>
        <v>20200111154043481</v>
      </c>
      <c r="B940" t="str">
        <f>"1578728443477102"</f>
        <v>1578728443477102</v>
      </c>
      <c r="C940" t="s">
        <v>37</v>
      </c>
      <c r="D940">
        <v>5.7055030000000002</v>
      </c>
      <c r="E940">
        <v>0.50647600000000004</v>
      </c>
      <c r="F940" t="s">
        <v>39</v>
      </c>
      <c r="G940">
        <v>-192.84559999999999</v>
      </c>
      <c r="H940" s="1">
        <v>-4.0915240000000004E-6</v>
      </c>
      <c r="I940">
        <v>316.6454</v>
      </c>
      <c r="J940">
        <v>-190.93709999999999</v>
      </c>
      <c r="K940">
        <v>1.114419</v>
      </c>
      <c r="L940">
        <v>329.72570000000002</v>
      </c>
      <c r="M940">
        <v>-0.19041169999999999</v>
      </c>
      <c r="N940">
        <v>0</v>
      </c>
      <c r="O940">
        <v>-0.98160569999999903</v>
      </c>
      <c r="P940">
        <v>-0.1194532</v>
      </c>
      <c r="Q940">
        <v>4.6376590000000002E-2</v>
      </c>
      <c r="R940">
        <v>-0.99175619999999998</v>
      </c>
      <c r="S940">
        <v>-0.43858339999999901</v>
      </c>
      <c r="T940">
        <v>-0.24735799999999999</v>
      </c>
      <c r="U940">
        <v>-2.98318499999999</v>
      </c>
      <c r="V940">
        <v>-7.2163679999999994E-2</v>
      </c>
      <c r="W940">
        <v>5.9551569999999998E-2</v>
      </c>
      <c r="X940">
        <v>0.99561339999999998</v>
      </c>
      <c r="Y940">
        <v>-4.6085229999999998E-2</v>
      </c>
      <c r="Z940">
        <v>7.9910110000000006E-2</v>
      </c>
      <c r="AA940">
        <v>0.99573619999999996</v>
      </c>
      <c r="AB940">
        <v>38</v>
      </c>
      <c r="AC940">
        <v>-1.9085000000000001</v>
      </c>
      <c r="AD940">
        <v>-1.1144230915240001</v>
      </c>
      <c r="AE940">
        <v>-13.080299999999999</v>
      </c>
      <c r="AF940">
        <v>-0.61295090727742296</v>
      </c>
      <c r="AG940">
        <v>-1.1144230915240001</v>
      </c>
      <c r="AH940">
        <v>13.1111885934595</v>
      </c>
      <c r="AI940">
        <v>94.853066564163797</v>
      </c>
      <c r="AJ940">
        <v>92.676641233574202</v>
      </c>
      <c r="AK940">
        <v>13.1727337320284</v>
      </c>
    </row>
    <row r="941" spans="1:37" x14ac:dyDescent="0.2">
      <c r="A941" t="str">
        <f>"20200111154043504"</f>
        <v>20200111154043504</v>
      </c>
      <c r="B941" t="str">
        <f>"1578728443497597"</f>
        <v>1578728443497597</v>
      </c>
      <c r="C941" t="s">
        <v>37</v>
      </c>
      <c r="D941">
        <v>5.4832710000000002</v>
      </c>
      <c r="E941">
        <v>0.48035630000000001</v>
      </c>
      <c r="F941" t="s">
        <v>39</v>
      </c>
      <c r="G941">
        <v>-192.8939</v>
      </c>
      <c r="H941" s="1">
        <v>-3.65768E-6</v>
      </c>
      <c r="I941">
        <v>315.70049999999998</v>
      </c>
      <c r="J941">
        <v>-191.0067</v>
      </c>
      <c r="K941">
        <v>1.1146849999999999</v>
      </c>
      <c r="L941">
        <v>329.34539999999998</v>
      </c>
      <c r="M941">
        <v>-0.18550349999999999</v>
      </c>
      <c r="N941">
        <v>0</v>
      </c>
      <c r="O941">
        <v>-0.98254560000000002</v>
      </c>
      <c r="P941">
        <v>-0.1147432</v>
      </c>
      <c r="Q941">
        <v>4.5919920000000003E-2</v>
      </c>
      <c r="R941">
        <v>-0.99233359999999904</v>
      </c>
      <c r="S941">
        <v>-0.41658019999999901</v>
      </c>
      <c r="T941">
        <v>-0.23725470000000001</v>
      </c>
      <c r="U941">
        <v>-2.9859009999999899</v>
      </c>
      <c r="V941">
        <v>-7.1952249999999995E-2</v>
      </c>
      <c r="W941">
        <v>5.9037970000000002E-2</v>
      </c>
      <c r="X941">
        <v>0.99565930000000002</v>
      </c>
      <c r="Y941">
        <v>-4.8377440000000001E-2</v>
      </c>
      <c r="Z941">
        <v>7.6742939999999996E-2</v>
      </c>
      <c r="AA941">
        <v>0.9958766</v>
      </c>
      <c r="AB941">
        <v>38</v>
      </c>
      <c r="AC941">
        <v>-1.8872</v>
      </c>
      <c r="AD941">
        <v>-1.1146886576799999</v>
      </c>
      <c r="AE941">
        <v>-13.6449</v>
      </c>
      <c r="AF941">
        <v>-0.67257751849616998</v>
      </c>
      <c r="AG941">
        <v>-1.1146886576799999</v>
      </c>
      <c r="AH941">
        <v>13.6686354917925</v>
      </c>
      <c r="AI941">
        <v>94.656592536882499</v>
      </c>
      <c r="AJ941">
        <v>92.817018353027194</v>
      </c>
      <c r="AK941">
        <v>13.730494802789799</v>
      </c>
    </row>
    <row r="942" spans="1:37" x14ac:dyDescent="0.2">
      <c r="A942" t="str">
        <f>"20200111154043536"</f>
        <v>20200111154043536</v>
      </c>
      <c r="B942" t="str">
        <f>"1578728443526878"</f>
        <v>1578728443526878</v>
      </c>
      <c r="C942" t="s">
        <v>37</v>
      </c>
      <c r="D942">
        <v>5.4908789999999996</v>
      </c>
      <c r="E942">
        <v>0.474367599999999</v>
      </c>
      <c r="F942" t="s">
        <v>39</v>
      </c>
      <c r="G942">
        <v>-191.97730000000001</v>
      </c>
      <c r="H942" s="1">
        <v>-2.8052839999999899E-6</v>
      </c>
      <c r="I942">
        <v>314.41320000000002</v>
      </c>
      <c r="J942">
        <v>-191.1009</v>
      </c>
      <c r="K942">
        <v>1.1149549999999999</v>
      </c>
      <c r="L942">
        <v>328.80970000000002</v>
      </c>
      <c r="M942">
        <v>-0.1784857</v>
      </c>
      <c r="N942">
        <v>0</v>
      </c>
      <c r="O942">
        <v>-0.98384459999999996</v>
      </c>
      <c r="P942">
        <v>-0.108144</v>
      </c>
      <c r="Q942">
        <v>4.6961339999999997E-2</v>
      </c>
      <c r="R942">
        <v>-0.99302539999999995</v>
      </c>
      <c r="S942">
        <v>-0.1957092</v>
      </c>
      <c r="T942">
        <v>-0.22476740000000001</v>
      </c>
      <c r="U942">
        <v>-3.0109560000000002</v>
      </c>
      <c r="V942">
        <v>-7.1503170000000005E-2</v>
      </c>
      <c r="W942">
        <v>6.0022319999999997E-2</v>
      </c>
      <c r="X942">
        <v>0.99563279999999998</v>
      </c>
      <c r="Y942">
        <v>-0.1144776</v>
      </c>
      <c r="Z942">
        <v>7.233444E-2</v>
      </c>
      <c r="AA942">
        <v>0.99078889999999997</v>
      </c>
      <c r="AB942">
        <v>38</v>
      </c>
      <c r="AC942">
        <v>-0.87640000000001705</v>
      </c>
      <c r="AD942">
        <v>-1.1149578052839999</v>
      </c>
      <c r="AE942">
        <v>-14.3965</v>
      </c>
      <c r="AF942">
        <v>-1.6973494291200699</v>
      </c>
      <c r="AG942">
        <v>-1.1149578052839999</v>
      </c>
      <c r="AH942">
        <v>14.2366478564254</v>
      </c>
      <c r="AI942">
        <v>94.4466738348424</v>
      </c>
      <c r="AJ942">
        <v>96.7989363515169</v>
      </c>
      <c r="AK942">
        <v>14.3807603477689</v>
      </c>
    </row>
    <row r="943" spans="1:37" x14ac:dyDescent="0.2">
      <c r="A943" t="str">
        <f>"20200111154043558"</f>
        <v>20200111154043558</v>
      </c>
      <c r="B943" t="str">
        <f>"1578728443547374"</f>
        <v>1578728443547374</v>
      </c>
      <c r="C943" t="s">
        <v>37</v>
      </c>
      <c r="D943">
        <v>5.4998430000000003</v>
      </c>
      <c r="E943">
        <v>0.47528759999999998</v>
      </c>
      <c r="F943" t="s">
        <v>39</v>
      </c>
      <c r="G943">
        <v>-191.7276</v>
      </c>
      <c r="H943" s="1">
        <v>-2.5805819999999998E-6</v>
      </c>
      <c r="I943">
        <v>314.07839999999999</v>
      </c>
      <c r="J943">
        <v>-191.16139999999999</v>
      </c>
      <c r="K943">
        <v>1.115081</v>
      </c>
      <c r="L943">
        <v>328.45389999999998</v>
      </c>
      <c r="M943">
        <v>-0.17380789999999999</v>
      </c>
      <c r="N943">
        <v>0</v>
      </c>
      <c r="O943">
        <v>-0.98468180000000005</v>
      </c>
      <c r="P943">
        <v>-0.10505829999999999</v>
      </c>
      <c r="Q943">
        <v>4.8721090000000002E-2</v>
      </c>
      <c r="R943">
        <v>-0.99327189999999999</v>
      </c>
      <c r="S943">
        <v>-0.12837219999999999</v>
      </c>
      <c r="T943">
        <v>-0.22840959999999999</v>
      </c>
      <c r="U943">
        <v>-3.0178529999999899</v>
      </c>
      <c r="V943">
        <v>-6.9885729999999993E-2</v>
      </c>
      <c r="W943">
        <v>6.1770499999999999E-2</v>
      </c>
      <c r="X943">
        <v>0.99564069999999905</v>
      </c>
      <c r="Y943">
        <v>-0.13192960000000001</v>
      </c>
      <c r="Z943">
        <v>7.3388250000000002E-2</v>
      </c>
      <c r="AA943">
        <v>0.98853869999999899</v>
      </c>
      <c r="AB943">
        <v>38</v>
      </c>
      <c r="AC943">
        <v>-0.56620000000000903</v>
      </c>
      <c r="AD943">
        <v>-1.1150835805820001</v>
      </c>
      <c r="AE943">
        <v>-14.375499999999899</v>
      </c>
      <c r="AF943">
        <v>-1.92964316557125</v>
      </c>
      <c r="AG943">
        <v>-1.1150835805820001</v>
      </c>
      <c r="AH943">
        <v>14.1699494875628</v>
      </c>
      <c r="AI943">
        <v>94.458552425208296</v>
      </c>
      <c r="AJ943">
        <v>97.754754650823202</v>
      </c>
      <c r="AK943">
        <v>14.3441417525832</v>
      </c>
    </row>
    <row r="944" spans="1:37" x14ac:dyDescent="0.2">
      <c r="A944" t="str">
        <f>"20200111154043581"</f>
        <v>20200111154043581</v>
      </c>
      <c r="B944" t="str">
        <f>"1578728443576655"</f>
        <v>1578728443576655</v>
      </c>
      <c r="C944" t="s">
        <v>37</v>
      </c>
      <c r="D944">
        <v>5.7416109999999998</v>
      </c>
      <c r="E944">
        <v>0.47654030000000003</v>
      </c>
      <c r="F944" t="s">
        <v>39</v>
      </c>
      <c r="G944">
        <v>-191.8064</v>
      </c>
      <c r="H944" s="1">
        <v>-2.0921229999999998E-6</v>
      </c>
      <c r="I944">
        <v>313.00069999999999</v>
      </c>
      <c r="J944">
        <v>-191.22460000000001</v>
      </c>
      <c r="K944">
        <v>1.1151759999999999</v>
      </c>
      <c r="L944">
        <v>328.07119999999998</v>
      </c>
      <c r="M944">
        <v>-0.16881260000000001</v>
      </c>
      <c r="N944">
        <v>0</v>
      </c>
      <c r="O944">
        <v>-0.985550499999999</v>
      </c>
      <c r="P944">
        <v>-0.10256029999999999</v>
      </c>
      <c r="Q944">
        <v>5.0147530000000003E-2</v>
      </c>
      <c r="R944">
        <v>-0.99346199999999996</v>
      </c>
      <c r="S944">
        <v>-0.125946</v>
      </c>
      <c r="T944">
        <v>-0.21775169999999999</v>
      </c>
      <c r="U944">
        <v>-3.0176699999999999</v>
      </c>
      <c r="V944">
        <v>-6.735563E-2</v>
      </c>
      <c r="W944">
        <v>6.3204399999999994E-2</v>
      </c>
      <c r="X944">
        <v>0.99572510000000003</v>
      </c>
      <c r="Y944">
        <v>-0.12768299999999999</v>
      </c>
      <c r="Z944">
        <v>7.0100659999999995E-2</v>
      </c>
      <c r="AA944">
        <v>0.98933459999999995</v>
      </c>
      <c r="AB944">
        <v>38</v>
      </c>
      <c r="AC944">
        <v>-0.58179999999998699</v>
      </c>
      <c r="AD944">
        <v>-1.1151780921229999</v>
      </c>
      <c r="AE944">
        <v>-15.0704999999999</v>
      </c>
      <c r="AF944">
        <v>-1.96016956503966</v>
      </c>
      <c r="AG944">
        <v>-1.1151780921229999</v>
      </c>
      <c r="AH944">
        <v>14.8710861444866</v>
      </c>
      <c r="AI944">
        <v>94.251924762972195</v>
      </c>
      <c r="AJ944">
        <v>97.5089146057351</v>
      </c>
      <c r="AK944">
        <v>15.041113323740401</v>
      </c>
    </row>
    <row r="945" spans="1:37" x14ac:dyDescent="0.2">
      <c r="A945" t="str">
        <f>"20200111154043603"</f>
        <v>20200111154043603</v>
      </c>
      <c r="B945" t="str">
        <f>"1578728443597150"</f>
        <v>1578728443597150</v>
      </c>
      <c r="C945" t="s">
        <v>37</v>
      </c>
      <c r="D945">
        <v>5.471317</v>
      </c>
      <c r="E945">
        <v>0.47707949999999999</v>
      </c>
      <c r="F945" t="s">
        <v>39</v>
      </c>
      <c r="G945">
        <v>-191.8963</v>
      </c>
      <c r="H945" s="1">
        <v>-1.7714990000000001E-6</v>
      </c>
      <c r="I945">
        <v>312.27179999999998</v>
      </c>
      <c r="J945">
        <v>-191.2841</v>
      </c>
      <c r="K945">
        <v>1.1152120000000001</v>
      </c>
      <c r="L945">
        <v>327.69929999999999</v>
      </c>
      <c r="M945">
        <v>-0.16403470000000001</v>
      </c>
      <c r="N945">
        <v>0</v>
      </c>
      <c r="O945">
        <v>-0.98635729999999999</v>
      </c>
      <c r="P945">
        <v>-9.9180229999999994E-2</v>
      </c>
      <c r="Q945">
        <v>5.1584320000000003E-2</v>
      </c>
      <c r="R945">
        <v>-0.993731699999999</v>
      </c>
      <c r="S945">
        <v>-0.12828059999999999</v>
      </c>
      <c r="T945">
        <v>-0.21296779999999901</v>
      </c>
      <c r="U945">
        <v>-3.017242</v>
      </c>
      <c r="V945">
        <v>-6.5926020000000002E-2</v>
      </c>
      <c r="W945">
        <v>6.4644339999999995E-2</v>
      </c>
      <c r="X945">
        <v>0.99572830000000001</v>
      </c>
      <c r="Y945">
        <v>-0.1221005</v>
      </c>
      <c r="Z945">
        <v>6.8686410000000003E-2</v>
      </c>
      <c r="AA945">
        <v>0.99013819999999997</v>
      </c>
      <c r="AB945">
        <v>38</v>
      </c>
      <c r="AC945">
        <v>-0.61220000000000097</v>
      </c>
      <c r="AD945">
        <v>-1.115213771499</v>
      </c>
      <c r="AE945">
        <v>-15.4275</v>
      </c>
      <c r="AF945">
        <v>-1.9169809200607</v>
      </c>
      <c r="AG945">
        <v>-1.115213771499</v>
      </c>
      <c r="AH945">
        <v>15.239411317704899</v>
      </c>
      <c r="AI945">
        <v>94.152809652769804</v>
      </c>
      <c r="AJ945">
        <v>97.169636196878898</v>
      </c>
      <c r="AK945">
        <v>15.3999407438539</v>
      </c>
    </row>
    <row r="946" spans="1:37" x14ac:dyDescent="0.2">
      <c r="A946" t="str">
        <f>"20200111154043624"</f>
        <v>20200111154043624</v>
      </c>
      <c r="B946" t="str">
        <f>"1578728443617646"</f>
        <v>1578728443617646</v>
      </c>
      <c r="C946" t="s">
        <v>37</v>
      </c>
      <c r="D946">
        <v>5.5058540000000002</v>
      </c>
      <c r="E946">
        <v>0.4774217</v>
      </c>
      <c r="F946" t="s">
        <v>39</v>
      </c>
      <c r="G946">
        <v>-191.9401</v>
      </c>
      <c r="H946" s="1">
        <v>-1.468331E-6</v>
      </c>
      <c r="I946">
        <v>311.60579999999999</v>
      </c>
      <c r="J946">
        <v>-191.3389</v>
      </c>
      <c r="K946">
        <v>1.1152</v>
      </c>
      <c r="L946">
        <v>327.34550000000002</v>
      </c>
      <c r="M946">
        <v>-0.1596011</v>
      </c>
      <c r="N946">
        <v>0</v>
      </c>
      <c r="O946">
        <v>-0.98708459999999998</v>
      </c>
      <c r="P946">
        <v>-9.5496880000000006E-2</v>
      </c>
      <c r="Q946">
        <v>5.4061409999999997E-2</v>
      </c>
      <c r="R946">
        <v>-0.99396090000000004</v>
      </c>
      <c r="S946">
        <v>-0.1230011</v>
      </c>
      <c r="T946">
        <v>-0.2091016</v>
      </c>
      <c r="U946">
        <v>-3.0175169999999998</v>
      </c>
      <c r="V946">
        <v>-6.5146609999999994E-2</v>
      </c>
      <c r="W946">
        <v>6.7122790000000002E-2</v>
      </c>
      <c r="X946">
        <v>0.99561559999999905</v>
      </c>
      <c r="Y946">
        <v>-0.1193704</v>
      </c>
      <c r="Z946">
        <v>6.7528370000000004E-2</v>
      </c>
      <c r="AA946">
        <v>0.99055059999999995</v>
      </c>
      <c r="AB946">
        <v>38</v>
      </c>
      <c r="AC946">
        <v>-0.60120000000000495</v>
      </c>
      <c r="AD946">
        <v>-1.1152014683310001</v>
      </c>
      <c r="AE946">
        <v>-15.739699999999999</v>
      </c>
      <c r="AF946">
        <v>-1.90925119083034</v>
      </c>
      <c r="AG946">
        <v>-1.1152014683310001</v>
      </c>
      <c r="AH946">
        <v>15.5558859421592</v>
      </c>
      <c r="AI946">
        <v>94.070082021758594</v>
      </c>
      <c r="AJ946">
        <v>96.997200820806</v>
      </c>
      <c r="AK946">
        <v>15.712240510828501</v>
      </c>
    </row>
    <row r="947" spans="1:37" x14ac:dyDescent="0.2">
      <c r="A947" t="str">
        <f>"20200111154043646"</f>
        <v>20200111154043646</v>
      </c>
      <c r="B947" t="str">
        <f>"1578728443637166"</f>
        <v>1578728443637166</v>
      </c>
      <c r="C947" t="s">
        <v>37</v>
      </c>
      <c r="D947">
        <v>5.7982180000000003</v>
      </c>
      <c r="E947">
        <v>0.477626</v>
      </c>
      <c r="F947" t="s">
        <v>39</v>
      </c>
      <c r="G947">
        <v>-191.97499999999999</v>
      </c>
      <c r="H947" s="1">
        <v>-1.084839E-6</v>
      </c>
      <c r="I947">
        <v>310.7749</v>
      </c>
      <c r="J947">
        <v>-191.3938</v>
      </c>
      <c r="K947">
        <v>1.115151</v>
      </c>
      <c r="L947">
        <v>326.9812</v>
      </c>
      <c r="M947">
        <v>-0.15514339999999999</v>
      </c>
      <c r="N947">
        <v>0</v>
      </c>
      <c r="O947">
        <v>-0.98779499999999998</v>
      </c>
      <c r="P947">
        <v>-9.1825690000000001E-2</v>
      </c>
      <c r="Q947">
        <v>5.4873430000000001E-2</v>
      </c>
      <c r="R947">
        <v>-0.99426190000000003</v>
      </c>
      <c r="S947">
        <v>-0.11585999999999901</v>
      </c>
      <c r="T947">
        <v>-0.20312189999999999</v>
      </c>
      <c r="U947">
        <v>-3.0181580000000001</v>
      </c>
      <c r="V947">
        <v>-6.4323130000000006E-2</v>
      </c>
      <c r="W947">
        <v>6.7942999999999906E-2</v>
      </c>
      <c r="X947">
        <v>0.99561350000000004</v>
      </c>
      <c r="Y947">
        <v>-0.1172318</v>
      </c>
      <c r="Z947">
        <v>6.5675059999999993E-2</v>
      </c>
      <c r="AA947">
        <v>0.99093059999999999</v>
      </c>
      <c r="AB947">
        <v>38</v>
      </c>
      <c r="AC947">
        <v>-0.58119999999999505</v>
      </c>
      <c r="AD947">
        <v>-1.115152084839</v>
      </c>
      <c r="AE947">
        <v>-16.206299999999999</v>
      </c>
      <c r="AF947">
        <v>-1.93124759037799</v>
      </c>
      <c r="AG947">
        <v>-1.115152084839</v>
      </c>
      <c r="AH947">
        <v>16.0244387827418</v>
      </c>
      <c r="AI947">
        <v>93.952327788287704</v>
      </c>
      <c r="AJ947">
        <v>96.872079834864294</v>
      </c>
      <c r="AK947">
        <v>16.178872634689402</v>
      </c>
    </row>
    <row r="948" spans="1:37" x14ac:dyDescent="0.2">
      <c r="A948" t="str">
        <f>"20200111154043672"</f>
        <v>20200111154043672</v>
      </c>
      <c r="B948" t="str">
        <f>"1578728443667422"</f>
        <v>1578728443667422</v>
      </c>
      <c r="C948" t="s">
        <v>37</v>
      </c>
      <c r="D948">
        <v>5.5244049999999998</v>
      </c>
      <c r="E948">
        <v>0.47781210000000002</v>
      </c>
      <c r="F948" t="s">
        <v>39</v>
      </c>
      <c r="G948">
        <v>-191.98910000000001</v>
      </c>
      <c r="H948" s="1">
        <v>-8.3775549999999999E-7</v>
      </c>
      <c r="I948">
        <v>310.24430000000001</v>
      </c>
      <c r="J948">
        <v>-191.45259999999999</v>
      </c>
      <c r="K948">
        <v>1.1150659999999999</v>
      </c>
      <c r="L948">
        <v>326.57830000000001</v>
      </c>
      <c r="M948">
        <v>-0.15038299999999999</v>
      </c>
      <c r="N948">
        <v>0</v>
      </c>
      <c r="O948">
        <v>-0.9885311</v>
      </c>
      <c r="P948">
        <v>-8.8666120000000001E-2</v>
      </c>
      <c r="Q948">
        <v>5.4364889999999999E-2</v>
      </c>
      <c r="R948">
        <v>-0.99457689999999999</v>
      </c>
      <c r="S948">
        <v>-0.10736079999999899</v>
      </c>
      <c r="T948">
        <v>-0.20111950000000001</v>
      </c>
      <c r="U948">
        <v>-3.0185240000000002</v>
      </c>
      <c r="V948">
        <v>-6.2672980000000003E-2</v>
      </c>
      <c r="W948">
        <v>6.7459169999999999E-2</v>
      </c>
      <c r="X948">
        <v>0.99575170000000002</v>
      </c>
      <c r="Y948">
        <v>-0.115236899999999</v>
      </c>
      <c r="Z948">
        <v>6.5106869999999997E-2</v>
      </c>
      <c r="AA948">
        <v>0.99120209999999997</v>
      </c>
      <c r="AB948">
        <v>38</v>
      </c>
      <c r="AC948">
        <v>-0.53650000000001796</v>
      </c>
      <c r="AD948">
        <v>-1.1150668377555</v>
      </c>
      <c r="AE948">
        <v>-16.334</v>
      </c>
      <c r="AF948">
        <v>-1.9172676851385799</v>
      </c>
      <c r="AG948">
        <v>-1.1150668377555</v>
      </c>
      <c r="AH948">
        <v>16.153698724265599</v>
      </c>
      <c r="AI948">
        <v>93.921345348604802</v>
      </c>
      <c r="AJ948">
        <v>96.7687181764081</v>
      </c>
      <c r="AK948">
        <v>16.3052528929631</v>
      </c>
    </row>
    <row r="949" spans="1:37" x14ac:dyDescent="0.2">
      <c r="A949" t="str">
        <f>"20200111154043693"</f>
        <v>20200111154043693</v>
      </c>
      <c r="B949" t="str">
        <f>"1578728443686942"</f>
        <v>1578728443686942</v>
      </c>
      <c r="C949" t="s">
        <v>37</v>
      </c>
      <c r="D949">
        <v>5.5279699999999998</v>
      </c>
      <c r="E949">
        <v>0.47794910000000002</v>
      </c>
      <c r="F949" t="s">
        <v>39</v>
      </c>
      <c r="G949">
        <v>-191.99440000000001</v>
      </c>
      <c r="H949" s="1">
        <v>-7.7314019999999998E-7</v>
      </c>
      <c r="I949">
        <v>310.1046</v>
      </c>
      <c r="J949">
        <v>-191.50540000000001</v>
      </c>
      <c r="K949">
        <v>1.1149530000000001</v>
      </c>
      <c r="L949">
        <v>326.20569999999998</v>
      </c>
      <c r="M949">
        <v>-0.14616379999999901</v>
      </c>
      <c r="N949">
        <v>0</v>
      </c>
      <c r="O949">
        <v>-0.98916380000000004</v>
      </c>
      <c r="P949">
        <v>-8.6717649999999993E-2</v>
      </c>
      <c r="Q949">
        <v>5.23898E-2</v>
      </c>
      <c r="R949">
        <v>-0.99485489999999999</v>
      </c>
      <c r="S949">
        <v>-9.9288940000000006E-2</v>
      </c>
      <c r="T949">
        <v>-0.2043266</v>
      </c>
      <c r="U949">
        <v>-3.0186769999999998</v>
      </c>
      <c r="V949">
        <v>-6.0349300000000002E-2</v>
      </c>
      <c r="W949">
        <v>6.5521309999999999E-2</v>
      </c>
      <c r="X949">
        <v>0.99602449999999998</v>
      </c>
      <c r="Y949">
        <v>-0.11365</v>
      </c>
      <c r="Z949">
        <v>6.6210080000000004E-2</v>
      </c>
      <c r="AA949">
        <v>0.99131219999999998</v>
      </c>
      <c r="AB949">
        <v>38</v>
      </c>
      <c r="AC949">
        <v>-0.48900000000000399</v>
      </c>
      <c r="AD949">
        <v>-1.1149537731401999</v>
      </c>
      <c r="AE949">
        <v>-16.101099999999899</v>
      </c>
      <c r="AF949">
        <v>-1.86096018733428</v>
      </c>
      <c r="AG949">
        <v>-1.1149537731401999</v>
      </c>
      <c r="AH949">
        <v>15.923343823466199</v>
      </c>
      <c r="AI949">
        <v>93.978328515269197</v>
      </c>
      <c r="AJ949">
        <v>96.665914908068103</v>
      </c>
      <c r="AK949">
        <v>16.070444090173801</v>
      </c>
    </row>
    <row r="950" spans="1:37" x14ac:dyDescent="0.2">
      <c r="A950" t="str">
        <f>"20200111154043715"</f>
        <v>20200111154043715</v>
      </c>
      <c r="B950" t="str">
        <f>"1578728443707438"</f>
        <v>1578728443707438</v>
      </c>
      <c r="C950" t="s">
        <v>37</v>
      </c>
      <c r="D950">
        <v>5.7528040000000003</v>
      </c>
      <c r="E950">
        <v>0.47825630000000002</v>
      </c>
      <c r="F950" t="s">
        <v>39</v>
      </c>
      <c r="G950">
        <v>-191.99549999999999</v>
      </c>
      <c r="H950" s="1">
        <v>-9.5809990000000004E-7</v>
      </c>
      <c r="I950">
        <v>310.49529999999999</v>
      </c>
      <c r="J950">
        <v>-191.5548</v>
      </c>
      <c r="K950">
        <v>1.114825</v>
      </c>
      <c r="L950">
        <v>325.84739999999999</v>
      </c>
      <c r="M950">
        <v>-0.14229140000000001</v>
      </c>
      <c r="N950">
        <v>0</v>
      </c>
      <c r="O950">
        <v>-0.98972839999999995</v>
      </c>
      <c r="P950">
        <v>-8.4831610000000002E-2</v>
      </c>
      <c r="Q950">
        <v>5.0345819999999999E-2</v>
      </c>
      <c r="R950">
        <v>-0.99512269999999903</v>
      </c>
      <c r="S950">
        <v>-9.4161990000000001E-2</v>
      </c>
      <c r="T950">
        <v>-0.21422649999999999</v>
      </c>
      <c r="U950">
        <v>-3.0185849999999999</v>
      </c>
      <c r="V950">
        <v>-5.8310710000000002E-2</v>
      </c>
      <c r="W950">
        <v>6.3512769999999996E-2</v>
      </c>
      <c r="X950">
        <v>0.9962761</v>
      </c>
      <c r="Y950">
        <v>-0.1114492</v>
      </c>
      <c r="Z950">
        <v>6.9475040000000002E-2</v>
      </c>
      <c r="AA950">
        <v>0.99133859999999996</v>
      </c>
      <c r="AB950">
        <v>38</v>
      </c>
      <c r="AC950">
        <v>-0.44069999999999199</v>
      </c>
      <c r="AD950">
        <v>-1.11482595809989</v>
      </c>
      <c r="AE950">
        <v>-15.3521</v>
      </c>
      <c r="AF950">
        <v>-1.73930113059543</v>
      </c>
      <c r="AG950">
        <v>-1.11482595809989</v>
      </c>
      <c r="AH950">
        <v>15.1785986416716</v>
      </c>
      <c r="AI950">
        <v>94.173460057979398</v>
      </c>
      <c r="AJ950">
        <v>96.536956691120295</v>
      </c>
      <c r="AK950">
        <v>15.3185463430673</v>
      </c>
    </row>
    <row r="951" spans="1:37" x14ac:dyDescent="0.2">
      <c r="A951" t="str">
        <f>"20200111154043736"</f>
        <v>20200111154043736</v>
      </c>
      <c r="B951" t="str">
        <f>"1578728443726959"</f>
        <v>1578728443726959</v>
      </c>
      <c r="C951" t="s">
        <v>37</v>
      </c>
      <c r="D951">
        <v>5.7569330000000001</v>
      </c>
      <c r="E951">
        <v>0.47863450000000002</v>
      </c>
      <c r="F951" t="s">
        <v>39</v>
      </c>
      <c r="G951">
        <v>-192.01089999999999</v>
      </c>
      <c r="H951" s="1">
        <v>-1.065048E-6</v>
      </c>
      <c r="I951">
        <v>310.71280000000002</v>
      </c>
      <c r="J951">
        <v>-191.60290000000001</v>
      </c>
      <c r="K951">
        <v>1.1147049999999901</v>
      </c>
      <c r="L951">
        <v>325.4896</v>
      </c>
      <c r="M951">
        <v>-0.138601</v>
      </c>
      <c r="N951">
        <v>0</v>
      </c>
      <c r="O951">
        <v>-0.99025209999999997</v>
      </c>
      <c r="P951">
        <v>-8.2595660000000001E-2</v>
      </c>
      <c r="Q951">
        <v>4.973474E-2</v>
      </c>
      <c r="R951">
        <v>-0.99534140000000004</v>
      </c>
      <c r="S951">
        <v>-9.0957640000000006E-2</v>
      </c>
      <c r="T951">
        <v>-0.22232009999999999</v>
      </c>
      <c r="U951">
        <v>-3.0181580000000001</v>
      </c>
      <c r="V951">
        <v>-5.6809169999999999E-2</v>
      </c>
      <c r="W951">
        <v>6.2930280000000005E-2</v>
      </c>
      <c r="X951">
        <v>0.99639979999999995</v>
      </c>
      <c r="Y951">
        <v>-0.10879709999999999</v>
      </c>
      <c r="Z951">
        <v>7.2165670000000001E-2</v>
      </c>
      <c r="AA951">
        <v>0.99144100000000002</v>
      </c>
      <c r="AB951">
        <v>38</v>
      </c>
      <c r="AC951">
        <v>-0.40799999999998698</v>
      </c>
      <c r="AD951">
        <v>-1.1147060650480001</v>
      </c>
      <c r="AE951">
        <v>-14.7767999999999</v>
      </c>
      <c r="AF951">
        <v>-1.6349164442657</v>
      </c>
      <c r="AG951">
        <v>-1.1147060650480001</v>
      </c>
      <c r="AH951">
        <v>14.6076428110597</v>
      </c>
      <c r="AI951">
        <v>94.336797603097295</v>
      </c>
      <c r="AJ951">
        <v>96.386080973048095</v>
      </c>
      <c r="AK951">
        <v>14.741056606861299</v>
      </c>
    </row>
    <row r="952" spans="1:37" x14ac:dyDescent="0.2">
      <c r="A952" t="str">
        <f>"20200111154043758"</f>
        <v>20200111154043758</v>
      </c>
      <c r="B952" t="str">
        <f>"1578728443747453"</f>
        <v>1578728443747453</v>
      </c>
      <c r="C952" t="s">
        <v>37</v>
      </c>
      <c r="D952">
        <v>5.9191580000000004</v>
      </c>
      <c r="E952">
        <v>0.47865629999999998</v>
      </c>
      <c r="F952" t="s">
        <v>39</v>
      </c>
      <c r="G952">
        <v>-192.0385</v>
      </c>
      <c r="H952" s="1">
        <v>-9.0760949999999899E-7</v>
      </c>
      <c r="I952">
        <v>310.36419999999998</v>
      </c>
      <c r="J952">
        <v>-191.6489</v>
      </c>
      <c r="K952">
        <v>1.1146119999999999</v>
      </c>
      <c r="L952">
        <v>325.1377</v>
      </c>
      <c r="M952">
        <v>-0.13512560000000001</v>
      </c>
      <c r="N952">
        <v>0</v>
      </c>
      <c r="O952">
        <v>-0.99073230000000001</v>
      </c>
      <c r="P952">
        <v>-8.2433010000000001E-2</v>
      </c>
      <c r="Q952">
        <v>5.0504399999999998E-2</v>
      </c>
      <c r="R952">
        <v>-0.99531630000000004</v>
      </c>
      <c r="S952">
        <v>-8.6929320000000004E-2</v>
      </c>
      <c r="T952">
        <v>-0.22241749999999999</v>
      </c>
      <c r="U952">
        <v>-3.0179749999999999</v>
      </c>
      <c r="V952">
        <v>-5.3453630000000002E-2</v>
      </c>
      <c r="W952">
        <v>6.3746410000000003E-2</v>
      </c>
      <c r="X952">
        <v>0.99653359999999902</v>
      </c>
      <c r="Y952">
        <v>-0.1066295</v>
      </c>
      <c r="Z952">
        <v>7.2264270000000005E-2</v>
      </c>
      <c r="AA952">
        <v>0.99166929999999998</v>
      </c>
      <c r="AB952">
        <v>38</v>
      </c>
      <c r="AC952">
        <v>-0.389600000000001</v>
      </c>
      <c r="AD952">
        <v>-1.1146129076094999</v>
      </c>
      <c r="AE952">
        <v>-14.7735</v>
      </c>
      <c r="AF952">
        <v>-1.60133341515557</v>
      </c>
      <c r="AG952">
        <v>-1.1146129076094999</v>
      </c>
      <c r="AH952">
        <v>14.6075370549031</v>
      </c>
      <c r="AI952">
        <v>94.337554395789994</v>
      </c>
      <c r="AJ952">
        <v>96.255999457129704</v>
      </c>
      <c r="AK952">
        <v>14.737257867414501</v>
      </c>
    </row>
    <row r="953" spans="1:37" x14ac:dyDescent="0.2">
      <c r="A953" t="str">
        <f>"20200111154043781"</f>
        <v>20200111154043781</v>
      </c>
      <c r="B953" t="str">
        <f>"1578728443776733"</f>
        <v>1578728443776733</v>
      </c>
      <c r="C953" t="s">
        <v>37</v>
      </c>
      <c r="D953">
        <v>5.8581959999999897</v>
      </c>
      <c r="E953">
        <v>0.53581889999999999</v>
      </c>
      <c r="F953" t="s">
        <v>39</v>
      </c>
      <c r="G953">
        <v>-192.08539999999999</v>
      </c>
      <c r="H953" s="1">
        <v>-6.6241729999999997E-7</v>
      </c>
      <c r="I953">
        <v>309.81920000000002</v>
      </c>
      <c r="J953">
        <v>-191.6979</v>
      </c>
      <c r="K953">
        <v>1.1145240000000001</v>
      </c>
      <c r="L953">
        <v>324.75389999999999</v>
      </c>
      <c r="M953">
        <v>-0.13147410000000001</v>
      </c>
      <c r="N953">
        <v>0</v>
      </c>
      <c r="O953">
        <v>-0.99122350000000004</v>
      </c>
      <c r="P953">
        <v>-8.2541799999999999E-2</v>
      </c>
      <c r="Q953">
        <v>5.161607E-2</v>
      </c>
      <c r="R953">
        <v>-0.99524990000000002</v>
      </c>
      <c r="S953">
        <v>-8.5998539999999998E-2</v>
      </c>
      <c r="T953">
        <v>-0.21960540000000001</v>
      </c>
      <c r="U953">
        <v>-3.0181269999999998</v>
      </c>
      <c r="V953">
        <v>-4.9650439999999997E-2</v>
      </c>
      <c r="W953">
        <v>6.4906069999999996E-2</v>
      </c>
      <c r="X953">
        <v>0.99665539999999997</v>
      </c>
      <c r="Y953">
        <v>-0.1032706</v>
      </c>
      <c r="Z953">
        <v>7.1418369999999995E-2</v>
      </c>
      <c r="AA953">
        <v>0.99208600000000002</v>
      </c>
      <c r="AB953">
        <v>38</v>
      </c>
      <c r="AC953">
        <v>-0.38749999999998802</v>
      </c>
      <c r="AD953">
        <v>-1.1145246624173</v>
      </c>
      <c r="AE953">
        <v>-14.9346999999999</v>
      </c>
      <c r="AF953">
        <v>-1.57083534308629</v>
      </c>
      <c r="AG953">
        <v>-1.1145246624173</v>
      </c>
      <c r="AH953">
        <v>14.7737656917724</v>
      </c>
      <c r="AI953">
        <v>94.290098877936302</v>
      </c>
      <c r="AJ953">
        <v>96.069228020843397</v>
      </c>
      <c r="AK953">
        <v>14.898786581920501</v>
      </c>
    </row>
    <row r="954" spans="1:37" x14ac:dyDescent="0.2">
      <c r="A954" t="str">
        <f>"20200111154043805"</f>
        <v>20200111154043805</v>
      </c>
      <c r="B954" t="str">
        <f>"1578728443797230"</f>
        <v>1578728443797230</v>
      </c>
      <c r="C954" t="s">
        <v>37</v>
      </c>
      <c r="D954">
        <v>5.8407799999999996</v>
      </c>
      <c r="E954">
        <v>0.53894180000000003</v>
      </c>
      <c r="F954" t="s">
        <v>38</v>
      </c>
      <c r="G954">
        <v>-191.83439999999999</v>
      </c>
      <c r="H954">
        <v>1.0499639999999999</v>
      </c>
      <c r="I954">
        <v>324.0018</v>
      </c>
      <c r="J954">
        <v>-191.74459999999999</v>
      </c>
      <c r="K954">
        <v>1.114463</v>
      </c>
      <c r="L954">
        <v>324.37700000000001</v>
      </c>
      <c r="M954">
        <v>-0.12800039999999999</v>
      </c>
      <c r="N954">
        <v>0</v>
      </c>
      <c r="O954">
        <v>-0.99167850000000002</v>
      </c>
      <c r="P954">
        <v>-8.2826960000000005E-2</v>
      </c>
      <c r="Q954">
        <v>5.5021880000000002E-2</v>
      </c>
      <c r="R954">
        <v>-0.99504419999999905</v>
      </c>
      <c r="S954">
        <v>-0.541153</v>
      </c>
      <c r="T954">
        <v>-0.25611729999999999</v>
      </c>
      <c r="U954">
        <v>-2.9827270000000001</v>
      </c>
      <c r="V954">
        <v>-4.585943E-2</v>
      </c>
      <c r="W954">
        <v>6.8353540000000004E-2</v>
      </c>
      <c r="X954">
        <v>0.99660659999999901</v>
      </c>
      <c r="Y954">
        <v>5.045724E-2</v>
      </c>
      <c r="Z954">
        <v>8.3769960000000004E-2</v>
      </c>
      <c r="AA954">
        <v>0.99520679999999995</v>
      </c>
      <c r="AB954">
        <v>37</v>
      </c>
      <c r="AC954">
        <v>-8.9799999999996702E-2</v>
      </c>
      <c r="AD954">
        <v>-6.4499000000000001E-2</v>
      </c>
      <c r="AE954">
        <v>-0.37520000000000597</v>
      </c>
      <c r="AF954">
        <v>3.9915221298543198E-2</v>
      </c>
      <c r="AG954">
        <v>-6.4499000000000001E-2</v>
      </c>
      <c r="AH954">
        <v>0.37317808676330899</v>
      </c>
      <c r="AI954">
        <v>99.751411149281793</v>
      </c>
      <c r="AJ954">
        <v>83.894840532525905</v>
      </c>
      <c r="AK954">
        <v>0.38080865317457702</v>
      </c>
    </row>
    <row r="955" spans="1:37" x14ac:dyDescent="0.2">
      <c r="A955" t="str">
        <f>"20200111154043827"</f>
        <v>20200111154043827</v>
      </c>
      <c r="B955" t="str">
        <f>"1578728443816750"</f>
        <v>1578728443816750</v>
      </c>
      <c r="C955" t="s">
        <v>37</v>
      </c>
      <c r="D955">
        <v>5.8033580000000002</v>
      </c>
      <c r="E955">
        <v>0.53971179999999996</v>
      </c>
      <c r="F955" t="s">
        <v>38</v>
      </c>
      <c r="G955">
        <v>-191.9392</v>
      </c>
      <c r="H955">
        <v>1.031984</v>
      </c>
      <c r="I955">
        <v>323.35390000000001</v>
      </c>
      <c r="J955">
        <v>-191.79040000000001</v>
      </c>
      <c r="K955">
        <v>1.114412</v>
      </c>
      <c r="L955">
        <v>323.99700000000001</v>
      </c>
      <c r="M955">
        <v>-0.1245747</v>
      </c>
      <c r="N955">
        <v>0</v>
      </c>
      <c r="O955">
        <v>-0.99211459999999996</v>
      </c>
      <c r="P955">
        <v>-8.1989450000000005E-2</v>
      </c>
      <c r="Q955">
        <v>5.9095420000000003E-2</v>
      </c>
      <c r="R955">
        <v>-0.99488009999999905</v>
      </c>
      <c r="S955">
        <v>-0.56687929999999997</v>
      </c>
      <c r="T955">
        <v>-0.24038470000000001</v>
      </c>
      <c r="U955">
        <v>-2.9810789999999998</v>
      </c>
      <c r="V955">
        <v>-4.3246809999999997E-2</v>
      </c>
      <c r="W955">
        <v>7.2452730000000007E-2</v>
      </c>
      <c r="X955">
        <v>0.99643379999999904</v>
      </c>
      <c r="Y955">
        <v>6.237968E-2</v>
      </c>
      <c r="Z955">
        <v>7.8664159999999997E-2</v>
      </c>
      <c r="AA955">
        <v>0.99494760000000004</v>
      </c>
      <c r="AB955">
        <v>37</v>
      </c>
      <c r="AC955">
        <v>-0.14879999999999399</v>
      </c>
      <c r="AD955">
        <v>-8.2428000000000098E-2</v>
      </c>
      <c r="AE955">
        <v>-0.643100000000004</v>
      </c>
      <c r="AF955">
        <v>6.6482378113676105E-2</v>
      </c>
      <c r="AG955">
        <v>-8.2428000000000098E-2</v>
      </c>
      <c r="AH955">
        <v>0.64654601916381704</v>
      </c>
      <c r="AI955">
        <v>97.227727261613794</v>
      </c>
      <c r="AJ955">
        <v>84.129081526578503</v>
      </c>
      <c r="AK955">
        <v>0.65516107689653602</v>
      </c>
    </row>
    <row r="956" spans="1:37" x14ac:dyDescent="0.2">
      <c r="A956" t="str">
        <f>"20200111154043849"</f>
        <v>20200111154043849</v>
      </c>
      <c r="B956" t="str">
        <f>"1578728443837246"</f>
        <v>1578728443837246</v>
      </c>
      <c r="C956" t="s">
        <v>37</v>
      </c>
      <c r="D956">
        <v>5.8501820000000002</v>
      </c>
      <c r="E956">
        <v>0.54011989999999999</v>
      </c>
      <c r="F956" t="s">
        <v>38</v>
      </c>
      <c r="G956">
        <v>-191.97799999999901</v>
      </c>
      <c r="H956">
        <v>1.0410509999999999</v>
      </c>
      <c r="I956">
        <v>323.01830000000001</v>
      </c>
      <c r="J956">
        <v>-191.8339</v>
      </c>
      <c r="K956">
        <v>1.114368</v>
      </c>
      <c r="L956">
        <v>323.62479999999999</v>
      </c>
      <c r="M956">
        <v>-0.1212573</v>
      </c>
      <c r="N956">
        <v>0</v>
      </c>
      <c r="O956">
        <v>-0.99252559999999901</v>
      </c>
      <c r="P956">
        <v>-8.0846950000000001E-2</v>
      </c>
      <c r="Q956">
        <v>6.219997E-2</v>
      </c>
      <c r="R956">
        <v>-0.99478440000000001</v>
      </c>
      <c r="S956">
        <v>-0.57106020000000002</v>
      </c>
      <c r="T956">
        <v>-0.22376940000000001</v>
      </c>
      <c r="U956">
        <v>-2.9816889999999998</v>
      </c>
      <c r="V956">
        <v>-4.1050099999999999E-2</v>
      </c>
      <c r="W956">
        <v>7.5577889999999995E-2</v>
      </c>
      <c r="X956">
        <v>0.99629460000000003</v>
      </c>
      <c r="Y956">
        <v>6.7102270000000006E-2</v>
      </c>
      <c r="Z956">
        <v>7.3267550000000001E-2</v>
      </c>
      <c r="AA956">
        <v>0.9950523</v>
      </c>
      <c r="AB956">
        <v>37</v>
      </c>
      <c r="AC956">
        <v>-0.14409999999997999</v>
      </c>
      <c r="AD956">
        <v>-7.3316999999999993E-2</v>
      </c>
      <c r="AE956">
        <v>-0.60649999999998205</v>
      </c>
      <c r="AF956">
        <v>6.8538914028708695E-2</v>
      </c>
      <c r="AG956">
        <v>-7.3316999999999993E-2</v>
      </c>
      <c r="AH956">
        <v>0.61104642388728003</v>
      </c>
      <c r="AI956">
        <v>96.799742985526905</v>
      </c>
      <c r="AJ956">
        <v>83.600085580811097</v>
      </c>
      <c r="AK956">
        <v>0.61923396012385201</v>
      </c>
    </row>
    <row r="957" spans="1:37" x14ac:dyDescent="0.2">
      <c r="A957" t="str">
        <f>"20200111154043872"</f>
        <v>20200111154043872</v>
      </c>
      <c r="B957" t="str">
        <f>"1578728443867502"</f>
        <v>1578728443867502</v>
      </c>
      <c r="C957" t="s">
        <v>37</v>
      </c>
      <c r="D957">
        <v>5.9095079999999998</v>
      </c>
      <c r="E957">
        <v>0.54013199999999995</v>
      </c>
      <c r="F957" t="s">
        <v>38</v>
      </c>
      <c r="G957">
        <v>-192.01419999999999</v>
      </c>
      <c r="H957">
        <v>1.0466869999999999</v>
      </c>
      <c r="I957">
        <v>322.68430000000001</v>
      </c>
      <c r="J957">
        <v>-191.8759</v>
      </c>
      <c r="K957">
        <v>1.114317</v>
      </c>
      <c r="L957">
        <v>323.2552</v>
      </c>
      <c r="M957">
        <v>-0.117978099999999</v>
      </c>
      <c r="N957">
        <v>0</v>
      </c>
      <c r="O957">
        <v>-0.9929209</v>
      </c>
      <c r="P957">
        <v>-8.0317920000000001E-2</v>
      </c>
      <c r="Q957">
        <v>6.3424889999999998E-2</v>
      </c>
      <c r="R957">
        <v>-0.99474949999999995</v>
      </c>
      <c r="S957">
        <v>-0.57208249999999905</v>
      </c>
      <c r="T957">
        <v>-0.21457519999999999</v>
      </c>
      <c r="U957">
        <v>-2.982666</v>
      </c>
      <c r="V957">
        <v>-3.827709E-2</v>
      </c>
      <c r="W957">
        <v>7.6828339999999995E-2</v>
      </c>
      <c r="X957">
        <v>0.99630929999999995</v>
      </c>
      <c r="Y957">
        <v>7.0707240000000005E-2</v>
      </c>
      <c r="Z957">
        <v>7.0280830000000002E-2</v>
      </c>
      <c r="AA957">
        <v>0.99501810000000002</v>
      </c>
      <c r="AB957">
        <v>37</v>
      </c>
      <c r="AC957">
        <v>-0.13829999999998599</v>
      </c>
      <c r="AD957">
        <v>-6.7629999999999801E-2</v>
      </c>
      <c r="AE957">
        <v>-0.57089999999999397</v>
      </c>
      <c r="AF957">
        <v>6.9058488615429001E-2</v>
      </c>
      <c r="AG957">
        <v>-6.7629999999999801E-2</v>
      </c>
      <c r="AH957">
        <v>0.57560030595130396</v>
      </c>
      <c r="AI957">
        <v>96.653941734162203</v>
      </c>
      <c r="AJ957">
        <v>83.158556037152707</v>
      </c>
      <c r="AK957">
        <v>0.58365966449728401</v>
      </c>
    </row>
    <row r="958" spans="1:37" x14ac:dyDescent="0.2">
      <c r="A958" t="str">
        <f>"20200111154043894"</f>
        <v>20200111154043894</v>
      </c>
      <c r="B958" t="str">
        <f>"1578728443887022"</f>
        <v>1578728443887022</v>
      </c>
      <c r="C958" t="s">
        <v>37</v>
      </c>
      <c r="D958">
        <v>5.8523779999999999</v>
      </c>
      <c r="E958">
        <v>0.54020590000000002</v>
      </c>
      <c r="F958" t="s">
        <v>38</v>
      </c>
      <c r="G958">
        <v>-192.0489</v>
      </c>
      <c r="H958">
        <v>1.048165</v>
      </c>
      <c r="I958">
        <v>322.35199999999998</v>
      </c>
      <c r="J958">
        <v>-191.91669999999999</v>
      </c>
      <c r="K958">
        <v>1.1142609999999999</v>
      </c>
      <c r="L958">
        <v>322.88479999999998</v>
      </c>
      <c r="M958">
        <v>-0.114696699999999</v>
      </c>
      <c r="N958">
        <v>0</v>
      </c>
      <c r="O958">
        <v>-0.99330509999999905</v>
      </c>
      <c r="P958">
        <v>-8.0380980000000005E-2</v>
      </c>
      <c r="Q958">
        <v>6.310955E-2</v>
      </c>
      <c r="R958">
        <v>-0.99476430000000005</v>
      </c>
      <c r="S958">
        <v>-0.57106020000000002</v>
      </c>
      <c r="T958">
        <v>-0.2188118</v>
      </c>
      <c r="U958">
        <v>-2.983673</v>
      </c>
      <c r="V958">
        <v>-3.4909349999999999E-2</v>
      </c>
      <c r="W958">
        <v>7.6544029999999999E-2</v>
      </c>
      <c r="X958">
        <v>0.99645490000000003</v>
      </c>
      <c r="Y958">
        <v>7.3593249999999999E-2</v>
      </c>
      <c r="Z958">
        <v>7.1673879999999995E-2</v>
      </c>
      <c r="AA958">
        <v>0.99470939999999997</v>
      </c>
      <c r="AB958">
        <v>37</v>
      </c>
      <c r="AC958">
        <v>-0.132200000000011</v>
      </c>
      <c r="AD958">
        <v>-6.6096000000000099E-2</v>
      </c>
      <c r="AE958">
        <v>-0.53279999999995198</v>
      </c>
      <c r="AF958">
        <v>6.9207890168837397E-2</v>
      </c>
      <c r="AG958">
        <v>-6.6096000000000099E-2</v>
      </c>
      <c r="AH958">
        <v>0.53666747199400799</v>
      </c>
      <c r="AI958">
        <v>96.964098664357294</v>
      </c>
      <c r="AJ958">
        <v>82.651771407624594</v>
      </c>
      <c r="AK958">
        <v>0.545133367878046</v>
      </c>
    </row>
    <row r="959" spans="1:37" x14ac:dyDescent="0.2">
      <c r="A959" t="str">
        <f>"20200111154043915"</f>
        <v>20200111154043915</v>
      </c>
      <c r="B959" t="str">
        <f>"1578728443907519"</f>
        <v>1578728443907519</v>
      </c>
      <c r="C959" t="s">
        <v>37</v>
      </c>
      <c r="D959">
        <v>5.8569370000000003</v>
      </c>
      <c r="E959">
        <v>0.54042139999999905</v>
      </c>
      <c r="F959" t="s">
        <v>38</v>
      </c>
      <c r="G959">
        <v>-192.0829</v>
      </c>
      <c r="H959">
        <v>1.0505990000000001</v>
      </c>
      <c r="I959">
        <v>322.01870000000002</v>
      </c>
      <c r="J959">
        <v>-191.9546</v>
      </c>
      <c r="K959">
        <v>1.114187</v>
      </c>
      <c r="L959">
        <v>322.53129999999999</v>
      </c>
      <c r="M959">
        <v>-0.111568899999999</v>
      </c>
      <c r="N959">
        <v>0</v>
      </c>
      <c r="O959">
        <v>-0.99366149999999998</v>
      </c>
      <c r="P959">
        <v>-8.0712389999999995E-2</v>
      </c>
      <c r="Q959">
        <v>6.09484E-2</v>
      </c>
      <c r="R959">
        <v>-0.99487230000000004</v>
      </c>
      <c r="S959">
        <v>-0.57179259999999998</v>
      </c>
      <c r="T959">
        <v>-0.21961249999999999</v>
      </c>
      <c r="U959">
        <v>-2.9834900000000002</v>
      </c>
      <c r="V959">
        <v>-3.1425219999999997E-2</v>
      </c>
      <c r="W959">
        <v>7.4416280000000001E-2</v>
      </c>
      <c r="X959">
        <v>0.99673199999999995</v>
      </c>
      <c r="Y959">
        <v>7.6975459999999996E-2</v>
      </c>
      <c r="Z959">
        <v>7.1966799999999997E-2</v>
      </c>
      <c r="AA959">
        <v>0.99443230000000005</v>
      </c>
      <c r="AB959">
        <v>37</v>
      </c>
      <c r="AC959">
        <v>-0.128299999999995</v>
      </c>
      <c r="AD959">
        <v>-6.3587999999999895E-2</v>
      </c>
      <c r="AE959">
        <v>-0.51259999999996297</v>
      </c>
      <c r="AF959">
        <v>6.9299661646545593E-2</v>
      </c>
      <c r="AG959">
        <v>-6.3587999999999895E-2</v>
      </c>
      <c r="AH959">
        <v>0.51623896528528901</v>
      </c>
      <c r="AI959">
        <v>96.960254089689599</v>
      </c>
      <c r="AJ959">
        <v>82.354349949473601</v>
      </c>
      <c r="AK959">
        <v>0.52473664454386304</v>
      </c>
    </row>
    <row r="960" spans="1:37" x14ac:dyDescent="0.2">
      <c r="A960" t="str">
        <f>"20200111154043937"</f>
        <v>20200111154043937</v>
      </c>
      <c r="B960" t="str">
        <f>"1578728443927038"</f>
        <v>1578728443927038</v>
      </c>
      <c r="C960" t="s">
        <v>37</v>
      </c>
      <c r="D960">
        <v>5.8800730000000003</v>
      </c>
      <c r="E960">
        <v>0.54062540000000003</v>
      </c>
      <c r="F960" t="s">
        <v>38</v>
      </c>
      <c r="G960">
        <v>-192.11689999999999</v>
      </c>
      <c r="H960">
        <v>1.0506200000000001</v>
      </c>
      <c r="I960">
        <v>321.68790000000001</v>
      </c>
      <c r="J960">
        <v>-191.9923</v>
      </c>
      <c r="K960">
        <v>1.1140939999999999</v>
      </c>
      <c r="L960">
        <v>322.16879999999998</v>
      </c>
      <c r="M960">
        <v>-0.108377399999999</v>
      </c>
      <c r="N960">
        <v>0</v>
      </c>
      <c r="O960">
        <v>-0.99401469999999903</v>
      </c>
      <c r="P960">
        <v>-8.1127790000000005E-2</v>
      </c>
      <c r="Q960">
        <v>5.7643890000000003E-2</v>
      </c>
      <c r="R960">
        <v>-0.99503560000000002</v>
      </c>
      <c r="S960">
        <v>-0.57374569999999903</v>
      </c>
      <c r="T960">
        <v>-0.22495779999999899</v>
      </c>
      <c r="U960">
        <v>-2.9826969999999999</v>
      </c>
      <c r="V960">
        <v>-2.7790550000000001E-2</v>
      </c>
      <c r="W960">
        <v>7.1145299999999995E-2</v>
      </c>
      <c r="X960">
        <v>0.99707880000000004</v>
      </c>
      <c r="Y960">
        <v>8.0828860000000002E-2</v>
      </c>
      <c r="Z960">
        <v>7.3751430000000007E-2</v>
      </c>
      <c r="AA960">
        <v>0.99399570000000004</v>
      </c>
      <c r="AB960">
        <v>37</v>
      </c>
      <c r="AC960">
        <v>-0.124599999999986</v>
      </c>
      <c r="AD960">
        <v>-6.3474000000000003E-2</v>
      </c>
      <c r="AE960">
        <v>-0.48089999999996202</v>
      </c>
      <c r="AF960">
        <v>7.0589914421084907E-2</v>
      </c>
      <c r="AG960">
        <v>-6.3474000000000003E-2</v>
      </c>
      <c r="AH960">
        <v>0.48367576970996001</v>
      </c>
      <c r="AI960">
        <v>97.398847024368905</v>
      </c>
      <c r="AJ960">
        <v>81.6966072468649</v>
      </c>
      <c r="AK960">
        <v>0.49290377853948097</v>
      </c>
    </row>
    <row r="961" spans="1:37" x14ac:dyDescent="0.2">
      <c r="A961" t="str">
        <f>"20200111154043960"</f>
        <v>20200111154043960</v>
      </c>
      <c r="B961" t="str">
        <f>"1578728443947533"</f>
        <v>1578728443947533</v>
      </c>
      <c r="C961" t="s">
        <v>37</v>
      </c>
      <c r="D961">
        <v>5.9082439999999998</v>
      </c>
      <c r="E961">
        <v>0.54081889999999999</v>
      </c>
      <c r="F961" t="s">
        <v>38</v>
      </c>
      <c r="G961">
        <v>-192.14920000000001</v>
      </c>
      <c r="H961">
        <v>1.0502499999999999</v>
      </c>
      <c r="I961">
        <v>321.35739999999998</v>
      </c>
      <c r="J961">
        <v>-192.02940000000001</v>
      </c>
      <c r="K961">
        <v>1.1140000000000001</v>
      </c>
      <c r="L961">
        <v>321.7998</v>
      </c>
      <c r="M961">
        <v>-0.1051623</v>
      </c>
      <c r="N961">
        <v>0</v>
      </c>
      <c r="O961">
        <v>-0.99436000000000002</v>
      </c>
      <c r="P961">
        <v>-8.1565310000000002E-2</v>
      </c>
      <c r="Q961">
        <v>5.328683E-2</v>
      </c>
      <c r="R961">
        <v>-0.99524290000000004</v>
      </c>
      <c r="S961">
        <v>-0.57655330000000005</v>
      </c>
      <c r="T961">
        <v>-0.2346346</v>
      </c>
      <c r="U961">
        <v>-2.981506</v>
      </c>
      <c r="V961">
        <v>-2.4104810000000001E-2</v>
      </c>
      <c r="W961">
        <v>6.6822590000000001E-2</v>
      </c>
      <c r="X961">
        <v>0.99747369999999902</v>
      </c>
      <c r="Y961">
        <v>8.4981429999999997E-2</v>
      </c>
      <c r="Z961">
        <v>7.6955120000000002E-2</v>
      </c>
      <c r="AA961">
        <v>0.99340629999999996</v>
      </c>
      <c r="AB961">
        <v>37</v>
      </c>
      <c r="AC961">
        <v>-0.11979999999999701</v>
      </c>
      <c r="AD961">
        <v>-6.3750000000000195E-2</v>
      </c>
      <c r="AE961">
        <v>-0.44240000000002</v>
      </c>
      <c r="AF961">
        <v>7.1229370069850195E-2</v>
      </c>
      <c r="AG961">
        <v>-6.3750000000000195E-2</v>
      </c>
      <c r="AH961">
        <v>0.4439571875485</v>
      </c>
      <c r="AI961">
        <v>98.069705985455997</v>
      </c>
      <c r="AJ961">
        <v>80.885033313602804</v>
      </c>
      <c r="AK961">
        <v>0.45413177607003202</v>
      </c>
    </row>
    <row r="962" spans="1:37" x14ac:dyDescent="0.2">
      <c r="A962" t="str">
        <f>"20200111154043982"</f>
        <v>20200111154043982</v>
      </c>
      <c r="B962" t="str">
        <f>"1578728443976815"</f>
        <v>1578728443976815</v>
      </c>
      <c r="C962" t="s">
        <v>37</v>
      </c>
      <c r="D962">
        <v>5.8485949999999898</v>
      </c>
      <c r="E962">
        <v>0.54117289999999996</v>
      </c>
      <c r="F962" t="s">
        <v>38</v>
      </c>
      <c r="G962">
        <v>-192.18</v>
      </c>
      <c r="H962">
        <v>1.0499689999999999</v>
      </c>
      <c r="I962">
        <v>321.02679999999998</v>
      </c>
      <c r="J962">
        <v>-192.06549999999999</v>
      </c>
      <c r="K962">
        <v>1.1139019999999999</v>
      </c>
      <c r="L962">
        <v>321.43099999999998</v>
      </c>
      <c r="M962">
        <v>-0.1020035</v>
      </c>
      <c r="N962">
        <v>0</v>
      </c>
      <c r="O962">
        <v>-0.99468899999999905</v>
      </c>
      <c r="P962">
        <v>-8.1520889999999999E-2</v>
      </c>
      <c r="Q962">
        <v>4.8669520000000001E-2</v>
      </c>
      <c r="R962">
        <v>-0.99548300000000001</v>
      </c>
      <c r="S962">
        <v>-0.57983399999999996</v>
      </c>
      <c r="T962">
        <v>-0.2469857</v>
      </c>
      <c r="U962">
        <v>-2.9800419999999899</v>
      </c>
      <c r="V962">
        <v>-2.0955109999999999E-2</v>
      </c>
      <c r="W962">
        <v>6.223356E-2</v>
      </c>
      <c r="X962">
        <v>0.997841599999999</v>
      </c>
      <c r="Y962">
        <v>8.9228310000000005E-2</v>
      </c>
      <c r="Z962">
        <v>8.1035170000000004E-2</v>
      </c>
      <c r="AA962">
        <v>0.99270919999999896</v>
      </c>
      <c r="AB962">
        <v>37</v>
      </c>
      <c r="AC962">
        <v>-0.11450000000002</v>
      </c>
      <c r="AD962">
        <v>-6.3932999999999796E-2</v>
      </c>
      <c r="AE962">
        <v>-0.404200000000003</v>
      </c>
      <c r="AF962">
        <v>7.1024041902666105E-2</v>
      </c>
      <c r="AG962">
        <v>-6.3932999999999796E-2</v>
      </c>
      <c r="AH962">
        <v>0.40440584597521501</v>
      </c>
      <c r="AI962">
        <v>98.850346047950097</v>
      </c>
      <c r="AJ962">
        <v>80.038975962253005</v>
      </c>
      <c r="AK962">
        <v>0.41554293553870097</v>
      </c>
    </row>
    <row r="963" spans="1:37" x14ac:dyDescent="0.2">
      <c r="A963" t="str">
        <f>"20200111154044004"</f>
        <v>20200111154044004</v>
      </c>
      <c r="B963" t="str">
        <f>"1578728443997309"</f>
        <v>1578728443997309</v>
      </c>
      <c r="C963" t="s">
        <v>37</v>
      </c>
      <c r="D963">
        <v>5.9640269999999997</v>
      </c>
      <c r="E963">
        <v>0.54114229999999997</v>
      </c>
      <c r="F963" t="s">
        <v>38</v>
      </c>
      <c r="G963">
        <v>-192.20930000000001</v>
      </c>
      <c r="H963">
        <v>1.0498049999999901</v>
      </c>
      <c r="I963">
        <v>320.69619999999998</v>
      </c>
      <c r="J963">
        <v>-192.09829999999999</v>
      </c>
      <c r="K963">
        <v>1.113823</v>
      </c>
      <c r="L963">
        <v>321.08449999999999</v>
      </c>
      <c r="M963">
        <v>-9.9110359999999995E-2</v>
      </c>
      <c r="N963">
        <v>0</v>
      </c>
      <c r="O963">
        <v>-0.99498169999999897</v>
      </c>
      <c r="P963">
        <v>-8.1131850000000005E-2</v>
      </c>
      <c r="Q963">
        <v>4.4147550000000001E-2</v>
      </c>
      <c r="R963">
        <v>-0.99572549999999904</v>
      </c>
      <c r="S963">
        <v>-0.58325199999999999</v>
      </c>
      <c r="T963">
        <v>-0.25972269999999997</v>
      </c>
      <c r="U963">
        <v>-2.9785459999999899</v>
      </c>
      <c r="V963">
        <v>-1.8415890000000001E-2</v>
      </c>
      <c r="W963">
        <v>5.7734149999999998E-2</v>
      </c>
      <c r="X963">
        <v>0.998162199999999</v>
      </c>
      <c r="Y963">
        <v>9.3247339999999998E-2</v>
      </c>
      <c r="Z963">
        <v>8.5238289999999994E-2</v>
      </c>
      <c r="AA963">
        <v>0.99198759999999997</v>
      </c>
      <c r="AB963">
        <v>37</v>
      </c>
      <c r="AC963">
        <v>-0.111000000000018</v>
      </c>
      <c r="AD963">
        <v>-6.4018000000000103E-2</v>
      </c>
      <c r="AE963">
        <v>-0.38830000000001502</v>
      </c>
      <c r="AF963">
        <v>7.0201193646857701E-2</v>
      </c>
      <c r="AG963">
        <v>-6.4018000000000103E-2</v>
      </c>
      <c r="AH963">
        <v>0.38764930493407201</v>
      </c>
      <c r="AI963">
        <v>99.229940775907394</v>
      </c>
      <c r="AJ963">
        <v>79.735290469114702</v>
      </c>
      <c r="AK963">
        <v>0.39912215614935798</v>
      </c>
    </row>
    <row r="964" spans="1:37" x14ac:dyDescent="0.2">
      <c r="A964" t="str">
        <f>"20200111154044026"</f>
        <v>20200111154044026</v>
      </c>
      <c r="B964" t="str">
        <f>"1578728444016830"</f>
        <v>1578728444016830</v>
      </c>
      <c r="C964" t="s">
        <v>37</v>
      </c>
      <c r="D964">
        <v>5.8412100000000002</v>
      </c>
      <c r="E964">
        <v>0.54148669999999899</v>
      </c>
      <c r="F964" t="s">
        <v>38</v>
      </c>
      <c r="G964">
        <v>-192.3</v>
      </c>
      <c r="H964">
        <v>1.0187759999999999</v>
      </c>
      <c r="I964">
        <v>320.05489999999998</v>
      </c>
      <c r="J964">
        <v>-192.13409999999999</v>
      </c>
      <c r="K964">
        <v>1.1137520000000001</v>
      </c>
      <c r="L964">
        <v>320.69409999999999</v>
      </c>
      <c r="M964">
        <v>-9.5960889999999993E-2</v>
      </c>
      <c r="N964">
        <v>0</v>
      </c>
      <c r="O964">
        <v>-0.99529040000000002</v>
      </c>
      <c r="P964">
        <v>-7.7866870000000005E-2</v>
      </c>
      <c r="Q964">
        <v>4.3269879999999997E-2</v>
      </c>
      <c r="R964">
        <v>-0.99602449999999998</v>
      </c>
      <c r="S964">
        <v>-0.58277889999999999</v>
      </c>
      <c r="T964">
        <v>-0.27515509999999999</v>
      </c>
      <c r="U964">
        <v>-2.9775999999999998</v>
      </c>
      <c r="V964">
        <v>-1.851297E-2</v>
      </c>
      <c r="W964">
        <v>5.6853920000000002E-2</v>
      </c>
      <c r="X964">
        <v>0.99821079999999995</v>
      </c>
      <c r="Y964">
        <v>9.6219330000000006E-2</v>
      </c>
      <c r="Z964">
        <v>9.0320709999999998E-2</v>
      </c>
      <c r="AA964">
        <v>0.99125370000000002</v>
      </c>
      <c r="AB964">
        <v>37</v>
      </c>
      <c r="AC964">
        <v>-0.165900000000021</v>
      </c>
      <c r="AD964">
        <v>-9.4975999999999894E-2</v>
      </c>
      <c r="AE964">
        <v>-0.63920000000001598</v>
      </c>
      <c r="AF964">
        <v>0.101686930897745</v>
      </c>
      <c r="AG964">
        <v>-9.4975999999999894E-2</v>
      </c>
      <c r="AH964">
        <v>0.63895464263785895</v>
      </c>
      <c r="AI964">
        <v>98.351114305934203</v>
      </c>
      <c r="AJ964">
        <v>80.957451315798195</v>
      </c>
      <c r="AK964">
        <v>0.65392943643781398</v>
      </c>
    </row>
    <row r="965" spans="1:37" x14ac:dyDescent="0.2">
      <c r="A965" t="str">
        <f>"20200111154044049"</f>
        <v>20200111154044049</v>
      </c>
      <c r="B965" t="str">
        <f>"1578728444037328"</f>
        <v>1578728444037328</v>
      </c>
      <c r="C965" t="s">
        <v>37</v>
      </c>
      <c r="D965">
        <v>5.8694419999999896</v>
      </c>
      <c r="E965">
        <v>0.54171720000000001</v>
      </c>
      <c r="F965" t="s">
        <v>38</v>
      </c>
      <c r="G965">
        <v>-192.32259999999999</v>
      </c>
      <c r="H965">
        <v>1.0236670000000001</v>
      </c>
      <c r="I965">
        <v>319.72160000000002</v>
      </c>
      <c r="J965">
        <v>-192.1669</v>
      </c>
      <c r="K965">
        <v>1.113691</v>
      </c>
      <c r="L965">
        <v>320.32490000000001</v>
      </c>
      <c r="M965">
        <v>-9.307617E-2</v>
      </c>
      <c r="N965">
        <v>0</v>
      </c>
      <c r="O965">
        <v>-0.99556420000000001</v>
      </c>
      <c r="P965">
        <v>-7.5791929999999993E-2</v>
      </c>
      <c r="Q965">
        <v>4.4720999999999997E-2</v>
      </c>
      <c r="R965">
        <v>-0.99612019999999901</v>
      </c>
      <c r="S965">
        <v>-0.57687379999999999</v>
      </c>
      <c r="T965">
        <v>-0.2761692</v>
      </c>
      <c r="U965">
        <v>-2.9789119999999998</v>
      </c>
      <c r="V965">
        <v>-1.7691829999999999E-2</v>
      </c>
      <c r="W965">
        <v>5.830776E-2</v>
      </c>
      <c r="X965">
        <v>0.99814190000000003</v>
      </c>
      <c r="Y965">
        <v>9.7122319999999998E-2</v>
      </c>
      <c r="Z965">
        <v>9.0662129999999994E-2</v>
      </c>
      <c r="AA965">
        <v>0.99113449999999903</v>
      </c>
      <c r="AB965">
        <v>37</v>
      </c>
      <c r="AC965">
        <v>-0.15569999999999501</v>
      </c>
      <c r="AD965">
        <v>-9.0023999999999799E-2</v>
      </c>
      <c r="AE965">
        <v>-0.60329999999998996</v>
      </c>
      <c r="AF965">
        <v>9.6844111300965596E-2</v>
      </c>
      <c r="AG965">
        <v>-9.0023999999999799E-2</v>
      </c>
      <c r="AH965">
        <v>0.60259417935971704</v>
      </c>
      <c r="AI965">
        <v>98.390703303452696</v>
      </c>
      <c r="AJ965">
        <v>80.869951594770001</v>
      </c>
      <c r="AK965">
        <v>0.61693018038339198</v>
      </c>
    </row>
    <row r="966" spans="1:37" x14ac:dyDescent="0.2">
      <c r="A966" t="str">
        <f>"20200111154044071"</f>
        <v>20200111154044071</v>
      </c>
      <c r="B966" t="str">
        <f>"1578728444067582"</f>
        <v>1578728444067582</v>
      </c>
      <c r="C966" t="s">
        <v>37</v>
      </c>
      <c r="D966">
        <v>5.8740600000000001</v>
      </c>
      <c r="E966">
        <v>0.54252460000000002</v>
      </c>
      <c r="F966" t="s">
        <v>38</v>
      </c>
      <c r="G966">
        <v>-192.34700000000001</v>
      </c>
      <c r="H966">
        <v>1.027987</v>
      </c>
      <c r="I966">
        <v>319.38900000000001</v>
      </c>
      <c r="J966">
        <v>-192.19839999999999</v>
      </c>
      <c r="K966">
        <v>1.113637</v>
      </c>
      <c r="L966">
        <v>319.95949999999999</v>
      </c>
      <c r="M966">
        <v>-9.0319670000000005E-2</v>
      </c>
      <c r="N966">
        <v>0</v>
      </c>
      <c r="O966">
        <v>-0.99581839999999999</v>
      </c>
      <c r="P966">
        <v>-7.3081320000000005E-2</v>
      </c>
      <c r="Q966">
        <v>4.8073379999999999E-2</v>
      </c>
      <c r="R966">
        <v>-0.99616689999999997</v>
      </c>
      <c r="S966">
        <v>-0.57351680000000005</v>
      </c>
      <c r="T966">
        <v>-0.2729008</v>
      </c>
      <c r="U966">
        <v>-2.9803160000000002</v>
      </c>
      <c r="V966">
        <v>-1.7641629999999998E-2</v>
      </c>
      <c r="W966">
        <v>6.1656280000000001E-2</v>
      </c>
      <c r="X966">
        <v>0.99794150000000004</v>
      </c>
      <c r="Y966">
        <v>9.8732449999999999E-2</v>
      </c>
      <c r="Z966">
        <v>8.959317E-2</v>
      </c>
      <c r="AA966">
        <v>0.99107269999999903</v>
      </c>
      <c r="AB966">
        <v>37</v>
      </c>
      <c r="AC966">
        <v>-0.148600000000016</v>
      </c>
      <c r="AD966">
        <v>-8.5650000000000004E-2</v>
      </c>
      <c r="AE966">
        <v>-0.57049999999998102</v>
      </c>
      <c r="AF966">
        <v>9.4466374372323497E-2</v>
      </c>
      <c r="AG966">
        <v>-8.5650000000000004E-2</v>
      </c>
      <c r="AH966">
        <v>0.56956848485171296</v>
      </c>
      <c r="AI966">
        <v>98.438308773000301</v>
      </c>
      <c r="AJ966">
        <v>80.582873832527298</v>
      </c>
      <c r="AK966">
        <v>0.58366777992564201</v>
      </c>
    </row>
    <row r="967" spans="1:37" x14ac:dyDescent="0.2">
      <c r="A967" t="str">
        <f>"20200111154044092"</f>
        <v>20200111154044092</v>
      </c>
      <c r="B967" t="str">
        <f>"1578728444087102"</f>
        <v>1578728444087102</v>
      </c>
      <c r="C967" t="s">
        <v>37</v>
      </c>
      <c r="D967">
        <v>5.8726789999999998</v>
      </c>
      <c r="E967">
        <v>0.54301390000000005</v>
      </c>
      <c r="F967" t="s">
        <v>38</v>
      </c>
      <c r="G967">
        <v>-192.37209999999999</v>
      </c>
      <c r="H967">
        <v>1.034734</v>
      </c>
      <c r="I967">
        <v>319.05549999999999</v>
      </c>
      <c r="J967">
        <v>-192.22810000000001</v>
      </c>
      <c r="K967">
        <v>1.1135729999999999</v>
      </c>
      <c r="L967">
        <v>319.60489999999999</v>
      </c>
      <c r="M967">
        <v>-8.7743280000000007E-2</v>
      </c>
      <c r="N967">
        <v>0</v>
      </c>
      <c r="O967">
        <v>-0.99604859999999995</v>
      </c>
      <c r="P967">
        <v>-7.0649859999999995E-2</v>
      </c>
      <c r="Q967">
        <v>5.1141579999999999E-2</v>
      </c>
      <c r="R967">
        <v>-0.99618930000000006</v>
      </c>
      <c r="S967">
        <v>-0.57231140000000003</v>
      </c>
      <c r="T967">
        <v>-0.26044</v>
      </c>
      <c r="U967">
        <v>-2.9820859999999998</v>
      </c>
      <c r="V967">
        <v>-1.748976E-2</v>
      </c>
      <c r="W967">
        <v>6.4721920000000002E-2</v>
      </c>
      <c r="X967">
        <v>0.99775000000000003</v>
      </c>
      <c r="Y967">
        <v>0.1008788</v>
      </c>
      <c r="Z967">
        <v>8.5507299999999994E-2</v>
      </c>
      <c r="AA967">
        <v>0.99121740000000003</v>
      </c>
      <c r="AB967">
        <v>37</v>
      </c>
      <c r="AC967">
        <v>-0.14399999999997701</v>
      </c>
      <c r="AD967">
        <v>-7.8838999999999798E-2</v>
      </c>
      <c r="AE967">
        <v>-0.54939999999999101</v>
      </c>
      <c r="AF967">
        <v>9.3433476921602199E-2</v>
      </c>
      <c r="AG967">
        <v>-7.8838999999999798E-2</v>
      </c>
      <c r="AH967">
        <v>0.54933200583686603</v>
      </c>
      <c r="AI967">
        <v>98.053098245244399</v>
      </c>
      <c r="AJ967">
        <v>80.347186663047395</v>
      </c>
      <c r="AK967">
        <v>0.56277087270701398</v>
      </c>
    </row>
    <row r="968" spans="1:37" x14ac:dyDescent="0.2">
      <c r="A968" t="str">
        <f>"20200111154044116"</f>
        <v>20200111154044116</v>
      </c>
      <c r="B968" t="str">
        <f>"1578728444107598"</f>
        <v>1578728444107598</v>
      </c>
      <c r="C968" t="s">
        <v>37</v>
      </c>
      <c r="D968">
        <v>5.8698579999999998</v>
      </c>
      <c r="E968">
        <v>0.54341989999999996</v>
      </c>
      <c r="F968" t="s">
        <v>38</v>
      </c>
      <c r="G968">
        <v>-192.3963</v>
      </c>
      <c r="H968">
        <v>1.039741</v>
      </c>
      <c r="I968">
        <v>318.72280000000001</v>
      </c>
      <c r="J968">
        <v>-192.25899999999999</v>
      </c>
      <c r="K968">
        <v>1.1134930000000001</v>
      </c>
      <c r="L968">
        <v>319.22489999999999</v>
      </c>
      <c r="M968">
        <v>-8.5082989999999997E-2</v>
      </c>
      <c r="N968">
        <v>0</v>
      </c>
      <c r="O968">
        <v>-0.99627949999999998</v>
      </c>
      <c r="P968">
        <v>-6.8243299999999896E-2</v>
      </c>
      <c r="Q968">
        <v>5.2115389999999998E-2</v>
      </c>
      <c r="R968">
        <v>-0.9963069</v>
      </c>
      <c r="S968">
        <v>-0.56842040000000005</v>
      </c>
      <c r="T968">
        <v>-0.2499577</v>
      </c>
      <c r="U968">
        <v>-2.9840390000000001</v>
      </c>
      <c r="V968">
        <v>-1.7222709999999999E-2</v>
      </c>
      <c r="W968">
        <v>6.5694500000000003E-2</v>
      </c>
      <c r="X968">
        <v>0.9976912</v>
      </c>
      <c r="Y968">
        <v>0.1022228</v>
      </c>
      <c r="Z968">
        <v>8.2069929999999999E-2</v>
      </c>
      <c r="AA968">
        <v>0.99137030000000004</v>
      </c>
      <c r="AB968">
        <v>37</v>
      </c>
      <c r="AC968">
        <v>-0.13729999999998199</v>
      </c>
      <c r="AD968">
        <v>-7.3751999999999998E-2</v>
      </c>
      <c r="AE968">
        <v>-0.502099999999984</v>
      </c>
      <c r="AF968">
        <v>9.2226432783270695E-2</v>
      </c>
      <c r="AG968">
        <v>-7.3751999999999998E-2</v>
      </c>
      <c r="AH968">
        <v>0.50188673763505998</v>
      </c>
      <c r="AI968">
        <v>98.223985477095098</v>
      </c>
      <c r="AJ968">
        <v>79.587522993364701</v>
      </c>
      <c r="AK968">
        <v>0.51559225151459598</v>
      </c>
    </row>
    <row r="969" spans="1:37" x14ac:dyDescent="0.2">
      <c r="A969" t="str">
        <f>"20200111154044137"</f>
        <v>20200111154044137</v>
      </c>
      <c r="B969" t="str">
        <f>"1578728444127117"</f>
        <v>1578728444127117</v>
      </c>
      <c r="C969" t="s">
        <v>37</v>
      </c>
      <c r="D969">
        <v>5.8563499999999999</v>
      </c>
      <c r="E969">
        <v>0.5437864</v>
      </c>
      <c r="F969" t="s">
        <v>38</v>
      </c>
      <c r="G969">
        <v>-192.41679999999999</v>
      </c>
      <c r="H969">
        <v>1.0453969999999999</v>
      </c>
      <c r="I969">
        <v>318.38959999999997</v>
      </c>
      <c r="J969">
        <v>-192.28790000000001</v>
      </c>
      <c r="K969">
        <v>1.113418</v>
      </c>
      <c r="L969">
        <v>318.85899999999998</v>
      </c>
      <c r="M969">
        <v>-8.2601259999999996E-2</v>
      </c>
      <c r="N969">
        <v>0</v>
      </c>
      <c r="O969">
        <v>-0.9964885</v>
      </c>
      <c r="P969">
        <v>-6.6808759999999995E-2</v>
      </c>
      <c r="Q969">
        <v>5.1508940000000003E-2</v>
      </c>
      <c r="R969">
        <v>-0.99643530000000002</v>
      </c>
      <c r="S969">
        <v>-0.56341549999999996</v>
      </c>
      <c r="T969">
        <v>-0.24354310000000001</v>
      </c>
      <c r="U969">
        <v>-2.9852599999999998</v>
      </c>
      <c r="V969">
        <v>-1.6158639999999998E-2</v>
      </c>
      <c r="W969">
        <v>6.5094020000000002E-2</v>
      </c>
      <c r="X969">
        <v>0.99774830000000003</v>
      </c>
      <c r="Y969">
        <v>0.10305309999999999</v>
      </c>
      <c r="Z969">
        <v>7.9979610000000007E-2</v>
      </c>
      <c r="AA969">
        <v>0.99145509999999903</v>
      </c>
      <c r="AB969">
        <v>37</v>
      </c>
      <c r="AC969">
        <v>-0.128899999999987</v>
      </c>
      <c r="AD969">
        <v>-6.8021000000000095E-2</v>
      </c>
      <c r="AE969">
        <v>-0.46940000000006399</v>
      </c>
      <c r="AF969">
        <v>8.7965094933413507E-2</v>
      </c>
      <c r="AG969">
        <v>-6.8021000000000095E-2</v>
      </c>
      <c r="AH969">
        <v>0.469280460954555</v>
      </c>
      <c r="AI969">
        <v>98.108148550056498</v>
      </c>
      <c r="AJ969">
        <v>79.383292406234602</v>
      </c>
      <c r="AK969">
        <v>0.482274678374642</v>
      </c>
    </row>
    <row r="970" spans="1:37" x14ac:dyDescent="0.2">
      <c r="A970" t="str">
        <f>"20200111154044161"</f>
        <v>20200111154044161</v>
      </c>
      <c r="B970" t="str">
        <f>"1578728444157374"</f>
        <v>1578728444157374</v>
      </c>
      <c r="C970" t="s">
        <v>37</v>
      </c>
      <c r="D970">
        <v>5.8442759999999998</v>
      </c>
      <c r="E970">
        <v>0.5443481</v>
      </c>
      <c r="F970" t="s">
        <v>38</v>
      </c>
      <c r="G970">
        <v>-192.4383</v>
      </c>
      <c r="H970">
        <v>1.0478499999999999</v>
      </c>
      <c r="I970">
        <v>318.05759999999998</v>
      </c>
      <c r="J970">
        <v>-192.3168</v>
      </c>
      <c r="K970">
        <v>1.11334</v>
      </c>
      <c r="L970">
        <v>318.4819</v>
      </c>
      <c r="M970">
        <v>-8.0102519999999997E-2</v>
      </c>
      <c r="N970">
        <v>0</v>
      </c>
      <c r="O970">
        <v>-0.99669249999999998</v>
      </c>
      <c r="P970">
        <v>-6.6379199999999902E-2</v>
      </c>
      <c r="Q970">
        <v>5.038165E-2</v>
      </c>
      <c r="R970">
        <v>-0.99652180000000001</v>
      </c>
      <c r="S970">
        <v>-0.56048580000000003</v>
      </c>
      <c r="T970">
        <v>-0.2442569</v>
      </c>
      <c r="U970">
        <v>-2.985779</v>
      </c>
      <c r="V970">
        <v>-1.407102E-2</v>
      </c>
      <c r="W970">
        <v>6.3978629999999995E-2</v>
      </c>
      <c r="X970">
        <v>0.99785210000000002</v>
      </c>
      <c r="Y970">
        <v>0.10457229999999899</v>
      </c>
      <c r="Z970">
        <v>8.0224190000000001E-2</v>
      </c>
      <c r="AA970">
        <v>0.9912763</v>
      </c>
      <c r="AB970">
        <v>37</v>
      </c>
      <c r="AC970">
        <v>-0.121499999999997</v>
      </c>
      <c r="AD970">
        <v>-6.5490000000000007E-2</v>
      </c>
      <c r="AE970">
        <v>-0.424300000000016</v>
      </c>
      <c r="AF970">
        <v>8.52419590458528E-2</v>
      </c>
      <c r="AG970">
        <v>-6.5490000000000007E-2</v>
      </c>
      <c r="AH970">
        <v>0.42334840910543398</v>
      </c>
      <c r="AI970">
        <v>98.623293265553997</v>
      </c>
      <c r="AJ970">
        <v>78.615614098600901</v>
      </c>
      <c r="AK970">
        <v>0.43678256280909</v>
      </c>
    </row>
    <row r="971" spans="1:37" x14ac:dyDescent="0.2">
      <c r="A971" t="str">
        <f>"20200111154044181"</f>
        <v>20200111154044181</v>
      </c>
      <c r="B971" t="str">
        <f>"1578728444176893"</f>
        <v>1578728444176893</v>
      </c>
      <c r="C971" t="s">
        <v>37</v>
      </c>
      <c r="D971">
        <v>5.859553</v>
      </c>
      <c r="E971">
        <v>0.5447284</v>
      </c>
      <c r="F971" t="s">
        <v>38</v>
      </c>
      <c r="G971">
        <v>-192.45949999999999</v>
      </c>
      <c r="H971">
        <v>1.0507979999999999</v>
      </c>
      <c r="I971">
        <v>317.7253</v>
      </c>
      <c r="J971">
        <v>-192.34190000000001</v>
      </c>
      <c r="K971">
        <v>1.1132789999999999</v>
      </c>
      <c r="L971">
        <v>318.14339999999999</v>
      </c>
      <c r="M971">
        <v>-7.7897820000000007E-2</v>
      </c>
      <c r="N971">
        <v>0</v>
      </c>
      <c r="O971">
        <v>-0.99686719999999895</v>
      </c>
      <c r="P971">
        <v>-6.6446019999999995E-2</v>
      </c>
      <c r="Q971">
        <v>4.926991E-2</v>
      </c>
      <c r="R971">
        <v>-0.99657289999999998</v>
      </c>
      <c r="S971">
        <v>-0.56225590000000003</v>
      </c>
      <c r="T971">
        <v>-0.24711129999999901</v>
      </c>
      <c r="U971">
        <v>-2.985474</v>
      </c>
      <c r="V971">
        <v>-1.178506E-2</v>
      </c>
      <c r="W971">
        <v>6.2879840000000006E-2</v>
      </c>
      <c r="X971">
        <v>0.99795149999999999</v>
      </c>
      <c r="Y971">
        <v>0.10734339999999901</v>
      </c>
      <c r="Z971">
        <v>8.1168480000000001E-2</v>
      </c>
      <c r="AA971">
        <v>0.99090309999999904</v>
      </c>
      <c r="AB971">
        <v>37</v>
      </c>
      <c r="AC971">
        <v>-0.117599999999981</v>
      </c>
      <c r="AD971">
        <v>-6.2481000000000203E-2</v>
      </c>
      <c r="AE971">
        <v>-0.41809999999998099</v>
      </c>
      <c r="AF971">
        <v>8.29537134281743E-2</v>
      </c>
      <c r="AG971">
        <v>-6.2481000000000203E-2</v>
      </c>
      <c r="AH971">
        <v>0.41735375310929002</v>
      </c>
      <c r="AI971">
        <v>98.353343691241193</v>
      </c>
      <c r="AJ971">
        <v>78.758334401854498</v>
      </c>
      <c r="AK971">
        <v>0.43008063100648197</v>
      </c>
    </row>
    <row r="972" spans="1:37" x14ac:dyDescent="0.2">
      <c r="A972" t="str">
        <f>"20200111154044205"</f>
        <v>20200111154044205</v>
      </c>
      <c r="B972" t="str">
        <f>"1578728444196922"</f>
        <v>1578728444196922</v>
      </c>
      <c r="C972" t="s">
        <v>37</v>
      </c>
      <c r="D972">
        <v>5.90259</v>
      </c>
      <c r="E972">
        <v>0.54513540000000005</v>
      </c>
      <c r="F972" t="s">
        <v>38</v>
      </c>
      <c r="G972">
        <v>-192.48339999999999</v>
      </c>
      <c r="H972">
        <v>1.050716</v>
      </c>
      <c r="I972">
        <v>317.39589999999998</v>
      </c>
      <c r="J972">
        <v>-192.36969999999999</v>
      </c>
      <c r="K972">
        <v>1.113218</v>
      </c>
      <c r="L972">
        <v>317.75760000000002</v>
      </c>
      <c r="M972">
        <v>-7.5411240000000004E-2</v>
      </c>
      <c r="N972">
        <v>0</v>
      </c>
      <c r="O972">
        <v>-0.99705840000000001</v>
      </c>
      <c r="P972">
        <v>-6.6414509999999996E-2</v>
      </c>
      <c r="Q972">
        <v>4.6624890000000002E-2</v>
      </c>
      <c r="R972">
        <v>-0.99670230000000004</v>
      </c>
      <c r="S972">
        <v>-0.56527709999999998</v>
      </c>
      <c r="T972">
        <v>-0.249808799999999</v>
      </c>
      <c r="U972">
        <v>-2.9850159999999999</v>
      </c>
      <c r="V972">
        <v>-9.3115869999999996E-3</v>
      </c>
      <c r="W972">
        <v>6.0249360000000002E-2</v>
      </c>
      <c r="X972">
        <v>0.99813989999999997</v>
      </c>
      <c r="Y972">
        <v>0.1108049</v>
      </c>
      <c r="Z972">
        <v>8.2061090000000003E-2</v>
      </c>
      <c r="AA972">
        <v>0.99044849999999995</v>
      </c>
      <c r="AB972">
        <v>37</v>
      </c>
      <c r="AC972">
        <v>-0.113699999999994</v>
      </c>
      <c r="AD972">
        <v>-6.2502000000000002E-2</v>
      </c>
      <c r="AE972">
        <v>-0.36170000000004099</v>
      </c>
      <c r="AF972">
        <v>8.3819595243851103E-2</v>
      </c>
      <c r="AG972">
        <v>-6.2502000000000002E-2</v>
      </c>
      <c r="AH972">
        <v>0.35947624486429602</v>
      </c>
      <c r="AI972">
        <v>99.610590367138997</v>
      </c>
      <c r="AJ972">
        <v>76.874774633723405</v>
      </c>
      <c r="AK972">
        <v>0.37437333662078298</v>
      </c>
    </row>
    <row r="973" spans="1:37" x14ac:dyDescent="0.2">
      <c r="A973" t="str">
        <f>"20200111154044227"</f>
        <v>20200111154044227</v>
      </c>
      <c r="B973" t="str">
        <f>"1578728444217418"</f>
        <v>1578728444217418</v>
      </c>
      <c r="C973" t="s">
        <v>37</v>
      </c>
      <c r="D973">
        <v>5.8834980000000003</v>
      </c>
      <c r="E973">
        <v>0.54556039999999995</v>
      </c>
      <c r="F973" t="s">
        <v>38</v>
      </c>
      <c r="G973">
        <v>-192.56110000000001</v>
      </c>
      <c r="H973">
        <v>1.027164</v>
      </c>
      <c r="I973">
        <v>316.7534</v>
      </c>
      <c r="J973">
        <v>-192.39510000000001</v>
      </c>
      <c r="K973">
        <v>1.113167</v>
      </c>
      <c r="L973">
        <v>317.39060000000001</v>
      </c>
      <c r="M973">
        <v>-7.3059100000000002E-2</v>
      </c>
      <c r="N973">
        <v>0</v>
      </c>
      <c r="O973">
        <v>-0.99723379999999995</v>
      </c>
      <c r="P973">
        <v>-6.6440949999999999E-2</v>
      </c>
      <c r="Q973">
        <v>4.3695999999999999E-2</v>
      </c>
      <c r="R973">
        <v>-0.99683339999999998</v>
      </c>
      <c r="S973">
        <v>-0.56881709999999996</v>
      </c>
      <c r="T973">
        <v>-0.25565559999999998</v>
      </c>
      <c r="U973">
        <v>-2.9839479999999998</v>
      </c>
      <c r="V973">
        <v>-6.9158650000000002E-3</v>
      </c>
      <c r="W973">
        <v>5.7334740000000002E-2</v>
      </c>
      <c r="X973">
        <v>0.99833109999999903</v>
      </c>
      <c r="Y973">
        <v>0.11431719999999999</v>
      </c>
      <c r="Z973">
        <v>8.3993650000000003E-2</v>
      </c>
      <c r="AA973">
        <v>0.98988719999999997</v>
      </c>
      <c r="AB973">
        <v>37</v>
      </c>
      <c r="AC973">
        <v>-0.16599999999999601</v>
      </c>
      <c r="AD973">
        <v>-8.6002999999999996E-2</v>
      </c>
      <c r="AE973">
        <v>-0.63720000000000698</v>
      </c>
      <c r="AF973">
        <v>0.117002715834596</v>
      </c>
      <c r="AG973">
        <v>-8.6002999999999996E-2</v>
      </c>
      <c r="AH973">
        <v>0.636763125381137</v>
      </c>
      <c r="AI973">
        <v>97.566807682599503</v>
      </c>
      <c r="AJ973">
        <v>79.588265302805993</v>
      </c>
      <c r="AK973">
        <v>0.653110579738857</v>
      </c>
    </row>
    <row r="974" spans="1:37" x14ac:dyDescent="0.2">
      <c r="A974" t="str">
        <f>"20200111154044250"</f>
        <v>20200111154044250</v>
      </c>
      <c r="B974" t="str">
        <f>"1578728444247675"</f>
        <v>1578728444247675</v>
      </c>
      <c r="C974" t="s">
        <v>37</v>
      </c>
      <c r="D974">
        <v>5.7347299999999999</v>
      </c>
      <c r="E974">
        <v>0.54584100000000002</v>
      </c>
      <c r="F974" t="s">
        <v>38</v>
      </c>
      <c r="G974">
        <v>-192.58080000000001</v>
      </c>
      <c r="H974">
        <v>1.0285709999999999</v>
      </c>
      <c r="I974">
        <v>316.42360000000002</v>
      </c>
      <c r="J974">
        <v>-192.4204</v>
      </c>
      <c r="K974">
        <v>1.113127</v>
      </c>
      <c r="L974">
        <v>317.0136</v>
      </c>
      <c r="M974">
        <v>-7.0646639999999997E-2</v>
      </c>
      <c r="N974">
        <v>0</v>
      </c>
      <c r="O974">
        <v>-0.99740740000000006</v>
      </c>
      <c r="P974">
        <v>-6.6289860000000006E-2</v>
      </c>
      <c r="Q974">
        <v>4.1495450000000003E-2</v>
      </c>
      <c r="R974">
        <v>-0.99693709999999902</v>
      </c>
      <c r="S974">
        <v>-0.5723724</v>
      </c>
      <c r="T974">
        <v>-0.26104949999999999</v>
      </c>
      <c r="U974">
        <v>-2.9828189999999899</v>
      </c>
      <c r="V974">
        <v>-4.6399919999999999E-3</v>
      </c>
      <c r="W974">
        <v>5.5145710000000001E-2</v>
      </c>
      <c r="X974">
        <v>0.99846759999999901</v>
      </c>
      <c r="Y974">
        <v>0.1178979</v>
      </c>
      <c r="Z974">
        <v>8.5779270000000005E-2</v>
      </c>
      <c r="AA974">
        <v>0.98931389999999997</v>
      </c>
      <c r="AB974">
        <v>37</v>
      </c>
      <c r="AC974">
        <v>-0.16040000000000901</v>
      </c>
      <c r="AD974">
        <v>-8.4556000000000006E-2</v>
      </c>
      <c r="AE974">
        <v>-0.58999999999997499</v>
      </c>
      <c r="AF974">
        <v>0.116093359360312</v>
      </c>
      <c r="AG974">
        <v>-8.4556000000000006E-2</v>
      </c>
      <c r="AH974">
        <v>0.588600943312523</v>
      </c>
      <c r="AI974">
        <v>98.022460924355698</v>
      </c>
      <c r="AJ974">
        <v>78.8424167331912</v>
      </c>
      <c r="AK974">
        <v>0.60586999900304905</v>
      </c>
    </row>
    <row r="975" spans="1:37" x14ac:dyDescent="0.2">
      <c r="A975" t="str">
        <f>"20200111154044271"</f>
        <v>20200111154044271</v>
      </c>
      <c r="B975" t="str">
        <f>"1578728444267194"</f>
        <v>1578728444267194</v>
      </c>
      <c r="C975" t="s">
        <v>37</v>
      </c>
      <c r="D975">
        <v>5.8665389999999897</v>
      </c>
      <c r="E975">
        <v>0.54620119999999905</v>
      </c>
      <c r="F975" t="s">
        <v>38</v>
      </c>
      <c r="G975">
        <v>-192.5976</v>
      </c>
      <c r="H975">
        <v>1.030486</v>
      </c>
      <c r="I975">
        <v>316.09359999999998</v>
      </c>
      <c r="J975">
        <v>-192.4418</v>
      </c>
      <c r="K975">
        <v>1.1131070000000001</v>
      </c>
      <c r="L975">
        <v>316.68279999999999</v>
      </c>
      <c r="M975">
        <v>-6.8527989999999997E-2</v>
      </c>
      <c r="N975">
        <v>0</v>
      </c>
      <c r="O975">
        <v>-0.99755559999999999</v>
      </c>
      <c r="P975">
        <v>-6.6121050000000001E-2</v>
      </c>
      <c r="Q975">
        <v>4.0582790000000001E-2</v>
      </c>
      <c r="R975">
        <v>-0.99698639999999905</v>
      </c>
      <c r="S975">
        <v>-0.57455440000000002</v>
      </c>
      <c r="T975">
        <v>-0.26790389999999997</v>
      </c>
      <c r="U975">
        <v>-2.9822389999999999</v>
      </c>
      <c r="V975">
        <v>-2.6814149999999999E-3</v>
      </c>
      <c r="W975">
        <v>5.4242980000000003E-2</v>
      </c>
      <c r="X975">
        <v>0.99852419999999997</v>
      </c>
      <c r="Y975">
        <v>0.12070299999999901</v>
      </c>
      <c r="Z975">
        <v>8.8029490000000002E-2</v>
      </c>
      <c r="AA975">
        <v>0.98877780000000004</v>
      </c>
      <c r="AB975">
        <v>37</v>
      </c>
      <c r="AC975">
        <v>-0.15579999999999899</v>
      </c>
      <c r="AD975">
        <v>-8.2621E-2</v>
      </c>
      <c r="AE975">
        <v>-0.58920000000000505</v>
      </c>
      <c r="AF975">
        <v>0.112976898780888</v>
      </c>
      <c r="AG975">
        <v>-8.2621E-2</v>
      </c>
      <c r="AH975">
        <v>0.587691575435907</v>
      </c>
      <c r="AI975">
        <v>97.860439830174897</v>
      </c>
      <c r="AJ975">
        <v>79.118300563270694</v>
      </c>
      <c r="AK975">
        <v>0.60412862631850595</v>
      </c>
    </row>
    <row r="976" spans="1:37" x14ac:dyDescent="0.2">
      <c r="A976" t="str">
        <f>"20200111154044293"</f>
        <v>20200111154044293</v>
      </c>
      <c r="B976" t="str">
        <f>"1578728444287690"</f>
        <v>1578728444287690</v>
      </c>
      <c r="C976" t="s">
        <v>37</v>
      </c>
      <c r="D976">
        <v>5.8326640000000003</v>
      </c>
      <c r="E976">
        <v>0.54665900000000001</v>
      </c>
      <c r="F976" t="s">
        <v>38</v>
      </c>
      <c r="G976">
        <v>-192.61940000000001</v>
      </c>
      <c r="H976">
        <v>1.0302500000000001</v>
      </c>
      <c r="I976">
        <v>315.76510000000002</v>
      </c>
      <c r="J976">
        <v>-192.46559999999999</v>
      </c>
      <c r="K976">
        <v>1.1130979999999999</v>
      </c>
      <c r="L976">
        <v>316.30220000000003</v>
      </c>
      <c r="M976">
        <v>-6.6087149999999997E-2</v>
      </c>
      <c r="N976">
        <v>0</v>
      </c>
      <c r="O976">
        <v>-0.99771989999999999</v>
      </c>
      <c r="P976">
        <v>-6.5381069999999999E-2</v>
      </c>
      <c r="Q976">
        <v>4.0171529999999997E-2</v>
      </c>
      <c r="R976">
        <v>-0.99705149999999998</v>
      </c>
      <c r="S976">
        <v>-0.57655330000000005</v>
      </c>
      <c r="T976">
        <v>-0.26938289999999998</v>
      </c>
      <c r="U976">
        <v>-2.9817809999999998</v>
      </c>
      <c r="V976">
        <v>-9.7449530000000002E-4</v>
      </c>
      <c r="W976">
        <v>5.3838740000000003E-2</v>
      </c>
      <c r="X976">
        <v>0.99854920000000003</v>
      </c>
      <c r="Y976">
        <v>0.12379</v>
      </c>
      <c r="Z976">
        <v>8.8524270000000002E-2</v>
      </c>
      <c r="AA976">
        <v>0.98835189999999995</v>
      </c>
      <c r="AB976">
        <v>37</v>
      </c>
      <c r="AC976">
        <v>-0.15380000000001801</v>
      </c>
      <c r="AD976">
        <v>-8.2847999999999797E-2</v>
      </c>
      <c r="AE976">
        <v>-0.53710000000000901</v>
      </c>
      <c r="AF976">
        <v>0.115426725327926</v>
      </c>
      <c r="AG976">
        <v>-8.2847999999999797E-2</v>
      </c>
      <c r="AH976">
        <v>0.534340551136949</v>
      </c>
      <c r="AI976">
        <v>98.617686674443206</v>
      </c>
      <c r="AJ976">
        <v>77.810427740485196</v>
      </c>
      <c r="AK976">
        <v>0.55290771799032301</v>
      </c>
    </row>
    <row r="977" spans="1:37" x14ac:dyDescent="0.2">
      <c r="A977" t="str">
        <f>"20200111154044328"</f>
        <v>20200111154044328</v>
      </c>
      <c r="B977" t="str">
        <f>"1578728444316970"</f>
        <v>1578728444316970</v>
      </c>
      <c r="C977" t="s">
        <v>37</v>
      </c>
      <c r="D977">
        <v>5.8440279999999998</v>
      </c>
      <c r="E977">
        <v>0.54727729999999997</v>
      </c>
      <c r="F977" t="s">
        <v>38</v>
      </c>
      <c r="G977">
        <v>-192.63380000000001</v>
      </c>
      <c r="H977">
        <v>1.0346850000000001</v>
      </c>
      <c r="I977">
        <v>315.4341</v>
      </c>
      <c r="J977">
        <v>-192.48830000000001</v>
      </c>
      <c r="K977">
        <v>1.113084</v>
      </c>
      <c r="L977">
        <v>315.92410000000001</v>
      </c>
      <c r="M977">
        <v>-6.3658569999999998E-2</v>
      </c>
      <c r="N977">
        <v>0</v>
      </c>
      <c r="O977">
        <v>-0.99787800000000004</v>
      </c>
      <c r="P977">
        <v>-6.4299010000000004E-2</v>
      </c>
      <c r="Q977">
        <v>4.0825319999999998E-2</v>
      </c>
      <c r="R977">
        <v>-0.99709530000000002</v>
      </c>
      <c r="S977">
        <v>-0.57772829999999997</v>
      </c>
      <c r="T977">
        <v>-0.26939869999999999</v>
      </c>
      <c r="U977">
        <v>-2.9818419999999999</v>
      </c>
      <c r="V977">
        <v>3.7317339999999902E-4</v>
      </c>
      <c r="W977">
        <v>5.4497240000000002E-2</v>
      </c>
      <c r="X977">
        <v>0.99851389999999995</v>
      </c>
      <c r="Y977">
        <v>0.1265761</v>
      </c>
      <c r="Z977">
        <v>8.8529739999999996E-2</v>
      </c>
      <c r="AA977">
        <v>0.9879985</v>
      </c>
      <c r="AB977">
        <v>37</v>
      </c>
      <c r="AC977">
        <v>-0.14549999999999799</v>
      </c>
      <c r="AD977">
        <v>-7.8398999999999802E-2</v>
      </c>
      <c r="AE977">
        <v>-0.49000000000000898</v>
      </c>
      <c r="AF977">
        <v>0.111388784890787</v>
      </c>
      <c r="AG977">
        <v>-7.8398999999999802E-2</v>
      </c>
      <c r="AH977">
        <v>0.48681675071644598</v>
      </c>
      <c r="AI977">
        <v>98.921882026957405</v>
      </c>
      <c r="AJ977">
        <v>77.111981355947293</v>
      </c>
      <c r="AK977">
        <v>0.50551400908240396</v>
      </c>
    </row>
    <row r="978" spans="1:37" x14ac:dyDescent="0.2">
      <c r="A978" t="str">
        <f>"20200111154044344"</f>
        <v>20200111154044344</v>
      </c>
      <c r="B978" t="str">
        <f>"1578728444337466"</f>
        <v>1578728444337466</v>
      </c>
      <c r="C978" t="s">
        <v>37</v>
      </c>
      <c r="D978">
        <v>5.9453129999999996</v>
      </c>
      <c r="E978">
        <v>0.54745459999999901</v>
      </c>
      <c r="F978" t="s">
        <v>38</v>
      </c>
      <c r="G978">
        <v>-192.64779999999999</v>
      </c>
      <c r="H978">
        <v>1.0400909999999901</v>
      </c>
      <c r="I978">
        <v>315.1028</v>
      </c>
      <c r="J978">
        <v>-192.51400000000001</v>
      </c>
      <c r="K978">
        <v>1.1130799999999901</v>
      </c>
      <c r="L978">
        <v>315.47649999999999</v>
      </c>
      <c r="M978">
        <v>-6.0780720000000003E-2</v>
      </c>
      <c r="N978">
        <v>0</v>
      </c>
      <c r="O978">
        <v>-0.99805750000000004</v>
      </c>
      <c r="P978">
        <v>-6.3211699999999996E-2</v>
      </c>
      <c r="Q978">
        <v>4.2040559999999998E-2</v>
      </c>
      <c r="R978">
        <v>-0.99711439999999996</v>
      </c>
      <c r="S978">
        <v>-0.57873540000000001</v>
      </c>
      <c r="T978">
        <v>-0.26537709999999998</v>
      </c>
      <c r="U978">
        <v>-2.9823300000000001</v>
      </c>
      <c r="V978">
        <v>2.1631559999999998E-3</v>
      </c>
      <c r="W978">
        <v>5.571798E-2</v>
      </c>
      <c r="X978">
        <v>0.998444199999999</v>
      </c>
      <c r="Y978">
        <v>0.12974939999999999</v>
      </c>
      <c r="Z978">
        <v>8.7207199999999999E-2</v>
      </c>
      <c r="AA978">
        <v>0.98770440000000004</v>
      </c>
      <c r="AB978">
        <v>37</v>
      </c>
      <c r="AC978">
        <v>-0.13379999999997899</v>
      </c>
      <c r="AD978">
        <v>-7.2988999999999901E-2</v>
      </c>
      <c r="AE978">
        <v>-0.37369999999998499</v>
      </c>
      <c r="AF978">
        <v>0.107211543293841</v>
      </c>
      <c r="AG978">
        <v>-7.2988999999999901E-2</v>
      </c>
      <c r="AH978">
        <v>0.36867609050613298</v>
      </c>
      <c r="AI978">
        <v>100.763555831519</v>
      </c>
      <c r="AJ978">
        <v>73.785492400903806</v>
      </c>
      <c r="AK978">
        <v>0.39082447319395602</v>
      </c>
    </row>
    <row r="979" spans="1:37" x14ac:dyDescent="0.2">
      <c r="A979" t="str">
        <f>"20200111154044360"</f>
        <v>20200111154044360</v>
      </c>
      <c r="B979" t="str">
        <f>"1578728444356986"</f>
        <v>1578728444356986</v>
      </c>
      <c r="C979" t="s">
        <v>37</v>
      </c>
      <c r="D979">
        <v>5.8199300000000003</v>
      </c>
      <c r="E979">
        <v>0.56038080000000001</v>
      </c>
      <c r="F979" t="s">
        <v>38</v>
      </c>
      <c r="G979">
        <v>-192.7114</v>
      </c>
      <c r="H979">
        <v>1.0236540000000001</v>
      </c>
      <c r="I979">
        <v>314.45580000000001</v>
      </c>
      <c r="J979">
        <v>-192.529</v>
      </c>
      <c r="K979">
        <v>1.113086</v>
      </c>
      <c r="L979">
        <v>315.2047</v>
      </c>
      <c r="M979">
        <v>-5.9032109999999999E-2</v>
      </c>
      <c r="N979">
        <v>0</v>
      </c>
      <c r="O979">
        <v>-0.99816249999999995</v>
      </c>
      <c r="P979">
        <v>-6.4510189999999995E-2</v>
      </c>
      <c r="Q979">
        <v>4.265555E-2</v>
      </c>
      <c r="R979">
        <v>-0.99700529999999998</v>
      </c>
      <c r="S979">
        <v>-0.57632450000000002</v>
      </c>
      <c r="T979">
        <v>-0.2615459</v>
      </c>
      <c r="U979">
        <v>-2.9831539999999999</v>
      </c>
      <c r="V979">
        <v>5.2136509999999997E-3</v>
      </c>
      <c r="W979">
        <v>5.6347849999999998E-2</v>
      </c>
      <c r="X979">
        <v>0.9983976</v>
      </c>
      <c r="Y979">
        <v>0.13068669999999999</v>
      </c>
      <c r="Z979">
        <v>8.5949230000000001E-2</v>
      </c>
      <c r="AA979">
        <v>0.98769110000000004</v>
      </c>
      <c r="AB979">
        <v>37</v>
      </c>
      <c r="AC979">
        <v>-0.182399999999972</v>
      </c>
      <c r="AD979">
        <v>-8.94319999999999E-2</v>
      </c>
      <c r="AE979">
        <v>-0.74889999999999102</v>
      </c>
      <c r="AF979">
        <v>0.13603723344356899</v>
      </c>
      <c r="AG979">
        <v>-8.94319999999999E-2</v>
      </c>
      <c r="AH979">
        <v>0.748288704738304</v>
      </c>
      <c r="AI979">
        <v>96.706498958826899</v>
      </c>
      <c r="AJ979">
        <v>79.6962844652775</v>
      </c>
      <c r="AK979">
        <v>0.76579383462255002</v>
      </c>
    </row>
    <row r="980" spans="1:37" x14ac:dyDescent="0.2">
      <c r="A980" t="str">
        <f>"20200111154044383"</f>
        <v>20200111154044383</v>
      </c>
      <c r="B980" t="str">
        <f>"1578728444377482"</f>
        <v>1578728444377482</v>
      </c>
      <c r="C980" t="s">
        <v>37</v>
      </c>
      <c r="D980">
        <v>5.847289</v>
      </c>
      <c r="E980">
        <v>0.56074959999999996</v>
      </c>
      <c r="F980" t="s">
        <v>43</v>
      </c>
      <c r="G980">
        <v>-196.12010000000001</v>
      </c>
      <c r="H980" s="1">
        <v>1.5697319999999898E-8</v>
      </c>
      <c r="I980">
        <v>299.52719999999999</v>
      </c>
      <c r="J980">
        <v>-192.54839999999999</v>
      </c>
      <c r="K980">
        <v>1.1130899999999999</v>
      </c>
      <c r="L980">
        <v>314.83969999999999</v>
      </c>
      <c r="M980">
        <v>-5.6683909999999997E-2</v>
      </c>
      <c r="N980">
        <v>0</v>
      </c>
      <c r="O980">
        <v>-0.99829849999999998</v>
      </c>
      <c r="P980">
        <v>-6.4918799999999999E-2</v>
      </c>
      <c r="Q980">
        <v>4.3384640000000002E-2</v>
      </c>
      <c r="R980">
        <v>-0.99694680000000002</v>
      </c>
      <c r="S980">
        <v>-0.68121339999999997</v>
      </c>
      <c r="T980">
        <v>-0.2111468</v>
      </c>
      <c r="U980">
        <v>-2.973938</v>
      </c>
      <c r="V980">
        <v>7.9720399999999997E-3</v>
      </c>
      <c r="W980">
        <v>5.7089099999999997E-2</v>
      </c>
      <c r="X980">
        <v>0.99833729999999998</v>
      </c>
      <c r="Y980">
        <v>0.1671251</v>
      </c>
      <c r="Z980">
        <v>6.9260539999999995E-2</v>
      </c>
      <c r="AA980">
        <v>0.98349989999999998</v>
      </c>
      <c r="AB980">
        <v>37</v>
      </c>
      <c r="AC980">
        <v>-3.5717000000000199</v>
      </c>
      <c r="AD980">
        <v>-1.11308998430267</v>
      </c>
      <c r="AE980">
        <v>-15.3125</v>
      </c>
      <c r="AF980">
        <v>2.6844498212254302</v>
      </c>
      <c r="AG980">
        <v>-1.11308998430267</v>
      </c>
      <c r="AH980">
        <v>15.413111007569301</v>
      </c>
      <c r="AI980">
        <v>94.069512793192999</v>
      </c>
      <c r="AJ980">
        <v>80.120089984807393</v>
      </c>
      <c r="AK980">
        <v>15.6846814149184</v>
      </c>
    </row>
    <row r="981" spans="1:37" x14ac:dyDescent="0.2">
      <c r="A981" t="str">
        <f>"20200111154044406"</f>
        <v>20200111154044406</v>
      </c>
      <c r="B981" t="str">
        <f>"1578728444396991"</f>
        <v>1578728444396991</v>
      </c>
      <c r="C981" t="s">
        <v>37</v>
      </c>
      <c r="D981">
        <v>5.8402810000000001</v>
      </c>
      <c r="E981">
        <v>0.56057330000000005</v>
      </c>
      <c r="F981" t="s">
        <v>43</v>
      </c>
      <c r="G981">
        <v>-196.26249999999999</v>
      </c>
      <c r="H981" s="1">
        <v>1.5956769999999999E-7</v>
      </c>
      <c r="I981">
        <v>298.71030000000002</v>
      </c>
      <c r="J981">
        <v>-192.5676</v>
      </c>
      <c r="K981">
        <v>1.113092</v>
      </c>
      <c r="L981">
        <v>314.45940000000002</v>
      </c>
      <c r="M981">
        <v>-5.4237180000000003E-2</v>
      </c>
      <c r="N981">
        <v>0</v>
      </c>
      <c r="O981">
        <v>-0.99843470000000001</v>
      </c>
      <c r="P981">
        <v>-6.5825999999999996E-2</v>
      </c>
      <c r="Q981">
        <v>4.4647920000000001E-2</v>
      </c>
      <c r="R981">
        <v>-0.99683189999999999</v>
      </c>
      <c r="S981">
        <v>-0.68470759999999997</v>
      </c>
      <c r="T981">
        <v>-0.20520140000000001</v>
      </c>
      <c r="U981">
        <v>-2.9735109999999998</v>
      </c>
      <c r="V981">
        <v>1.132616E-2</v>
      </c>
      <c r="W981">
        <v>5.8367269999999999E-2</v>
      </c>
      <c r="X981">
        <v>0.99823090000000003</v>
      </c>
      <c r="Y981">
        <v>0.17069870000000001</v>
      </c>
      <c r="Z981">
        <v>6.7313109999999995E-2</v>
      </c>
      <c r="AA981">
        <v>0.98302129999999999</v>
      </c>
      <c r="AB981">
        <v>37</v>
      </c>
      <c r="AC981">
        <v>-3.6948999999999899</v>
      </c>
      <c r="AD981">
        <v>-1.1130918404323</v>
      </c>
      <c r="AE981">
        <v>-15.7491</v>
      </c>
      <c r="AF981">
        <v>2.8218337876092998</v>
      </c>
      <c r="AG981">
        <v>-1.1130918404323</v>
      </c>
      <c r="AH981">
        <v>15.8512848562989</v>
      </c>
      <c r="AI981">
        <v>93.954794257449393</v>
      </c>
      <c r="AJ981">
        <v>79.905991289618996</v>
      </c>
      <c r="AK981">
        <v>16.138926574145501</v>
      </c>
    </row>
    <row r="982" spans="1:37" x14ac:dyDescent="0.2">
      <c r="A982" t="str">
        <f>"20200111154044428"</f>
        <v>20200111154044428</v>
      </c>
      <c r="B982" t="str">
        <f>"1578728444417486"</f>
        <v>1578728444417486</v>
      </c>
      <c r="C982" t="s">
        <v>37</v>
      </c>
      <c r="D982">
        <v>5.8584940000000003</v>
      </c>
      <c r="E982">
        <v>0.56072569999999999</v>
      </c>
      <c r="F982" t="s">
        <v>43</v>
      </c>
      <c r="G982">
        <v>-196.32380000000001</v>
      </c>
      <c r="H982" s="1">
        <v>2.5508020000000002E-7</v>
      </c>
      <c r="I982">
        <v>298.16800000000001</v>
      </c>
      <c r="J982">
        <v>-192.58519999999999</v>
      </c>
      <c r="K982">
        <v>1.1130819999999999</v>
      </c>
      <c r="L982">
        <v>314.09550000000002</v>
      </c>
      <c r="M982">
        <v>-5.1896530000000003E-2</v>
      </c>
      <c r="N982">
        <v>0</v>
      </c>
      <c r="O982">
        <v>-0.99855910000000003</v>
      </c>
      <c r="P982">
        <v>-6.6693719999999998E-2</v>
      </c>
      <c r="Q982">
        <v>4.462414E-2</v>
      </c>
      <c r="R982">
        <v>-0.99677539999999998</v>
      </c>
      <c r="S982">
        <v>-0.68553160000000002</v>
      </c>
      <c r="T982">
        <v>-0.203151</v>
      </c>
      <c r="U982">
        <v>-2.9733580000000002</v>
      </c>
      <c r="V982">
        <v>1.453815E-2</v>
      </c>
      <c r="W982">
        <v>5.8358699999999999E-2</v>
      </c>
      <c r="X982">
        <v>0.99818980000000002</v>
      </c>
      <c r="Y982">
        <v>0.17328750000000001</v>
      </c>
      <c r="Z982">
        <v>6.6642119999999999E-2</v>
      </c>
      <c r="AA982">
        <v>0.98261399999999999</v>
      </c>
      <c r="AB982">
        <v>37</v>
      </c>
      <c r="AC982">
        <v>-3.7386000000000199</v>
      </c>
      <c r="AD982">
        <v>-1.1130817449197901</v>
      </c>
      <c r="AE982">
        <v>-15.9275</v>
      </c>
      <c r="AF982">
        <v>2.8935086907168501</v>
      </c>
      <c r="AG982">
        <v>-1.1130817449197901</v>
      </c>
      <c r="AH982">
        <v>16.025891259411999</v>
      </c>
      <c r="AI982">
        <v>93.910089506188697</v>
      </c>
      <c r="AJ982">
        <v>79.765387695535296</v>
      </c>
      <c r="AK982">
        <v>16.323006284769502</v>
      </c>
    </row>
    <row r="983" spans="1:37" x14ac:dyDescent="0.2">
      <c r="A983" t="str">
        <f>"20200111154044450"</f>
        <v>20200111154044450</v>
      </c>
      <c r="B983" t="str">
        <f>"1578728444446767"</f>
        <v>1578728444446767</v>
      </c>
      <c r="C983" t="s">
        <v>37</v>
      </c>
      <c r="D983">
        <v>5.8529530000000003</v>
      </c>
      <c r="E983">
        <v>0.56068189999999996</v>
      </c>
      <c r="F983" t="s">
        <v>43</v>
      </c>
      <c r="G983">
        <v>-196.3305</v>
      </c>
      <c r="H983" s="1">
        <v>2.9598539999999998E-7</v>
      </c>
      <c r="I983">
        <v>297.9357</v>
      </c>
      <c r="J983">
        <v>-192.60130000000001</v>
      </c>
      <c r="K983">
        <v>1.1130679999999999</v>
      </c>
      <c r="L983">
        <v>313.7457</v>
      </c>
      <c r="M983">
        <v>-4.9645229999999999E-2</v>
      </c>
      <c r="N983">
        <v>0</v>
      </c>
      <c r="O983">
        <v>-0.99867359999999905</v>
      </c>
      <c r="P983">
        <v>-6.8468180000000003E-2</v>
      </c>
      <c r="Q983">
        <v>4.2756509999999998E-2</v>
      </c>
      <c r="R983">
        <v>-0.99673709999999904</v>
      </c>
      <c r="S983">
        <v>-0.68899540000000004</v>
      </c>
      <c r="T983">
        <v>-0.20476369999999999</v>
      </c>
      <c r="U983">
        <v>-2.9727779999999999</v>
      </c>
      <c r="V983">
        <v>1.8575359999999999E-2</v>
      </c>
      <c r="W983">
        <v>5.6512099999999899E-2</v>
      </c>
      <c r="X983">
        <v>0.99822909999999998</v>
      </c>
      <c r="Y983">
        <v>0.17662749999999999</v>
      </c>
      <c r="Z983">
        <v>6.7164210000000002E-2</v>
      </c>
      <c r="AA983">
        <v>0.98198349999999901</v>
      </c>
      <c r="AB983">
        <v>37</v>
      </c>
      <c r="AC983">
        <v>-3.7291999999999899</v>
      </c>
      <c r="AD983">
        <v>-1.1130677040146</v>
      </c>
      <c r="AE983">
        <v>-15.81</v>
      </c>
      <c r="AF983">
        <v>2.92589846648365</v>
      </c>
      <c r="AG983">
        <v>-1.1130677040146</v>
      </c>
      <c r="AH983">
        <v>15.9009953811515</v>
      </c>
      <c r="AI983">
        <v>93.938262015910695</v>
      </c>
      <c r="AJ983">
        <v>79.573789564309394</v>
      </c>
      <c r="AK983">
        <v>16.206216574552201</v>
      </c>
    </row>
    <row r="984" spans="1:37" x14ac:dyDescent="0.2">
      <c r="A984" t="str">
        <f>"20200111154044473"</f>
        <v>20200111154044473</v>
      </c>
      <c r="B984" t="str">
        <f>"1578728444467263"</f>
        <v>1578728444467263</v>
      </c>
      <c r="C984" t="s">
        <v>37</v>
      </c>
      <c r="D984">
        <v>5.9369779999999999</v>
      </c>
      <c r="E984">
        <v>0.56105109999999903</v>
      </c>
      <c r="F984" t="s">
        <v>43</v>
      </c>
      <c r="G984">
        <v>-196.08179999999999</v>
      </c>
      <c r="H984" s="1">
        <v>1.39989899999999E-7</v>
      </c>
      <c r="I984">
        <v>298.82139999999998</v>
      </c>
      <c r="J984">
        <v>-192.61709999999999</v>
      </c>
      <c r="K984">
        <v>1.113057</v>
      </c>
      <c r="L984">
        <v>313.38380000000001</v>
      </c>
      <c r="M984">
        <v>-4.7312699999999902E-2</v>
      </c>
      <c r="N984">
        <v>0</v>
      </c>
      <c r="O984">
        <v>-0.99878670000000003</v>
      </c>
      <c r="P984">
        <v>-7.0731669999999996E-2</v>
      </c>
      <c r="Q984">
        <v>4.0457170000000001E-2</v>
      </c>
      <c r="R984">
        <v>-0.99667459999999997</v>
      </c>
      <c r="S984">
        <v>-0.69302369999999902</v>
      </c>
      <c r="T984">
        <v>-0.22163099999999999</v>
      </c>
      <c r="U984">
        <v>-2.9716800000000001</v>
      </c>
      <c r="V984">
        <v>2.3185480000000001E-2</v>
      </c>
      <c r="W984">
        <v>5.4236319999999998E-2</v>
      </c>
      <c r="X984">
        <v>0.99825889999999995</v>
      </c>
      <c r="Y984">
        <v>0.18018000000000001</v>
      </c>
      <c r="Z984">
        <v>7.2672120000000007E-2</v>
      </c>
      <c r="AA984">
        <v>0.98094539999999997</v>
      </c>
      <c r="AB984">
        <v>37</v>
      </c>
      <c r="AC984">
        <v>-3.4646999999999899</v>
      </c>
      <c r="AD984">
        <v>-1.1130568600101001</v>
      </c>
      <c r="AE984">
        <v>-14.5624</v>
      </c>
      <c r="AF984">
        <v>2.7565273309553899</v>
      </c>
      <c r="AG984">
        <v>-1.1130568600101001</v>
      </c>
      <c r="AH984">
        <v>14.6291423297607</v>
      </c>
      <c r="AI984">
        <v>94.276000229202594</v>
      </c>
      <c r="AJ984">
        <v>79.329036711242793</v>
      </c>
      <c r="AK984">
        <v>14.928132629512501</v>
      </c>
    </row>
    <row r="985" spans="1:37" x14ac:dyDescent="0.2">
      <c r="A985" t="str">
        <f>"20200111154044496"</f>
        <v>20200111154044496</v>
      </c>
      <c r="B985" t="str">
        <f>"1578728444486784"</f>
        <v>1578728444486784</v>
      </c>
      <c r="C985" t="s">
        <v>37</v>
      </c>
      <c r="D985">
        <v>5.8109099999999998</v>
      </c>
      <c r="E985">
        <v>0.56099779999999999</v>
      </c>
      <c r="F985" t="s">
        <v>43</v>
      </c>
      <c r="G985">
        <v>-195.9812</v>
      </c>
      <c r="H985" s="1">
        <v>8.2915509999999995E-8</v>
      </c>
      <c r="I985">
        <v>299.14550000000003</v>
      </c>
      <c r="J985">
        <v>-192.63290000000001</v>
      </c>
      <c r="K985">
        <v>1.113048</v>
      </c>
      <c r="L985">
        <v>313.00020000000001</v>
      </c>
      <c r="M985">
        <v>-4.4832740000000003E-2</v>
      </c>
      <c r="N985">
        <v>0</v>
      </c>
      <c r="O985">
        <v>-0.99890119999999905</v>
      </c>
      <c r="P985">
        <v>-7.2919289999999998E-2</v>
      </c>
      <c r="Q985">
        <v>3.7710670000000002E-2</v>
      </c>
      <c r="R985">
        <v>-0.99662489999999904</v>
      </c>
      <c r="S985">
        <v>-0.70164490000000002</v>
      </c>
      <c r="T985">
        <v>-0.2321473</v>
      </c>
      <c r="U985">
        <v>-2.9696349999999998</v>
      </c>
      <c r="V985">
        <v>2.786866E-2</v>
      </c>
      <c r="W985">
        <v>5.1514530000000003E-2</v>
      </c>
      <c r="X985">
        <v>0.99828329999999998</v>
      </c>
      <c r="Y985">
        <v>0.18540889999999999</v>
      </c>
      <c r="Z985">
        <v>7.6102230000000007E-2</v>
      </c>
      <c r="AA985">
        <v>0.97971019999999898</v>
      </c>
      <c r="AB985">
        <v>37</v>
      </c>
      <c r="AC985">
        <v>-3.3482999999999898</v>
      </c>
      <c r="AD985">
        <v>-1.11304791708449</v>
      </c>
      <c r="AE985">
        <v>-13.8546999999999</v>
      </c>
      <c r="AF985">
        <v>2.7072222032591302</v>
      </c>
      <c r="AG985">
        <v>-1.11304791708449</v>
      </c>
      <c r="AH985">
        <v>13.9060958716355</v>
      </c>
      <c r="AI985">
        <v>94.492234002531902</v>
      </c>
      <c r="AJ985">
        <v>78.983520734975102</v>
      </c>
      <c r="AK985">
        <v>14.2108208810984</v>
      </c>
    </row>
    <row r="986" spans="1:37" x14ac:dyDescent="0.2">
      <c r="A986" t="str">
        <f>"20200111154044518"</f>
        <v>20200111154044518</v>
      </c>
      <c r="B986" t="str">
        <f>"1578728444506869"</f>
        <v>1578728444506869</v>
      </c>
      <c r="C986" t="s">
        <v>37</v>
      </c>
      <c r="D986">
        <v>5.8419949999999998</v>
      </c>
      <c r="E986">
        <v>0.56093800000000005</v>
      </c>
      <c r="F986" t="s">
        <v>43</v>
      </c>
      <c r="G986">
        <v>-195.8519</v>
      </c>
      <c r="H986" s="1">
        <v>2.3739789999999999E-8</v>
      </c>
      <c r="I986">
        <v>299.48149999999998</v>
      </c>
      <c r="J986">
        <v>-192.64709999999999</v>
      </c>
      <c r="K986">
        <v>1.1130420000000001</v>
      </c>
      <c r="L986">
        <v>312.63380000000001</v>
      </c>
      <c r="M986">
        <v>-4.2451009999999997E-2</v>
      </c>
      <c r="N986">
        <v>0</v>
      </c>
      <c r="O986">
        <v>-0.99900509999999998</v>
      </c>
      <c r="P986">
        <v>-7.6029479999999997E-2</v>
      </c>
      <c r="Q986">
        <v>3.5780270000000003E-2</v>
      </c>
      <c r="R986">
        <v>-0.99646349999999995</v>
      </c>
      <c r="S986">
        <v>-0.70666499999999999</v>
      </c>
      <c r="T986">
        <v>-0.24434400000000001</v>
      </c>
      <c r="U986">
        <v>-2.9677119999999899</v>
      </c>
      <c r="V986">
        <v>3.3374729999999998E-2</v>
      </c>
      <c r="W986">
        <v>4.9612959999999998E-2</v>
      </c>
      <c r="X986">
        <v>0.99821070000000001</v>
      </c>
      <c r="Y986">
        <v>0.18938859999999999</v>
      </c>
      <c r="Z986">
        <v>8.0091750000000003E-2</v>
      </c>
      <c r="AA986">
        <v>0.97863029999999995</v>
      </c>
      <c r="AB986">
        <v>37</v>
      </c>
      <c r="AC986">
        <v>-3.2048000000000001</v>
      </c>
      <c r="AD986">
        <v>-1.11304197626021</v>
      </c>
      <c r="AE986">
        <v>-13.1523</v>
      </c>
      <c r="AF986">
        <v>2.62577871312376</v>
      </c>
      <c r="AG986">
        <v>-1.11304197626021</v>
      </c>
      <c r="AH986">
        <v>13.1873500185655</v>
      </c>
      <c r="AI986">
        <v>94.732001320183798</v>
      </c>
      <c r="AJ986">
        <v>78.738917929923602</v>
      </c>
      <c r="AK986">
        <v>13.492211709107201</v>
      </c>
    </row>
    <row r="987" spans="1:37" x14ac:dyDescent="0.2">
      <c r="A987" t="str">
        <f>"20200111154044541"</f>
        <v>20200111154044541</v>
      </c>
      <c r="B987" t="str">
        <f>"1578728444537126"</f>
        <v>1578728444537126</v>
      </c>
      <c r="C987" t="s">
        <v>37</v>
      </c>
      <c r="D987">
        <v>5.851585</v>
      </c>
      <c r="E987">
        <v>0.56087279999999995</v>
      </c>
      <c r="F987" t="s">
        <v>43</v>
      </c>
      <c r="G987">
        <v>-195.7928</v>
      </c>
      <c r="H987" s="1">
        <v>6.2433480000000001E-9</v>
      </c>
      <c r="I987">
        <v>299.58089999999999</v>
      </c>
      <c r="J987">
        <v>-192.66040000000001</v>
      </c>
      <c r="K987">
        <v>1.1130370000000001</v>
      </c>
      <c r="L987">
        <v>312.26760000000002</v>
      </c>
      <c r="M987">
        <v>-4.0055819999999999E-2</v>
      </c>
      <c r="N987">
        <v>0</v>
      </c>
      <c r="O987">
        <v>-0.99910409999999905</v>
      </c>
      <c r="P987">
        <v>-8.3174300000000007E-2</v>
      </c>
      <c r="Q987">
        <v>3.3155530000000002E-2</v>
      </c>
      <c r="R987">
        <v>-0.99598359999999997</v>
      </c>
      <c r="S987">
        <v>-0.7145996</v>
      </c>
      <c r="T987">
        <v>-0.25285079999999999</v>
      </c>
      <c r="U987">
        <v>-2.9652400000000001</v>
      </c>
      <c r="V987">
        <v>4.294137E-2</v>
      </c>
      <c r="W987">
        <v>4.7038190000000001E-2</v>
      </c>
      <c r="X987">
        <v>0.99796969999999996</v>
      </c>
      <c r="Y987">
        <v>0.19434689999999999</v>
      </c>
      <c r="Z987">
        <v>8.2874130000000004E-2</v>
      </c>
      <c r="AA987">
        <v>0.97742580000000001</v>
      </c>
      <c r="AB987">
        <v>37</v>
      </c>
      <c r="AC987">
        <v>-3.1323999999999899</v>
      </c>
      <c r="AD987">
        <v>-1.11303699375665</v>
      </c>
      <c r="AE987">
        <v>-12.6867</v>
      </c>
      <c r="AF987">
        <v>2.6027795284951201</v>
      </c>
      <c r="AG987">
        <v>-1.11303699375665</v>
      </c>
      <c r="AH987">
        <v>12.709792557868701</v>
      </c>
      <c r="AI987">
        <v>94.903553150748394</v>
      </c>
      <c r="AJ987">
        <v>78.426675897483705</v>
      </c>
      <c r="AK987">
        <v>13.021218817279699</v>
      </c>
    </row>
    <row r="988" spans="1:37" x14ac:dyDescent="0.2">
      <c r="A988" t="str">
        <f>"20200111154044573"</f>
        <v>20200111154044573</v>
      </c>
      <c r="B988" t="str">
        <f>"1578728444567381"</f>
        <v>1578728444567381</v>
      </c>
      <c r="C988" t="s">
        <v>37</v>
      </c>
      <c r="D988">
        <v>5.8549169999999897</v>
      </c>
      <c r="E988">
        <v>0.56087219999999904</v>
      </c>
      <c r="F988" t="s">
        <v>39</v>
      </c>
      <c r="G988">
        <v>-195.77599999999899</v>
      </c>
      <c r="H988" s="1">
        <v>-1.584845E-6</v>
      </c>
      <c r="I988">
        <v>299.700999999999</v>
      </c>
      <c r="J988">
        <v>-192.67779999999999</v>
      </c>
      <c r="K988">
        <v>1.1130409999999999</v>
      </c>
      <c r="L988">
        <v>311.74579999999997</v>
      </c>
      <c r="M988">
        <v>-3.6614019999999997E-2</v>
      </c>
      <c r="N988">
        <v>0</v>
      </c>
      <c r="O988">
        <v>-0.99923619999999902</v>
      </c>
      <c r="P988">
        <v>-9.0639999999999998E-2</v>
      </c>
      <c r="Q988">
        <v>3.1794290000000003E-2</v>
      </c>
      <c r="R988">
        <v>-0.99537629999999999</v>
      </c>
      <c r="S988">
        <v>-0.73373409999999994</v>
      </c>
      <c r="T988">
        <v>-0.26212999999999997</v>
      </c>
      <c r="U988">
        <v>-2.9595340000000001</v>
      </c>
      <c r="V988">
        <v>5.3869670000000001E-2</v>
      </c>
      <c r="W988">
        <v>4.5732580000000002E-2</v>
      </c>
      <c r="X988">
        <v>0.99750019999999995</v>
      </c>
      <c r="Y988">
        <v>0.20404520000000001</v>
      </c>
      <c r="Z988">
        <v>8.5919599999999999E-2</v>
      </c>
      <c r="AA988">
        <v>0.97518379999999905</v>
      </c>
      <c r="AB988">
        <v>37</v>
      </c>
      <c r="AC988">
        <v>-3.0981999999999901</v>
      </c>
      <c r="AD988">
        <v>-1.1130425848449901</v>
      </c>
      <c r="AE988">
        <v>-12.0448</v>
      </c>
      <c r="AF988">
        <v>2.6339759595182599</v>
      </c>
      <c r="AG988">
        <v>-1.1130425848449901</v>
      </c>
      <c r="AH988">
        <v>12.0536279306989</v>
      </c>
      <c r="AI988">
        <v>95.154819560681304</v>
      </c>
      <c r="AJ988">
        <v>77.673411601762197</v>
      </c>
      <c r="AK988">
        <v>12.3881652976832</v>
      </c>
    </row>
    <row r="989" spans="1:37" x14ac:dyDescent="0.2">
      <c r="A989" t="str">
        <f>"20200111154044595"</f>
        <v>20200111154044595</v>
      </c>
      <c r="B989" t="str">
        <f>"1578728444586901"</f>
        <v>1578728444586901</v>
      </c>
      <c r="C989" t="s">
        <v>37</v>
      </c>
      <c r="D989">
        <v>5.8377369999999997</v>
      </c>
      <c r="E989">
        <v>0.560716199999999</v>
      </c>
      <c r="F989" t="s">
        <v>43</v>
      </c>
      <c r="G989">
        <v>-195.81469999999999</v>
      </c>
      <c r="H989" s="1">
        <v>2.6403499999999999E-8</v>
      </c>
      <c r="I989">
        <v>299.46640000000002</v>
      </c>
      <c r="J989">
        <v>-192.68899999999999</v>
      </c>
      <c r="K989">
        <v>1.11304</v>
      </c>
      <c r="L989">
        <v>311.3766</v>
      </c>
      <c r="M989">
        <v>-3.4159639999999998E-2</v>
      </c>
      <c r="N989">
        <v>0</v>
      </c>
      <c r="O989">
        <v>-0.99932330000000003</v>
      </c>
      <c r="P989">
        <v>-9.550989E-2</v>
      </c>
      <c r="Q989">
        <v>3.1074259999999999E-2</v>
      </c>
      <c r="R989">
        <v>-0.99494349999999998</v>
      </c>
      <c r="S989">
        <v>-0.75456239999999997</v>
      </c>
      <c r="T989">
        <v>-0.26773930000000001</v>
      </c>
      <c r="U989">
        <v>-2.9537659999999999</v>
      </c>
      <c r="V989">
        <v>6.1205599999999999E-2</v>
      </c>
      <c r="W989">
        <v>4.5049029999999997E-2</v>
      </c>
      <c r="X989">
        <v>0.99710799999999999</v>
      </c>
      <c r="Y989">
        <v>0.213311</v>
      </c>
      <c r="Z989">
        <v>8.7758580000000003E-2</v>
      </c>
      <c r="AA989">
        <v>0.97303490000000004</v>
      </c>
      <c r="AB989">
        <v>37</v>
      </c>
      <c r="AC989">
        <v>-3.1256999999999602</v>
      </c>
      <c r="AD989">
        <v>-1.1130399735965</v>
      </c>
      <c r="AE989">
        <v>-11.9101999999999</v>
      </c>
      <c r="AF989">
        <v>2.6949698031011202</v>
      </c>
      <c r="AG989">
        <v>-1.1130399735965</v>
      </c>
      <c r="AH989">
        <v>11.9126959874057</v>
      </c>
      <c r="AI989">
        <v>95.206995122017403</v>
      </c>
      <c r="AJ989">
        <v>77.252736537598096</v>
      </c>
      <c r="AK989">
        <v>12.2643404189057</v>
      </c>
    </row>
    <row r="990" spans="1:37" x14ac:dyDescent="0.2">
      <c r="A990" t="str">
        <f>"20200111154044618"</f>
        <v>20200111154044618</v>
      </c>
      <c r="B990" t="str">
        <f>"1578728444607333"</f>
        <v>1578728444607333</v>
      </c>
      <c r="C990" t="s">
        <v>37</v>
      </c>
      <c r="D990">
        <v>5.9698089999999997</v>
      </c>
      <c r="E990">
        <v>0.56082719999999997</v>
      </c>
      <c r="F990" t="s">
        <v>43</v>
      </c>
      <c r="G990">
        <v>-195.8681</v>
      </c>
      <c r="H990" s="1">
        <v>8.0735380000000003E-8</v>
      </c>
      <c r="I990">
        <v>299.15789999999998</v>
      </c>
      <c r="J990">
        <v>-192.69929999999999</v>
      </c>
      <c r="K990">
        <v>1.113029</v>
      </c>
      <c r="L990">
        <v>311.00650000000002</v>
      </c>
      <c r="M990">
        <v>-3.1678049999999999E-2</v>
      </c>
      <c r="N990">
        <v>0</v>
      </c>
      <c r="O990">
        <v>-0.99940499999999899</v>
      </c>
      <c r="P990">
        <v>-9.9822209999999995E-2</v>
      </c>
      <c r="Q990">
        <v>2.8860380000000001E-2</v>
      </c>
      <c r="R990">
        <v>-0.99458690000000005</v>
      </c>
      <c r="S990">
        <v>-0.76751709999999995</v>
      </c>
      <c r="T990">
        <v>-0.26871669999999998</v>
      </c>
      <c r="U990">
        <v>-2.9499209999999998</v>
      </c>
      <c r="V990">
        <v>6.8015679999999995E-2</v>
      </c>
      <c r="W990">
        <v>4.2869599999999897E-2</v>
      </c>
      <c r="X990">
        <v>0.99676279999999995</v>
      </c>
      <c r="Y990">
        <v>0.2200347</v>
      </c>
      <c r="Z990">
        <v>8.8083800000000004E-2</v>
      </c>
      <c r="AA990">
        <v>0.97150709999999996</v>
      </c>
      <c r="AB990">
        <v>37</v>
      </c>
      <c r="AC990">
        <v>-3.1688000000000001</v>
      </c>
      <c r="AD990">
        <v>-1.1130289192646201</v>
      </c>
      <c r="AE990">
        <v>-11.848599999999999</v>
      </c>
      <c r="AF990">
        <v>2.76903022904138</v>
      </c>
      <c r="AG990">
        <v>-1.1130289192646201</v>
      </c>
      <c r="AH990">
        <v>11.845492556149001</v>
      </c>
      <c r="AI990">
        <v>95.227756180748699</v>
      </c>
      <c r="AJ990">
        <v>76.842668014057097</v>
      </c>
      <c r="AK990">
        <v>12.215647984542001</v>
      </c>
    </row>
    <row r="991" spans="1:37" x14ac:dyDescent="0.2">
      <c r="A991" t="str">
        <f>"20200111154044639"</f>
        <v>20200111154044639</v>
      </c>
      <c r="B991" t="str">
        <f>"1578728444637588"</f>
        <v>1578728444637588</v>
      </c>
      <c r="C991" t="s">
        <v>37</v>
      </c>
      <c r="D991">
        <v>5.7522399999999996</v>
      </c>
      <c r="E991">
        <v>0.58897959999999905</v>
      </c>
      <c r="F991" t="s">
        <v>43</v>
      </c>
      <c r="G991">
        <v>-195.86189999999999</v>
      </c>
      <c r="H991" s="1">
        <v>9.4302909999999999E-8</v>
      </c>
      <c r="I991">
        <v>299.08089999999999</v>
      </c>
      <c r="J991">
        <v>-192.70840000000001</v>
      </c>
      <c r="K991">
        <v>1.1130089999999999</v>
      </c>
      <c r="L991">
        <v>310.647999999999</v>
      </c>
      <c r="M991">
        <v>-2.9254599999999999E-2</v>
      </c>
      <c r="N991">
        <v>0</v>
      </c>
      <c r="O991">
        <v>-0.99947900000000001</v>
      </c>
      <c r="P991">
        <v>-0.1036371</v>
      </c>
      <c r="Q991">
        <v>2.6473159999999999E-2</v>
      </c>
      <c r="R991">
        <v>-0.99426340000000002</v>
      </c>
      <c r="S991">
        <v>-0.78123469999999995</v>
      </c>
      <c r="T991">
        <v>-0.27494179999999901</v>
      </c>
      <c r="U991">
        <v>-2.94589199999999</v>
      </c>
      <c r="V991">
        <v>7.4268929999999997E-2</v>
      </c>
      <c r="W991">
        <v>4.0514649999999999E-2</v>
      </c>
      <c r="X991">
        <v>0.99641489999999999</v>
      </c>
      <c r="Y991">
        <v>0.22690279999999999</v>
      </c>
      <c r="Z991">
        <v>9.0111899999999995E-2</v>
      </c>
      <c r="AA991">
        <v>0.96973969999999898</v>
      </c>
      <c r="AB991">
        <v>37</v>
      </c>
      <c r="AC991">
        <v>-3.15349999999997</v>
      </c>
      <c r="AD991">
        <v>-1.11300890569709</v>
      </c>
      <c r="AE991">
        <v>-11.5670999999999</v>
      </c>
      <c r="AF991">
        <v>2.7896858417277599</v>
      </c>
      <c r="AG991">
        <v>-1.11300890569709</v>
      </c>
      <c r="AH991">
        <v>11.554830327618101</v>
      </c>
      <c r="AI991">
        <v>95.349229659491499</v>
      </c>
      <c r="AJ991">
        <v>76.426806456964599</v>
      </c>
      <c r="AK991">
        <v>11.938812328692499</v>
      </c>
    </row>
    <row r="992" spans="1:37" x14ac:dyDescent="0.2">
      <c r="A992" t="str">
        <f>"20200111154044662"</f>
        <v>20200111154044662</v>
      </c>
      <c r="B992" t="str">
        <f>"1578728444657108"</f>
        <v>1578728444657108</v>
      </c>
      <c r="C992" t="s">
        <v>37</v>
      </c>
      <c r="D992">
        <v>5.8036500000000002</v>
      </c>
      <c r="E992">
        <v>0.59088160000000001</v>
      </c>
      <c r="F992" t="s">
        <v>43</v>
      </c>
      <c r="G992">
        <v>-196.77879999999999</v>
      </c>
      <c r="H992" s="1">
        <v>1.150274E-7</v>
      </c>
      <c r="I992">
        <v>298.96319999999997</v>
      </c>
      <c r="J992">
        <v>-192.71680000000001</v>
      </c>
      <c r="K992">
        <v>1.113</v>
      </c>
      <c r="L992">
        <v>310.27760000000001</v>
      </c>
      <c r="M992">
        <v>-2.673648E-2</v>
      </c>
      <c r="N992">
        <v>0</v>
      </c>
      <c r="O992">
        <v>-0.99954940000000003</v>
      </c>
      <c r="P992">
        <v>-0.1067335</v>
      </c>
      <c r="Q992">
        <v>2.4402509999999999E-2</v>
      </c>
      <c r="R992">
        <v>-0.99398850000000005</v>
      </c>
      <c r="S992">
        <v>-1.016769</v>
      </c>
      <c r="T992">
        <v>-0.27802250000000001</v>
      </c>
      <c r="U992">
        <v>-2.918793</v>
      </c>
      <c r="V992">
        <v>7.9893660000000005E-2</v>
      </c>
      <c r="W992">
        <v>3.8472520000000003E-2</v>
      </c>
      <c r="X992">
        <v>0.99606070000000002</v>
      </c>
      <c r="Y992">
        <v>0.30226500000000001</v>
      </c>
      <c r="Z992">
        <v>8.9928969999999997E-2</v>
      </c>
      <c r="AA992">
        <v>0.94897240000000005</v>
      </c>
      <c r="AB992">
        <v>37</v>
      </c>
      <c r="AC992">
        <v>-4.0619999999999798</v>
      </c>
      <c r="AD992">
        <v>-1.1129998849725999</v>
      </c>
      <c r="AE992">
        <v>-11.314399999999999</v>
      </c>
      <c r="AF992">
        <v>3.7260728102381</v>
      </c>
      <c r="AG992">
        <v>-1.1129998849725999</v>
      </c>
      <c r="AH992">
        <v>11.321918157932799</v>
      </c>
      <c r="AI992">
        <v>95.334698460911994</v>
      </c>
      <c r="AJ992">
        <v>71.783489724355505</v>
      </c>
      <c r="AK992">
        <v>11.9711410528017</v>
      </c>
    </row>
    <row r="993" spans="1:37" x14ac:dyDescent="0.2">
      <c r="A993" t="str">
        <f>"20200111154044685"</f>
        <v>20200111154044685</v>
      </c>
      <c r="B993" t="str">
        <f>"1578728444677603"</f>
        <v>1578728444677603</v>
      </c>
      <c r="C993" t="s">
        <v>37</v>
      </c>
      <c r="D993">
        <v>5.8041519999999904</v>
      </c>
      <c r="E993">
        <v>0.59153279999999997</v>
      </c>
      <c r="F993" t="s">
        <v>43</v>
      </c>
      <c r="G993">
        <v>-197.26830000000001</v>
      </c>
      <c r="H993" s="1">
        <v>3.6344469999999998E-7</v>
      </c>
      <c r="I993">
        <v>297.55259999999998</v>
      </c>
      <c r="J993">
        <v>-192.7242</v>
      </c>
      <c r="K993">
        <v>1.1129849999999999</v>
      </c>
      <c r="L993">
        <v>309.91149999999999</v>
      </c>
      <c r="M993">
        <v>-2.4273510000000002E-2</v>
      </c>
      <c r="N993">
        <v>0</v>
      </c>
      <c r="O993">
        <v>-0.99961219999999995</v>
      </c>
      <c r="P993">
        <v>-0.10809970000000001</v>
      </c>
      <c r="Q993">
        <v>2.4339070000000001E-2</v>
      </c>
      <c r="R993">
        <v>-0.99384219999999901</v>
      </c>
      <c r="S993">
        <v>-1.041733</v>
      </c>
      <c r="T993">
        <v>-0.25474419999999998</v>
      </c>
      <c r="U993">
        <v>-2.912506</v>
      </c>
      <c r="V993">
        <v>8.3719130000000003E-2</v>
      </c>
      <c r="W993">
        <v>3.842487E-2</v>
      </c>
      <c r="X993">
        <v>0.99574830000000003</v>
      </c>
      <c r="Y993">
        <v>0.3126816</v>
      </c>
      <c r="Z993">
        <v>8.2374260000000005E-2</v>
      </c>
      <c r="AA993">
        <v>0.94627939999999999</v>
      </c>
      <c r="AB993">
        <v>36</v>
      </c>
      <c r="AC993">
        <v>-4.54410000000001</v>
      </c>
      <c r="AD993">
        <v>-1.1129846365553</v>
      </c>
      <c r="AE993">
        <v>-12.3589</v>
      </c>
      <c r="AF993">
        <v>4.2126432351178398</v>
      </c>
      <c r="AG993">
        <v>-1.1129846365553</v>
      </c>
      <c r="AH993">
        <v>12.3771450622807</v>
      </c>
      <c r="AI993">
        <v>94.8656859363861</v>
      </c>
      <c r="AJ993">
        <v>71.203653322228107</v>
      </c>
      <c r="AK993">
        <v>13.121692639302699</v>
      </c>
    </row>
    <row r="994" spans="1:37" x14ac:dyDescent="0.2">
      <c r="A994" t="str">
        <f>"20200111154044708"</f>
        <v>20200111154044708</v>
      </c>
      <c r="B994" t="str">
        <f>"1578728444697123"</f>
        <v>1578728444697123</v>
      </c>
      <c r="C994" t="s">
        <v>37</v>
      </c>
      <c r="D994">
        <v>5.8042119999999997</v>
      </c>
      <c r="E994">
        <v>0.59191050000000001</v>
      </c>
      <c r="F994" t="s">
        <v>43</v>
      </c>
      <c r="G994">
        <v>-197.577</v>
      </c>
      <c r="H994" s="1">
        <v>5.5160680000000004E-7</v>
      </c>
      <c r="I994">
        <v>296.48430000000002</v>
      </c>
      <c r="J994">
        <v>-192.73099999999999</v>
      </c>
      <c r="K994">
        <v>1.1129359999999999</v>
      </c>
      <c r="L994">
        <v>309.52980000000002</v>
      </c>
      <c r="M994">
        <v>-2.1795120000000001E-2</v>
      </c>
      <c r="N994">
        <v>0</v>
      </c>
      <c r="O994">
        <v>-0.99966959999999905</v>
      </c>
      <c r="P994">
        <v>-0.10748289999999899</v>
      </c>
      <c r="Q994">
        <v>2.5041580000000001E-2</v>
      </c>
      <c r="R994">
        <v>-0.99389229999999995</v>
      </c>
      <c r="S994">
        <v>-1.0517430000000001</v>
      </c>
      <c r="T994">
        <v>-0.24122009999999999</v>
      </c>
      <c r="U994">
        <v>-2.910126</v>
      </c>
      <c r="V994">
        <v>8.5571209999999995E-2</v>
      </c>
      <c r="W994">
        <v>3.9122909999999997E-2</v>
      </c>
      <c r="X994">
        <v>0.99556359999999999</v>
      </c>
      <c r="Y994">
        <v>0.3182777</v>
      </c>
      <c r="Z994">
        <v>7.7978080000000005E-2</v>
      </c>
      <c r="AA994">
        <v>0.94478499999999999</v>
      </c>
      <c r="AB994">
        <v>36</v>
      </c>
      <c r="AC994">
        <v>-4.8460000000000001</v>
      </c>
      <c r="AD994">
        <v>-1.1129354483931999</v>
      </c>
      <c r="AE994">
        <v>-13.045500000000001</v>
      </c>
      <c r="AF994">
        <v>4.5315123467292198</v>
      </c>
      <c r="AG994">
        <v>-1.1129354483931999</v>
      </c>
      <c r="AH994">
        <v>13.0644745639076</v>
      </c>
      <c r="AI994">
        <v>94.601467944782499</v>
      </c>
      <c r="AJ994">
        <v>70.870508018837498</v>
      </c>
      <c r="AK994">
        <v>13.872769193345601</v>
      </c>
    </row>
    <row r="995" spans="1:37" x14ac:dyDescent="0.2">
      <c r="A995" t="str">
        <f>"20200111154044731"</f>
        <v>20200111154044731</v>
      </c>
      <c r="B995" t="str">
        <f>"1578728444727380"</f>
        <v>1578728444727380</v>
      </c>
      <c r="C995" t="s">
        <v>37</v>
      </c>
      <c r="D995">
        <v>5.8020199999999997</v>
      </c>
      <c r="E995">
        <v>0.5919198</v>
      </c>
      <c r="F995" t="s">
        <v>43</v>
      </c>
      <c r="G995">
        <v>-197.762</v>
      </c>
      <c r="H995" s="1">
        <v>7.1461489999999995E-7</v>
      </c>
      <c r="I995">
        <v>295.63670000000002</v>
      </c>
      <c r="J995">
        <v>-192.73679999999999</v>
      </c>
      <c r="K995">
        <v>1.11286</v>
      </c>
      <c r="L995">
        <v>309.16120000000001</v>
      </c>
      <c r="M995">
        <v>-1.9504290000000001E-2</v>
      </c>
      <c r="N995">
        <v>0</v>
      </c>
      <c r="O995">
        <v>-0.99971679999999996</v>
      </c>
      <c r="P995">
        <v>-0.10476249999999999</v>
      </c>
      <c r="Q995">
        <v>2.4196450000000001E-2</v>
      </c>
      <c r="R995">
        <v>-0.99420319999999995</v>
      </c>
      <c r="S995">
        <v>-1.053879</v>
      </c>
      <c r="T995">
        <v>-0.23313680000000001</v>
      </c>
      <c r="U995">
        <v>-2.9103089999999998</v>
      </c>
      <c r="V995">
        <v>8.5139450000000005E-2</v>
      </c>
      <c r="W995">
        <v>3.825667E-2</v>
      </c>
      <c r="X995">
        <v>0.99563429999999997</v>
      </c>
      <c r="Y995">
        <v>0.32111119999999999</v>
      </c>
      <c r="Z995">
        <v>7.5335899999999997E-2</v>
      </c>
      <c r="AA995">
        <v>0.94404030000000005</v>
      </c>
      <c r="AB995">
        <v>36</v>
      </c>
      <c r="AC995">
        <v>-5.0252000000000097</v>
      </c>
      <c r="AD995">
        <v>-1.1128592853851</v>
      </c>
      <c r="AE995">
        <v>-13.5244999999999</v>
      </c>
      <c r="AF995">
        <v>4.7322793674732004</v>
      </c>
      <c r="AG995">
        <v>-1.1128592853851</v>
      </c>
      <c r="AH995">
        <v>13.539397544501499</v>
      </c>
      <c r="AI995">
        <v>94.436762346769001</v>
      </c>
      <c r="AJ995">
        <v>70.734499054561596</v>
      </c>
      <c r="AK995">
        <v>14.3856946189238</v>
      </c>
    </row>
    <row r="996" spans="1:37" x14ac:dyDescent="0.2">
      <c r="A996" t="str">
        <f>"20200111154044751"</f>
        <v>20200111154044751</v>
      </c>
      <c r="B996" t="str">
        <f>"1578728444746899"</f>
        <v>1578728444746899</v>
      </c>
      <c r="C996" t="s">
        <v>37</v>
      </c>
      <c r="D996">
        <v>5.7890709999999999</v>
      </c>
      <c r="E996">
        <v>0.59221279999999998</v>
      </c>
      <c r="F996" t="s">
        <v>43</v>
      </c>
      <c r="G996">
        <v>-197.7201</v>
      </c>
      <c r="H996" s="1">
        <v>8.4323140000000001E-7</v>
      </c>
      <c r="I996">
        <v>295.28339999999997</v>
      </c>
      <c r="J996">
        <v>-192.7413</v>
      </c>
      <c r="K996">
        <v>1.1127579999999999</v>
      </c>
      <c r="L996">
        <v>308.83879999999999</v>
      </c>
      <c r="M996">
        <v>-1.764187E-2</v>
      </c>
      <c r="N996">
        <v>0</v>
      </c>
      <c r="O996">
        <v>-0.99975159999999996</v>
      </c>
      <c r="P996">
        <v>-0.1031466</v>
      </c>
      <c r="Q996">
        <v>2.30257E-2</v>
      </c>
      <c r="R996">
        <v>-0.99439979999999994</v>
      </c>
      <c r="S996">
        <v>-1.04599</v>
      </c>
      <c r="T996">
        <v>-0.23358969999999901</v>
      </c>
      <c r="U996">
        <v>-2.9129640000000001</v>
      </c>
      <c r="V996">
        <v>8.5391599999999998E-2</v>
      </c>
      <c r="W996">
        <v>3.7062560000000001E-2</v>
      </c>
      <c r="X996">
        <v>0.99565789999999998</v>
      </c>
      <c r="Y996">
        <v>0.32033309999999998</v>
      </c>
      <c r="Z996">
        <v>7.5464619999999996E-2</v>
      </c>
      <c r="AA996">
        <v>0.94429430000000003</v>
      </c>
      <c r="AB996">
        <v>36</v>
      </c>
      <c r="AC996">
        <v>-4.9787999999999997</v>
      </c>
      <c r="AD996">
        <v>-1.1127571567686001</v>
      </c>
      <c r="AE996">
        <v>-13.555400000000001</v>
      </c>
      <c r="AF996">
        <v>4.7108884553379804</v>
      </c>
      <c r="AG996">
        <v>-1.1127571567686001</v>
      </c>
      <c r="AH996">
        <v>13.5606148412515</v>
      </c>
      <c r="AI996">
        <v>94.432356297564894</v>
      </c>
      <c r="AJ996">
        <v>70.843033716968193</v>
      </c>
      <c r="AK996">
        <v>14.398644846003601</v>
      </c>
    </row>
    <row r="997" spans="1:37" x14ac:dyDescent="0.2">
      <c r="A997" t="str">
        <f>"20200111154044774"</f>
        <v>20200111154044774</v>
      </c>
      <c r="B997" t="str">
        <f>"1578728444767396"</f>
        <v>1578728444767396</v>
      </c>
      <c r="C997" t="s">
        <v>37</v>
      </c>
      <c r="D997">
        <v>5.7886699999999998</v>
      </c>
      <c r="E997">
        <v>0.59260699999999999</v>
      </c>
      <c r="F997" t="s">
        <v>43</v>
      </c>
      <c r="G997">
        <v>-197.65620000000001</v>
      </c>
      <c r="H997" s="1">
        <v>9.0910629999999999E-7</v>
      </c>
      <c r="I997">
        <v>295.11309999999997</v>
      </c>
      <c r="J997">
        <v>-192.74590000000001</v>
      </c>
      <c r="K997">
        <v>1.1125780000000001</v>
      </c>
      <c r="L997">
        <v>308.4701</v>
      </c>
      <c r="M997">
        <v>-1.5767400000000001E-2</v>
      </c>
      <c r="N997">
        <v>0</v>
      </c>
      <c r="O997">
        <v>-0.99978259999999997</v>
      </c>
      <c r="P997">
        <v>-0.10058309999999999</v>
      </c>
      <c r="Q997">
        <v>2.239814E-2</v>
      </c>
      <c r="R997">
        <v>-0.99467659999999902</v>
      </c>
      <c r="S997">
        <v>-1.043488</v>
      </c>
      <c r="T997">
        <v>-0.23624989999999901</v>
      </c>
      <c r="U997">
        <v>-2.9141240000000002</v>
      </c>
      <c r="V997">
        <v>8.4710489999999999E-2</v>
      </c>
      <c r="W997">
        <v>3.6390680000000002E-2</v>
      </c>
      <c r="X997">
        <v>0.99574079999999998</v>
      </c>
      <c r="Y997">
        <v>0.32124910000000001</v>
      </c>
      <c r="Z997">
        <v>7.6292520000000003E-2</v>
      </c>
      <c r="AA997">
        <v>0.943916599999999</v>
      </c>
      <c r="AB997">
        <v>36</v>
      </c>
      <c r="AC997">
        <v>-4.9103000000000003</v>
      </c>
      <c r="AD997">
        <v>-1.1125770908937</v>
      </c>
      <c r="AE997">
        <v>-13.356999999999999</v>
      </c>
      <c r="AF997">
        <v>4.6705179804096701</v>
      </c>
      <c r="AG997">
        <v>-1.1125770908937</v>
      </c>
      <c r="AH997">
        <v>13.3511653039624</v>
      </c>
      <c r="AI997">
        <v>94.497501910521095</v>
      </c>
      <c r="AJ997">
        <v>70.719091056106507</v>
      </c>
      <c r="AK997">
        <v>14.1882056991799</v>
      </c>
    </row>
    <row r="998" spans="1:37" x14ac:dyDescent="0.2">
      <c r="A998" t="str">
        <f>"20200111154044797"</f>
        <v>20200111154044797</v>
      </c>
      <c r="B998" t="str">
        <f>"1578728444786916"</f>
        <v>1578728444786916</v>
      </c>
      <c r="C998" t="s">
        <v>37</v>
      </c>
      <c r="D998">
        <v>5.7900219999999996</v>
      </c>
      <c r="E998">
        <v>0.59317209999999998</v>
      </c>
      <c r="F998" t="s">
        <v>43</v>
      </c>
      <c r="G998">
        <v>-197.6164</v>
      </c>
      <c r="H998" s="1">
        <v>1.024489E-6</v>
      </c>
      <c r="I998">
        <v>294.79669999999999</v>
      </c>
      <c r="J998">
        <v>-192.75030000000001</v>
      </c>
      <c r="K998">
        <v>1.112314</v>
      </c>
      <c r="L998">
        <v>308.08629999999999</v>
      </c>
      <c r="M998">
        <v>-1.419165E-2</v>
      </c>
      <c r="N998">
        <v>0</v>
      </c>
      <c r="O998">
        <v>-0.99980630000000004</v>
      </c>
      <c r="P998">
        <v>-9.8238729999999996E-2</v>
      </c>
      <c r="Q998">
        <v>2.2821640000000001E-2</v>
      </c>
      <c r="R998">
        <v>-0.99490129999999999</v>
      </c>
      <c r="S998">
        <v>-1.038818</v>
      </c>
      <c r="T998">
        <v>-0.237298799999999</v>
      </c>
      <c r="U998">
        <v>-2.916382</v>
      </c>
      <c r="V998">
        <v>8.3954600000000004E-2</v>
      </c>
      <c r="W998">
        <v>3.6751399999999997E-2</v>
      </c>
      <c r="X998">
        <v>0.995791599999999</v>
      </c>
      <c r="Y998">
        <v>0.32116070000000002</v>
      </c>
      <c r="Z998">
        <v>7.6597410000000005E-2</v>
      </c>
      <c r="AA998">
        <v>0.94392189999999998</v>
      </c>
      <c r="AB998">
        <v>36</v>
      </c>
      <c r="AC998">
        <v>-4.8660999999999799</v>
      </c>
      <c r="AD998">
        <v>-1.1123129755109999</v>
      </c>
      <c r="AE998">
        <v>-13.2896</v>
      </c>
      <c r="AF998">
        <v>4.6482777691514698</v>
      </c>
      <c r="AG998">
        <v>-1.1123129755109999</v>
      </c>
      <c r="AH998">
        <v>13.2753218934728</v>
      </c>
      <c r="AI998">
        <v>94.521567178168794</v>
      </c>
      <c r="AJ998">
        <v>70.702590614650205</v>
      </c>
      <c r="AK998">
        <v>14.109496722066201</v>
      </c>
    </row>
    <row r="999" spans="1:37" x14ac:dyDescent="0.2">
      <c r="A999" t="str">
        <f>"20200111154044821"</f>
        <v>20200111154044821</v>
      </c>
      <c r="B999" t="str">
        <f>"1578728444817172"</f>
        <v>1578728444817172</v>
      </c>
      <c r="C999" t="s">
        <v>37</v>
      </c>
      <c r="D999">
        <v>5.7815959999999897</v>
      </c>
      <c r="E999">
        <v>0.59418040000000005</v>
      </c>
      <c r="F999" t="s">
        <v>43</v>
      </c>
      <c r="G999">
        <v>-197.62270000000001</v>
      </c>
      <c r="H999" s="1">
        <v>1.1324459999999999E-6</v>
      </c>
      <c r="I999">
        <v>294.3621</v>
      </c>
      <c r="J999">
        <v>-192.7543</v>
      </c>
      <c r="K999">
        <v>1.111999</v>
      </c>
      <c r="L999">
        <v>307.72199999999998</v>
      </c>
      <c r="M999">
        <v>-1.312931E-2</v>
      </c>
      <c r="N999">
        <v>0</v>
      </c>
      <c r="O999">
        <v>-0.99982109999999902</v>
      </c>
      <c r="P999">
        <v>-9.6480200000000002E-2</v>
      </c>
      <c r="Q999">
        <v>2.3033850000000002E-2</v>
      </c>
      <c r="R999">
        <v>-0.99506870000000003</v>
      </c>
      <c r="S999">
        <v>-1.0361180000000001</v>
      </c>
      <c r="T999">
        <v>-0.23653689999999999</v>
      </c>
      <c r="U999">
        <v>-2.918488</v>
      </c>
      <c r="V999">
        <v>8.3280519999999997E-2</v>
      </c>
      <c r="W999">
        <v>3.6891500000000001E-2</v>
      </c>
      <c r="X999">
        <v>0.99584309999999998</v>
      </c>
      <c r="Y999">
        <v>0.321183099999999</v>
      </c>
      <c r="Z999">
        <v>7.6314209999999993E-2</v>
      </c>
      <c r="AA999">
        <v>0.94393729999999998</v>
      </c>
      <c r="AB999">
        <v>36</v>
      </c>
      <c r="AC999">
        <v>-4.8684000000000003</v>
      </c>
      <c r="AD999">
        <v>-1.1119978675540001</v>
      </c>
      <c r="AE999">
        <v>-13.3598999999999</v>
      </c>
      <c r="AF999">
        <v>4.6640335566314999</v>
      </c>
      <c r="AG999">
        <v>-1.1119978675540001</v>
      </c>
      <c r="AH999">
        <v>13.341081764817901</v>
      </c>
      <c r="AI999">
        <v>94.498863101927199</v>
      </c>
      <c r="AJ999">
        <v>70.730406551333502</v>
      </c>
      <c r="AK999">
        <v>14.176537339223</v>
      </c>
    </row>
    <row r="1000" spans="1:37" x14ac:dyDescent="0.2">
      <c r="A1000" t="str">
        <f>"20200111154044842"</f>
        <v>20200111154044842</v>
      </c>
      <c r="B1000" t="str">
        <f>"1578728444837667"</f>
        <v>1578728444837667</v>
      </c>
      <c r="C1000" t="s">
        <v>37</v>
      </c>
      <c r="D1000">
        <v>5.7465310000000001</v>
      </c>
      <c r="E1000">
        <v>0.59497949999999999</v>
      </c>
      <c r="F1000" t="s">
        <v>43</v>
      </c>
      <c r="G1000">
        <v>-197.7047</v>
      </c>
      <c r="H1000" s="1">
        <v>1.2211099999999999E-6</v>
      </c>
      <c r="I1000">
        <v>293.81740000000002</v>
      </c>
      <c r="J1000">
        <v>-192.75829999999999</v>
      </c>
      <c r="K1000">
        <v>1.1116010000000001</v>
      </c>
      <c r="L1000">
        <v>307.36369999999999</v>
      </c>
      <c r="M1000">
        <v>-1.2606579999999999E-2</v>
      </c>
      <c r="N1000">
        <v>0</v>
      </c>
      <c r="O1000">
        <v>-0.99982769999999999</v>
      </c>
      <c r="P1000">
        <v>-9.6707710000000002E-2</v>
      </c>
      <c r="Q1000">
        <v>2.339252E-2</v>
      </c>
      <c r="R1000">
        <v>-0.99503790000000003</v>
      </c>
      <c r="S1000">
        <v>-1.0394289999999999</v>
      </c>
      <c r="T1000">
        <v>-0.23348360000000001</v>
      </c>
      <c r="U1000">
        <v>-2.9195250000000001</v>
      </c>
      <c r="V1000">
        <v>8.4063810000000003E-2</v>
      </c>
      <c r="W1000">
        <v>3.7166919999999999E-2</v>
      </c>
      <c r="X1000">
        <v>0.99576699999999996</v>
      </c>
      <c r="Y1000">
        <v>0.32254870000000002</v>
      </c>
      <c r="Z1000">
        <v>7.5278970000000001E-2</v>
      </c>
      <c r="AA1000">
        <v>0.94355469999999897</v>
      </c>
      <c r="AB1000">
        <v>36</v>
      </c>
      <c r="AC1000">
        <v>-4.9464000000000103</v>
      </c>
      <c r="AD1000">
        <v>-1.1115997788900001</v>
      </c>
      <c r="AE1000">
        <v>-13.546299999999899</v>
      </c>
      <c r="AF1000">
        <v>4.7470139771150199</v>
      </c>
      <c r="AG1000">
        <v>-1.1115997788900001</v>
      </c>
      <c r="AH1000">
        <v>13.5272140011547</v>
      </c>
      <c r="AI1000">
        <v>94.433801860988297</v>
      </c>
      <c r="AJ1000">
        <v>70.662841605984596</v>
      </c>
      <c r="AK1000">
        <v>14.378988643169199</v>
      </c>
    </row>
    <row r="1001" spans="1:37" x14ac:dyDescent="0.2">
      <c r="A1001" t="str">
        <f>"20200111154044864"</f>
        <v>20200111154044864</v>
      </c>
      <c r="B1001" t="str">
        <f>"1578728444857187"</f>
        <v>1578728444857187</v>
      </c>
      <c r="C1001" t="s">
        <v>37</v>
      </c>
      <c r="D1001">
        <v>5.8255039999999996</v>
      </c>
      <c r="E1001">
        <v>0.60613909999999904</v>
      </c>
      <c r="F1001" t="s">
        <v>43</v>
      </c>
      <c r="G1001">
        <v>-197.77969999999999</v>
      </c>
      <c r="H1001" s="1">
        <v>1.2955469999999999E-6</v>
      </c>
      <c r="I1001">
        <v>293.3569</v>
      </c>
      <c r="J1001">
        <v>-192.76259999999999</v>
      </c>
      <c r="K1001">
        <v>1.1111279999999999</v>
      </c>
      <c r="L1001">
        <v>307.01499999999999</v>
      </c>
      <c r="M1001">
        <v>-1.272909E-2</v>
      </c>
      <c r="N1001">
        <v>0</v>
      </c>
      <c r="O1001">
        <v>-0.9998264</v>
      </c>
      <c r="P1001">
        <v>-9.8655599999999996E-2</v>
      </c>
      <c r="Q1001">
        <v>2.440931E-2</v>
      </c>
      <c r="R1001">
        <v>-0.9948226</v>
      </c>
      <c r="S1001">
        <v>-1.046341</v>
      </c>
      <c r="T1001">
        <v>-0.23163220000000001</v>
      </c>
      <c r="U1001">
        <v>-2.918701</v>
      </c>
      <c r="V1001">
        <v>8.5933529999999994E-2</v>
      </c>
      <c r="W1001">
        <v>3.8087040000000003E-2</v>
      </c>
      <c r="X1001">
        <v>0.99557260000000003</v>
      </c>
      <c r="Y1001">
        <v>0.32451380000000002</v>
      </c>
      <c r="Z1001">
        <v>7.46507E-2</v>
      </c>
      <c r="AA1001">
        <v>0.94293059999999995</v>
      </c>
      <c r="AB1001">
        <v>36</v>
      </c>
      <c r="AC1001">
        <v>-5.0170999999999903</v>
      </c>
      <c r="AD1001">
        <v>-1.111126704453</v>
      </c>
      <c r="AE1001">
        <v>-13.6580999999999</v>
      </c>
      <c r="AF1001">
        <v>4.8147452860137898</v>
      </c>
      <c r="AG1001">
        <v>-1.111126704453</v>
      </c>
      <c r="AH1001">
        <v>13.641313813039</v>
      </c>
      <c r="AI1001">
        <v>94.3922164594007</v>
      </c>
      <c r="AJ1001">
        <v>70.559352871018802</v>
      </c>
      <c r="AK1001">
        <v>14.5086807556149</v>
      </c>
    </row>
    <row r="1002" spans="1:37" x14ac:dyDescent="0.2">
      <c r="A1002" t="str">
        <f>"20200111154044887"</f>
        <v>20200111154044887</v>
      </c>
      <c r="B1002" t="str">
        <f>"1578728444876707"</f>
        <v>1578728444876707</v>
      </c>
      <c r="C1002" t="s">
        <v>37</v>
      </c>
      <c r="D1002">
        <v>5.7995299999999999</v>
      </c>
      <c r="E1002">
        <v>0.60906059999999995</v>
      </c>
      <c r="F1002" t="s">
        <v>43</v>
      </c>
      <c r="G1002">
        <v>-198.01159999999999</v>
      </c>
      <c r="H1002" s="1">
        <v>1.226781E-6</v>
      </c>
      <c r="I1002">
        <v>293.63060000000002</v>
      </c>
      <c r="J1002">
        <v>-192.7679</v>
      </c>
      <c r="K1002">
        <v>1.1105389999999999</v>
      </c>
      <c r="L1002">
        <v>306.64819999999997</v>
      </c>
      <c r="M1002">
        <v>-1.3617300000000001E-2</v>
      </c>
      <c r="N1002">
        <v>0</v>
      </c>
      <c r="O1002">
        <v>-0.99981450000000005</v>
      </c>
      <c r="P1002">
        <v>-0.1013969</v>
      </c>
      <c r="Q1002">
        <v>2.5297920000000002E-2</v>
      </c>
      <c r="R1002">
        <v>-0.99452439999999998</v>
      </c>
      <c r="S1002">
        <v>-1.1405940000000001</v>
      </c>
      <c r="T1002">
        <v>-0.24144740000000001</v>
      </c>
      <c r="U1002">
        <v>-2.908417</v>
      </c>
      <c r="V1002">
        <v>8.7847449999999994E-2</v>
      </c>
      <c r="W1002">
        <v>3.885657E-2</v>
      </c>
      <c r="X1002">
        <v>0.99537580000000003</v>
      </c>
      <c r="Y1002">
        <v>0.35129650000000001</v>
      </c>
      <c r="Z1002">
        <v>7.7239859999999994E-2</v>
      </c>
      <c r="AA1002">
        <v>0.93307280000000004</v>
      </c>
      <c r="AB1002">
        <v>36</v>
      </c>
      <c r="AC1002">
        <v>-5.2436999999999898</v>
      </c>
      <c r="AD1002">
        <v>-1.110537773219</v>
      </c>
      <c r="AE1002">
        <v>-13.0175999999999</v>
      </c>
      <c r="AF1002">
        <v>5.0344081015063402</v>
      </c>
      <c r="AG1002">
        <v>-1.110537773219</v>
      </c>
      <c r="AH1002">
        <v>13.0063608410497</v>
      </c>
      <c r="AI1002">
        <v>94.552698230665797</v>
      </c>
      <c r="AJ1002">
        <v>68.839936366710702</v>
      </c>
      <c r="AK1002">
        <v>13.990853490972199</v>
      </c>
    </row>
    <row r="1003" spans="1:37" x14ac:dyDescent="0.2">
      <c r="A1003" t="str">
        <f>"20200111154044909"</f>
        <v>20200111154044909</v>
      </c>
      <c r="B1003" t="str">
        <f>"1578728444896987"</f>
        <v>1578728444896987</v>
      </c>
      <c r="C1003" t="s">
        <v>37</v>
      </c>
      <c r="D1003">
        <v>5.7348669999999897</v>
      </c>
      <c r="E1003">
        <v>0.61063250000000002</v>
      </c>
      <c r="F1003" t="s">
        <v>43</v>
      </c>
      <c r="G1003">
        <v>-198.30969999999999</v>
      </c>
      <c r="H1003" s="1">
        <v>1.3257239999999899E-6</v>
      </c>
      <c r="I1003">
        <v>292.9187</v>
      </c>
      <c r="J1003">
        <v>-192.7741</v>
      </c>
      <c r="K1003">
        <v>1.1099410000000001</v>
      </c>
      <c r="L1003">
        <v>306.28039999999999</v>
      </c>
      <c r="M1003">
        <v>-1.516871E-2</v>
      </c>
      <c r="N1003">
        <v>0</v>
      </c>
      <c r="O1003">
        <v>-0.99979219999999902</v>
      </c>
      <c r="P1003">
        <v>-0.1050422</v>
      </c>
      <c r="Q1003">
        <v>2.4126020000000001E-2</v>
      </c>
      <c r="R1003">
        <v>-0.99417540000000004</v>
      </c>
      <c r="S1003">
        <v>-1.171783</v>
      </c>
      <c r="T1003">
        <v>-0.23481639999999901</v>
      </c>
      <c r="U1003">
        <v>-2.9030149999999999</v>
      </c>
      <c r="V1003">
        <v>9.0006030000000001E-2</v>
      </c>
      <c r="W1003">
        <v>3.7563850000000003E-2</v>
      </c>
      <c r="X1003">
        <v>0.99523259999999902</v>
      </c>
      <c r="Y1003">
        <v>0.35913820000000002</v>
      </c>
      <c r="Z1003">
        <v>7.4999579999999996E-2</v>
      </c>
      <c r="AA1003">
        <v>0.93026600000000004</v>
      </c>
      <c r="AB1003">
        <v>36</v>
      </c>
      <c r="AC1003">
        <v>-5.5355999999999801</v>
      </c>
      <c r="AD1003">
        <v>-1.1099396742759999</v>
      </c>
      <c r="AE1003">
        <v>-13.3616999999999</v>
      </c>
      <c r="AF1003">
        <v>5.3010436298650703</v>
      </c>
      <c r="AG1003">
        <v>-1.1099396742759999</v>
      </c>
      <c r="AH1003">
        <v>13.365421656662599</v>
      </c>
      <c r="AI1003">
        <v>94.414219871181203</v>
      </c>
      <c r="AJ1003">
        <v>68.365547343941103</v>
      </c>
      <c r="AK1003">
        <v>14.421079214353201</v>
      </c>
    </row>
    <row r="1004" spans="1:37" x14ac:dyDescent="0.2">
      <c r="A1004" t="str">
        <f>"20200111154044935"</f>
        <v>20200111154044935</v>
      </c>
      <c r="B1004" t="str">
        <f>"1578728444927244"</f>
        <v>1578728444927244</v>
      </c>
      <c r="C1004" t="s">
        <v>37</v>
      </c>
      <c r="D1004">
        <v>5.811477</v>
      </c>
      <c r="E1004">
        <v>0.61244790000000005</v>
      </c>
      <c r="F1004" t="s">
        <v>43</v>
      </c>
      <c r="G1004">
        <v>-198.60980000000001</v>
      </c>
      <c r="H1004" s="1">
        <v>1.436893E-6</v>
      </c>
      <c r="I1004">
        <v>292.13630000000001</v>
      </c>
      <c r="J1004">
        <v>-192.7824</v>
      </c>
      <c r="K1004">
        <v>1.1092599999999999</v>
      </c>
      <c r="L1004">
        <v>305.87549999999999</v>
      </c>
      <c r="M1004">
        <v>-1.769132E-2</v>
      </c>
      <c r="N1004">
        <v>0</v>
      </c>
      <c r="O1004">
        <v>-0.99975040000000004</v>
      </c>
      <c r="P1004">
        <v>-0.1106188</v>
      </c>
      <c r="Q1004">
        <v>1.9143629999999998E-2</v>
      </c>
      <c r="R1004">
        <v>-0.99367850000000002</v>
      </c>
      <c r="S1004">
        <v>-1.1951750000000001</v>
      </c>
      <c r="T1004">
        <v>-0.22732150000000001</v>
      </c>
      <c r="U1004">
        <v>-2.8967900000000002</v>
      </c>
      <c r="V1004">
        <v>9.3122170000000004E-2</v>
      </c>
      <c r="W1004">
        <v>3.2438139999999997E-2</v>
      </c>
      <c r="X1004">
        <v>0.99512610000000001</v>
      </c>
      <c r="Y1004">
        <v>0.3639792</v>
      </c>
      <c r="Z1004">
        <v>7.2582010000000002E-2</v>
      </c>
      <c r="AA1004">
        <v>0.92857469999999998</v>
      </c>
      <c r="AB1004">
        <v>36</v>
      </c>
      <c r="AC1004">
        <v>-5.8274000000000097</v>
      </c>
      <c r="AD1004">
        <v>-1.109258563107</v>
      </c>
      <c r="AE1004">
        <v>-13.739199999999901</v>
      </c>
      <c r="AF1004">
        <v>5.5527242192483897</v>
      </c>
      <c r="AG1004">
        <v>-1.109258563107</v>
      </c>
      <c r="AH1004">
        <v>13.7641126128698</v>
      </c>
      <c r="AI1004">
        <v>94.274228377172193</v>
      </c>
      <c r="AJ1004">
        <v>68.029845062135493</v>
      </c>
      <c r="AK1004">
        <v>14.8833462915641</v>
      </c>
    </row>
    <row r="1005" spans="1:37" x14ac:dyDescent="0.2">
      <c r="A1005" t="str">
        <f>"20200111154044955"</f>
        <v>20200111154044955</v>
      </c>
      <c r="B1005" t="str">
        <f>"1578728444946764"</f>
        <v>1578728444946764</v>
      </c>
      <c r="C1005" t="s">
        <v>37</v>
      </c>
      <c r="D1005">
        <v>5.7319570000000004</v>
      </c>
      <c r="E1005">
        <v>0.61399190000000003</v>
      </c>
      <c r="F1005" t="s">
        <v>43</v>
      </c>
      <c r="G1005">
        <v>-198.5651</v>
      </c>
      <c r="H1005" s="1">
        <v>1.4185390000000001E-6</v>
      </c>
      <c r="I1005">
        <v>292.26299999999998</v>
      </c>
      <c r="J1005">
        <v>-192.79069999999999</v>
      </c>
      <c r="K1005">
        <v>1.108681</v>
      </c>
      <c r="L1005">
        <v>305.53739999999999</v>
      </c>
      <c r="M1005">
        <v>-2.0480120000000001E-2</v>
      </c>
      <c r="N1005">
        <v>0</v>
      </c>
      <c r="O1005">
        <v>-0.99969710000000001</v>
      </c>
      <c r="P1005">
        <v>-0.117211</v>
      </c>
      <c r="Q1005">
        <v>1.5002929999999999E-2</v>
      </c>
      <c r="R1005">
        <v>-0.99299409999999899</v>
      </c>
      <c r="S1005">
        <v>-1.226456</v>
      </c>
      <c r="T1005">
        <v>-0.23526320000000001</v>
      </c>
      <c r="U1005">
        <v>-2.8870849999999999</v>
      </c>
      <c r="V1005">
        <v>9.6975359999999997E-2</v>
      </c>
      <c r="W1005">
        <v>2.8162389999999999E-2</v>
      </c>
      <c r="X1005">
        <v>0.9948882</v>
      </c>
      <c r="Y1005">
        <v>0.370955599999999</v>
      </c>
      <c r="Z1005">
        <v>7.5070680000000001E-2</v>
      </c>
      <c r="AA1005">
        <v>0.92561130000000003</v>
      </c>
      <c r="AB1005">
        <v>36</v>
      </c>
      <c r="AC1005">
        <v>-5.7744000000000097</v>
      </c>
      <c r="AD1005">
        <v>-1.108679581461</v>
      </c>
      <c r="AE1005">
        <v>-13.2744</v>
      </c>
      <c r="AF1005">
        <v>5.4692213934245899</v>
      </c>
      <c r="AG1005">
        <v>-1.108679581461</v>
      </c>
      <c r="AH1005">
        <v>13.311804123490401</v>
      </c>
      <c r="AI1005">
        <v>94.405187401483303</v>
      </c>
      <c r="AJ1005">
        <v>67.664444926363302</v>
      </c>
      <c r="AK1005">
        <v>14.434184496770801</v>
      </c>
    </row>
    <row r="1006" spans="1:37" x14ac:dyDescent="0.2">
      <c r="A1006" t="str">
        <f>"20200111154044977"</f>
        <v>20200111154044977</v>
      </c>
      <c r="B1006" t="str">
        <f>"1578728444967260"</f>
        <v>1578728444967260</v>
      </c>
      <c r="C1006" t="s">
        <v>37</v>
      </c>
      <c r="D1006">
        <v>5.9531000000000001</v>
      </c>
      <c r="E1006">
        <v>0.6136028</v>
      </c>
      <c r="F1006" t="s">
        <v>43</v>
      </c>
      <c r="G1006">
        <v>-198.52950000000001</v>
      </c>
      <c r="H1006" s="1">
        <v>1.3950399999999901E-6</v>
      </c>
      <c r="I1006">
        <v>292.4144</v>
      </c>
      <c r="J1006">
        <v>-192.80090000000001</v>
      </c>
      <c r="K1006">
        <v>1.1080639999999999</v>
      </c>
      <c r="L1006">
        <v>305.18169999999998</v>
      </c>
      <c r="M1006">
        <v>-2.4087500000000001E-2</v>
      </c>
      <c r="N1006">
        <v>0</v>
      </c>
      <c r="O1006">
        <v>-0.99961639999999996</v>
      </c>
      <c r="P1006">
        <v>-0.1249815</v>
      </c>
      <c r="Q1006">
        <v>1.225676E-2</v>
      </c>
      <c r="R1006">
        <v>-0.99208339999999995</v>
      </c>
      <c r="S1006">
        <v>-1.257889</v>
      </c>
      <c r="T1006">
        <v>-0.24300939999999999</v>
      </c>
      <c r="U1006">
        <v>-2.876404</v>
      </c>
      <c r="V1006">
        <v>0.10119930000000001</v>
      </c>
      <c r="W1006">
        <v>2.525997E-2</v>
      </c>
      <c r="X1006">
        <v>0.99454549999999997</v>
      </c>
      <c r="Y1006">
        <v>0.37728390000000001</v>
      </c>
      <c r="Z1006">
        <v>7.7517329999999995E-2</v>
      </c>
      <c r="AA1006">
        <v>0.92284769999999905</v>
      </c>
      <c r="AB1006">
        <v>36</v>
      </c>
      <c r="AC1006">
        <v>-5.7286000000000001</v>
      </c>
      <c r="AD1006">
        <v>-1.10806260496</v>
      </c>
      <c r="AE1006">
        <v>-12.767299999999899</v>
      </c>
      <c r="AF1006">
        <v>5.3856085479923097</v>
      </c>
      <c r="AG1006">
        <v>-1.10806260496</v>
      </c>
      <c r="AH1006">
        <v>12.821206099985099</v>
      </c>
      <c r="AI1006">
        <v>94.555703723612396</v>
      </c>
      <c r="AJ1006">
        <v>67.214927664479404</v>
      </c>
      <c r="AK1006">
        <v>13.9504805661674</v>
      </c>
    </row>
    <row r="1007" spans="1:37" x14ac:dyDescent="0.2">
      <c r="A1007" t="str">
        <f>"20200111154044999"</f>
        <v>20200111154044999</v>
      </c>
      <c r="B1007" t="str">
        <f>"1578728444986780"</f>
        <v>1578728444986780</v>
      </c>
      <c r="C1007" t="s">
        <v>37</v>
      </c>
      <c r="D1007">
        <v>6.0943899999999998</v>
      </c>
      <c r="E1007">
        <v>0.61385449999999997</v>
      </c>
      <c r="F1007" t="s">
        <v>43</v>
      </c>
      <c r="G1007">
        <v>-198.4393</v>
      </c>
      <c r="H1007" s="1">
        <v>1.3824399999999999E-6</v>
      </c>
      <c r="I1007">
        <v>292.53140000000002</v>
      </c>
      <c r="J1007">
        <v>-192.81309999999999</v>
      </c>
      <c r="K1007">
        <v>1.107453</v>
      </c>
      <c r="L1007">
        <v>304.8254</v>
      </c>
      <c r="M1007">
        <v>-2.836663E-2</v>
      </c>
      <c r="N1007">
        <v>0</v>
      </c>
      <c r="O1007">
        <v>-0.99950380000000005</v>
      </c>
      <c r="P1007">
        <v>-0.1330587</v>
      </c>
      <c r="Q1007">
        <v>1.444528E-2</v>
      </c>
      <c r="R1007">
        <v>-0.99100309999999903</v>
      </c>
      <c r="S1007">
        <v>-1.2774350000000001</v>
      </c>
      <c r="T1007">
        <v>-0.2510463</v>
      </c>
      <c r="U1007">
        <v>-2.8660890000000001</v>
      </c>
      <c r="V1007">
        <v>0.1050994</v>
      </c>
      <c r="W1007">
        <v>2.728297E-2</v>
      </c>
      <c r="X1007">
        <v>0.99408739999999995</v>
      </c>
      <c r="Y1007">
        <v>0.37971769999999999</v>
      </c>
      <c r="Z1007">
        <v>8.0165269999999997E-2</v>
      </c>
      <c r="AA1007">
        <v>0.92162250000000001</v>
      </c>
      <c r="AB1007">
        <v>36</v>
      </c>
      <c r="AC1007">
        <v>-5.6262000000000096</v>
      </c>
      <c r="AD1007">
        <v>-1.10745161756</v>
      </c>
      <c r="AE1007">
        <v>-12.293999999999899</v>
      </c>
      <c r="AF1007">
        <v>5.2400063469837397</v>
      </c>
      <c r="AG1007">
        <v>-1.10745161756</v>
      </c>
      <c r="AH1007">
        <v>12.3656971029266</v>
      </c>
      <c r="AI1007">
        <v>94.713961403703905</v>
      </c>
      <c r="AJ1007">
        <v>67.0350320646005</v>
      </c>
      <c r="AK1007">
        <v>13.475703337599599</v>
      </c>
    </row>
    <row r="1008" spans="1:37" x14ac:dyDescent="0.2">
      <c r="A1008" t="str">
        <f>"20200111154045019"</f>
        <v>20200111154045019</v>
      </c>
      <c r="B1008" t="str">
        <f>"1578728445007236"</f>
        <v>1578728445007236</v>
      </c>
      <c r="C1008" t="s">
        <v>37</v>
      </c>
      <c r="D1008">
        <v>6.019952</v>
      </c>
      <c r="E1008">
        <v>0.61360599999999998</v>
      </c>
      <c r="F1008" t="s">
        <v>43</v>
      </c>
      <c r="G1008">
        <v>-198.8159</v>
      </c>
      <c r="H1008" s="1">
        <v>1.500297E-6</v>
      </c>
      <c r="I1008">
        <v>291.67250000000001</v>
      </c>
      <c r="J1008">
        <v>-192.82679999999999</v>
      </c>
      <c r="K1008">
        <v>1.1068910000000001</v>
      </c>
      <c r="L1008">
        <v>304.48360000000002</v>
      </c>
      <c r="M1008">
        <v>-3.3079110000000002E-2</v>
      </c>
      <c r="N1008">
        <v>0</v>
      </c>
      <c r="O1008">
        <v>-0.99935849999999904</v>
      </c>
      <c r="P1008">
        <v>-0.141737</v>
      </c>
      <c r="Q1008">
        <v>2.156522E-2</v>
      </c>
      <c r="R1008">
        <v>-0.98966969999999999</v>
      </c>
      <c r="S1008">
        <v>-1.3032840000000001</v>
      </c>
      <c r="T1008">
        <v>-0.2404435</v>
      </c>
      <c r="U1008">
        <v>-2.8556819999999998</v>
      </c>
      <c r="V1008">
        <v>0.10923139999999899</v>
      </c>
      <c r="W1008">
        <v>3.423052E-2</v>
      </c>
      <c r="X1008">
        <v>0.99342680000000005</v>
      </c>
      <c r="Y1008">
        <v>0.38363969999999997</v>
      </c>
      <c r="Z1008">
        <v>7.6837550000000004E-2</v>
      </c>
      <c r="AA1008">
        <v>0.92028069999999895</v>
      </c>
      <c r="AB1008">
        <v>36</v>
      </c>
      <c r="AC1008">
        <v>-5.9890999999999996</v>
      </c>
      <c r="AD1008">
        <v>-1.1068894997030001</v>
      </c>
      <c r="AE1008">
        <v>-12.8111</v>
      </c>
      <c r="AF1008">
        <v>5.5281355008158402</v>
      </c>
      <c r="AG1008">
        <v>-1.1068894997030001</v>
      </c>
      <c r="AH1008">
        <v>12.9230509652226</v>
      </c>
      <c r="AI1008">
        <v>94.502730540144995</v>
      </c>
      <c r="AJ1008">
        <v>66.840056566380795</v>
      </c>
      <c r="AK1008">
        <v>14.099316746909199</v>
      </c>
    </row>
    <row r="1009" spans="1:37" x14ac:dyDescent="0.2">
      <c r="A1009" t="str">
        <f>"20200111154045042"</f>
        <v>20200111154045042</v>
      </c>
      <c r="B1009" t="str">
        <f>"1578728445037490"</f>
        <v>1578728445037490</v>
      </c>
      <c r="C1009" t="s">
        <v>37</v>
      </c>
      <c r="D1009">
        <v>6.0274789999999996</v>
      </c>
      <c r="E1009">
        <v>0.61309760000000002</v>
      </c>
      <c r="F1009" t="s">
        <v>43</v>
      </c>
      <c r="G1009">
        <v>-199.50210000000001</v>
      </c>
      <c r="H1009" s="1">
        <v>1.7056099999999899E-6</v>
      </c>
      <c r="I1009">
        <v>290.16120000000001</v>
      </c>
      <c r="J1009">
        <v>-192.84280000000001</v>
      </c>
      <c r="K1009">
        <v>1.106331</v>
      </c>
      <c r="L1009">
        <v>304.13729999999998</v>
      </c>
      <c r="M1009">
        <v>-3.8432630000000002E-2</v>
      </c>
      <c r="N1009">
        <v>0</v>
      </c>
      <c r="O1009">
        <v>-0.99916649999999996</v>
      </c>
      <c r="P1009">
        <v>-0.1508031</v>
      </c>
      <c r="Q1009">
        <v>2.8468710000000001E-2</v>
      </c>
      <c r="R1009">
        <v>-0.98815379999999997</v>
      </c>
      <c r="S1009">
        <v>-1.326492</v>
      </c>
      <c r="T1009">
        <v>-0.21995899999999999</v>
      </c>
      <c r="U1009">
        <v>-2.84613</v>
      </c>
      <c r="V1009">
        <v>0.1131448</v>
      </c>
      <c r="W1009">
        <v>4.0957260000000002E-2</v>
      </c>
      <c r="X1009">
        <v>0.99273400000000001</v>
      </c>
      <c r="Y1009">
        <v>0.38624550000000002</v>
      </c>
      <c r="Z1009">
        <v>7.036676E-2</v>
      </c>
      <c r="AA1009">
        <v>0.91970810000000003</v>
      </c>
      <c r="AB1009">
        <v>36</v>
      </c>
      <c r="AC1009">
        <v>-6.6593</v>
      </c>
      <c r="AD1009">
        <v>-1.1063292943900001</v>
      </c>
      <c r="AE1009">
        <v>-13.976099999999899</v>
      </c>
      <c r="AF1009">
        <v>6.0861100181167496</v>
      </c>
      <c r="AG1009">
        <v>-1.1063292943900001</v>
      </c>
      <c r="AH1009">
        <v>14.1494737698973</v>
      </c>
      <c r="AI1009">
        <v>94.108282248313799</v>
      </c>
      <c r="AJ1009">
        <v>66.726020054146204</v>
      </c>
      <c r="AK1009">
        <v>15.4425486117175</v>
      </c>
    </row>
    <row r="1010" spans="1:37" x14ac:dyDescent="0.2">
      <c r="A1010" t="str">
        <f>"20200111154045065"</f>
        <v>20200111154045065</v>
      </c>
      <c r="B1010" t="str">
        <f>"1578728445057010"</f>
        <v>1578728445057010</v>
      </c>
      <c r="C1010" t="s">
        <v>37</v>
      </c>
      <c r="D1010">
        <v>5.9831149999999997</v>
      </c>
      <c r="E1010">
        <v>0.61355079999999995</v>
      </c>
      <c r="F1010" t="s">
        <v>43</v>
      </c>
      <c r="G1010">
        <v>-200.2379</v>
      </c>
      <c r="H1010" s="1">
        <v>1.9752120000000001E-6</v>
      </c>
      <c r="I1010">
        <v>288.58890000000002</v>
      </c>
      <c r="J1010">
        <v>-192.86320000000001</v>
      </c>
      <c r="K1010">
        <v>1.1057159999999999</v>
      </c>
      <c r="L1010">
        <v>303.75850000000003</v>
      </c>
      <c r="M1010">
        <v>-4.4957629999999998E-2</v>
      </c>
      <c r="N1010">
        <v>0</v>
      </c>
      <c r="O1010">
        <v>-0.9988937</v>
      </c>
      <c r="P1010">
        <v>-0.15914779999999901</v>
      </c>
      <c r="Q1010">
        <v>3.2221630000000001E-2</v>
      </c>
      <c r="R1010">
        <v>-0.98672879999999996</v>
      </c>
      <c r="S1010">
        <v>-1.3488009999999999</v>
      </c>
      <c r="T1010">
        <v>-0.20178499999999999</v>
      </c>
      <c r="U1010">
        <v>-2.8359070000000002</v>
      </c>
      <c r="V1010">
        <v>0.1151633</v>
      </c>
      <c r="W1010">
        <v>4.4544559999999997E-2</v>
      </c>
      <c r="X1010">
        <v>0.99234730000000004</v>
      </c>
      <c r="Y1010">
        <v>0.38757659999999899</v>
      </c>
      <c r="Z1010">
        <v>6.4641299999999999E-2</v>
      </c>
      <c r="AA1010">
        <v>0.91956830000000001</v>
      </c>
      <c r="AB1010">
        <v>36</v>
      </c>
      <c r="AC1010">
        <v>-7.37469999999999</v>
      </c>
      <c r="AD1010">
        <v>-1.105714024788</v>
      </c>
      <c r="AE1010">
        <v>-15.169600000000001</v>
      </c>
      <c r="AF1010">
        <v>6.6565823157023001</v>
      </c>
      <c r="AG1010">
        <v>-1.105714024788</v>
      </c>
      <c r="AH1010">
        <v>15.419576553303999</v>
      </c>
      <c r="AI1010">
        <v>93.766674362815493</v>
      </c>
      <c r="AJ1010">
        <v>66.6502956180681</v>
      </c>
      <c r="AK1010">
        <v>16.8314002006232</v>
      </c>
    </row>
    <row r="1011" spans="1:37" x14ac:dyDescent="0.2">
      <c r="A1011" t="str">
        <f>"20200111154045087"</f>
        <v>20200111154045087</v>
      </c>
      <c r="B1011" t="str">
        <f>"1578728445077506"</f>
        <v>1578728445077506</v>
      </c>
      <c r="C1011" t="s">
        <v>37</v>
      </c>
      <c r="D1011">
        <v>5.9939339999999897</v>
      </c>
      <c r="E1011">
        <v>0.61339290000000002</v>
      </c>
      <c r="F1011" t="s">
        <v>43</v>
      </c>
      <c r="G1011">
        <v>-200.8169</v>
      </c>
      <c r="H1011" s="1">
        <v>2.3327929999999999E-6</v>
      </c>
      <c r="I1011">
        <v>287.43560000000002</v>
      </c>
      <c r="J1011">
        <v>-192.88570000000001</v>
      </c>
      <c r="K1011">
        <v>1.1051469999999901</v>
      </c>
      <c r="L1011">
        <v>303.39490000000001</v>
      </c>
      <c r="M1011">
        <v>-5.184942E-2</v>
      </c>
      <c r="N1011">
        <v>0</v>
      </c>
      <c r="O1011">
        <v>-0.99855890000000003</v>
      </c>
      <c r="P1011">
        <v>-0.1694648</v>
      </c>
      <c r="Q1011">
        <v>3.3481230000000001E-2</v>
      </c>
      <c r="R1011">
        <v>-0.984967499999999</v>
      </c>
      <c r="S1011">
        <v>-1.3763430000000001</v>
      </c>
      <c r="T1011">
        <v>-0.1913368</v>
      </c>
      <c r="U1011">
        <v>-2.8245849999999999</v>
      </c>
      <c r="V1011">
        <v>0.1187826</v>
      </c>
      <c r="W1011">
        <v>4.5628740000000001E-2</v>
      </c>
      <c r="X1011">
        <v>0.99187130000000001</v>
      </c>
      <c r="Y1011">
        <v>0.39001049999999998</v>
      </c>
      <c r="Z1011">
        <v>6.134158E-2</v>
      </c>
      <c r="AA1011">
        <v>0.9187649</v>
      </c>
      <c r="AB1011">
        <v>36</v>
      </c>
      <c r="AC1011">
        <v>-7.9311999999999898</v>
      </c>
      <c r="AD1011">
        <v>-1.10514466720699</v>
      </c>
      <c r="AE1011">
        <v>-15.959299999999899</v>
      </c>
      <c r="AF1011">
        <v>7.0657984437162904</v>
      </c>
      <c r="AG1011">
        <v>-1.10514466720699</v>
      </c>
      <c r="AH1011">
        <v>16.286467111555599</v>
      </c>
      <c r="AI1011">
        <v>93.562100528267493</v>
      </c>
      <c r="AJ1011">
        <v>66.546641616586001</v>
      </c>
      <c r="AK1011">
        <v>17.787519876544302</v>
      </c>
    </row>
    <row r="1012" spans="1:37" x14ac:dyDescent="0.2">
      <c r="A1012" t="str">
        <f>"20200111154045110"</f>
        <v>20200111154045110</v>
      </c>
      <c r="B1012" t="str">
        <f>"1578728445106786"</f>
        <v>1578728445106786</v>
      </c>
      <c r="C1012" t="s">
        <v>37</v>
      </c>
      <c r="D1012">
        <v>6.1523139999999996</v>
      </c>
      <c r="E1012">
        <v>0.61240190000000005</v>
      </c>
      <c r="F1012" t="s">
        <v>43</v>
      </c>
      <c r="G1012">
        <v>-201.03919999999999</v>
      </c>
      <c r="H1012" s="1">
        <v>2.4625920000000001E-6</v>
      </c>
      <c r="I1012">
        <v>287.07859999999999</v>
      </c>
      <c r="J1012">
        <v>-192.9117</v>
      </c>
      <c r="K1012">
        <v>1.1046020000000001</v>
      </c>
      <c r="L1012">
        <v>303.02379999999999</v>
      </c>
      <c r="M1012">
        <v>-5.9398140000000002E-2</v>
      </c>
      <c r="N1012">
        <v>0</v>
      </c>
      <c r="O1012">
        <v>-0.99813799999999997</v>
      </c>
      <c r="P1012">
        <v>-0.1802648</v>
      </c>
      <c r="Q1012">
        <v>3.1922319999999997E-2</v>
      </c>
      <c r="R1012">
        <v>-0.98310019999999998</v>
      </c>
      <c r="S1012">
        <v>-1.404495</v>
      </c>
      <c r="T1012">
        <v>-0.19036729999999999</v>
      </c>
      <c r="U1012">
        <v>-2.8105769999999999</v>
      </c>
      <c r="V1012">
        <v>0.1222039</v>
      </c>
      <c r="W1012">
        <v>4.3900990000000001E-2</v>
      </c>
      <c r="X1012">
        <v>0.99153359999999902</v>
      </c>
      <c r="Y1012">
        <v>0.39225110000000002</v>
      </c>
      <c r="Z1012">
        <v>6.1105909999999999E-2</v>
      </c>
      <c r="AA1012">
        <v>0.91782629999999998</v>
      </c>
      <c r="AB1012">
        <v>36</v>
      </c>
      <c r="AC1012">
        <v>-8.1274999999999906</v>
      </c>
      <c r="AD1012">
        <v>-1.104599537408</v>
      </c>
      <c r="AE1012">
        <v>-15.9452</v>
      </c>
      <c r="AF1012">
        <v>7.1387471232103703</v>
      </c>
      <c r="AG1012">
        <v>-1.104599537408</v>
      </c>
      <c r="AH1012">
        <v>16.3376112598168</v>
      </c>
      <c r="AI1012">
        <v>93.545207491074706</v>
      </c>
      <c r="AJ1012">
        <v>66.396995487343403</v>
      </c>
      <c r="AK1012">
        <v>17.8633533331253</v>
      </c>
    </row>
    <row r="1013" spans="1:37" x14ac:dyDescent="0.2">
      <c r="A1013" t="str">
        <f>"20200111154045133"</f>
        <v>20200111154045133</v>
      </c>
      <c r="B1013" t="str">
        <f>"1578728445127282"</f>
        <v>1578728445127282</v>
      </c>
      <c r="C1013" t="s">
        <v>37</v>
      </c>
      <c r="D1013">
        <v>6.1792259999999999</v>
      </c>
      <c r="E1013">
        <v>0.61249759999999998</v>
      </c>
      <c r="F1013" t="s">
        <v>43</v>
      </c>
      <c r="G1013">
        <v>-200.48159999999999</v>
      </c>
      <c r="H1013" s="1">
        <v>2.117903E-6</v>
      </c>
      <c r="I1013">
        <v>288.19260000000003</v>
      </c>
      <c r="J1013">
        <v>-192.94049999999999</v>
      </c>
      <c r="K1013">
        <v>1.104088</v>
      </c>
      <c r="L1013">
        <v>302.65809999999999</v>
      </c>
      <c r="M1013">
        <v>-6.7335019999999995E-2</v>
      </c>
      <c r="N1013">
        <v>0</v>
      </c>
      <c r="O1013">
        <v>-0.9976334</v>
      </c>
      <c r="P1013">
        <v>-0.1921342</v>
      </c>
      <c r="Q1013">
        <v>3.086038E-2</v>
      </c>
      <c r="R1013">
        <v>-0.98088359999999997</v>
      </c>
      <c r="S1013">
        <v>-1.427368</v>
      </c>
      <c r="T1013">
        <v>-0.20828260000000001</v>
      </c>
      <c r="U1013">
        <v>-2.79657</v>
      </c>
      <c r="V1013">
        <v>0.12633739999999999</v>
      </c>
      <c r="W1013">
        <v>4.2657130000000001E-2</v>
      </c>
      <c r="X1013">
        <v>0.99106970000000005</v>
      </c>
      <c r="Y1013">
        <v>0.39257929999999902</v>
      </c>
      <c r="Z1013">
        <v>6.6954130000000001E-2</v>
      </c>
      <c r="AA1013">
        <v>0.91727789999999998</v>
      </c>
      <c r="AB1013">
        <v>36</v>
      </c>
      <c r="AC1013">
        <v>-7.5411000000000001</v>
      </c>
      <c r="AD1013">
        <v>-1.1040858820970001</v>
      </c>
      <c r="AE1013">
        <v>-14.465499999999899</v>
      </c>
      <c r="AF1013">
        <v>6.51998656153431</v>
      </c>
      <c r="AG1013">
        <v>-1.1040858820970001</v>
      </c>
      <c r="AH1013">
        <v>14.872366769454</v>
      </c>
      <c r="AI1013">
        <v>93.889596889470596</v>
      </c>
      <c r="AJ1013">
        <v>66.327545534219198</v>
      </c>
      <c r="AK1013">
        <v>16.276256440680498</v>
      </c>
    </row>
    <row r="1014" spans="1:37" x14ac:dyDescent="0.2">
      <c r="A1014" t="str">
        <f>"20200111154045155"</f>
        <v>20200111154045155</v>
      </c>
      <c r="B1014" t="str">
        <f>"1578728445146801"</f>
        <v>1578728445146801</v>
      </c>
      <c r="C1014" t="s">
        <v>37</v>
      </c>
      <c r="D1014">
        <v>6.0790579999999999</v>
      </c>
      <c r="E1014">
        <v>0.61263140000000005</v>
      </c>
      <c r="F1014" t="s">
        <v>43</v>
      </c>
      <c r="G1014">
        <v>-200.45509999999999</v>
      </c>
      <c r="H1014" s="1">
        <v>2.0907109999999998E-6</v>
      </c>
      <c r="I1014">
        <v>288.36919999999998</v>
      </c>
      <c r="J1014">
        <v>-192.9718</v>
      </c>
      <c r="K1014">
        <v>1.103593</v>
      </c>
      <c r="L1014">
        <v>302.30020000000002</v>
      </c>
      <c r="M1014">
        <v>-7.558716E-2</v>
      </c>
      <c r="N1014">
        <v>0</v>
      </c>
      <c r="O1014">
        <v>-0.99704179999999998</v>
      </c>
      <c r="P1014">
        <v>-0.20428729999999901</v>
      </c>
      <c r="Q1014">
        <v>2.95353E-2</v>
      </c>
      <c r="R1014">
        <v>-0.97846580000000005</v>
      </c>
      <c r="S1014">
        <v>-1.4614559999999901</v>
      </c>
      <c r="T1014">
        <v>-0.21472539999999901</v>
      </c>
      <c r="U1014">
        <v>-2.778931</v>
      </c>
      <c r="V1014">
        <v>0.130456399999999</v>
      </c>
      <c r="W1014">
        <v>4.1150699999999901E-2</v>
      </c>
      <c r="X1014">
        <v>0.99059969999999997</v>
      </c>
      <c r="Y1014">
        <v>0.39611550000000001</v>
      </c>
      <c r="Z1014">
        <v>6.9100800000000004E-2</v>
      </c>
      <c r="AA1014">
        <v>0.91559679999999999</v>
      </c>
      <c r="AB1014">
        <v>36</v>
      </c>
      <c r="AC1014">
        <v>-7.4832999999999803</v>
      </c>
      <c r="AD1014">
        <v>-1.1035909092889999</v>
      </c>
      <c r="AE1014">
        <v>-13.930999999999999</v>
      </c>
      <c r="AF1014">
        <v>6.3777195808562901</v>
      </c>
      <c r="AG1014">
        <v>-1.1035909092889999</v>
      </c>
      <c r="AH1014">
        <v>14.3867677667357</v>
      </c>
      <c r="AI1014">
        <v>94.0114124422293</v>
      </c>
      <c r="AJ1014">
        <v>66.092072359972704</v>
      </c>
      <c r="AK1014">
        <v>15.775687202815799</v>
      </c>
    </row>
    <row r="1015" spans="1:37" x14ac:dyDescent="0.2">
      <c r="A1015" t="str">
        <f>"20200111154045177"</f>
        <v>20200111154045177</v>
      </c>
      <c r="B1015" t="str">
        <f>"1578728445167298"</f>
        <v>1578728445167298</v>
      </c>
      <c r="C1015" t="s">
        <v>37</v>
      </c>
      <c r="D1015">
        <v>6.0203480000000003</v>
      </c>
      <c r="E1015">
        <v>0.61276819999999999</v>
      </c>
      <c r="F1015" t="s">
        <v>43</v>
      </c>
      <c r="G1015">
        <v>-200.40180000000001</v>
      </c>
      <c r="H1015" s="1">
        <v>2.0475529999999999E-6</v>
      </c>
      <c r="I1015">
        <v>288.5926</v>
      </c>
      <c r="J1015">
        <v>-193.0068</v>
      </c>
      <c r="K1015">
        <v>1.103089</v>
      </c>
      <c r="L1015">
        <v>301.94060000000002</v>
      </c>
      <c r="M1015">
        <v>-8.4368810000000002E-2</v>
      </c>
      <c r="N1015">
        <v>0</v>
      </c>
      <c r="O1015">
        <v>-0.99633629999999995</v>
      </c>
      <c r="P1015">
        <v>-0.2157222</v>
      </c>
      <c r="Q1015">
        <v>2.7181299999999999E-2</v>
      </c>
      <c r="R1015">
        <v>-0.97607699999999997</v>
      </c>
      <c r="S1015">
        <v>-1.4962009999999999</v>
      </c>
      <c r="T1015">
        <v>-0.2222346</v>
      </c>
      <c r="U1015">
        <v>-2.760345</v>
      </c>
      <c r="V1015">
        <v>0.1333201</v>
      </c>
      <c r="W1015">
        <v>3.8635950000000002E-2</v>
      </c>
      <c r="X1015">
        <v>0.99031970000000002</v>
      </c>
      <c r="Y1015">
        <v>0.39943390000000001</v>
      </c>
      <c r="Z1015">
        <v>7.1596209999999993E-2</v>
      </c>
      <c r="AA1015">
        <v>0.91396200000000005</v>
      </c>
      <c r="AB1015">
        <v>36</v>
      </c>
      <c r="AC1015">
        <v>-7.3949999999999996</v>
      </c>
      <c r="AD1015">
        <v>-1.1030869524469999</v>
      </c>
      <c r="AE1015">
        <v>-13.348000000000001</v>
      </c>
      <c r="AF1015">
        <v>6.2099131363176596</v>
      </c>
      <c r="AG1015">
        <v>-1.1030869524469999</v>
      </c>
      <c r="AH1015">
        <v>13.8519835973234</v>
      </c>
      <c r="AI1015">
        <v>94.156141653537802</v>
      </c>
      <c r="AJ1015">
        <v>65.853069198221604</v>
      </c>
      <c r="AK1015">
        <v>15.220291441552201</v>
      </c>
    </row>
    <row r="1016" spans="1:37" x14ac:dyDescent="0.2">
      <c r="A1016" t="str">
        <f>"20200111154045200"</f>
        <v>20200111154045200</v>
      </c>
      <c r="B1016" t="str">
        <f>"1578728445197086"</f>
        <v>1578728445197086</v>
      </c>
      <c r="C1016" t="s">
        <v>37</v>
      </c>
      <c r="D1016">
        <v>6.0679860000000003</v>
      </c>
      <c r="E1016">
        <v>0.61304139999999996</v>
      </c>
      <c r="F1016" t="s">
        <v>43</v>
      </c>
      <c r="G1016">
        <v>-200.3817</v>
      </c>
      <c r="H1016" s="1">
        <v>2.0273020000000001E-6</v>
      </c>
      <c r="I1016">
        <v>288.72250000000003</v>
      </c>
      <c r="J1016">
        <v>-193.04560000000001</v>
      </c>
      <c r="K1016">
        <v>1.1025799999999999</v>
      </c>
      <c r="L1016">
        <v>301.57799999999997</v>
      </c>
      <c r="M1016">
        <v>-9.3723879999999996E-2</v>
      </c>
      <c r="N1016">
        <v>0</v>
      </c>
      <c r="O1016">
        <v>-0.99549909999999997</v>
      </c>
      <c r="P1016">
        <v>-0.22746369999999999</v>
      </c>
      <c r="Q1016">
        <v>2.5282309999999999E-2</v>
      </c>
      <c r="R1016">
        <v>-0.97345849999999901</v>
      </c>
      <c r="S1016">
        <v>-1.5297700000000001</v>
      </c>
      <c r="T1016">
        <v>-0.22880999999999899</v>
      </c>
      <c r="U1016">
        <v>-2.7417910000000001</v>
      </c>
      <c r="V1016">
        <v>0.1359523</v>
      </c>
      <c r="W1016">
        <v>3.6577949999999998E-2</v>
      </c>
      <c r="X1016">
        <v>0.99003989999999997</v>
      </c>
      <c r="Y1016">
        <v>0.40191329999999997</v>
      </c>
      <c r="Z1016">
        <v>7.3796539999999994E-2</v>
      </c>
      <c r="AA1016">
        <v>0.91269920000000004</v>
      </c>
      <c r="AB1016">
        <v>36</v>
      </c>
      <c r="AC1016">
        <v>-7.3360999999999796</v>
      </c>
      <c r="AD1016">
        <v>-1.1025779726979901</v>
      </c>
      <c r="AE1016">
        <v>-12.8554999999999</v>
      </c>
      <c r="AF1016">
        <v>6.0651601987249002</v>
      </c>
      <c r="AG1016">
        <v>-1.1025779726979901</v>
      </c>
      <c r="AH1016">
        <v>13.412114203142099</v>
      </c>
      <c r="AI1016">
        <v>94.283722301502394</v>
      </c>
      <c r="AJ1016">
        <v>65.666800166081401</v>
      </c>
      <c r="AK1016">
        <v>14.7609841751897</v>
      </c>
    </row>
    <row r="1017" spans="1:37" x14ac:dyDescent="0.2">
      <c r="A1017" t="str">
        <f>"20200111154045221"</f>
        <v>20200111154045221</v>
      </c>
      <c r="B1017" t="str">
        <f>"1578728445217582"</f>
        <v>1578728445217582</v>
      </c>
      <c r="C1017" t="s">
        <v>37</v>
      </c>
      <c r="D1017">
        <v>6.0505000000000004</v>
      </c>
      <c r="E1017">
        <v>0.61317100000000002</v>
      </c>
      <c r="F1017" t="s">
        <v>43</v>
      </c>
      <c r="G1017">
        <v>-200.40450000000001</v>
      </c>
      <c r="H1017" s="1">
        <v>2.032585E-6</v>
      </c>
      <c r="I1017">
        <v>288.77760000000001</v>
      </c>
      <c r="J1017">
        <v>-193.08510000000001</v>
      </c>
      <c r="K1017">
        <v>1.1021110000000001</v>
      </c>
      <c r="L1017">
        <v>301.24119999999999</v>
      </c>
      <c r="M1017">
        <v>-0.1028898</v>
      </c>
      <c r="N1017">
        <v>0</v>
      </c>
      <c r="O1017">
        <v>-0.99459249999999899</v>
      </c>
      <c r="P1017">
        <v>-0.23965999999999901</v>
      </c>
      <c r="Q1017">
        <v>2.517287E-2</v>
      </c>
      <c r="R1017">
        <v>-0.97053049999999996</v>
      </c>
      <c r="S1017">
        <v>-1.565002</v>
      </c>
      <c r="T1017">
        <v>-0.23448089999999899</v>
      </c>
      <c r="U1017">
        <v>-2.7221980000000001</v>
      </c>
      <c r="V1017">
        <v>0.13929449999999999</v>
      </c>
      <c r="W1017">
        <v>3.6298230000000001E-2</v>
      </c>
      <c r="X1017">
        <v>0.98958550000000001</v>
      </c>
      <c r="Y1017">
        <v>0.4051285</v>
      </c>
      <c r="Z1017">
        <v>7.5698429999999997E-2</v>
      </c>
      <c r="AA1017">
        <v>0.9111205</v>
      </c>
      <c r="AB1017">
        <v>36</v>
      </c>
      <c r="AC1017">
        <v>-7.3193999999999999</v>
      </c>
      <c r="AD1017">
        <v>-1.102108967415</v>
      </c>
      <c r="AE1017">
        <v>-12.4635999999999</v>
      </c>
      <c r="AF1017">
        <v>5.9633698168723601</v>
      </c>
      <c r="AG1017">
        <v>-1.102108967415</v>
      </c>
      <c r="AH1017">
        <v>13.0745897216641</v>
      </c>
      <c r="AI1017">
        <v>94.385617951630493</v>
      </c>
      <c r="AJ1017">
        <v>65.482091727851397</v>
      </c>
      <c r="AK1017">
        <v>14.412540377694899</v>
      </c>
    </row>
    <row r="1018" spans="1:37" x14ac:dyDescent="0.2">
      <c r="A1018" t="str">
        <f>"20200111154045244"</f>
        <v>20200111154045244</v>
      </c>
      <c r="B1018" t="str">
        <f>"1578728445237102"</f>
        <v>1578728445237102</v>
      </c>
      <c r="C1018" t="s">
        <v>37</v>
      </c>
      <c r="D1018">
        <v>6.0678409999999996</v>
      </c>
      <c r="E1018">
        <v>0.61330010000000001</v>
      </c>
      <c r="F1018" t="s">
        <v>43</v>
      </c>
      <c r="G1018">
        <v>-200.50550000000001</v>
      </c>
      <c r="H1018" s="1">
        <v>2.0834569999999999E-6</v>
      </c>
      <c r="I1018">
        <v>288.70780000000002</v>
      </c>
      <c r="J1018">
        <v>-193.13290000000001</v>
      </c>
      <c r="K1018">
        <v>1.101604</v>
      </c>
      <c r="L1018">
        <v>300.86939999999998</v>
      </c>
      <c r="M1018">
        <v>-0.1135398</v>
      </c>
      <c r="N1018">
        <v>0</v>
      </c>
      <c r="O1018">
        <v>-0.99343230000000005</v>
      </c>
      <c r="P1018">
        <v>-0.25283899999999998</v>
      </c>
      <c r="Q1018">
        <v>2.522868E-2</v>
      </c>
      <c r="R1018">
        <v>-0.96717989999999998</v>
      </c>
      <c r="S1018">
        <v>-1.5998079999999999</v>
      </c>
      <c r="T1018">
        <v>-0.2376122</v>
      </c>
      <c r="U1018">
        <v>-2.7021790000000001</v>
      </c>
      <c r="V1018">
        <v>0.14220039999999901</v>
      </c>
      <c r="W1018">
        <v>3.6182909999999999E-2</v>
      </c>
      <c r="X1018">
        <v>0.98917630000000001</v>
      </c>
      <c r="Y1018">
        <v>0.40694649999999999</v>
      </c>
      <c r="Z1018">
        <v>7.6789750000000004E-2</v>
      </c>
      <c r="AA1018">
        <v>0.91021859999999999</v>
      </c>
      <c r="AB1018">
        <v>36</v>
      </c>
      <c r="AC1018">
        <v>-7.3726000000000003</v>
      </c>
      <c r="AD1018">
        <v>-1.101601916543</v>
      </c>
      <c r="AE1018">
        <v>-12.1615999999999</v>
      </c>
      <c r="AF1018">
        <v>5.9085006004620499</v>
      </c>
      <c r="AG1018">
        <v>-1.101601916543</v>
      </c>
      <c r="AH1018">
        <v>12.8430518913291</v>
      </c>
      <c r="AI1018">
        <v>94.455677862035301</v>
      </c>
      <c r="AJ1018">
        <v>65.295004396526096</v>
      </c>
      <c r="AK1018">
        <v>14.1798409021951</v>
      </c>
    </row>
    <row r="1019" spans="1:37" x14ac:dyDescent="0.2">
      <c r="A1019" t="str">
        <f>"20200111154045266"</f>
        <v>20200111154045266</v>
      </c>
      <c r="B1019" t="str">
        <f>"1578728445257598"</f>
        <v>1578728445257598</v>
      </c>
      <c r="C1019" t="s">
        <v>37</v>
      </c>
      <c r="D1019">
        <v>6.2043520000000001</v>
      </c>
      <c r="E1019">
        <v>0.61342419999999998</v>
      </c>
      <c r="F1019" t="s">
        <v>43</v>
      </c>
      <c r="G1019">
        <v>-200.6704</v>
      </c>
      <c r="H1019" s="1">
        <v>2.1725049999999999E-6</v>
      </c>
      <c r="I1019">
        <v>288.52589999999998</v>
      </c>
      <c r="J1019">
        <v>-193.18369999999999</v>
      </c>
      <c r="K1019">
        <v>1.101119</v>
      </c>
      <c r="L1019">
        <v>300.5095</v>
      </c>
      <c r="M1019">
        <v>-0.1244043</v>
      </c>
      <c r="N1019">
        <v>0</v>
      </c>
      <c r="O1019">
        <v>-0.99212909999999899</v>
      </c>
      <c r="P1019">
        <v>-0.265551599999999</v>
      </c>
      <c r="Q1019">
        <v>2.630335E-2</v>
      </c>
      <c r="R1019">
        <v>-0.96373799999999898</v>
      </c>
      <c r="S1019">
        <v>-1.6366419999999999</v>
      </c>
      <c r="T1019">
        <v>-0.239194299999999</v>
      </c>
      <c r="U1019">
        <v>-2.6801759999999999</v>
      </c>
      <c r="V1019">
        <v>0.1444722</v>
      </c>
      <c r="W1019">
        <v>3.7108309999999999E-2</v>
      </c>
      <c r="X1019">
        <v>0.98881280000000005</v>
      </c>
      <c r="Y1019">
        <v>0.40936800000000001</v>
      </c>
      <c r="Z1019">
        <v>7.7385490000000001E-2</v>
      </c>
      <c r="AA1019">
        <v>0.90908159999999905</v>
      </c>
      <c r="AB1019">
        <v>36</v>
      </c>
      <c r="AC1019">
        <v>-7.4867000000000097</v>
      </c>
      <c r="AD1019">
        <v>-1.1011168274950001</v>
      </c>
      <c r="AE1019">
        <v>-11.983599999999999</v>
      </c>
      <c r="AF1019">
        <v>5.9017261155583203</v>
      </c>
      <c r="AG1019">
        <v>-1.1011168274950001</v>
      </c>
      <c r="AH1019">
        <v>12.744566267176101</v>
      </c>
      <c r="AI1019">
        <v>94.482861143007099</v>
      </c>
      <c r="AJ1019">
        <v>65.152191287211394</v>
      </c>
      <c r="AK1019">
        <v>14.087824486034</v>
      </c>
    </row>
    <row r="1020" spans="1:37" x14ac:dyDescent="0.2">
      <c r="A1020" t="str">
        <f>"20200111154045288"</f>
        <v>20200111154045288</v>
      </c>
      <c r="B1020" t="str">
        <f>"1578728445277121"</f>
        <v>1578728445277121</v>
      </c>
      <c r="C1020" t="s">
        <v>37</v>
      </c>
      <c r="D1020">
        <v>6.0877800000000004</v>
      </c>
      <c r="E1020">
        <v>0.61360559999999997</v>
      </c>
      <c r="F1020" t="s">
        <v>43</v>
      </c>
      <c r="G1020">
        <v>-201.1061</v>
      </c>
      <c r="H1020" s="1">
        <v>2.4181970000000001E-6</v>
      </c>
      <c r="I1020">
        <v>287.92570000000001</v>
      </c>
      <c r="J1020">
        <v>-193.2373</v>
      </c>
      <c r="K1020">
        <v>1.1006799999999901</v>
      </c>
      <c r="L1020">
        <v>300.15940000000001</v>
      </c>
      <c r="M1020">
        <v>-0.1354127</v>
      </c>
      <c r="N1020">
        <v>0</v>
      </c>
      <c r="O1020">
        <v>-0.99068559999999894</v>
      </c>
      <c r="P1020">
        <v>-0.27801320000000002</v>
      </c>
      <c r="Q1020">
        <v>2.7940199999999998E-2</v>
      </c>
      <c r="R1020">
        <v>-0.9601712</v>
      </c>
      <c r="S1020">
        <v>-1.6734770000000001</v>
      </c>
      <c r="T1020">
        <v>-0.23259250000000001</v>
      </c>
      <c r="U1020">
        <v>-2.658112</v>
      </c>
      <c r="V1020">
        <v>0.1463885</v>
      </c>
      <c r="W1020">
        <v>3.8615469999999999E-2</v>
      </c>
      <c r="X1020">
        <v>0.98847320000000005</v>
      </c>
      <c r="Y1020">
        <v>0.411753799999999</v>
      </c>
      <c r="Z1020">
        <v>7.5327279999999996E-2</v>
      </c>
      <c r="AA1020">
        <v>0.90817649999999905</v>
      </c>
      <c r="AB1020">
        <v>36</v>
      </c>
      <c r="AC1020">
        <v>-7.8687999999999896</v>
      </c>
      <c r="AD1020">
        <v>-1.1006775818029999</v>
      </c>
      <c r="AE1020">
        <v>-12.233700000000001</v>
      </c>
      <c r="AF1020">
        <v>6.1045850373377304</v>
      </c>
      <c r="AG1020">
        <v>-1.1006775818029999</v>
      </c>
      <c r="AH1020">
        <v>13.111565169911801</v>
      </c>
      <c r="AI1020">
        <v>94.351983889106293</v>
      </c>
      <c r="AJ1020">
        <v>65.033886673875898</v>
      </c>
      <c r="AK1020">
        <v>14.5048471492124</v>
      </c>
    </row>
    <row r="1021" spans="1:37" x14ac:dyDescent="0.2">
      <c r="A1021" t="str">
        <f>"20200111154045310"</f>
        <v>20200111154045310</v>
      </c>
      <c r="B1021" t="str">
        <f>"1578728445306813"</f>
        <v>1578728445306813</v>
      </c>
      <c r="C1021" t="s">
        <v>37</v>
      </c>
      <c r="D1021">
        <v>6.021414</v>
      </c>
      <c r="E1021">
        <v>0.61387029999999998</v>
      </c>
      <c r="F1021" t="s">
        <v>43</v>
      </c>
      <c r="G1021">
        <v>-201.61680000000001</v>
      </c>
      <c r="H1021" s="1">
        <v>2.7046299999999901E-6</v>
      </c>
      <c r="I1021">
        <v>287.2396</v>
      </c>
      <c r="J1021">
        <v>-193.29560000000001</v>
      </c>
      <c r="K1021">
        <v>1.100257</v>
      </c>
      <c r="L1021">
        <v>299.80700000000002</v>
      </c>
      <c r="M1021">
        <v>-0.14693789999999901</v>
      </c>
      <c r="N1021">
        <v>0</v>
      </c>
      <c r="O1021">
        <v>-0.9890409</v>
      </c>
      <c r="P1021">
        <v>-0.29114719999999999</v>
      </c>
      <c r="Q1021">
        <v>2.9287069999999998E-2</v>
      </c>
      <c r="R1021">
        <v>-0.95623019999999903</v>
      </c>
      <c r="S1021">
        <v>-1.709625</v>
      </c>
      <c r="T1021">
        <v>-0.2245656</v>
      </c>
      <c r="U1021">
        <v>-2.6359560000000002</v>
      </c>
      <c r="V1021">
        <v>0.148509</v>
      </c>
      <c r="W1021">
        <v>3.9826649999999998E-2</v>
      </c>
      <c r="X1021">
        <v>0.98810880000000001</v>
      </c>
      <c r="Y1021">
        <v>0.41350720000000002</v>
      </c>
      <c r="Z1021">
        <v>7.2793499999999997E-2</v>
      </c>
      <c r="AA1021">
        <v>0.90758629999999996</v>
      </c>
      <c r="AB1021">
        <v>36</v>
      </c>
      <c r="AC1021">
        <v>-8.3211999999999993</v>
      </c>
      <c r="AD1021">
        <v>-1.1002542953700001</v>
      </c>
      <c r="AE1021">
        <v>-12.567399999999999</v>
      </c>
      <c r="AF1021">
        <v>6.3502040370989503</v>
      </c>
      <c r="AG1021">
        <v>-1.1002542953700001</v>
      </c>
      <c r="AH1021">
        <v>13.581418077955799</v>
      </c>
      <c r="AI1021">
        <v>94.197193984748097</v>
      </c>
      <c r="AJ1021">
        <v>64.940826270996695</v>
      </c>
      <c r="AK1021">
        <v>15.0329826659746</v>
      </c>
    </row>
    <row r="1022" spans="1:37" x14ac:dyDescent="0.2">
      <c r="A1022" t="str">
        <f>"20200111154045334"</f>
        <v>20200111154045334</v>
      </c>
      <c r="B1022" t="str">
        <f>"1578728445327310"</f>
        <v>1578728445327310</v>
      </c>
      <c r="C1022" t="s">
        <v>37</v>
      </c>
      <c r="D1022">
        <v>6.0536349999999999</v>
      </c>
      <c r="E1022">
        <v>0.61393469999999895</v>
      </c>
      <c r="F1022" t="s">
        <v>43</v>
      </c>
      <c r="G1022">
        <v>-201.9778</v>
      </c>
      <c r="H1022" s="1">
        <v>2.9004790000000001E-6</v>
      </c>
      <c r="I1022">
        <v>286.83089999999999</v>
      </c>
      <c r="J1022">
        <v>-193.35990000000001</v>
      </c>
      <c r="K1022">
        <v>1.099834</v>
      </c>
      <c r="L1022">
        <v>299.44619999999998</v>
      </c>
      <c r="M1022">
        <v>-0.1592056</v>
      </c>
      <c r="N1022">
        <v>0</v>
      </c>
      <c r="O1022">
        <v>-0.98713919999999999</v>
      </c>
      <c r="P1022">
        <v>-0.3045505</v>
      </c>
      <c r="Q1022">
        <v>2.999044E-2</v>
      </c>
      <c r="R1022">
        <v>-0.95202430000000005</v>
      </c>
      <c r="S1022">
        <v>-1.747681</v>
      </c>
      <c r="T1022">
        <v>-0.22147329999999901</v>
      </c>
      <c r="U1022">
        <v>-2.6120000000000001</v>
      </c>
      <c r="V1022">
        <v>0.15018580000000001</v>
      </c>
      <c r="W1022">
        <v>4.0408399999999997E-2</v>
      </c>
      <c r="X1022">
        <v>0.98783169999999898</v>
      </c>
      <c r="Y1022">
        <v>0.41523290000000002</v>
      </c>
      <c r="Z1022">
        <v>7.1839650000000005E-2</v>
      </c>
      <c r="AA1022">
        <v>0.90687419999999996</v>
      </c>
      <c r="AB1022">
        <v>36</v>
      </c>
      <c r="AC1022">
        <v>-8.6178999999999899</v>
      </c>
      <c r="AD1022">
        <v>-1.0998310995209899</v>
      </c>
      <c r="AE1022">
        <v>-12.6152999999999</v>
      </c>
      <c r="AF1022">
        <v>6.4658142590935004</v>
      </c>
      <c r="AG1022">
        <v>-1.0998310995209899</v>
      </c>
      <c r="AH1022">
        <v>13.7552412027452</v>
      </c>
      <c r="AI1022">
        <v>94.138793210449094</v>
      </c>
      <c r="AJ1022">
        <v>64.823572526865405</v>
      </c>
      <c r="AK1022">
        <v>15.238866198844001</v>
      </c>
    </row>
    <row r="1023" spans="1:37" x14ac:dyDescent="0.2">
      <c r="A1023" t="str">
        <f>"20200111154045355"</f>
        <v>20200111154045355</v>
      </c>
      <c r="B1023" t="str">
        <f>"1578728445346828"</f>
        <v>1578728445346828</v>
      </c>
      <c r="C1023" t="s">
        <v>37</v>
      </c>
      <c r="D1023">
        <v>6.0477210000000001</v>
      </c>
      <c r="E1023">
        <v>0.61391119999999899</v>
      </c>
      <c r="F1023" t="s">
        <v>43</v>
      </c>
      <c r="G1023">
        <v>-202.3142</v>
      </c>
      <c r="H1023" s="1">
        <v>3.0813389999999899E-6</v>
      </c>
      <c r="I1023">
        <v>286.46850000000001</v>
      </c>
      <c r="J1023">
        <v>-193.42830000000001</v>
      </c>
      <c r="K1023">
        <v>1.0994189999999999</v>
      </c>
      <c r="L1023">
        <v>299.08940000000001</v>
      </c>
      <c r="M1023">
        <v>-0.171797799999999</v>
      </c>
      <c r="N1023">
        <v>0</v>
      </c>
      <c r="O1023">
        <v>-0.98502449999999997</v>
      </c>
      <c r="P1023">
        <v>-0.31827139999999998</v>
      </c>
      <c r="Q1023">
        <v>3.1276360000000003E-2</v>
      </c>
      <c r="R1023">
        <v>-0.94748369999999904</v>
      </c>
      <c r="S1023">
        <v>-1.785004</v>
      </c>
      <c r="T1023">
        <v>-0.21924569999999999</v>
      </c>
      <c r="U1023">
        <v>-2.5870359999999999</v>
      </c>
      <c r="V1023">
        <v>0.15192639999999999</v>
      </c>
      <c r="W1023">
        <v>4.1574720000000003E-2</v>
      </c>
      <c r="X1023">
        <v>0.98751710000000004</v>
      </c>
      <c r="Y1023">
        <v>0.41660589999999997</v>
      </c>
      <c r="Z1023">
        <v>7.1166670000000001E-2</v>
      </c>
      <c r="AA1023">
        <v>0.90629729999999997</v>
      </c>
      <c r="AB1023">
        <v>36</v>
      </c>
      <c r="AC1023">
        <v>-8.8858999999999906</v>
      </c>
      <c r="AD1023">
        <v>-1.099415918661</v>
      </c>
      <c r="AE1023">
        <v>-12.620900000000001</v>
      </c>
      <c r="AF1023">
        <v>6.5520442098769696</v>
      </c>
      <c r="AG1023">
        <v>-1.099415918661</v>
      </c>
      <c r="AH1023">
        <v>13.889488642171401</v>
      </c>
      <c r="AI1023">
        <v>94.094765493617302</v>
      </c>
      <c r="AJ1023">
        <v>64.745491530739599</v>
      </c>
      <c r="AK1023">
        <v>15.396619545581901</v>
      </c>
    </row>
    <row r="1024" spans="1:37" x14ac:dyDescent="0.2">
      <c r="A1024" t="str">
        <f>"20200111154045379"</f>
        <v>20200111154045379</v>
      </c>
      <c r="B1024" t="str">
        <f>"1578728445377085"</f>
        <v>1578728445377085</v>
      </c>
      <c r="C1024" t="s">
        <v>37</v>
      </c>
      <c r="D1024">
        <v>6.1358569999999997</v>
      </c>
      <c r="E1024">
        <v>0.61417469999999996</v>
      </c>
      <c r="F1024" t="s">
        <v>43</v>
      </c>
      <c r="G1024">
        <v>-202.66139999999999</v>
      </c>
      <c r="H1024" s="1">
        <v>3.2666510000000001E-6</v>
      </c>
      <c r="I1024">
        <v>286.1096</v>
      </c>
      <c r="J1024">
        <v>-193.5034</v>
      </c>
      <c r="K1024">
        <v>1.0989990000000001</v>
      </c>
      <c r="L1024">
        <v>298.7251</v>
      </c>
      <c r="M1024">
        <v>-0.185121799999999</v>
      </c>
      <c r="N1024">
        <v>0</v>
      </c>
      <c r="O1024">
        <v>-0.98260630000000004</v>
      </c>
      <c r="P1024">
        <v>-0.33242769999999999</v>
      </c>
      <c r="Q1024">
        <v>3.266881E-2</v>
      </c>
      <c r="R1024">
        <v>-0.94256289999999998</v>
      </c>
      <c r="S1024">
        <v>-1.8220209999999999</v>
      </c>
      <c r="T1024">
        <v>-0.21695599999999901</v>
      </c>
      <c r="U1024">
        <v>-2.561401</v>
      </c>
      <c r="V1024">
        <v>0.15343689999999999</v>
      </c>
      <c r="W1024">
        <v>4.2856270000000002E-2</v>
      </c>
      <c r="X1024">
        <v>0.98722869999999996</v>
      </c>
      <c r="Y1024">
        <v>0.41731289999999999</v>
      </c>
      <c r="Z1024">
        <v>7.0461120000000002E-2</v>
      </c>
      <c r="AA1024">
        <v>0.90602709999999997</v>
      </c>
      <c r="AB1024">
        <v>36</v>
      </c>
      <c r="AC1024">
        <v>-9.1579999999999799</v>
      </c>
      <c r="AD1024">
        <v>-1.0989957333489999</v>
      </c>
      <c r="AE1024">
        <v>-12.6154999999999</v>
      </c>
      <c r="AF1024">
        <v>6.63106417918031</v>
      </c>
      <c r="AG1024">
        <v>-1.0989957333489999</v>
      </c>
      <c r="AH1024">
        <v>14.023234227037999</v>
      </c>
      <c r="AI1024">
        <v>94.052525985941898</v>
      </c>
      <c r="AJ1024">
        <v>64.692280312744202</v>
      </c>
      <c r="AK1024">
        <v>15.550881066894499</v>
      </c>
    </row>
    <row r="1025" spans="1:37" x14ac:dyDescent="0.2">
      <c r="A1025" t="str">
        <f>"20200111154045400"</f>
        <v>20200111154045400</v>
      </c>
      <c r="B1025" t="str">
        <f>"1578728445397581"</f>
        <v>1578728445397581</v>
      </c>
      <c r="C1025" t="s">
        <v>37</v>
      </c>
      <c r="D1025">
        <v>5.8029729999999997</v>
      </c>
      <c r="E1025">
        <v>0.64796209999999999</v>
      </c>
      <c r="F1025" t="s">
        <v>43</v>
      </c>
      <c r="G1025">
        <v>-203.0111</v>
      </c>
      <c r="H1025" s="1">
        <v>3.4498099999999998E-6</v>
      </c>
      <c r="I1025">
        <v>285.78859999999997</v>
      </c>
      <c r="J1025">
        <v>-193.5771</v>
      </c>
      <c r="K1025">
        <v>1.098617</v>
      </c>
      <c r="L1025">
        <v>298.39080000000001</v>
      </c>
      <c r="M1025">
        <v>-0.19776450000000001</v>
      </c>
      <c r="N1025">
        <v>0</v>
      </c>
      <c r="O1025">
        <v>-0.98013869999999903</v>
      </c>
      <c r="P1025">
        <v>-0.34586420000000001</v>
      </c>
      <c r="Q1025">
        <v>3.327509E-2</v>
      </c>
      <c r="R1025">
        <v>-0.93769439999999904</v>
      </c>
      <c r="S1025">
        <v>-1.862015</v>
      </c>
      <c r="T1025">
        <v>-0.21522949999999999</v>
      </c>
      <c r="U1025">
        <v>-2.5335079999999999</v>
      </c>
      <c r="V1025">
        <v>0.15489149999999999</v>
      </c>
      <c r="W1025">
        <v>4.3362190000000002E-2</v>
      </c>
      <c r="X1025">
        <v>0.98697939999999995</v>
      </c>
      <c r="Y1025">
        <v>0.4196838</v>
      </c>
      <c r="Z1025">
        <v>6.992408E-2</v>
      </c>
      <c r="AA1025">
        <v>0.90497299999999903</v>
      </c>
      <c r="AB1025">
        <v>35</v>
      </c>
      <c r="AC1025">
        <v>-9.4339999999999904</v>
      </c>
      <c r="AD1025">
        <v>-1.0986135501899901</v>
      </c>
      <c r="AE1025">
        <v>-12.6022</v>
      </c>
      <c r="AF1025">
        <v>6.7223545256684796</v>
      </c>
      <c r="AG1025">
        <v>-1.0986135501899901</v>
      </c>
      <c r="AH1025">
        <v>14.1502426849715</v>
      </c>
      <c r="AI1025">
        <v>94.011462105577294</v>
      </c>
      <c r="AJ1025">
        <v>64.589013789376395</v>
      </c>
      <c r="AK1025">
        <v>15.7043423977263</v>
      </c>
    </row>
    <row r="1026" spans="1:37" x14ac:dyDescent="0.2">
      <c r="A1026" t="str">
        <f>"20200111154045421"</f>
        <v>20200111154045421</v>
      </c>
      <c r="B1026" t="str">
        <f>"1578728445417101"</f>
        <v>1578728445417101</v>
      </c>
      <c r="C1026" t="s">
        <v>37</v>
      </c>
      <c r="D1026">
        <v>5.7954220000000003</v>
      </c>
      <c r="E1026">
        <v>0.64891279999999996</v>
      </c>
      <c r="F1026" t="s">
        <v>43</v>
      </c>
      <c r="G1026">
        <v>-201.0076</v>
      </c>
      <c r="H1026" s="1">
        <v>2.1692829999999999E-6</v>
      </c>
      <c r="I1026">
        <v>290.05059999999997</v>
      </c>
      <c r="J1026">
        <v>-193.6568</v>
      </c>
      <c r="K1026">
        <v>1.098231</v>
      </c>
      <c r="L1026">
        <v>298.05110000000002</v>
      </c>
      <c r="M1026">
        <v>-0.2110013</v>
      </c>
      <c r="N1026">
        <v>0</v>
      </c>
      <c r="O1026">
        <v>-0.97737319999999905</v>
      </c>
      <c r="P1026">
        <v>-0.36024669999999998</v>
      </c>
      <c r="Q1026">
        <v>3.4043360000000002E-2</v>
      </c>
      <c r="R1026">
        <v>-0.93223609999999901</v>
      </c>
      <c r="S1026">
        <v>-2.153</v>
      </c>
      <c r="T1026">
        <v>-0.3183223</v>
      </c>
      <c r="U1026">
        <v>-2.4165649999999999</v>
      </c>
      <c r="V1026">
        <v>0.1567963</v>
      </c>
      <c r="W1026">
        <v>4.4018170000000002E-2</v>
      </c>
      <c r="X1026">
        <v>0.98664959999999902</v>
      </c>
      <c r="Y1026">
        <v>0.48924989999999902</v>
      </c>
      <c r="Z1026">
        <v>0.1011034</v>
      </c>
      <c r="AA1026">
        <v>0.86626360000000002</v>
      </c>
      <c r="AB1026">
        <v>35</v>
      </c>
      <c r="AC1026">
        <v>-7.3507999999999898</v>
      </c>
      <c r="AD1026">
        <v>-1.0982288307170001</v>
      </c>
      <c r="AE1026">
        <v>-8.0005000000000397</v>
      </c>
      <c r="AF1026">
        <v>5.4413663247263901</v>
      </c>
      <c r="AG1026">
        <v>-1.0982288307170001</v>
      </c>
      <c r="AH1026">
        <v>9.2767479997712705</v>
      </c>
      <c r="AI1026">
        <v>95.830541442503005</v>
      </c>
      <c r="AJ1026">
        <v>59.605832883351503</v>
      </c>
      <c r="AK1026">
        <v>10.810764426984001</v>
      </c>
    </row>
    <row r="1027" spans="1:37" x14ac:dyDescent="0.2">
      <c r="A1027" t="str">
        <f>"20200111154045445"</f>
        <v>20200111154045445</v>
      </c>
      <c r="B1027" t="str">
        <f>"1578728445437596"</f>
        <v>1578728445437596</v>
      </c>
      <c r="C1027" t="s">
        <v>37</v>
      </c>
      <c r="D1027">
        <v>5.7462179999999998</v>
      </c>
      <c r="E1027">
        <v>0.64935279999999995</v>
      </c>
      <c r="F1027" t="s">
        <v>43</v>
      </c>
      <c r="G1027">
        <v>-201.32810000000001</v>
      </c>
      <c r="H1027" s="1">
        <v>2.3529559999999998E-6</v>
      </c>
      <c r="I1027">
        <v>289.7364</v>
      </c>
      <c r="J1027">
        <v>-193.74770000000001</v>
      </c>
      <c r="K1027">
        <v>1.097842</v>
      </c>
      <c r="L1027">
        <v>297.68939999999998</v>
      </c>
      <c r="M1027">
        <v>-0.22552990000000001</v>
      </c>
      <c r="N1027">
        <v>0</v>
      </c>
      <c r="O1027">
        <v>-0.97412199999999904</v>
      </c>
      <c r="P1027">
        <v>-0.37615909999999902</v>
      </c>
      <c r="Q1027">
        <v>3.4945850000000001E-2</v>
      </c>
      <c r="R1027">
        <v>-0.92589630000000001</v>
      </c>
      <c r="S1027">
        <v>-2.1964570000000001</v>
      </c>
      <c r="T1027">
        <v>-0.3144478</v>
      </c>
      <c r="U1027">
        <v>-2.3807070000000001</v>
      </c>
      <c r="V1027">
        <v>0.159082</v>
      </c>
      <c r="W1027">
        <v>4.4797030000000002E-2</v>
      </c>
      <c r="X1027">
        <v>0.98624859999999903</v>
      </c>
      <c r="Y1027">
        <v>0.49142659999999899</v>
      </c>
      <c r="Z1027">
        <v>9.9888420000000006E-2</v>
      </c>
      <c r="AA1027">
        <v>0.86517180000000005</v>
      </c>
      <c r="AB1027">
        <v>35</v>
      </c>
      <c r="AC1027">
        <v>-7.5803999999999903</v>
      </c>
      <c r="AD1027">
        <v>-1.0978396470439999</v>
      </c>
      <c r="AE1027">
        <v>-7.9529999999999701</v>
      </c>
      <c r="AF1027">
        <v>5.5359439739756002</v>
      </c>
      <c r="AG1027">
        <v>-1.0978396470439999</v>
      </c>
      <c r="AH1027">
        <v>9.3643537106099508</v>
      </c>
      <c r="AI1027">
        <v>95.7627776680051</v>
      </c>
      <c r="AJ1027">
        <v>59.409608181073096</v>
      </c>
      <c r="AK1027">
        <v>10.9335743465269</v>
      </c>
    </row>
    <row r="1028" spans="1:37" x14ac:dyDescent="0.2">
      <c r="A1028" t="str">
        <f>"20200111154045466"</f>
        <v>20200111154045466</v>
      </c>
      <c r="B1028" t="str">
        <f>"1578728445457117"</f>
        <v>1578728445457117</v>
      </c>
      <c r="C1028" t="s">
        <v>37</v>
      </c>
      <c r="D1028">
        <v>5.7413349999999896</v>
      </c>
      <c r="E1028">
        <v>0.6494974</v>
      </c>
      <c r="F1028" t="s">
        <v>43</v>
      </c>
      <c r="G1028">
        <v>-201.9709</v>
      </c>
      <c r="H1028" s="1">
        <v>2.6998730000000001E-6</v>
      </c>
      <c r="I1028">
        <v>289.09039999999999</v>
      </c>
      <c r="J1028">
        <v>-193.8391</v>
      </c>
      <c r="K1028">
        <v>1.097483</v>
      </c>
      <c r="L1028">
        <v>297.34739999999999</v>
      </c>
      <c r="M1028">
        <v>-0.23962910000000001</v>
      </c>
      <c r="N1028">
        <v>0</v>
      </c>
      <c r="O1028">
        <v>-0.97074850000000001</v>
      </c>
      <c r="P1028">
        <v>-0.39185520000000001</v>
      </c>
      <c r="Q1028">
        <v>3.3582229999999998E-2</v>
      </c>
      <c r="R1028">
        <v>-0.91941419999999996</v>
      </c>
      <c r="S1028">
        <v>-2.2393040000000002</v>
      </c>
      <c r="T1028">
        <v>-0.29895759999999899</v>
      </c>
      <c r="U1028">
        <v>-2.3416440000000001</v>
      </c>
      <c r="V1028">
        <v>0.1615444</v>
      </c>
      <c r="W1028">
        <v>4.3310269999999998E-2</v>
      </c>
      <c r="X1028">
        <v>0.98591459999999997</v>
      </c>
      <c r="Y1028">
        <v>0.4946314</v>
      </c>
      <c r="Z1028">
        <v>9.505893E-2</v>
      </c>
      <c r="AA1028">
        <v>0.86388869999999895</v>
      </c>
      <c r="AB1028">
        <v>35</v>
      </c>
      <c r="AC1028">
        <v>-8.1317999999999895</v>
      </c>
      <c r="AD1028">
        <v>-1.0974803001269999</v>
      </c>
      <c r="AE1028">
        <v>-8.2569999999999997</v>
      </c>
      <c r="AF1028">
        <v>5.8633975384630004</v>
      </c>
      <c r="AG1028">
        <v>-1.0974803001269999</v>
      </c>
      <c r="AH1028">
        <v>9.8766333241590392</v>
      </c>
      <c r="AI1028">
        <v>95.458025180120202</v>
      </c>
      <c r="AJ1028">
        <v>59.303938306008199</v>
      </c>
      <c r="AK1028">
        <v>11.5382745470503</v>
      </c>
    </row>
    <row r="1029" spans="1:37" x14ac:dyDescent="0.2">
      <c r="A1029" t="str">
        <f>"20200111154045491"</f>
        <v>20200111154045491</v>
      </c>
      <c r="B1029" t="str">
        <f>"1578728445487373"</f>
        <v>1578728445487373</v>
      </c>
      <c r="C1029" t="s">
        <v>37</v>
      </c>
      <c r="D1029">
        <v>5.8308689999999999</v>
      </c>
      <c r="E1029">
        <v>0.64880680000000002</v>
      </c>
      <c r="F1029" t="s">
        <v>43</v>
      </c>
      <c r="G1029">
        <v>-202.33080000000001</v>
      </c>
      <c r="H1029" s="1">
        <v>2.887826E-6</v>
      </c>
      <c r="I1029">
        <v>288.76609999999999</v>
      </c>
      <c r="J1029">
        <v>-193.94290000000001</v>
      </c>
      <c r="K1029">
        <v>1.0971249999999999</v>
      </c>
      <c r="L1029">
        <v>296.9821</v>
      </c>
      <c r="M1029">
        <v>-0.2550346</v>
      </c>
      <c r="N1029">
        <v>0</v>
      </c>
      <c r="O1029">
        <v>-0.9668139</v>
      </c>
      <c r="P1029">
        <v>-0.40779779999999999</v>
      </c>
      <c r="Q1029">
        <v>3.0661560000000001E-2</v>
      </c>
      <c r="R1029">
        <v>-0.91255769999999903</v>
      </c>
      <c r="S1029">
        <v>-2.2785340000000001</v>
      </c>
      <c r="T1029">
        <v>-0.29448009999999902</v>
      </c>
      <c r="U1029">
        <v>-2.3025820000000001</v>
      </c>
      <c r="V1029">
        <v>0.162943</v>
      </c>
      <c r="W1029">
        <v>4.0305479999999998E-2</v>
      </c>
      <c r="X1029">
        <v>0.98581189999999996</v>
      </c>
      <c r="Y1029">
        <v>0.4956853</v>
      </c>
      <c r="Z1029">
        <v>9.3695420000000001E-2</v>
      </c>
      <c r="AA1029">
        <v>0.86343340000000002</v>
      </c>
      <c r="AB1029">
        <v>35</v>
      </c>
      <c r="AC1029">
        <v>-8.3879000000000001</v>
      </c>
      <c r="AD1029">
        <v>-1.09712211217399</v>
      </c>
      <c r="AE1029">
        <v>-8.2159999999999993</v>
      </c>
      <c r="AF1029">
        <v>5.96279818864903</v>
      </c>
      <c r="AG1029">
        <v>-1.09712211217399</v>
      </c>
      <c r="AH1029">
        <v>9.99641794901863</v>
      </c>
      <c r="AI1029">
        <v>95.384600050087997</v>
      </c>
      <c r="AJ1029">
        <v>59.184198834309903</v>
      </c>
      <c r="AK1029">
        <v>11.691322037265</v>
      </c>
    </row>
    <row r="1030" spans="1:37" x14ac:dyDescent="0.2">
      <c r="A1030" t="str">
        <f>"20200111154045512"</f>
        <v>20200111154045512</v>
      </c>
      <c r="B1030" t="str">
        <f>"1578728445506893"</f>
        <v>1578728445506893</v>
      </c>
      <c r="C1030" t="s">
        <v>37</v>
      </c>
      <c r="D1030">
        <v>5.8080699999999998</v>
      </c>
      <c r="E1030">
        <v>0.64835229999999999</v>
      </c>
      <c r="F1030" t="s">
        <v>43</v>
      </c>
      <c r="G1030">
        <v>-202.4547</v>
      </c>
      <c r="H1030" s="1">
        <v>2.9528269999999899E-6</v>
      </c>
      <c r="I1030">
        <v>288.6508</v>
      </c>
      <c r="J1030">
        <v>-194.04230000000001</v>
      </c>
      <c r="K1030">
        <v>1.096819</v>
      </c>
      <c r="L1030">
        <v>296.6515</v>
      </c>
      <c r="M1030">
        <v>-0.26924789999999998</v>
      </c>
      <c r="N1030">
        <v>0</v>
      </c>
      <c r="O1030">
        <v>-0.96295109999999995</v>
      </c>
      <c r="P1030">
        <v>-0.42334769999999999</v>
      </c>
      <c r="Q1030">
        <v>2.7431250000000001E-2</v>
      </c>
      <c r="R1030">
        <v>-0.90555209999999997</v>
      </c>
      <c r="S1030">
        <v>-2.3129119999999999</v>
      </c>
      <c r="T1030">
        <v>-0.29812109999999897</v>
      </c>
      <c r="U1030">
        <v>-2.263855</v>
      </c>
      <c r="V1030">
        <v>0.16517850000000001</v>
      </c>
      <c r="W1030">
        <v>3.6967260000000002E-2</v>
      </c>
      <c r="X1030">
        <v>0.98557059999999996</v>
      </c>
      <c r="Y1030">
        <v>0.49661149999999998</v>
      </c>
      <c r="Z1030">
        <v>9.4938789999999995E-2</v>
      </c>
      <c r="AA1030">
        <v>0.86276509999999995</v>
      </c>
      <c r="AB1030">
        <v>35</v>
      </c>
      <c r="AC1030">
        <v>-8.4123999999999892</v>
      </c>
      <c r="AD1030">
        <v>-1.096816047173</v>
      </c>
      <c r="AE1030">
        <v>-8.0006999999999895</v>
      </c>
      <c r="AF1030">
        <v>5.8946305418553004</v>
      </c>
      <c r="AG1030">
        <v>-1.096816047173</v>
      </c>
      <c r="AH1030">
        <v>9.8822481284364692</v>
      </c>
      <c r="AI1030">
        <v>95.444942154954703</v>
      </c>
      <c r="AJ1030">
        <v>59.184481467714498</v>
      </c>
      <c r="AK1030">
        <v>11.5589144273281</v>
      </c>
    </row>
    <row r="1031" spans="1:37" x14ac:dyDescent="0.2">
      <c r="A1031" t="str">
        <f>"20200111154045535"</f>
        <v>20200111154045535</v>
      </c>
      <c r="B1031" t="str">
        <f>"1578728445527388"</f>
        <v>1578728445527388</v>
      </c>
      <c r="C1031" t="s">
        <v>37</v>
      </c>
      <c r="D1031">
        <v>6.1343500000000004</v>
      </c>
      <c r="E1031">
        <v>0.64790559999999997</v>
      </c>
      <c r="F1031" t="s">
        <v>43</v>
      </c>
      <c r="G1031">
        <v>-202.53280000000001</v>
      </c>
      <c r="H1031" s="1">
        <v>2.991291E-6</v>
      </c>
      <c r="I1031">
        <v>288.6071</v>
      </c>
      <c r="J1031">
        <v>-194.14830000000001</v>
      </c>
      <c r="K1031">
        <v>1.0965309999999999</v>
      </c>
      <c r="L1031">
        <v>296.31709999999998</v>
      </c>
      <c r="M1031">
        <v>-0.28387299999999999</v>
      </c>
      <c r="N1031">
        <v>0</v>
      </c>
      <c r="O1031">
        <v>-0.95874040000000005</v>
      </c>
      <c r="P1031">
        <v>-0.44022869999999997</v>
      </c>
      <c r="Q1031">
        <v>2.3400480000000001E-2</v>
      </c>
      <c r="R1031">
        <v>-0.89758079999999996</v>
      </c>
      <c r="S1031">
        <v>-2.347839</v>
      </c>
      <c r="T1031">
        <v>-0.30329590000000001</v>
      </c>
      <c r="U1031">
        <v>-2.2244570000000001</v>
      </c>
      <c r="V1031">
        <v>0.168487</v>
      </c>
      <c r="W1031">
        <v>3.2790329999999999E-2</v>
      </c>
      <c r="X1031">
        <v>0.98515830000000004</v>
      </c>
      <c r="Y1031">
        <v>0.49732779999999999</v>
      </c>
      <c r="Z1031">
        <v>9.6622849999999996E-2</v>
      </c>
      <c r="AA1031">
        <v>0.86216539999999997</v>
      </c>
      <c r="AB1031">
        <v>35</v>
      </c>
      <c r="AC1031">
        <v>-8.3844999999999992</v>
      </c>
      <c r="AD1031">
        <v>-1.0965280087089999</v>
      </c>
      <c r="AE1031">
        <v>-7.7099999999999698</v>
      </c>
      <c r="AF1031">
        <v>5.7968584627261004</v>
      </c>
      <c r="AG1031">
        <v>-1.0965280087089999</v>
      </c>
      <c r="AH1031">
        <v>9.68342112858533</v>
      </c>
      <c r="AI1031">
        <v>95.549374262480896</v>
      </c>
      <c r="AJ1031">
        <v>59.093681485454198</v>
      </c>
      <c r="AK1031">
        <v>11.339073439408301</v>
      </c>
    </row>
    <row r="1032" spans="1:37" x14ac:dyDescent="0.2">
      <c r="A1032" t="str">
        <f>"20200111154045558"</f>
        <v>20200111154045558</v>
      </c>
      <c r="B1032" t="str">
        <f>"1578728445546909"</f>
        <v>1578728445546909</v>
      </c>
      <c r="C1032" t="s">
        <v>37</v>
      </c>
      <c r="D1032">
        <v>6.1319749999999997</v>
      </c>
      <c r="E1032">
        <v>0.612904</v>
      </c>
      <c r="F1032" t="s">
        <v>43</v>
      </c>
      <c r="G1032">
        <v>-202.41569999999999</v>
      </c>
      <c r="H1032" s="1">
        <v>2.9263039999999999E-6</v>
      </c>
      <c r="I1032">
        <v>288.75630000000001</v>
      </c>
      <c r="J1032">
        <v>-194.2688</v>
      </c>
      <c r="K1032">
        <v>1.0962479999999999</v>
      </c>
      <c r="L1032">
        <v>295.95690000000002</v>
      </c>
      <c r="M1032">
        <v>-0.29987509999999901</v>
      </c>
      <c r="N1032">
        <v>0</v>
      </c>
      <c r="O1032">
        <v>-0.95385499999999901</v>
      </c>
      <c r="P1032">
        <v>-0.45827669999999998</v>
      </c>
      <c r="Q1032">
        <v>1.995572E-2</v>
      </c>
      <c r="R1032">
        <v>-0.88858590000000004</v>
      </c>
      <c r="S1032">
        <v>-2.3847499999999999</v>
      </c>
      <c r="T1032">
        <v>-0.31629609999999903</v>
      </c>
      <c r="U1032">
        <v>-2.1809080000000001</v>
      </c>
      <c r="V1032">
        <v>0.1717882</v>
      </c>
      <c r="W1032">
        <v>2.919909E-2</v>
      </c>
      <c r="X1032">
        <v>0.9847011</v>
      </c>
      <c r="Y1032">
        <v>0.49772939999999999</v>
      </c>
      <c r="Z1032">
        <v>0.10076209999999999</v>
      </c>
      <c r="AA1032">
        <v>0.86145949999999905</v>
      </c>
      <c r="AB1032">
        <v>35</v>
      </c>
      <c r="AC1032">
        <v>-8.1468999999999792</v>
      </c>
      <c r="AD1032">
        <v>-1.0962450736959899</v>
      </c>
      <c r="AE1032">
        <v>-7.2005999999999997</v>
      </c>
      <c r="AF1032">
        <v>5.5558644514751201</v>
      </c>
      <c r="AG1032">
        <v>-1.0962450736959899</v>
      </c>
      <c r="AH1032">
        <v>9.2187657447216207</v>
      </c>
      <c r="AI1032">
        <v>95.8154213765375</v>
      </c>
      <c r="AJ1032">
        <v>58.923932348404101</v>
      </c>
      <c r="AK1032">
        <v>10.8191970552726</v>
      </c>
    </row>
    <row r="1033" spans="1:37" x14ac:dyDescent="0.2">
      <c r="A1033" t="str">
        <f>"20200111154045581"</f>
        <v>20200111154045581</v>
      </c>
      <c r="B1033" t="str">
        <f>"1578728445577164"</f>
        <v>1578728445577164</v>
      </c>
      <c r="C1033" t="s">
        <v>37</v>
      </c>
      <c r="D1033">
        <v>6.1243759999999998</v>
      </c>
      <c r="E1033">
        <v>0.61234180000000005</v>
      </c>
      <c r="F1033" t="s">
        <v>43</v>
      </c>
      <c r="G1033">
        <v>-198.1951</v>
      </c>
      <c r="H1033" s="1">
        <v>1.5179069999999899E-6</v>
      </c>
      <c r="I1033">
        <v>291.8852</v>
      </c>
      <c r="J1033">
        <v>-194.38749999999999</v>
      </c>
      <c r="K1033">
        <v>1.0960019999999999</v>
      </c>
      <c r="L1033">
        <v>295.62040000000002</v>
      </c>
      <c r="M1033">
        <v>-0.31504579999999999</v>
      </c>
      <c r="N1033">
        <v>0</v>
      </c>
      <c r="O1033">
        <v>-0.948951199999999</v>
      </c>
      <c r="P1033">
        <v>-0.4765392</v>
      </c>
      <c r="Q1033">
        <v>1.8101720000000002E-2</v>
      </c>
      <c r="R1033">
        <v>-0.87896700000000005</v>
      </c>
      <c r="S1033">
        <v>-2.1830750000000001</v>
      </c>
      <c r="T1033">
        <v>-0.60953029999999997</v>
      </c>
      <c r="U1033">
        <v>-2.2639469999999999</v>
      </c>
      <c r="V1033">
        <v>0.17637139999999901</v>
      </c>
      <c r="W1033">
        <v>2.7151890000000001E-2</v>
      </c>
      <c r="X1033">
        <v>0.98394910000000002</v>
      </c>
      <c r="Y1033">
        <v>0.41833229999999999</v>
      </c>
      <c r="Z1033">
        <v>0.19405929999999999</v>
      </c>
      <c r="AA1033">
        <v>0.88732129999999998</v>
      </c>
      <c r="AB1033">
        <v>35</v>
      </c>
      <c r="AC1033">
        <v>-3.8075999999999999</v>
      </c>
      <c r="AD1033">
        <v>-1.0960004820930001</v>
      </c>
      <c r="AE1033">
        <v>-3.7352000000000198</v>
      </c>
      <c r="AF1033">
        <v>2.3380388423401102</v>
      </c>
      <c r="AG1033">
        <v>-1.0960004820930001</v>
      </c>
      <c r="AH1033">
        <v>4.5524386197277398</v>
      </c>
      <c r="AI1033">
        <v>102.08774398214599</v>
      </c>
      <c r="AJ1033">
        <v>62.815900243010098</v>
      </c>
      <c r="AK1033">
        <v>5.2337692031104801</v>
      </c>
    </row>
    <row r="1034" spans="1:37" x14ac:dyDescent="0.2">
      <c r="A1034" t="str">
        <f>"20200111154045613"</f>
        <v>20200111154045613</v>
      </c>
      <c r="B1034" t="str">
        <f>"1578728445607420"</f>
        <v>1578728445607420</v>
      </c>
      <c r="C1034" t="s">
        <v>37</v>
      </c>
      <c r="D1034">
        <v>6.1401339999999998</v>
      </c>
      <c r="E1034">
        <v>0.61141420000000002</v>
      </c>
      <c r="F1034" t="s">
        <v>43</v>
      </c>
      <c r="G1034">
        <v>-198.34479999999999</v>
      </c>
      <c r="H1034" s="1">
        <v>1.5420029999999899E-6</v>
      </c>
      <c r="I1034">
        <v>291.67290000000003</v>
      </c>
      <c r="J1034">
        <v>-194.5703</v>
      </c>
      <c r="K1034">
        <v>1.095704</v>
      </c>
      <c r="L1034">
        <v>295.13499999999999</v>
      </c>
      <c r="M1034">
        <v>-0.33728999999999998</v>
      </c>
      <c r="N1034">
        <v>0</v>
      </c>
      <c r="O1034">
        <v>-0.94127269999999896</v>
      </c>
      <c r="P1034">
        <v>-0.50075729999999996</v>
      </c>
      <c r="Q1034">
        <v>1.993176E-2</v>
      </c>
      <c r="R1034">
        <v>-0.86535810000000002</v>
      </c>
      <c r="S1034">
        <v>-2.2250209999999999</v>
      </c>
      <c r="T1034">
        <v>-0.61623969999999995</v>
      </c>
      <c r="U1034">
        <v>-2.2194820000000002</v>
      </c>
      <c r="V1034">
        <v>0.18063109999999999</v>
      </c>
      <c r="W1034">
        <v>2.879872E-2</v>
      </c>
      <c r="X1034">
        <v>0.98312919999999904</v>
      </c>
      <c r="Y1034">
        <v>0.41402369999999999</v>
      </c>
      <c r="Z1034">
        <v>0.19559849999999901</v>
      </c>
      <c r="AA1034">
        <v>0.88900259999999998</v>
      </c>
      <c r="AB1034">
        <v>35</v>
      </c>
      <c r="AC1034">
        <v>-3.7744999999999802</v>
      </c>
      <c r="AD1034">
        <v>-1.0957024579970001</v>
      </c>
      <c r="AE1034">
        <v>-3.46209999999996</v>
      </c>
      <c r="AF1034">
        <v>2.28099885485085</v>
      </c>
      <c r="AG1034">
        <v>-1.0957024579970001</v>
      </c>
      <c r="AH1034">
        <v>4.3340769826328502</v>
      </c>
      <c r="AI1034">
        <v>102.61051008834799</v>
      </c>
      <c r="AJ1034">
        <v>62.242435556215902</v>
      </c>
      <c r="AK1034">
        <v>5.0187391786861602</v>
      </c>
    </row>
    <row r="1035" spans="1:37" x14ac:dyDescent="0.2">
      <c r="A1035" t="str">
        <f>"20200111154045635"</f>
        <v>20200111154045635</v>
      </c>
      <c r="B1035" t="str">
        <f>"1578728445626941"</f>
        <v>1578728445626941</v>
      </c>
      <c r="C1035" t="s">
        <v>37</v>
      </c>
      <c r="D1035">
        <v>6.1481510000000004</v>
      </c>
      <c r="E1035">
        <v>0.61044719999999997</v>
      </c>
      <c r="F1035" t="s">
        <v>43</v>
      </c>
      <c r="G1035">
        <v>-198.62459999999999</v>
      </c>
      <c r="H1035" s="1">
        <v>1.5843799999999999E-6</v>
      </c>
      <c r="I1035">
        <v>291.29140000000001</v>
      </c>
      <c r="J1035">
        <v>-194.70529999999999</v>
      </c>
      <c r="K1035">
        <v>1.0955250000000001</v>
      </c>
      <c r="L1035">
        <v>294.79649999999998</v>
      </c>
      <c r="M1035">
        <v>-0.35301139999999998</v>
      </c>
      <c r="N1035">
        <v>0</v>
      </c>
      <c r="O1035">
        <v>-0.93548909999999996</v>
      </c>
      <c r="P1035">
        <v>-0.51675150000000003</v>
      </c>
      <c r="Q1035">
        <v>2.206727E-2</v>
      </c>
      <c r="R1035">
        <v>-0.85585100000000003</v>
      </c>
      <c r="S1035">
        <v>-2.280106</v>
      </c>
      <c r="T1035">
        <v>-0.61620140000000001</v>
      </c>
      <c r="U1035">
        <v>-2.161591</v>
      </c>
      <c r="V1035">
        <v>0.18253949999999999</v>
      </c>
      <c r="W1035">
        <v>3.085106E-2</v>
      </c>
      <c r="X1035">
        <v>0.98271439999999999</v>
      </c>
      <c r="Y1035">
        <v>0.42143229999999998</v>
      </c>
      <c r="Z1035">
        <v>0.1955065</v>
      </c>
      <c r="AA1035">
        <v>0.88553490000000001</v>
      </c>
      <c r="AB1035">
        <v>35</v>
      </c>
      <c r="AC1035">
        <v>-3.91929999999999</v>
      </c>
      <c r="AD1035">
        <v>-1.09552341562</v>
      </c>
      <c r="AE1035">
        <v>-3.5050999999999699</v>
      </c>
      <c r="AF1035">
        <v>2.3283415632937001</v>
      </c>
      <c r="AG1035">
        <v>-1.09552341562</v>
      </c>
      <c r="AH1035">
        <v>4.4690986678856</v>
      </c>
      <c r="AI1035">
        <v>102.265151394155</v>
      </c>
      <c r="AJ1035">
        <v>62.481079590647703</v>
      </c>
      <c r="AK1035">
        <v>5.1569553898428797</v>
      </c>
    </row>
    <row r="1036" spans="1:37" x14ac:dyDescent="0.2">
      <c r="A1036" t="str">
        <f>"20200111154045658"</f>
        <v>20200111154045658</v>
      </c>
      <c r="B1036" t="str">
        <f>"1578728445647437"</f>
        <v>1578728445647437</v>
      </c>
      <c r="C1036" t="s">
        <v>37</v>
      </c>
      <c r="D1036">
        <v>6.0904699999999998</v>
      </c>
      <c r="E1036">
        <v>0.61039500000000002</v>
      </c>
      <c r="F1036" t="s">
        <v>43</v>
      </c>
      <c r="G1036">
        <v>-198.86599999999899</v>
      </c>
      <c r="H1036" s="1">
        <v>1.6180869999999899E-6</v>
      </c>
      <c r="I1036">
        <v>290.9785</v>
      </c>
      <c r="J1036">
        <v>-194.83789999999999</v>
      </c>
      <c r="K1036">
        <v>1.095372</v>
      </c>
      <c r="L1036">
        <v>294.4794</v>
      </c>
      <c r="M1036">
        <v>-0.36789050000000001</v>
      </c>
      <c r="N1036">
        <v>0</v>
      </c>
      <c r="O1036">
        <v>-0.92973739999999905</v>
      </c>
      <c r="P1036">
        <v>-0.53194169999999996</v>
      </c>
      <c r="Q1036">
        <v>2.402895E-2</v>
      </c>
      <c r="R1036">
        <v>-0.84643999999999997</v>
      </c>
      <c r="S1036">
        <v>-2.31425499999999</v>
      </c>
      <c r="T1036">
        <v>-0.60935589999999995</v>
      </c>
      <c r="U1036">
        <v>-2.123688</v>
      </c>
      <c r="V1036">
        <v>0.18450229999999901</v>
      </c>
      <c r="W1036">
        <v>3.2729330000000001E-2</v>
      </c>
      <c r="X1036">
        <v>0.98228700000000002</v>
      </c>
      <c r="Y1036">
        <v>0.42176229999999998</v>
      </c>
      <c r="Z1036">
        <v>0.19302839999999999</v>
      </c>
      <c r="AA1036">
        <v>0.88592139999999997</v>
      </c>
      <c r="AB1036">
        <v>35</v>
      </c>
      <c r="AC1036">
        <v>-4.0280999999999896</v>
      </c>
      <c r="AD1036">
        <v>-1.0953703819130001</v>
      </c>
      <c r="AE1036">
        <v>-3.5009000000000001</v>
      </c>
      <c r="AF1036">
        <v>2.35809075144136</v>
      </c>
      <c r="AG1036">
        <v>-1.0953703819130001</v>
      </c>
      <c r="AH1036">
        <v>4.5458959147021796</v>
      </c>
      <c r="AI1036">
        <v>102.073252219701</v>
      </c>
      <c r="AJ1036">
        <v>62.582894122515398</v>
      </c>
      <c r="AK1036">
        <v>5.2369454773666897</v>
      </c>
    </row>
    <row r="1037" spans="1:37" x14ac:dyDescent="0.2">
      <c r="A1037" t="str">
        <f>"20200111154045681"</f>
        <v>20200111154045681</v>
      </c>
      <c r="B1037" t="str">
        <f>"1578728445677694"</f>
        <v>1578728445677694</v>
      </c>
      <c r="C1037" t="s">
        <v>37</v>
      </c>
      <c r="D1037">
        <v>6.151707</v>
      </c>
      <c r="E1037">
        <v>0.61094510000000002</v>
      </c>
      <c r="F1037" t="s">
        <v>43</v>
      </c>
      <c r="G1037">
        <v>-199.1294</v>
      </c>
      <c r="H1037" s="1">
        <v>1.647603E-6</v>
      </c>
      <c r="I1037">
        <v>290.6782</v>
      </c>
      <c r="J1037">
        <v>-194.98699999999999</v>
      </c>
      <c r="K1037">
        <v>1.0952139999999999</v>
      </c>
      <c r="L1037">
        <v>294.13839999999999</v>
      </c>
      <c r="M1037">
        <v>-0.38404460000000001</v>
      </c>
      <c r="N1037">
        <v>0</v>
      </c>
      <c r="O1037">
        <v>-0.92318069999999897</v>
      </c>
      <c r="P1037">
        <v>-0.548489</v>
      </c>
      <c r="Q1037">
        <v>2.5559289999999998E-2</v>
      </c>
      <c r="R1037">
        <v>-0.83576709999999999</v>
      </c>
      <c r="S1037">
        <v>-2.3519290000000002</v>
      </c>
      <c r="T1037">
        <v>-0.60031159999999995</v>
      </c>
      <c r="U1037">
        <v>-2.083221</v>
      </c>
      <c r="V1037">
        <v>0.1867858</v>
      </c>
      <c r="W1037">
        <v>3.4161900000000002E-2</v>
      </c>
      <c r="X1037">
        <v>0.98180650000000003</v>
      </c>
      <c r="Y1037">
        <v>0.42209659999999899</v>
      </c>
      <c r="Z1037">
        <v>0.189683399999999</v>
      </c>
      <c r="AA1037">
        <v>0.88648439999999995</v>
      </c>
      <c r="AB1037">
        <v>35</v>
      </c>
      <c r="AC1037">
        <v>-4.1424000000000003</v>
      </c>
      <c r="AD1037">
        <v>-1.0952123523970001</v>
      </c>
      <c r="AE1037">
        <v>-3.46019999999998</v>
      </c>
      <c r="AF1037">
        <v>2.3969306028431698</v>
      </c>
      <c r="AG1037">
        <v>-1.0952123523970001</v>
      </c>
      <c r="AH1037">
        <v>4.5965892286023999</v>
      </c>
      <c r="AI1037">
        <v>101.92932226024701</v>
      </c>
      <c r="AJ1037">
        <v>62.4598276797729</v>
      </c>
      <c r="AK1037">
        <v>5.2984336315738396</v>
      </c>
    </row>
    <row r="1038" spans="1:37" x14ac:dyDescent="0.2">
      <c r="A1038" t="str">
        <f>"20200111154045703"</f>
        <v>20200111154045703</v>
      </c>
      <c r="B1038" t="str">
        <f>"1578728445697212"</f>
        <v>1578728445697212</v>
      </c>
      <c r="C1038" t="s">
        <v>37</v>
      </c>
      <c r="D1038">
        <v>6.1070099999999998</v>
      </c>
      <c r="E1038">
        <v>0.61151309999999903</v>
      </c>
      <c r="F1038" t="s">
        <v>43</v>
      </c>
      <c r="G1038">
        <v>-199.42590000000001</v>
      </c>
      <c r="H1038" s="1">
        <v>1.676172E-6</v>
      </c>
      <c r="I1038">
        <v>290.36669999999998</v>
      </c>
      <c r="J1038">
        <v>-195.12719999999999</v>
      </c>
      <c r="K1038">
        <v>1.095073</v>
      </c>
      <c r="L1038">
        <v>293.83229999999998</v>
      </c>
      <c r="M1038">
        <v>-0.3986886</v>
      </c>
      <c r="N1038">
        <v>0</v>
      </c>
      <c r="O1038">
        <v>-0.91695090000000001</v>
      </c>
      <c r="P1038">
        <v>-0.56337399999999904</v>
      </c>
      <c r="Q1038">
        <v>2.500749E-2</v>
      </c>
      <c r="R1038">
        <v>-0.8258238</v>
      </c>
      <c r="S1038">
        <v>-2.3955229999999998</v>
      </c>
      <c r="T1038">
        <v>-0.59105779999999997</v>
      </c>
      <c r="U1038">
        <v>-2.0354919999999899</v>
      </c>
      <c r="V1038">
        <v>0.1887345</v>
      </c>
      <c r="W1038">
        <v>3.3526159999999999E-2</v>
      </c>
      <c r="X1038">
        <v>0.98145569999999904</v>
      </c>
      <c r="Y1038">
        <v>0.42643609999999998</v>
      </c>
      <c r="Z1038">
        <v>0.18641350000000001</v>
      </c>
      <c r="AA1038">
        <v>0.88510009999999995</v>
      </c>
      <c r="AB1038">
        <v>35</v>
      </c>
      <c r="AC1038">
        <v>-4.2987000000000197</v>
      </c>
      <c r="AD1038">
        <v>-1.0950713238279901</v>
      </c>
      <c r="AE1038">
        <v>-3.46559999999999</v>
      </c>
      <c r="AF1038">
        <v>2.46342970906686</v>
      </c>
      <c r="AG1038">
        <v>-1.0950713238279901</v>
      </c>
      <c r="AH1038">
        <v>4.7070989950353503</v>
      </c>
      <c r="AI1038">
        <v>101.64678049500201</v>
      </c>
      <c r="AJ1038">
        <v>62.374980571597597</v>
      </c>
      <c r="AK1038">
        <v>5.4244306691897597</v>
      </c>
    </row>
    <row r="1039" spans="1:37" x14ac:dyDescent="0.2">
      <c r="A1039" t="str">
        <f>"20200111154045725"</f>
        <v>20200111154045725</v>
      </c>
      <c r="B1039" t="str">
        <f>"1578728445717709"</f>
        <v>1578728445717709</v>
      </c>
      <c r="C1039" t="s">
        <v>37</v>
      </c>
      <c r="D1039">
        <v>6.1378940000000002</v>
      </c>
      <c r="E1039">
        <v>0.61174629999999997</v>
      </c>
      <c r="F1039" t="s">
        <v>43</v>
      </c>
      <c r="G1039">
        <v>-199.69130000000001</v>
      </c>
      <c r="H1039" s="1">
        <v>1.6987229999999999E-6</v>
      </c>
      <c r="I1039">
        <v>290.10489999999999</v>
      </c>
      <c r="J1039">
        <v>-195.2834</v>
      </c>
      <c r="K1039">
        <v>1.094929</v>
      </c>
      <c r="L1039">
        <v>293.5061</v>
      </c>
      <c r="M1039">
        <v>-0.4144526</v>
      </c>
      <c r="N1039">
        <v>0</v>
      </c>
      <c r="O1039">
        <v>-0.90993310000000005</v>
      </c>
      <c r="P1039">
        <v>-0.57842399999999905</v>
      </c>
      <c r="Q1039">
        <v>2.520907E-2</v>
      </c>
      <c r="R1039">
        <v>-0.81534669999999998</v>
      </c>
      <c r="S1039">
        <v>-2.435486</v>
      </c>
      <c r="T1039">
        <v>-0.58434209999999998</v>
      </c>
      <c r="U1039">
        <v>-1.988953</v>
      </c>
      <c r="V1039">
        <v>0.18981989999999899</v>
      </c>
      <c r="W1039">
        <v>3.367962E-2</v>
      </c>
      <c r="X1039">
        <v>0.98124109999999998</v>
      </c>
      <c r="Y1039">
        <v>0.428535</v>
      </c>
      <c r="Z1039">
        <v>0.1837879</v>
      </c>
      <c r="AA1039">
        <v>0.88463539999999996</v>
      </c>
      <c r="AB1039">
        <v>35</v>
      </c>
      <c r="AC1039">
        <v>-4.4079000000000104</v>
      </c>
      <c r="AD1039">
        <v>-1.094927301277</v>
      </c>
      <c r="AE1039">
        <v>-3.40120000000001</v>
      </c>
      <c r="AF1039">
        <v>2.5047121721998402</v>
      </c>
      <c r="AG1039">
        <v>-1.094927301277</v>
      </c>
      <c r="AH1039">
        <v>4.7390599345565398</v>
      </c>
      <c r="AI1039">
        <v>101.544870419719</v>
      </c>
      <c r="AJ1039">
        <v>62.142423673236102</v>
      </c>
      <c r="AK1039">
        <v>5.4709357448216203</v>
      </c>
    </row>
    <row r="1040" spans="1:37" x14ac:dyDescent="0.2">
      <c r="A1040" t="str">
        <f>"20200111154045747"</f>
        <v>20200111154045747</v>
      </c>
      <c r="B1040" t="str">
        <f>"1578728445737228"</f>
        <v>1578728445737228</v>
      </c>
      <c r="C1040" t="s">
        <v>37</v>
      </c>
      <c r="D1040">
        <v>6.1314250000000001</v>
      </c>
      <c r="E1040">
        <v>0.61184479999999997</v>
      </c>
      <c r="F1040" t="s">
        <v>43</v>
      </c>
      <c r="G1040">
        <v>-199.9563</v>
      </c>
      <c r="H1040" s="1">
        <v>1.7223819999999999E-6</v>
      </c>
      <c r="I1040">
        <v>289.8372</v>
      </c>
      <c r="J1040">
        <v>-195.4477</v>
      </c>
      <c r="K1040">
        <v>1.094786</v>
      </c>
      <c r="L1040">
        <v>293.17829999999998</v>
      </c>
      <c r="M1040">
        <v>-0.43044290000000002</v>
      </c>
      <c r="N1040">
        <v>0</v>
      </c>
      <c r="O1040">
        <v>-0.90247790000000006</v>
      </c>
      <c r="P1040">
        <v>-0.59344580000000002</v>
      </c>
      <c r="Q1040">
        <v>2.5930689999999999E-2</v>
      </c>
      <c r="R1040">
        <v>-0.80445630000000001</v>
      </c>
      <c r="S1040">
        <v>-2.4738310000000001</v>
      </c>
      <c r="T1040">
        <v>-0.57965979999999995</v>
      </c>
      <c r="U1040">
        <v>-1.9423220000000001</v>
      </c>
      <c r="V1040">
        <v>0.19075439999999999</v>
      </c>
      <c r="W1040">
        <v>3.4360149999999999E-2</v>
      </c>
      <c r="X1040">
        <v>0.98103619999999903</v>
      </c>
      <c r="Y1040">
        <v>0.42992819999999998</v>
      </c>
      <c r="Z1040">
        <v>0.1817049</v>
      </c>
      <c r="AA1040">
        <v>0.88438969999999995</v>
      </c>
      <c r="AB1040">
        <v>35</v>
      </c>
      <c r="AC1040">
        <v>-4.5086000000000004</v>
      </c>
      <c r="AD1040">
        <v>-1.0947842776179999</v>
      </c>
      <c r="AE1040">
        <v>-3.34109999999998</v>
      </c>
      <c r="AF1040">
        <v>2.5346214733769798</v>
      </c>
      <c r="AG1040">
        <v>-1.0947842776179999</v>
      </c>
      <c r="AH1040">
        <v>4.7748546256416704</v>
      </c>
      <c r="AI1040">
        <v>101.448548212978</v>
      </c>
      <c r="AJ1040">
        <v>62.039433158558801</v>
      </c>
      <c r="AK1040">
        <v>5.5156228409704502</v>
      </c>
    </row>
    <row r="1041" spans="1:37" x14ac:dyDescent="0.2">
      <c r="A1041" t="str">
        <f>"20200111154045770"</f>
        <v>20200111154045770</v>
      </c>
      <c r="B1041" t="str">
        <f>"1578728445767484"</f>
        <v>1578728445767484</v>
      </c>
      <c r="C1041" t="s">
        <v>37</v>
      </c>
      <c r="D1041">
        <v>6.1568209999999999</v>
      </c>
      <c r="E1041">
        <v>0.611869199999999</v>
      </c>
      <c r="F1041" t="s">
        <v>43</v>
      </c>
      <c r="G1041">
        <v>-200.23410000000001</v>
      </c>
      <c r="H1041" s="1">
        <v>1.8882349999999899E-6</v>
      </c>
      <c r="I1041">
        <v>289.56420000000003</v>
      </c>
      <c r="J1041">
        <v>-195.60939999999999</v>
      </c>
      <c r="K1041">
        <v>1.0946559999999901</v>
      </c>
      <c r="L1041">
        <v>292.8691</v>
      </c>
      <c r="M1041">
        <v>-0.44565909999999898</v>
      </c>
      <c r="N1041">
        <v>0</v>
      </c>
      <c r="O1041">
        <v>-0.89506070000000004</v>
      </c>
      <c r="P1041">
        <v>-0.60747799999999996</v>
      </c>
      <c r="Q1041">
        <v>2.5771769999999999E-2</v>
      </c>
      <c r="R1041">
        <v>-0.79391859999999903</v>
      </c>
      <c r="S1041">
        <v>-2.5105439999999999</v>
      </c>
      <c r="T1041">
        <v>-0.57423139999999995</v>
      </c>
      <c r="U1041">
        <v>-1.8956599999999999</v>
      </c>
      <c r="V1041">
        <v>0.1913733</v>
      </c>
      <c r="W1041">
        <v>3.417572E-2</v>
      </c>
      <c r="X1041">
        <v>0.98092219999999997</v>
      </c>
      <c r="Y1041">
        <v>0.43172179999999999</v>
      </c>
      <c r="Z1041">
        <v>0.17941089999999901</v>
      </c>
      <c r="AA1041">
        <v>0.88398410000000005</v>
      </c>
      <c r="AB1041">
        <v>35</v>
      </c>
      <c r="AC1041">
        <v>-4.6247000000000096</v>
      </c>
      <c r="AD1041">
        <v>-1.0946541117649999</v>
      </c>
      <c r="AE1041">
        <v>-3.3048999999999702</v>
      </c>
      <c r="AF1041">
        <v>2.5715000581253298</v>
      </c>
      <c r="AG1041">
        <v>-1.0946541117649999</v>
      </c>
      <c r="AH1041">
        <v>4.8402566654454704</v>
      </c>
      <c r="AI1041">
        <v>101.294514773297</v>
      </c>
      <c r="AJ1041">
        <v>62.0194759160876</v>
      </c>
      <c r="AK1041">
        <v>5.58918283479185</v>
      </c>
    </row>
    <row r="1042" spans="1:37" x14ac:dyDescent="0.2">
      <c r="A1042" t="str">
        <f>"20200111154045792"</f>
        <v>20200111154045792</v>
      </c>
      <c r="B1042" t="str">
        <f>"1578728445787005"</f>
        <v>1578728445787005</v>
      </c>
      <c r="C1042" t="s">
        <v>37</v>
      </c>
      <c r="D1042">
        <v>6.130579</v>
      </c>
      <c r="E1042">
        <v>0.61129609999999901</v>
      </c>
      <c r="F1042" t="s">
        <v>43</v>
      </c>
      <c r="G1042">
        <v>-200.47110000000001</v>
      </c>
      <c r="H1042" s="1">
        <v>2.013695E-6</v>
      </c>
      <c r="I1042">
        <v>289.33120000000002</v>
      </c>
      <c r="J1042">
        <v>-195.77520000000001</v>
      </c>
      <c r="K1042">
        <v>1.094525</v>
      </c>
      <c r="L1042">
        <v>292.56450000000001</v>
      </c>
      <c r="M1042">
        <v>-0.46076620000000001</v>
      </c>
      <c r="N1042">
        <v>0</v>
      </c>
      <c r="O1042">
        <v>-0.88737749999999904</v>
      </c>
      <c r="P1042">
        <v>-0.62096189999999996</v>
      </c>
      <c r="Q1042">
        <v>2.4080170000000001E-2</v>
      </c>
      <c r="R1042">
        <v>-0.78347129999999998</v>
      </c>
      <c r="S1042">
        <v>-2.54365499999999</v>
      </c>
      <c r="T1042">
        <v>-0.57272599999999996</v>
      </c>
      <c r="U1042">
        <v>-1.851013</v>
      </c>
      <c r="V1042">
        <v>0.19143750000000001</v>
      </c>
      <c r="W1042">
        <v>3.2480080000000001E-2</v>
      </c>
      <c r="X1042">
        <v>0.98096719999999904</v>
      </c>
      <c r="Y1042">
        <v>0.43225519999999901</v>
      </c>
      <c r="Z1042">
        <v>0.17824179999999901</v>
      </c>
      <c r="AA1042">
        <v>0.88395999999999997</v>
      </c>
      <c r="AB1042">
        <v>35</v>
      </c>
      <c r="AC1042">
        <v>-4.6958999999999902</v>
      </c>
      <c r="AD1042">
        <v>-1.0945229863049999</v>
      </c>
      <c r="AE1042">
        <v>-3.2332999999999799</v>
      </c>
      <c r="AF1042">
        <v>2.5824096344429202</v>
      </c>
      <c r="AG1042">
        <v>-1.0945229863049999</v>
      </c>
      <c r="AH1042">
        <v>4.8545995047931099</v>
      </c>
      <c r="AI1042">
        <v>101.257603361872</v>
      </c>
      <c r="AJ1042">
        <v>61.989205532226897</v>
      </c>
      <c r="AK1042">
        <v>5.6065993649940102</v>
      </c>
    </row>
    <row r="1043" spans="1:37" x14ac:dyDescent="0.2">
      <c r="A1043" t="str">
        <f>"20200111154045815"</f>
        <v>20200111154045815</v>
      </c>
      <c r="B1043" t="str">
        <f>"1578728445807501"</f>
        <v>1578728445807501</v>
      </c>
      <c r="C1043" t="s">
        <v>37</v>
      </c>
      <c r="D1043">
        <v>6.151726</v>
      </c>
      <c r="E1043">
        <v>0.61057569999999906</v>
      </c>
      <c r="F1043" t="s">
        <v>43</v>
      </c>
      <c r="G1043">
        <v>-200.68510000000001</v>
      </c>
      <c r="H1043" s="1">
        <v>2.1278549999999998E-6</v>
      </c>
      <c r="I1043">
        <v>289.11130000000003</v>
      </c>
      <c r="J1043">
        <v>-195.95400000000001</v>
      </c>
      <c r="K1043">
        <v>1.094398</v>
      </c>
      <c r="L1043">
        <v>292.2491</v>
      </c>
      <c r="M1043">
        <v>-0.4765297</v>
      </c>
      <c r="N1043">
        <v>0</v>
      </c>
      <c r="O1043">
        <v>-0.87901180000000001</v>
      </c>
      <c r="P1043">
        <v>-0.63520600000000005</v>
      </c>
      <c r="Q1043">
        <v>2.2594969999999999E-2</v>
      </c>
      <c r="R1043">
        <v>-0.77201219999999904</v>
      </c>
      <c r="S1043">
        <v>-2.5715029999999999</v>
      </c>
      <c r="T1043">
        <v>-0.57324119999999901</v>
      </c>
      <c r="U1043">
        <v>-1.8085629999999999</v>
      </c>
      <c r="V1043">
        <v>0.19182689999999999</v>
      </c>
      <c r="W1043">
        <v>3.097832E-2</v>
      </c>
      <c r="X1043">
        <v>0.98093969999999897</v>
      </c>
      <c r="Y1043">
        <v>0.430531</v>
      </c>
      <c r="Z1043">
        <v>0.17759240000000001</v>
      </c>
      <c r="AA1043">
        <v>0.88493159999999904</v>
      </c>
      <c r="AB1043">
        <v>35</v>
      </c>
      <c r="AC1043">
        <v>-4.7310999999999899</v>
      </c>
      <c r="AD1043">
        <v>-1.094395872145</v>
      </c>
      <c r="AE1043">
        <v>-3.1377999999999702</v>
      </c>
      <c r="AF1043">
        <v>2.5683362040887201</v>
      </c>
      <c r="AG1043">
        <v>-1.094395872145</v>
      </c>
      <c r="AH1043">
        <v>4.83368866207572</v>
      </c>
      <c r="AI1043">
        <v>101.306559776957</v>
      </c>
      <c r="AJ1043">
        <v>62.016466522135197</v>
      </c>
      <c r="AK1043">
        <v>5.5819888269397504</v>
      </c>
    </row>
    <row r="1044" spans="1:37" x14ac:dyDescent="0.2">
      <c r="A1044" t="str">
        <f>"20200111154045838"</f>
        <v>20200111154045838</v>
      </c>
      <c r="B1044" t="str">
        <f>"1578728445827021"</f>
        <v>1578728445827021</v>
      </c>
      <c r="C1044" t="s">
        <v>37</v>
      </c>
      <c r="D1044">
        <v>6.1200760000000001</v>
      </c>
      <c r="E1044">
        <v>0.61022849999999995</v>
      </c>
      <c r="F1044" t="s">
        <v>43</v>
      </c>
      <c r="G1044">
        <v>-200.9016</v>
      </c>
      <c r="H1044" s="1">
        <v>2.2430590000000001E-6</v>
      </c>
      <c r="I1044">
        <v>288.89159999999998</v>
      </c>
      <c r="J1044">
        <v>-196.13990000000001</v>
      </c>
      <c r="K1044">
        <v>1.094285</v>
      </c>
      <c r="L1044">
        <v>291.93450000000001</v>
      </c>
      <c r="M1044">
        <v>-0.49239079999999902</v>
      </c>
      <c r="N1044">
        <v>0</v>
      </c>
      <c r="O1044">
        <v>-0.87022549999999899</v>
      </c>
      <c r="P1044">
        <v>-0.65001699999999996</v>
      </c>
      <c r="Q1044">
        <v>2.1876920000000001E-2</v>
      </c>
      <c r="R1044">
        <v>-0.75960539999999999</v>
      </c>
      <c r="S1044">
        <v>-2.5994109999999999</v>
      </c>
      <c r="T1044">
        <v>-0.57498260000000001</v>
      </c>
      <c r="U1044">
        <v>-1.764008</v>
      </c>
      <c r="V1044">
        <v>0.19297990000000001</v>
      </c>
      <c r="W1044">
        <v>3.021335E-2</v>
      </c>
      <c r="X1044">
        <v>0.98073739999999998</v>
      </c>
      <c r="Y1044">
        <v>0.429008</v>
      </c>
      <c r="Z1044">
        <v>0.17725949999999999</v>
      </c>
      <c r="AA1044">
        <v>0.88573769999999996</v>
      </c>
      <c r="AB1044">
        <v>35</v>
      </c>
      <c r="AC1044">
        <v>-4.7616999999999896</v>
      </c>
      <c r="AD1044">
        <v>-1.0942827569410001</v>
      </c>
      <c r="AE1044">
        <v>-3.0429000000000301</v>
      </c>
      <c r="AF1044">
        <v>2.5501705912603101</v>
      </c>
      <c r="AG1044">
        <v>-1.0942827569410001</v>
      </c>
      <c r="AH1044">
        <v>4.8127979810555397</v>
      </c>
      <c r="AI1044">
        <v>101.359945875931</v>
      </c>
      <c r="AJ1044">
        <v>62.082101753460201</v>
      </c>
      <c r="AK1044">
        <v>5.55552420597009</v>
      </c>
    </row>
    <row r="1045" spans="1:37" x14ac:dyDescent="0.2">
      <c r="A1045" t="str">
        <f>"20200111154045861"</f>
        <v>20200111154045861</v>
      </c>
      <c r="B1045" t="str">
        <f>"1578728445857279"</f>
        <v>1578728445857279</v>
      </c>
      <c r="C1045" t="s">
        <v>37</v>
      </c>
      <c r="D1045">
        <v>6.1126420000000001</v>
      </c>
      <c r="E1045">
        <v>0.59965979999999997</v>
      </c>
      <c r="F1045" t="s">
        <v>43</v>
      </c>
      <c r="G1045">
        <v>-201.13560000000001</v>
      </c>
      <c r="H1045" s="1">
        <v>2.36536599999999E-6</v>
      </c>
      <c r="I1045">
        <v>288.67950000000002</v>
      </c>
      <c r="J1045">
        <v>-196.32130000000001</v>
      </c>
      <c r="K1045">
        <v>1.094193</v>
      </c>
      <c r="L1045">
        <v>291.6397</v>
      </c>
      <c r="M1045">
        <v>-0.50736919999999996</v>
      </c>
      <c r="N1045">
        <v>0</v>
      </c>
      <c r="O1045">
        <v>-0.86157759999999906</v>
      </c>
      <c r="P1045">
        <v>-0.66321280000000005</v>
      </c>
      <c r="Q1045">
        <v>2.0964010000000002E-2</v>
      </c>
      <c r="R1045">
        <v>-0.74813799999999997</v>
      </c>
      <c r="S1045">
        <v>-2.6312099999999998</v>
      </c>
      <c r="T1045">
        <v>-0.57635769999999997</v>
      </c>
      <c r="U1045">
        <v>-1.714386</v>
      </c>
      <c r="V1045">
        <v>0.1931416</v>
      </c>
      <c r="W1045">
        <v>2.9295370000000001E-2</v>
      </c>
      <c r="X1045">
        <v>0.98073349999999904</v>
      </c>
      <c r="Y1045">
        <v>0.430067699999999</v>
      </c>
      <c r="Z1045">
        <v>0.1768594</v>
      </c>
      <c r="AA1045">
        <v>0.88530359999999997</v>
      </c>
      <c r="AB1045">
        <v>35</v>
      </c>
      <c r="AC1045">
        <v>-4.8143000000000002</v>
      </c>
      <c r="AD1045">
        <v>-1.094190634634</v>
      </c>
      <c r="AE1045">
        <v>-2.96019999999998</v>
      </c>
      <c r="AF1045">
        <v>2.5507122577736299</v>
      </c>
      <c r="AG1045">
        <v>-1.094190634634</v>
      </c>
      <c r="AH1045">
        <v>4.8132978337935803</v>
      </c>
      <c r="AI1045">
        <v>101.357602237031</v>
      </c>
      <c r="AJ1045">
        <v>62.079529113869398</v>
      </c>
      <c r="AK1045">
        <v>5.5561877401397597</v>
      </c>
    </row>
    <row r="1046" spans="1:37" x14ac:dyDescent="0.2">
      <c r="A1046" t="str">
        <f>"20200111154045883"</f>
        <v>20200111154045883</v>
      </c>
      <c r="B1046" t="str">
        <f>"1578728445877772"</f>
        <v>1578728445877772</v>
      </c>
      <c r="C1046" t="s">
        <v>37</v>
      </c>
      <c r="D1046">
        <v>6.1436299999999999</v>
      </c>
      <c r="E1046">
        <v>0.59798709999999999</v>
      </c>
      <c r="F1046" t="s">
        <v>43</v>
      </c>
      <c r="G1046">
        <v>-201.45060000000001</v>
      </c>
      <c r="H1046" s="1">
        <v>2.54360899999999E-6</v>
      </c>
      <c r="I1046">
        <v>288.23849999999999</v>
      </c>
      <c r="J1046">
        <v>-196.51320000000001</v>
      </c>
      <c r="K1046">
        <v>1.0940989999999999</v>
      </c>
      <c r="L1046">
        <v>291.33969999999999</v>
      </c>
      <c r="M1046">
        <v>-0.52274069999999995</v>
      </c>
      <c r="N1046">
        <v>0</v>
      </c>
      <c r="O1046">
        <v>-0.85233819999999905</v>
      </c>
      <c r="P1046">
        <v>-0.6762378</v>
      </c>
      <c r="Q1046">
        <v>2.1359900000000001E-2</v>
      </c>
      <c r="R1046">
        <v>-0.73637430000000004</v>
      </c>
      <c r="S1046">
        <v>-2.597839</v>
      </c>
      <c r="T1046">
        <v>-0.5541703</v>
      </c>
      <c r="U1046">
        <v>-1.7225950000000001</v>
      </c>
      <c r="V1046">
        <v>0.19278919999999999</v>
      </c>
      <c r="W1046">
        <v>2.9709559999999999E-2</v>
      </c>
      <c r="X1046">
        <v>0.9807903</v>
      </c>
      <c r="Y1046">
        <v>0.40780859999999902</v>
      </c>
      <c r="Z1046">
        <v>0.16927899999999901</v>
      </c>
      <c r="AA1046">
        <v>0.89723839999999999</v>
      </c>
      <c r="AB1046">
        <v>34</v>
      </c>
      <c r="AC1046">
        <v>-4.9373999999999896</v>
      </c>
      <c r="AD1046">
        <v>-1.0940964563909901</v>
      </c>
      <c r="AE1046">
        <v>-3.1012</v>
      </c>
      <c r="AF1046">
        <v>2.4995360014318799</v>
      </c>
      <c r="AG1046">
        <v>-1.0940964563909901</v>
      </c>
      <c r="AH1046">
        <v>5.0472122269017401</v>
      </c>
      <c r="AI1046">
        <v>100.993153402196</v>
      </c>
      <c r="AJ1046">
        <v>63.653960009930699</v>
      </c>
      <c r="AK1046">
        <v>5.73751501451002</v>
      </c>
    </row>
    <row r="1047" spans="1:37" x14ac:dyDescent="0.2">
      <c r="A1047" t="str">
        <f>"20200111154045904"</f>
        <v>20200111154045904</v>
      </c>
      <c r="B1047" t="str">
        <f>"1578728445897292"</f>
        <v>1578728445897292</v>
      </c>
      <c r="C1047" t="s">
        <v>37</v>
      </c>
      <c r="D1047">
        <v>6.1291500000000001</v>
      </c>
      <c r="E1047">
        <v>0.59692279999999998</v>
      </c>
      <c r="F1047" t="s">
        <v>43</v>
      </c>
      <c r="G1047">
        <v>-201.72559999999999</v>
      </c>
      <c r="H1047" s="1">
        <v>2.687671E-6</v>
      </c>
      <c r="I1047">
        <v>287.98540000000003</v>
      </c>
      <c r="J1047">
        <v>-196.6952</v>
      </c>
      <c r="K1047">
        <v>1.0940209999999999</v>
      </c>
      <c r="L1047">
        <v>291.06639999999999</v>
      </c>
      <c r="M1047">
        <v>-0.53686230000000001</v>
      </c>
      <c r="N1047">
        <v>0</v>
      </c>
      <c r="O1047">
        <v>-0.84351379999999998</v>
      </c>
      <c r="P1047">
        <v>-0.68851359999999995</v>
      </c>
      <c r="Q1047">
        <v>2.2100519999999998E-2</v>
      </c>
      <c r="R1047">
        <v>-0.72488699999999995</v>
      </c>
      <c r="S1047">
        <v>-2.6186829999999999</v>
      </c>
      <c r="T1047">
        <v>-0.54967029999999995</v>
      </c>
      <c r="U1047">
        <v>-1.685181</v>
      </c>
      <c r="V1047">
        <v>0.19298170000000001</v>
      </c>
      <c r="W1047">
        <v>3.0446419999999998E-2</v>
      </c>
      <c r="X1047">
        <v>0.98072990000000004</v>
      </c>
      <c r="Y1047">
        <v>0.40525939999999999</v>
      </c>
      <c r="Z1047">
        <v>0.1669677</v>
      </c>
      <c r="AA1047">
        <v>0.89882510000000004</v>
      </c>
      <c r="AB1047">
        <v>34</v>
      </c>
      <c r="AC1047">
        <v>-5.0303999999999798</v>
      </c>
      <c r="AD1047">
        <v>-1.0940183123289999</v>
      </c>
      <c r="AE1047">
        <v>-3.08099999999996</v>
      </c>
      <c r="AF1047">
        <v>2.5033752684595401</v>
      </c>
      <c r="AG1047">
        <v>-1.0940183123289999</v>
      </c>
      <c r="AH1047">
        <v>5.1239551769987104</v>
      </c>
      <c r="AI1047">
        <v>100.859637524983</v>
      </c>
      <c r="AJ1047">
        <v>63.961573534226197</v>
      </c>
      <c r="AK1047">
        <v>5.8067788366992197</v>
      </c>
    </row>
    <row r="1048" spans="1:37" x14ac:dyDescent="0.2">
      <c r="A1048" t="str">
        <f>"20200111154045926"</f>
        <v>20200111154045926</v>
      </c>
      <c r="B1048" t="str">
        <f>"1578728445916813"</f>
        <v>1578728445916813</v>
      </c>
      <c r="C1048" t="s">
        <v>37</v>
      </c>
      <c r="D1048">
        <v>6.2358820000000001</v>
      </c>
      <c r="E1048">
        <v>0.59341730000000004</v>
      </c>
      <c r="F1048" t="s">
        <v>43</v>
      </c>
      <c r="G1048">
        <v>-201.95070000000001</v>
      </c>
      <c r="H1048" s="1">
        <v>2.804813E-6</v>
      </c>
      <c r="I1048">
        <v>287.78730000000002</v>
      </c>
      <c r="J1048">
        <v>-196.8972</v>
      </c>
      <c r="K1048">
        <v>1.0939459999999901</v>
      </c>
      <c r="L1048">
        <v>290.77449999999999</v>
      </c>
      <c r="M1048">
        <v>-0.55206480000000002</v>
      </c>
      <c r="N1048">
        <v>0</v>
      </c>
      <c r="O1048">
        <v>-0.833642199999999</v>
      </c>
      <c r="P1048">
        <v>-0.70222530000000005</v>
      </c>
      <c r="Q1048">
        <v>2.2722269999999999E-2</v>
      </c>
      <c r="R1048">
        <v>-0.71159209999999995</v>
      </c>
      <c r="S1048">
        <v>-2.6403810000000001</v>
      </c>
      <c r="T1048">
        <v>-0.54963709999999999</v>
      </c>
      <c r="U1048">
        <v>-1.6474299999999999</v>
      </c>
      <c r="V1048">
        <v>0.19396720000000001</v>
      </c>
      <c r="W1048">
        <v>3.1033120000000001E-2</v>
      </c>
      <c r="X1048">
        <v>0.98051699999999997</v>
      </c>
      <c r="Y1048">
        <v>0.4014144</v>
      </c>
      <c r="Z1048">
        <v>0.1657071</v>
      </c>
      <c r="AA1048">
        <v>0.90078169999999902</v>
      </c>
      <c r="AB1048">
        <v>34</v>
      </c>
      <c r="AC1048">
        <v>-5.0535000000000103</v>
      </c>
      <c r="AD1048">
        <v>-1.09394319518699</v>
      </c>
      <c r="AE1048">
        <v>-2.9871999999999699</v>
      </c>
      <c r="AF1048">
        <v>2.4779719627907801</v>
      </c>
      <c r="AG1048">
        <v>-1.09394319518699</v>
      </c>
      <c r="AH1048">
        <v>5.10358675899597</v>
      </c>
      <c r="AI1048">
        <v>100.91389996764801</v>
      </c>
      <c r="AJ1048">
        <v>64.1017862106157</v>
      </c>
      <c r="AK1048">
        <v>5.7778589952742996</v>
      </c>
    </row>
    <row r="1049" spans="1:37" x14ac:dyDescent="0.2">
      <c r="A1049" t="str">
        <f>"20200111154045949"</f>
        <v>20200111154045949</v>
      </c>
      <c r="B1049" t="str">
        <f>"1578728445947068"</f>
        <v>1578728445947068</v>
      </c>
      <c r="C1049" t="s">
        <v>37</v>
      </c>
      <c r="D1049">
        <v>5.8120099999999999</v>
      </c>
      <c r="E1049">
        <v>0.67034479999999996</v>
      </c>
      <c r="F1049" t="s">
        <v>43</v>
      </c>
      <c r="G1049">
        <v>-202.0094</v>
      </c>
      <c r="H1049" s="1">
        <v>2.84247099999999E-6</v>
      </c>
      <c r="I1049">
        <v>287.65460000000002</v>
      </c>
      <c r="J1049">
        <v>-197.1086</v>
      </c>
      <c r="K1049">
        <v>1.0938639999999999</v>
      </c>
      <c r="L1049">
        <v>290.48079999999999</v>
      </c>
      <c r="M1049">
        <v>-0.56747309999999995</v>
      </c>
      <c r="N1049">
        <v>0</v>
      </c>
      <c r="O1049">
        <v>-0.82323020000000002</v>
      </c>
      <c r="P1049">
        <v>-0.71543400000000001</v>
      </c>
      <c r="Q1049">
        <v>2.271774E-2</v>
      </c>
      <c r="R1049">
        <v>-0.69831089999999996</v>
      </c>
      <c r="S1049">
        <v>-2.6510009999999999</v>
      </c>
      <c r="T1049">
        <v>-0.56727869999999903</v>
      </c>
      <c r="U1049">
        <v>-1.6178889999999999</v>
      </c>
      <c r="V1049">
        <v>0.1941087</v>
      </c>
      <c r="W1049">
        <v>3.1028839999999999E-2</v>
      </c>
      <c r="X1049">
        <v>0.98048919999999995</v>
      </c>
      <c r="Y1049">
        <v>0.3925633</v>
      </c>
      <c r="Z1049">
        <v>0.1694551</v>
      </c>
      <c r="AA1049">
        <v>0.90397950000000005</v>
      </c>
      <c r="AB1049">
        <v>34</v>
      </c>
      <c r="AC1049">
        <v>-4.9008000000000003</v>
      </c>
      <c r="AD1049">
        <v>-1.093861157529</v>
      </c>
      <c r="AE1049">
        <v>-2.8261999999999698</v>
      </c>
      <c r="AF1049">
        <v>2.34340832620541</v>
      </c>
      <c r="AG1049">
        <v>-1.093861157529</v>
      </c>
      <c r="AH1049">
        <v>4.9242693492643301</v>
      </c>
      <c r="AI1049">
        <v>101.341988050338</v>
      </c>
      <c r="AJ1049">
        <v>64.550711342011994</v>
      </c>
      <c r="AK1049">
        <v>5.5620610783578801</v>
      </c>
    </row>
    <row r="1050" spans="1:37" x14ac:dyDescent="0.2">
      <c r="A1050" t="str">
        <f>"20200111154045973"</f>
        <v>20200111154045973</v>
      </c>
      <c r="B1050" t="str">
        <f>"1578728445967566"</f>
        <v>1578728445967566</v>
      </c>
      <c r="C1050" t="s">
        <v>37</v>
      </c>
      <c r="D1050">
        <v>5.9125629999999996</v>
      </c>
      <c r="E1050">
        <v>0.68675569999999997</v>
      </c>
      <c r="F1050" t="s">
        <v>44</v>
      </c>
      <c r="G1050">
        <v>-213.4873</v>
      </c>
      <c r="H1050" s="1">
        <v>3.1896770000000002E-7</v>
      </c>
      <c r="I1050">
        <v>284.53719999999998</v>
      </c>
      <c r="J1050">
        <v>-197.32079999999999</v>
      </c>
      <c r="K1050">
        <v>1.0937920000000001</v>
      </c>
      <c r="L1050">
        <v>290.19690000000003</v>
      </c>
      <c r="M1050">
        <v>-0.58246339999999996</v>
      </c>
      <c r="N1050">
        <v>0</v>
      </c>
      <c r="O1050">
        <v>-0.81269199999999997</v>
      </c>
      <c r="P1050">
        <v>-0.72899259999999999</v>
      </c>
      <c r="Q1050">
        <v>2.2891849999999998E-2</v>
      </c>
      <c r="R1050">
        <v>-0.68413849999999998</v>
      </c>
      <c r="S1050">
        <v>-3.101334</v>
      </c>
      <c r="T1050">
        <v>-0.207124899999999</v>
      </c>
      <c r="U1050">
        <v>-1.125427</v>
      </c>
      <c r="V1050">
        <v>0.19538829999999999</v>
      </c>
      <c r="W1050">
        <v>3.1154660000000001E-2</v>
      </c>
      <c r="X1050">
        <v>0.98023099999999996</v>
      </c>
      <c r="Y1050">
        <v>0.5632028</v>
      </c>
      <c r="Z1050">
        <v>6.2222699999999999E-2</v>
      </c>
      <c r="AA1050">
        <v>0.82397260000000005</v>
      </c>
      <c r="AB1050">
        <v>34</v>
      </c>
      <c r="AC1050">
        <v>-16.166499999999999</v>
      </c>
      <c r="AD1050">
        <v>-1.0937916810323001</v>
      </c>
      <c r="AE1050">
        <v>-5.6597000000000399</v>
      </c>
      <c r="AF1050">
        <v>9.8031612481706993</v>
      </c>
      <c r="AG1050">
        <v>-1.0937916810323001</v>
      </c>
      <c r="AH1050">
        <v>13.960936646981001</v>
      </c>
      <c r="AI1050">
        <v>93.668676423897296</v>
      </c>
      <c r="AJ1050">
        <v>54.924042421595097</v>
      </c>
      <c r="AK1050">
        <v>17.094037052731199</v>
      </c>
    </row>
    <row r="1051" spans="1:37" x14ac:dyDescent="0.2">
      <c r="A1051" t="str">
        <f>"20200111154045995"</f>
        <v>20200111154045995</v>
      </c>
      <c r="B1051" t="str">
        <f>"1578728445987084"</f>
        <v>1578728445987084</v>
      </c>
      <c r="C1051" t="s">
        <v>37</v>
      </c>
      <c r="D1051">
        <v>5.782146</v>
      </c>
      <c r="E1051">
        <v>0.69096809999999997</v>
      </c>
      <c r="F1051" t="s">
        <v>44</v>
      </c>
      <c r="G1051">
        <v>-220.7431</v>
      </c>
      <c r="H1051" s="1">
        <v>-1.141347E-6</v>
      </c>
      <c r="I1051">
        <v>283.13159999999999</v>
      </c>
      <c r="J1051">
        <v>-197.5412</v>
      </c>
      <c r="K1051">
        <v>1.093718</v>
      </c>
      <c r="L1051">
        <v>289.91320000000002</v>
      </c>
      <c r="M1051">
        <v>-0.5975395</v>
      </c>
      <c r="N1051">
        <v>0</v>
      </c>
      <c r="O1051">
        <v>-0.80167189999999999</v>
      </c>
      <c r="P1051">
        <v>-0.74319849999999998</v>
      </c>
      <c r="Q1051">
        <v>2.2305599999999998E-2</v>
      </c>
      <c r="R1051">
        <v>-0.66869919999999905</v>
      </c>
      <c r="S1051">
        <v>-3.2109830000000001</v>
      </c>
      <c r="T1051">
        <v>-0.14994930000000001</v>
      </c>
      <c r="U1051">
        <v>-0.96859740000000005</v>
      </c>
      <c r="V1051">
        <v>0.19763539999999999</v>
      </c>
      <c r="W1051">
        <v>3.0477879999999999E-2</v>
      </c>
      <c r="X1051">
        <v>0.9798017</v>
      </c>
      <c r="Y1051">
        <v>0.59390039999999999</v>
      </c>
      <c r="Z1051">
        <v>4.4611680000000001E-2</v>
      </c>
      <c r="AA1051">
        <v>0.80330069999999998</v>
      </c>
      <c r="AB1051">
        <v>34</v>
      </c>
      <c r="AC1051">
        <v>-23.201899999999899</v>
      </c>
      <c r="AD1051">
        <v>-1.093719141347</v>
      </c>
      <c r="AE1051">
        <v>-6.7816000000000196</v>
      </c>
      <c r="AF1051">
        <v>14.520266365132599</v>
      </c>
      <c r="AG1051">
        <v>-1.093719141347</v>
      </c>
      <c r="AH1051">
        <v>19.263826475523501</v>
      </c>
      <c r="AI1051">
        <v>92.595939604469393</v>
      </c>
      <c r="AJ1051">
        <v>52.992541738416499</v>
      </c>
      <c r="AK1051">
        <v>24.148071710876401</v>
      </c>
    </row>
    <row r="1052" spans="1:37" x14ac:dyDescent="0.2">
      <c r="A1052" t="str">
        <f>"20200111154046017"</f>
        <v>20200111154046017</v>
      </c>
      <c r="B1052" t="str">
        <f>"1578728446007581"</f>
        <v>1578728446007581</v>
      </c>
      <c r="C1052" t="s">
        <v>37</v>
      </c>
      <c r="D1052">
        <v>6.0211519999999998</v>
      </c>
      <c r="E1052">
        <v>0.69078490000000004</v>
      </c>
      <c r="F1052" t="s">
        <v>44</v>
      </c>
      <c r="G1052">
        <v>-226.74700000000001</v>
      </c>
      <c r="H1052" s="1">
        <v>2.05360899999999E-6</v>
      </c>
      <c r="I1052">
        <v>282.04539999999997</v>
      </c>
      <c r="J1052">
        <v>-197.7508</v>
      </c>
      <c r="K1052">
        <v>1.0936589999999999</v>
      </c>
      <c r="L1052">
        <v>289.65309999999999</v>
      </c>
      <c r="M1052">
        <v>-0.61143919999999996</v>
      </c>
      <c r="N1052">
        <v>0</v>
      </c>
      <c r="O1052">
        <v>-0.79112079999999996</v>
      </c>
      <c r="P1052">
        <v>-0.7554883</v>
      </c>
      <c r="Q1052">
        <v>2.081042E-2</v>
      </c>
      <c r="R1052">
        <v>-0.65483179999999996</v>
      </c>
      <c r="S1052">
        <v>-3.2520289999999998</v>
      </c>
      <c r="T1052">
        <v>-0.12178410000000001</v>
      </c>
      <c r="U1052">
        <v>-0.87606810000000002</v>
      </c>
      <c r="V1052">
        <v>0.1986455</v>
      </c>
      <c r="W1052">
        <v>2.8945039999999998E-2</v>
      </c>
      <c r="X1052">
        <v>0.97964390000000001</v>
      </c>
      <c r="Y1052">
        <v>0.60417639999999995</v>
      </c>
      <c r="Z1052">
        <v>3.6030810000000003E-2</v>
      </c>
      <c r="AA1052">
        <v>0.79603559999999995</v>
      </c>
      <c r="AB1052">
        <v>34</v>
      </c>
      <c r="AC1052">
        <v>-28.996200000000002</v>
      </c>
      <c r="AD1052">
        <v>-1.093656946391</v>
      </c>
      <c r="AE1052">
        <v>-7.6077000000000199</v>
      </c>
      <c r="AF1052">
        <v>18.266008639914201</v>
      </c>
      <c r="AG1052">
        <v>-1.093656946391</v>
      </c>
      <c r="AH1052">
        <v>23.7196593244059</v>
      </c>
      <c r="AI1052">
        <v>92.092143194378195</v>
      </c>
      <c r="AJ1052">
        <v>52.400891759315499</v>
      </c>
      <c r="AK1052">
        <v>29.957726809884701</v>
      </c>
    </row>
    <row r="1053" spans="1:37" x14ac:dyDescent="0.2">
      <c r="A1053" t="str">
        <f>"20200111154046039"</f>
        <v>20200111154046039</v>
      </c>
      <c r="B1053" t="str">
        <f>"1578728446036860"</f>
        <v>1578728446036860</v>
      </c>
      <c r="C1053" t="s">
        <v>37</v>
      </c>
      <c r="D1053">
        <v>5.7737369999999997</v>
      </c>
      <c r="E1053">
        <v>0.69073619999999902</v>
      </c>
      <c r="F1053" t="s">
        <v>44</v>
      </c>
      <c r="G1053">
        <v>-227.22669999999999</v>
      </c>
      <c r="H1053" s="1">
        <v>2.3088930000000001E-6</v>
      </c>
      <c r="I1053">
        <v>282.28550000000001</v>
      </c>
      <c r="J1053">
        <v>-197.97829999999999</v>
      </c>
      <c r="K1053">
        <v>1.093599</v>
      </c>
      <c r="L1053">
        <v>289.38099999999997</v>
      </c>
      <c r="M1053">
        <v>-0.62605730000000004</v>
      </c>
      <c r="N1053">
        <v>0</v>
      </c>
      <c r="O1053">
        <v>-0.77960309999999999</v>
      </c>
      <c r="P1053">
        <v>-0.76753289999999996</v>
      </c>
      <c r="Q1053">
        <v>1.9682809999999999E-2</v>
      </c>
      <c r="R1053">
        <v>-0.64070740000000004</v>
      </c>
      <c r="S1053">
        <v>-3.2665709999999999</v>
      </c>
      <c r="T1053">
        <v>-0.1212012</v>
      </c>
      <c r="U1053">
        <v>-0.81649780000000005</v>
      </c>
      <c r="V1053">
        <v>0.1985635</v>
      </c>
      <c r="W1053">
        <v>2.782826E-2</v>
      </c>
      <c r="X1053">
        <v>0.97969289999999998</v>
      </c>
      <c r="Y1053">
        <v>0.60385710000000004</v>
      </c>
      <c r="Z1053">
        <v>3.5625740000000003E-2</v>
      </c>
      <c r="AA1053">
        <v>0.79629609999999995</v>
      </c>
      <c r="AB1053">
        <v>34</v>
      </c>
      <c r="AC1053">
        <v>-29.2484</v>
      </c>
      <c r="AD1053">
        <v>-1.0935966911070001</v>
      </c>
      <c r="AE1053">
        <v>-7.0954999999999604</v>
      </c>
      <c r="AF1053">
        <v>18.338232345447899</v>
      </c>
      <c r="AG1053">
        <v>-1.0935966911070001</v>
      </c>
      <c r="AH1053">
        <v>23.814640004853398</v>
      </c>
      <c r="AI1053">
        <v>92.083730530237304</v>
      </c>
      <c r="AJ1053">
        <v>52.402279595481602</v>
      </c>
      <c r="AK1053">
        <v>30.076964571565298</v>
      </c>
    </row>
    <row r="1054" spans="1:37" x14ac:dyDescent="0.2">
      <c r="A1054" t="str">
        <f>"20200111154046084"</f>
        <v>20200111154046084</v>
      </c>
      <c r="B1054" t="str">
        <f>"1578728446076877"</f>
        <v>1578728446076877</v>
      </c>
      <c r="C1054" t="s">
        <v>37</v>
      </c>
      <c r="D1054">
        <v>5.8857039999999996</v>
      </c>
      <c r="E1054">
        <v>0.68717189999999995</v>
      </c>
      <c r="F1054" t="s">
        <v>44</v>
      </c>
      <c r="G1054">
        <v>-234.9897</v>
      </c>
      <c r="H1054" s="1">
        <v>1.2827279999999999E-6</v>
      </c>
      <c r="I1054">
        <v>280.85930000000002</v>
      </c>
      <c r="J1054">
        <v>-198.43029999999999</v>
      </c>
      <c r="K1054">
        <v>1.093507</v>
      </c>
      <c r="L1054">
        <v>288.86970000000002</v>
      </c>
      <c r="M1054">
        <v>-0.6537347</v>
      </c>
      <c r="N1054">
        <v>0</v>
      </c>
      <c r="O1054">
        <v>-0.75654359999999998</v>
      </c>
      <c r="P1054">
        <v>-0.791336699999999</v>
      </c>
      <c r="Q1054">
        <v>1.9149820000000001E-2</v>
      </c>
      <c r="R1054">
        <v>-0.61108090000000004</v>
      </c>
      <c r="S1054">
        <v>-3.2805629999999999</v>
      </c>
      <c r="T1054">
        <v>-9.6932649999999995E-2</v>
      </c>
      <c r="U1054">
        <v>-0.75534060000000003</v>
      </c>
      <c r="V1054">
        <v>0.2004919</v>
      </c>
      <c r="W1054">
        <v>2.722434E-2</v>
      </c>
      <c r="X1054">
        <v>0.97931699999999999</v>
      </c>
      <c r="Y1054">
        <v>0.59018000000000004</v>
      </c>
      <c r="Z1054">
        <v>2.7928020000000001E-2</v>
      </c>
      <c r="AA1054">
        <v>0.80678839999999996</v>
      </c>
      <c r="AB1054">
        <v>34</v>
      </c>
      <c r="AC1054">
        <v>-36.559399999999997</v>
      </c>
      <c r="AD1054">
        <v>-1.093505717272</v>
      </c>
      <c r="AE1054">
        <v>-8.0104000000000006</v>
      </c>
      <c r="AF1054">
        <v>22.406034890945001</v>
      </c>
      <c r="AG1054">
        <v>-1.093505717272</v>
      </c>
      <c r="AH1054">
        <v>29.938894205742699</v>
      </c>
      <c r="AI1054">
        <v>91.6749785181877</v>
      </c>
      <c r="AJ1054">
        <v>53.189104778183001</v>
      </c>
      <c r="AK1054">
        <v>37.4107409783688</v>
      </c>
    </row>
    <row r="1055" spans="1:37" x14ac:dyDescent="0.2">
      <c r="A1055" t="str">
        <f>"20200111154046106"</f>
        <v>20200111154046106</v>
      </c>
      <c r="B1055" t="str">
        <f>"1578728446097373"</f>
        <v>1578728446097373</v>
      </c>
      <c r="C1055" t="s">
        <v>37</v>
      </c>
      <c r="D1055">
        <v>5.906263</v>
      </c>
      <c r="E1055">
        <v>0.68494359999999999</v>
      </c>
      <c r="F1055" t="s">
        <v>44</v>
      </c>
      <c r="G1055">
        <v>-230.65039999999999</v>
      </c>
      <c r="H1055" s="1">
        <v>-1.097191E-6</v>
      </c>
      <c r="I1055">
        <v>282.47800000000001</v>
      </c>
      <c r="J1055">
        <v>-198.66210000000001</v>
      </c>
      <c r="K1055">
        <v>1.093475</v>
      </c>
      <c r="L1055">
        <v>288.62189999999998</v>
      </c>
      <c r="M1055">
        <v>-0.66725389999999996</v>
      </c>
      <c r="N1055">
        <v>0</v>
      </c>
      <c r="O1055">
        <v>-0.74464699999999995</v>
      </c>
      <c r="P1055">
        <v>-0.80279789999999995</v>
      </c>
      <c r="Q1055">
        <v>1.8600240000000001E-2</v>
      </c>
      <c r="R1055">
        <v>-0.59596130000000003</v>
      </c>
      <c r="S1055">
        <v>-3.2897949999999998</v>
      </c>
      <c r="T1055">
        <v>-0.11165119999999901</v>
      </c>
      <c r="U1055">
        <v>-0.65261840000000004</v>
      </c>
      <c r="V1055">
        <v>0.20141909999999999</v>
      </c>
      <c r="W1055">
        <v>2.6640899999999999E-2</v>
      </c>
      <c r="X1055">
        <v>0.97914279999999998</v>
      </c>
      <c r="Y1055">
        <v>0.60001979999999999</v>
      </c>
      <c r="Z1055">
        <v>3.2187970000000003E-2</v>
      </c>
      <c r="AA1055">
        <v>0.79933730000000003</v>
      </c>
      <c r="AB1055">
        <v>34</v>
      </c>
      <c r="AC1055">
        <v>-31.988299999999899</v>
      </c>
      <c r="AD1055">
        <v>-1.093476097191</v>
      </c>
      <c r="AE1055">
        <v>-6.1438999999999702</v>
      </c>
      <c r="AF1055">
        <v>19.700941632720799</v>
      </c>
      <c r="AG1055">
        <v>-1.093476097191</v>
      </c>
      <c r="AH1055">
        <v>25.8937135094152</v>
      </c>
      <c r="AI1055">
        <v>91.924864629918901</v>
      </c>
      <c r="AJ1055">
        <v>52.734714914932901</v>
      </c>
      <c r="AK1055">
        <v>32.554680009158098</v>
      </c>
    </row>
    <row r="1056" spans="1:37" x14ac:dyDescent="0.2">
      <c r="A1056" t="str">
        <f>"20200111154046128"</f>
        <v>20200111154046128</v>
      </c>
      <c r="B1056" t="str">
        <f>"1578728446116893"</f>
        <v>1578728446116893</v>
      </c>
      <c r="C1056" t="s">
        <v>37</v>
      </c>
      <c r="D1056">
        <v>5.9246540000000003</v>
      </c>
      <c r="E1056">
        <v>0.6826217</v>
      </c>
      <c r="F1056" t="s">
        <v>44</v>
      </c>
      <c r="G1056">
        <v>-227.61420000000001</v>
      </c>
      <c r="H1056" s="1">
        <v>2.5150949999999999E-6</v>
      </c>
      <c r="I1056">
        <v>283.30709999999999</v>
      </c>
      <c r="J1056">
        <v>-198.904</v>
      </c>
      <c r="K1056">
        <v>1.0934489999999999</v>
      </c>
      <c r="L1056">
        <v>288.37259999999998</v>
      </c>
      <c r="M1056">
        <v>-0.68090620000000002</v>
      </c>
      <c r="N1056">
        <v>0</v>
      </c>
      <c r="O1056">
        <v>-0.73218359999999905</v>
      </c>
      <c r="P1056">
        <v>-0.81312890000000004</v>
      </c>
      <c r="Q1056">
        <v>1.8352179999999999E-2</v>
      </c>
      <c r="R1056">
        <v>-0.58179449999999999</v>
      </c>
      <c r="S1056">
        <v>-3.29129</v>
      </c>
      <c r="T1056">
        <v>-0.12430670000000001</v>
      </c>
      <c r="U1056">
        <v>-0.60418700000000003</v>
      </c>
      <c r="V1056">
        <v>0.20048089999999999</v>
      </c>
      <c r="W1056">
        <v>2.64406999999999E-2</v>
      </c>
      <c r="X1056">
        <v>0.97934069999999995</v>
      </c>
      <c r="Y1056">
        <v>0.59649810000000003</v>
      </c>
      <c r="Z1056">
        <v>3.5559899999999998E-2</v>
      </c>
      <c r="AA1056">
        <v>0.80182640000000005</v>
      </c>
      <c r="AB1056">
        <v>34</v>
      </c>
      <c r="AC1056">
        <v>-28.710199999999901</v>
      </c>
      <c r="AD1056">
        <v>-1.0934464849049901</v>
      </c>
      <c r="AE1056">
        <v>-5.0654999999999797</v>
      </c>
      <c r="AF1056">
        <v>17.549726765589298</v>
      </c>
      <c r="AG1056">
        <v>-1.0934464849049901</v>
      </c>
      <c r="AH1056">
        <v>23.228339385655001</v>
      </c>
      <c r="AI1056">
        <v>92.150967019007297</v>
      </c>
      <c r="AJ1056">
        <v>52.927828173367097</v>
      </c>
      <c r="AK1056">
        <v>29.1332161866376</v>
      </c>
    </row>
    <row r="1057" spans="1:37" x14ac:dyDescent="0.2">
      <c r="A1057" t="str">
        <f>"20200111154046151"</f>
        <v>20200111154046151</v>
      </c>
      <c r="B1057" t="str">
        <f>"1578728446147148"</f>
        <v>1578728446147148</v>
      </c>
      <c r="C1057" t="s">
        <v>37</v>
      </c>
      <c r="D1057">
        <v>5.9079300000000003</v>
      </c>
      <c r="E1057">
        <v>0.68037919999999996</v>
      </c>
      <c r="F1057" t="s">
        <v>44</v>
      </c>
      <c r="G1057">
        <v>-225.7364</v>
      </c>
      <c r="H1057" s="1">
        <v>1.5158179999999901E-6</v>
      </c>
      <c r="I1057">
        <v>283.79730000000001</v>
      </c>
      <c r="J1057">
        <v>-199.1566</v>
      </c>
      <c r="K1057">
        <v>1.093432</v>
      </c>
      <c r="L1057">
        <v>288.12180000000001</v>
      </c>
      <c r="M1057">
        <v>-0.69468769999999902</v>
      </c>
      <c r="N1057">
        <v>0</v>
      </c>
      <c r="O1057">
        <v>-0.71912039999999999</v>
      </c>
      <c r="P1057">
        <v>-0.8234165</v>
      </c>
      <c r="Q1057">
        <v>1.8573579999999999E-2</v>
      </c>
      <c r="R1057">
        <v>-0.56713349999999996</v>
      </c>
      <c r="S1057">
        <v>-3.29096999999999</v>
      </c>
      <c r="T1057">
        <v>-0.1341107</v>
      </c>
      <c r="U1057">
        <v>-0.56115719999999902</v>
      </c>
      <c r="V1057">
        <v>0.19943549999999999</v>
      </c>
      <c r="W1057">
        <v>2.6715260000000001E-2</v>
      </c>
      <c r="X1057">
        <v>0.97954669999999899</v>
      </c>
      <c r="Y1057">
        <v>0.59127810000000003</v>
      </c>
      <c r="Z1057">
        <v>3.801032E-2</v>
      </c>
      <c r="AA1057">
        <v>0.80557140000000005</v>
      </c>
      <c r="AB1057">
        <v>34</v>
      </c>
      <c r="AC1057">
        <v>-26.579799999999999</v>
      </c>
      <c r="AD1057">
        <v>-1.093430484182</v>
      </c>
      <c r="AE1057">
        <v>-4.3244999999999996</v>
      </c>
      <c r="AF1057">
        <v>16.085594057883899</v>
      </c>
      <c r="AG1057">
        <v>-1.093430484182</v>
      </c>
      <c r="AH1057">
        <v>21.541946338644301</v>
      </c>
      <c r="AI1057">
        <v>92.328975479044004</v>
      </c>
      <c r="AJ1057">
        <v>53.250922509433899</v>
      </c>
      <c r="AK1057">
        <v>26.907199380013498</v>
      </c>
    </row>
    <row r="1058" spans="1:37" x14ac:dyDescent="0.2">
      <c r="A1058" t="str">
        <f>"20200111154046172"</f>
        <v>20200111154046172</v>
      </c>
      <c r="B1058" t="str">
        <f>"1578728446167644"</f>
        <v>1578728446167644</v>
      </c>
      <c r="C1058" t="s">
        <v>37</v>
      </c>
      <c r="D1058">
        <v>5.8735720000000002</v>
      </c>
      <c r="E1058">
        <v>0.6543523</v>
      </c>
      <c r="F1058" t="s">
        <v>44</v>
      </c>
      <c r="G1058">
        <v>-224.5779</v>
      </c>
      <c r="H1058" s="1">
        <v>8.9933920000000001E-7</v>
      </c>
      <c r="I1058">
        <v>284.13049999999998</v>
      </c>
      <c r="J1058">
        <v>-199.39250000000001</v>
      </c>
      <c r="K1058">
        <v>1.093424</v>
      </c>
      <c r="L1058">
        <v>287.89589999999998</v>
      </c>
      <c r="M1058">
        <v>-0.70714290000000002</v>
      </c>
      <c r="N1058">
        <v>0</v>
      </c>
      <c r="O1058">
        <v>-0.70687619999999995</v>
      </c>
      <c r="P1058">
        <v>-0.83316610000000002</v>
      </c>
      <c r="Q1058">
        <v>2.0176510000000002E-2</v>
      </c>
      <c r="R1058">
        <v>-0.55265489999999995</v>
      </c>
      <c r="S1058">
        <v>-3.29068</v>
      </c>
      <c r="T1058">
        <v>-0.1415402</v>
      </c>
      <c r="U1058">
        <v>-0.51666259999999997</v>
      </c>
      <c r="V1058">
        <v>0.19948640000000001</v>
      </c>
      <c r="W1058">
        <v>2.8323029999999999E-2</v>
      </c>
      <c r="X1058">
        <v>0.97949120000000001</v>
      </c>
      <c r="Y1058">
        <v>0.58768969999999998</v>
      </c>
      <c r="Z1058">
        <v>3.9783520000000003E-2</v>
      </c>
      <c r="AA1058">
        <v>0.80810769999999998</v>
      </c>
      <c r="AB1058">
        <v>34</v>
      </c>
      <c r="AC1058">
        <v>-25.185399999999898</v>
      </c>
      <c r="AD1058">
        <v>-1.0934231006608</v>
      </c>
      <c r="AE1058">
        <v>-3.7654000000000001</v>
      </c>
      <c r="AF1058">
        <v>15.1145000362635</v>
      </c>
      <c r="AG1058">
        <v>-1.0934231006608</v>
      </c>
      <c r="AH1058">
        <v>20.436485687548199</v>
      </c>
      <c r="AI1058">
        <v>92.463167770551706</v>
      </c>
      <c r="AJ1058">
        <v>53.513959241285598</v>
      </c>
      <c r="AK1058">
        <v>25.4419659751489</v>
      </c>
    </row>
    <row r="1059" spans="1:37" x14ac:dyDescent="0.2">
      <c r="A1059" t="str">
        <f>"20200111154046193"</f>
        <v>20200111154046193</v>
      </c>
      <c r="B1059" t="str">
        <f>"1578728446187165"</f>
        <v>1578728446187165</v>
      </c>
      <c r="C1059" t="s">
        <v>37</v>
      </c>
      <c r="D1059">
        <v>5.9154439999999999</v>
      </c>
      <c r="E1059">
        <v>0.65362390000000004</v>
      </c>
      <c r="F1059" t="s">
        <v>44</v>
      </c>
      <c r="G1059">
        <v>-214.62190000000001</v>
      </c>
      <c r="H1059" s="1">
        <v>9.2276879999999999E-7</v>
      </c>
      <c r="I1059">
        <v>284.87200000000001</v>
      </c>
      <c r="J1059">
        <v>-199.63570000000001</v>
      </c>
      <c r="K1059">
        <v>1.093426</v>
      </c>
      <c r="L1059">
        <v>287.67110000000002</v>
      </c>
      <c r="M1059">
        <v>-0.71957499999999996</v>
      </c>
      <c r="N1059">
        <v>0</v>
      </c>
      <c r="O1059">
        <v>-0.69421630000000001</v>
      </c>
      <c r="P1059">
        <v>-0.84209239999999996</v>
      </c>
      <c r="Q1059">
        <v>2.1279240000000001E-2</v>
      </c>
      <c r="R1059">
        <v>-0.53891350000000005</v>
      </c>
      <c r="S1059">
        <v>-3.186569</v>
      </c>
      <c r="T1059">
        <v>-0.228785399999999</v>
      </c>
      <c r="U1059">
        <v>-0.63272090000000003</v>
      </c>
      <c r="V1059">
        <v>0.19819979999999901</v>
      </c>
      <c r="W1059">
        <v>2.948984E-2</v>
      </c>
      <c r="X1059">
        <v>0.97971790000000003</v>
      </c>
      <c r="Y1059">
        <v>0.53817869999999901</v>
      </c>
      <c r="Z1059">
        <v>6.3605579999999995E-2</v>
      </c>
      <c r="AA1059">
        <v>0.84042729999999999</v>
      </c>
      <c r="AB1059">
        <v>34</v>
      </c>
      <c r="AC1059">
        <v>-14.986199999999901</v>
      </c>
      <c r="AD1059">
        <v>-1.0934250772312</v>
      </c>
      <c r="AE1059">
        <v>-2.7991000000000001</v>
      </c>
      <c r="AF1059">
        <v>8.3477172265303299</v>
      </c>
      <c r="AG1059">
        <v>-1.0934250772312</v>
      </c>
      <c r="AH1059">
        <v>12.663488304914599</v>
      </c>
      <c r="AI1059">
        <v>94.123362013801</v>
      </c>
      <c r="AJ1059">
        <v>56.607300256153898</v>
      </c>
      <c r="AK1059">
        <v>15.2067056702738</v>
      </c>
    </row>
    <row r="1060" spans="1:37" x14ac:dyDescent="0.2">
      <c r="A1060" t="str">
        <f>"20200111154046218"</f>
        <v>20200111154046218</v>
      </c>
      <c r="B1060" t="str">
        <f>"1578728446207661"</f>
        <v>1578728446207661</v>
      </c>
      <c r="C1060" t="s">
        <v>37</v>
      </c>
      <c r="D1060">
        <v>5.8814339999999996</v>
      </c>
      <c r="E1060">
        <v>0.65228399999999997</v>
      </c>
      <c r="F1060" t="s">
        <v>44</v>
      </c>
      <c r="G1060">
        <v>-214.69069999999999</v>
      </c>
      <c r="H1060" s="1">
        <v>9.5937789999999996E-7</v>
      </c>
      <c r="I1060">
        <v>284.90960000000001</v>
      </c>
      <c r="J1060">
        <v>-199.90719999999999</v>
      </c>
      <c r="K1060">
        <v>1.0934250000000001</v>
      </c>
      <c r="L1060">
        <v>287.42930000000001</v>
      </c>
      <c r="M1060">
        <v>-0.73299159999999997</v>
      </c>
      <c r="N1060">
        <v>0</v>
      </c>
      <c r="O1060">
        <v>-0.68003539999999996</v>
      </c>
      <c r="P1060">
        <v>-0.851298</v>
      </c>
      <c r="Q1060">
        <v>2.1885890000000002E-2</v>
      </c>
      <c r="R1060">
        <v>-0.52422679999999999</v>
      </c>
      <c r="S1060">
        <v>-3.193527</v>
      </c>
      <c r="T1060">
        <v>-0.2319407</v>
      </c>
      <c r="U1060">
        <v>-0.58578490000000005</v>
      </c>
      <c r="V1060">
        <v>0.19608049999999999</v>
      </c>
      <c r="W1060">
        <v>3.0197149999999999E-2</v>
      </c>
      <c r="X1060">
        <v>0.98012269999999901</v>
      </c>
      <c r="Y1060">
        <v>0.53396560000000004</v>
      </c>
      <c r="Z1060">
        <v>6.3647140000000005E-2</v>
      </c>
      <c r="AA1060">
        <v>0.84310719999999995</v>
      </c>
      <c r="AB1060">
        <v>34</v>
      </c>
      <c r="AC1060">
        <v>-14.7835</v>
      </c>
      <c r="AD1060">
        <v>-1.0934240406221001</v>
      </c>
      <c r="AE1060">
        <v>-2.5196999999999998</v>
      </c>
      <c r="AF1060">
        <v>8.1641131465941292</v>
      </c>
      <c r="AG1060">
        <v>-1.0934240406221001</v>
      </c>
      <c r="AH1060">
        <v>12.485022925718001</v>
      </c>
      <c r="AI1060">
        <v>94.1922041090167</v>
      </c>
      <c r="AJ1060">
        <v>56.818823598465798</v>
      </c>
      <c r="AK1060">
        <v>14.9574101053192</v>
      </c>
    </row>
    <row r="1061" spans="1:37" x14ac:dyDescent="0.2">
      <c r="A1061" t="str">
        <f>"20200111154046240"</f>
        <v>20200111154046240</v>
      </c>
      <c r="B1061" t="str">
        <f>"1578728446236941"</f>
        <v>1578728446236941</v>
      </c>
      <c r="C1061" t="s">
        <v>37</v>
      </c>
      <c r="D1061">
        <v>6.0471570000000003</v>
      </c>
      <c r="E1061">
        <v>0.64997550000000004</v>
      </c>
      <c r="F1061" t="s">
        <v>44</v>
      </c>
      <c r="G1061">
        <v>-215.50960000000001</v>
      </c>
      <c r="H1061" s="1">
        <v>1.395146E-6</v>
      </c>
      <c r="I1061">
        <v>284.80020000000002</v>
      </c>
      <c r="J1061">
        <v>-200.17250000000001</v>
      </c>
      <c r="K1061">
        <v>1.093429</v>
      </c>
      <c r="L1061">
        <v>287.202</v>
      </c>
      <c r="M1061">
        <v>-0.7456431</v>
      </c>
      <c r="N1061">
        <v>0</v>
      </c>
      <c r="O1061">
        <v>-0.66613859999999903</v>
      </c>
      <c r="P1061">
        <v>-0.85998319999999995</v>
      </c>
      <c r="Q1061">
        <v>2.1956989999999999E-2</v>
      </c>
      <c r="R1061">
        <v>-0.50985029999999998</v>
      </c>
      <c r="S1061">
        <v>-3.197937</v>
      </c>
      <c r="T1061">
        <v>-0.2241126</v>
      </c>
      <c r="U1061">
        <v>-0.53887940000000001</v>
      </c>
      <c r="V1061">
        <v>0.1941283</v>
      </c>
      <c r="W1061">
        <v>3.0361099999999999E-2</v>
      </c>
      <c r="X1061">
        <v>0.98050619999999999</v>
      </c>
      <c r="Y1061">
        <v>0.53050209999999998</v>
      </c>
      <c r="Z1061">
        <v>6.0757230000000002E-2</v>
      </c>
      <c r="AA1061">
        <v>0.84550340000000002</v>
      </c>
      <c r="AB1061">
        <v>34</v>
      </c>
      <c r="AC1061">
        <v>-15.3370999999999</v>
      </c>
      <c r="AD1061">
        <v>-1.0934276048539999</v>
      </c>
      <c r="AE1061">
        <v>-2.4017999999999802</v>
      </c>
      <c r="AF1061">
        <v>8.3853108454332794</v>
      </c>
      <c r="AG1061">
        <v>-1.0934276048539999</v>
      </c>
      <c r="AH1061">
        <v>12.973370834718899</v>
      </c>
      <c r="AI1061">
        <v>94.048870274389699</v>
      </c>
      <c r="AJ1061">
        <v>57.123478592763</v>
      </c>
      <c r="AK1061">
        <v>15.4860379928739</v>
      </c>
    </row>
    <row r="1062" spans="1:37" x14ac:dyDescent="0.2">
      <c r="A1062" t="str">
        <f>"20200111154046262"</f>
        <v>20200111154046262</v>
      </c>
      <c r="B1062" t="str">
        <f>"1578728446257438"</f>
        <v>1578728446257438</v>
      </c>
      <c r="C1062" t="s">
        <v>37</v>
      </c>
      <c r="D1062">
        <v>6.0277789999999998</v>
      </c>
      <c r="E1062">
        <v>0.64879509999999996</v>
      </c>
      <c r="F1062" t="s">
        <v>44</v>
      </c>
      <c r="G1062">
        <v>-215.48</v>
      </c>
      <c r="H1062" s="1">
        <v>1.379383E-6</v>
      </c>
      <c r="I1062">
        <v>284.80689999999998</v>
      </c>
      <c r="J1062">
        <v>-200.43039999999999</v>
      </c>
      <c r="K1062">
        <v>1.0934409999999899</v>
      </c>
      <c r="L1062">
        <v>286.98910000000001</v>
      </c>
      <c r="M1062">
        <v>-0.75752619999999904</v>
      </c>
      <c r="N1062">
        <v>0</v>
      </c>
      <c r="O1062">
        <v>-0.65259319999999998</v>
      </c>
      <c r="P1062">
        <v>-0.86835280000000004</v>
      </c>
      <c r="Q1062">
        <v>2.2683539999999999E-2</v>
      </c>
      <c r="R1062">
        <v>-0.49542829999999899</v>
      </c>
      <c r="S1062">
        <v>-3.1976619999999998</v>
      </c>
      <c r="T1062">
        <v>-0.22841139999999999</v>
      </c>
      <c r="U1062">
        <v>-0.50030520000000001</v>
      </c>
      <c r="V1062">
        <v>0.1928388</v>
      </c>
      <c r="W1062">
        <v>3.11517999999999E-2</v>
      </c>
      <c r="X1062">
        <v>0.98073580000000005</v>
      </c>
      <c r="Y1062">
        <v>0.52508869999999996</v>
      </c>
      <c r="Z1062">
        <v>6.1145539999999998E-2</v>
      </c>
      <c r="AA1062">
        <v>0.84884809999999999</v>
      </c>
      <c r="AB1062">
        <v>34</v>
      </c>
      <c r="AC1062">
        <v>-15.0495999999999</v>
      </c>
      <c r="AD1062">
        <v>-1.0934396206169901</v>
      </c>
      <c r="AE1062">
        <v>-2.1822000000000199</v>
      </c>
      <c r="AF1062">
        <v>8.1273017143541502</v>
      </c>
      <c r="AG1062">
        <v>-1.0934396206169901</v>
      </c>
      <c r="AH1062">
        <v>12.7603534777584</v>
      </c>
      <c r="AI1062">
        <v>94.133893993099207</v>
      </c>
      <c r="AJ1062">
        <v>57.506196561908403</v>
      </c>
      <c r="AK1062">
        <v>15.1682320735615</v>
      </c>
    </row>
    <row r="1063" spans="1:37" x14ac:dyDescent="0.2">
      <c r="A1063" t="str">
        <f>"20200111154046283"</f>
        <v>20200111154046283</v>
      </c>
      <c r="B1063" t="str">
        <f>"1578728446276958"</f>
        <v>1578728446276958</v>
      </c>
      <c r="C1063" t="s">
        <v>37</v>
      </c>
      <c r="D1063">
        <v>6.0994799999999998</v>
      </c>
      <c r="E1063">
        <v>0.63232279999999996</v>
      </c>
      <c r="F1063" t="s">
        <v>44</v>
      </c>
      <c r="G1063">
        <v>-215.61019999999999</v>
      </c>
      <c r="H1063" s="1">
        <v>1.4487039999999999E-6</v>
      </c>
      <c r="I1063">
        <v>284.83150000000001</v>
      </c>
      <c r="J1063">
        <v>-200.68350000000001</v>
      </c>
      <c r="K1063">
        <v>1.0934440000000001</v>
      </c>
      <c r="L1063">
        <v>286.78789999999998</v>
      </c>
      <c r="M1063">
        <v>-0.76880389999999998</v>
      </c>
      <c r="N1063">
        <v>0</v>
      </c>
      <c r="O1063">
        <v>-0.63926839999999996</v>
      </c>
      <c r="P1063">
        <v>-0.87629859999999904</v>
      </c>
      <c r="Q1063">
        <v>2.338548E-2</v>
      </c>
      <c r="R1063">
        <v>-0.48120039999999997</v>
      </c>
      <c r="S1063">
        <v>-3.2012330000000002</v>
      </c>
      <c r="T1063">
        <v>-0.2305915</v>
      </c>
      <c r="U1063">
        <v>-0.45501709999999901</v>
      </c>
      <c r="V1063">
        <v>0.19172829999999999</v>
      </c>
      <c r="W1063">
        <v>3.1910069999999999E-2</v>
      </c>
      <c r="X1063">
        <v>0.980929099999999</v>
      </c>
      <c r="Y1063">
        <v>0.52211589999999997</v>
      </c>
      <c r="Z1063">
        <v>6.0964549999999999E-2</v>
      </c>
      <c r="AA1063">
        <v>0.85069280000000003</v>
      </c>
      <c r="AB1063">
        <v>34</v>
      </c>
      <c r="AC1063">
        <v>-14.926699999999901</v>
      </c>
      <c r="AD1063">
        <v>-1.093442551296</v>
      </c>
      <c r="AE1063">
        <v>-1.9563999999999699</v>
      </c>
      <c r="AF1063">
        <v>7.9970025491678696</v>
      </c>
      <c r="AG1063">
        <v>-1.093442551296</v>
      </c>
      <c r="AH1063">
        <v>12.6613341003545</v>
      </c>
      <c r="AI1063">
        <v>94.176103882021295</v>
      </c>
      <c r="AJ1063">
        <v>57.723157221953699</v>
      </c>
      <c r="AK1063">
        <v>15.015227190594899</v>
      </c>
    </row>
    <row r="1064" spans="1:37" x14ac:dyDescent="0.2">
      <c r="A1064" t="str">
        <f>"20200111154046307"</f>
        <v>20200111154046307</v>
      </c>
      <c r="B1064" t="str">
        <f>"1578728446297452"</f>
        <v>1578728446297452</v>
      </c>
      <c r="C1064" t="s">
        <v>37</v>
      </c>
      <c r="D1064">
        <v>5.9866929999999998</v>
      </c>
      <c r="E1064">
        <v>0.63223739999999995</v>
      </c>
      <c r="F1064" t="s">
        <v>44</v>
      </c>
      <c r="G1064">
        <v>-212.79130000000001</v>
      </c>
      <c r="H1064" s="1">
        <v>-5.140879E-8</v>
      </c>
      <c r="I1064">
        <v>284.79570000000001</v>
      </c>
      <c r="J1064">
        <v>-200.9709</v>
      </c>
      <c r="K1064">
        <v>1.0934600000000001</v>
      </c>
      <c r="L1064">
        <v>286.5686</v>
      </c>
      <c r="M1064">
        <v>-0.78114980000000001</v>
      </c>
      <c r="N1064">
        <v>0</v>
      </c>
      <c r="O1064">
        <v>-0.62412209999999901</v>
      </c>
      <c r="P1064">
        <v>-0.88446579999999997</v>
      </c>
      <c r="Q1064">
        <v>2.399747E-2</v>
      </c>
      <c r="R1064">
        <v>-0.46598800000000001</v>
      </c>
      <c r="S1064">
        <v>-3.1467589999999999</v>
      </c>
      <c r="T1064">
        <v>-0.2841825</v>
      </c>
      <c r="U1064">
        <v>-0.51776120000000003</v>
      </c>
      <c r="V1064">
        <v>0.18952160000000001</v>
      </c>
      <c r="W1064">
        <v>3.2626380000000003E-2</v>
      </c>
      <c r="X1064">
        <v>0.98133429999999999</v>
      </c>
      <c r="Y1064">
        <v>0.48509940000000001</v>
      </c>
      <c r="Z1064">
        <v>7.3481119999999997E-2</v>
      </c>
      <c r="AA1064">
        <v>0.87136619999999998</v>
      </c>
      <c r="AB1064">
        <v>33</v>
      </c>
      <c r="AC1064">
        <v>-11.820399999999999</v>
      </c>
      <c r="AD1064">
        <v>-1.09346005140879</v>
      </c>
      <c r="AE1064">
        <v>-1.7728999999999899</v>
      </c>
      <c r="AF1064">
        <v>5.9435589336882</v>
      </c>
      <c r="AG1064">
        <v>-1.09346005140879</v>
      </c>
      <c r="AH1064">
        <v>10.2556090132761</v>
      </c>
      <c r="AI1064">
        <v>95.2705352616928</v>
      </c>
      <c r="AJ1064">
        <v>59.905895084668202</v>
      </c>
      <c r="AK1064">
        <v>11.903741593106</v>
      </c>
    </row>
    <row r="1065" spans="1:37" x14ac:dyDescent="0.2">
      <c r="A1065" t="str">
        <f>"20200111154046329"</f>
        <v>20200111154046329</v>
      </c>
      <c r="B1065" t="str">
        <f>"1578728446316972"</f>
        <v>1578728446316972</v>
      </c>
      <c r="C1065" t="s">
        <v>37</v>
      </c>
      <c r="D1065">
        <v>5.92828</v>
      </c>
      <c r="E1065">
        <v>0.62119880000000005</v>
      </c>
      <c r="F1065" t="s">
        <v>44</v>
      </c>
      <c r="G1065">
        <v>-213.41489999999999</v>
      </c>
      <c r="H1065" s="1">
        <v>2.8043949999999997E-7</v>
      </c>
      <c r="I1065">
        <v>284.74090000000001</v>
      </c>
      <c r="J1065">
        <v>-201.24</v>
      </c>
      <c r="K1065">
        <v>1.09348</v>
      </c>
      <c r="L1065">
        <v>286.37110000000001</v>
      </c>
      <c r="M1065">
        <v>-0.79230199999999995</v>
      </c>
      <c r="N1065">
        <v>0</v>
      </c>
      <c r="O1065">
        <v>-0.60990259999999996</v>
      </c>
      <c r="P1065">
        <v>-0.89146449999999999</v>
      </c>
      <c r="Q1065">
        <v>2.5471299999999999E-2</v>
      </c>
      <c r="R1065">
        <v>-0.45237440000000001</v>
      </c>
      <c r="S1065">
        <v>-3.1552279999999899</v>
      </c>
      <c r="T1065">
        <v>-0.277252099999999</v>
      </c>
      <c r="U1065">
        <v>-0.46343990000000002</v>
      </c>
      <c r="V1065">
        <v>0.18686429999999901</v>
      </c>
      <c r="W1065">
        <v>3.4225279999999997E-2</v>
      </c>
      <c r="X1065">
        <v>0.98178940000000003</v>
      </c>
      <c r="Y1065">
        <v>0.48458299999999999</v>
      </c>
      <c r="Z1065">
        <v>7.0693880000000001E-2</v>
      </c>
      <c r="AA1065">
        <v>0.87188399999999999</v>
      </c>
      <c r="AB1065">
        <v>33</v>
      </c>
      <c r="AC1065">
        <v>-12.1748999999999</v>
      </c>
      <c r="AD1065">
        <v>-1.0934797195604999</v>
      </c>
      <c r="AE1065">
        <v>-1.6302000000000001</v>
      </c>
      <c r="AF1065">
        <v>6.0865075157222801</v>
      </c>
      <c r="AG1065">
        <v>-1.0934797195604999</v>
      </c>
      <c r="AH1065">
        <v>10.5582622210702</v>
      </c>
      <c r="AI1065">
        <v>95.127148257590704</v>
      </c>
      <c r="AJ1065">
        <v>60.037897844103398</v>
      </c>
      <c r="AK1065">
        <v>12.235937755845001</v>
      </c>
    </row>
    <row r="1066" spans="1:37" x14ac:dyDescent="0.2">
      <c r="A1066" t="str">
        <f>"20200111154046354"</f>
        <v>20200111154046354</v>
      </c>
      <c r="B1066" t="str">
        <f>"1578728446347229"</f>
        <v>1578728446347229</v>
      </c>
      <c r="C1066" t="s">
        <v>37</v>
      </c>
      <c r="D1066">
        <v>5.8846959999999999</v>
      </c>
      <c r="E1066">
        <v>0.61919040000000003</v>
      </c>
      <c r="F1066" t="s">
        <v>43</v>
      </c>
      <c r="G1066">
        <v>-209.40459999999999</v>
      </c>
      <c r="H1066" s="1">
        <v>6.3464629999999998E-6</v>
      </c>
      <c r="I1066">
        <v>285.08620000000002</v>
      </c>
      <c r="J1066">
        <v>-201.54900000000001</v>
      </c>
      <c r="K1066">
        <v>1.093496</v>
      </c>
      <c r="L1066">
        <v>286.15320000000003</v>
      </c>
      <c r="M1066">
        <v>-0.80463680000000004</v>
      </c>
      <c r="N1066">
        <v>0</v>
      </c>
      <c r="O1066">
        <v>-0.59353429999999996</v>
      </c>
      <c r="P1066">
        <v>-0.89917420000000003</v>
      </c>
      <c r="Q1066">
        <v>2.5318589999999998E-2</v>
      </c>
      <c r="R1066">
        <v>-0.43685790000000002</v>
      </c>
      <c r="S1066">
        <v>-3.1274570000000002</v>
      </c>
      <c r="T1066">
        <v>-0.41885420000000001</v>
      </c>
      <c r="U1066">
        <v>-0.4921875</v>
      </c>
      <c r="V1066">
        <v>0.18374889999999999</v>
      </c>
      <c r="W1066">
        <v>3.4217650000000002E-2</v>
      </c>
      <c r="X1066">
        <v>0.98237750000000001</v>
      </c>
      <c r="Y1066">
        <v>0.4529338</v>
      </c>
      <c r="Z1066">
        <v>0.103536899999999</v>
      </c>
      <c r="AA1066">
        <v>0.88551179999999996</v>
      </c>
      <c r="AB1066">
        <v>33</v>
      </c>
      <c r="AC1066">
        <v>-7.8555999999999804</v>
      </c>
      <c r="AD1066">
        <v>-1.093489653537</v>
      </c>
      <c r="AE1066">
        <v>-1.0669999999999999</v>
      </c>
      <c r="AF1066">
        <v>3.7335156547609398</v>
      </c>
      <c r="AG1066">
        <v>-1.093489653537</v>
      </c>
      <c r="AH1066">
        <v>6.8253144805347699</v>
      </c>
      <c r="AI1066">
        <v>98.000875230791195</v>
      </c>
      <c r="AJ1066">
        <v>61.320897193242402</v>
      </c>
      <c r="AK1066">
        <v>7.8561935137148398</v>
      </c>
    </row>
    <row r="1067" spans="1:37" x14ac:dyDescent="0.2">
      <c r="A1067" t="str">
        <f>"20200111154046373"</f>
        <v>20200111154046373</v>
      </c>
      <c r="B1067" t="str">
        <f>"1578728446367726"</f>
        <v>1578728446367726</v>
      </c>
      <c r="C1067" t="s">
        <v>37</v>
      </c>
      <c r="D1067">
        <v>5.9070529999999897</v>
      </c>
      <c r="E1067">
        <v>0.61693469999999995</v>
      </c>
      <c r="F1067" t="s">
        <v>43</v>
      </c>
      <c r="G1067">
        <v>-209.54140000000001</v>
      </c>
      <c r="H1067" s="1">
        <v>6.41469799999999E-6</v>
      </c>
      <c r="I1067">
        <v>284.99970000000002</v>
      </c>
      <c r="J1067">
        <v>-201.8013</v>
      </c>
      <c r="K1067">
        <v>1.0935159999999999</v>
      </c>
      <c r="L1067">
        <v>285.98230000000001</v>
      </c>
      <c r="M1067">
        <v>-0.81434490000000004</v>
      </c>
      <c r="N1067">
        <v>0</v>
      </c>
      <c r="O1067">
        <v>-0.58014270000000001</v>
      </c>
      <c r="P1067">
        <v>-0.90546450000000001</v>
      </c>
      <c r="Q1067">
        <v>2.4454679999999999E-2</v>
      </c>
      <c r="R1067">
        <v>-0.42371679999999901</v>
      </c>
      <c r="S1067">
        <v>-3.1290740000000001</v>
      </c>
      <c r="T1067">
        <v>-0.42810609999999999</v>
      </c>
      <c r="U1067">
        <v>-0.45159909999999998</v>
      </c>
      <c r="V1067">
        <v>0.18178250000000001</v>
      </c>
      <c r="W1067">
        <v>3.3447049999999999E-2</v>
      </c>
      <c r="X1067">
        <v>0.98276980000000003</v>
      </c>
      <c r="Y1067">
        <v>0.44926749999999999</v>
      </c>
      <c r="Z1067">
        <v>0.104226</v>
      </c>
      <c r="AA1067">
        <v>0.88729690000000006</v>
      </c>
      <c r="AB1067">
        <v>33</v>
      </c>
      <c r="AC1067">
        <v>-7.7401000000000098</v>
      </c>
      <c r="AD1067">
        <v>-1.093509585302</v>
      </c>
      <c r="AE1067">
        <v>-0.98259999999999004</v>
      </c>
      <c r="AF1067">
        <v>3.6195981868532701</v>
      </c>
      <c r="AG1067">
        <v>-1.093509585302</v>
      </c>
      <c r="AH1067">
        <v>6.74168356707054</v>
      </c>
      <c r="AI1067">
        <v>98.132883511031494</v>
      </c>
      <c r="AJ1067">
        <v>61.768726192186698</v>
      </c>
      <c r="AK1067">
        <v>7.7296540392133801</v>
      </c>
    </row>
    <row r="1068" spans="1:37" x14ac:dyDescent="0.2">
      <c r="A1068" t="str">
        <f>"20200111154046395"</f>
        <v>20200111154046395</v>
      </c>
      <c r="B1068" t="str">
        <f>"1578728446387246"</f>
        <v>1578728446387246</v>
      </c>
      <c r="C1068" t="s">
        <v>37</v>
      </c>
      <c r="D1068">
        <v>5.8685450000000001</v>
      </c>
      <c r="E1068">
        <v>0.61467109999999903</v>
      </c>
      <c r="F1068" t="s">
        <v>43</v>
      </c>
      <c r="G1068">
        <v>-209.74770000000001</v>
      </c>
      <c r="H1068" s="1">
        <v>6.5139499999999997E-6</v>
      </c>
      <c r="I1068">
        <v>284.91090000000003</v>
      </c>
      <c r="J1068">
        <v>-202.07480000000001</v>
      </c>
      <c r="K1068">
        <v>1.0935410000000001</v>
      </c>
      <c r="L1068">
        <v>285.80380000000002</v>
      </c>
      <c r="M1068">
        <v>-0.82450119999999905</v>
      </c>
      <c r="N1068">
        <v>0</v>
      </c>
      <c r="O1068">
        <v>-0.5656158</v>
      </c>
      <c r="P1068">
        <v>-0.91184270000000001</v>
      </c>
      <c r="Q1068">
        <v>2.344013E-2</v>
      </c>
      <c r="R1068">
        <v>-0.40987109999999899</v>
      </c>
      <c r="S1068">
        <v>-3.1275179999999998</v>
      </c>
      <c r="T1068">
        <v>-0.43037979999999998</v>
      </c>
      <c r="U1068">
        <v>-0.42166140000000002</v>
      </c>
      <c r="V1068">
        <v>0.179308</v>
      </c>
      <c r="W1068">
        <v>3.2548710000000002E-2</v>
      </c>
      <c r="X1068">
        <v>0.98325439999999997</v>
      </c>
      <c r="Y1068">
        <v>0.44179069999999998</v>
      </c>
      <c r="Z1068">
        <v>0.1028278</v>
      </c>
      <c r="AA1068">
        <v>0.89120560000000004</v>
      </c>
      <c r="AB1068">
        <v>33</v>
      </c>
      <c r="AC1068">
        <v>-7.6728999999999896</v>
      </c>
      <c r="AD1068">
        <v>-1.09353448605</v>
      </c>
      <c r="AE1068">
        <v>-0.89289999999999703</v>
      </c>
      <c r="AF1068">
        <v>3.5334042750955801</v>
      </c>
      <c r="AG1068">
        <v>-1.09353448605</v>
      </c>
      <c r="AH1068">
        <v>6.6980671304441799</v>
      </c>
      <c r="AI1068">
        <v>98.216755478968395</v>
      </c>
      <c r="AJ1068">
        <v>62.187189648292197</v>
      </c>
      <c r="AK1068">
        <v>7.6514617379544596</v>
      </c>
    </row>
    <row r="1069" spans="1:37" x14ac:dyDescent="0.2">
      <c r="A1069" t="str">
        <f>"20200111154046417"</f>
        <v>20200111154046417</v>
      </c>
      <c r="B1069" t="str">
        <f>"1578728446407742"</f>
        <v>1578728446407742</v>
      </c>
      <c r="C1069" t="s">
        <v>37</v>
      </c>
      <c r="D1069">
        <v>5.8519119999999996</v>
      </c>
      <c r="E1069">
        <v>0.61282590000000003</v>
      </c>
      <c r="F1069" t="s">
        <v>43</v>
      </c>
      <c r="G1069">
        <v>-209.87790000000001</v>
      </c>
      <c r="H1069" s="1">
        <v>6.5786569999999899E-6</v>
      </c>
      <c r="I1069">
        <v>284.83109999999999</v>
      </c>
      <c r="J1069">
        <v>-202.36510000000001</v>
      </c>
      <c r="K1069">
        <v>1.0935779999999999</v>
      </c>
      <c r="L1069">
        <v>285.6216</v>
      </c>
      <c r="M1069">
        <v>-0.83488359999999995</v>
      </c>
      <c r="N1069">
        <v>0</v>
      </c>
      <c r="O1069">
        <v>-0.55017519999999998</v>
      </c>
      <c r="P1069">
        <v>-0.91806969999999999</v>
      </c>
      <c r="Q1069">
        <v>2.336732E-2</v>
      </c>
      <c r="R1069">
        <v>-0.39573029999999998</v>
      </c>
      <c r="S1069">
        <v>-3.12616</v>
      </c>
      <c r="T1069">
        <v>-0.43809959999999998</v>
      </c>
      <c r="U1069">
        <v>-0.389679</v>
      </c>
      <c r="V1069">
        <v>0.17620189999999999</v>
      </c>
      <c r="W1069">
        <v>3.262019E-2</v>
      </c>
      <c r="X1069">
        <v>0.98381339999999995</v>
      </c>
      <c r="Y1069">
        <v>0.43390489999999998</v>
      </c>
      <c r="Z1069">
        <v>0.1025026</v>
      </c>
      <c r="AA1069">
        <v>0.89510879999999904</v>
      </c>
      <c r="AB1069">
        <v>33</v>
      </c>
      <c r="AC1069">
        <v>-7.5127999999999897</v>
      </c>
      <c r="AD1069">
        <v>-1.0935714213429999</v>
      </c>
      <c r="AE1069">
        <v>-0.79050000000000797</v>
      </c>
      <c r="AF1069">
        <v>3.40255720193713</v>
      </c>
      <c r="AG1069">
        <v>-1.0935714213429999</v>
      </c>
      <c r="AH1069">
        <v>6.5704640957624498</v>
      </c>
      <c r="AI1069">
        <v>98.407201455539195</v>
      </c>
      <c r="AJ1069">
        <v>62.622328597383103</v>
      </c>
      <c r="AK1069">
        <v>7.4795917268080698</v>
      </c>
    </row>
    <row r="1070" spans="1:37" x14ac:dyDescent="0.2">
      <c r="A1070" t="str">
        <f>"20200111154046439"</f>
        <v>20200111154046439</v>
      </c>
      <c r="B1070" t="str">
        <f>"1578728446437020"</f>
        <v>1578728446437020</v>
      </c>
      <c r="C1070" t="s">
        <v>37</v>
      </c>
      <c r="D1070">
        <v>5.8435709999999998</v>
      </c>
      <c r="E1070">
        <v>0.5998076</v>
      </c>
      <c r="F1070" t="s">
        <v>44</v>
      </c>
      <c r="G1070">
        <v>-210.2047</v>
      </c>
      <c r="H1070" s="1">
        <v>-1.427841E-6</v>
      </c>
      <c r="I1070">
        <v>284.73540000000003</v>
      </c>
      <c r="J1070">
        <v>-202.65090000000001</v>
      </c>
      <c r="K1070">
        <v>1.0936189999999999</v>
      </c>
      <c r="L1070">
        <v>285.44970000000001</v>
      </c>
      <c r="M1070">
        <v>-0.84470089999999998</v>
      </c>
      <c r="N1070">
        <v>0</v>
      </c>
      <c r="O1070">
        <v>-0.53498049999999997</v>
      </c>
      <c r="P1070">
        <v>-0.92398849999999999</v>
      </c>
      <c r="Q1070">
        <v>2.4213299999999899E-2</v>
      </c>
      <c r="R1070">
        <v>-0.38165300000000002</v>
      </c>
      <c r="S1070">
        <v>-3.1264500000000002</v>
      </c>
      <c r="T1070">
        <v>-0.436121599999999</v>
      </c>
      <c r="U1070">
        <v>-0.35345460000000001</v>
      </c>
      <c r="V1070">
        <v>0.17345739999999901</v>
      </c>
      <c r="W1070">
        <v>3.3595270000000003E-2</v>
      </c>
      <c r="X1070">
        <v>0.98426819999999904</v>
      </c>
      <c r="Y1070">
        <v>0.42812070000000002</v>
      </c>
      <c r="Z1070">
        <v>9.9998299999999998E-2</v>
      </c>
      <c r="AA1070">
        <v>0.89817199999999997</v>
      </c>
      <c r="AB1070">
        <v>33</v>
      </c>
      <c r="AC1070">
        <v>-7.5537999999999901</v>
      </c>
      <c r="AD1070">
        <v>-1.093620427841</v>
      </c>
      <c r="AE1070">
        <v>-0.71429999999997995</v>
      </c>
      <c r="AF1070">
        <v>3.3682658661848799</v>
      </c>
      <c r="AG1070">
        <v>-1.093620427841</v>
      </c>
      <c r="AH1070">
        <v>6.6261165460830096</v>
      </c>
      <c r="AI1070">
        <v>98.369815935589997</v>
      </c>
      <c r="AJ1070">
        <v>63.0543205927559</v>
      </c>
      <c r="AK1070">
        <v>7.5130979674014897</v>
      </c>
    </row>
    <row r="1071" spans="1:37" x14ac:dyDescent="0.2">
      <c r="A1071" t="str">
        <f>"20200111154046463"</f>
        <v>20200111154046463</v>
      </c>
      <c r="B1071" t="str">
        <f>"1578728446457518"</f>
        <v>1578728446457518</v>
      </c>
      <c r="C1071" t="s">
        <v>37</v>
      </c>
      <c r="D1071">
        <v>5.8083299999999998</v>
      </c>
      <c r="E1071">
        <v>0.59849730000000001</v>
      </c>
      <c r="F1071" t="s">
        <v>44</v>
      </c>
      <c r="G1071">
        <v>-210.36959999999999</v>
      </c>
      <c r="H1071" s="1">
        <v>-1.340129E-6</v>
      </c>
      <c r="I1071">
        <v>284.44799999999998</v>
      </c>
      <c r="J1071">
        <v>-202.9462</v>
      </c>
      <c r="K1071">
        <v>1.0936709999999901</v>
      </c>
      <c r="L1071">
        <v>285.2792</v>
      </c>
      <c r="M1071">
        <v>-0.85443499999999994</v>
      </c>
      <c r="N1071">
        <v>0</v>
      </c>
      <c r="O1071">
        <v>-0.51929269999999905</v>
      </c>
      <c r="P1071">
        <v>-0.93002299999999904</v>
      </c>
      <c r="Q1071">
        <v>2.4924410000000001E-2</v>
      </c>
      <c r="R1071">
        <v>-0.36665540000000002</v>
      </c>
      <c r="S1071">
        <v>-3.0924990000000001</v>
      </c>
      <c r="T1071">
        <v>-0.43816109999999903</v>
      </c>
      <c r="U1071">
        <v>-0.4013062</v>
      </c>
      <c r="V1071">
        <v>0.17122079999999901</v>
      </c>
      <c r="W1071">
        <v>3.4413520000000003E-2</v>
      </c>
      <c r="X1071">
        <v>0.98463149999999999</v>
      </c>
      <c r="Y1071">
        <v>0.3966248</v>
      </c>
      <c r="Z1071">
        <v>9.7296629999999995E-2</v>
      </c>
      <c r="AA1071">
        <v>0.91281000000000001</v>
      </c>
      <c r="AB1071">
        <v>33</v>
      </c>
      <c r="AC1071">
        <v>-7.4233999999999796</v>
      </c>
      <c r="AD1071">
        <v>-1.0936723401289901</v>
      </c>
      <c r="AE1071">
        <v>-0.83120000000002303</v>
      </c>
      <c r="AF1071">
        <v>3.0791384650060798</v>
      </c>
      <c r="AG1071">
        <v>-1.0936723401289901</v>
      </c>
      <c r="AH1071">
        <v>6.6331900512850002</v>
      </c>
      <c r="AI1071">
        <v>98.505623035899106</v>
      </c>
      <c r="AJ1071">
        <v>65.099188746682302</v>
      </c>
      <c r="AK1071">
        <v>7.3943507578900798</v>
      </c>
    </row>
    <row r="1072" spans="1:37" x14ac:dyDescent="0.2">
      <c r="A1072" t="str">
        <f>"20200111154046483"</f>
        <v>20200111154046483</v>
      </c>
      <c r="B1072" t="str">
        <f>"1578728446477036"</f>
        <v>1578728446477036</v>
      </c>
      <c r="C1072" t="s">
        <v>37</v>
      </c>
      <c r="D1072">
        <v>5.8968449999999999</v>
      </c>
      <c r="E1072">
        <v>0.59719290000000003</v>
      </c>
      <c r="F1072" t="s">
        <v>44</v>
      </c>
      <c r="G1072">
        <v>-210.6405</v>
      </c>
      <c r="H1072" s="1">
        <v>-1.1959179999999999E-6</v>
      </c>
      <c r="I1072">
        <v>284.37869999999998</v>
      </c>
      <c r="J1072">
        <v>-203.2242</v>
      </c>
      <c r="K1072">
        <v>1.0937299999999901</v>
      </c>
      <c r="L1072">
        <v>285.12540000000001</v>
      </c>
      <c r="M1072">
        <v>-0.86321429999999999</v>
      </c>
      <c r="N1072">
        <v>0</v>
      </c>
      <c r="O1072">
        <v>-0.50456529999999999</v>
      </c>
      <c r="P1072">
        <v>-0.93492339999999996</v>
      </c>
      <c r="Q1072">
        <v>2.3000010000000001E-2</v>
      </c>
      <c r="R1072">
        <v>-0.35410439999999999</v>
      </c>
      <c r="S1072">
        <v>-3.0947110000000002</v>
      </c>
      <c r="T1072">
        <v>-0.43987979999999999</v>
      </c>
      <c r="U1072">
        <v>-0.36218259999999902</v>
      </c>
      <c r="V1072">
        <v>0.16753119999999999</v>
      </c>
      <c r="W1072">
        <v>3.2656409999999997E-2</v>
      </c>
      <c r="X1072">
        <v>0.98532580000000003</v>
      </c>
      <c r="Y1072">
        <v>0.39246059999999999</v>
      </c>
      <c r="Z1072">
        <v>9.5660209999999996E-2</v>
      </c>
      <c r="AA1072">
        <v>0.914780699999999</v>
      </c>
      <c r="AB1072">
        <v>33</v>
      </c>
      <c r="AC1072">
        <v>-7.4162999999999997</v>
      </c>
      <c r="AD1072">
        <v>-1.0937311959179901</v>
      </c>
      <c r="AE1072">
        <v>-0.746700000000032</v>
      </c>
      <c r="AF1072">
        <v>3.0325766774960798</v>
      </c>
      <c r="AG1072">
        <v>-1.0937311959179901</v>
      </c>
      <c r="AH1072">
        <v>6.6366526921889504</v>
      </c>
      <c r="AI1072">
        <v>98.524834972495597</v>
      </c>
      <c r="AJ1072">
        <v>65.442267524816202</v>
      </c>
      <c r="AK1072">
        <v>7.37820629899681</v>
      </c>
    </row>
    <row r="1073" spans="1:37" x14ac:dyDescent="0.2">
      <c r="A1073" t="str">
        <f>"20200111154046506"</f>
        <v>20200111154046506</v>
      </c>
      <c r="B1073" t="str">
        <f>"1578728446497533"</f>
        <v>1578728446497533</v>
      </c>
      <c r="C1073" t="s">
        <v>37</v>
      </c>
      <c r="D1073">
        <v>5.8574359999999999</v>
      </c>
      <c r="E1073">
        <v>0.59500299999999995</v>
      </c>
      <c r="F1073" t="s">
        <v>44</v>
      </c>
      <c r="G1073">
        <v>-210.78020000000001</v>
      </c>
      <c r="H1073" s="1">
        <v>-1.121633E-6</v>
      </c>
      <c r="I1073">
        <v>284.31830000000002</v>
      </c>
      <c r="J1073">
        <v>-203.53479999999999</v>
      </c>
      <c r="K1073">
        <v>1.093815</v>
      </c>
      <c r="L1073">
        <v>284.96129999999999</v>
      </c>
      <c r="M1073">
        <v>-0.87257859999999998</v>
      </c>
      <c r="N1073">
        <v>0</v>
      </c>
      <c r="O1073">
        <v>-0.48819269999999998</v>
      </c>
      <c r="P1073">
        <v>-0.93960049999999995</v>
      </c>
      <c r="Q1073">
        <v>2.0300189999999999E-2</v>
      </c>
      <c r="R1073">
        <v>-0.3416708</v>
      </c>
      <c r="S1073">
        <v>-3.0946199999999999</v>
      </c>
      <c r="T1073">
        <v>-0.44795180000000001</v>
      </c>
      <c r="U1073">
        <v>-0.33056639999999998</v>
      </c>
      <c r="V1073">
        <v>0.16192899999999999</v>
      </c>
      <c r="W1073">
        <v>3.0205249999999999E-2</v>
      </c>
      <c r="X1073">
        <v>0.98633999999999999</v>
      </c>
      <c r="Y1073">
        <v>0.38426969999999999</v>
      </c>
      <c r="Z1073">
        <v>9.4864840000000006E-2</v>
      </c>
      <c r="AA1073">
        <v>0.91833410000000004</v>
      </c>
      <c r="AB1073">
        <v>33</v>
      </c>
      <c r="AC1073">
        <v>-7.2454000000000098</v>
      </c>
      <c r="AD1073">
        <v>-1.093816121633</v>
      </c>
      <c r="AE1073">
        <v>-0.64299999999997204</v>
      </c>
      <c r="AF1073">
        <v>2.9106730125669702</v>
      </c>
      <c r="AG1073">
        <v>-1.093816121633</v>
      </c>
      <c r="AH1073">
        <v>6.4902365258858898</v>
      </c>
      <c r="AI1073">
        <v>98.742258532271293</v>
      </c>
      <c r="AJ1073">
        <v>65.845221360862496</v>
      </c>
      <c r="AK1073">
        <v>7.1966395808025103</v>
      </c>
    </row>
    <row r="1074" spans="1:37" x14ac:dyDescent="0.2">
      <c r="A1074" t="str">
        <f>"20200111154046530"</f>
        <v>20200111154046530</v>
      </c>
      <c r="B1074" t="str">
        <f>"1578728446527788"</f>
        <v>1578728446527788</v>
      </c>
      <c r="C1074" t="s">
        <v>37</v>
      </c>
      <c r="D1074">
        <v>5.7904929999999997</v>
      </c>
      <c r="E1074">
        <v>0.59576289999999998</v>
      </c>
      <c r="F1074" t="s">
        <v>44</v>
      </c>
      <c r="G1074">
        <v>-210.92439999999999</v>
      </c>
      <c r="H1074" s="1">
        <v>-1.0448820000000001E-6</v>
      </c>
      <c r="I1074">
        <v>284.2355</v>
      </c>
      <c r="J1074">
        <v>-203.84350000000001</v>
      </c>
      <c r="K1074">
        <v>1.093909</v>
      </c>
      <c r="L1074">
        <v>284.80540000000002</v>
      </c>
      <c r="M1074">
        <v>-0.88144820000000002</v>
      </c>
      <c r="N1074">
        <v>0</v>
      </c>
      <c r="O1074">
        <v>-0.47199150000000001</v>
      </c>
      <c r="P1074">
        <v>-0.94448140000000003</v>
      </c>
      <c r="Q1074">
        <v>2.096087E-2</v>
      </c>
      <c r="R1074">
        <v>-0.32789590000000002</v>
      </c>
      <c r="S1074">
        <v>-3.092285</v>
      </c>
      <c r="T1074">
        <v>-0.45772679999999999</v>
      </c>
      <c r="U1074">
        <v>-0.3037415</v>
      </c>
      <c r="V1074">
        <v>0.15814139999999999</v>
      </c>
      <c r="W1074">
        <v>3.1034079999999999E-2</v>
      </c>
      <c r="X1074">
        <v>0.98692860000000004</v>
      </c>
      <c r="Y1074">
        <v>0.37490229999999902</v>
      </c>
      <c r="Z1074">
        <v>9.427845E-2</v>
      </c>
      <c r="AA1074">
        <v>0.92225800000000002</v>
      </c>
      <c r="AB1074">
        <v>33</v>
      </c>
      <c r="AC1074">
        <v>-7.0808999999999802</v>
      </c>
      <c r="AD1074">
        <v>-1.0939100448819901</v>
      </c>
      <c r="AE1074">
        <v>-0.56990000000001795</v>
      </c>
      <c r="AF1074">
        <v>2.7743867548613501</v>
      </c>
      <c r="AG1074">
        <v>-1.0939100448819901</v>
      </c>
      <c r="AH1074">
        <v>6.3604986875227096</v>
      </c>
      <c r="AI1074">
        <v>98.958441809772395</v>
      </c>
      <c r="AJ1074">
        <v>66.433645322565994</v>
      </c>
      <c r="AK1074">
        <v>7.0249416087126297</v>
      </c>
    </row>
    <row r="1075" spans="1:37" x14ac:dyDescent="0.2">
      <c r="A1075" t="str">
        <f>"20200111154046552"</f>
        <v>20200111154046552</v>
      </c>
      <c r="B1075" t="str">
        <f>"1578728446547308"</f>
        <v>1578728446547308</v>
      </c>
      <c r="C1075" t="s">
        <v>37</v>
      </c>
      <c r="D1075">
        <v>5.7674820000000002</v>
      </c>
      <c r="E1075">
        <v>0.59698839999999997</v>
      </c>
      <c r="F1075" t="s">
        <v>44</v>
      </c>
      <c r="G1075">
        <v>-211.2517</v>
      </c>
      <c r="H1075" s="1">
        <v>-8.7070629999999996E-7</v>
      </c>
      <c r="I1075">
        <v>284.202</v>
      </c>
      <c r="J1075">
        <v>-204.13509999999999</v>
      </c>
      <c r="K1075">
        <v>1.09402</v>
      </c>
      <c r="L1075">
        <v>284.6644</v>
      </c>
      <c r="M1075">
        <v>-0.88942379999999999</v>
      </c>
      <c r="N1075">
        <v>0</v>
      </c>
      <c r="O1075">
        <v>-0.45678590000000002</v>
      </c>
      <c r="P1075">
        <v>-0.94932879999999997</v>
      </c>
      <c r="Q1075">
        <v>2.106968E-2</v>
      </c>
      <c r="R1075">
        <v>-0.31357809999999903</v>
      </c>
      <c r="S1075">
        <v>-3.098862</v>
      </c>
      <c r="T1075">
        <v>-0.45758729999999997</v>
      </c>
      <c r="U1075">
        <v>-0.2523804</v>
      </c>
      <c r="V1075">
        <v>0.15610950000000001</v>
      </c>
      <c r="W1075">
        <v>3.123712E-2</v>
      </c>
      <c r="X1075">
        <v>0.9872457</v>
      </c>
      <c r="Y1075">
        <v>0.37454720000000002</v>
      </c>
      <c r="Z1075">
        <v>9.2173379999999999E-2</v>
      </c>
      <c r="AA1075">
        <v>0.92261499999999996</v>
      </c>
      <c r="AB1075">
        <v>33</v>
      </c>
      <c r="AC1075">
        <v>-7.1166</v>
      </c>
      <c r="AD1075">
        <v>-1.0940208707062999</v>
      </c>
      <c r="AE1075">
        <v>-0.46240000000000198</v>
      </c>
      <c r="AF1075">
        <v>2.7745849570378298</v>
      </c>
      <c r="AG1075">
        <v>-1.0940208707062999</v>
      </c>
      <c r="AH1075">
        <v>6.3913728816820701</v>
      </c>
      <c r="AI1075">
        <v>98.923419207134799</v>
      </c>
      <c r="AJ1075">
        <v>66.533656435104206</v>
      </c>
      <c r="AK1075">
        <v>7.0530029534987797</v>
      </c>
    </row>
    <row r="1076" spans="1:37" x14ac:dyDescent="0.2">
      <c r="A1076" t="str">
        <f>"20200111154046574"</f>
        <v>20200111154046574</v>
      </c>
      <c r="B1076" t="str">
        <f>"1578728446567805"</f>
        <v>1578728446567805</v>
      </c>
      <c r="C1076" t="s">
        <v>37</v>
      </c>
      <c r="D1076">
        <v>5.7681139999999997</v>
      </c>
      <c r="E1076">
        <v>0.59744399999999998</v>
      </c>
      <c r="F1076" t="s">
        <v>44</v>
      </c>
      <c r="G1076">
        <v>-211.4897</v>
      </c>
      <c r="H1076" s="1">
        <v>-7.4404040000000001E-7</v>
      </c>
      <c r="I1076">
        <v>284.19749999999999</v>
      </c>
      <c r="J1076">
        <v>-204.4443</v>
      </c>
      <c r="K1076">
        <v>1.094168</v>
      </c>
      <c r="L1076">
        <v>284.5215</v>
      </c>
      <c r="M1076">
        <v>-0.897453099999999</v>
      </c>
      <c r="N1076">
        <v>0</v>
      </c>
      <c r="O1076">
        <v>-0.440803</v>
      </c>
      <c r="P1076">
        <v>-0.9535825</v>
      </c>
      <c r="Q1076">
        <v>2.0334069999999999E-2</v>
      </c>
      <c r="R1076">
        <v>-0.30044529999999903</v>
      </c>
      <c r="S1076">
        <v>-3.1052399999999998</v>
      </c>
      <c r="T1076">
        <v>-0.46191409999999899</v>
      </c>
      <c r="U1076">
        <v>-0.1971436</v>
      </c>
      <c r="V1076">
        <v>0.15204110000000001</v>
      </c>
      <c r="W1076">
        <v>3.068187E-2</v>
      </c>
      <c r="X1076">
        <v>0.98789780000000005</v>
      </c>
      <c r="Y1076">
        <v>0.37449490000000002</v>
      </c>
      <c r="Z1076">
        <v>9.0838650000000007E-2</v>
      </c>
      <c r="AA1076">
        <v>0.9227687</v>
      </c>
      <c r="AB1076">
        <v>33</v>
      </c>
      <c r="AC1076">
        <v>-7.0453999999999999</v>
      </c>
      <c r="AD1076">
        <v>-1.0941687440404</v>
      </c>
      <c r="AE1076">
        <v>-0.324000000000012</v>
      </c>
      <c r="AF1076">
        <v>2.7490749424835501</v>
      </c>
      <c r="AG1076">
        <v>-1.0941687440404</v>
      </c>
      <c r="AH1076">
        <v>6.31463092409916</v>
      </c>
      <c r="AI1076">
        <v>99.027276617448805</v>
      </c>
      <c r="AJ1076">
        <v>66.474096433176996</v>
      </c>
      <c r="AK1076">
        <v>6.9734626970691798</v>
      </c>
    </row>
    <row r="1077" spans="1:37" x14ac:dyDescent="0.2">
      <c r="A1077" t="str">
        <f>"20200111154046597"</f>
        <v>20200111154046597</v>
      </c>
      <c r="B1077" t="str">
        <f>"1578728446587326"</f>
        <v>1578728446587326</v>
      </c>
      <c r="C1077" t="s">
        <v>37</v>
      </c>
      <c r="D1077">
        <v>5.7727040000000001</v>
      </c>
      <c r="E1077">
        <v>0.59706599999999999</v>
      </c>
      <c r="F1077" t="s">
        <v>44</v>
      </c>
      <c r="G1077">
        <v>-211.95339999999999</v>
      </c>
      <c r="H1077" s="1">
        <v>-4.9727439999999998E-7</v>
      </c>
      <c r="I1077">
        <v>284.1626</v>
      </c>
      <c r="J1077">
        <v>-204.75099999999901</v>
      </c>
      <c r="K1077">
        <v>1.0943499999999999</v>
      </c>
      <c r="L1077">
        <v>284.38619999999997</v>
      </c>
      <c r="M1077">
        <v>-0.90498069999999897</v>
      </c>
      <c r="N1077">
        <v>0</v>
      </c>
      <c r="O1077">
        <v>-0.42513669999999998</v>
      </c>
      <c r="P1077">
        <v>-0.95717719999999995</v>
      </c>
      <c r="Q1077">
        <v>2.0941109999999999E-2</v>
      </c>
      <c r="R1077">
        <v>-0.28874499999999997</v>
      </c>
      <c r="S1077">
        <v>-3.1088709999999899</v>
      </c>
      <c r="T1077">
        <v>-0.45299799999999901</v>
      </c>
      <c r="U1077">
        <v>-0.1485901</v>
      </c>
      <c r="V1077">
        <v>0.14696870000000001</v>
      </c>
      <c r="W1077">
        <v>3.1509250000000003E-2</v>
      </c>
      <c r="X1077">
        <v>0.98863919999999905</v>
      </c>
      <c r="Y1077">
        <v>0.37335159999999901</v>
      </c>
      <c r="Z1077">
        <v>8.6942320000000003E-2</v>
      </c>
      <c r="AA1077">
        <v>0.92360689999999901</v>
      </c>
      <c r="AB1077">
        <v>33</v>
      </c>
      <c r="AC1077">
        <v>-7.2024000000000097</v>
      </c>
      <c r="AD1077">
        <v>-1.0943504972744</v>
      </c>
      <c r="AE1077">
        <v>-0.22359999999997601</v>
      </c>
      <c r="AF1077">
        <v>2.79555763880956</v>
      </c>
      <c r="AG1077">
        <v>-1.0943504972744</v>
      </c>
      <c r="AH1077">
        <v>6.46487454938769</v>
      </c>
      <c r="AI1077">
        <v>98.831549472268094</v>
      </c>
      <c r="AJ1077">
        <v>66.615255212360097</v>
      </c>
      <c r="AK1077">
        <v>7.1279273608891298</v>
      </c>
    </row>
    <row r="1078" spans="1:37" x14ac:dyDescent="0.2">
      <c r="A1078" t="str">
        <f>"20200111154046617"</f>
        <v>20200111154046617</v>
      </c>
      <c r="B1078" t="str">
        <f>"1578728446607820"</f>
        <v>1578728446607820</v>
      </c>
      <c r="C1078" t="s">
        <v>37</v>
      </c>
      <c r="D1078">
        <v>5.7794939999999997</v>
      </c>
      <c r="E1078">
        <v>0.59660000000000002</v>
      </c>
      <c r="F1078" t="s">
        <v>44</v>
      </c>
      <c r="G1078">
        <v>-212.5086</v>
      </c>
      <c r="H1078" s="1">
        <v>-2.01859399999999E-7</v>
      </c>
      <c r="I1078">
        <v>284.1087</v>
      </c>
      <c r="J1078">
        <v>-205.04519999999999</v>
      </c>
      <c r="K1078">
        <v>1.094562</v>
      </c>
      <c r="L1078">
        <v>284.26220000000001</v>
      </c>
      <c r="M1078">
        <v>-0.911784499999999</v>
      </c>
      <c r="N1078">
        <v>0</v>
      </c>
      <c r="O1078">
        <v>-0.41034409999999999</v>
      </c>
      <c r="P1078">
        <v>-0.96086489999999902</v>
      </c>
      <c r="Q1078">
        <v>2.3171130000000002E-2</v>
      </c>
      <c r="R1078">
        <v>-0.27604719999999999</v>
      </c>
      <c r="S1078">
        <v>-3.1102599999999998</v>
      </c>
      <c r="T1078">
        <v>-0.43876300000000001</v>
      </c>
      <c r="U1078">
        <v>-0.11126709999999999</v>
      </c>
      <c r="V1078">
        <v>0.14400439999999901</v>
      </c>
      <c r="W1078">
        <v>3.3871199999999997E-2</v>
      </c>
      <c r="X1078">
        <v>0.98899720000000002</v>
      </c>
      <c r="Y1078">
        <v>0.37003320000000001</v>
      </c>
      <c r="Z1078">
        <v>8.2117410000000002E-2</v>
      </c>
      <c r="AA1078">
        <v>0.92538220000000004</v>
      </c>
      <c r="AB1078">
        <v>33</v>
      </c>
      <c r="AC1078">
        <v>-7.4634</v>
      </c>
      <c r="AD1078">
        <v>-1.0945622018593999</v>
      </c>
      <c r="AE1078">
        <v>-0.15350000000000799</v>
      </c>
      <c r="AF1078">
        <v>2.8614735062932199</v>
      </c>
      <c r="AG1078">
        <v>-1.0945622018593999</v>
      </c>
      <c r="AH1078">
        <v>6.7243478481749799</v>
      </c>
      <c r="AI1078">
        <v>98.518362719180104</v>
      </c>
      <c r="AJ1078">
        <v>66.948346377054904</v>
      </c>
      <c r="AK1078">
        <v>7.3893809635322496</v>
      </c>
    </row>
    <row r="1079" spans="1:37" x14ac:dyDescent="0.2">
      <c r="A1079" t="str">
        <f>"20200111154046641"</f>
        <v>20200111154046641</v>
      </c>
      <c r="B1079" t="str">
        <f>"1578728446637100"</f>
        <v>1578728446637100</v>
      </c>
      <c r="C1079" t="s">
        <v>37</v>
      </c>
      <c r="D1079">
        <v>5.8416110000000003</v>
      </c>
      <c r="E1079">
        <v>0.59617779999999998</v>
      </c>
      <c r="F1079" t="s">
        <v>44</v>
      </c>
      <c r="G1079">
        <v>-212.9298</v>
      </c>
      <c r="H1079" s="1">
        <v>2.2298110000000001E-8</v>
      </c>
      <c r="I1079">
        <v>284.07190000000003</v>
      </c>
      <c r="J1079">
        <v>-205.3612</v>
      </c>
      <c r="K1079">
        <v>1.0948389999999999</v>
      </c>
      <c r="L1079">
        <v>284.13490000000002</v>
      </c>
      <c r="M1079">
        <v>-0.9186474</v>
      </c>
      <c r="N1079">
        <v>0</v>
      </c>
      <c r="O1079">
        <v>-0.39474379999999998</v>
      </c>
      <c r="P1079">
        <v>-0.964956699999999</v>
      </c>
      <c r="Q1079">
        <v>2.3063589999999998E-2</v>
      </c>
      <c r="R1079">
        <v>-0.26139420000000002</v>
      </c>
      <c r="S1079">
        <v>-3.1110229999999999</v>
      </c>
      <c r="T1079">
        <v>-0.43187950000000003</v>
      </c>
      <c r="U1079">
        <v>-7.5103760000000006E-2</v>
      </c>
      <c r="V1079">
        <v>0.1421685</v>
      </c>
      <c r="W1079">
        <v>3.3852140000000003E-2</v>
      </c>
      <c r="X1079">
        <v>0.98926340000000001</v>
      </c>
      <c r="Y1079">
        <v>0.36539949999999999</v>
      </c>
      <c r="Z1079">
        <v>7.8551259999999998E-2</v>
      </c>
      <c r="AA1079">
        <v>0.92753050000000004</v>
      </c>
      <c r="AB1079">
        <v>33</v>
      </c>
      <c r="AC1079">
        <v>-7.5686</v>
      </c>
      <c r="AD1079">
        <v>-1.0948389777018901</v>
      </c>
      <c r="AE1079">
        <v>-6.2999999999988093E-2</v>
      </c>
      <c r="AF1079">
        <v>2.8701167907446998</v>
      </c>
      <c r="AG1079">
        <v>-1.0948389777018901</v>
      </c>
      <c r="AH1079">
        <v>6.8356386934300204</v>
      </c>
      <c r="AI1079">
        <v>98.400553954950595</v>
      </c>
      <c r="AJ1079">
        <v>67.223661246300395</v>
      </c>
      <c r="AK1079">
        <v>7.4941443225179301</v>
      </c>
    </row>
    <row r="1080" spans="1:37" x14ac:dyDescent="0.2">
      <c r="A1080" t="str">
        <f>"20200111154046662"</f>
        <v>20200111154046662</v>
      </c>
      <c r="B1080" t="str">
        <f>"1578728446657596"</f>
        <v>1578728446657596</v>
      </c>
      <c r="C1080" t="s">
        <v>37</v>
      </c>
      <c r="D1080">
        <v>5.8024969999999998</v>
      </c>
      <c r="E1080">
        <v>0.5952712</v>
      </c>
      <c r="F1080" t="s">
        <v>44</v>
      </c>
      <c r="G1080">
        <v>-213.39869999999999</v>
      </c>
      <c r="H1080" s="1">
        <v>2.7181219999999998E-7</v>
      </c>
      <c r="I1080">
        <v>284.0539</v>
      </c>
      <c r="J1080">
        <v>-205.65469999999999</v>
      </c>
      <c r="K1080">
        <v>1.0951379999999999</v>
      </c>
      <c r="L1080">
        <v>284.02210000000002</v>
      </c>
      <c r="M1080">
        <v>-0.92460419999999999</v>
      </c>
      <c r="N1080">
        <v>0</v>
      </c>
      <c r="O1080">
        <v>-0.38058599999999998</v>
      </c>
      <c r="P1080">
        <v>-0.96826409999999996</v>
      </c>
      <c r="Q1080">
        <v>2.2499020000000002E-2</v>
      </c>
      <c r="R1080">
        <v>-0.24891569999999999</v>
      </c>
      <c r="S1080">
        <v>-3.1105800000000001</v>
      </c>
      <c r="T1080">
        <v>-0.42371149999999902</v>
      </c>
      <c r="U1080">
        <v>-3.1341550000000003E-2</v>
      </c>
      <c r="V1080">
        <v>0.13970009999999999</v>
      </c>
      <c r="W1080">
        <v>3.3400829999999999E-2</v>
      </c>
      <c r="X1080">
        <v>0.98963029999999996</v>
      </c>
      <c r="Y1080">
        <v>0.36456319999999998</v>
      </c>
      <c r="Z1080">
        <v>7.5285930000000001E-2</v>
      </c>
      <c r="AA1080">
        <v>0.92813020000000002</v>
      </c>
      <c r="AB1080">
        <v>33</v>
      </c>
      <c r="AC1080">
        <v>-7.7439999999999998</v>
      </c>
      <c r="AD1080">
        <v>-1.0951377281878001</v>
      </c>
      <c r="AE1080">
        <v>3.1799999999975598E-2</v>
      </c>
      <c r="AF1080">
        <v>2.9186799817934101</v>
      </c>
      <c r="AG1080">
        <v>-1.0951377281878001</v>
      </c>
      <c r="AH1080">
        <v>7.0088004567593902</v>
      </c>
      <c r="AI1080">
        <v>98.207987944002895</v>
      </c>
      <c r="AJ1080">
        <v>67.391653826800095</v>
      </c>
      <c r="AK1080">
        <v>7.6708085181741197</v>
      </c>
    </row>
    <row r="1081" spans="1:37" x14ac:dyDescent="0.2">
      <c r="A1081" t="str">
        <f>"20200111154046685"</f>
        <v>20200111154046685</v>
      </c>
      <c r="B1081" t="str">
        <f>"1578728446677116"</f>
        <v>1578728446677116</v>
      </c>
      <c r="C1081" t="s">
        <v>37</v>
      </c>
      <c r="D1081">
        <v>5.8499419999999898</v>
      </c>
      <c r="E1081">
        <v>0.59486450000000002</v>
      </c>
      <c r="F1081" t="s">
        <v>44</v>
      </c>
      <c r="G1081">
        <v>-213.7381</v>
      </c>
      <c r="H1081" s="1">
        <v>4.5241680000000001E-7</v>
      </c>
      <c r="I1081">
        <v>284.03089999999997</v>
      </c>
      <c r="J1081">
        <v>-205.98500000000001</v>
      </c>
      <c r="K1081">
        <v>1.095513</v>
      </c>
      <c r="L1081">
        <v>283.90120000000002</v>
      </c>
      <c r="M1081">
        <v>-0.93082900000000002</v>
      </c>
      <c r="N1081">
        <v>0</v>
      </c>
      <c r="O1081">
        <v>-0.36510149999999902</v>
      </c>
      <c r="P1081">
        <v>-0.971520099999999</v>
      </c>
      <c r="Q1081">
        <v>2.403458E-2</v>
      </c>
      <c r="R1081">
        <v>-0.235735799999999</v>
      </c>
      <c r="S1081">
        <v>-3.108978</v>
      </c>
      <c r="T1081">
        <v>-0.42120580000000002</v>
      </c>
      <c r="U1081">
        <v>3.3569339999999998E-3</v>
      </c>
      <c r="V1081">
        <v>0.1366377</v>
      </c>
      <c r="W1081">
        <v>3.5076879999999998E-2</v>
      </c>
      <c r="X1081">
        <v>0.98999989999999904</v>
      </c>
      <c r="Y1081">
        <v>0.35965130000000001</v>
      </c>
      <c r="Z1081">
        <v>7.2615669999999993E-2</v>
      </c>
      <c r="AA1081">
        <v>0.93025689999999905</v>
      </c>
      <c r="AB1081">
        <v>33</v>
      </c>
      <c r="AC1081">
        <v>-7.7530999999999803</v>
      </c>
      <c r="AD1081">
        <v>-1.0955125475831999</v>
      </c>
      <c r="AE1081">
        <v>0.12969999999995699</v>
      </c>
      <c r="AF1081">
        <v>2.8940134017483401</v>
      </c>
      <c r="AG1081">
        <v>-1.0955125475831999</v>
      </c>
      <c r="AH1081">
        <v>7.0300620073683699</v>
      </c>
      <c r="AI1081">
        <v>98.199884003794494</v>
      </c>
      <c r="AJ1081">
        <v>67.624868663128694</v>
      </c>
      <c r="AK1081">
        <v>7.6809656384373604</v>
      </c>
    </row>
    <row r="1082" spans="1:37" x14ac:dyDescent="0.2">
      <c r="A1082" t="str">
        <f>"20200111154046708"</f>
        <v>20200111154046708</v>
      </c>
      <c r="B1082" t="str">
        <f>"1578728446697613"</f>
        <v>1578728446697613</v>
      </c>
      <c r="C1082" t="s">
        <v>37</v>
      </c>
      <c r="D1082">
        <v>5.85487</v>
      </c>
      <c r="E1082">
        <v>0.57906499999999905</v>
      </c>
      <c r="F1082" t="s">
        <v>44</v>
      </c>
      <c r="G1082">
        <v>-214.15199999999999</v>
      </c>
      <c r="H1082" s="1">
        <v>6.7268990000000003E-7</v>
      </c>
      <c r="I1082">
        <v>284.0102</v>
      </c>
      <c r="J1082">
        <v>-206.30119999999999</v>
      </c>
      <c r="K1082">
        <v>1.095912</v>
      </c>
      <c r="L1082">
        <v>283.79109999999997</v>
      </c>
      <c r="M1082">
        <v>-0.93633459999999902</v>
      </c>
      <c r="N1082">
        <v>0</v>
      </c>
      <c r="O1082">
        <v>-0.35074559999999999</v>
      </c>
      <c r="P1082">
        <v>-0.97431869999999998</v>
      </c>
      <c r="Q1082">
        <v>2.4072570000000001E-2</v>
      </c>
      <c r="R1082">
        <v>-0.22388269999999999</v>
      </c>
      <c r="S1082">
        <v>-3.1083219999999998</v>
      </c>
      <c r="T1082">
        <v>-0.41694779999999998</v>
      </c>
      <c r="U1082">
        <v>4.1473389999999999E-2</v>
      </c>
      <c r="V1082">
        <v>0.133439</v>
      </c>
      <c r="W1082">
        <v>3.5256530000000001E-2</v>
      </c>
      <c r="X1082">
        <v>0.99042969999999897</v>
      </c>
      <c r="Y1082">
        <v>0.35701050000000001</v>
      </c>
      <c r="Z1082">
        <v>6.9935020000000001E-2</v>
      </c>
      <c r="AA1082">
        <v>0.93147869999999999</v>
      </c>
      <c r="AB1082">
        <v>33</v>
      </c>
      <c r="AC1082">
        <v>-7.85080000000002</v>
      </c>
      <c r="AD1082">
        <v>-1.0959113273101</v>
      </c>
      <c r="AE1082">
        <v>0.219100000000025</v>
      </c>
      <c r="AF1082">
        <v>2.90264488556913</v>
      </c>
      <c r="AG1082">
        <v>-1.0959113273101</v>
      </c>
      <c r="AH1082">
        <v>7.1361089954071204</v>
      </c>
      <c r="AI1082">
        <v>98.096283995667406</v>
      </c>
      <c r="AJ1082">
        <v>67.865742050484798</v>
      </c>
      <c r="AK1082">
        <v>7.7814150746106296</v>
      </c>
    </row>
    <row r="1083" spans="1:37" x14ac:dyDescent="0.2">
      <c r="A1083" t="str">
        <f>"20200111154046730"</f>
        <v>20200111154046730</v>
      </c>
      <c r="B1083" t="str">
        <f>"1578728446727763"</f>
        <v>1578728446727763</v>
      </c>
      <c r="C1083" t="s">
        <v>37</v>
      </c>
      <c r="D1083">
        <v>5.7349969999999999</v>
      </c>
      <c r="E1083">
        <v>0.57779769999999997</v>
      </c>
      <c r="F1083" t="s">
        <v>44</v>
      </c>
      <c r="G1083">
        <v>-214.32570000000001</v>
      </c>
      <c r="H1083" s="1">
        <v>7.6513939999999998E-7</v>
      </c>
      <c r="I1083">
        <v>283.67619999999999</v>
      </c>
      <c r="J1083">
        <v>-206.62020000000001</v>
      </c>
      <c r="K1083">
        <v>1.0963069999999999</v>
      </c>
      <c r="L1083">
        <v>283.68509999999998</v>
      </c>
      <c r="M1083">
        <v>-0.94148750000000003</v>
      </c>
      <c r="N1083">
        <v>0</v>
      </c>
      <c r="O1083">
        <v>-0.33667390000000003</v>
      </c>
      <c r="P1083">
        <v>-0.97653939999999995</v>
      </c>
      <c r="Q1083">
        <v>2.3652090000000001E-2</v>
      </c>
      <c r="R1083">
        <v>-0.214035</v>
      </c>
      <c r="S1083">
        <v>-3.079361</v>
      </c>
      <c r="T1083">
        <v>-0.42054839999999999</v>
      </c>
      <c r="U1083">
        <v>-4.4067380000000003E-2</v>
      </c>
      <c r="V1083">
        <v>0.12854569999999901</v>
      </c>
      <c r="W1083">
        <v>3.5032559999999997E-2</v>
      </c>
      <c r="X1083">
        <v>0.99108459999999998</v>
      </c>
      <c r="Y1083">
        <v>0.31724089999999999</v>
      </c>
      <c r="Z1083">
        <v>6.6613499999999895E-2</v>
      </c>
      <c r="AA1083">
        <v>0.94600260000000003</v>
      </c>
      <c r="AB1083">
        <v>33</v>
      </c>
      <c r="AC1083">
        <v>-7.7054999999999998</v>
      </c>
      <c r="AD1083">
        <v>-1.0963062348605901</v>
      </c>
      <c r="AE1083">
        <v>-8.8999999999828001E-3</v>
      </c>
      <c r="AF1083">
        <v>2.5348754344029301</v>
      </c>
      <c r="AG1083">
        <v>-1.0963062348605901</v>
      </c>
      <c r="AH1083">
        <v>7.1145278969777799</v>
      </c>
      <c r="AI1083">
        <v>98.259124929243001</v>
      </c>
      <c r="AJ1083">
        <v>70.389237111174594</v>
      </c>
      <c r="AK1083">
        <v>7.6317748935230503</v>
      </c>
    </row>
    <row r="1084" spans="1:37" x14ac:dyDescent="0.2">
      <c r="A1084" t="str">
        <f>"20200111154046752"</f>
        <v>20200111154046752</v>
      </c>
      <c r="B1084" t="str">
        <f>"1578728446747283"</f>
        <v>1578728446747283</v>
      </c>
      <c r="C1084" t="s">
        <v>37</v>
      </c>
      <c r="D1084">
        <v>5.7968299999999999</v>
      </c>
      <c r="E1084">
        <v>0.57831969999999899</v>
      </c>
      <c r="F1084" t="s">
        <v>44</v>
      </c>
      <c r="G1084">
        <v>-214.8811</v>
      </c>
      <c r="H1084" s="1">
        <v>1.060666E-6</v>
      </c>
      <c r="I1084">
        <v>283.62619999999998</v>
      </c>
      <c r="J1084">
        <v>-206.91640000000001</v>
      </c>
      <c r="K1084">
        <v>1.096679</v>
      </c>
      <c r="L1084">
        <v>283.59120000000001</v>
      </c>
      <c r="M1084">
        <v>-0.94592489999999996</v>
      </c>
      <c r="N1084">
        <v>0</v>
      </c>
      <c r="O1084">
        <v>-0.32400200000000001</v>
      </c>
      <c r="P1084">
        <v>-0.97813079999999997</v>
      </c>
      <c r="Q1084">
        <v>2.3894840000000001E-2</v>
      </c>
      <c r="R1084">
        <v>-0.20661399999999999</v>
      </c>
      <c r="S1084">
        <v>-3.0771329999999999</v>
      </c>
      <c r="T1084">
        <v>-0.40837099999999998</v>
      </c>
      <c r="U1084">
        <v>-2.1942139999999999E-2</v>
      </c>
      <c r="V1084">
        <v>0.122734</v>
      </c>
      <c r="W1084">
        <v>3.5496710000000001E-2</v>
      </c>
      <c r="X1084">
        <v>0.99180460000000004</v>
      </c>
      <c r="Y1084">
        <v>0.31179609999999902</v>
      </c>
      <c r="Z1084">
        <v>6.2806440000000005E-2</v>
      </c>
      <c r="AA1084">
        <v>0.94807090000000005</v>
      </c>
      <c r="AB1084">
        <v>33</v>
      </c>
      <c r="AC1084">
        <v>-7.9646999999999899</v>
      </c>
      <c r="AD1084">
        <v>-1.096677939334</v>
      </c>
      <c r="AE1084">
        <v>3.4999999999968098E-2</v>
      </c>
      <c r="AF1084">
        <v>2.56537484375183</v>
      </c>
      <c r="AG1084">
        <v>-1.096677939334</v>
      </c>
      <c r="AH1084">
        <v>7.3836193220703796</v>
      </c>
      <c r="AI1084">
        <v>97.986548748168502</v>
      </c>
      <c r="AJ1084">
        <v>70.840657793223201</v>
      </c>
      <c r="AK1084">
        <v>7.8931416359284698</v>
      </c>
    </row>
    <row r="1085" spans="1:37" x14ac:dyDescent="0.2">
      <c r="A1085" t="str">
        <f>"20200111154046775"</f>
        <v>20200111154046775</v>
      </c>
      <c r="B1085" t="str">
        <f>"1578728446767779"</f>
        <v>1578728446767779</v>
      </c>
      <c r="C1085" t="s">
        <v>37</v>
      </c>
      <c r="D1085">
        <v>5.9077080000000004</v>
      </c>
      <c r="E1085">
        <v>0.57696269999999905</v>
      </c>
      <c r="F1085" t="s">
        <v>44</v>
      </c>
      <c r="G1085">
        <v>-219.8639</v>
      </c>
      <c r="H1085" s="1">
        <v>3.7122649999999899E-6</v>
      </c>
      <c r="I1085">
        <v>283.59829999999999</v>
      </c>
      <c r="J1085">
        <v>-207.25229999999999</v>
      </c>
      <c r="K1085">
        <v>1.0971040000000001</v>
      </c>
      <c r="L1085">
        <v>283.4896</v>
      </c>
      <c r="M1085">
        <v>-0.95057669999999905</v>
      </c>
      <c r="N1085">
        <v>0</v>
      </c>
      <c r="O1085">
        <v>-0.31009419999999999</v>
      </c>
      <c r="P1085">
        <v>-0.98009939999999995</v>
      </c>
      <c r="Q1085">
        <v>2.5804339999999999E-2</v>
      </c>
      <c r="R1085">
        <v>-0.196822</v>
      </c>
      <c r="S1085">
        <v>-3.0737919999999899</v>
      </c>
      <c r="T1085">
        <v>-0.26035589999999997</v>
      </c>
      <c r="U1085">
        <v>1.6784669999999999E-3</v>
      </c>
      <c r="V1085">
        <v>0.1181126</v>
      </c>
      <c r="W1085">
        <v>3.7577659999999999E-2</v>
      </c>
      <c r="X1085">
        <v>0.99228890000000003</v>
      </c>
      <c r="Y1085">
        <v>0.30846430000000002</v>
      </c>
      <c r="Z1085">
        <v>3.893083E-2</v>
      </c>
      <c r="AA1085">
        <v>0.95043889999999998</v>
      </c>
      <c r="AB1085">
        <v>33</v>
      </c>
      <c r="AC1085">
        <v>-12.611599999999999</v>
      </c>
      <c r="AD1085">
        <v>-1.097100287735</v>
      </c>
      <c r="AE1085">
        <v>0.10869999999999801</v>
      </c>
      <c r="AF1085">
        <v>3.9844544631184902</v>
      </c>
      <c r="AG1085">
        <v>-1.097100287735</v>
      </c>
      <c r="AH1085">
        <v>11.866262472231</v>
      </c>
      <c r="AI1085">
        <v>95.008966965083502</v>
      </c>
      <c r="AJ1085">
        <v>71.438974922296296</v>
      </c>
      <c r="AK1085">
        <v>12.5653369023632</v>
      </c>
    </row>
    <row r="1086" spans="1:37" x14ac:dyDescent="0.2">
      <c r="A1086" t="str">
        <f>"20200111154046798"</f>
        <v>20200111154046798</v>
      </c>
      <c r="B1086" t="str">
        <f>"1578728446787299"</f>
        <v>1578728446787299</v>
      </c>
      <c r="C1086" t="s">
        <v>37</v>
      </c>
      <c r="D1086">
        <v>5.7785060000000001</v>
      </c>
      <c r="E1086">
        <v>0.57586029999999999</v>
      </c>
      <c r="F1086" t="s">
        <v>44</v>
      </c>
      <c r="G1086">
        <v>-220.15309999999999</v>
      </c>
      <c r="H1086" s="1">
        <v>-1.455327E-6</v>
      </c>
      <c r="I1086">
        <v>283.5788</v>
      </c>
      <c r="J1086">
        <v>-207.5703</v>
      </c>
      <c r="K1086">
        <v>1.0975200000000001</v>
      </c>
      <c r="L1086">
        <v>283.39819999999997</v>
      </c>
      <c r="M1086">
        <v>-0.95463129999999996</v>
      </c>
      <c r="N1086">
        <v>0</v>
      </c>
      <c r="O1086">
        <v>-0.29738309999999901</v>
      </c>
      <c r="P1086">
        <v>-0.98167229999999905</v>
      </c>
      <c r="Q1086">
        <v>2.6896420000000001E-2</v>
      </c>
      <c r="R1086">
        <v>-0.18866910000000001</v>
      </c>
      <c r="S1086">
        <v>-3.0720830000000001</v>
      </c>
      <c r="T1086">
        <v>-0.26125599999999999</v>
      </c>
      <c r="U1086">
        <v>2.1240229999999999E-2</v>
      </c>
      <c r="V1086">
        <v>0.11310489999999999</v>
      </c>
      <c r="W1086">
        <v>3.8845129999999999E-2</v>
      </c>
      <c r="X1086">
        <v>0.99282340000000002</v>
      </c>
      <c r="Y1086">
        <v>0.30187379999999903</v>
      </c>
      <c r="Z1086">
        <v>3.7773670000000002E-2</v>
      </c>
      <c r="AA1086">
        <v>0.95259930000000004</v>
      </c>
      <c r="AB1086">
        <v>33</v>
      </c>
      <c r="AC1086">
        <v>-12.582799999999899</v>
      </c>
      <c r="AD1086">
        <v>-1.0975214553270001</v>
      </c>
      <c r="AE1086">
        <v>0.18060000000002599</v>
      </c>
      <c r="AF1086">
        <v>3.8852400494150601</v>
      </c>
      <c r="AG1086">
        <v>-1.0975214553270001</v>
      </c>
      <c r="AH1086">
        <v>11.8693928339074</v>
      </c>
      <c r="AI1086">
        <v>95.022157507925002</v>
      </c>
      <c r="AJ1086">
        <v>71.875037602244007</v>
      </c>
      <c r="AK1086">
        <v>12.5372297511091</v>
      </c>
    </row>
    <row r="1087" spans="1:37" x14ac:dyDescent="0.2">
      <c r="A1087" t="str">
        <f>"20200111154046820"</f>
        <v>20200111154046820</v>
      </c>
      <c r="B1087" t="str">
        <f>"1578728446807794"</f>
        <v>1578728446807794</v>
      </c>
      <c r="C1087" t="s">
        <v>37</v>
      </c>
      <c r="D1087">
        <v>5.6235569999999999</v>
      </c>
      <c r="E1087">
        <v>0.57665010000000005</v>
      </c>
      <c r="F1087" t="s">
        <v>44</v>
      </c>
      <c r="G1087">
        <v>-220.11359999999999</v>
      </c>
      <c r="H1087" s="1">
        <v>-1.476362E-6</v>
      </c>
      <c r="I1087">
        <v>283.55630000000002</v>
      </c>
      <c r="J1087">
        <v>-207.887</v>
      </c>
      <c r="K1087">
        <v>1.0979289999999999</v>
      </c>
      <c r="L1087">
        <v>283.31139999999999</v>
      </c>
      <c r="M1087">
        <v>-0.95836160000000004</v>
      </c>
      <c r="N1087">
        <v>0</v>
      </c>
      <c r="O1087">
        <v>-0.285138</v>
      </c>
      <c r="P1087">
        <v>-0.98279570000000005</v>
      </c>
      <c r="Q1087">
        <v>2.7273510000000001E-2</v>
      </c>
      <c r="R1087">
        <v>-0.18267169999999999</v>
      </c>
      <c r="S1087">
        <v>-3.0708009999999999</v>
      </c>
      <c r="T1087">
        <v>-0.2686906</v>
      </c>
      <c r="U1087">
        <v>3.872681E-2</v>
      </c>
      <c r="V1087">
        <v>0.1064223</v>
      </c>
      <c r="W1087">
        <v>3.9440240000000001E-2</v>
      </c>
      <c r="X1087">
        <v>0.99353849999999999</v>
      </c>
      <c r="Y1087">
        <v>0.29504079999999999</v>
      </c>
      <c r="Z1087">
        <v>3.7532969999999999E-2</v>
      </c>
      <c r="AA1087">
        <v>0.95474720000000002</v>
      </c>
      <c r="AB1087">
        <v>33</v>
      </c>
      <c r="AC1087">
        <v>-12.2265999999999</v>
      </c>
      <c r="AD1087">
        <v>-1.0979304763619999</v>
      </c>
      <c r="AE1087">
        <v>0.24490000000002901</v>
      </c>
      <c r="AF1087">
        <v>3.6916596753827098</v>
      </c>
      <c r="AG1087">
        <v>-1.0979304763619999</v>
      </c>
      <c r="AH1087">
        <v>11.555920965164299</v>
      </c>
      <c r="AI1087">
        <v>95.171418656600295</v>
      </c>
      <c r="AJ1087">
        <v>72.283375325155902</v>
      </c>
      <c r="AK1087">
        <v>12.180850210182101</v>
      </c>
    </row>
    <row r="1088" spans="1:37" x14ac:dyDescent="0.2">
      <c r="A1088" t="str">
        <f>"20200111154046842"</f>
        <v>20200111154046842</v>
      </c>
      <c r="B1088" t="str">
        <f>"1578728446837075"</f>
        <v>1578728446837075</v>
      </c>
      <c r="C1088" t="s">
        <v>37</v>
      </c>
      <c r="D1088">
        <v>5.6489469999999997</v>
      </c>
      <c r="E1088">
        <v>0.575457199999999</v>
      </c>
      <c r="F1088" t="s">
        <v>44</v>
      </c>
      <c r="G1088">
        <v>-220.7012</v>
      </c>
      <c r="H1088" s="1">
        <v>-1.1636350000000001E-6</v>
      </c>
      <c r="I1088">
        <v>283.57729999999998</v>
      </c>
      <c r="J1088">
        <v>-208.21860000000001</v>
      </c>
      <c r="K1088">
        <v>1.0983719999999999</v>
      </c>
      <c r="L1088">
        <v>283.22480000000002</v>
      </c>
      <c r="M1088">
        <v>-0.96196399999999904</v>
      </c>
      <c r="N1088">
        <v>0</v>
      </c>
      <c r="O1088">
        <v>-0.2727446</v>
      </c>
      <c r="P1088">
        <v>-0.98385149999999999</v>
      </c>
      <c r="Q1088">
        <v>2.865258E-2</v>
      </c>
      <c r="R1088">
        <v>-0.17667869999999999</v>
      </c>
      <c r="S1088">
        <v>-3.0716860000000001</v>
      </c>
      <c r="T1088">
        <v>-0.26318409999999998</v>
      </c>
      <c r="U1088">
        <v>6.3751219999999997E-2</v>
      </c>
      <c r="V1088">
        <v>9.9636899999999903E-2</v>
      </c>
      <c r="W1088">
        <v>4.1027769999999998E-2</v>
      </c>
      <c r="X1088">
        <v>0.99417759999999999</v>
      </c>
      <c r="Y1088">
        <v>0.29063420000000001</v>
      </c>
      <c r="Z1088">
        <v>3.5543900000000003E-2</v>
      </c>
      <c r="AA1088">
        <v>0.95617379999999996</v>
      </c>
      <c r="AB1088">
        <v>32</v>
      </c>
      <c r="AC1088">
        <v>-12.4825999999999</v>
      </c>
      <c r="AD1088">
        <v>-1.09837316363499</v>
      </c>
      <c r="AE1088">
        <v>0.35249999999996301</v>
      </c>
      <c r="AF1088">
        <v>3.7153514701131298</v>
      </c>
      <c r="AG1088">
        <v>-1.09837316363499</v>
      </c>
      <c r="AH1088">
        <v>11.821615355301301</v>
      </c>
      <c r="AI1088">
        <v>95.065331382860407</v>
      </c>
      <c r="AJ1088">
        <v>72.552870489311402</v>
      </c>
      <c r="AK1088">
        <v>12.4402913857257</v>
      </c>
    </row>
    <row r="1089" spans="1:37" x14ac:dyDescent="0.2">
      <c r="A1089" t="str">
        <f>"20200111154046864"</f>
        <v>20200111154046864</v>
      </c>
      <c r="B1089" t="str">
        <f>"1578728446857571"</f>
        <v>1578728446857571</v>
      </c>
      <c r="C1089" t="s">
        <v>37</v>
      </c>
      <c r="D1089">
        <v>5.6444000000000001</v>
      </c>
      <c r="E1089">
        <v>0.57544569999999995</v>
      </c>
      <c r="F1089" t="s">
        <v>44</v>
      </c>
      <c r="G1089">
        <v>-220.90940000000001</v>
      </c>
      <c r="H1089" s="1">
        <v>-1.052872E-6</v>
      </c>
      <c r="I1089">
        <v>283.52589999999998</v>
      </c>
      <c r="J1089">
        <v>-208.51230000000001</v>
      </c>
      <c r="K1089">
        <v>1.0987709999999999</v>
      </c>
      <c r="L1089">
        <v>283.15199999999999</v>
      </c>
      <c r="M1089">
        <v>-0.96490560000000003</v>
      </c>
      <c r="N1089">
        <v>0</v>
      </c>
      <c r="O1089">
        <v>-0.26215319999999998</v>
      </c>
      <c r="P1089">
        <v>-0.98476030000000003</v>
      </c>
      <c r="Q1089">
        <v>3.2983529999999997E-2</v>
      </c>
      <c r="R1089">
        <v>-0.17076159999999899</v>
      </c>
      <c r="S1089">
        <v>-3.070068</v>
      </c>
      <c r="T1089">
        <v>-0.26571230000000001</v>
      </c>
      <c r="U1089">
        <v>7.2845460000000001E-2</v>
      </c>
      <c r="V1089">
        <v>9.4729359999999999E-2</v>
      </c>
      <c r="W1089">
        <v>4.5500119999999998E-2</v>
      </c>
      <c r="X1089">
        <v>0.99446270000000003</v>
      </c>
      <c r="Y1089">
        <v>0.28297849999999902</v>
      </c>
      <c r="Z1089">
        <v>3.4683199999999997E-2</v>
      </c>
      <c r="AA1089">
        <v>0.95849899999999999</v>
      </c>
      <c r="AB1089">
        <v>32</v>
      </c>
      <c r="AC1089">
        <v>-12.397099999999901</v>
      </c>
      <c r="AD1089">
        <v>-1.098772052872</v>
      </c>
      <c r="AE1089">
        <v>0.37389999999999102</v>
      </c>
      <c r="AF1089">
        <v>3.5830172622406402</v>
      </c>
      <c r="AG1089">
        <v>-1.098772052872</v>
      </c>
      <c r="AH1089">
        <v>11.7729948760468</v>
      </c>
      <c r="AI1089">
        <v>95.102203691113203</v>
      </c>
      <c r="AJ1089">
        <v>73.072790418110102</v>
      </c>
      <c r="AK1089">
        <v>12.3551091082641</v>
      </c>
    </row>
    <row r="1090" spans="1:37" x14ac:dyDescent="0.2">
      <c r="A1090" t="str">
        <f>"20200111154046886"</f>
        <v>20200111154046886</v>
      </c>
      <c r="B1090" t="str">
        <f>"1578728446877090"</f>
        <v>1578728446877090</v>
      </c>
      <c r="C1090" t="s">
        <v>37</v>
      </c>
      <c r="D1090">
        <v>5.5455509999999997</v>
      </c>
      <c r="E1090">
        <v>0.57617559999999901</v>
      </c>
      <c r="F1090" t="s">
        <v>44</v>
      </c>
      <c r="G1090">
        <v>-221.7039</v>
      </c>
      <c r="H1090" s="1">
        <v>-6.3006300000000005E-7</v>
      </c>
      <c r="I1090">
        <v>283.53829999999999</v>
      </c>
      <c r="J1090">
        <v>-208.84389999999999</v>
      </c>
      <c r="K1090">
        <v>1.0992219999999999</v>
      </c>
      <c r="L1090">
        <v>283.07380000000001</v>
      </c>
      <c r="M1090">
        <v>-0.96797599999999995</v>
      </c>
      <c r="N1090">
        <v>0</v>
      </c>
      <c r="O1090">
        <v>-0.2505849</v>
      </c>
      <c r="P1090">
        <v>-0.98584349999999998</v>
      </c>
      <c r="Q1090">
        <v>3.6736539999999998E-2</v>
      </c>
      <c r="R1090">
        <v>-0.16359389999999999</v>
      </c>
      <c r="S1090">
        <v>-3.0705719999999999</v>
      </c>
      <c r="T1090">
        <v>-0.25575759999999997</v>
      </c>
      <c r="U1090">
        <v>8.9904789999999998E-2</v>
      </c>
      <c r="V1090">
        <v>9.0077829999999998E-2</v>
      </c>
      <c r="W1090">
        <v>4.9377209999999998E-2</v>
      </c>
      <c r="X1090">
        <v>0.99470999999999998</v>
      </c>
      <c r="Y1090">
        <v>0.2770244</v>
      </c>
      <c r="Z1090">
        <v>3.2198499999999998E-2</v>
      </c>
      <c r="AA1090">
        <v>0.96032329999999999</v>
      </c>
      <c r="AB1090">
        <v>32</v>
      </c>
      <c r="AC1090">
        <v>-12.86</v>
      </c>
      <c r="AD1090">
        <v>-1.0992226300629999</v>
      </c>
      <c r="AE1090">
        <v>0.46449999999998598</v>
      </c>
      <c r="AF1090">
        <v>3.64596512252501</v>
      </c>
      <c r="AG1090">
        <v>-1.0992226300629999</v>
      </c>
      <c r="AH1090">
        <v>12.243852016138099</v>
      </c>
      <c r="AI1090">
        <v>94.9178270618917</v>
      </c>
      <c r="AJ1090">
        <v>73.417560353629398</v>
      </c>
      <c r="AK1090">
        <v>12.8223735812914</v>
      </c>
    </row>
    <row r="1091" spans="1:37" x14ac:dyDescent="0.2">
      <c r="A1091" t="str">
        <f>"20200111154046908"</f>
        <v>20200111154046908</v>
      </c>
      <c r="B1091" t="str">
        <f>"1578728446897587"</f>
        <v>1578728446897587</v>
      </c>
      <c r="C1091" t="s">
        <v>37</v>
      </c>
      <c r="D1091">
        <v>5.6333909999999996</v>
      </c>
      <c r="E1091">
        <v>0.57636860000000001</v>
      </c>
      <c r="F1091" t="s">
        <v>44</v>
      </c>
      <c r="G1091">
        <v>-222.48390000000001</v>
      </c>
      <c r="H1091" s="1">
        <v>-2.1499620000000001E-7</v>
      </c>
      <c r="I1091">
        <v>283.58550000000002</v>
      </c>
      <c r="J1091">
        <v>-209.1575</v>
      </c>
      <c r="K1091">
        <v>1.0996109999999999</v>
      </c>
      <c r="L1091">
        <v>283.00349999999997</v>
      </c>
      <c r="M1091">
        <v>-0.97066859999999999</v>
      </c>
      <c r="N1091">
        <v>0</v>
      </c>
      <c r="O1091">
        <v>-0.23994869999999999</v>
      </c>
      <c r="P1091">
        <v>-0.98666640000000005</v>
      </c>
      <c r="Q1091">
        <v>3.5994440000000003E-2</v>
      </c>
      <c r="R1091">
        <v>-0.15872600000000001</v>
      </c>
      <c r="S1091">
        <v>-3.07142599999999</v>
      </c>
      <c r="T1091">
        <v>-0.24752159999999901</v>
      </c>
      <c r="U1091">
        <v>0.1152344</v>
      </c>
      <c r="V1091">
        <v>8.4009940000000005E-2</v>
      </c>
      <c r="W1091">
        <v>4.8792830000000002E-2</v>
      </c>
      <c r="X1091">
        <v>0.99526959999999998</v>
      </c>
      <c r="Y1091">
        <v>0.2745455</v>
      </c>
      <c r="Z1091">
        <v>3.0220480000000001E-2</v>
      </c>
      <c r="AA1091">
        <v>0.96109909999999998</v>
      </c>
      <c r="AB1091">
        <v>32</v>
      </c>
      <c r="AC1091">
        <v>-13.3264</v>
      </c>
      <c r="AD1091">
        <v>-1.0996112149961901</v>
      </c>
      <c r="AE1091">
        <v>0.58200000000005003</v>
      </c>
      <c r="AF1091">
        <v>3.73760963561302</v>
      </c>
      <c r="AG1091">
        <v>-1.0996112149961901</v>
      </c>
      <c r="AH1091">
        <v>12.7109431000782</v>
      </c>
      <c r="AI1091">
        <v>94.744410491105995</v>
      </c>
      <c r="AJ1091">
        <v>73.614206192522104</v>
      </c>
      <c r="AK1091">
        <v>13.294620908690799</v>
      </c>
    </row>
    <row r="1092" spans="1:37" x14ac:dyDescent="0.2">
      <c r="A1092" t="str">
        <f>"20200111154046930"</f>
        <v>20200111154046930</v>
      </c>
      <c r="B1092" t="str">
        <f>"1578728446927842"</f>
        <v>1578728446927842</v>
      </c>
      <c r="C1092" t="s">
        <v>37</v>
      </c>
      <c r="D1092">
        <v>5.5593919999999999</v>
      </c>
      <c r="E1092">
        <v>0.57616940000000005</v>
      </c>
      <c r="F1092" t="s">
        <v>44</v>
      </c>
      <c r="G1092">
        <v>-222.54859999999999</v>
      </c>
      <c r="H1092" s="1">
        <v>-1.8054689999999999E-7</v>
      </c>
      <c r="I1092">
        <v>283.575999999999</v>
      </c>
      <c r="J1092">
        <v>-209.47450000000001</v>
      </c>
      <c r="K1092">
        <v>1.09998</v>
      </c>
      <c r="L1092">
        <v>282.93579999999997</v>
      </c>
      <c r="M1092">
        <v>-0.97319509999999898</v>
      </c>
      <c r="N1092">
        <v>0</v>
      </c>
      <c r="O1092">
        <v>-0.22949229999999901</v>
      </c>
      <c r="P1092">
        <v>-0.9875292</v>
      </c>
      <c r="Q1092">
        <v>3.3880569999999999E-2</v>
      </c>
      <c r="R1092">
        <v>-0.15374749999999901</v>
      </c>
      <c r="S1092">
        <v>-3.070862</v>
      </c>
      <c r="T1092">
        <v>-0.25216309999999997</v>
      </c>
      <c r="U1092">
        <v>0.1312866</v>
      </c>
      <c r="V1092">
        <v>7.8238000000000002E-2</v>
      </c>
      <c r="W1092">
        <v>4.6820510000000003E-2</v>
      </c>
      <c r="X1092">
        <v>0.99583459999999902</v>
      </c>
      <c r="Y1092">
        <v>0.26921250000000002</v>
      </c>
      <c r="Z1092">
        <v>2.9731850000000001E-2</v>
      </c>
      <c r="AA1092">
        <v>0.96262169999999903</v>
      </c>
      <c r="AB1092">
        <v>32</v>
      </c>
      <c r="AC1092">
        <v>-13.0740999999999</v>
      </c>
      <c r="AD1092">
        <v>-1.0999801805468901</v>
      </c>
      <c r="AE1092">
        <v>0.640199999999992</v>
      </c>
      <c r="AF1092">
        <v>3.5984408106066099</v>
      </c>
      <c r="AG1092">
        <v>-1.0999801805468901</v>
      </c>
      <c r="AH1092">
        <v>12.4899420098309</v>
      </c>
      <c r="AI1092">
        <v>94.837245586428295</v>
      </c>
      <c r="AJ1092">
        <v>73.927933922904103</v>
      </c>
      <c r="AK1092">
        <v>13.044438817901399</v>
      </c>
    </row>
    <row r="1093" spans="1:37" x14ac:dyDescent="0.2">
      <c r="A1093" t="str">
        <f>"20200111154046952"</f>
        <v>20200111154046952</v>
      </c>
      <c r="B1093" t="str">
        <f>"1578728446947362"</f>
        <v>1578728446947362</v>
      </c>
      <c r="C1093" t="s">
        <v>37</v>
      </c>
      <c r="D1093">
        <v>5.6271079999999998</v>
      </c>
      <c r="E1093">
        <v>0.57608890000000001</v>
      </c>
      <c r="F1093" t="s">
        <v>44</v>
      </c>
      <c r="G1093">
        <v>-222.52199999999999</v>
      </c>
      <c r="H1093" s="1">
        <v>-1.9470849999999901E-7</v>
      </c>
      <c r="I1093">
        <v>283.55689999999998</v>
      </c>
      <c r="J1093">
        <v>-209.78399999999999</v>
      </c>
      <c r="K1093">
        <v>1.1003259999999999</v>
      </c>
      <c r="L1093">
        <v>282.87299999999999</v>
      </c>
      <c r="M1093">
        <v>-0.97548189999999901</v>
      </c>
      <c r="N1093">
        <v>0</v>
      </c>
      <c r="O1093">
        <v>-0.2195742</v>
      </c>
      <c r="P1093">
        <v>-0.98856429999999995</v>
      </c>
      <c r="Q1093">
        <v>3.2980839999999997E-2</v>
      </c>
      <c r="R1093">
        <v>-0.14714859999999999</v>
      </c>
      <c r="S1093">
        <v>-3.0695189999999899</v>
      </c>
      <c r="T1093">
        <v>-0.25877739999999999</v>
      </c>
      <c r="U1093">
        <v>0.1461182</v>
      </c>
      <c r="V1093">
        <v>7.4693609999999994E-2</v>
      </c>
      <c r="W1093">
        <v>4.5996469999999998E-2</v>
      </c>
      <c r="X1093">
        <v>0.99614519999999995</v>
      </c>
      <c r="Y1093">
        <v>0.26403199999999999</v>
      </c>
      <c r="Z1093">
        <v>2.9483740000000001E-2</v>
      </c>
      <c r="AA1093">
        <v>0.96406320000000001</v>
      </c>
      <c r="AB1093">
        <v>32</v>
      </c>
      <c r="AC1093">
        <v>-12.738</v>
      </c>
      <c r="AD1093">
        <v>-1.1003261947084999</v>
      </c>
      <c r="AE1093">
        <v>0.68389999999999396</v>
      </c>
      <c r="AF1093">
        <v>3.4388670161508399</v>
      </c>
      <c r="AG1093">
        <v>-1.1003261947084999</v>
      </c>
      <c r="AH1093">
        <v>12.186216806990201</v>
      </c>
      <c r="AI1093">
        <v>94.966466298003397</v>
      </c>
      <c r="AJ1093">
        <v>74.241296696528096</v>
      </c>
      <c r="AK1093">
        <v>12.7098546080001</v>
      </c>
    </row>
    <row r="1094" spans="1:37" x14ac:dyDescent="0.2">
      <c r="A1094" t="str">
        <f>"20200111154046975"</f>
        <v>20200111154046975</v>
      </c>
      <c r="B1094" t="str">
        <f>"1578728446967858"</f>
        <v>1578728446967858</v>
      </c>
      <c r="C1094" t="s">
        <v>37</v>
      </c>
      <c r="D1094">
        <v>5.555447</v>
      </c>
      <c r="E1094">
        <v>0.57617369999999901</v>
      </c>
      <c r="F1094" t="s">
        <v>44</v>
      </c>
      <c r="G1094">
        <v>-222.4066</v>
      </c>
      <c r="H1094" s="1">
        <v>-2.5610249999999999E-7</v>
      </c>
      <c r="I1094">
        <v>283.55059999999997</v>
      </c>
      <c r="J1094">
        <v>-210.1277</v>
      </c>
      <c r="K1094">
        <v>1.100733</v>
      </c>
      <c r="L1094">
        <v>282.8066</v>
      </c>
      <c r="M1094">
        <v>-0.97782359999999902</v>
      </c>
      <c r="N1094">
        <v>0</v>
      </c>
      <c r="O1094">
        <v>-0.2089056</v>
      </c>
      <c r="P1094">
        <v>-0.98975930000000001</v>
      </c>
      <c r="Q1094">
        <v>3.2324550000000001E-2</v>
      </c>
      <c r="R1094">
        <v>-0.1390392</v>
      </c>
      <c r="S1094">
        <v>-3.0681609999999999</v>
      </c>
      <c r="T1094">
        <v>-0.26745439999999998</v>
      </c>
      <c r="U1094">
        <v>0.1647034</v>
      </c>
      <c r="V1094">
        <v>7.1921589999999994E-2</v>
      </c>
      <c r="W1094">
        <v>4.5389609999999997E-2</v>
      </c>
      <c r="X1094">
        <v>0.99637699999999996</v>
      </c>
      <c r="Y1094">
        <v>0.25928279999999998</v>
      </c>
      <c r="Z1094">
        <v>2.936047E-2</v>
      </c>
      <c r="AA1094">
        <v>0.96535499999999996</v>
      </c>
      <c r="AB1094">
        <v>32</v>
      </c>
      <c r="AC1094">
        <v>-12.278899999999901</v>
      </c>
      <c r="AD1094">
        <v>-1.1007332561025001</v>
      </c>
      <c r="AE1094">
        <v>0.74399999999997102</v>
      </c>
      <c r="AF1094">
        <v>3.26683649661183</v>
      </c>
      <c r="AG1094">
        <v>-1.1007332561025001</v>
      </c>
      <c r="AH1094">
        <v>11.758327627355699</v>
      </c>
      <c r="AI1094">
        <v>95.153939535016306</v>
      </c>
      <c r="AJ1094">
        <v>74.473019288942794</v>
      </c>
      <c r="AK1094">
        <v>12.253248670818801</v>
      </c>
    </row>
    <row r="1095" spans="1:37" x14ac:dyDescent="0.2">
      <c r="A1095" t="str">
        <f>"20200111154046997"</f>
        <v>20200111154046997</v>
      </c>
      <c r="B1095" t="str">
        <f>"1578728446987379"</f>
        <v>1578728446987379</v>
      </c>
      <c r="C1095" t="s">
        <v>37</v>
      </c>
      <c r="D1095">
        <v>5.4097289999999996</v>
      </c>
      <c r="E1095">
        <v>0.57603909999999903</v>
      </c>
      <c r="F1095" t="s">
        <v>44</v>
      </c>
      <c r="G1095">
        <v>-222.60140000000001</v>
      </c>
      <c r="H1095" s="1">
        <v>-1.5245579999999999E-7</v>
      </c>
      <c r="I1095">
        <v>283.57909999999998</v>
      </c>
      <c r="J1095">
        <v>-210.43190000000001</v>
      </c>
      <c r="K1095">
        <v>1.101102</v>
      </c>
      <c r="L1095">
        <v>282.7509</v>
      </c>
      <c r="M1095">
        <v>-0.97973189999999999</v>
      </c>
      <c r="N1095">
        <v>0</v>
      </c>
      <c r="O1095">
        <v>-0.19977039999999999</v>
      </c>
      <c r="P1095">
        <v>-0.99057839999999997</v>
      </c>
      <c r="Q1095">
        <v>3.1931260000000003E-2</v>
      </c>
      <c r="R1095">
        <v>-0.13317309999999999</v>
      </c>
      <c r="S1095">
        <v>-3.0665589999999998</v>
      </c>
      <c r="T1095">
        <v>-0.2706054</v>
      </c>
      <c r="U1095">
        <v>0.18991089999999999</v>
      </c>
      <c r="V1095">
        <v>6.8476389999999998E-2</v>
      </c>
      <c r="W1095">
        <v>4.506284E-2</v>
      </c>
      <c r="X1095">
        <v>0.99663449999999998</v>
      </c>
      <c r="Y1095">
        <v>0.2582045</v>
      </c>
      <c r="Z1095">
        <v>2.8876619999999999E-2</v>
      </c>
      <c r="AA1095">
        <v>0.96565859999999903</v>
      </c>
      <c r="AB1095">
        <v>32</v>
      </c>
      <c r="AC1095">
        <v>-12.169499999999999</v>
      </c>
      <c r="AD1095">
        <v>-1.1011021524558</v>
      </c>
      <c r="AE1095">
        <v>0.82819999999998095</v>
      </c>
      <c r="AF1095">
        <v>3.2166595475778301</v>
      </c>
      <c r="AG1095">
        <v>-1.1011021524558</v>
      </c>
      <c r="AH1095">
        <v>11.663627918817401</v>
      </c>
      <c r="AI1095">
        <v>95.200009177721697</v>
      </c>
      <c r="AJ1095">
        <v>74.581915181753999</v>
      </c>
      <c r="AK1095">
        <v>12.1490551411945</v>
      </c>
    </row>
    <row r="1096" spans="1:37" x14ac:dyDescent="0.2">
      <c r="A1096" t="str">
        <f>"20200111154047021"</f>
        <v>20200111154047021</v>
      </c>
      <c r="B1096" t="str">
        <f>"1578728447017437"</f>
        <v>1578728447017437</v>
      </c>
      <c r="C1096" t="s">
        <v>37</v>
      </c>
      <c r="D1096">
        <v>5.3822469999999996</v>
      </c>
      <c r="E1096">
        <v>0.53664060000000002</v>
      </c>
      <c r="F1096" t="s">
        <v>44</v>
      </c>
      <c r="G1096">
        <v>-222.90090000000001</v>
      </c>
      <c r="H1096" s="1">
        <v>6.9202310000000001E-9</v>
      </c>
      <c r="I1096">
        <v>283.59589999999997</v>
      </c>
      <c r="J1096">
        <v>-210.77160000000001</v>
      </c>
      <c r="K1096">
        <v>1.101523</v>
      </c>
      <c r="L1096">
        <v>282.6918</v>
      </c>
      <c r="M1096">
        <v>-0.98168909999999998</v>
      </c>
      <c r="N1096">
        <v>0</v>
      </c>
      <c r="O1096">
        <v>-0.18992579999999901</v>
      </c>
      <c r="P1096">
        <v>-0.991361099999999</v>
      </c>
      <c r="Q1096">
        <v>3.2856330000000003E-2</v>
      </c>
      <c r="R1096">
        <v>-0.1269808</v>
      </c>
      <c r="S1096">
        <v>-3.0651700000000002</v>
      </c>
      <c r="T1096">
        <v>-0.27067759999999902</v>
      </c>
      <c r="U1096">
        <v>0.20773320000000001</v>
      </c>
      <c r="V1096">
        <v>6.4666619999999994E-2</v>
      </c>
      <c r="W1096">
        <v>4.6057920000000002E-2</v>
      </c>
      <c r="X1096">
        <v>0.99684349999999999</v>
      </c>
      <c r="Y1096">
        <v>0.25417829999999902</v>
      </c>
      <c r="Z1096">
        <v>2.7860380000000001E-2</v>
      </c>
      <c r="AA1096">
        <v>0.96675599999999995</v>
      </c>
      <c r="AB1096">
        <v>32</v>
      </c>
      <c r="AC1096">
        <v>-12.129300000000001</v>
      </c>
      <c r="AD1096">
        <v>-1.1015229930797601</v>
      </c>
      <c r="AE1096">
        <v>0.90409999999997104</v>
      </c>
      <c r="AF1096">
        <v>3.1655911959485401</v>
      </c>
      <c r="AG1096">
        <v>-1.1015229930797601</v>
      </c>
      <c r="AH1096">
        <v>11.641270280696601</v>
      </c>
      <c r="AI1096">
        <v>95.217017000288806</v>
      </c>
      <c r="AJ1096">
        <v>74.787496824068498</v>
      </c>
      <c r="AK1096">
        <v>12.1141856627831</v>
      </c>
    </row>
    <row r="1097" spans="1:37" x14ac:dyDescent="0.2">
      <c r="A1097" t="str">
        <f>"20200111154047043"</f>
        <v>20200111154047043</v>
      </c>
      <c r="B1097" t="str">
        <f>"1578728447036957"</f>
        <v>1578728447036957</v>
      </c>
      <c r="C1097" t="s">
        <v>37</v>
      </c>
      <c r="D1097">
        <v>5.3251359999999996</v>
      </c>
      <c r="E1097">
        <v>0.53601829999999995</v>
      </c>
      <c r="F1097" t="s">
        <v>38</v>
      </c>
      <c r="G1097">
        <v>-211.548</v>
      </c>
      <c r="H1097">
        <v>1.0378419999999999</v>
      </c>
      <c r="I1097">
        <v>282.67</v>
      </c>
      <c r="J1097">
        <v>-211.08940000000001</v>
      </c>
      <c r="K1097">
        <v>1.1019410000000001</v>
      </c>
      <c r="L1097">
        <v>282.63929999999999</v>
      </c>
      <c r="M1097">
        <v>-0.98336170000000001</v>
      </c>
      <c r="N1097">
        <v>0</v>
      </c>
      <c r="O1097">
        <v>-0.18107219999999999</v>
      </c>
      <c r="P1097">
        <v>-0.99202380000000001</v>
      </c>
      <c r="Q1097">
        <v>3.4748380000000002E-2</v>
      </c>
      <c r="R1097">
        <v>-0.1211671</v>
      </c>
      <c r="S1097">
        <v>-3.0234220000000001</v>
      </c>
      <c r="T1097">
        <v>-0.247812799999999</v>
      </c>
      <c r="U1097">
        <v>-8.5388179999999994E-2</v>
      </c>
      <c r="V1097">
        <v>6.150986E-2</v>
      </c>
      <c r="W1097">
        <v>4.8001259999999997E-2</v>
      </c>
      <c r="X1097">
        <v>0.99695159999999905</v>
      </c>
      <c r="Y1097">
        <v>0.152145</v>
      </c>
      <c r="Z1097">
        <v>2.0967530000000002E-2</v>
      </c>
      <c r="AA1097">
        <v>0.98813580000000001</v>
      </c>
      <c r="AB1097">
        <v>32</v>
      </c>
      <c r="AC1097">
        <v>-0.45859999999998902</v>
      </c>
      <c r="AD1097">
        <v>-6.40990000000001E-2</v>
      </c>
      <c r="AE1097">
        <v>3.0700000000024302E-2</v>
      </c>
      <c r="AF1097">
        <v>0.11108057225585501</v>
      </c>
      <c r="AG1097">
        <v>-6.40990000000001E-2</v>
      </c>
      <c r="AH1097">
        <v>0.436959781513798</v>
      </c>
      <c r="AI1097">
        <v>98.091583981810501</v>
      </c>
      <c r="AJ1097">
        <v>75.736829892055994</v>
      </c>
      <c r="AK1097">
        <v>0.45539150847844501</v>
      </c>
    </row>
    <row r="1098" spans="1:37" x14ac:dyDescent="0.2">
      <c r="A1098" t="str">
        <f>"20200111154047065"</f>
        <v>20200111154047065</v>
      </c>
      <c r="B1098" t="str">
        <f>"1578728447057452"</f>
        <v>1578728447057452</v>
      </c>
      <c r="C1098" t="s">
        <v>37</v>
      </c>
      <c r="D1098">
        <v>5.3272250000000003</v>
      </c>
      <c r="E1098">
        <v>0.53580340000000004</v>
      </c>
      <c r="F1098" t="s">
        <v>44</v>
      </c>
      <c r="G1098">
        <v>-225.55269999999999</v>
      </c>
      <c r="H1098" s="1">
        <v>1.41809E-6</v>
      </c>
      <c r="I1098">
        <v>282.29140000000001</v>
      </c>
      <c r="J1098">
        <v>-211.3965</v>
      </c>
      <c r="K1098">
        <v>1.102341</v>
      </c>
      <c r="L1098">
        <v>282.59129999999999</v>
      </c>
      <c r="M1098">
        <v>-0.98483589999999999</v>
      </c>
      <c r="N1098">
        <v>0</v>
      </c>
      <c r="O1098">
        <v>-0.1728807</v>
      </c>
      <c r="P1098">
        <v>-0.99254489999999995</v>
      </c>
      <c r="Q1098">
        <v>3.6757350000000001E-2</v>
      </c>
      <c r="R1098">
        <v>-0.1162053</v>
      </c>
      <c r="S1098">
        <v>-3.0232999999999999</v>
      </c>
      <c r="T1098">
        <v>-0.23034009999999999</v>
      </c>
      <c r="U1098">
        <v>-7.2723389999999999E-2</v>
      </c>
      <c r="V1098">
        <v>5.8178510000000003E-2</v>
      </c>
      <c r="W1098">
        <v>5.0061099999999997E-2</v>
      </c>
      <c r="X1098">
        <v>0.9970502</v>
      </c>
      <c r="Y1098">
        <v>0.14823839999999999</v>
      </c>
      <c r="Z1098">
        <v>1.873317E-2</v>
      </c>
      <c r="AA1098">
        <v>0.98877420000000005</v>
      </c>
      <c r="AB1098">
        <v>32</v>
      </c>
      <c r="AC1098">
        <v>-14.156199999999901</v>
      </c>
      <c r="AD1098">
        <v>-1.1023395819099999</v>
      </c>
      <c r="AE1098">
        <v>-0.29989999999997902</v>
      </c>
      <c r="AF1098">
        <v>2.1392421305270299</v>
      </c>
      <c r="AG1098">
        <v>-1.1023395819099999</v>
      </c>
      <c r="AH1098">
        <v>13.910542558310301</v>
      </c>
      <c r="AI1098">
        <v>94.478498988131307</v>
      </c>
      <c r="AJ1098">
        <v>81.257223017790295</v>
      </c>
      <c r="AK1098">
        <v>14.117177611457301</v>
      </c>
    </row>
    <row r="1099" spans="1:37" x14ac:dyDescent="0.2">
      <c r="A1099" t="str">
        <f>"20200111154047087"</f>
        <v>20200111154047087</v>
      </c>
      <c r="B1099" t="str">
        <f>"1578728447076973"</f>
        <v>1578728447076973</v>
      </c>
      <c r="C1099" t="s">
        <v>37</v>
      </c>
      <c r="D1099">
        <v>5.3192110000000001</v>
      </c>
      <c r="E1099">
        <v>0.53443379999999996</v>
      </c>
      <c r="F1099" t="s">
        <v>38</v>
      </c>
      <c r="G1099">
        <v>-212.40860000000001</v>
      </c>
      <c r="H1099">
        <v>1.027989</v>
      </c>
      <c r="I1099">
        <v>282.57170000000002</v>
      </c>
      <c r="J1099">
        <v>-211.72380000000001</v>
      </c>
      <c r="K1099">
        <v>1.102749</v>
      </c>
      <c r="L1099">
        <v>282.54259999999999</v>
      </c>
      <c r="M1099">
        <v>-0.98626809999999998</v>
      </c>
      <c r="N1099">
        <v>0</v>
      </c>
      <c r="O1099">
        <v>-0.16452120000000001</v>
      </c>
      <c r="P1099">
        <v>-0.99302209999999902</v>
      </c>
      <c r="Q1099">
        <v>3.9232410000000002E-2</v>
      </c>
      <c r="R1099">
        <v>-0.11121159999999999</v>
      </c>
      <c r="S1099">
        <v>-3.0238649999999998</v>
      </c>
      <c r="T1099">
        <v>-0.2221118</v>
      </c>
      <c r="U1099">
        <v>-5.9051510000000001E-2</v>
      </c>
      <c r="V1099">
        <v>5.4719009999999998E-2</v>
      </c>
      <c r="W1099">
        <v>5.2581669999999997E-2</v>
      </c>
      <c r="X1099">
        <v>0.99711629999999996</v>
      </c>
      <c r="Y1099">
        <v>0.14441999999999999</v>
      </c>
      <c r="Z1099">
        <v>1.7318529999999999E-2</v>
      </c>
      <c r="AA1099">
        <v>0.98936489999999999</v>
      </c>
      <c r="AB1099">
        <v>32</v>
      </c>
      <c r="AC1099">
        <v>-0.68479999999999497</v>
      </c>
      <c r="AD1099">
        <v>-7.4759999999999896E-2</v>
      </c>
      <c r="AE1099">
        <v>2.91000000000281E-2</v>
      </c>
      <c r="AF1099">
        <v>0.139717048526461</v>
      </c>
      <c r="AG1099">
        <v>-7.4759999999999896E-2</v>
      </c>
      <c r="AH1099">
        <v>0.66279351077357895</v>
      </c>
      <c r="AI1099">
        <v>96.298228240331099</v>
      </c>
      <c r="AJ1099">
        <v>78.096312738589802</v>
      </c>
      <c r="AK1099">
        <v>0.68147277948023099</v>
      </c>
    </row>
    <row r="1100" spans="1:37" x14ac:dyDescent="0.2">
      <c r="A1100" t="str">
        <f>"20200111154047109"</f>
        <v>20200111154047109</v>
      </c>
      <c r="B1100" t="str">
        <f>"1578728447097468"</f>
        <v>1578728447097468</v>
      </c>
      <c r="C1100" t="s">
        <v>37</v>
      </c>
      <c r="D1100">
        <v>5.3648309999999997</v>
      </c>
      <c r="E1100">
        <v>0.53403500000000004</v>
      </c>
      <c r="F1100" t="s">
        <v>38</v>
      </c>
      <c r="G1100">
        <v>-212.6953</v>
      </c>
      <c r="H1100">
        <v>1.031172</v>
      </c>
      <c r="I1100">
        <v>282.52499999999998</v>
      </c>
      <c r="J1100">
        <v>-212.04400000000001</v>
      </c>
      <c r="K1100">
        <v>1.1031070000000001</v>
      </c>
      <c r="L1100">
        <v>282.49740000000003</v>
      </c>
      <c r="M1100">
        <v>-0.98755029999999999</v>
      </c>
      <c r="N1100">
        <v>0</v>
      </c>
      <c r="O1100">
        <v>-0.1566467</v>
      </c>
      <c r="P1100">
        <v>-0.99350319999999903</v>
      </c>
      <c r="Q1100">
        <v>4.0482120000000003E-2</v>
      </c>
      <c r="R1100">
        <v>-0.1063612</v>
      </c>
      <c r="S1100">
        <v>-3.0237729999999998</v>
      </c>
      <c r="T1100">
        <v>-0.22278809999999999</v>
      </c>
      <c r="U1100">
        <v>-5.46875E-2</v>
      </c>
      <c r="V1100">
        <v>5.1601760000000003E-2</v>
      </c>
      <c r="W1100">
        <v>5.3865879999999998E-2</v>
      </c>
      <c r="X1100">
        <v>0.99721399999999905</v>
      </c>
      <c r="Y1100">
        <v>0.13798239999999901</v>
      </c>
      <c r="Z1100">
        <v>1.6562150000000001E-2</v>
      </c>
      <c r="AA1100">
        <v>0.99029619999999996</v>
      </c>
      <c r="AB1100">
        <v>32</v>
      </c>
      <c r="AC1100">
        <v>-0.651299999999992</v>
      </c>
      <c r="AD1100">
        <v>-7.1934999999999999E-2</v>
      </c>
      <c r="AE1100">
        <v>2.75999999999498E-2</v>
      </c>
      <c r="AF1100">
        <v>0.12773825141777501</v>
      </c>
      <c r="AG1100">
        <v>-7.1934999999999999E-2</v>
      </c>
      <c r="AH1100">
        <v>0.63124726691085697</v>
      </c>
      <c r="AI1100">
        <v>96.373123746207796</v>
      </c>
      <c r="AJ1100">
        <v>78.560191828627097</v>
      </c>
      <c r="AK1100">
        <v>0.648046925062297</v>
      </c>
    </row>
    <row r="1101" spans="1:37" x14ac:dyDescent="0.2">
      <c r="A1101" t="str">
        <f>"20200111154047132"</f>
        <v>20200111154047132</v>
      </c>
      <c r="B1101" t="str">
        <f>"1578728447126859"</f>
        <v>1578728447126859</v>
      </c>
      <c r="C1101" t="s">
        <v>37</v>
      </c>
      <c r="D1101">
        <v>5.3769419999999997</v>
      </c>
      <c r="E1101">
        <v>0.5331458</v>
      </c>
      <c r="F1101" t="s">
        <v>38</v>
      </c>
      <c r="G1101">
        <v>-212.9836</v>
      </c>
      <c r="H1101">
        <v>1.0344690000000001</v>
      </c>
      <c r="I1101">
        <v>282.48410000000001</v>
      </c>
      <c r="J1101">
        <v>-212.38299999999899</v>
      </c>
      <c r="K1101">
        <v>1.1034440000000001</v>
      </c>
      <c r="L1101">
        <v>282.452</v>
      </c>
      <c r="M1101">
        <v>-0.98878889999999997</v>
      </c>
      <c r="N1101">
        <v>0</v>
      </c>
      <c r="O1101">
        <v>-0.14863409999999999</v>
      </c>
      <c r="P1101">
        <v>-0.99396280000000004</v>
      </c>
      <c r="Q1101">
        <v>4.1831239999999999E-2</v>
      </c>
      <c r="R1101">
        <v>-0.1014297</v>
      </c>
      <c r="S1101">
        <v>-3.0239560000000001</v>
      </c>
      <c r="T1101">
        <v>-0.2208166</v>
      </c>
      <c r="U1101">
        <v>-4.3426510000000001E-2</v>
      </c>
      <c r="V1101">
        <v>4.8434820000000003E-2</v>
      </c>
      <c r="W1101">
        <v>5.5244740000000001E-2</v>
      </c>
      <c r="X1101">
        <v>0.9972974</v>
      </c>
      <c r="Y1101">
        <v>0.1336852</v>
      </c>
      <c r="Z1101">
        <v>1.5680799999999901E-2</v>
      </c>
      <c r="AA1101">
        <v>0.9908998</v>
      </c>
      <c r="AB1101">
        <v>32</v>
      </c>
      <c r="AC1101">
        <v>-0.60060000000001401</v>
      </c>
      <c r="AD1101">
        <v>-6.8974999999999995E-2</v>
      </c>
      <c r="AE1101">
        <v>3.2100000000013999E-2</v>
      </c>
      <c r="AF1101">
        <v>0.11945117686276099</v>
      </c>
      <c r="AG1101">
        <v>-6.8974999999999995E-2</v>
      </c>
      <c r="AH1101">
        <v>0.58150799916089901</v>
      </c>
      <c r="AI1101">
        <v>96.627367398008403</v>
      </c>
      <c r="AJ1101">
        <v>78.391989611713896</v>
      </c>
      <c r="AK1101">
        <v>0.59764344501300304</v>
      </c>
    </row>
    <row r="1102" spans="1:37" x14ac:dyDescent="0.2">
      <c r="A1102" t="str">
        <f>"20200111154047176"</f>
        <v>20200111154047176</v>
      </c>
      <c r="B1102" t="str">
        <f>"1578728447166875"</f>
        <v>1578728447166875</v>
      </c>
      <c r="C1102" t="s">
        <v>37</v>
      </c>
      <c r="D1102">
        <v>5.3935300000000002</v>
      </c>
      <c r="E1102">
        <v>0.53238149999999995</v>
      </c>
      <c r="F1102" t="s">
        <v>38</v>
      </c>
      <c r="G1102">
        <v>-213.2714</v>
      </c>
      <c r="H1102">
        <v>1.0381089999999999</v>
      </c>
      <c r="I1102">
        <v>282.4418</v>
      </c>
      <c r="J1102">
        <v>-213.01320000000001</v>
      </c>
      <c r="K1102">
        <v>1.1040449999999999</v>
      </c>
      <c r="L1102">
        <v>282.3741</v>
      </c>
      <c r="M1102">
        <v>-0.99079280000000003</v>
      </c>
      <c r="N1102">
        <v>0</v>
      </c>
      <c r="O1102">
        <v>-0.1346436</v>
      </c>
      <c r="P1102">
        <v>-0.99438789999999999</v>
      </c>
      <c r="Q1102">
        <v>4.2658639999999998E-2</v>
      </c>
      <c r="R1102">
        <v>-9.6816840000000001E-2</v>
      </c>
      <c r="S1102">
        <v>-3.0240019999999999</v>
      </c>
      <c r="T1102">
        <v>-0.22231109999999901</v>
      </c>
      <c r="U1102">
        <v>-3.5095210000000002E-2</v>
      </c>
      <c r="V1102">
        <v>3.8887209999999998E-2</v>
      </c>
      <c r="W1102">
        <v>5.6180760000000003E-2</v>
      </c>
      <c r="X1102">
        <v>0.99766299999999997</v>
      </c>
      <c r="Y1102">
        <v>0.122457199999999</v>
      </c>
      <c r="Z1102">
        <v>1.435619E-2</v>
      </c>
      <c r="AA1102">
        <v>0.99236990000000003</v>
      </c>
      <c r="AB1102">
        <v>32</v>
      </c>
      <c r="AC1102">
        <v>-0.25819999999998799</v>
      </c>
      <c r="AD1102">
        <v>-6.5936000000000203E-2</v>
      </c>
      <c r="AE1102">
        <v>6.7700000000001995E-2</v>
      </c>
      <c r="AF1102">
        <v>9.5994492701515804E-2</v>
      </c>
      <c r="AG1102">
        <v>-6.5936000000000203E-2</v>
      </c>
      <c r="AH1102">
        <v>0.23254282405612001</v>
      </c>
      <c r="AI1102">
        <v>104.686350591467</v>
      </c>
      <c r="AJ1102">
        <v>67.568993255092906</v>
      </c>
      <c r="AK1102">
        <v>0.26007434272726099</v>
      </c>
    </row>
    <row r="1103" spans="1:37" x14ac:dyDescent="0.2">
      <c r="A1103" t="str">
        <f>"20200111154047210"</f>
        <v>20200111154047210</v>
      </c>
      <c r="B1103" t="str">
        <f>"1578728447206892"</f>
        <v>1578728447206892</v>
      </c>
      <c r="C1103" t="s">
        <v>37</v>
      </c>
      <c r="D1103">
        <v>5.3760069999999898</v>
      </c>
      <c r="E1103">
        <v>0.53106309999999901</v>
      </c>
      <c r="F1103" t="s">
        <v>38</v>
      </c>
      <c r="G1103">
        <v>-213.84599999999901</v>
      </c>
      <c r="H1103">
        <v>1.0417239999999901</v>
      </c>
      <c r="I1103">
        <v>282.36700000000002</v>
      </c>
      <c r="J1103">
        <v>-213.49260000000001</v>
      </c>
      <c r="K1103">
        <v>1.1045339999999999</v>
      </c>
      <c r="L1103">
        <v>282.32010000000002</v>
      </c>
      <c r="M1103">
        <v>-0.99208349999999901</v>
      </c>
      <c r="N1103">
        <v>0</v>
      </c>
      <c r="O1103">
        <v>-0.1247885</v>
      </c>
      <c r="P1103">
        <v>-0.99493029999999905</v>
      </c>
      <c r="Q1103">
        <v>4.2385050000000001E-2</v>
      </c>
      <c r="R1103">
        <v>-9.1200229999999993E-2</v>
      </c>
      <c r="S1103">
        <v>-3.0241090000000002</v>
      </c>
      <c r="T1103">
        <v>-0.22628309999999999</v>
      </c>
      <c r="U1103">
        <v>-2.6092529999999999E-2</v>
      </c>
      <c r="V1103">
        <v>3.4534380000000003E-2</v>
      </c>
      <c r="W1103">
        <v>5.5932229999999999E-2</v>
      </c>
      <c r="X1103">
        <v>0.99783709999999903</v>
      </c>
      <c r="Y1103">
        <v>0.1155655</v>
      </c>
      <c r="Z1103">
        <v>1.362317E-2</v>
      </c>
      <c r="AA1103">
        <v>0.99320640000000004</v>
      </c>
      <c r="AB1103">
        <v>32</v>
      </c>
      <c r="AC1103">
        <v>-0.35339999999996502</v>
      </c>
      <c r="AD1103">
        <v>-6.2810000000000005E-2</v>
      </c>
      <c r="AE1103">
        <v>4.6899999999993697E-2</v>
      </c>
      <c r="AF1103">
        <v>8.79091248527748E-2</v>
      </c>
      <c r="AG1103">
        <v>-6.2810000000000005E-2</v>
      </c>
      <c r="AH1103">
        <v>0.334403515985702</v>
      </c>
      <c r="AI1103">
        <v>100.295792978297</v>
      </c>
      <c r="AJ1103">
        <v>75.271148279977496</v>
      </c>
      <c r="AK1103">
        <v>0.35142399154864301</v>
      </c>
    </row>
    <row r="1104" spans="1:37" x14ac:dyDescent="0.2">
      <c r="A1104" t="str">
        <f>"20200111154047231"</f>
        <v>20200111154047231</v>
      </c>
      <c r="B1104" t="str">
        <f>"1578728447227386"</f>
        <v>1578728447227386</v>
      </c>
      <c r="C1104" t="s">
        <v>37</v>
      </c>
      <c r="D1104">
        <v>5.3961670000000002</v>
      </c>
      <c r="E1104">
        <v>0.52246919999999997</v>
      </c>
      <c r="F1104" t="s">
        <v>38</v>
      </c>
      <c r="G1104">
        <v>-214.4144</v>
      </c>
      <c r="H1104">
        <v>1.0326930000000001</v>
      </c>
      <c r="I1104">
        <v>282.31420000000003</v>
      </c>
      <c r="J1104">
        <v>-213.79419999999999</v>
      </c>
      <c r="K1104">
        <v>1.1048389999999999</v>
      </c>
      <c r="L1104">
        <v>282.28820000000002</v>
      </c>
      <c r="M1104">
        <v>-0.9928051</v>
      </c>
      <c r="N1104">
        <v>0</v>
      </c>
      <c r="O1104">
        <v>-0.11891599999999999</v>
      </c>
      <c r="P1104">
        <v>-0.99513009999999902</v>
      </c>
      <c r="Q1104">
        <v>4.3650059999999997E-2</v>
      </c>
      <c r="R1104">
        <v>-8.8379860000000005E-2</v>
      </c>
      <c r="S1104">
        <v>-3.0235599999999998</v>
      </c>
      <c r="T1104">
        <v>-0.23556289999999999</v>
      </c>
      <c r="U1104">
        <v>-1.9226070000000001E-2</v>
      </c>
      <c r="V1104">
        <v>3.1429209999999999E-2</v>
      </c>
      <c r="W1104">
        <v>5.7215729999999999E-2</v>
      </c>
      <c r="X1104">
        <v>0.99786699999999995</v>
      </c>
      <c r="Y1104">
        <v>0.11191379999999999</v>
      </c>
      <c r="Z1104">
        <v>1.358699E-2</v>
      </c>
      <c r="AA1104">
        <v>0.99362499999999998</v>
      </c>
      <c r="AB1104">
        <v>32</v>
      </c>
      <c r="AC1104">
        <v>-0.62020000000001096</v>
      </c>
      <c r="AD1104">
        <v>-7.2145999999999794E-2</v>
      </c>
      <c r="AE1104">
        <v>2.60000000000104E-2</v>
      </c>
      <c r="AF1104">
        <v>9.8247298290271998E-2</v>
      </c>
      <c r="AG1104">
        <v>-7.2145999999999794E-2</v>
      </c>
      <c r="AH1104">
        <v>0.60454000247849105</v>
      </c>
      <c r="AI1104">
        <v>96.718191641721702</v>
      </c>
      <c r="AJ1104">
        <v>80.769232130029394</v>
      </c>
      <c r="AK1104">
        <v>0.61670591981432399</v>
      </c>
    </row>
    <row r="1105" spans="1:37" x14ac:dyDescent="0.2">
      <c r="A1105" t="str">
        <f>"20200111154047254"</f>
        <v>20200111154047254</v>
      </c>
      <c r="B1105" t="str">
        <f>"1578728447246906"</f>
        <v>1578728447246906</v>
      </c>
      <c r="C1105" t="s">
        <v>37</v>
      </c>
      <c r="D1105">
        <v>5.4405169999999998</v>
      </c>
      <c r="E1105">
        <v>0.52137479999999903</v>
      </c>
      <c r="F1105" t="s">
        <v>38</v>
      </c>
      <c r="G1105">
        <v>-214.696</v>
      </c>
      <c r="H1105">
        <v>1.027679</v>
      </c>
      <c r="I1105">
        <v>282.26519999999999</v>
      </c>
      <c r="J1105">
        <v>-214.12180000000001</v>
      </c>
      <c r="K1105">
        <v>1.1051519999999999</v>
      </c>
      <c r="L1105">
        <v>282.25540000000001</v>
      </c>
      <c r="M1105">
        <v>-0.99351909999999899</v>
      </c>
      <c r="N1105">
        <v>0</v>
      </c>
      <c r="O1105">
        <v>-0.11280119999999901</v>
      </c>
      <c r="P1105">
        <v>-0.99531099999999995</v>
      </c>
      <c r="Q1105">
        <v>4.4782080000000002E-2</v>
      </c>
      <c r="R1105">
        <v>-8.5735569999999997E-2</v>
      </c>
      <c r="S1105">
        <v>-3.0190579999999998</v>
      </c>
      <c r="T1105">
        <v>-0.25823649999999998</v>
      </c>
      <c r="U1105">
        <v>-7.7850340000000004E-2</v>
      </c>
      <c r="V1105">
        <v>2.7904350000000001E-2</v>
      </c>
      <c r="W1105">
        <v>5.8367259999999997E-2</v>
      </c>
      <c r="X1105">
        <v>0.99790509999999999</v>
      </c>
      <c r="Y1105">
        <v>8.6436369999999998E-2</v>
      </c>
      <c r="Z1105">
        <v>1.3300670000000001E-2</v>
      </c>
      <c r="AA1105">
        <v>0.99616859999999996</v>
      </c>
      <c r="AB1105">
        <v>32</v>
      </c>
      <c r="AC1105">
        <v>-0.57419999999999005</v>
      </c>
      <c r="AD1105">
        <v>-7.7473000000000097E-2</v>
      </c>
      <c r="AE1105">
        <v>9.7999999999842605E-3</v>
      </c>
      <c r="AF1105">
        <v>7.3182380082895598E-2</v>
      </c>
      <c r="AG1105">
        <v>-7.7473000000000097E-2</v>
      </c>
      <c r="AH1105">
        <v>0.55925111374580805</v>
      </c>
      <c r="AI1105">
        <v>97.821138556966105</v>
      </c>
      <c r="AJ1105">
        <v>82.544760689331397</v>
      </c>
      <c r="AK1105">
        <v>0.56931496968683704</v>
      </c>
    </row>
    <row r="1106" spans="1:37" x14ac:dyDescent="0.2">
      <c r="A1106" t="str">
        <f>"20200111154047276"</f>
        <v>20200111154047276</v>
      </c>
      <c r="B1106" t="str">
        <f>"1578728447267403"</f>
        <v>1578728447267403</v>
      </c>
      <c r="C1106" t="s">
        <v>37</v>
      </c>
      <c r="D1106">
        <v>5.4112629999999999</v>
      </c>
      <c r="E1106">
        <v>0.52072989999999997</v>
      </c>
      <c r="F1106" t="s">
        <v>38</v>
      </c>
      <c r="G1106">
        <v>-214.98480000000001</v>
      </c>
      <c r="H1106">
        <v>1.0328759999999999</v>
      </c>
      <c r="I1106">
        <v>282.23320000000001</v>
      </c>
      <c r="J1106">
        <v>-214.44970000000001</v>
      </c>
      <c r="K1106">
        <v>1.1054489999999999</v>
      </c>
      <c r="L1106">
        <v>282.22430000000003</v>
      </c>
      <c r="M1106">
        <v>-0.99416499999999997</v>
      </c>
      <c r="N1106">
        <v>0</v>
      </c>
      <c r="O1106">
        <v>-0.10696649999999901</v>
      </c>
      <c r="P1106">
        <v>-0.99546579999999996</v>
      </c>
      <c r="Q1106">
        <v>4.6912349999999998E-2</v>
      </c>
      <c r="R1106">
        <v>-8.274956E-2</v>
      </c>
      <c r="S1106">
        <v>-3.0187680000000001</v>
      </c>
      <c r="T1106">
        <v>-0.25275389999999998</v>
      </c>
      <c r="U1106">
        <v>-7.8125E-2</v>
      </c>
      <c r="V1106">
        <v>2.5015989999999998E-2</v>
      </c>
      <c r="W1106">
        <v>6.0505440000000001E-2</v>
      </c>
      <c r="X1106">
        <v>0.99785440000000003</v>
      </c>
      <c r="Y1106">
        <v>8.0564199999999905E-2</v>
      </c>
      <c r="Z1106">
        <v>1.229007E-2</v>
      </c>
      <c r="AA1106">
        <v>0.99667359999999905</v>
      </c>
      <c r="AB1106">
        <v>32</v>
      </c>
      <c r="AC1106">
        <v>-0.53509999999999902</v>
      </c>
      <c r="AD1106">
        <v>-7.2572999999999693E-2</v>
      </c>
      <c r="AE1106">
        <v>8.8999999999828001E-3</v>
      </c>
      <c r="AF1106">
        <v>6.4898827822745905E-2</v>
      </c>
      <c r="AG1106">
        <v>-7.2572999999999693E-2</v>
      </c>
      <c r="AH1106">
        <v>0.52148755951527903</v>
      </c>
      <c r="AI1106">
        <v>97.862815499211706</v>
      </c>
      <c r="AJ1106">
        <v>82.906045962468497</v>
      </c>
      <c r="AK1106">
        <v>0.53049785382314996</v>
      </c>
    </row>
    <row r="1107" spans="1:37" x14ac:dyDescent="0.2">
      <c r="A1107" t="str">
        <f>"20200111154047299"</f>
        <v>20200111154047299</v>
      </c>
      <c r="B1107" t="str">
        <f>"1578728447286922"</f>
        <v>1578728447286922</v>
      </c>
      <c r="C1107" t="s">
        <v>37</v>
      </c>
      <c r="D1107">
        <v>5.4059019999999904</v>
      </c>
      <c r="E1107">
        <v>0.52051970000000003</v>
      </c>
      <c r="F1107" t="s">
        <v>38</v>
      </c>
      <c r="G1107">
        <v>-215.27350000000001</v>
      </c>
      <c r="H1107">
        <v>1.037785</v>
      </c>
      <c r="I1107">
        <v>282.20429999999999</v>
      </c>
      <c r="J1107">
        <v>-214.7705</v>
      </c>
      <c r="K1107">
        <v>1.105734</v>
      </c>
      <c r="L1107">
        <v>282.19549999999998</v>
      </c>
      <c r="M1107">
        <v>-0.99473539999999905</v>
      </c>
      <c r="N1107">
        <v>0</v>
      </c>
      <c r="O1107">
        <v>-0.1015301</v>
      </c>
      <c r="P1107">
        <v>-0.995565699999999</v>
      </c>
      <c r="Q1107">
        <v>4.9522839999999999E-2</v>
      </c>
      <c r="R1107">
        <v>-7.997862E-2</v>
      </c>
      <c r="S1107">
        <v>-3.01922599999999</v>
      </c>
      <c r="T1107">
        <v>-0.24801989999999999</v>
      </c>
      <c r="U1107">
        <v>-7.3791499999999996E-2</v>
      </c>
      <c r="V1107">
        <v>2.2318089999999999E-2</v>
      </c>
      <c r="W1107">
        <v>6.3119209999999995E-2</v>
      </c>
      <c r="X1107">
        <v>0.99775639999999999</v>
      </c>
      <c r="Y1107">
        <v>7.6604179999999994E-2</v>
      </c>
      <c r="Z1107">
        <v>1.145318E-2</v>
      </c>
      <c r="AA1107">
        <v>0.99699579999999999</v>
      </c>
      <c r="AB1107">
        <v>32</v>
      </c>
      <c r="AC1107">
        <v>-0.50300000000001399</v>
      </c>
      <c r="AD1107">
        <v>-6.7948999999999996E-2</v>
      </c>
      <c r="AE1107">
        <v>8.8000000000079091E-3</v>
      </c>
      <c r="AF1107">
        <v>5.8757179573466503E-2</v>
      </c>
      <c r="AG1107">
        <v>-6.7948999999999996E-2</v>
      </c>
      <c r="AH1107">
        <v>0.49055741705540201</v>
      </c>
      <c r="AI1107">
        <v>97.830810482042196</v>
      </c>
      <c r="AJ1107">
        <v>83.169858907308495</v>
      </c>
      <c r="AK1107">
        <v>0.49871439941162399</v>
      </c>
    </row>
    <row r="1108" spans="1:37" x14ac:dyDescent="0.2">
      <c r="A1108" t="str">
        <f>"20200111154047321"</f>
        <v>20200111154047321</v>
      </c>
      <c r="B1108" t="str">
        <f>"1578728447317179"</f>
        <v>1578728447317179</v>
      </c>
      <c r="C1108" t="s">
        <v>37</v>
      </c>
      <c r="D1108">
        <v>5.4372769999999999</v>
      </c>
      <c r="E1108">
        <v>0.51992850000000002</v>
      </c>
      <c r="F1108" t="s">
        <v>38</v>
      </c>
      <c r="G1108">
        <v>-215.5616</v>
      </c>
      <c r="H1108">
        <v>1.040997</v>
      </c>
      <c r="I1108">
        <v>282.1782</v>
      </c>
      <c r="J1108">
        <v>-215.08019999999999</v>
      </c>
      <c r="K1108">
        <v>1.1059939999999999</v>
      </c>
      <c r="L1108">
        <v>282.16910000000001</v>
      </c>
      <c r="M1108">
        <v>-0.99523449999999902</v>
      </c>
      <c r="N1108">
        <v>0</v>
      </c>
      <c r="O1108">
        <v>-9.6520770000000006E-2</v>
      </c>
      <c r="P1108">
        <v>-0.99560720000000003</v>
      </c>
      <c r="Q1108">
        <v>5.1758789999999999E-2</v>
      </c>
      <c r="R1108">
        <v>-7.8022439999999998E-2</v>
      </c>
      <c r="S1108">
        <v>-3.0203250000000001</v>
      </c>
      <c r="T1108">
        <v>-0.24712100000000001</v>
      </c>
      <c r="U1108">
        <v>-6.640625E-2</v>
      </c>
      <c r="V1108">
        <v>1.9231129999999999E-2</v>
      </c>
      <c r="W1108">
        <v>6.5362870000000003E-2</v>
      </c>
      <c r="X1108">
        <v>0.99767629999999996</v>
      </c>
      <c r="Y1108">
        <v>7.4059490000000006E-2</v>
      </c>
      <c r="Z1108">
        <v>1.0896899999999999E-2</v>
      </c>
      <c r="AA1108">
        <v>0.99719429999999998</v>
      </c>
      <c r="AB1108">
        <v>32</v>
      </c>
      <c r="AC1108">
        <v>-0.48140000000000699</v>
      </c>
      <c r="AD1108">
        <v>-6.4997000000000194E-2</v>
      </c>
      <c r="AE1108">
        <v>9.0999999999894499E-3</v>
      </c>
      <c r="AF1108">
        <v>5.4533305253288901E-2</v>
      </c>
      <c r="AG1108">
        <v>-6.4997000000000194E-2</v>
      </c>
      <c r="AH1108">
        <v>0.46971388844916001</v>
      </c>
      <c r="AI1108">
        <v>97.826403582437393</v>
      </c>
      <c r="AJ1108">
        <v>83.377666096666104</v>
      </c>
      <c r="AK1108">
        <v>0.47731502007885501</v>
      </c>
    </row>
    <row r="1109" spans="1:37" x14ac:dyDescent="0.2">
      <c r="A1109" t="str">
        <f>"20200111154047342"</f>
        <v>20200111154047342</v>
      </c>
      <c r="B1109" t="str">
        <f>"1578728447337676"</f>
        <v>1578728447337676</v>
      </c>
      <c r="C1109" t="s">
        <v>37</v>
      </c>
      <c r="D1109">
        <v>5.4619650000000002</v>
      </c>
      <c r="E1109">
        <v>0.51995779999999903</v>
      </c>
      <c r="F1109" t="s">
        <v>38</v>
      </c>
      <c r="G1109">
        <v>-215.84960000000001</v>
      </c>
      <c r="H1109">
        <v>1.043042</v>
      </c>
      <c r="I1109">
        <v>282.15289999999999</v>
      </c>
      <c r="J1109">
        <v>-215.3938</v>
      </c>
      <c r="K1109">
        <v>1.1062419999999999</v>
      </c>
      <c r="L1109">
        <v>282.1438</v>
      </c>
      <c r="M1109">
        <v>-0.99569390000000002</v>
      </c>
      <c r="N1109">
        <v>0</v>
      </c>
      <c r="O1109">
        <v>-9.1666620000000004E-2</v>
      </c>
      <c r="P1109">
        <v>-0.9956564</v>
      </c>
      <c r="Q1109">
        <v>5.3311209999999998E-2</v>
      </c>
      <c r="R1109">
        <v>-7.63297E-2</v>
      </c>
      <c r="S1109">
        <v>-3.0209959999999998</v>
      </c>
      <c r="T1109">
        <v>-0.24712870000000001</v>
      </c>
      <c r="U1109">
        <v>-6.4788819999999997E-2</v>
      </c>
      <c r="V1109">
        <v>1.603276E-2</v>
      </c>
      <c r="W1109">
        <v>6.6922990000000002E-2</v>
      </c>
      <c r="X1109">
        <v>0.99762929999999905</v>
      </c>
      <c r="Y1109">
        <v>6.9765240000000006E-2</v>
      </c>
      <c r="Z1109">
        <v>1.0324720000000001E-2</v>
      </c>
      <c r="AA1109">
        <v>0.99751000000000001</v>
      </c>
      <c r="AB1109">
        <v>32</v>
      </c>
      <c r="AC1109">
        <v>-0.45580000000000997</v>
      </c>
      <c r="AD1109">
        <v>-6.3199999999999895E-2</v>
      </c>
      <c r="AE1109">
        <v>9.0999999999894499E-3</v>
      </c>
      <c r="AF1109">
        <v>4.9888545737322203E-2</v>
      </c>
      <c r="AG1109">
        <v>-6.3199999999999895E-2</v>
      </c>
      <c r="AH1109">
        <v>0.44450379843119198</v>
      </c>
      <c r="AI1109">
        <v>98.042306838546594</v>
      </c>
      <c r="AJ1109">
        <v>83.596250365206004</v>
      </c>
      <c r="AK1109">
        <v>0.45173746116028801</v>
      </c>
    </row>
    <row r="1110" spans="1:37" x14ac:dyDescent="0.2">
      <c r="A1110" t="str">
        <f>"20200111154047365"</f>
        <v>20200111154047365</v>
      </c>
      <c r="B1110" t="str">
        <f>"1578728447357195"</f>
        <v>1578728447357195</v>
      </c>
      <c r="C1110" t="s">
        <v>37</v>
      </c>
      <c r="D1110">
        <v>5.457128</v>
      </c>
      <c r="E1110">
        <v>0.51921799999999996</v>
      </c>
      <c r="F1110" t="s">
        <v>38</v>
      </c>
      <c r="G1110">
        <v>-216.1386</v>
      </c>
      <c r="H1110">
        <v>1.0463039999999999</v>
      </c>
      <c r="I1110">
        <v>282.1293</v>
      </c>
      <c r="J1110">
        <v>-215.72229999999999</v>
      </c>
      <c r="K1110">
        <v>1.106473</v>
      </c>
      <c r="L1110">
        <v>282.11880000000002</v>
      </c>
      <c r="M1110">
        <v>-0.9961293</v>
      </c>
      <c r="N1110">
        <v>0</v>
      </c>
      <c r="O1110">
        <v>-8.6812039999999993E-2</v>
      </c>
      <c r="P1110">
        <v>-0.99570910000000001</v>
      </c>
      <c r="Q1110">
        <v>5.457389E-2</v>
      </c>
      <c r="R1110">
        <v>-7.4735140000000005E-2</v>
      </c>
      <c r="S1110">
        <v>-3.021576</v>
      </c>
      <c r="T1110">
        <v>-0.243096799999999</v>
      </c>
      <c r="U1110">
        <v>-5.8959959999999999E-2</v>
      </c>
      <c r="V1110">
        <v>1.27361E-2</v>
      </c>
      <c r="W1110">
        <v>6.8192269999999999E-2</v>
      </c>
      <c r="X1110">
        <v>0.99759089999999995</v>
      </c>
      <c r="Y1110">
        <v>6.6872479999999998E-2</v>
      </c>
      <c r="Z1110">
        <v>9.6504780000000005E-3</v>
      </c>
      <c r="AA1110">
        <v>0.99771489999999996</v>
      </c>
      <c r="AB1110">
        <v>32</v>
      </c>
      <c r="AC1110">
        <v>-0.416300000000006</v>
      </c>
      <c r="AD1110">
        <v>-6.0168999999999903E-2</v>
      </c>
      <c r="AE1110">
        <v>1.0499999999979E-2</v>
      </c>
      <c r="AF1110">
        <v>4.5650616843030803E-2</v>
      </c>
      <c r="AG1110">
        <v>-6.0168999999999903E-2</v>
      </c>
      <c r="AH1110">
        <v>0.40535408097401199</v>
      </c>
      <c r="AI1110">
        <v>98.390806991885498</v>
      </c>
      <c r="AJ1110">
        <v>83.574474010945195</v>
      </c>
      <c r="AK1110">
        <v>0.41233022972059002</v>
      </c>
    </row>
    <row r="1111" spans="1:37" x14ac:dyDescent="0.2">
      <c r="A1111" t="str">
        <f>"20200111154047388"</f>
        <v>20200111154047388</v>
      </c>
      <c r="B1111" t="str">
        <f>"1578728447377693"</f>
        <v>1578728447377693</v>
      </c>
      <c r="C1111" t="s">
        <v>37</v>
      </c>
      <c r="D1111">
        <v>5.7298419999999997</v>
      </c>
      <c r="E1111">
        <v>0.5181481</v>
      </c>
      <c r="F1111" t="s">
        <v>38</v>
      </c>
      <c r="G1111">
        <v>-216.7</v>
      </c>
      <c r="H1111">
        <v>1.027574</v>
      </c>
      <c r="I1111">
        <v>282.09969999999998</v>
      </c>
      <c r="J1111">
        <v>-216.04759999999999</v>
      </c>
      <c r="K1111">
        <v>1.1066769999999999</v>
      </c>
      <c r="L1111">
        <v>282.09539999999998</v>
      </c>
      <c r="M1111">
        <v>-0.99652169999999896</v>
      </c>
      <c r="N1111">
        <v>0</v>
      </c>
      <c r="O1111">
        <v>-8.2192630000000003E-2</v>
      </c>
      <c r="P1111">
        <v>-0.99574599999999902</v>
      </c>
      <c r="Q1111">
        <v>5.531726E-2</v>
      </c>
      <c r="R1111">
        <v>-7.3687840000000004E-2</v>
      </c>
      <c r="S1111">
        <v>-3.0218509999999998</v>
      </c>
      <c r="T1111">
        <v>-0.2439125</v>
      </c>
      <c r="U1111">
        <v>-5.9478759999999999E-2</v>
      </c>
      <c r="V1111">
        <v>9.1286000000000006E-3</v>
      </c>
      <c r="W1111">
        <v>6.8944870000000005E-2</v>
      </c>
      <c r="X1111">
        <v>0.99757870000000004</v>
      </c>
      <c r="Y1111">
        <v>6.2103499999999999E-2</v>
      </c>
      <c r="Z1111">
        <v>9.1186089999999997E-3</v>
      </c>
      <c r="AA1111">
        <v>0.99802800000000003</v>
      </c>
      <c r="AB1111">
        <v>32</v>
      </c>
      <c r="AC1111">
        <v>-0.65239999999999998</v>
      </c>
      <c r="AD1111">
        <v>-7.9103000000000104E-2</v>
      </c>
      <c r="AE1111">
        <v>4.3000000000006297E-3</v>
      </c>
      <c r="AF1111">
        <v>5.7073955216499002E-2</v>
      </c>
      <c r="AG1111">
        <v>-7.9103000000000104E-2</v>
      </c>
      <c r="AH1111">
        <v>0.64042399479308099</v>
      </c>
      <c r="AI1111">
        <v>97.013797731894698</v>
      </c>
      <c r="AJ1111">
        <v>84.907310547772695</v>
      </c>
      <c r="AK1111">
        <v>0.64780985951109404</v>
      </c>
    </row>
    <row r="1112" spans="1:37" x14ac:dyDescent="0.2">
      <c r="A1112" t="str">
        <f>"20200111154047410"</f>
        <v>20200111154047410</v>
      </c>
      <c r="B1112" t="str">
        <f>"1578728447406971"</f>
        <v>1578728447406971</v>
      </c>
      <c r="C1112" t="s">
        <v>37</v>
      </c>
      <c r="D1112">
        <v>5.5166940000000002</v>
      </c>
      <c r="E1112">
        <v>0.5092025</v>
      </c>
      <c r="F1112" t="s">
        <v>38</v>
      </c>
      <c r="G1112">
        <v>-216.98689999999999</v>
      </c>
      <c r="H1112">
        <v>1.0307120000000001</v>
      </c>
      <c r="I1112">
        <v>282.07549999999998</v>
      </c>
      <c r="J1112">
        <v>-216.3631</v>
      </c>
      <c r="K1112">
        <v>1.1068309999999999</v>
      </c>
      <c r="L1112">
        <v>282.07400000000001</v>
      </c>
      <c r="M1112">
        <v>-0.99687079999999995</v>
      </c>
      <c r="N1112">
        <v>0</v>
      </c>
      <c r="O1112">
        <v>-7.7848349999999997E-2</v>
      </c>
      <c r="P1112">
        <v>-0.995863099999999</v>
      </c>
      <c r="Q1112">
        <v>5.4979430000000003E-2</v>
      </c>
      <c r="R1112">
        <v>-7.2345619999999999E-2</v>
      </c>
      <c r="S1112">
        <v>-3.0216059999999998</v>
      </c>
      <c r="T1112">
        <v>-0.24438409999999999</v>
      </c>
      <c r="U1112">
        <v>-6.4331050000000001E-2</v>
      </c>
      <c r="V1112">
        <v>6.0938779999999996E-3</v>
      </c>
      <c r="W1112">
        <v>6.8610909999999997E-2</v>
      </c>
      <c r="X1112">
        <v>0.99762489999999904</v>
      </c>
      <c r="Y1112">
        <v>5.6180220000000003E-2</v>
      </c>
      <c r="Z1112">
        <v>8.5477580000000008E-3</v>
      </c>
      <c r="AA1112">
        <v>0.9983841</v>
      </c>
      <c r="AB1112">
        <v>32</v>
      </c>
      <c r="AC1112">
        <v>-0.62379999999998803</v>
      </c>
      <c r="AD1112">
        <v>-7.6118999999999798E-2</v>
      </c>
      <c r="AE1112">
        <v>1.4999999999645199E-3</v>
      </c>
      <c r="AF1112">
        <v>4.9327338016411502E-2</v>
      </c>
      <c r="AG1112">
        <v>-7.6118999999999798E-2</v>
      </c>
      <c r="AH1112">
        <v>0.61266718239502005</v>
      </c>
      <c r="AI1112">
        <v>97.059638072154002</v>
      </c>
      <c r="AJ1112">
        <v>85.396905227976006</v>
      </c>
      <c r="AK1112">
        <v>0.61934510962841904</v>
      </c>
    </row>
    <row r="1113" spans="1:37" x14ac:dyDescent="0.2">
      <c r="A1113" t="str">
        <f>"20200111154047432"</f>
        <v>20200111154047432</v>
      </c>
      <c r="B1113" t="str">
        <f>"1578728447427467"</f>
        <v>1578728447427467</v>
      </c>
      <c r="C1113" t="s">
        <v>37</v>
      </c>
      <c r="D1113">
        <v>5.5030190000000001</v>
      </c>
      <c r="E1113">
        <v>0.50987769999999999</v>
      </c>
      <c r="F1113" t="s">
        <v>38</v>
      </c>
      <c r="G1113">
        <v>-217.28049999999999</v>
      </c>
      <c r="H1113">
        <v>1.0438149999999999</v>
      </c>
      <c r="I1113">
        <v>282.03379999999999</v>
      </c>
      <c r="J1113">
        <v>-216.6705</v>
      </c>
      <c r="K1113">
        <v>1.1069530000000001</v>
      </c>
      <c r="L1113">
        <v>282.05439999999999</v>
      </c>
      <c r="M1113">
        <v>-0.99718399999999996</v>
      </c>
      <c r="N1113">
        <v>0</v>
      </c>
      <c r="O1113">
        <v>-7.3734739999999993E-2</v>
      </c>
      <c r="P1113">
        <v>-0.99596409999999902</v>
      </c>
      <c r="Q1113">
        <v>5.4107509999999998E-2</v>
      </c>
      <c r="R1113">
        <v>-7.1611640000000004E-2</v>
      </c>
      <c r="S1113">
        <v>-3.0142820000000001</v>
      </c>
      <c r="T1113">
        <v>-0.20714489999999999</v>
      </c>
      <c r="U1113">
        <v>-0.13229369999999999</v>
      </c>
      <c r="V1113">
        <v>2.6830040000000001E-3</v>
      </c>
      <c r="W1113">
        <v>6.7748409999999995E-2</v>
      </c>
      <c r="X1113">
        <v>0.9976988</v>
      </c>
      <c r="Y1113">
        <v>2.9700290000000001E-2</v>
      </c>
      <c r="Z1113">
        <v>6.0725479999999997E-3</v>
      </c>
      <c r="AA1113">
        <v>0.9995404</v>
      </c>
      <c r="AB1113">
        <v>32</v>
      </c>
      <c r="AC1113">
        <v>-0.609999999999985</v>
      </c>
      <c r="AD1113">
        <v>-6.3138000000000097E-2</v>
      </c>
      <c r="AE1113">
        <v>-2.06000000000017E-2</v>
      </c>
      <c r="AF1113">
        <v>2.4179740311359901E-2</v>
      </c>
      <c r="AG1113">
        <v>-6.3138000000000097E-2</v>
      </c>
      <c r="AH1113">
        <v>0.603401243451683</v>
      </c>
      <c r="AI1113">
        <v>95.968755838177003</v>
      </c>
      <c r="AJ1113">
        <v>87.705247971591106</v>
      </c>
      <c r="AK1113">
        <v>0.60717717964739304</v>
      </c>
    </row>
    <row r="1114" spans="1:37" x14ac:dyDescent="0.2">
      <c r="A1114" t="str">
        <f>"20200111154047454"</f>
        <v>20200111154047454</v>
      </c>
      <c r="B1114" t="str">
        <f>"1578728447446987"</f>
        <v>1578728447446987</v>
      </c>
      <c r="C1114" t="s">
        <v>37</v>
      </c>
      <c r="D1114">
        <v>5.8445869999999998</v>
      </c>
      <c r="E1114">
        <v>0.51050130000000005</v>
      </c>
      <c r="F1114" t="s">
        <v>38</v>
      </c>
      <c r="G1114">
        <v>-217.56469999999999</v>
      </c>
      <c r="H1114">
        <v>1.0421579999999999</v>
      </c>
      <c r="I1114">
        <v>282.01780000000002</v>
      </c>
      <c r="J1114">
        <v>-216.99870000000001</v>
      </c>
      <c r="K1114">
        <v>1.1070599999999999</v>
      </c>
      <c r="L1114">
        <v>282.03469999999999</v>
      </c>
      <c r="M1114">
        <v>-0.99749149999999998</v>
      </c>
      <c r="N1114">
        <v>0</v>
      </c>
      <c r="O1114">
        <v>-6.9456180000000006E-2</v>
      </c>
      <c r="P1114">
        <v>-0.99616150000000003</v>
      </c>
      <c r="Q1114">
        <v>5.2221759999999999E-2</v>
      </c>
      <c r="R1114">
        <v>-7.0251579999999994E-2</v>
      </c>
      <c r="S1114">
        <v>-3.01513699999999</v>
      </c>
      <c r="T1114">
        <v>-0.21852099999999999</v>
      </c>
      <c r="U1114">
        <v>-0.12362670000000001</v>
      </c>
      <c r="V1114">
        <v>-2.6960500000000002E-4</v>
      </c>
      <c r="W1114">
        <v>6.5866729999999998E-2</v>
      </c>
      <c r="X1114">
        <v>0.99782839999999995</v>
      </c>
      <c r="Y1114">
        <v>2.828017E-2</v>
      </c>
      <c r="Z1114">
        <v>6.0437859999999998E-3</v>
      </c>
      <c r="AA1114">
        <v>0.99958179999999996</v>
      </c>
      <c r="AB1114">
        <v>32</v>
      </c>
      <c r="AC1114">
        <v>-0.56599999999997397</v>
      </c>
      <c r="AD1114">
        <v>-6.4902000000000001E-2</v>
      </c>
      <c r="AE1114">
        <v>-1.68999999999641E-2</v>
      </c>
      <c r="AF1114">
        <v>2.21654980345521E-2</v>
      </c>
      <c r="AG1114">
        <v>-6.4902000000000001E-2</v>
      </c>
      <c r="AH1114">
        <v>0.55847015180536597</v>
      </c>
      <c r="AI1114">
        <v>96.623662434587501</v>
      </c>
      <c r="AJ1114">
        <v>87.727142167217295</v>
      </c>
      <c r="AK1114">
        <v>0.56266552174860396</v>
      </c>
    </row>
    <row r="1115" spans="1:37" x14ac:dyDescent="0.2">
      <c r="A1115" t="str">
        <f>"20200111154047478"</f>
        <v>20200111154047478</v>
      </c>
      <c r="B1115" t="str">
        <f>"1578728447467482"</f>
        <v>1578728447467482</v>
      </c>
      <c r="C1115" t="s">
        <v>37</v>
      </c>
      <c r="D1115">
        <v>5.5014199999999898</v>
      </c>
      <c r="E1115">
        <v>0.51026070000000001</v>
      </c>
      <c r="F1115" t="s">
        <v>38</v>
      </c>
      <c r="G1115">
        <v>-217.85149999999999</v>
      </c>
      <c r="H1115">
        <v>1.0435479999999999</v>
      </c>
      <c r="I1115">
        <v>282.00240000000002</v>
      </c>
      <c r="J1115">
        <v>-217.33420000000001</v>
      </c>
      <c r="K1115">
        <v>1.1071799999999901</v>
      </c>
      <c r="L1115">
        <v>282.01589999999999</v>
      </c>
      <c r="M1115">
        <v>-0.99777929999999904</v>
      </c>
      <c r="N1115">
        <v>0</v>
      </c>
      <c r="O1115">
        <v>-6.5195920000000004E-2</v>
      </c>
      <c r="P1115">
        <v>-0.99637410000000004</v>
      </c>
      <c r="Q1115">
        <v>5.0475220000000001E-2</v>
      </c>
      <c r="R1115">
        <v>-6.8492020000000001E-2</v>
      </c>
      <c r="S1115">
        <v>-3.0152739999999998</v>
      </c>
      <c r="T1115">
        <v>-0.22456319999999999</v>
      </c>
      <c r="U1115">
        <v>-0.11437989999999899</v>
      </c>
      <c r="V1115">
        <v>-2.8007100000000001E-3</v>
      </c>
      <c r="W1115">
        <v>6.4119010000000004E-2</v>
      </c>
      <c r="X1115">
        <v>0.99793829999999994</v>
      </c>
      <c r="Y1115">
        <v>2.7074709999999998E-2</v>
      </c>
      <c r="Z1115">
        <v>5.8498459999999997E-3</v>
      </c>
      <c r="AA1115">
        <v>0.99961630000000001</v>
      </c>
      <c r="AB1115">
        <v>32</v>
      </c>
      <c r="AC1115">
        <v>-0.517299999999977</v>
      </c>
      <c r="AD1115">
        <v>-6.3631999999999897E-2</v>
      </c>
      <c r="AE1115">
        <v>-1.3499999999964899E-2</v>
      </c>
      <c r="AF1115">
        <v>1.99559653180067E-2</v>
      </c>
      <c r="AG1115">
        <v>-6.3631999999999897E-2</v>
      </c>
      <c r="AH1115">
        <v>0.50937733983539502</v>
      </c>
      <c r="AI1115">
        <v>97.1151654379712</v>
      </c>
      <c r="AJ1115">
        <v>87.756460567691306</v>
      </c>
      <c r="AK1115">
        <v>0.51372419284432802</v>
      </c>
    </row>
    <row r="1116" spans="1:37" x14ac:dyDescent="0.2">
      <c r="A1116" t="str">
        <f>"20200111154047500"</f>
        <v>20200111154047500</v>
      </c>
      <c r="B1116" t="str">
        <f>"1578728447497739"</f>
        <v>1578728447497739</v>
      </c>
      <c r="C1116" t="s">
        <v>37</v>
      </c>
      <c r="D1116">
        <v>5.5223879999999896</v>
      </c>
      <c r="E1116">
        <v>0.50983239999999996</v>
      </c>
      <c r="F1116" t="s">
        <v>38</v>
      </c>
      <c r="G1116">
        <v>-218.1378</v>
      </c>
      <c r="H1116">
        <v>1.044441</v>
      </c>
      <c r="I1116">
        <v>281.98669999999998</v>
      </c>
      <c r="J1116">
        <v>-217.6557</v>
      </c>
      <c r="K1116">
        <v>1.1072879999999901</v>
      </c>
      <c r="L1116">
        <v>281.9991</v>
      </c>
      <c r="M1116">
        <v>-0.99803159999999902</v>
      </c>
      <c r="N1116">
        <v>0</v>
      </c>
      <c r="O1116">
        <v>-6.1216999999999903E-2</v>
      </c>
      <c r="P1116">
        <v>-0.99655649999999996</v>
      </c>
      <c r="Q1116">
        <v>4.9407399999999997E-2</v>
      </c>
      <c r="R1116">
        <v>-6.6591449999999996E-2</v>
      </c>
      <c r="S1116">
        <v>-3.0152589999999999</v>
      </c>
      <c r="T1116">
        <v>-0.23546889999999901</v>
      </c>
      <c r="U1116">
        <v>-0.1106873</v>
      </c>
      <c r="V1116">
        <v>-4.9028850000000001E-3</v>
      </c>
      <c r="W1116">
        <v>6.3047339999999993E-2</v>
      </c>
      <c r="X1116">
        <v>0.99799850000000001</v>
      </c>
      <c r="Y1116">
        <v>2.430622E-2</v>
      </c>
      <c r="Z1116">
        <v>5.7158859999999999E-3</v>
      </c>
      <c r="AA1116">
        <v>0.99968819999999903</v>
      </c>
      <c r="AB1116">
        <v>32</v>
      </c>
      <c r="AC1116">
        <v>-0.48210000000000203</v>
      </c>
      <c r="AD1116">
        <v>-6.2846999999999806E-2</v>
      </c>
      <c r="AE1116">
        <v>-1.24000000000137E-2</v>
      </c>
      <c r="AF1116">
        <v>1.6852511007115299E-2</v>
      </c>
      <c r="AG1116">
        <v>-6.2846999999999806E-2</v>
      </c>
      <c r="AH1116">
        <v>0.47390657586725998</v>
      </c>
      <c r="AI1116">
        <v>97.549469858779304</v>
      </c>
      <c r="AJ1116">
        <v>87.963372744326193</v>
      </c>
      <c r="AK1116">
        <v>0.478352584592658</v>
      </c>
    </row>
    <row r="1117" spans="1:37" x14ac:dyDescent="0.2">
      <c r="A1117" t="str">
        <f>"20200111154047522"</f>
        <v>20200111154047522</v>
      </c>
      <c r="B1117" t="str">
        <f>"1578728447517258"</f>
        <v>1578728447517258</v>
      </c>
      <c r="C1117" t="s">
        <v>37</v>
      </c>
      <c r="D1117">
        <v>5.4919549999999999</v>
      </c>
      <c r="E1117">
        <v>0.5095459</v>
      </c>
      <c r="F1117" t="s">
        <v>38</v>
      </c>
      <c r="G1117">
        <v>-218.4299</v>
      </c>
      <c r="H1117">
        <v>1.0445819999999999</v>
      </c>
      <c r="I1117">
        <v>281.97129999999999</v>
      </c>
      <c r="J1117">
        <v>-217.946</v>
      </c>
      <c r="K1117">
        <v>1.107378</v>
      </c>
      <c r="L1117">
        <v>281.98489999999998</v>
      </c>
      <c r="M1117">
        <v>-0.99824049999999998</v>
      </c>
      <c r="N1117">
        <v>0</v>
      </c>
      <c r="O1117">
        <v>-5.7716679999999999E-2</v>
      </c>
      <c r="P1117">
        <v>-0.99672260000000001</v>
      </c>
      <c r="Q1117">
        <v>4.8460419999999997E-2</v>
      </c>
      <c r="R1117">
        <v>-6.4774780000000004E-2</v>
      </c>
      <c r="S1117">
        <v>-3.015228</v>
      </c>
      <c r="T1117">
        <v>-0.2443005</v>
      </c>
      <c r="U1117">
        <v>-0.10839839999999901</v>
      </c>
      <c r="V1117">
        <v>-6.6064579999999999E-3</v>
      </c>
      <c r="W1117">
        <v>6.2096030000000003E-2</v>
      </c>
      <c r="X1117">
        <v>0.9980483</v>
      </c>
      <c r="Y1117">
        <v>2.1558359999999999E-2</v>
      </c>
      <c r="Z1117">
        <v>5.5361009999999999E-3</v>
      </c>
      <c r="AA1117">
        <v>0.99975230000000004</v>
      </c>
      <c r="AB1117">
        <v>32</v>
      </c>
      <c r="AC1117">
        <v>-0.48390000000000499</v>
      </c>
      <c r="AD1117">
        <v>-6.2796000000000005E-2</v>
      </c>
      <c r="AE1117">
        <v>-1.35999999999967E-2</v>
      </c>
      <c r="AF1117">
        <v>1.41168109779871E-2</v>
      </c>
      <c r="AG1117">
        <v>-6.2796000000000005E-2</v>
      </c>
      <c r="AH1117">
        <v>0.47587067707078601</v>
      </c>
      <c r="AI1117">
        <v>97.514062450272704</v>
      </c>
      <c r="AJ1117">
        <v>88.300806104267096</v>
      </c>
      <c r="AK1117">
        <v>0.48020362687509599</v>
      </c>
    </row>
    <row r="1118" spans="1:37" x14ac:dyDescent="0.2">
      <c r="A1118" t="str">
        <f>"20200111154047543"</f>
        <v>20200111154047543</v>
      </c>
      <c r="B1118" t="str">
        <f>"1578728447537755"</f>
        <v>1578728447537755</v>
      </c>
      <c r="C1118" t="s">
        <v>37</v>
      </c>
      <c r="D1118">
        <v>5.4754709999999998</v>
      </c>
      <c r="E1118">
        <v>0.50931839999999995</v>
      </c>
      <c r="F1118" t="s">
        <v>38</v>
      </c>
      <c r="G1118">
        <v>-218.70679999999999</v>
      </c>
      <c r="H1118">
        <v>1.0427389999999901</v>
      </c>
      <c r="I1118">
        <v>281.95859999999999</v>
      </c>
      <c r="J1118">
        <v>-218.26419999999999</v>
      </c>
      <c r="K1118">
        <v>1.107488</v>
      </c>
      <c r="L1118">
        <v>281.97050000000002</v>
      </c>
      <c r="M1118">
        <v>-0.99845049999999902</v>
      </c>
      <c r="N1118">
        <v>0</v>
      </c>
      <c r="O1118">
        <v>-5.3967620000000001E-2</v>
      </c>
      <c r="P1118">
        <v>-0.99690419999999902</v>
      </c>
      <c r="Q1118">
        <v>4.7700880000000001E-2</v>
      </c>
      <c r="R1118">
        <v>-6.2507400000000005E-2</v>
      </c>
      <c r="S1118">
        <v>-3.0154879999999999</v>
      </c>
      <c r="T1118">
        <v>-0.25623659999999998</v>
      </c>
      <c r="U1118">
        <v>-0.1052551</v>
      </c>
      <c r="V1118">
        <v>-8.105938E-3</v>
      </c>
      <c r="W1118">
        <v>6.1328349999999997E-2</v>
      </c>
      <c r="X1118">
        <v>0.99808469999999905</v>
      </c>
      <c r="Y1118">
        <v>1.8845150000000001E-2</v>
      </c>
      <c r="Z1118">
        <v>5.3728459999999997E-3</v>
      </c>
      <c r="AA1118">
        <v>0.99980800000000003</v>
      </c>
      <c r="AB1118">
        <v>32</v>
      </c>
      <c r="AC1118">
        <v>-0.442599999999998</v>
      </c>
      <c r="AD1118">
        <v>-6.4749000000000098E-2</v>
      </c>
      <c r="AE1118">
        <v>-1.19000000000255E-2</v>
      </c>
      <c r="AF1118">
        <v>1.175423674122E-2</v>
      </c>
      <c r="AG1118">
        <v>-6.4749000000000098E-2</v>
      </c>
      <c r="AH1118">
        <v>0.433329955187295</v>
      </c>
      <c r="AI1118">
        <v>98.495291785050995</v>
      </c>
      <c r="AJ1118">
        <v>88.446211609942907</v>
      </c>
      <c r="AK1118">
        <v>0.43829835174797599</v>
      </c>
    </row>
    <row r="1119" spans="1:37" x14ac:dyDescent="0.2">
      <c r="A1119" t="str">
        <f>"20200111154047566"</f>
        <v>20200111154047566</v>
      </c>
      <c r="B1119" t="str">
        <f>"1578728447557275"</f>
        <v>1578728447557275</v>
      </c>
      <c r="C1119" t="s">
        <v>37</v>
      </c>
      <c r="D1119">
        <v>5.4736900000000004</v>
      </c>
      <c r="E1119">
        <v>0.50919539999999996</v>
      </c>
      <c r="F1119" t="s">
        <v>38</v>
      </c>
      <c r="G1119">
        <v>-219.26169999999999</v>
      </c>
      <c r="H1119">
        <v>1.0198499999999999</v>
      </c>
      <c r="I1119">
        <v>281.93759999999997</v>
      </c>
      <c r="J1119">
        <v>-218.5882</v>
      </c>
      <c r="K1119">
        <v>1.1075759999999999</v>
      </c>
      <c r="L1119">
        <v>281.95690000000002</v>
      </c>
      <c r="M1119">
        <v>-0.99864560000000002</v>
      </c>
      <c r="N1119">
        <v>0</v>
      </c>
      <c r="O1119">
        <v>-5.023089E-2</v>
      </c>
      <c r="P1119">
        <v>-0.99708079999999999</v>
      </c>
      <c r="Q1119">
        <v>4.7916050000000002E-2</v>
      </c>
      <c r="R1119">
        <v>-5.9451230000000001E-2</v>
      </c>
      <c r="S1119">
        <v>-3.0157470000000002</v>
      </c>
      <c r="T1119">
        <v>-0.26498939999999999</v>
      </c>
      <c r="U1119">
        <v>-9.9975590000000003E-2</v>
      </c>
      <c r="V1119">
        <v>-8.7935389999999995E-3</v>
      </c>
      <c r="W1119">
        <v>6.1530149999999999E-2</v>
      </c>
      <c r="X1119">
        <v>0.99806649999999997</v>
      </c>
      <c r="Y1119">
        <v>1.685878E-2</v>
      </c>
      <c r="Z1119">
        <v>5.1411770000000002E-3</v>
      </c>
      <c r="AA1119">
        <v>0.99984470000000003</v>
      </c>
      <c r="AB1119">
        <v>32</v>
      </c>
      <c r="AC1119">
        <v>-0.67349999999999</v>
      </c>
      <c r="AD1119">
        <v>-8.7726000000000096E-2</v>
      </c>
      <c r="AE1119">
        <v>-1.9300000000043799E-2</v>
      </c>
      <c r="AF1119">
        <v>1.4315307110628299E-2</v>
      </c>
      <c r="AG1119">
        <v>-8.7726000000000096E-2</v>
      </c>
      <c r="AH1119">
        <v>0.66239024070053498</v>
      </c>
      <c r="AI1119">
        <v>97.542524490906999</v>
      </c>
      <c r="AJ1119">
        <v>88.761939760321496</v>
      </c>
      <c r="AK1119">
        <v>0.66832747217885902</v>
      </c>
    </row>
    <row r="1120" spans="1:37" x14ac:dyDescent="0.2">
      <c r="A1120" t="str">
        <f>"20200111154047590"</f>
        <v>20200111154047590</v>
      </c>
      <c r="B1120" t="str">
        <f>"1578728447587532"</f>
        <v>1578728447587532</v>
      </c>
      <c r="C1120" t="s">
        <v>37</v>
      </c>
      <c r="D1120">
        <v>5.5058150000000001</v>
      </c>
      <c r="E1120">
        <v>0.5086444</v>
      </c>
      <c r="F1120" t="s">
        <v>38</v>
      </c>
      <c r="G1120">
        <v>-219.54730000000001</v>
      </c>
      <c r="H1120">
        <v>1.02193</v>
      </c>
      <c r="I1120">
        <v>281.92750000000001</v>
      </c>
      <c r="J1120">
        <v>-218.917</v>
      </c>
      <c r="K1120">
        <v>1.1076429999999999</v>
      </c>
      <c r="L1120">
        <v>281.94439999999997</v>
      </c>
      <c r="M1120">
        <v>-0.99882689999999996</v>
      </c>
      <c r="N1120">
        <v>0</v>
      </c>
      <c r="O1120">
        <v>-4.6494540000000001E-2</v>
      </c>
      <c r="P1120">
        <v>-0.99728069999999902</v>
      </c>
      <c r="Q1120">
        <v>4.7717019999999999E-2</v>
      </c>
      <c r="R1120">
        <v>-5.6167109999999999E-2</v>
      </c>
      <c r="S1120">
        <v>-3.0162200000000001</v>
      </c>
      <c r="T1120">
        <v>-0.26935520000000002</v>
      </c>
      <c r="U1120">
        <v>-9.2437740000000004E-2</v>
      </c>
      <c r="V1120">
        <v>-9.2524410000000001E-3</v>
      </c>
      <c r="W1120">
        <v>6.1318360000000002E-2</v>
      </c>
      <c r="X1120">
        <v>0.99807539999999995</v>
      </c>
      <c r="Y1120">
        <v>1.563078E-2</v>
      </c>
      <c r="Z1120">
        <v>4.8377569999999998E-3</v>
      </c>
      <c r="AA1120">
        <v>0.99986609999999998</v>
      </c>
      <c r="AB1120">
        <v>32</v>
      </c>
      <c r="AC1120">
        <v>-0.63030000000000497</v>
      </c>
      <c r="AD1120">
        <v>-8.57129999999999E-2</v>
      </c>
      <c r="AE1120">
        <v>-1.68999999999641E-2</v>
      </c>
      <c r="AF1120">
        <v>1.22010049051608E-2</v>
      </c>
      <c r="AG1120">
        <v>-8.57129999999999E-2</v>
      </c>
      <c r="AH1120">
        <v>0.61896597484641802</v>
      </c>
      <c r="AI1120">
        <v>97.882537270168001</v>
      </c>
      <c r="AJ1120">
        <v>88.870736690797102</v>
      </c>
      <c r="AK1120">
        <v>0.62499156866894801</v>
      </c>
    </row>
    <row r="1121" spans="1:37" x14ac:dyDescent="0.2">
      <c r="A1121" t="str">
        <f>"20200111154047611"</f>
        <v>20200111154047611</v>
      </c>
      <c r="B1121" t="str">
        <f>"1578728447607051"</f>
        <v>1578728447607051</v>
      </c>
      <c r="C1121" t="s">
        <v>37</v>
      </c>
      <c r="D1121">
        <v>5.725352</v>
      </c>
      <c r="E1121">
        <v>0.5082411</v>
      </c>
      <c r="F1121" t="s">
        <v>38</v>
      </c>
      <c r="G1121">
        <v>-219.8329</v>
      </c>
      <c r="H1121">
        <v>1.0244770000000001</v>
      </c>
      <c r="I1121">
        <v>281.91789999999997</v>
      </c>
      <c r="J1121">
        <v>-219.22470000000001</v>
      </c>
      <c r="K1121">
        <v>1.10768</v>
      </c>
      <c r="L1121">
        <v>281.93369999999999</v>
      </c>
      <c r="M1121">
        <v>-0.99898220000000004</v>
      </c>
      <c r="N1121">
        <v>0</v>
      </c>
      <c r="O1121">
        <v>-4.3028400000000001E-2</v>
      </c>
      <c r="P1121">
        <v>-0.99753289999999994</v>
      </c>
      <c r="Q1121">
        <v>4.7066839999999999E-2</v>
      </c>
      <c r="R1121">
        <v>-5.2085590000000001E-2</v>
      </c>
      <c r="S1121">
        <v>-3.0163570000000002</v>
      </c>
      <c r="T1121">
        <v>-0.2739663</v>
      </c>
      <c r="U1121">
        <v>-8.7799070000000007E-2</v>
      </c>
      <c r="V1121">
        <v>-8.6412350000000006E-3</v>
      </c>
      <c r="W1121">
        <v>6.0649649999999999E-2</v>
      </c>
      <c r="X1121">
        <v>0.998121699999999</v>
      </c>
      <c r="Y1121">
        <v>1.3712520000000001E-2</v>
      </c>
      <c r="Z1121">
        <v>4.519454E-3</v>
      </c>
      <c r="AA1121">
        <v>0.9998958</v>
      </c>
      <c r="AB1121">
        <v>32</v>
      </c>
      <c r="AC1121">
        <v>-0.60819999999998198</v>
      </c>
      <c r="AD1121">
        <v>-8.3202999999999902E-2</v>
      </c>
      <c r="AE1121">
        <v>-1.5800000000012901E-2</v>
      </c>
      <c r="AF1121">
        <v>1.0196213805473101E-2</v>
      </c>
      <c r="AG1121">
        <v>-8.3202999999999902E-2</v>
      </c>
      <c r="AH1121">
        <v>0.59714854569008502</v>
      </c>
      <c r="AI1121">
        <v>97.931031193281001</v>
      </c>
      <c r="AJ1121">
        <v>89.021778990003796</v>
      </c>
      <c r="AK1121">
        <v>0.60300338938081499</v>
      </c>
    </row>
    <row r="1122" spans="1:37" x14ac:dyDescent="0.2">
      <c r="A1122" t="str">
        <f>"20200111154047633"</f>
        <v>20200111154047633</v>
      </c>
      <c r="B1122" t="str">
        <f>"1578728447627546"</f>
        <v>1578728447627546</v>
      </c>
      <c r="C1122" t="s">
        <v>37</v>
      </c>
      <c r="D1122">
        <v>5.4826379999999997</v>
      </c>
      <c r="E1122">
        <v>0.50781790000000004</v>
      </c>
      <c r="F1122" t="s">
        <v>38</v>
      </c>
      <c r="G1122">
        <v>-220.11789999999999</v>
      </c>
      <c r="H1122">
        <v>1.026132</v>
      </c>
      <c r="I1122">
        <v>281.91019999999997</v>
      </c>
      <c r="J1122">
        <v>-219.53399999999999</v>
      </c>
      <c r="K1122">
        <v>1.107699</v>
      </c>
      <c r="L1122">
        <v>281.92399999999998</v>
      </c>
      <c r="M1122">
        <v>-0.99912559999999995</v>
      </c>
      <c r="N1122">
        <v>0</v>
      </c>
      <c r="O1122">
        <v>-3.9561359999999997E-2</v>
      </c>
      <c r="P1122">
        <v>-0.99780809999999998</v>
      </c>
      <c r="Q1122">
        <v>4.5524059999999998E-2</v>
      </c>
      <c r="R1122">
        <v>-4.8029559999999999E-2</v>
      </c>
      <c r="S1122">
        <v>-3.0162659999999999</v>
      </c>
      <c r="T1122">
        <v>-0.27540959999999998</v>
      </c>
      <c r="U1122">
        <v>-7.9437259999999996E-2</v>
      </c>
      <c r="V1122">
        <v>-8.0599130000000001E-3</v>
      </c>
      <c r="W1122">
        <v>5.9092230000000003E-2</v>
      </c>
      <c r="X1122">
        <v>0.99822</v>
      </c>
      <c r="Y1122">
        <v>1.302621E-2</v>
      </c>
      <c r="Z1122">
        <v>4.1966729999999997E-3</v>
      </c>
      <c r="AA1122">
        <v>0.99990639999999997</v>
      </c>
      <c r="AB1122">
        <v>32</v>
      </c>
      <c r="AC1122">
        <v>-0.583899999999971</v>
      </c>
      <c r="AD1122">
        <v>-8.1566999999999903E-2</v>
      </c>
      <c r="AE1122">
        <v>-1.38000000000602E-2</v>
      </c>
      <c r="AF1122">
        <v>9.1346404660672502E-3</v>
      </c>
      <c r="AG1122">
        <v>-8.1566999999999903E-2</v>
      </c>
      <c r="AH1122">
        <v>0.57281694583241405</v>
      </c>
      <c r="AI1122">
        <v>98.103206500199803</v>
      </c>
      <c r="AJ1122">
        <v>89.086388782161805</v>
      </c>
      <c r="AK1122">
        <v>0.57866732288787404</v>
      </c>
    </row>
    <row r="1123" spans="1:37" x14ac:dyDescent="0.2">
      <c r="A1123" t="str">
        <f>"20200111154047655"</f>
        <v>20200111154047655</v>
      </c>
      <c r="B1123" t="str">
        <f>"1578728447647067"</f>
        <v>1578728447647067</v>
      </c>
      <c r="C1123" t="s">
        <v>37</v>
      </c>
      <c r="D1123">
        <v>5.458056</v>
      </c>
      <c r="E1123">
        <v>0.50745399999999996</v>
      </c>
      <c r="F1123" t="s">
        <v>38</v>
      </c>
      <c r="G1123">
        <v>-220.40270000000001</v>
      </c>
      <c r="H1123">
        <v>1.0276319999999901</v>
      </c>
      <c r="I1123">
        <v>281.90379999999999</v>
      </c>
      <c r="J1123">
        <v>-219.86240000000001</v>
      </c>
      <c r="K1123">
        <v>1.1077079999999999</v>
      </c>
      <c r="L1123">
        <v>281.91489999999999</v>
      </c>
      <c r="M1123">
        <v>-0.99926469999999901</v>
      </c>
      <c r="N1123">
        <v>0</v>
      </c>
      <c r="O1123">
        <v>-3.588268E-2</v>
      </c>
      <c r="P1123">
        <v>-0.99809669999999895</v>
      </c>
      <c r="Q1123">
        <v>4.280221E-2</v>
      </c>
      <c r="R1123">
        <v>-4.4395950000000003E-2</v>
      </c>
      <c r="S1123">
        <v>-3.0158689999999999</v>
      </c>
      <c r="T1123">
        <v>-0.27792240000000001</v>
      </c>
      <c r="U1123">
        <v>-7.0404049999999996E-2</v>
      </c>
      <c r="V1123">
        <v>-8.1202199999999992E-3</v>
      </c>
      <c r="W1123">
        <v>5.6361670000000003E-2</v>
      </c>
      <c r="X1123">
        <v>0.99837739999999997</v>
      </c>
      <c r="Y1123">
        <v>1.234887E-2</v>
      </c>
      <c r="Z1123">
        <v>3.8664109999999902E-3</v>
      </c>
      <c r="AA1123">
        <v>0.99991629999999998</v>
      </c>
      <c r="AB1123">
        <v>32</v>
      </c>
      <c r="AC1123">
        <v>-0.540300000000002</v>
      </c>
      <c r="AD1123">
        <v>-8.0075999999999994E-2</v>
      </c>
      <c r="AE1123">
        <v>-1.1099999999999E-2</v>
      </c>
      <c r="AF1123">
        <v>8.11809076502195E-3</v>
      </c>
      <c r="AG1123">
        <v>-8.0075999999999994E-2</v>
      </c>
      <c r="AH1123">
        <v>0.52874132269287899</v>
      </c>
      <c r="AI1123">
        <v>98.610800916116403</v>
      </c>
      <c r="AJ1123">
        <v>89.120371768469198</v>
      </c>
      <c r="AK1123">
        <v>0.534832175076148</v>
      </c>
    </row>
    <row r="1124" spans="1:37" x14ac:dyDescent="0.2">
      <c r="A1124" t="str">
        <f>"20200111154047678"</f>
        <v>20200111154047678</v>
      </c>
      <c r="B1124" t="str">
        <f>"1578728447667562"</f>
        <v>1578728447667562</v>
      </c>
      <c r="C1124" t="s">
        <v>37</v>
      </c>
      <c r="D1124">
        <v>5.4539629999999999</v>
      </c>
      <c r="E1124">
        <v>0.50721190000000005</v>
      </c>
      <c r="F1124" t="s">
        <v>38</v>
      </c>
      <c r="G1124">
        <v>-220.68780000000001</v>
      </c>
      <c r="H1124">
        <v>1.0301049999999901</v>
      </c>
      <c r="I1124">
        <v>281.89819999999997</v>
      </c>
      <c r="J1124">
        <v>-220.17240000000001</v>
      </c>
      <c r="K1124">
        <v>1.1076999999999999</v>
      </c>
      <c r="L1124">
        <v>281.9074</v>
      </c>
      <c r="M1124">
        <v>-0.99938359999999904</v>
      </c>
      <c r="N1124">
        <v>0</v>
      </c>
      <c r="O1124">
        <v>-3.2405179999999999E-2</v>
      </c>
      <c r="P1124">
        <v>-0.99833749999999999</v>
      </c>
      <c r="Q1124">
        <v>4.0724299999999998E-2</v>
      </c>
      <c r="R1124">
        <v>-4.0795400000000002E-2</v>
      </c>
      <c r="S1124">
        <v>-3.0151209999999899</v>
      </c>
      <c r="T1124">
        <v>-0.28347810000000001</v>
      </c>
      <c r="U1124">
        <v>-6.1859129999999998E-2</v>
      </c>
      <c r="V1124">
        <v>-8.0083199999999993E-3</v>
      </c>
      <c r="W1124">
        <v>5.4275370000000003E-2</v>
      </c>
      <c r="X1124">
        <v>0.99849390000000005</v>
      </c>
      <c r="Y1124">
        <v>1.1705719999999999E-2</v>
      </c>
      <c r="Z1124">
        <v>3.5883109999999998E-3</v>
      </c>
      <c r="AA1124">
        <v>0.99992510000000001</v>
      </c>
      <c r="AB1124">
        <v>32</v>
      </c>
      <c r="AC1124">
        <v>-0.51539999999999897</v>
      </c>
      <c r="AD1124">
        <v>-7.7594999999999997E-2</v>
      </c>
      <c r="AE1124">
        <v>-9.2000000000211895E-3</v>
      </c>
      <c r="AF1124">
        <v>7.3416312768087603E-3</v>
      </c>
      <c r="AG1124">
        <v>-7.7594999999999997E-2</v>
      </c>
      <c r="AH1124">
        <v>0.50400713880544701</v>
      </c>
      <c r="AI1124">
        <v>98.751404878023706</v>
      </c>
      <c r="AJ1124">
        <v>89.165458766312895</v>
      </c>
      <c r="AK1124">
        <v>0.50999811719422805</v>
      </c>
    </row>
    <row r="1125" spans="1:37" x14ac:dyDescent="0.2">
      <c r="A1125" t="str">
        <f>"20200111154047700"</f>
        <v>20200111154047700</v>
      </c>
      <c r="B1125" t="str">
        <f>"1578728447697819"</f>
        <v>1578728447697819</v>
      </c>
      <c r="C1125" t="s">
        <v>37</v>
      </c>
      <c r="D1125">
        <v>5.5792979999999996</v>
      </c>
      <c r="E1125">
        <v>0.52214399999999905</v>
      </c>
      <c r="F1125" t="s">
        <v>38</v>
      </c>
      <c r="G1125">
        <v>-220.97210000000001</v>
      </c>
      <c r="H1125">
        <v>1.031096</v>
      </c>
      <c r="I1125">
        <v>281.89359999999999</v>
      </c>
      <c r="J1125">
        <v>-220.489</v>
      </c>
      <c r="K1125">
        <v>1.107701</v>
      </c>
      <c r="L1125">
        <v>281.9008</v>
      </c>
      <c r="M1125">
        <v>-0.99949279999999996</v>
      </c>
      <c r="N1125">
        <v>0</v>
      </c>
      <c r="O1125">
        <v>-2.8847319999999999E-2</v>
      </c>
      <c r="P1125">
        <v>-0.99848879999999995</v>
      </c>
      <c r="Q1125">
        <v>4.011675E-2</v>
      </c>
      <c r="R1125">
        <v>-3.7561650000000002E-2</v>
      </c>
      <c r="S1125">
        <v>-3.0146329999999999</v>
      </c>
      <c r="T1125">
        <v>-0.28885809999999901</v>
      </c>
      <c r="U1125">
        <v>-5.2398680000000003E-2</v>
      </c>
      <c r="V1125">
        <v>-8.3347349999999994E-3</v>
      </c>
      <c r="W1125">
        <v>5.3662559999999998E-2</v>
      </c>
      <c r="X1125">
        <v>0.99852439999999998</v>
      </c>
      <c r="Y1125">
        <v>1.129027E-2</v>
      </c>
      <c r="Z1125">
        <v>3.2970129999999901E-3</v>
      </c>
      <c r="AA1125">
        <v>0.99993080000000001</v>
      </c>
      <c r="AB1125">
        <v>32</v>
      </c>
      <c r="AC1125">
        <v>-0.48310000000000702</v>
      </c>
      <c r="AD1125">
        <v>-7.6605000000000006E-2</v>
      </c>
      <c r="AE1125">
        <v>-7.2000000000116398E-3</v>
      </c>
      <c r="AF1125">
        <v>6.5751152640137998E-3</v>
      </c>
      <c r="AG1125">
        <v>-7.6605000000000006E-2</v>
      </c>
      <c r="AH1125">
        <v>0.471259749331505</v>
      </c>
      <c r="AI1125">
        <v>99.231998907993102</v>
      </c>
      <c r="AJ1125">
        <v>89.200649084105194</v>
      </c>
      <c r="AK1125">
        <v>0.47749063813411902</v>
      </c>
    </row>
    <row r="1126" spans="1:37" x14ac:dyDescent="0.2">
      <c r="A1126" t="str">
        <f>"20200111154047722"</f>
        <v>20200111154047722</v>
      </c>
      <c r="B1126" t="str">
        <f>"1578728447717340"</f>
        <v>1578728447717340</v>
      </c>
      <c r="C1126" t="s">
        <v>37</v>
      </c>
      <c r="D1126">
        <v>5.5237150000000002</v>
      </c>
      <c r="E1126">
        <v>0.54844519999999997</v>
      </c>
      <c r="F1126" t="s">
        <v>38</v>
      </c>
      <c r="G1126">
        <v>-221.25059999999999</v>
      </c>
      <c r="H1126">
        <v>1.0199119999999999</v>
      </c>
      <c r="I1126">
        <v>281.92059999999998</v>
      </c>
      <c r="J1126">
        <v>-220.7928</v>
      </c>
      <c r="K1126">
        <v>1.1076969999999999</v>
      </c>
      <c r="L1126">
        <v>281.8956</v>
      </c>
      <c r="M1126">
        <v>-0.99958570000000002</v>
      </c>
      <c r="N1126">
        <v>0</v>
      </c>
      <c r="O1126">
        <v>-2.5427249999999998E-2</v>
      </c>
      <c r="P1126">
        <v>-0.99862989999999996</v>
      </c>
      <c r="Q1126">
        <v>3.8960429999999997E-2</v>
      </c>
      <c r="R1126">
        <v>-3.4936549999999997E-2</v>
      </c>
      <c r="S1126">
        <v>-3.021515</v>
      </c>
      <c r="T1126">
        <v>-0.34826799999999902</v>
      </c>
      <c r="U1126">
        <v>7.8491210000000006E-2</v>
      </c>
      <c r="V1126">
        <v>-9.1356760000000006E-3</v>
      </c>
      <c r="W1126">
        <v>5.250548E-2</v>
      </c>
      <c r="X1126">
        <v>0.99857879999999999</v>
      </c>
      <c r="Y1126">
        <v>5.0876350000000001E-2</v>
      </c>
      <c r="Z1126">
        <v>5.8428359999999997E-3</v>
      </c>
      <c r="AA1126">
        <v>0.99868789999999996</v>
      </c>
      <c r="AB1126">
        <v>32</v>
      </c>
      <c r="AC1126">
        <v>-0.45779999999999099</v>
      </c>
      <c r="AD1126">
        <v>-8.7784999999999697E-2</v>
      </c>
      <c r="AE1126">
        <v>2.49999999999772E-2</v>
      </c>
      <c r="AF1126">
        <v>3.5338065624492397E-2</v>
      </c>
      <c r="AG1126">
        <v>-8.7784999999999697E-2</v>
      </c>
      <c r="AH1126">
        <v>0.44085436864813299</v>
      </c>
      <c r="AI1126">
        <v>101.22661233672</v>
      </c>
      <c r="AJ1126">
        <v>85.417075793375702</v>
      </c>
      <c r="AK1126">
        <v>0.45089639548706201</v>
      </c>
    </row>
    <row r="1127" spans="1:37" x14ac:dyDescent="0.2">
      <c r="A1127" t="str">
        <f>"20200111154047745"</f>
        <v>20200111154047745</v>
      </c>
      <c r="B1127" t="str">
        <f>"1578728447737835"</f>
        <v>1578728447737835</v>
      </c>
      <c r="C1127" t="s">
        <v>37</v>
      </c>
      <c r="D1127">
        <v>5.4577859999999996</v>
      </c>
      <c r="E1127">
        <v>0.55087339999999996</v>
      </c>
      <c r="F1127" t="s">
        <v>38</v>
      </c>
      <c r="G1127">
        <v>-221.50540000000001</v>
      </c>
      <c r="H1127">
        <v>0.95980599999999905</v>
      </c>
      <c r="I1127">
        <v>281.96749999999997</v>
      </c>
      <c r="J1127">
        <v>-221.12549999999999</v>
      </c>
      <c r="K1127">
        <v>1.10768</v>
      </c>
      <c r="L1127">
        <v>281.89109999999999</v>
      </c>
      <c r="M1127">
        <v>-0.99967419999999996</v>
      </c>
      <c r="N1127">
        <v>0</v>
      </c>
      <c r="O1127">
        <v>-2.167614E-2</v>
      </c>
      <c r="P1127">
        <v>-0.99873509999999999</v>
      </c>
      <c r="Q1127">
        <v>3.8209640000000003E-2</v>
      </c>
      <c r="R1127">
        <v>-3.2688040000000002E-2</v>
      </c>
      <c r="S1127">
        <v>-3.0394290000000002</v>
      </c>
      <c r="T1127">
        <v>-0.63066860000000002</v>
      </c>
      <c r="U1127">
        <v>0.3056335</v>
      </c>
      <c r="V1127">
        <v>-1.0642169999999999E-2</v>
      </c>
      <c r="W1127">
        <v>5.1759300000000001E-2</v>
      </c>
      <c r="X1127">
        <v>0.99860289999999996</v>
      </c>
      <c r="Y1127">
        <v>0.1186368</v>
      </c>
      <c r="Z1127">
        <v>1.658973E-2</v>
      </c>
      <c r="AA1127">
        <v>0.99279910000000005</v>
      </c>
      <c r="AB1127">
        <v>32</v>
      </c>
      <c r="AC1127">
        <v>-0.37990000000002</v>
      </c>
      <c r="AD1127">
        <v>-0.14787400000000001</v>
      </c>
      <c r="AE1127">
        <v>7.6399999999978194E-2</v>
      </c>
      <c r="AF1127">
        <v>7.3861683880392104E-2</v>
      </c>
      <c r="AG1127">
        <v>-0.14787400000000001</v>
      </c>
      <c r="AH1127">
        <v>0.330086680204004</v>
      </c>
      <c r="AI1127">
        <v>113.61371058203601</v>
      </c>
      <c r="AJ1127">
        <v>77.387011753511004</v>
      </c>
      <c r="AK1127">
        <v>0.369160513421665</v>
      </c>
    </row>
    <row r="1128" spans="1:37" x14ac:dyDescent="0.2">
      <c r="A1128" t="str">
        <f>"20200111154047767"</f>
        <v>20200111154047767</v>
      </c>
      <c r="B1128" t="str">
        <f>"1578728447757356"</f>
        <v>1578728447757356</v>
      </c>
      <c r="C1128" t="s">
        <v>37</v>
      </c>
      <c r="D1128">
        <v>5.446923</v>
      </c>
      <c r="E1128">
        <v>0.54994309999999902</v>
      </c>
      <c r="F1128" t="s">
        <v>38</v>
      </c>
      <c r="G1128">
        <v>-222.0488</v>
      </c>
      <c r="H1128">
        <v>0.91009180000000001</v>
      </c>
      <c r="I1128">
        <v>281.99220000000003</v>
      </c>
      <c r="J1128">
        <v>-221.44309999999999</v>
      </c>
      <c r="K1128">
        <v>1.107661</v>
      </c>
      <c r="L1128">
        <v>281.88799999999998</v>
      </c>
      <c r="M1128">
        <v>-0.99974540000000001</v>
      </c>
      <c r="N1128">
        <v>0</v>
      </c>
      <c r="O1128">
        <v>-1.8093450000000001E-2</v>
      </c>
      <c r="P1128">
        <v>-0.99881909999999896</v>
      </c>
      <c r="Q1128">
        <v>3.6807720000000002E-2</v>
      </c>
      <c r="R1128">
        <v>-3.1708029999999998E-2</v>
      </c>
      <c r="S1128">
        <v>-3.0395509999999999</v>
      </c>
      <c r="T1128">
        <v>-0.65038240000000003</v>
      </c>
      <c r="U1128">
        <v>0.33255000000000001</v>
      </c>
      <c r="V1128">
        <v>-1.325344E-2</v>
      </c>
      <c r="W1128">
        <v>5.0371609999999997E-2</v>
      </c>
      <c r="X1128">
        <v>0.99864259999999905</v>
      </c>
      <c r="Y1128">
        <v>0.1235581</v>
      </c>
      <c r="Z1128">
        <v>1.6851809999999998E-2</v>
      </c>
      <c r="AA1128">
        <v>0.99219419999999903</v>
      </c>
      <c r="AB1128">
        <v>32</v>
      </c>
      <c r="AC1128">
        <v>-0.60570000000001301</v>
      </c>
      <c r="AD1128">
        <v>-0.1975692</v>
      </c>
      <c r="AE1128">
        <v>0.104200000000048</v>
      </c>
      <c r="AF1128">
        <v>0.104358970285507</v>
      </c>
      <c r="AG1128">
        <v>-0.1975692</v>
      </c>
      <c r="AH1128">
        <v>0.54717206913027305</v>
      </c>
      <c r="AI1128">
        <v>109.528578216371</v>
      </c>
      <c r="AJ1128">
        <v>79.201988831173495</v>
      </c>
      <c r="AK1128">
        <v>0.591034395533793</v>
      </c>
    </row>
    <row r="1129" spans="1:37" x14ac:dyDescent="0.2">
      <c r="A1129" t="str">
        <f>"20200111154047790"</f>
        <v>20200111154047790</v>
      </c>
      <c r="B1129" t="str">
        <f>"1578728447787611"</f>
        <v>1578728447787611</v>
      </c>
      <c r="C1129" t="s">
        <v>37</v>
      </c>
      <c r="D1129">
        <v>5.4274870000000002</v>
      </c>
      <c r="E1129">
        <v>0.5485643</v>
      </c>
      <c r="F1129" t="s">
        <v>38</v>
      </c>
      <c r="G1129">
        <v>-222.33179999999999</v>
      </c>
      <c r="H1129">
        <v>0.91201019999999899</v>
      </c>
      <c r="I1129">
        <v>281.98410000000001</v>
      </c>
      <c r="J1129">
        <v>-221.7653</v>
      </c>
      <c r="K1129">
        <v>1.1076489999999899</v>
      </c>
      <c r="L1129">
        <v>281.885999999999</v>
      </c>
      <c r="M1129">
        <v>-0.99980469999999899</v>
      </c>
      <c r="N1129">
        <v>0</v>
      </c>
      <c r="O1129">
        <v>-1.4456399999999999E-2</v>
      </c>
      <c r="P1129">
        <v>-0.99889340000000004</v>
      </c>
      <c r="Q1129">
        <v>3.564436E-2</v>
      </c>
      <c r="R1129">
        <v>-3.0678730000000001E-2</v>
      </c>
      <c r="S1129">
        <v>-3.038605</v>
      </c>
      <c r="T1129">
        <v>-0.66887399999999997</v>
      </c>
      <c r="U1129">
        <v>0.328125</v>
      </c>
      <c r="V1129">
        <v>-1.5867160000000002E-2</v>
      </c>
      <c r="W1129">
        <v>4.922195E-2</v>
      </c>
      <c r="X1129">
        <v>0.99866180000000004</v>
      </c>
      <c r="Y1129">
        <v>0.11857429999999999</v>
      </c>
      <c r="Z1129">
        <v>1.5996739999999999E-2</v>
      </c>
      <c r="AA1129">
        <v>0.99281629999999998</v>
      </c>
      <c r="AB1129">
        <v>32</v>
      </c>
      <c r="AC1129">
        <v>-0.56649999999999001</v>
      </c>
      <c r="AD1129">
        <v>-0.1956388</v>
      </c>
      <c r="AE1129">
        <v>9.8100000000044901E-2</v>
      </c>
      <c r="AF1129">
        <v>9.5250771210228694E-2</v>
      </c>
      <c r="AG1129">
        <v>-0.1956388</v>
      </c>
      <c r="AH1129">
        <v>0.50638696899247304</v>
      </c>
      <c r="AI1129">
        <v>110.79097042052</v>
      </c>
      <c r="AJ1129">
        <v>79.347205902772998</v>
      </c>
      <c r="AK1129">
        <v>0.55115788286748402</v>
      </c>
    </row>
    <row r="1130" spans="1:37" x14ac:dyDescent="0.2">
      <c r="A1130" t="str">
        <f>"20200111154047813"</f>
        <v>20200111154047813</v>
      </c>
      <c r="B1130" t="str">
        <f>"1578728447807131"</f>
        <v>1578728447807131</v>
      </c>
      <c r="C1130" t="s">
        <v>37</v>
      </c>
      <c r="D1130">
        <v>5.5350599999999996</v>
      </c>
      <c r="E1130">
        <v>0.54878179999999999</v>
      </c>
      <c r="F1130" t="s">
        <v>38</v>
      </c>
      <c r="G1130">
        <v>-222.61680000000001</v>
      </c>
      <c r="H1130">
        <v>0.91873069999999901</v>
      </c>
      <c r="I1130">
        <v>281.976</v>
      </c>
      <c r="J1130">
        <v>-222.08850000000001</v>
      </c>
      <c r="K1130">
        <v>1.1076539999999999</v>
      </c>
      <c r="L1130">
        <v>281.88510000000002</v>
      </c>
      <c r="M1130">
        <v>-0.99985089999999999</v>
      </c>
      <c r="N1130">
        <v>0</v>
      </c>
      <c r="O1130">
        <v>-1.081351E-2</v>
      </c>
      <c r="P1130">
        <v>-0.99893410000000005</v>
      </c>
      <c r="Q1130">
        <v>3.5284040000000003E-2</v>
      </c>
      <c r="R1130">
        <v>-2.9759710000000002E-2</v>
      </c>
      <c r="S1130">
        <v>-3.0372159999999999</v>
      </c>
      <c r="T1130">
        <v>-0.6738305</v>
      </c>
      <c r="U1130">
        <v>0.32037349999999998</v>
      </c>
      <c r="V1130">
        <v>-1.8591750000000001E-2</v>
      </c>
      <c r="W1130">
        <v>4.8876179999999998E-2</v>
      </c>
      <c r="X1130">
        <v>0.99863179999999996</v>
      </c>
      <c r="Y1130">
        <v>0.112678399999999</v>
      </c>
      <c r="Z1130">
        <v>1.468065E-2</v>
      </c>
      <c r="AA1130">
        <v>0.99352309999999999</v>
      </c>
      <c r="AB1130">
        <v>31</v>
      </c>
      <c r="AC1130">
        <v>-0.52830000000000099</v>
      </c>
      <c r="AD1130">
        <v>-0.18892329999999999</v>
      </c>
      <c r="AE1130">
        <v>9.0899999999976402E-2</v>
      </c>
      <c r="AF1130">
        <v>8.5934485223727694E-2</v>
      </c>
      <c r="AG1130">
        <v>-0.18892329999999999</v>
      </c>
      <c r="AH1130">
        <v>0.46903016862921698</v>
      </c>
      <c r="AI1130">
        <v>111.61349872101</v>
      </c>
      <c r="AJ1130">
        <v>79.617569136149797</v>
      </c>
      <c r="AK1130">
        <v>0.51289964721952097</v>
      </c>
    </row>
    <row r="1131" spans="1:37" x14ac:dyDescent="0.2">
      <c r="A1131" t="str">
        <f>"20200111154047835"</f>
        <v>20200111154047835</v>
      </c>
      <c r="B1131" t="str">
        <f>"1578728447827627"</f>
        <v>1578728447827627</v>
      </c>
      <c r="C1131" t="s">
        <v>37</v>
      </c>
      <c r="D1131">
        <v>5.5087729999999997</v>
      </c>
      <c r="E1131">
        <v>0.54938430000000005</v>
      </c>
      <c r="F1131" t="s">
        <v>38</v>
      </c>
      <c r="G1131">
        <v>-222.90219999999999</v>
      </c>
      <c r="H1131">
        <v>0.9259368</v>
      </c>
      <c r="I1131">
        <v>281.97230000000002</v>
      </c>
      <c r="J1131">
        <v>-222.3965</v>
      </c>
      <c r="K1131">
        <v>1.107667</v>
      </c>
      <c r="L1131">
        <v>281.8854</v>
      </c>
      <c r="M1131">
        <v>-0.9998823</v>
      </c>
      <c r="N1131">
        <v>0</v>
      </c>
      <c r="O1131">
        <v>-7.3587849999999996E-3</v>
      </c>
      <c r="P1131">
        <v>-0.99888729999999903</v>
      </c>
      <c r="Q1131">
        <v>3.6643509999999997E-2</v>
      </c>
      <c r="R1131">
        <v>-2.9685400000000001E-2</v>
      </c>
      <c r="S1131">
        <v>-3.0368650000000001</v>
      </c>
      <c r="T1131">
        <v>-0.67820999999999998</v>
      </c>
      <c r="U1131">
        <v>0.32522579999999901</v>
      </c>
      <c r="V1131">
        <v>-2.1961999999999999E-2</v>
      </c>
      <c r="W1131">
        <v>5.0253970000000002E-2</v>
      </c>
      <c r="X1131">
        <v>0.99849500000000002</v>
      </c>
      <c r="Y1131">
        <v>0.110916899999999</v>
      </c>
      <c r="Z1131">
        <v>1.3820209999999999E-2</v>
      </c>
      <c r="AA1131">
        <v>0.993733599999999</v>
      </c>
      <c r="AB1131">
        <v>31</v>
      </c>
      <c r="AC1131">
        <v>-0.50569999999999005</v>
      </c>
      <c r="AD1131">
        <v>-0.18173019999999901</v>
      </c>
      <c r="AE1131">
        <v>8.6900000000014105E-2</v>
      </c>
      <c r="AF1131">
        <v>8.0519149778454299E-2</v>
      </c>
      <c r="AG1131">
        <v>-0.18173019999999901</v>
      </c>
      <c r="AH1131">
        <v>0.44875569300923301</v>
      </c>
      <c r="AI1131">
        <v>111.732186093755</v>
      </c>
      <c r="AJ1131">
        <v>79.827797194770994</v>
      </c>
      <c r="AK1131">
        <v>0.49080634784126598</v>
      </c>
    </row>
    <row r="1132" spans="1:37" x14ac:dyDescent="0.2">
      <c r="A1132" t="str">
        <f>"20200111154047857"</f>
        <v>20200111154047857</v>
      </c>
      <c r="B1132" t="str">
        <f>"1578728447847147"</f>
        <v>1578728447847147</v>
      </c>
      <c r="C1132" t="s">
        <v>37</v>
      </c>
      <c r="D1132">
        <v>5.5419269999999896</v>
      </c>
      <c r="E1132">
        <v>0.54957749999999905</v>
      </c>
      <c r="F1132" t="s">
        <v>38</v>
      </c>
      <c r="G1132">
        <v>-223.1848</v>
      </c>
      <c r="H1132">
        <v>0.92748999999999904</v>
      </c>
      <c r="I1132">
        <v>281.97149999999999</v>
      </c>
      <c r="J1132">
        <v>-222.72450000000001</v>
      </c>
      <c r="K1132">
        <v>1.107688</v>
      </c>
      <c r="L1132">
        <v>281.88679999999999</v>
      </c>
      <c r="M1132">
        <v>-0.99990270000000003</v>
      </c>
      <c r="N1132">
        <v>0</v>
      </c>
      <c r="O1132">
        <v>-3.7130609999999902E-3</v>
      </c>
      <c r="P1132">
        <v>-0.99883559999999905</v>
      </c>
      <c r="Q1132">
        <v>3.8815860000000001E-2</v>
      </c>
      <c r="R1132">
        <v>-2.8658199999999901E-2</v>
      </c>
      <c r="S1132">
        <v>-3.03863499999999</v>
      </c>
      <c r="T1132">
        <v>-0.69444069999999902</v>
      </c>
      <c r="U1132">
        <v>0.33111570000000001</v>
      </c>
      <c r="V1132">
        <v>-2.4564490000000001E-2</v>
      </c>
      <c r="W1132">
        <v>5.2436910000000003E-2</v>
      </c>
      <c r="X1132">
        <v>0.99832209999999999</v>
      </c>
      <c r="Y1132">
        <v>0.109141899999999</v>
      </c>
      <c r="Z1132">
        <v>1.311328E-2</v>
      </c>
      <c r="AA1132">
        <v>0.99393969999999898</v>
      </c>
      <c r="AB1132">
        <v>31</v>
      </c>
      <c r="AC1132">
        <v>-0.460299999999989</v>
      </c>
      <c r="AD1132">
        <v>-0.180198</v>
      </c>
      <c r="AE1132">
        <v>8.4699999999997999E-2</v>
      </c>
      <c r="AF1132">
        <v>7.5253366855811799E-2</v>
      </c>
      <c r="AG1132">
        <v>-0.180198</v>
      </c>
      <c r="AH1132">
        <v>0.40059878101053698</v>
      </c>
      <c r="AI1132">
        <v>113.8496919514</v>
      </c>
      <c r="AJ1132">
        <v>79.360851113387497</v>
      </c>
      <c r="AK1132">
        <v>0.44566105032217501</v>
      </c>
    </row>
    <row r="1133" spans="1:37" x14ac:dyDescent="0.2">
      <c r="A1133" t="str">
        <f>"20200111154047880"</f>
        <v>20200111154047880</v>
      </c>
      <c r="B1133" t="str">
        <f>"1578728447877403"</f>
        <v>1578728447877403</v>
      </c>
      <c r="C1133" t="s">
        <v>37</v>
      </c>
      <c r="D1133">
        <v>5.5252869999999996</v>
      </c>
      <c r="E1133">
        <v>0.54974009999999995</v>
      </c>
      <c r="F1133" t="s">
        <v>38</v>
      </c>
      <c r="G1133">
        <v>-223.46979999999999</v>
      </c>
      <c r="H1133">
        <v>0.93426309999999901</v>
      </c>
      <c r="I1133">
        <v>281.96929999999998</v>
      </c>
      <c r="J1133">
        <v>-223.03049999999999</v>
      </c>
      <c r="K1133">
        <v>1.107726</v>
      </c>
      <c r="L1133">
        <v>281.88909999999998</v>
      </c>
      <c r="M1133">
        <v>-0.99990949999999901</v>
      </c>
      <c r="N1133">
        <v>0</v>
      </c>
      <c r="O1133">
        <v>-3.6199190000000002E-4</v>
      </c>
      <c r="P1133">
        <v>-0.99880869999999999</v>
      </c>
      <c r="Q1133">
        <v>4.0778719999999997E-2</v>
      </c>
      <c r="R1133">
        <v>-2.6800149999999998E-2</v>
      </c>
      <c r="S1133">
        <v>-3.0406650000000002</v>
      </c>
      <c r="T1133">
        <v>-0.7076365</v>
      </c>
      <c r="U1133">
        <v>0.33679199999999998</v>
      </c>
      <c r="V1133">
        <v>-2.6045039999999998E-2</v>
      </c>
      <c r="W1133">
        <v>5.4401999999999999E-2</v>
      </c>
      <c r="X1133">
        <v>0.99817939999999905</v>
      </c>
      <c r="Y1133">
        <v>0.1075986</v>
      </c>
      <c r="Z1133">
        <v>1.240201E-2</v>
      </c>
      <c r="AA1133">
        <v>0.99411709999999998</v>
      </c>
      <c r="AB1133">
        <v>31</v>
      </c>
      <c r="AC1133">
        <v>-0.43930000000000202</v>
      </c>
      <c r="AD1133">
        <v>-0.1734629</v>
      </c>
      <c r="AE1133">
        <v>8.0199999999990695E-2</v>
      </c>
      <c r="AF1133">
        <v>6.9823559277629496E-2</v>
      </c>
      <c r="AG1133">
        <v>-0.1734629</v>
      </c>
      <c r="AH1133">
        <v>0.38168030984731</v>
      </c>
      <c r="AI1133">
        <v>114.08716074902701</v>
      </c>
      <c r="AJ1133">
        <v>79.633097775382097</v>
      </c>
      <c r="AK1133">
        <v>0.42502301823753602</v>
      </c>
    </row>
    <row r="1134" spans="1:37" x14ac:dyDescent="0.2">
      <c r="A1134" t="str">
        <f>"20200111154047901"</f>
        <v>20200111154047901</v>
      </c>
      <c r="B1134" t="str">
        <f>"1578728447896923"</f>
        <v>1578728447896923</v>
      </c>
      <c r="C1134" t="s">
        <v>37</v>
      </c>
      <c r="D1134">
        <v>5.5192709999999998</v>
      </c>
      <c r="E1134">
        <v>0.54986669999999904</v>
      </c>
      <c r="F1134" t="s">
        <v>38</v>
      </c>
      <c r="G1134">
        <v>-223.7527</v>
      </c>
      <c r="H1134">
        <v>0.93689529999999999</v>
      </c>
      <c r="I1134">
        <v>281.97070000000002</v>
      </c>
      <c r="J1134">
        <v>-223.3287</v>
      </c>
      <c r="K1134">
        <v>1.1077809999999999</v>
      </c>
      <c r="L1134">
        <v>281.89229999999998</v>
      </c>
      <c r="M1134">
        <v>-0.99990559999999995</v>
      </c>
      <c r="N1134">
        <v>0</v>
      </c>
      <c r="O1134">
        <v>2.8363770000000002E-3</v>
      </c>
      <c r="P1134">
        <v>-0.99883820000000001</v>
      </c>
      <c r="Q1134">
        <v>4.1565659999999997E-2</v>
      </c>
      <c r="R1134">
        <v>-2.43833E-2</v>
      </c>
      <c r="S1134">
        <v>-3.04216</v>
      </c>
      <c r="T1134">
        <v>-0.71949790000000002</v>
      </c>
      <c r="U1134">
        <v>0.34341430000000001</v>
      </c>
      <c r="V1134">
        <v>-2.682447E-2</v>
      </c>
      <c r="W1134">
        <v>5.5184759999999999E-2</v>
      </c>
      <c r="X1134">
        <v>0.9981158</v>
      </c>
      <c r="Y1134">
        <v>0.1065285</v>
      </c>
      <c r="Z1134">
        <v>1.1728580000000001E-2</v>
      </c>
      <c r="AA1134">
        <v>0.99424049999999997</v>
      </c>
      <c r="AB1134">
        <v>31</v>
      </c>
      <c r="AC1134">
        <v>-0.42400000000000598</v>
      </c>
      <c r="AD1134">
        <v>-0.170885699999999</v>
      </c>
      <c r="AE1134">
        <v>7.8400000000044601E-2</v>
      </c>
      <c r="AF1134">
        <v>6.6717905749761094E-2</v>
      </c>
      <c r="AG1134">
        <v>-0.170885699999999</v>
      </c>
      <c r="AH1134">
        <v>0.36663514574963402</v>
      </c>
      <c r="AI1134">
        <v>114.63435910659901</v>
      </c>
      <c r="AJ1134">
        <v>79.686535671002403</v>
      </c>
      <c r="AK1134">
        <v>0.409968939690532</v>
      </c>
    </row>
    <row r="1135" spans="1:37" x14ac:dyDescent="0.2">
      <c r="A1135" t="str">
        <f>"20200111154047924"</f>
        <v>20200111154047924</v>
      </c>
      <c r="B1135" t="str">
        <f>"1578728447917419"</f>
        <v>1578728447917419</v>
      </c>
      <c r="C1135" t="s">
        <v>37</v>
      </c>
      <c r="D1135">
        <v>5.5212110000000001</v>
      </c>
      <c r="E1135">
        <v>0.55011049999999995</v>
      </c>
      <c r="F1135" t="s">
        <v>38</v>
      </c>
      <c r="G1135">
        <v>-224.03530000000001</v>
      </c>
      <c r="H1135">
        <v>0.93923189999999901</v>
      </c>
      <c r="I1135">
        <v>281.97399999999999</v>
      </c>
      <c r="J1135">
        <v>-223.64510000000001</v>
      </c>
      <c r="K1135">
        <v>1.107847</v>
      </c>
      <c r="L1135">
        <v>281.89670000000001</v>
      </c>
      <c r="M1135">
        <v>-0.99989089999999903</v>
      </c>
      <c r="N1135">
        <v>0</v>
      </c>
      <c r="O1135">
        <v>6.1411690000000001E-3</v>
      </c>
      <c r="P1135">
        <v>-0.99893489999999996</v>
      </c>
      <c r="Q1135">
        <v>4.0829190000000001E-2</v>
      </c>
      <c r="R1135">
        <v>-2.1501050000000001E-2</v>
      </c>
      <c r="S1135">
        <v>-3.0422669999999998</v>
      </c>
      <c r="T1135">
        <v>-0.72561919999999902</v>
      </c>
      <c r="U1135">
        <v>0.35153200000000001</v>
      </c>
      <c r="V1135">
        <v>-2.7258210000000001E-2</v>
      </c>
      <c r="W1135">
        <v>5.4441049999999998E-2</v>
      </c>
      <c r="X1135">
        <v>0.9981449</v>
      </c>
      <c r="Y1135">
        <v>0.1059203</v>
      </c>
      <c r="Z1135">
        <v>1.097743E-2</v>
      </c>
      <c r="AA1135">
        <v>0.99431399999999903</v>
      </c>
      <c r="AB1135">
        <v>31</v>
      </c>
      <c r="AC1135">
        <v>-0.390199999999993</v>
      </c>
      <c r="AD1135">
        <v>-0.16861509999999999</v>
      </c>
      <c r="AE1135">
        <v>7.7299999999979704E-2</v>
      </c>
      <c r="AF1135">
        <v>6.3493509242639606E-2</v>
      </c>
      <c r="AG1135">
        <v>-0.16861509999999999</v>
      </c>
      <c r="AH1135">
        <v>0.33116378877432101</v>
      </c>
      <c r="AI1135">
        <v>116.567401989671</v>
      </c>
      <c r="AJ1135">
        <v>79.146482701481801</v>
      </c>
      <c r="AK1135">
        <v>0.37700388944852897</v>
      </c>
    </row>
    <row r="1136" spans="1:37" x14ac:dyDescent="0.2">
      <c r="A1136" t="str">
        <f>"20200111154047946"</f>
        <v>20200111154047946</v>
      </c>
      <c r="B1136" t="str">
        <f>"1578728447936939"</f>
        <v>1578728447936939</v>
      </c>
      <c r="C1136" t="s">
        <v>37</v>
      </c>
      <c r="D1136">
        <v>5.5229650000000001</v>
      </c>
      <c r="E1136">
        <v>0.55020069999999999</v>
      </c>
      <c r="F1136" t="s">
        <v>38</v>
      </c>
      <c r="G1136">
        <v>-224.57259999999999</v>
      </c>
      <c r="H1136">
        <v>0.88377399999999995</v>
      </c>
      <c r="I1136">
        <v>282.00749999999999</v>
      </c>
      <c r="J1136">
        <v>-223.96340000000001</v>
      </c>
      <c r="K1136">
        <v>1.1079239999999999</v>
      </c>
      <c r="L1136">
        <v>281.90210000000002</v>
      </c>
      <c r="M1136">
        <v>-0.99986589999999997</v>
      </c>
      <c r="N1136">
        <v>0</v>
      </c>
      <c r="O1136">
        <v>9.3605210000000001E-3</v>
      </c>
      <c r="P1136">
        <v>-0.99905769999999905</v>
      </c>
      <c r="Q1136">
        <v>3.9120910000000002E-2</v>
      </c>
      <c r="R1136">
        <v>-1.87925E-2</v>
      </c>
      <c r="S1136">
        <v>-3.041061</v>
      </c>
      <c r="T1136">
        <v>-0.73455000000000004</v>
      </c>
      <c r="U1136">
        <v>0.36309809999999998</v>
      </c>
      <c r="V1136">
        <v>-2.7789080000000001E-2</v>
      </c>
      <c r="W1136">
        <v>5.2725950000000001E-2</v>
      </c>
      <c r="X1136">
        <v>0.99822230000000001</v>
      </c>
      <c r="Y1136">
        <v>0.10650179999999999</v>
      </c>
      <c r="Z1136">
        <v>1.0415850000000001E-2</v>
      </c>
      <c r="AA1136">
        <v>0.99425790000000003</v>
      </c>
      <c r="AB1136">
        <v>31</v>
      </c>
      <c r="AC1136">
        <v>-0.60919999999998697</v>
      </c>
      <c r="AD1136">
        <v>-0.22414999999999999</v>
      </c>
      <c r="AE1136">
        <v>0.105399999999974</v>
      </c>
      <c r="AF1136">
        <v>8.8110621223039795E-2</v>
      </c>
      <c r="AG1136">
        <v>-0.22414999999999999</v>
      </c>
      <c r="AH1136">
        <v>0.539274368071476</v>
      </c>
      <c r="AI1136">
        <v>112.304017289516</v>
      </c>
      <c r="AJ1136">
        <v>80.720586138730198</v>
      </c>
      <c r="AK1136">
        <v>0.59061285808150199</v>
      </c>
    </row>
    <row r="1137" spans="1:37" x14ac:dyDescent="0.2">
      <c r="A1137" t="str">
        <f>"20200111154047970"</f>
        <v>20200111154047970</v>
      </c>
      <c r="B1137" t="str">
        <f>"1578728447957434"</f>
        <v>1578728447957434</v>
      </c>
      <c r="C1137" t="s">
        <v>37</v>
      </c>
      <c r="D1137">
        <v>5.5011320000000001</v>
      </c>
      <c r="E1137">
        <v>0.5504597</v>
      </c>
      <c r="F1137" t="s">
        <v>38</v>
      </c>
      <c r="G1137">
        <v>-224.85550000000001</v>
      </c>
      <c r="H1137">
        <v>0.88910460000000002</v>
      </c>
      <c r="I1137">
        <v>282.01190000000003</v>
      </c>
      <c r="J1137">
        <v>-224.29</v>
      </c>
      <c r="K1137">
        <v>1.1079969999999999</v>
      </c>
      <c r="L1137">
        <v>281.90859999999998</v>
      </c>
      <c r="M1137">
        <v>-0.99983080000000002</v>
      </c>
      <c r="N1137">
        <v>0</v>
      </c>
      <c r="O1137">
        <v>1.2573859999999999E-2</v>
      </c>
      <c r="P1137">
        <v>-0.99914699999999901</v>
      </c>
      <c r="Q1137">
        <v>3.8240179999999999E-2</v>
      </c>
      <c r="R1137">
        <v>-1.559926E-2</v>
      </c>
      <c r="S1137">
        <v>-3.0390320000000002</v>
      </c>
      <c r="T1137">
        <v>-0.74533340000000003</v>
      </c>
      <c r="U1137">
        <v>0.3734131</v>
      </c>
      <c r="V1137">
        <v>-2.7822739999999999E-2</v>
      </c>
      <c r="W1137">
        <v>5.1835010000000001E-2</v>
      </c>
      <c r="X1137">
        <v>0.99826800000000004</v>
      </c>
      <c r="Y1137">
        <v>0.10671649999999901</v>
      </c>
      <c r="Z1137">
        <v>9.8214749999999996E-3</v>
      </c>
      <c r="AA1137">
        <v>0.99424099999999904</v>
      </c>
      <c r="AB1137">
        <v>31</v>
      </c>
      <c r="AC1137">
        <v>-0.56550000000001399</v>
      </c>
      <c r="AD1137">
        <v>-0.21889239999999899</v>
      </c>
      <c r="AE1137">
        <v>0.10330000000004699</v>
      </c>
      <c r="AF1137">
        <v>8.4001250268172997E-2</v>
      </c>
      <c r="AG1137">
        <v>-0.21889239999999899</v>
      </c>
      <c r="AH1137">
        <v>0.49498580880760501</v>
      </c>
      <c r="AI1137">
        <v>113.55652787442899</v>
      </c>
      <c r="AJ1137">
        <v>80.3684185849513</v>
      </c>
      <c r="AK1137">
        <v>0.547705252617953</v>
      </c>
    </row>
    <row r="1138" spans="1:37" x14ac:dyDescent="0.2">
      <c r="A1138" t="str">
        <f>"20200111154047990"</f>
        <v>20200111154047990</v>
      </c>
      <c r="B1138" t="str">
        <f>"1578728447987690"</f>
        <v>1578728447987690</v>
      </c>
      <c r="C1138" t="s">
        <v>37</v>
      </c>
      <c r="D1138">
        <v>5.4648699999999897</v>
      </c>
      <c r="E1138">
        <v>0.56767539999999905</v>
      </c>
      <c r="F1138" t="s">
        <v>38</v>
      </c>
      <c r="G1138">
        <v>-225.1397</v>
      </c>
      <c r="H1138">
        <v>0.89808750000000004</v>
      </c>
      <c r="I1138">
        <v>282.01679999999999</v>
      </c>
      <c r="J1138">
        <v>-224.58019999999999</v>
      </c>
      <c r="K1138">
        <v>1.108053</v>
      </c>
      <c r="L1138">
        <v>281.91520000000003</v>
      </c>
      <c r="M1138">
        <v>-0.99979200000000001</v>
      </c>
      <c r="N1138">
        <v>0</v>
      </c>
      <c r="O1138">
        <v>1.5355000000000001E-2</v>
      </c>
      <c r="P1138">
        <v>-0.99917529999999999</v>
      </c>
      <c r="Q1138">
        <v>3.8472869999999999E-2</v>
      </c>
      <c r="R1138">
        <v>-1.298946E-2</v>
      </c>
      <c r="S1138">
        <v>-3.0373079999999999</v>
      </c>
      <c r="T1138">
        <v>-0.75019720000000001</v>
      </c>
      <c r="U1138">
        <v>0.38592529999999903</v>
      </c>
      <c r="V1138">
        <v>-2.799807E-2</v>
      </c>
      <c r="W1138">
        <v>5.2059300000000003E-2</v>
      </c>
      <c r="X1138">
        <v>0.99825140000000001</v>
      </c>
      <c r="Y1138">
        <v>0.1080586</v>
      </c>
      <c r="Z1138">
        <v>9.3755279999999993E-3</v>
      </c>
      <c r="AA1138">
        <v>0.99410030000000005</v>
      </c>
      <c r="AB1138">
        <v>31</v>
      </c>
      <c r="AC1138">
        <v>-0.55950000000001399</v>
      </c>
      <c r="AD1138">
        <v>-0.209965499999999</v>
      </c>
      <c r="AE1138">
        <v>0.101599999999962</v>
      </c>
      <c r="AF1138">
        <v>8.1838685770548397E-2</v>
      </c>
      <c r="AG1138">
        <v>-0.209965499999999</v>
      </c>
      <c r="AH1138">
        <v>0.493687578859832</v>
      </c>
      <c r="AI1138">
        <v>112.761679689654</v>
      </c>
      <c r="AJ1138">
        <v>80.587660921492898</v>
      </c>
      <c r="AK1138">
        <v>0.542688222830921</v>
      </c>
    </row>
    <row r="1139" spans="1:37" x14ac:dyDescent="0.2">
      <c r="A1139" t="str">
        <f>"20200111154048013"</f>
        <v>20200111154048013</v>
      </c>
      <c r="B1139" t="str">
        <f>"1578728448007211"</f>
        <v>1578728448007211</v>
      </c>
      <c r="C1139" t="s">
        <v>37</v>
      </c>
      <c r="D1139">
        <v>5.4792879999999897</v>
      </c>
      <c r="E1139">
        <v>0.567106</v>
      </c>
      <c r="F1139" t="s">
        <v>38</v>
      </c>
      <c r="G1139">
        <v>-225.41730000000001</v>
      </c>
      <c r="H1139">
        <v>0.88842840000000001</v>
      </c>
      <c r="I1139">
        <v>282.06229999999999</v>
      </c>
      <c r="J1139">
        <v>-224.89429999999999</v>
      </c>
      <c r="K1139">
        <v>1.1081049999999999</v>
      </c>
      <c r="L1139">
        <v>281.92320000000001</v>
      </c>
      <c r="M1139">
        <v>-0.99974259999999904</v>
      </c>
      <c r="N1139">
        <v>0</v>
      </c>
      <c r="O1139">
        <v>1.829457E-2</v>
      </c>
      <c r="P1139">
        <v>-0.99922160000000004</v>
      </c>
      <c r="Q1139">
        <v>3.8019820000000003E-2</v>
      </c>
      <c r="R1139">
        <v>-1.0516599999999999E-2</v>
      </c>
      <c r="S1139">
        <v>-3.0401150000000001</v>
      </c>
      <c r="T1139">
        <v>-0.79754759999999902</v>
      </c>
      <c r="U1139">
        <v>0.5331726</v>
      </c>
      <c r="V1139">
        <v>-2.8473789999999999E-2</v>
      </c>
      <c r="W1139">
        <v>5.160025E-2</v>
      </c>
      <c r="X1139">
        <v>0.99826179999999998</v>
      </c>
      <c r="Y1139">
        <v>0.150358399999999</v>
      </c>
      <c r="Z1139">
        <v>1.45706999999999E-2</v>
      </c>
      <c r="AA1139">
        <v>0.98852419999999996</v>
      </c>
      <c r="AB1139">
        <v>31</v>
      </c>
      <c r="AC1139">
        <v>-0.523000000000024</v>
      </c>
      <c r="AD1139">
        <v>-0.219676599999999</v>
      </c>
      <c r="AE1139">
        <v>0.13909999999998399</v>
      </c>
      <c r="AF1139">
        <v>0.111187331875683</v>
      </c>
      <c r="AG1139">
        <v>-0.219676599999999</v>
      </c>
      <c r="AH1139">
        <v>0.451125070023837</v>
      </c>
      <c r="AI1139">
        <v>115.304972753697</v>
      </c>
      <c r="AJ1139">
        <v>76.154446176177004</v>
      </c>
      <c r="AK1139">
        <v>0.51393993828190199</v>
      </c>
    </row>
    <row r="1140" spans="1:37" x14ac:dyDescent="0.2">
      <c r="A1140" t="str">
        <f>"20200111154048035"</f>
        <v>20200111154048035</v>
      </c>
      <c r="B1140" t="str">
        <f>"1578728448027707"</f>
        <v>1578728448027707</v>
      </c>
      <c r="C1140" t="s">
        <v>37</v>
      </c>
      <c r="D1140">
        <v>5.4582259999999998</v>
      </c>
      <c r="E1140">
        <v>0.5666679</v>
      </c>
      <c r="F1140" t="s">
        <v>38</v>
      </c>
      <c r="G1140">
        <v>-225.69890000000001</v>
      </c>
      <c r="H1140">
        <v>0.89278609999999903</v>
      </c>
      <c r="I1140">
        <v>282.06540000000001</v>
      </c>
      <c r="J1140">
        <v>-225.21559999999999</v>
      </c>
      <c r="K1140">
        <v>1.1081399999999999</v>
      </c>
      <c r="L1140">
        <v>281.93220000000002</v>
      </c>
      <c r="M1140">
        <v>-0.99968440000000003</v>
      </c>
      <c r="N1140">
        <v>0</v>
      </c>
      <c r="O1140">
        <v>2.1243540000000002E-2</v>
      </c>
      <c r="P1140">
        <v>-0.99924460000000004</v>
      </c>
      <c r="Q1140">
        <v>3.7984990000000003E-2</v>
      </c>
      <c r="R1140">
        <v>-8.2215759999999995E-3</v>
      </c>
      <c r="S1140">
        <v>-3.0389400000000002</v>
      </c>
      <c r="T1140">
        <v>-0.81322530000000004</v>
      </c>
      <c r="U1140">
        <v>0.53695680000000001</v>
      </c>
      <c r="V1140">
        <v>-2.9133119999999998E-2</v>
      </c>
      <c r="W1140">
        <v>5.1561199999999897E-2</v>
      </c>
      <c r="X1140">
        <v>0.99824480000000004</v>
      </c>
      <c r="Y1140">
        <v>0.14868960000000001</v>
      </c>
      <c r="Z1140">
        <v>1.3864680000000001E-2</v>
      </c>
      <c r="AA1140">
        <v>0.98878670000000002</v>
      </c>
      <c r="AB1140">
        <v>31</v>
      </c>
      <c r="AC1140">
        <v>-0.483300000000014</v>
      </c>
      <c r="AD1140">
        <v>-0.21535389999999999</v>
      </c>
      <c r="AE1140">
        <v>0.13319999999998799</v>
      </c>
      <c r="AF1140">
        <v>0.103755574510679</v>
      </c>
      <c r="AG1140">
        <v>-0.21535389999999999</v>
      </c>
      <c r="AH1140">
        <v>0.410305482039863</v>
      </c>
      <c r="AI1140">
        <v>116.96905456654299</v>
      </c>
      <c r="AJ1140">
        <v>75.808881760864907</v>
      </c>
      <c r="AK1140">
        <v>0.474861148209891</v>
      </c>
    </row>
    <row r="1141" spans="1:37" x14ac:dyDescent="0.2">
      <c r="A1141" t="str">
        <f>"20200111154048058"</f>
        <v>20200111154048058</v>
      </c>
      <c r="B1141" t="str">
        <f>"1578728448047226"</f>
        <v>1578728448047226</v>
      </c>
      <c r="C1141" t="s">
        <v>37</v>
      </c>
      <c r="D1141">
        <v>5.4583440000000003</v>
      </c>
      <c r="E1141">
        <v>0.56623190000000001</v>
      </c>
      <c r="F1141" t="s">
        <v>38</v>
      </c>
      <c r="G1141">
        <v>-225.982</v>
      </c>
      <c r="H1141">
        <v>0.90096350000000003</v>
      </c>
      <c r="I1141">
        <v>282.06880000000001</v>
      </c>
      <c r="J1141">
        <v>-225.5428</v>
      </c>
      <c r="K1141">
        <v>1.108166</v>
      </c>
      <c r="L1141">
        <v>281.94229999999999</v>
      </c>
      <c r="M1141">
        <v>-0.99961690000000003</v>
      </c>
      <c r="N1141">
        <v>0</v>
      </c>
      <c r="O1141">
        <v>2.421125E-2</v>
      </c>
      <c r="P1141">
        <v>-0.99924349999999995</v>
      </c>
      <c r="Q1141">
        <v>3.8341409999999999E-2</v>
      </c>
      <c r="R1141">
        <v>-6.5188879999999996E-3</v>
      </c>
      <c r="S1141">
        <v>-3.0379330000000002</v>
      </c>
      <c r="T1141">
        <v>-0.82116299999999898</v>
      </c>
      <c r="U1141">
        <v>0.54083249999999905</v>
      </c>
      <c r="V1141">
        <v>-3.039917E-2</v>
      </c>
      <c r="W1141">
        <v>5.1916440000000001E-2</v>
      </c>
      <c r="X1141">
        <v>0.99818869999999904</v>
      </c>
      <c r="Y1141">
        <v>0.14710799999999999</v>
      </c>
      <c r="Z1141">
        <v>1.300863E-2</v>
      </c>
      <c r="AA1141">
        <v>0.98903490000000005</v>
      </c>
      <c r="AB1141">
        <v>31</v>
      </c>
      <c r="AC1141">
        <v>-0.43919999999999898</v>
      </c>
      <c r="AD1141">
        <v>-0.20720250000000001</v>
      </c>
      <c r="AE1141">
        <v>0.12650000000002101</v>
      </c>
      <c r="AF1141">
        <v>9.6081678644867496E-2</v>
      </c>
      <c r="AG1141">
        <v>-0.20720250000000001</v>
      </c>
      <c r="AH1141">
        <v>0.36675813949938602</v>
      </c>
      <c r="AI1141">
        <v>118.65722277162899</v>
      </c>
      <c r="AJ1141">
        <v>75.319809469812199</v>
      </c>
      <c r="AK1141">
        <v>0.43206029424898201</v>
      </c>
    </row>
    <row r="1142" spans="1:37" x14ac:dyDescent="0.2">
      <c r="A1142" t="str">
        <f>"20200111154048081"</f>
        <v>20200111154048081</v>
      </c>
      <c r="B1142" t="str">
        <f>"1578728448077483"</f>
        <v>1578728448077483</v>
      </c>
      <c r="C1142" t="s">
        <v>37</v>
      </c>
      <c r="D1142">
        <v>5.4871679999999996</v>
      </c>
      <c r="E1142">
        <v>0.56613930000000001</v>
      </c>
      <c r="F1142" t="s">
        <v>38</v>
      </c>
      <c r="G1142">
        <v>-226.2664</v>
      </c>
      <c r="H1142">
        <v>0.91217329999999996</v>
      </c>
      <c r="I1142">
        <v>282.07170000000002</v>
      </c>
      <c r="J1142">
        <v>-225.85220000000001</v>
      </c>
      <c r="K1142">
        <v>1.1081840000000001</v>
      </c>
      <c r="L1142">
        <v>281.95269999999999</v>
      </c>
      <c r="M1142">
        <v>-0.99954560000000003</v>
      </c>
      <c r="N1142">
        <v>0</v>
      </c>
      <c r="O1142">
        <v>2.6997460000000001E-2</v>
      </c>
      <c r="P1142">
        <v>-0.99924609999999903</v>
      </c>
      <c r="Q1142">
        <v>3.8409739999999998E-2</v>
      </c>
      <c r="R1142">
        <v>-5.6520919999999896E-3</v>
      </c>
      <c r="S1142">
        <v>-3.0373839999999999</v>
      </c>
      <c r="T1142">
        <v>-0.82262679999999999</v>
      </c>
      <c r="U1142">
        <v>0.54336549999999995</v>
      </c>
      <c r="V1142">
        <v>-3.2319540000000001E-2</v>
      </c>
      <c r="W1142">
        <v>5.1989779999999999E-2</v>
      </c>
      <c r="X1142">
        <v>0.99812449999999997</v>
      </c>
      <c r="Y1142">
        <v>0.14532679999999901</v>
      </c>
      <c r="Z1142">
        <v>1.2062450000000001E-2</v>
      </c>
      <c r="AA1142">
        <v>0.98931019999999903</v>
      </c>
      <c r="AB1142">
        <v>31</v>
      </c>
      <c r="AC1142">
        <v>-0.41419999999999302</v>
      </c>
      <c r="AD1142">
        <v>-0.19601070000000001</v>
      </c>
      <c r="AE1142">
        <v>0.119000000000028</v>
      </c>
      <c r="AF1142">
        <v>8.9299910710376199E-2</v>
      </c>
      <c r="AG1142">
        <v>-0.19601070000000001</v>
      </c>
      <c r="AH1142">
        <v>0.34573934727820899</v>
      </c>
      <c r="AI1142">
        <v>118.763169935915</v>
      </c>
      <c r="AJ1142">
        <v>75.517765667614995</v>
      </c>
      <c r="AK1142">
        <v>0.40734551037630601</v>
      </c>
    </row>
    <row r="1143" spans="1:37" x14ac:dyDescent="0.2">
      <c r="A1143" t="str">
        <f>"20200111154048101"</f>
        <v>20200111154048101</v>
      </c>
      <c r="B1143" t="str">
        <f>"1578728448097003"</f>
        <v>1578728448097003</v>
      </c>
      <c r="C1143" t="s">
        <v>37</v>
      </c>
      <c r="D1143">
        <v>5.4840540000000004</v>
      </c>
      <c r="E1143">
        <v>0.56582559999999904</v>
      </c>
      <c r="F1143" t="s">
        <v>38</v>
      </c>
      <c r="G1143">
        <v>-226.54900000000001</v>
      </c>
      <c r="H1143">
        <v>0.91899929999999996</v>
      </c>
      <c r="I1143">
        <v>282.07799999999997</v>
      </c>
      <c r="J1143">
        <v>-226.13759999999999</v>
      </c>
      <c r="K1143">
        <v>1.108203</v>
      </c>
      <c r="L1143">
        <v>281.9631</v>
      </c>
      <c r="M1143">
        <v>-0.99947359999999896</v>
      </c>
      <c r="N1143">
        <v>0</v>
      </c>
      <c r="O1143">
        <v>2.954847E-2</v>
      </c>
      <c r="P1143">
        <v>-0.9992105</v>
      </c>
      <c r="Q1143">
        <v>3.9365869999999997E-2</v>
      </c>
      <c r="R1143">
        <v>-5.3884619999999897E-3</v>
      </c>
      <c r="S1143">
        <v>-3.0370330000000001</v>
      </c>
      <c r="T1143">
        <v>-0.82453449999999995</v>
      </c>
      <c r="U1143">
        <v>0.54583740000000003</v>
      </c>
      <c r="V1143">
        <v>-3.4601279999999998E-2</v>
      </c>
      <c r="W1143">
        <v>5.2952609999999997E-2</v>
      </c>
      <c r="X1143">
        <v>0.99799740000000003</v>
      </c>
      <c r="Y1143">
        <v>0.14372969999999999</v>
      </c>
      <c r="Z1143">
        <v>1.1204499999999999E-2</v>
      </c>
      <c r="AA1143">
        <v>0.98955360000000003</v>
      </c>
      <c r="AB1143">
        <v>31</v>
      </c>
      <c r="AC1143">
        <v>-0.41140000000001398</v>
      </c>
      <c r="AD1143">
        <v>-0.1892037</v>
      </c>
      <c r="AE1143">
        <v>0.11489999999997701</v>
      </c>
      <c r="AF1143">
        <v>8.5848549721677603E-2</v>
      </c>
      <c r="AG1143">
        <v>-0.1892037</v>
      </c>
      <c r="AH1143">
        <v>0.34660919800077999</v>
      </c>
      <c r="AI1143">
        <v>117.917323041465</v>
      </c>
      <c r="AJ1143">
        <v>76.088871944393702</v>
      </c>
      <c r="AK1143">
        <v>0.40411130857939298</v>
      </c>
    </row>
    <row r="1144" spans="1:37" x14ac:dyDescent="0.2">
      <c r="A1144" t="str">
        <f>"20200111154048125"</f>
        <v>20200111154048125</v>
      </c>
      <c r="B1144" t="str">
        <f>"1578728448117499"</f>
        <v>1578728448117499</v>
      </c>
      <c r="C1144" t="s">
        <v>37</v>
      </c>
      <c r="D1144">
        <v>5.4785059999999897</v>
      </c>
      <c r="E1144">
        <v>0.56592799999999999</v>
      </c>
      <c r="F1144" t="s">
        <v>38</v>
      </c>
      <c r="G1144">
        <v>-226.82900000000001</v>
      </c>
      <c r="H1144">
        <v>0.92075620000000002</v>
      </c>
      <c r="I1144">
        <v>282.08710000000002</v>
      </c>
      <c r="J1144">
        <v>-226.47120000000001</v>
      </c>
      <c r="K1144">
        <v>1.1082479999999999</v>
      </c>
      <c r="L1144">
        <v>281.97620000000001</v>
      </c>
      <c r="M1144">
        <v>-0.99938280000000002</v>
      </c>
      <c r="N1144">
        <v>0</v>
      </c>
      <c r="O1144">
        <v>3.2478340000000001E-2</v>
      </c>
      <c r="P1144">
        <v>-0.99914689999999995</v>
      </c>
      <c r="Q1144">
        <v>4.0940629999999999E-2</v>
      </c>
      <c r="R1144">
        <v>-5.4442639999999999E-3</v>
      </c>
      <c r="S1144">
        <v>-3.03775</v>
      </c>
      <c r="T1144">
        <v>-0.82355119999999904</v>
      </c>
      <c r="U1144">
        <v>0.5441589</v>
      </c>
      <c r="V1144">
        <v>-3.7578840000000002E-2</v>
      </c>
      <c r="W1144">
        <v>5.453438E-2</v>
      </c>
      <c r="X1144">
        <v>0.99780449999999998</v>
      </c>
      <c r="Y1144">
        <v>0.1404859</v>
      </c>
      <c r="Z1144">
        <v>9.9877980000000009E-3</v>
      </c>
      <c r="AA1144">
        <v>0.99003229999999998</v>
      </c>
      <c r="AB1144">
        <v>31</v>
      </c>
      <c r="AC1144">
        <v>-0.35779999999999701</v>
      </c>
      <c r="AD1144">
        <v>-0.18749179999999899</v>
      </c>
      <c r="AE1144">
        <v>0.110900000000015</v>
      </c>
      <c r="AF1144">
        <v>7.9342612846050195E-2</v>
      </c>
      <c r="AG1144">
        <v>-0.18749179999999899</v>
      </c>
      <c r="AH1144">
        <v>0.28885005088262899</v>
      </c>
      <c r="AI1144">
        <v>122.043010558708</v>
      </c>
      <c r="AJ1144">
        <v>74.640559476811703</v>
      </c>
      <c r="AK1144">
        <v>0.35338757360067902</v>
      </c>
    </row>
    <row r="1145" spans="1:37" x14ac:dyDescent="0.2">
      <c r="A1145" t="str">
        <f>"20200111154048146"</f>
        <v>20200111154048146</v>
      </c>
      <c r="B1145" t="str">
        <f>"1578728448137995"</f>
        <v>1578728448137995</v>
      </c>
      <c r="C1145" t="s">
        <v>37</v>
      </c>
      <c r="D1145">
        <v>5.4860879999999996</v>
      </c>
      <c r="E1145">
        <v>0.56611789999999995</v>
      </c>
      <c r="F1145" t="s">
        <v>38</v>
      </c>
      <c r="G1145">
        <v>-227.3638</v>
      </c>
      <c r="H1145">
        <v>0.86719799999999903</v>
      </c>
      <c r="I1145">
        <v>282.13639999999998</v>
      </c>
      <c r="J1145">
        <v>-226.7722</v>
      </c>
      <c r="K1145">
        <v>1.108314</v>
      </c>
      <c r="L1145">
        <v>281.98869999999999</v>
      </c>
      <c r="M1145">
        <v>-0.99929639999999997</v>
      </c>
      <c r="N1145">
        <v>0</v>
      </c>
      <c r="O1145">
        <v>3.5036289999999998E-2</v>
      </c>
      <c r="P1145">
        <v>-0.99908369999999902</v>
      </c>
      <c r="Q1145">
        <v>4.2272699999999899E-2</v>
      </c>
      <c r="R1145">
        <v>-6.6809139999999996E-3</v>
      </c>
      <c r="S1145">
        <v>-3.0391689999999998</v>
      </c>
      <c r="T1145">
        <v>-0.82065779999999999</v>
      </c>
      <c r="U1145">
        <v>0.54559329999999995</v>
      </c>
      <c r="V1145">
        <v>-4.1368969999999998E-2</v>
      </c>
      <c r="W1145">
        <v>5.587462E-2</v>
      </c>
      <c r="X1145">
        <v>0.99758040000000003</v>
      </c>
      <c r="Y1145">
        <v>0.13851240000000001</v>
      </c>
      <c r="Z1145">
        <v>9.0170749999999994E-3</v>
      </c>
      <c r="AA1145">
        <v>0.99031970000000002</v>
      </c>
      <c r="AB1145">
        <v>31</v>
      </c>
      <c r="AC1145">
        <v>-0.59159999999999902</v>
      </c>
      <c r="AD1145">
        <v>-0.241116</v>
      </c>
      <c r="AE1145">
        <v>0.14769999999998601</v>
      </c>
      <c r="AF1145">
        <v>0.109723246726666</v>
      </c>
      <c r="AG1145">
        <v>-0.241116</v>
      </c>
      <c r="AH1145">
        <v>0.51576511627659405</v>
      </c>
      <c r="AI1145">
        <v>114.572680078818</v>
      </c>
      <c r="AJ1145">
        <v>77.990010791948194</v>
      </c>
      <c r="AK1145">
        <v>0.57981874020770496</v>
      </c>
    </row>
    <row r="1146" spans="1:37" x14ac:dyDescent="0.2">
      <c r="A1146" t="str">
        <f>"20200111154048170"</f>
        <v>20200111154048170</v>
      </c>
      <c r="B1146" t="str">
        <f>"1578728448167275"</f>
        <v>1578728448167275</v>
      </c>
      <c r="C1146" t="s">
        <v>37</v>
      </c>
      <c r="D1146">
        <v>5.3872970000000002</v>
      </c>
      <c r="E1146">
        <v>0.5402882</v>
      </c>
      <c r="F1146" t="s">
        <v>38</v>
      </c>
      <c r="G1146">
        <v>-227.64490000000001</v>
      </c>
      <c r="H1146">
        <v>0.87348320000000002</v>
      </c>
      <c r="I1146">
        <v>282.14530000000002</v>
      </c>
      <c r="J1146">
        <v>-227.0968</v>
      </c>
      <c r="K1146">
        <v>1.1084099999999999</v>
      </c>
      <c r="L1146">
        <v>282.00310000000002</v>
      </c>
      <c r="M1146">
        <v>-0.99919950000000002</v>
      </c>
      <c r="N1146">
        <v>0</v>
      </c>
      <c r="O1146">
        <v>3.7696449999999999E-2</v>
      </c>
      <c r="P1146">
        <v>-0.99905489999999997</v>
      </c>
      <c r="Q1146">
        <v>4.2799579999999997E-2</v>
      </c>
      <c r="R1146">
        <v>-7.5661610000000001E-3</v>
      </c>
      <c r="S1146">
        <v>-3.0410309999999998</v>
      </c>
      <c r="T1146">
        <v>-0.81830639999999999</v>
      </c>
      <c r="U1146">
        <v>0.54492189999999996</v>
      </c>
      <c r="V1146">
        <v>-4.4919279999999999E-2</v>
      </c>
      <c r="W1146">
        <v>5.6403549999999997E-2</v>
      </c>
      <c r="X1146">
        <v>0.99739709999999904</v>
      </c>
      <c r="Y1146">
        <v>0.135769899999999</v>
      </c>
      <c r="Z1146">
        <v>7.9305709999999904E-3</v>
      </c>
      <c r="AA1146">
        <v>0.99070859999999905</v>
      </c>
      <c r="AB1146">
        <v>31</v>
      </c>
      <c r="AC1146">
        <v>-0.54810000000000503</v>
      </c>
      <c r="AD1146">
        <v>-0.23492679999999999</v>
      </c>
      <c r="AE1146">
        <v>0.14220000000000199</v>
      </c>
      <c r="AF1146">
        <v>0.10360258743998101</v>
      </c>
      <c r="AG1146">
        <v>-0.23492679999999999</v>
      </c>
      <c r="AH1146">
        <v>0.47185174026349203</v>
      </c>
      <c r="AI1146">
        <v>115.933589695216</v>
      </c>
      <c r="AJ1146">
        <v>77.616303392003601</v>
      </c>
      <c r="AK1146">
        <v>0.53718540772454404</v>
      </c>
    </row>
    <row r="1147" spans="1:37" x14ac:dyDescent="0.2">
      <c r="A1147" t="str">
        <f>"20200111154048191"</f>
        <v>20200111154048191</v>
      </c>
      <c r="B1147" t="str">
        <f>"1578728448187771"</f>
        <v>1578728448187771</v>
      </c>
      <c r="C1147" t="s">
        <v>37</v>
      </c>
      <c r="D1147">
        <v>5.4510300000000003</v>
      </c>
      <c r="E1147">
        <v>0.53304149999999995</v>
      </c>
      <c r="F1147" t="s">
        <v>38</v>
      </c>
      <c r="G1147">
        <v>-227.9443</v>
      </c>
      <c r="H1147">
        <v>0.91972480000000001</v>
      </c>
      <c r="I1147">
        <v>282.09550000000002</v>
      </c>
      <c r="J1147">
        <v>-227.38890000000001</v>
      </c>
      <c r="K1147">
        <v>1.1085129999999901</v>
      </c>
      <c r="L1147">
        <v>282.01650000000001</v>
      </c>
      <c r="M1147">
        <v>-0.99911139999999998</v>
      </c>
      <c r="N1147">
        <v>0</v>
      </c>
      <c r="O1147">
        <v>3.9967679999999998E-2</v>
      </c>
      <c r="P1147">
        <v>-0.99900480000000003</v>
      </c>
      <c r="Q1147">
        <v>4.3906239999999999E-2</v>
      </c>
      <c r="R1147">
        <v>-7.8528909999999903E-3</v>
      </c>
      <c r="S1147">
        <v>-3.0342709999999999</v>
      </c>
      <c r="T1147">
        <v>-0.67553439999999998</v>
      </c>
      <c r="U1147">
        <v>0.33096310000000001</v>
      </c>
      <c r="V1147">
        <v>-4.7480090000000003E-2</v>
      </c>
      <c r="W1147">
        <v>5.7505170000000001E-2</v>
      </c>
      <c r="X1147">
        <v>0.99721550000000003</v>
      </c>
      <c r="Y1147">
        <v>6.7933350000000003E-2</v>
      </c>
      <c r="Z1147">
        <v>-1.310421E-3</v>
      </c>
      <c r="AA1147">
        <v>0.99768899999999905</v>
      </c>
      <c r="AB1147">
        <v>31</v>
      </c>
      <c r="AC1147">
        <v>-0.55539999999999101</v>
      </c>
      <c r="AD1147">
        <v>-0.18878819999999899</v>
      </c>
      <c r="AE1147">
        <v>7.9000000000007703E-2</v>
      </c>
      <c r="AF1147">
        <v>5.09650299838178E-2</v>
      </c>
      <c r="AG1147">
        <v>-0.18878819999999899</v>
      </c>
      <c r="AH1147">
        <v>0.50133732455836699</v>
      </c>
      <c r="AI1147">
        <v>110.537877057193</v>
      </c>
      <c r="AJ1147">
        <v>84.195357463540603</v>
      </c>
      <c r="AK1147">
        <v>0.53812408581648896</v>
      </c>
    </row>
    <row r="1148" spans="1:37" x14ac:dyDescent="0.2">
      <c r="A1148" t="str">
        <f>"20200111154048214"</f>
        <v>20200111154048214</v>
      </c>
      <c r="B1148" t="str">
        <f>"1578728448207290"</f>
        <v>1578728448207290</v>
      </c>
      <c r="C1148" t="s">
        <v>37</v>
      </c>
      <c r="D1148">
        <v>5.4456110000000004</v>
      </c>
      <c r="E1148">
        <v>0.50756809999999997</v>
      </c>
      <c r="F1148" t="s">
        <v>38</v>
      </c>
      <c r="G1148">
        <v>-228.23419999999999</v>
      </c>
      <c r="H1148">
        <v>0.94142139999999996</v>
      </c>
      <c r="I1148">
        <v>282.09160000000003</v>
      </c>
      <c r="J1148">
        <v>-227.71199999999999</v>
      </c>
      <c r="K1148">
        <v>1.1086510000000001</v>
      </c>
      <c r="L1148">
        <v>282.03199999999998</v>
      </c>
      <c r="M1148">
        <v>-0.99901589999999996</v>
      </c>
      <c r="N1148">
        <v>0</v>
      </c>
      <c r="O1148">
        <v>4.2291179999999998E-2</v>
      </c>
      <c r="P1148">
        <v>-0.9989865</v>
      </c>
      <c r="Q1148">
        <v>4.4233429999999997E-2</v>
      </c>
      <c r="R1148">
        <v>-8.3452359999999903E-3</v>
      </c>
      <c r="S1148">
        <v>-3.0314179999999999</v>
      </c>
      <c r="T1148">
        <v>-0.59931650000000003</v>
      </c>
      <c r="U1148">
        <v>0.26867679999999999</v>
      </c>
      <c r="V1148">
        <v>-5.0309670000000001E-2</v>
      </c>
      <c r="W1148">
        <v>5.7821730000000002E-2</v>
      </c>
      <c r="X1148">
        <v>0.99705849999999996</v>
      </c>
      <c r="Y1148">
        <v>4.6004290000000003E-2</v>
      </c>
      <c r="Z1148">
        <v>-3.7647900000000001E-3</v>
      </c>
      <c r="AA1148">
        <v>0.99893410000000005</v>
      </c>
      <c r="AB1148">
        <v>31</v>
      </c>
      <c r="AC1148">
        <v>-0.52219999999996902</v>
      </c>
      <c r="AD1148">
        <v>-0.16722960000000001</v>
      </c>
      <c r="AE1148">
        <v>5.9600000000045797E-2</v>
      </c>
      <c r="AF1148">
        <v>3.4016564138775102E-2</v>
      </c>
      <c r="AG1148">
        <v>-0.16722960000000001</v>
      </c>
      <c r="AH1148">
        <v>0.47605948440242302</v>
      </c>
      <c r="AI1148">
        <v>109.309717954788</v>
      </c>
      <c r="AJ1148">
        <v>85.912908553603202</v>
      </c>
      <c r="AK1148">
        <v>0.50572274859004296</v>
      </c>
    </row>
    <row r="1149" spans="1:37" x14ac:dyDescent="0.2">
      <c r="A1149" t="str">
        <f>"20200111154048248"</f>
        <v>20200111154048248</v>
      </c>
      <c r="B1149" t="str">
        <f>"1578728448237546"</f>
        <v>1578728448237546</v>
      </c>
      <c r="C1149" t="s">
        <v>37</v>
      </c>
      <c r="D1149">
        <v>5.4766810000000001</v>
      </c>
      <c r="E1149">
        <v>0.50760479999999997</v>
      </c>
      <c r="F1149" t="s">
        <v>44</v>
      </c>
      <c r="G1149">
        <v>-258.1361</v>
      </c>
      <c r="H1149" s="1">
        <v>2.7928190000000001E-6</v>
      </c>
      <c r="I1149">
        <v>282.48079999999999</v>
      </c>
      <c r="J1149">
        <v>-228.17699999999999</v>
      </c>
      <c r="K1149">
        <v>1.108894</v>
      </c>
      <c r="L1149">
        <v>282.05529999999999</v>
      </c>
      <c r="M1149">
        <v>-0.99888750000000004</v>
      </c>
      <c r="N1149">
        <v>0</v>
      </c>
      <c r="O1149">
        <v>4.5223630000000001E-2</v>
      </c>
      <c r="P1149">
        <v>-0.99893690000000002</v>
      </c>
      <c r="Q1149">
        <v>4.5374390000000001E-2</v>
      </c>
      <c r="R1149">
        <v>-8.1688500000000001E-3</v>
      </c>
      <c r="S1149">
        <v>-3.00827</v>
      </c>
      <c r="T1149">
        <v>-0.109621</v>
      </c>
      <c r="U1149">
        <v>4.4372559999999998E-2</v>
      </c>
      <c r="V1149">
        <v>-5.3089690000000002E-2</v>
      </c>
      <c r="W1149">
        <v>5.89323E-2</v>
      </c>
      <c r="X1149">
        <v>0.99684930000000005</v>
      </c>
      <c r="Y1149">
        <v>-3.043908E-2</v>
      </c>
      <c r="Z1149">
        <v>-2.201279E-3</v>
      </c>
      <c r="AA1149">
        <v>0.99953419999999904</v>
      </c>
      <c r="AB1149">
        <v>31</v>
      </c>
      <c r="AC1149">
        <v>-29.9590999999999</v>
      </c>
      <c r="AD1149">
        <v>-1.108891207181</v>
      </c>
      <c r="AE1149">
        <v>0.42549999999999899</v>
      </c>
      <c r="AF1149">
        <v>-0.92864367614649701</v>
      </c>
      <c r="AG1149">
        <v>-1.108891207181</v>
      </c>
      <c r="AH1149">
        <v>29.906723460609701</v>
      </c>
      <c r="AI1149">
        <v>92.122436740498202</v>
      </c>
      <c r="AJ1149">
        <v>91.778538952406095</v>
      </c>
      <c r="AK1149">
        <v>29.941678759481601</v>
      </c>
    </row>
    <row r="1150" spans="1:37" x14ac:dyDescent="0.2">
      <c r="A1150" t="str">
        <f>"20200111154048269"</f>
        <v>20200111154048269</v>
      </c>
      <c r="B1150" t="str">
        <f>"1578728448267802"</f>
        <v>1578728448267802</v>
      </c>
      <c r="C1150" t="s">
        <v>37</v>
      </c>
      <c r="D1150">
        <v>5.4405720000000004</v>
      </c>
      <c r="E1150">
        <v>0.50825039999999999</v>
      </c>
      <c r="F1150" t="s">
        <v>44</v>
      </c>
      <c r="G1150">
        <v>-259.91199999999998</v>
      </c>
      <c r="H1150" s="1">
        <v>3.7378789999999999E-6</v>
      </c>
      <c r="I1150">
        <v>282.53019999999998</v>
      </c>
      <c r="J1150">
        <v>-228.4786</v>
      </c>
      <c r="K1150">
        <v>1.1090739999999999</v>
      </c>
      <c r="L1150">
        <v>282.07080000000002</v>
      </c>
      <c r="M1150">
        <v>-0.99881309999999901</v>
      </c>
      <c r="N1150">
        <v>0</v>
      </c>
      <c r="O1150">
        <v>4.6839499999999999E-2</v>
      </c>
      <c r="P1150">
        <v>-0.99889450000000002</v>
      </c>
      <c r="Q1150">
        <v>4.6305279999999997E-2</v>
      </c>
      <c r="R1150">
        <v>-8.1172810000000005E-3</v>
      </c>
      <c r="S1150">
        <v>-3.0083310000000001</v>
      </c>
      <c r="T1150">
        <v>-0.1051178</v>
      </c>
      <c r="U1150">
        <v>4.501343E-2</v>
      </c>
      <c r="V1150">
        <v>-5.4672390000000001E-2</v>
      </c>
      <c r="W1150">
        <v>5.983811E-2</v>
      </c>
      <c r="X1150">
        <v>0.99670979999999998</v>
      </c>
      <c r="Y1150">
        <v>-3.184563E-2</v>
      </c>
      <c r="Z1150">
        <v>-2.1918160000000001E-3</v>
      </c>
      <c r="AA1150">
        <v>0.9994904</v>
      </c>
      <c r="AB1150">
        <v>31</v>
      </c>
      <c r="AC1150">
        <v>-31.433399999999999</v>
      </c>
      <c r="AD1150">
        <v>-1.10907026212099</v>
      </c>
      <c r="AE1150">
        <v>0.45939999999995901</v>
      </c>
      <c r="AF1150">
        <v>-1.0123004949177601</v>
      </c>
      <c r="AG1150">
        <v>-1.10907026212099</v>
      </c>
      <c r="AH1150">
        <v>31.3813550244849</v>
      </c>
      <c r="AI1150">
        <v>92.023036080161603</v>
      </c>
      <c r="AJ1150">
        <v>91.847607931292401</v>
      </c>
      <c r="AK1150">
        <v>31.4172601019105</v>
      </c>
    </row>
    <row r="1151" spans="1:37" x14ac:dyDescent="0.2">
      <c r="A1151" t="str">
        <f>"20200111154048292"</f>
        <v>20200111154048292</v>
      </c>
      <c r="B1151" t="str">
        <f>"1578728448287322"</f>
        <v>1578728448287322</v>
      </c>
      <c r="C1151" t="s">
        <v>37</v>
      </c>
      <c r="D1151">
        <v>5.453589</v>
      </c>
      <c r="E1151">
        <v>0.50848640000000001</v>
      </c>
      <c r="F1151" t="s">
        <v>44</v>
      </c>
      <c r="G1151">
        <v>-257.5496</v>
      </c>
      <c r="H1151" s="1">
        <v>2.480706E-6</v>
      </c>
      <c r="I1151">
        <v>282.56259999999997</v>
      </c>
      <c r="J1151">
        <v>-228.78700000000001</v>
      </c>
      <c r="K1151">
        <v>1.1092379999999999</v>
      </c>
      <c r="L1151">
        <v>282.08690000000001</v>
      </c>
      <c r="M1151">
        <v>-0.99874399999999997</v>
      </c>
      <c r="N1151">
        <v>0</v>
      </c>
      <c r="O1151">
        <v>4.8293129999999997E-2</v>
      </c>
      <c r="P1151">
        <v>-0.99886070000000005</v>
      </c>
      <c r="Q1151">
        <v>4.7151510000000001E-2</v>
      </c>
      <c r="R1151">
        <v>-7.37192199999999E-3</v>
      </c>
      <c r="S1151">
        <v>-3.009064</v>
      </c>
      <c r="T1151">
        <v>-0.1147971</v>
      </c>
      <c r="U1151">
        <v>5.0903320000000002E-2</v>
      </c>
      <c r="V1151">
        <v>-5.5400129999999999E-2</v>
      </c>
      <c r="W1151">
        <v>6.0655840000000003E-2</v>
      </c>
      <c r="X1151">
        <v>0.99662009999999901</v>
      </c>
      <c r="Y1151">
        <v>-3.133814E-2</v>
      </c>
      <c r="Z1151">
        <v>-2.4385629999999999E-3</v>
      </c>
      <c r="AA1151">
        <v>0.99950589999999995</v>
      </c>
      <c r="AB1151">
        <v>31</v>
      </c>
      <c r="AC1151">
        <v>-28.7625999999999</v>
      </c>
      <c r="AD1151">
        <v>-1.109235519294</v>
      </c>
      <c r="AE1151">
        <v>0.47569999999995999</v>
      </c>
      <c r="AF1151">
        <v>-0.91265789868080005</v>
      </c>
      <c r="AG1151">
        <v>-1.109235519294</v>
      </c>
      <c r="AH1151">
        <v>28.709322099594999</v>
      </c>
      <c r="AI1151">
        <v>92.211507321368003</v>
      </c>
      <c r="AJ1151">
        <v>91.820796790356397</v>
      </c>
      <c r="AK1151">
        <v>28.745234792841401</v>
      </c>
    </row>
    <row r="1152" spans="1:37" x14ac:dyDescent="0.2">
      <c r="A1152" t="str">
        <f>"20200111154048313"</f>
        <v>20200111154048313</v>
      </c>
      <c r="B1152" t="str">
        <f>"1578728448306843"</f>
        <v>1578728448306843</v>
      </c>
      <c r="C1152" t="s">
        <v>37</v>
      </c>
      <c r="D1152">
        <v>5.4528470000000002</v>
      </c>
      <c r="E1152">
        <v>0.50862309999999999</v>
      </c>
      <c r="F1152" t="s">
        <v>44</v>
      </c>
      <c r="G1152">
        <v>-257.28680000000003</v>
      </c>
      <c r="H1152" s="1">
        <v>2.3408859999999999E-6</v>
      </c>
      <c r="I1152">
        <v>282.60230000000001</v>
      </c>
      <c r="J1152">
        <v>-229.0925</v>
      </c>
      <c r="K1152">
        <v>1.109372</v>
      </c>
      <c r="L1152">
        <v>282.10320000000002</v>
      </c>
      <c r="M1152">
        <v>-0.99868349999999995</v>
      </c>
      <c r="N1152">
        <v>0</v>
      </c>
      <c r="O1152">
        <v>4.9533670000000002E-2</v>
      </c>
      <c r="P1152">
        <v>-0.99889019999999995</v>
      </c>
      <c r="Q1152">
        <v>4.657621E-2</v>
      </c>
      <c r="R1152">
        <v>-7.0089109999999996E-3</v>
      </c>
      <c r="S1152">
        <v>-3.00932299999999</v>
      </c>
      <c r="T1152">
        <v>-0.117125299999999</v>
      </c>
      <c r="U1152">
        <v>5.4412839999999997E-2</v>
      </c>
      <c r="V1152">
        <v>-5.6302280000000003E-2</v>
      </c>
      <c r="W1152">
        <v>6.004089E-2</v>
      </c>
      <c r="X1152">
        <v>0.99660680000000001</v>
      </c>
      <c r="Y1152">
        <v>-3.141248E-2</v>
      </c>
      <c r="Z1152">
        <v>-2.537386E-3</v>
      </c>
      <c r="AA1152">
        <v>0.99950329999999998</v>
      </c>
      <c r="AB1152">
        <v>31</v>
      </c>
      <c r="AC1152">
        <v>-28.194299999999998</v>
      </c>
      <c r="AD1152">
        <v>-1.1093696591140001</v>
      </c>
      <c r="AE1152">
        <v>0.49909999999999799</v>
      </c>
      <c r="AF1152">
        <v>-0.89681599354113795</v>
      </c>
      <c r="AG1152">
        <v>-1.1093696591140001</v>
      </c>
      <c r="AH1152">
        <v>28.140854196065</v>
      </c>
      <c r="AI1152">
        <v>92.256402714270195</v>
      </c>
      <c r="AJ1152">
        <v>91.825331461752299</v>
      </c>
      <c r="AK1152">
        <v>28.176988037244499</v>
      </c>
    </row>
    <row r="1153" spans="1:37" x14ac:dyDescent="0.2">
      <c r="A1153" t="str">
        <f>"20200111154048337"</f>
        <v>20200111154048337</v>
      </c>
      <c r="B1153" t="str">
        <f>"1578728448327338"</f>
        <v>1578728448327338</v>
      </c>
      <c r="C1153" t="s">
        <v>37</v>
      </c>
      <c r="D1153">
        <v>5.4530940000000001</v>
      </c>
      <c r="E1153">
        <v>0.50889589999999996</v>
      </c>
      <c r="F1153" t="s">
        <v>44</v>
      </c>
      <c r="G1153">
        <v>-255.68279999999999</v>
      </c>
      <c r="H1153" s="1">
        <v>1.4873309999999999E-6</v>
      </c>
      <c r="I1153">
        <v>282.59879999999998</v>
      </c>
      <c r="J1153">
        <v>-229.40809999999999</v>
      </c>
      <c r="K1153">
        <v>1.109483</v>
      </c>
      <c r="L1153">
        <v>282.12020000000001</v>
      </c>
      <c r="M1153">
        <v>-0.99862949999999995</v>
      </c>
      <c r="N1153">
        <v>0</v>
      </c>
      <c r="O1153">
        <v>5.0626810000000001E-2</v>
      </c>
      <c r="P1153">
        <v>-0.99901830000000003</v>
      </c>
      <c r="Q1153">
        <v>4.3812160000000003E-2</v>
      </c>
      <c r="R1153">
        <v>-6.57477199999999E-3</v>
      </c>
      <c r="S1153">
        <v>-3.0095669999999899</v>
      </c>
      <c r="T1153">
        <v>-0.1255617</v>
      </c>
      <c r="U1153">
        <v>5.6091309999999998E-2</v>
      </c>
      <c r="V1153">
        <v>-5.6996079999999998E-2</v>
      </c>
      <c r="W1153">
        <v>5.720716E-2</v>
      </c>
      <c r="X1153">
        <v>0.99673409999999996</v>
      </c>
      <c r="Y1153">
        <v>-3.1940179999999999E-2</v>
      </c>
      <c r="Z1153">
        <v>-2.7762889999999999E-3</v>
      </c>
      <c r="AA1153">
        <v>0.99948590000000004</v>
      </c>
      <c r="AB1153">
        <v>31</v>
      </c>
      <c r="AC1153">
        <v>-26.274699999999999</v>
      </c>
      <c r="AD1153">
        <v>-1.1094815126690001</v>
      </c>
      <c r="AE1153">
        <v>0.47859999999997099</v>
      </c>
      <c r="AF1153">
        <v>-0.85081864240433702</v>
      </c>
      <c r="AG1153">
        <v>-1.1094815126690001</v>
      </c>
      <c r="AH1153">
        <v>26.2184990796455</v>
      </c>
      <c r="AI1153">
        <v>92.421851814711403</v>
      </c>
      <c r="AJ1153">
        <v>91.858657742246095</v>
      </c>
      <c r="AK1153">
        <v>26.2557524283459</v>
      </c>
    </row>
    <row r="1154" spans="1:37" x14ac:dyDescent="0.2">
      <c r="A1154" t="str">
        <f>"20200111154048359"</f>
        <v>20200111154048359</v>
      </c>
      <c r="B1154" t="str">
        <f>"1578728448346861"</f>
        <v>1578728448346861</v>
      </c>
      <c r="C1154" t="s">
        <v>37</v>
      </c>
      <c r="D1154">
        <v>5.4228899999999998</v>
      </c>
      <c r="E1154">
        <v>0.50899030000000001</v>
      </c>
      <c r="F1154" t="s">
        <v>44</v>
      </c>
      <c r="G1154">
        <v>-253.46549999999999</v>
      </c>
      <c r="H1154" s="1">
        <v>3.0739549999999999E-7</v>
      </c>
      <c r="I1154">
        <v>282.59120000000001</v>
      </c>
      <c r="J1154">
        <v>-229.71950000000001</v>
      </c>
      <c r="K1154">
        <v>1.1095680000000001</v>
      </c>
      <c r="L1154">
        <v>282.13709999999998</v>
      </c>
      <c r="M1154">
        <v>-0.99858359999999902</v>
      </c>
      <c r="N1154">
        <v>0</v>
      </c>
      <c r="O1154">
        <v>5.1544420000000001E-2</v>
      </c>
      <c r="P1154">
        <v>-0.99919080000000005</v>
      </c>
      <c r="Q1154">
        <v>3.9669699999999898E-2</v>
      </c>
      <c r="R1154">
        <v>-6.660165E-3</v>
      </c>
      <c r="S1154">
        <v>-3.00943</v>
      </c>
      <c r="T1154">
        <v>-0.13878929999999901</v>
      </c>
      <c r="U1154">
        <v>5.892944E-2</v>
      </c>
      <c r="V1154">
        <v>-5.803577E-2</v>
      </c>
      <c r="W1154">
        <v>5.2967380000000001E-2</v>
      </c>
      <c r="X1154">
        <v>0.99690840000000003</v>
      </c>
      <c r="Y1154">
        <v>-3.1898610000000001E-2</v>
      </c>
      <c r="Z1154">
        <v>-3.1098499999999999E-3</v>
      </c>
      <c r="AA1154">
        <v>0.99948630000000005</v>
      </c>
      <c r="AB1154">
        <v>31</v>
      </c>
      <c r="AC1154">
        <v>-23.745999999999899</v>
      </c>
      <c r="AD1154">
        <v>-1.1095676926044999</v>
      </c>
      <c r="AE1154">
        <v>0.45410000000003897</v>
      </c>
      <c r="AF1154">
        <v>-0.76890582575557898</v>
      </c>
      <c r="AG1154">
        <v>-1.1095676926044999</v>
      </c>
      <c r="AH1154">
        <v>23.686140746491599</v>
      </c>
      <c r="AI1154">
        <v>92.680626964353294</v>
      </c>
      <c r="AJ1154">
        <v>91.859297968869797</v>
      </c>
      <c r="AK1154">
        <v>23.724578396590399</v>
      </c>
    </row>
    <row r="1155" spans="1:37" x14ac:dyDescent="0.2">
      <c r="A1155" t="str">
        <f>"20200111154048381"</f>
        <v>20200111154048381</v>
      </c>
      <c r="B1155" t="str">
        <f>"1578728448377114"</f>
        <v>1578728448377114</v>
      </c>
      <c r="C1155" t="s">
        <v>37</v>
      </c>
      <c r="D1155">
        <v>5.3965360000000002</v>
      </c>
      <c r="E1155">
        <v>0.50922489999999998</v>
      </c>
      <c r="F1155" t="s">
        <v>44</v>
      </c>
      <c r="G1155">
        <v>-251.20009999999999</v>
      </c>
      <c r="H1155" s="1">
        <v>-8.9812779999999997E-7</v>
      </c>
      <c r="I1155">
        <v>282.55939999999998</v>
      </c>
      <c r="J1155">
        <v>-230.01439999999999</v>
      </c>
      <c r="K1155">
        <v>1.1096469999999901</v>
      </c>
      <c r="L1155">
        <v>282.1533</v>
      </c>
      <c r="M1155">
        <v>-0.99854669999999901</v>
      </c>
      <c r="N1155">
        <v>0</v>
      </c>
      <c r="O1155">
        <v>5.2277990000000003E-2</v>
      </c>
      <c r="P1155">
        <v>-0.99933490000000003</v>
      </c>
      <c r="Q1155">
        <v>3.5895709999999997E-2</v>
      </c>
      <c r="R1155">
        <v>-6.4281140000000004E-3</v>
      </c>
      <c r="S1155">
        <v>-3.008972</v>
      </c>
      <c r="T1155">
        <v>-0.1554267</v>
      </c>
      <c r="U1155">
        <v>5.9143069999999999E-2</v>
      </c>
      <c r="V1155">
        <v>-5.8568410000000001E-2</v>
      </c>
      <c r="W1155">
        <v>4.9076210000000002E-2</v>
      </c>
      <c r="X1155">
        <v>0.99707630000000003</v>
      </c>
      <c r="Y1155">
        <v>-3.2534529999999999E-2</v>
      </c>
      <c r="Z1155">
        <v>-3.5369279999999999E-3</v>
      </c>
      <c r="AA1155">
        <v>0.99946429999999997</v>
      </c>
      <c r="AB1155">
        <v>31</v>
      </c>
      <c r="AC1155">
        <v>-21.185700000000001</v>
      </c>
      <c r="AD1155">
        <v>-1.10964789812779</v>
      </c>
      <c r="AE1155">
        <v>0.40609999999997998</v>
      </c>
      <c r="AF1155">
        <v>-0.70017606697197898</v>
      </c>
      <c r="AG1155">
        <v>-1.10964789812779</v>
      </c>
      <c r="AH1155">
        <v>21.120038151435399</v>
      </c>
      <c r="AI1155">
        <v>93.005909478361104</v>
      </c>
      <c r="AJ1155">
        <v>91.898786629962004</v>
      </c>
      <c r="AK1155">
        <v>21.160755574900101</v>
      </c>
    </row>
    <row r="1156" spans="1:37" x14ac:dyDescent="0.2">
      <c r="A1156" t="str">
        <f>"20200111154048403"</f>
        <v>20200111154048403</v>
      </c>
      <c r="B1156" t="str">
        <f>"1578728448397610"</f>
        <v>1578728448397610</v>
      </c>
      <c r="C1156" t="s">
        <v>37</v>
      </c>
      <c r="D1156">
        <v>5.3930600000000002</v>
      </c>
      <c r="E1156">
        <v>0.50934040000000003</v>
      </c>
      <c r="F1156" t="s">
        <v>44</v>
      </c>
      <c r="G1156">
        <v>-249.40479999999999</v>
      </c>
      <c r="H1156" s="1">
        <v>3.4679880000000002E-6</v>
      </c>
      <c r="I1156">
        <v>282.5498</v>
      </c>
      <c r="J1156">
        <v>-230.32470000000001</v>
      </c>
      <c r="K1156">
        <v>1.1097440000000001</v>
      </c>
      <c r="L1156">
        <v>282.17039999999997</v>
      </c>
      <c r="M1156">
        <v>-0.99851509999999999</v>
      </c>
      <c r="N1156">
        <v>0</v>
      </c>
      <c r="O1156">
        <v>5.2908469999999999E-2</v>
      </c>
      <c r="P1156">
        <v>-0.9993879</v>
      </c>
      <c r="Q1156">
        <v>3.4697310000000002E-2</v>
      </c>
      <c r="R1156">
        <v>-4.5001019999999997E-3</v>
      </c>
      <c r="S1156">
        <v>-3.0086059999999999</v>
      </c>
      <c r="T1156">
        <v>-0.1721714</v>
      </c>
      <c r="U1156">
        <v>6.1523439999999999E-2</v>
      </c>
      <c r="V1156">
        <v>-5.7293620000000003E-2</v>
      </c>
      <c r="W1156">
        <v>4.7740249999999998E-2</v>
      </c>
      <c r="X1156">
        <v>0.99721530000000003</v>
      </c>
      <c r="Y1156">
        <v>-3.2346299999999897E-2</v>
      </c>
      <c r="Z1156">
        <v>-3.948427E-3</v>
      </c>
      <c r="AA1156">
        <v>0.99946889999999999</v>
      </c>
      <c r="AB1156">
        <v>31</v>
      </c>
      <c r="AC1156">
        <v>-19.080099999999899</v>
      </c>
      <c r="AD1156">
        <v>-1.109740532012</v>
      </c>
      <c r="AE1156">
        <v>0.37940000000003199</v>
      </c>
      <c r="AF1156">
        <v>-0.62858976405982303</v>
      </c>
      <c r="AG1156">
        <v>-1.109740532012</v>
      </c>
      <c r="AH1156">
        <v>19.009166849232201</v>
      </c>
      <c r="AI1156">
        <v>93.339270259418498</v>
      </c>
      <c r="AJ1156">
        <v>91.893950537935396</v>
      </c>
      <c r="AK1156">
        <v>19.051904719524</v>
      </c>
    </row>
    <row r="1157" spans="1:37" x14ac:dyDescent="0.2">
      <c r="A1157" t="str">
        <f>"20200111154048426"</f>
        <v>20200111154048426</v>
      </c>
      <c r="B1157" t="str">
        <f>"1578728448417131"</f>
        <v>1578728448417131</v>
      </c>
      <c r="C1157" t="s">
        <v>37</v>
      </c>
      <c r="D1157">
        <v>5.3864919999999996</v>
      </c>
      <c r="E1157">
        <v>0.50945439999999997</v>
      </c>
      <c r="F1157" t="s">
        <v>44</v>
      </c>
      <c r="G1157">
        <v>-249.19489999999999</v>
      </c>
      <c r="H1157" s="1">
        <v>3.3562509999999899E-6</v>
      </c>
      <c r="I1157">
        <v>282.5958</v>
      </c>
      <c r="J1157">
        <v>-230.65379999999999</v>
      </c>
      <c r="K1157">
        <v>1.1098600000000001</v>
      </c>
      <c r="L1157">
        <v>282.18849999999998</v>
      </c>
      <c r="M1157">
        <v>-0.99849129999999997</v>
      </c>
      <c r="N1157">
        <v>0</v>
      </c>
      <c r="O1157">
        <v>5.338967E-2</v>
      </c>
      <c r="P1157">
        <v>-0.99938090000000002</v>
      </c>
      <c r="Q1157">
        <v>3.5128159999999999E-2</v>
      </c>
      <c r="R1157">
        <v>-1.9277139999999901E-3</v>
      </c>
      <c r="S1157">
        <v>-3.0083009999999999</v>
      </c>
      <c r="T1157">
        <v>-0.1769165</v>
      </c>
      <c r="U1157">
        <v>6.7810060000000005E-2</v>
      </c>
      <c r="V1157">
        <v>-5.5222430000000003E-2</v>
      </c>
      <c r="W1157">
        <v>4.800364E-2</v>
      </c>
      <c r="X1157">
        <v>0.99731950000000003</v>
      </c>
      <c r="Y1157">
        <v>-3.0732229999999999E-2</v>
      </c>
      <c r="Z1157">
        <v>-4.0381549999999999E-3</v>
      </c>
      <c r="AA1157">
        <v>0.99951950000000001</v>
      </c>
      <c r="AB1157">
        <v>31</v>
      </c>
      <c r="AC1157">
        <v>-18.5411</v>
      </c>
      <c r="AD1157">
        <v>-1.1098566437490001</v>
      </c>
      <c r="AE1157">
        <v>0.40730000000001998</v>
      </c>
      <c r="AF1157">
        <v>-0.58118427283124097</v>
      </c>
      <c r="AG1157">
        <v>-1.1098566437490001</v>
      </c>
      <c r="AH1157">
        <v>18.470249467953899</v>
      </c>
      <c r="AI1157">
        <v>93.437007639639504</v>
      </c>
      <c r="AJ1157">
        <v>91.802272489146105</v>
      </c>
      <c r="AK1157">
        <v>18.512689494968399</v>
      </c>
    </row>
    <row r="1158" spans="1:37" x14ac:dyDescent="0.2">
      <c r="A1158" t="str">
        <f>"20200111154048448"</f>
        <v>20200111154048448</v>
      </c>
      <c r="B1158" t="str">
        <f>"1578728448437629"</f>
        <v>1578728448437629</v>
      </c>
      <c r="C1158" t="s">
        <v>37</v>
      </c>
      <c r="D1158">
        <v>5.3524769999999897</v>
      </c>
      <c r="E1158">
        <v>0.50952779999999998</v>
      </c>
      <c r="F1158" t="s">
        <v>44</v>
      </c>
      <c r="G1158">
        <v>-249.59889999999999</v>
      </c>
      <c r="H1158" s="1">
        <v>3.5712639999999999E-6</v>
      </c>
      <c r="I1158">
        <v>282.66860000000003</v>
      </c>
      <c r="J1158">
        <v>-230.9504</v>
      </c>
      <c r="K1158">
        <v>1.1099619999999999</v>
      </c>
      <c r="L1158">
        <v>282.20490000000001</v>
      </c>
      <c r="M1158">
        <v>-0.99847779999999997</v>
      </c>
      <c r="N1158">
        <v>0</v>
      </c>
      <c r="O1158">
        <v>5.3674779999999998E-2</v>
      </c>
      <c r="P1158">
        <v>-0.99940059999999997</v>
      </c>
      <c r="Q1158">
        <v>3.4622439999999997E-2</v>
      </c>
      <c r="R1158">
        <v>-2.2909990000000001E-4</v>
      </c>
      <c r="S1158">
        <v>-3.008194</v>
      </c>
      <c r="T1158">
        <v>-0.17622879999999999</v>
      </c>
      <c r="U1158">
        <v>7.6232910000000001E-2</v>
      </c>
      <c r="V1158">
        <v>-5.3828790000000001E-2</v>
      </c>
      <c r="W1158">
        <v>4.7341109999999999E-2</v>
      </c>
      <c r="X1158">
        <v>0.99742730000000002</v>
      </c>
      <c r="Y1158">
        <v>-2.8224559999999999E-2</v>
      </c>
      <c r="Z1158">
        <v>-3.9657130000000001E-3</v>
      </c>
      <c r="AA1158">
        <v>0.99959370000000003</v>
      </c>
      <c r="AB1158">
        <v>31</v>
      </c>
      <c r="AC1158">
        <v>-18.648499999999899</v>
      </c>
      <c r="AD1158">
        <v>-1.109958428736</v>
      </c>
      <c r="AE1158">
        <v>0.46370000000001699</v>
      </c>
      <c r="AF1158">
        <v>-0.53610526882686604</v>
      </c>
      <c r="AG1158">
        <v>-1.109958428736</v>
      </c>
      <c r="AH1158">
        <v>18.5807203762655</v>
      </c>
      <c r="AI1158">
        <v>93.4172026246586</v>
      </c>
      <c r="AJ1158">
        <v>91.652683493639302</v>
      </c>
      <c r="AK1158">
        <v>18.621562401521398</v>
      </c>
    </row>
    <row r="1159" spans="1:37" x14ac:dyDescent="0.2">
      <c r="A1159" t="str">
        <f>"20200111154048471"</f>
        <v>20200111154048471</v>
      </c>
      <c r="B1159" t="str">
        <f>"1578728448466907"</f>
        <v>1578728448466907</v>
      </c>
      <c r="C1159" t="s">
        <v>37</v>
      </c>
      <c r="D1159">
        <v>5.3507009999999999</v>
      </c>
      <c r="E1159">
        <v>0.5096617</v>
      </c>
      <c r="F1159" t="s">
        <v>44</v>
      </c>
      <c r="G1159">
        <v>-249.75190000000001</v>
      </c>
      <c r="H1159" s="1">
        <v>3.6527059999999999E-6</v>
      </c>
      <c r="I1159">
        <v>282.71839999999997</v>
      </c>
      <c r="J1159">
        <v>-231.2681</v>
      </c>
      <c r="K1159">
        <v>1.1100809999999901</v>
      </c>
      <c r="L1159">
        <v>282.22230000000002</v>
      </c>
      <c r="M1159">
        <v>-0.99847019999999997</v>
      </c>
      <c r="N1159">
        <v>0</v>
      </c>
      <c r="O1159">
        <v>5.3850699999999897E-2</v>
      </c>
      <c r="P1159">
        <v>-0.99942059999999999</v>
      </c>
      <c r="Q1159">
        <v>3.4033819999999999E-2</v>
      </c>
      <c r="R1159">
        <v>8.0848179999999995E-4</v>
      </c>
      <c r="S1159">
        <v>-3.007965</v>
      </c>
      <c r="T1159">
        <v>-0.17757690000000001</v>
      </c>
      <c r="U1159">
        <v>8.2153320000000002E-2</v>
      </c>
      <c r="V1159">
        <v>-5.2985490000000003E-2</v>
      </c>
      <c r="W1159">
        <v>4.6590920000000001E-2</v>
      </c>
      <c r="X1159">
        <v>0.99750779999999994</v>
      </c>
      <c r="Y1159">
        <v>-2.6433169999999999E-2</v>
      </c>
      <c r="Z1159">
        <v>-3.9536879999999899E-3</v>
      </c>
      <c r="AA1159">
        <v>0.99964279999999905</v>
      </c>
      <c r="AB1159">
        <v>31</v>
      </c>
      <c r="AC1159">
        <v>-18.483799999999999</v>
      </c>
      <c r="AD1159">
        <v>-1.110077347294</v>
      </c>
      <c r="AE1159">
        <v>0.49609999999995502</v>
      </c>
      <c r="AF1159">
        <v>-0.498267982342672</v>
      </c>
      <c r="AG1159">
        <v>-1.110077347294</v>
      </c>
      <c r="AH1159">
        <v>18.417313148858401</v>
      </c>
      <c r="AI1159">
        <v>93.447990124248804</v>
      </c>
      <c r="AJ1159">
        <v>91.549720635914994</v>
      </c>
      <c r="AK1159">
        <v>18.457463702316101</v>
      </c>
    </row>
    <row r="1160" spans="1:37" x14ac:dyDescent="0.2">
      <c r="A1160" t="str">
        <f>"20200111154048493"</f>
        <v>20200111154048493</v>
      </c>
      <c r="B1160" t="str">
        <f>"1578728448487404"</f>
        <v>1578728448487404</v>
      </c>
      <c r="C1160" t="s">
        <v>37</v>
      </c>
      <c r="D1160">
        <v>5.3688149999999997</v>
      </c>
      <c r="E1160">
        <v>0.50967899999999999</v>
      </c>
      <c r="F1160" t="s">
        <v>44</v>
      </c>
      <c r="G1160">
        <v>-249.9967</v>
      </c>
      <c r="H1160" s="1">
        <v>-1.5385419999999899E-6</v>
      </c>
      <c r="I1160">
        <v>282.7629</v>
      </c>
      <c r="J1160">
        <v>-231.5736</v>
      </c>
      <c r="K1160">
        <v>1.110169</v>
      </c>
      <c r="L1160">
        <v>282.23899999999998</v>
      </c>
      <c r="M1160">
        <v>-0.99846859999999904</v>
      </c>
      <c r="N1160">
        <v>0</v>
      </c>
      <c r="O1160">
        <v>5.3913620000000002E-2</v>
      </c>
      <c r="P1160">
        <v>-0.99937410000000004</v>
      </c>
      <c r="Q1160">
        <v>3.5338620000000001E-2</v>
      </c>
      <c r="R1160">
        <v>1.6536260000000001E-3</v>
      </c>
      <c r="S1160">
        <v>-3.0077210000000001</v>
      </c>
      <c r="T1160">
        <v>-0.17827370000000001</v>
      </c>
      <c r="U1160">
        <v>8.6822510000000006E-2</v>
      </c>
      <c r="V1160">
        <v>-5.221257E-2</v>
      </c>
      <c r="W1160">
        <v>4.7733589999999999E-2</v>
      </c>
      <c r="X1160">
        <v>0.99749449999999995</v>
      </c>
      <c r="Y1160">
        <v>-2.4944600000000001E-2</v>
      </c>
      <c r="Z1160">
        <v>-3.9290239999999997E-3</v>
      </c>
      <c r="AA1160">
        <v>0.99968109999999999</v>
      </c>
      <c r="AB1160">
        <v>31</v>
      </c>
      <c r="AC1160">
        <v>-18.423100000000002</v>
      </c>
      <c r="AD1160">
        <v>-1.110170538542</v>
      </c>
      <c r="AE1160">
        <v>0.52389999999996895</v>
      </c>
      <c r="AF1160">
        <v>-0.46849462887455501</v>
      </c>
      <c r="AG1160">
        <v>-1.110170538542</v>
      </c>
      <c r="AH1160">
        <v>18.357940819836699</v>
      </c>
      <c r="AI1160">
        <v>93.459543191273895</v>
      </c>
      <c r="AJ1160">
        <v>91.461870925479005</v>
      </c>
      <c r="AK1160">
        <v>18.397444305842001</v>
      </c>
    </row>
    <row r="1161" spans="1:37" x14ac:dyDescent="0.2">
      <c r="A1161" t="str">
        <f>"20200111154048515"</f>
        <v>20200111154048515</v>
      </c>
      <c r="B1161" t="str">
        <f>"1578728448506923"</f>
        <v>1578728448506923</v>
      </c>
      <c r="C1161" t="s">
        <v>37</v>
      </c>
      <c r="D1161">
        <v>5.3582689999999999</v>
      </c>
      <c r="E1161">
        <v>0.50962529999999995</v>
      </c>
      <c r="F1161" t="s">
        <v>44</v>
      </c>
      <c r="G1161">
        <v>-250.78389999999999</v>
      </c>
      <c r="H1161" s="1">
        <v>-1.119629E-6</v>
      </c>
      <c r="I1161">
        <v>282.80919999999998</v>
      </c>
      <c r="J1161">
        <v>-231.8835</v>
      </c>
      <c r="K1161">
        <v>1.1102510000000001</v>
      </c>
      <c r="L1161">
        <v>282.25580000000002</v>
      </c>
      <c r="M1161">
        <v>-0.998472899999999</v>
      </c>
      <c r="N1161">
        <v>0</v>
      </c>
      <c r="O1161">
        <v>5.3870759999999997E-2</v>
      </c>
      <c r="P1161">
        <v>-0.99931619999999999</v>
      </c>
      <c r="Q1161">
        <v>3.6805890000000001E-2</v>
      </c>
      <c r="R1161">
        <v>3.5633309999999999E-3</v>
      </c>
      <c r="S1161">
        <v>-3.0078740000000002</v>
      </c>
      <c r="T1161">
        <v>-0.17382629999999999</v>
      </c>
      <c r="U1161">
        <v>8.9294429999999994E-2</v>
      </c>
      <c r="V1161">
        <v>-5.0270090000000003E-2</v>
      </c>
      <c r="W1161">
        <v>4.9040489999999999E-2</v>
      </c>
      <c r="X1161">
        <v>0.9975309</v>
      </c>
      <c r="Y1161">
        <v>-2.4090489999999999E-2</v>
      </c>
      <c r="Z1161">
        <v>-3.8037840000000002E-3</v>
      </c>
      <c r="AA1161">
        <v>0.9997026</v>
      </c>
      <c r="AB1161">
        <v>31</v>
      </c>
      <c r="AC1161">
        <v>-18.900399999999902</v>
      </c>
      <c r="AD1161">
        <v>-1.1102521196290001</v>
      </c>
      <c r="AE1161">
        <v>0.55339999999995304</v>
      </c>
      <c r="AF1161">
        <v>-0.46405895615737702</v>
      </c>
      <c r="AG1161">
        <v>-1.1102521196290001</v>
      </c>
      <c r="AH1161">
        <v>18.837818149173302</v>
      </c>
      <c r="AI1161">
        <v>93.371942094527</v>
      </c>
      <c r="AJ1161">
        <v>91.411163591181094</v>
      </c>
      <c r="AK1161">
        <v>18.876212626087199</v>
      </c>
    </row>
    <row r="1162" spans="1:37" x14ac:dyDescent="0.2">
      <c r="A1162" t="str">
        <f>"20200111154048538"</f>
        <v>20200111154048538</v>
      </c>
      <c r="B1162" t="str">
        <f>"1578728448527418"</f>
        <v>1578728448527418</v>
      </c>
      <c r="C1162" t="s">
        <v>37</v>
      </c>
      <c r="D1162">
        <v>5.3777619999999997</v>
      </c>
      <c r="E1162">
        <v>0.50948899999999997</v>
      </c>
      <c r="F1162" t="s">
        <v>44</v>
      </c>
      <c r="G1162">
        <v>-251.6156</v>
      </c>
      <c r="H1162" s="1">
        <v>-6.7705910000000002E-7</v>
      </c>
      <c r="I1162">
        <v>282.86860000000001</v>
      </c>
      <c r="J1162">
        <v>-232.20179999999999</v>
      </c>
      <c r="K1162">
        <v>1.1103449999999999</v>
      </c>
      <c r="L1162">
        <v>282.27289999999999</v>
      </c>
      <c r="M1162">
        <v>-0.99848269999999995</v>
      </c>
      <c r="N1162">
        <v>0</v>
      </c>
      <c r="O1162">
        <v>5.3721900000000003E-2</v>
      </c>
      <c r="P1162">
        <v>-0.99921349999999998</v>
      </c>
      <c r="Q1162">
        <v>3.9236729999999997E-2</v>
      </c>
      <c r="R1162">
        <v>5.7582800000000002E-3</v>
      </c>
      <c r="S1162">
        <v>-3.0079349999999998</v>
      </c>
      <c r="T1162">
        <v>-0.16924529999999999</v>
      </c>
      <c r="U1162">
        <v>9.341431E-2</v>
      </c>
      <c r="V1162">
        <v>-4.7934230000000001E-2</v>
      </c>
      <c r="W1162">
        <v>5.1308800000000002E-2</v>
      </c>
      <c r="X1162">
        <v>0.99753179999999997</v>
      </c>
      <c r="Y1162">
        <v>-2.2583309999999999E-2</v>
      </c>
      <c r="Z1162">
        <v>-3.6528020000000001E-3</v>
      </c>
      <c r="AA1162">
        <v>0.99973829999999997</v>
      </c>
      <c r="AB1162">
        <v>31</v>
      </c>
      <c r="AC1162">
        <v>-19.413799999999998</v>
      </c>
      <c r="AD1162">
        <v>-1.1103456770591</v>
      </c>
      <c r="AE1162">
        <v>0.59570000000002199</v>
      </c>
      <c r="AF1162">
        <v>-0.44672294768065102</v>
      </c>
      <c r="AG1162">
        <v>-1.1103456770591</v>
      </c>
      <c r="AH1162">
        <v>19.354514388089601</v>
      </c>
      <c r="AI1162">
        <v>93.282520081864703</v>
      </c>
      <c r="AJ1162">
        <v>91.322213271149593</v>
      </c>
      <c r="AK1162">
        <v>19.391484113221399</v>
      </c>
    </row>
    <row r="1163" spans="1:37" x14ac:dyDescent="0.2">
      <c r="A1163" t="str">
        <f>"20200111154048559"</f>
        <v>20200111154048559</v>
      </c>
      <c r="B1163" t="str">
        <f>"1578728448557675"</f>
        <v>1578728448557675</v>
      </c>
      <c r="C1163" t="s">
        <v>37</v>
      </c>
      <c r="D1163">
        <v>5.3217549999999996</v>
      </c>
      <c r="E1163">
        <v>0.50923999999999903</v>
      </c>
      <c r="F1163" t="s">
        <v>44</v>
      </c>
      <c r="G1163">
        <v>-252.8228</v>
      </c>
      <c r="H1163" s="1">
        <v>-3.4609680000000001E-8</v>
      </c>
      <c r="I1163">
        <v>282.93920000000003</v>
      </c>
      <c r="J1163">
        <v>-232.50030000000001</v>
      </c>
      <c r="K1163">
        <v>1.110417</v>
      </c>
      <c r="L1163">
        <v>282.28890000000001</v>
      </c>
      <c r="M1163">
        <v>-0.99849679999999996</v>
      </c>
      <c r="N1163">
        <v>0</v>
      </c>
      <c r="O1163">
        <v>5.3492530000000003E-2</v>
      </c>
      <c r="P1163">
        <v>-0.99914119999999995</v>
      </c>
      <c r="Q1163">
        <v>4.071259E-2</v>
      </c>
      <c r="R1163">
        <v>7.7401190000000002E-3</v>
      </c>
      <c r="S1163">
        <v>-3.0081790000000002</v>
      </c>
      <c r="T1163">
        <v>-0.16197629999999999</v>
      </c>
      <c r="U1163">
        <v>9.7198489999999999E-2</v>
      </c>
      <c r="V1163">
        <v>-4.5732469999999997E-2</v>
      </c>
      <c r="W1163">
        <v>5.2627390000000003E-2</v>
      </c>
      <c r="X1163">
        <v>0.99756650000000002</v>
      </c>
      <c r="Y1163">
        <v>-2.1112269999999999E-2</v>
      </c>
      <c r="Z1163">
        <v>-3.4438799999999999E-3</v>
      </c>
      <c r="AA1163">
        <v>0.99977119999999997</v>
      </c>
      <c r="AB1163">
        <v>31</v>
      </c>
      <c r="AC1163">
        <v>-20.322499999999899</v>
      </c>
      <c r="AD1163">
        <v>-1.11041703460967</v>
      </c>
      <c r="AE1163">
        <v>0.65030000000001498</v>
      </c>
      <c r="AF1163">
        <v>-0.43650884173051901</v>
      </c>
      <c r="AG1163">
        <v>-1.11041703460967</v>
      </c>
      <c r="AH1163">
        <v>20.267740204692998</v>
      </c>
      <c r="AI1163">
        <v>93.135226703763095</v>
      </c>
      <c r="AJ1163">
        <v>91.233795589100893</v>
      </c>
      <c r="AK1163">
        <v>20.3028288414346</v>
      </c>
    </row>
    <row r="1164" spans="1:37" x14ac:dyDescent="0.2">
      <c r="A1164" t="str">
        <f>"20200111154048582"</f>
        <v>20200111154048582</v>
      </c>
      <c r="B1164" t="str">
        <f>"1578728448577195"</f>
        <v>1578728448577195</v>
      </c>
      <c r="C1164" t="s">
        <v>37</v>
      </c>
      <c r="D1164">
        <v>5.3713980000000001</v>
      </c>
      <c r="E1164">
        <v>0.50908940000000003</v>
      </c>
      <c r="F1164" t="s">
        <v>44</v>
      </c>
      <c r="G1164">
        <v>-253.78039999999999</v>
      </c>
      <c r="H1164" s="1">
        <v>4.7497000000000002E-7</v>
      </c>
      <c r="I1164">
        <v>283.00150000000002</v>
      </c>
      <c r="J1164">
        <v>-232.80160000000001</v>
      </c>
      <c r="K1164">
        <v>1.110487</v>
      </c>
      <c r="L1164">
        <v>282.3048</v>
      </c>
      <c r="M1164">
        <v>-0.99851509999999999</v>
      </c>
      <c r="N1164">
        <v>0</v>
      </c>
      <c r="O1164">
        <v>5.318461E-2</v>
      </c>
      <c r="P1164">
        <v>-0.99907449999999998</v>
      </c>
      <c r="Q1164">
        <v>4.208713E-2</v>
      </c>
      <c r="R1164">
        <v>8.8743609999999903E-3</v>
      </c>
      <c r="S1164">
        <v>-3.0082089999999999</v>
      </c>
      <c r="T1164">
        <v>-0.156971</v>
      </c>
      <c r="U1164">
        <v>0.10073849999999999</v>
      </c>
      <c r="V1164">
        <v>-4.4299680000000001E-2</v>
      </c>
      <c r="W1164">
        <v>5.3837309999999999E-2</v>
      </c>
      <c r="X1164">
        <v>0.99756659999999997</v>
      </c>
      <c r="Y1164">
        <v>-1.96379E-2</v>
      </c>
      <c r="Z1164">
        <v>-3.283022E-3</v>
      </c>
      <c r="AA1164">
        <v>0.99980179999999996</v>
      </c>
      <c r="AB1164">
        <v>31</v>
      </c>
      <c r="AC1164">
        <v>-20.9787999999999</v>
      </c>
      <c r="AD1164">
        <v>-1.11048652503</v>
      </c>
      <c r="AE1164">
        <v>0.69670000000002097</v>
      </c>
      <c r="AF1164">
        <v>-0.41894045306750199</v>
      </c>
      <c r="AG1164">
        <v>-1.11048652503</v>
      </c>
      <c r="AH1164">
        <v>20.927586690806798</v>
      </c>
      <c r="AI1164">
        <v>93.036846328949096</v>
      </c>
      <c r="AJ1164">
        <v>91.146826652142295</v>
      </c>
      <c r="AK1164">
        <v>20.9612159982841</v>
      </c>
    </row>
    <row r="1165" spans="1:37" x14ac:dyDescent="0.2">
      <c r="A1165" t="str">
        <f>"20200111154048605"</f>
        <v>20200111154048605</v>
      </c>
      <c r="B1165" t="str">
        <f>"1578728448597691"</f>
        <v>1578728448597691</v>
      </c>
      <c r="C1165" t="s">
        <v>37</v>
      </c>
      <c r="D1165">
        <v>5.5410329999999997</v>
      </c>
      <c r="E1165">
        <v>0.50045759999999995</v>
      </c>
      <c r="F1165" t="s">
        <v>44</v>
      </c>
      <c r="G1165">
        <v>-254.66210000000001</v>
      </c>
      <c r="H1165" s="1">
        <v>9.4414619999999997E-7</v>
      </c>
      <c r="I1165">
        <v>283.05790000000002</v>
      </c>
      <c r="J1165">
        <v>-233.1241</v>
      </c>
      <c r="K1165">
        <v>1.1105389999999999</v>
      </c>
      <c r="L1165">
        <v>282.32159999999999</v>
      </c>
      <c r="M1165">
        <v>-0.99853860000000005</v>
      </c>
      <c r="N1165">
        <v>0</v>
      </c>
      <c r="O1165">
        <v>5.2778949999999998E-2</v>
      </c>
      <c r="P1165">
        <v>-0.99900009999999995</v>
      </c>
      <c r="Q1165">
        <v>4.3600050000000001E-2</v>
      </c>
      <c r="R1165">
        <v>9.8921140000000005E-3</v>
      </c>
      <c r="S1165">
        <v>-3.00831599999999</v>
      </c>
      <c r="T1165">
        <v>-0.1528185</v>
      </c>
      <c r="U1165">
        <v>0.1036377</v>
      </c>
      <c r="V1165">
        <v>-4.2884239999999997E-2</v>
      </c>
      <c r="W1165">
        <v>5.516857E-2</v>
      </c>
      <c r="X1165">
        <v>0.99755569999999905</v>
      </c>
      <c r="Y1165">
        <v>-1.8277809999999999E-2</v>
      </c>
      <c r="Z1165">
        <v>-3.1410269999999998E-3</v>
      </c>
      <c r="AA1165">
        <v>0.99982800000000005</v>
      </c>
      <c r="AB1165">
        <v>31</v>
      </c>
      <c r="AC1165">
        <v>-21.538</v>
      </c>
      <c r="AD1165">
        <v>-1.1105380558537901</v>
      </c>
      <c r="AE1165">
        <v>0.73630000000002804</v>
      </c>
      <c r="AF1165">
        <v>-0.40049265469689999</v>
      </c>
      <c r="AG1165">
        <v>-1.1105380558537901</v>
      </c>
      <c r="AH1165">
        <v>21.4897740380218</v>
      </c>
      <c r="AI1165">
        <v>92.957759104698297</v>
      </c>
      <c r="AJ1165">
        <v>91.067665150061302</v>
      </c>
      <c r="AK1165">
        <v>21.522176408188901</v>
      </c>
    </row>
    <row r="1166" spans="1:37" x14ac:dyDescent="0.2">
      <c r="A1166" t="str">
        <f>"20200111154048627"</f>
        <v>20200111154048627</v>
      </c>
      <c r="B1166" t="str">
        <f>"1578728448617211"</f>
        <v>1578728448617211</v>
      </c>
      <c r="C1166" t="s">
        <v>37</v>
      </c>
      <c r="D1166">
        <v>5.3140749999999999</v>
      </c>
      <c r="E1166">
        <v>0.50117769999999995</v>
      </c>
      <c r="F1166" t="s">
        <v>44</v>
      </c>
      <c r="G1166">
        <v>-251.6987</v>
      </c>
      <c r="H1166" s="1">
        <v>-6.3281980000000004E-7</v>
      </c>
      <c r="I1166">
        <v>282.56049999999999</v>
      </c>
      <c r="J1166">
        <v>-233.4443</v>
      </c>
      <c r="K1166">
        <v>1.110576</v>
      </c>
      <c r="L1166">
        <v>282.3381</v>
      </c>
      <c r="M1166">
        <v>-0.99856540000000005</v>
      </c>
      <c r="N1166">
        <v>0</v>
      </c>
      <c r="O1166">
        <v>5.2310839999999997E-2</v>
      </c>
      <c r="P1166">
        <v>-0.99891160000000001</v>
      </c>
      <c r="Q1166">
        <v>4.50575E-2</v>
      </c>
      <c r="R1166">
        <v>1.2061540000000001E-2</v>
      </c>
      <c r="S1166">
        <v>-3.0104519999999999</v>
      </c>
      <c r="T1166">
        <v>-0.1799887</v>
      </c>
      <c r="U1166">
        <v>3.872681E-2</v>
      </c>
      <c r="V1166">
        <v>-4.0254070000000003E-2</v>
      </c>
      <c r="W1166">
        <v>5.6445929999999998E-2</v>
      </c>
      <c r="X1166">
        <v>0.99759379999999998</v>
      </c>
      <c r="Y1166">
        <v>-3.9301009999999997E-2</v>
      </c>
      <c r="Z1166">
        <v>-4.2972729999999999E-3</v>
      </c>
      <c r="AA1166">
        <v>0.99921819999999895</v>
      </c>
      <c r="AB1166">
        <v>31</v>
      </c>
      <c r="AC1166">
        <v>-18.2544</v>
      </c>
      <c r="AD1166">
        <v>-1.1105766328197999</v>
      </c>
      <c r="AE1166">
        <v>0.22239999999999299</v>
      </c>
      <c r="AF1166">
        <v>-0.73016773757601805</v>
      </c>
      <c r="AG1166">
        <v>-1.1105766328197999</v>
      </c>
      <c r="AH1166">
        <v>18.1737806073386</v>
      </c>
      <c r="AI1166">
        <v>93.494111807245503</v>
      </c>
      <c r="AJ1166">
        <v>92.300734349748495</v>
      </c>
      <c r="AK1166">
        <v>18.222316728287801</v>
      </c>
    </row>
    <row r="1167" spans="1:37" x14ac:dyDescent="0.2">
      <c r="A1167" t="str">
        <f>"20200111154048649"</f>
        <v>20200111154048649</v>
      </c>
      <c r="B1167" t="str">
        <f>"1578728448637709"</f>
        <v>1578728448637709</v>
      </c>
      <c r="C1167" t="s">
        <v>37</v>
      </c>
      <c r="D1167">
        <v>5.3380140000000003</v>
      </c>
      <c r="E1167">
        <v>0.50056719999999999</v>
      </c>
      <c r="F1167" t="s">
        <v>44</v>
      </c>
      <c r="G1167">
        <v>-253.4957</v>
      </c>
      <c r="H1167" s="1">
        <v>3.2346299999999999E-7</v>
      </c>
      <c r="I1167">
        <v>282.67439999999999</v>
      </c>
      <c r="J1167">
        <v>-233.744</v>
      </c>
      <c r="K1167">
        <v>1.110592</v>
      </c>
      <c r="L1167">
        <v>282.35340000000002</v>
      </c>
      <c r="M1167">
        <v>-0.99859200000000004</v>
      </c>
      <c r="N1167">
        <v>0</v>
      </c>
      <c r="O1167">
        <v>5.183318E-2</v>
      </c>
      <c r="P1167">
        <v>-0.99885959999999996</v>
      </c>
      <c r="Q1167">
        <v>4.5744989999999999E-2</v>
      </c>
      <c r="R1167">
        <v>1.367438E-2</v>
      </c>
      <c r="S1167">
        <v>-3.0101930000000001</v>
      </c>
      <c r="T1167">
        <v>-0.1667236</v>
      </c>
      <c r="U1167">
        <v>5.0476069999999998E-2</v>
      </c>
      <c r="V1167">
        <v>-3.8168840000000002E-2</v>
      </c>
      <c r="W1167">
        <v>5.6975320000000003E-2</v>
      </c>
      <c r="X1167">
        <v>0.99764569999999997</v>
      </c>
      <c r="Y1167">
        <v>-3.4952799999999999E-2</v>
      </c>
      <c r="Z1167">
        <v>-3.834502E-3</v>
      </c>
      <c r="AA1167">
        <v>0.99938159999999898</v>
      </c>
      <c r="AB1167">
        <v>31</v>
      </c>
      <c r="AC1167">
        <v>-19.7516999999999</v>
      </c>
      <c r="AD1167">
        <v>-1.1105916765370001</v>
      </c>
      <c r="AE1167">
        <v>0.32099999999996898</v>
      </c>
      <c r="AF1167">
        <v>-0.701074273808312</v>
      </c>
      <c r="AG1167">
        <v>-1.1105916765370001</v>
      </c>
      <c r="AH1167">
        <v>19.679583514893899</v>
      </c>
      <c r="AI1167">
        <v>93.227943412584693</v>
      </c>
      <c r="AJ1167">
        <v>92.040267632695404</v>
      </c>
      <c r="AK1167">
        <v>19.723359914808501</v>
      </c>
    </row>
    <row r="1168" spans="1:37" x14ac:dyDescent="0.2">
      <c r="A1168" t="str">
        <f>"20200111154048670"</f>
        <v>20200111154048670</v>
      </c>
      <c r="B1168" t="str">
        <f>"1578728448666986"</f>
        <v>1578728448666986</v>
      </c>
      <c r="C1168" t="s">
        <v>37</v>
      </c>
      <c r="D1168">
        <v>5.3626940000000003</v>
      </c>
      <c r="E1168">
        <v>0.50049089999999996</v>
      </c>
      <c r="F1168" t="s">
        <v>44</v>
      </c>
      <c r="G1168">
        <v>-253.0154</v>
      </c>
      <c r="H1168" s="1">
        <v>6.7876559999999998E-8</v>
      </c>
      <c r="I1168">
        <v>282.68</v>
      </c>
      <c r="J1168">
        <v>-234.0378</v>
      </c>
      <c r="K1168">
        <v>1.1105959999999999</v>
      </c>
      <c r="L1168">
        <v>282.3682</v>
      </c>
      <c r="M1168">
        <v>-0.99861949999999999</v>
      </c>
      <c r="N1168">
        <v>0</v>
      </c>
      <c r="O1168">
        <v>5.1337149999999998E-2</v>
      </c>
      <c r="P1168">
        <v>-0.99884399999999995</v>
      </c>
      <c r="Q1168">
        <v>4.6210279999999999E-2</v>
      </c>
      <c r="R1168">
        <v>1.323599E-2</v>
      </c>
      <c r="S1168">
        <v>-3.01065099999999</v>
      </c>
      <c r="T1168">
        <v>-0.1735005</v>
      </c>
      <c r="U1168">
        <v>5.1025389999999997E-2</v>
      </c>
      <c r="V1168">
        <v>-3.8114439999999999E-2</v>
      </c>
      <c r="W1168">
        <v>5.7270950000000001E-2</v>
      </c>
      <c r="X1168">
        <v>0.99763080000000004</v>
      </c>
      <c r="Y1168">
        <v>-3.4267529999999997E-2</v>
      </c>
      <c r="Z1168">
        <v>-3.9412370000000002E-3</v>
      </c>
      <c r="AA1168">
        <v>0.99940490000000004</v>
      </c>
      <c r="AB1168">
        <v>31</v>
      </c>
      <c r="AC1168">
        <v>-18.977599999999899</v>
      </c>
      <c r="AD1168">
        <v>-1.11059593212344</v>
      </c>
      <c r="AE1168">
        <v>0.31180000000000502</v>
      </c>
      <c r="AF1168">
        <v>-0.66066529846655497</v>
      </c>
      <c r="AG1168">
        <v>-1.11059593212344</v>
      </c>
      <c r="AH1168">
        <v>18.903856940461999</v>
      </c>
      <c r="AI1168">
        <v>93.360198380380695</v>
      </c>
      <c r="AJ1168">
        <v>92.001598571791106</v>
      </c>
      <c r="AK1168">
        <v>18.947973748833999</v>
      </c>
    </row>
    <row r="1169" spans="1:37" x14ac:dyDescent="0.2">
      <c r="A1169" t="str">
        <f>"20200111154048694"</f>
        <v>20200111154048694</v>
      </c>
      <c r="B1169" t="str">
        <f>"1578728448687483"</f>
        <v>1578728448687483</v>
      </c>
      <c r="C1169" t="s">
        <v>37</v>
      </c>
      <c r="D1169">
        <v>5.3341510000000003</v>
      </c>
      <c r="E1169">
        <v>0.50033019999999995</v>
      </c>
      <c r="F1169" t="s">
        <v>44</v>
      </c>
      <c r="G1169">
        <v>-252.8897</v>
      </c>
      <c r="H1169" s="1">
        <v>9.780478999999999E-10</v>
      </c>
      <c r="I1169">
        <v>282.6789</v>
      </c>
      <c r="J1169">
        <v>-234.37200000000001</v>
      </c>
      <c r="K1169">
        <v>1.1105909999999899</v>
      </c>
      <c r="L1169">
        <v>282.38479999999998</v>
      </c>
      <c r="M1169">
        <v>-0.99865159999999997</v>
      </c>
      <c r="N1169">
        <v>0</v>
      </c>
      <c r="O1169">
        <v>5.0755710000000002E-2</v>
      </c>
      <c r="P1169">
        <v>-0.99879879999999999</v>
      </c>
      <c r="Q1169">
        <v>4.7660769999999998E-2</v>
      </c>
      <c r="R1169">
        <v>1.13756E-2</v>
      </c>
      <c r="S1169">
        <v>-3.0110320000000002</v>
      </c>
      <c r="T1169">
        <v>-0.1773846</v>
      </c>
      <c r="U1169">
        <v>4.9621579999999998E-2</v>
      </c>
      <c r="V1169">
        <v>-3.939314E-2</v>
      </c>
      <c r="W1169">
        <v>5.8502930000000002E-2</v>
      </c>
      <c r="X1169">
        <v>0.99750969999999906</v>
      </c>
      <c r="Y1169">
        <v>-3.4148320000000003E-2</v>
      </c>
      <c r="Z1169">
        <v>-3.9911340000000003E-3</v>
      </c>
      <c r="AA1169">
        <v>0.99940879999999999</v>
      </c>
      <c r="AB1169">
        <v>31</v>
      </c>
      <c r="AC1169">
        <v>-18.517699999999898</v>
      </c>
      <c r="AD1169">
        <v>-1.11059099902195</v>
      </c>
      <c r="AE1169">
        <v>0.29410000000001402</v>
      </c>
      <c r="AF1169">
        <v>-0.64389848899617397</v>
      </c>
      <c r="AG1169">
        <v>-1.11059099902195</v>
      </c>
      <c r="AH1169">
        <v>18.442438038212</v>
      </c>
      <c r="AI1169">
        <v>93.444057557778393</v>
      </c>
      <c r="AJ1169">
        <v>91.999610149391899</v>
      </c>
      <c r="AK1169">
        <v>18.487064083421402</v>
      </c>
    </row>
    <row r="1170" spans="1:37" x14ac:dyDescent="0.2">
      <c r="A1170" t="str">
        <f>"20200111154048716"</f>
        <v>20200111154048716</v>
      </c>
      <c r="B1170" t="str">
        <f>"1578728448707979"</f>
        <v>1578728448707979</v>
      </c>
      <c r="C1170" t="s">
        <v>37</v>
      </c>
      <c r="D1170">
        <v>5.4311210000000001</v>
      </c>
      <c r="E1170">
        <v>0.50028070000000002</v>
      </c>
      <c r="F1170" t="s">
        <v>44</v>
      </c>
      <c r="G1170">
        <v>-253.54259999999999</v>
      </c>
      <c r="H1170" s="1">
        <v>3.4841960000000002E-7</v>
      </c>
      <c r="I1170">
        <v>282.65719999999999</v>
      </c>
      <c r="J1170">
        <v>-234.69370000000001</v>
      </c>
      <c r="K1170">
        <v>1.1105830000000001</v>
      </c>
      <c r="L1170">
        <v>282.4006</v>
      </c>
      <c r="M1170">
        <v>-0.99868269999999904</v>
      </c>
      <c r="N1170">
        <v>0</v>
      </c>
      <c r="O1170">
        <v>5.0190319999999997E-2</v>
      </c>
      <c r="P1170">
        <v>-0.99867410000000001</v>
      </c>
      <c r="Q1170">
        <v>5.0389820000000002E-2</v>
      </c>
      <c r="R1170">
        <v>1.054679E-2</v>
      </c>
      <c r="S1170">
        <v>-3.011444</v>
      </c>
      <c r="T1170">
        <v>-0.17445849999999999</v>
      </c>
      <c r="U1170">
        <v>4.278564E-2</v>
      </c>
      <c r="V1170">
        <v>-3.9653559999999997E-2</v>
      </c>
      <c r="W1170">
        <v>6.1001850000000003E-2</v>
      </c>
      <c r="X1170">
        <v>0.99734969999999901</v>
      </c>
      <c r="Y1170">
        <v>-3.5855600000000001E-2</v>
      </c>
      <c r="Z1170">
        <v>-3.9416939999999999E-3</v>
      </c>
      <c r="AA1170">
        <v>0.99934920000000005</v>
      </c>
      <c r="AB1170">
        <v>31</v>
      </c>
      <c r="AC1170">
        <v>-18.848899999999901</v>
      </c>
      <c r="AD1170">
        <v>-1.11058265158039</v>
      </c>
      <c r="AE1170">
        <v>0.256599999999991</v>
      </c>
      <c r="AF1170">
        <v>-0.68742357403629495</v>
      </c>
      <c r="AG1170">
        <v>-1.11058265158039</v>
      </c>
      <c r="AH1170">
        <v>18.772861261382001</v>
      </c>
      <c r="AI1170">
        <v>93.3833495790592</v>
      </c>
      <c r="AJ1170">
        <v>92.097116632164202</v>
      </c>
      <c r="AK1170">
        <v>18.818242875869998</v>
      </c>
    </row>
    <row r="1171" spans="1:37" x14ac:dyDescent="0.2">
      <c r="A1171" t="str">
        <f>"20200111154048739"</f>
        <v>20200111154048739</v>
      </c>
      <c r="B1171" t="str">
        <f>"1578728448727708"</f>
        <v>1578728448727708</v>
      </c>
      <c r="C1171" t="s">
        <v>37</v>
      </c>
      <c r="D1171">
        <v>5.6894369999999999</v>
      </c>
      <c r="E1171">
        <v>0.49997429999999898</v>
      </c>
      <c r="F1171" t="s">
        <v>44</v>
      </c>
      <c r="G1171">
        <v>-254.63149999999999</v>
      </c>
      <c r="H1171" s="1">
        <v>9.2786889999999999E-7</v>
      </c>
      <c r="I1171">
        <v>282.66239999999999</v>
      </c>
      <c r="J1171">
        <v>-235.0095</v>
      </c>
      <c r="K1171">
        <v>1.1105559999999901</v>
      </c>
      <c r="L1171">
        <v>282.416</v>
      </c>
      <c r="M1171">
        <v>-0.9987125</v>
      </c>
      <c r="N1171">
        <v>0</v>
      </c>
      <c r="O1171">
        <v>4.964586E-2</v>
      </c>
      <c r="P1171">
        <v>-0.99858060000000004</v>
      </c>
      <c r="Q1171">
        <v>5.2383159999999998E-2</v>
      </c>
      <c r="R1171">
        <v>9.6513889999999998E-3</v>
      </c>
      <c r="S1171">
        <v>-3.0120239999999998</v>
      </c>
      <c r="T1171">
        <v>-0.1677765</v>
      </c>
      <c r="U1171">
        <v>3.9550780000000001E-2</v>
      </c>
      <c r="V1171">
        <v>-4.0002089999999997E-2</v>
      </c>
      <c r="W1171">
        <v>6.275087E-2</v>
      </c>
      <c r="X1171">
        <v>0.99722730000000004</v>
      </c>
      <c r="Y1171">
        <v>-3.639734E-2</v>
      </c>
      <c r="Z1171">
        <v>-3.7750750000000001E-3</v>
      </c>
      <c r="AA1171">
        <v>0.9993303</v>
      </c>
      <c r="AB1171">
        <v>31</v>
      </c>
      <c r="AC1171">
        <v>-19.6219999999999</v>
      </c>
      <c r="AD1171">
        <v>-1.1105550721310999</v>
      </c>
      <c r="AE1171">
        <v>0.24639999999999401</v>
      </c>
      <c r="AF1171">
        <v>-0.72578333946414297</v>
      </c>
      <c r="AG1171">
        <v>-1.1105550721310999</v>
      </c>
      <c r="AH1171">
        <v>19.5474287360482</v>
      </c>
      <c r="AI1171">
        <v>93.249435877552997</v>
      </c>
      <c r="AJ1171">
        <v>92.126378324162701</v>
      </c>
      <c r="AK1171">
        <v>19.5923981231232</v>
      </c>
    </row>
    <row r="1172" spans="1:37" x14ac:dyDescent="0.2">
      <c r="A1172" t="str">
        <f>"20200111154048762"</f>
        <v>20200111154048762</v>
      </c>
      <c r="B1172" t="str">
        <f>"1578728448757964"</f>
        <v>1578728448757964</v>
      </c>
      <c r="C1172" t="s">
        <v>37</v>
      </c>
      <c r="D1172">
        <v>5.3633689999999996</v>
      </c>
      <c r="E1172">
        <v>0.49963299999999999</v>
      </c>
      <c r="F1172" t="s">
        <v>44</v>
      </c>
      <c r="G1172">
        <v>-255.78649999999999</v>
      </c>
      <c r="H1172" s="1">
        <v>1.5425019999999999E-6</v>
      </c>
      <c r="I1172">
        <v>282.65010000000001</v>
      </c>
      <c r="J1172">
        <v>-235.3314</v>
      </c>
      <c r="K1172">
        <v>1.110519</v>
      </c>
      <c r="L1172">
        <v>282.43150000000003</v>
      </c>
      <c r="M1172">
        <v>-0.99874130000000005</v>
      </c>
      <c r="N1172">
        <v>0</v>
      </c>
      <c r="O1172">
        <v>4.9115569999999997E-2</v>
      </c>
      <c r="P1172">
        <v>-0.99849959999999904</v>
      </c>
      <c r="Q1172">
        <v>5.4147819999999999E-2</v>
      </c>
      <c r="R1172">
        <v>8.1758739999999996E-3</v>
      </c>
      <c r="S1172">
        <v>-3.0123899999999999</v>
      </c>
      <c r="T1172">
        <v>-0.16101560000000001</v>
      </c>
      <c r="U1172">
        <v>3.3935550000000002E-2</v>
      </c>
      <c r="V1172">
        <v>-4.0942520000000003E-2</v>
      </c>
      <c r="W1172">
        <v>6.4256060000000004E-2</v>
      </c>
      <c r="X1172">
        <v>0.99709319999999901</v>
      </c>
      <c r="Y1172">
        <v>-3.7740059999999999E-2</v>
      </c>
      <c r="Z1172">
        <v>-3.6303619999999998E-3</v>
      </c>
      <c r="AA1172">
        <v>0.99928099999999997</v>
      </c>
      <c r="AB1172">
        <v>31</v>
      </c>
      <c r="AC1172">
        <v>-20.455099999999899</v>
      </c>
      <c r="AD1172">
        <v>-1.1105174574979999</v>
      </c>
      <c r="AE1172">
        <v>0.21859999999998</v>
      </c>
      <c r="AF1172">
        <v>-0.78406898848210405</v>
      </c>
      <c r="AG1172">
        <v>-1.1105174574979999</v>
      </c>
      <c r="AH1172">
        <v>20.381081930517201</v>
      </c>
      <c r="AI1172">
        <v>93.116528088441896</v>
      </c>
      <c r="AJ1172">
        <v>92.203106864430794</v>
      </c>
      <c r="AK1172">
        <v>20.426368102542401</v>
      </c>
    </row>
    <row r="1173" spans="1:37" x14ac:dyDescent="0.2">
      <c r="A1173" t="str">
        <f>"20200111154048782"</f>
        <v>20200111154048782</v>
      </c>
      <c r="B1173" t="str">
        <f>"1578728448777484"</f>
        <v>1578728448777484</v>
      </c>
      <c r="C1173" t="s">
        <v>37</v>
      </c>
      <c r="D1173">
        <v>5.409198</v>
      </c>
      <c r="E1173">
        <v>0.49955429999999901</v>
      </c>
      <c r="F1173" t="s">
        <v>44</v>
      </c>
      <c r="G1173">
        <v>-256.86790000000002</v>
      </c>
      <c r="H1173" s="1">
        <v>2.1179429999999998E-6</v>
      </c>
      <c r="I1173">
        <v>282.62060000000002</v>
      </c>
      <c r="J1173">
        <v>-235.61599999999899</v>
      </c>
      <c r="K1173">
        <v>1.110474</v>
      </c>
      <c r="L1173">
        <v>282.44499999999999</v>
      </c>
      <c r="M1173">
        <v>-0.99876480000000001</v>
      </c>
      <c r="N1173">
        <v>0</v>
      </c>
      <c r="O1173">
        <v>4.8682589999999998E-2</v>
      </c>
      <c r="P1173">
        <v>-0.998444</v>
      </c>
      <c r="Q1173">
        <v>5.5360659999999999E-2</v>
      </c>
      <c r="R1173">
        <v>6.6929249999999997E-3</v>
      </c>
      <c r="S1173">
        <v>-3.0127109999999999</v>
      </c>
      <c r="T1173">
        <v>-0.15534909999999999</v>
      </c>
      <c r="U1173">
        <v>2.6458740000000001E-2</v>
      </c>
      <c r="V1173">
        <v>-4.198677E-2</v>
      </c>
      <c r="W1173">
        <v>6.5232960000000006E-2</v>
      </c>
      <c r="X1173">
        <v>0.99698629999999999</v>
      </c>
      <c r="Y1173">
        <v>-3.9794009999999998E-2</v>
      </c>
      <c r="Z1173">
        <v>-3.5331059999999998E-3</v>
      </c>
      <c r="AA1173">
        <v>0.99920169999999997</v>
      </c>
      <c r="AB1173">
        <v>32</v>
      </c>
      <c r="AC1173">
        <v>-21.251899999999999</v>
      </c>
      <c r="AD1173">
        <v>-1.1104718820569901</v>
      </c>
      <c r="AE1173">
        <v>0.17560000000003101</v>
      </c>
      <c r="AF1173">
        <v>-0.85691738655886796</v>
      </c>
      <c r="AG1173">
        <v>-1.1104718820569901</v>
      </c>
      <c r="AH1173">
        <v>21.177430189587</v>
      </c>
      <c r="AI1173">
        <v>92.999195467199996</v>
      </c>
      <c r="AJ1173">
        <v>92.317135714155796</v>
      </c>
      <c r="AK1173">
        <v>21.223831054808599</v>
      </c>
    </row>
    <row r="1174" spans="1:37" x14ac:dyDescent="0.2">
      <c r="A1174" t="str">
        <f>"20200111154048807"</f>
        <v>20200111154048807</v>
      </c>
      <c r="B1174" t="str">
        <f>"1578728448797004"</f>
        <v>1578728448797004</v>
      </c>
      <c r="C1174" t="s">
        <v>37</v>
      </c>
      <c r="D1174">
        <v>5.4480040000000001</v>
      </c>
      <c r="E1174">
        <v>0.49952390000000002</v>
      </c>
      <c r="F1174" t="s">
        <v>44</v>
      </c>
      <c r="G1174">
        <v>-257.21409999999997</v>
      </c>
      <c r="H1174" s="1">
        <v>2.3022149999999999E-6</v>
      </c>
      <c r="I1174">
        <v>282.6003</v>
      </c>
      <c r="J1174">
        <v>-235.95910000000001</v>
      </c>
      <c r="K1174">
        <v>1.110409</v>
      </c>
      <c r="L1174">
        <v>282.46129999999999</v>
      </c>
      <c r="M1174">
        <v>-0.99879010000000001</v>
      </c>
      <c r="N1174">
        <v>0</v>
      </c>
      <c r="O1174">
        <v>4.8218400000000002E-2</v>
      </c>
      <c r="P1174">
        <v>-0.99840549999999995</v>
      </c>
      <c r="Q1174">
        <v>5.6141719999999999E-2</v>
      </c>
      <c r="R1174">
        <v>5.8846480000000001E-3</v>
      </c>
      <c r="S1174">
        <v>-3.01312299999999</v>
      </c>
      <c r="T1174">
        <v>-0.15492030000000001</v>
      </c>
      <c r="U1174">
        <v>2.1667479999999999E-2</v>
      </c>
      <c r="V1174">
        <v>-4.2323350000000003E-2</v>
      </c>
      <c r="W1174">
        <v>6.5744940000000002E-2</v>
      </c>
      <c r="X1174">
        <v>0.99693849999999995</v>
      </c>
      <c r="Y1174">
        <v>-4.0919219999999999E-2</v>
      </c>
      <c r="Z1174">
        <v>-3.5280049999999999E-3</v>
      </c>
      <c r="AA1174">
        <v>0.99915619999999905</v>
      </c>
      <c r="AB1174">
        <v>32</v>
      </c>
      <c r="AC1174">
        <v>-21.2549999999999</v>
      </c>
      <c r="AD1174">
        <v>-1.110406697785</v>
      </c>
      <c r="AE1174">
        <v>0.13900000000001</v>
      </c>
      <c r="AF1174">
        <v>-0.88367994239278902</v>
      </c>
      <c r="AG1174">
        <v>-1.110406697785</v>
      </c>
      <c r="AH1174">
        <v>21.179176285625999</v>
      </c>
      <c r="AI1174">
        <v>92.998618178983705</v>
      </c>
      <c r="AJ1174">
        <v>92.389223263255602</v>
      </c>
      <c r="AK1174">
        <v>21.226667223393701</v>
      </c>
    </row>
    <row r="1175" spans="1:37" x14ac:dyDescent="0.2">
      <c r="A1175" t="str">
        <f>"20200111154048830"</f>
        <v>20200111154048830</v>
      </c>
      <c r="B1175" t="str">
        <f>"1578728448817500"</f>
        <v>1578728448817500</v>
      </c>
      <c r="C1175" t="s">
        <v>37</v>
      </c>
      <c r="D1175">
        <v>5.3747720000000001</v>
      </c>
      <c r="E1175">
        <v>0.49940760000000001</v>
      </c>
      <c r="F1175" t="s">
        <v>44</v>
      </c>
      <c r="G1175">
        <v>-257.51060000000001</v>
      </c>
      <c r="H1175" s="1">
        <v>2.4599949999999998E-6</v>
      </c>
      <c r="I1175">
        <v>282.59620000000001</v>
      </c>
      <c r="J1175">
        <v>-236.2792</v>
      </c>
      <c r="K1175">
        <v>1.1103479999999999</v>
      </c>
      <c r="L1175">
        <v>282.47629999999998</v>
      </c>
      <c r="M1175">
        <v>-0.99881049999999905</v>
      </c>
      <c r="N1175">
        <v>0</v>
      </c>
      <c r="O1175">
        <v>4.7843320000000002E-2</v>
      </c>
      <c r="P1175">
        <v>-0.99835799999999997</v>
      </c>
      <c r="Q1175">
        <v>5.7040019999999997E-2</v>
      </c>
      <c r="R1175">
        <v>5.3059680000000003E-3</v>
      </c>
      <c r="S1175">
        <v>-3.0133969999999999</v>
      </c>
      <c r="T1175">
        <v>-0.1552605</v>
      </c>
      <c r="U1175">
        <v>1.8859859999999999E-2</v>
      </c>
      <c r="V1175">
        <v>-4.2518779999999999E-2</v>
      </c>
      <c r="W1175">
        <v>6.6403429999999999E-2</v>
      </c>
      <c r="X1175">
        <v>0.99688659999999996</v>
      </c>
      <c r="Y1175">
        <v>-4.1474699999999899E-2</v>
      </c>
      <c r="Z1175">
        <v>-3.5304450000000001E-3</v>
      </c>
      <c r="AA1175">
        <v>0.9991333</v>
      </c>
      <c r="AB1175">
        <v>32</v>
      </c>
      <c r="AC1175">
        <v>-21.231400000000001</v>
      </c>
      <c r="AD1175">
        <v>-1.110345540005</v>
      </c>
      <c r="AE1175">
        <v>0.119900000000029</v>
      </c>
      <c r="AF1175">
        <v>-0.89361900293490204</v>
      </c>
      <c r="AG1175">
        <v>-1.110345540005</v>
      </c>
      <c r="AH1175">
        <v>21.1549642222143</v>
      </c>
      <c r="AI1175">
        <v>93.001813817785106</v>
      </c>
      <c r="AJ1175">
        <v>92.418825960307998</v>
      </c>
      <c r="AK1175">
        <v>21.202922755690601</v>
      </c>
    </row>
    <row r="1176" spans="1:37" x14ac:dyDescent="0.2">
      <c r="A1176" t="str">
        <f>"20200111154048851"</f>
        <v>20200111154048851</v>
      </c>
      <c r="B1176" t="str">
        <f>"1578728448847756"</f>
        <v>1578728448847756</v>
      </c>
      <c r="C1176" t="s">
        <v>37</v>
      </c>
      <c r="D1176">
        <v>5.4539070000000001</v>
      </c>
      <c r="E1176">
        <v>0.49959480000000001</v>
      </c>
      <c r="F1176" t="s">
        <v>44</v>
      </c>
      <c r="G1176">
        <v>-257.85680000000002</v>
      </c>
      <c r="H1176" s="1">
        <v>2.6442090000000001E-6</v>
      </c>
      <c r="I1176">
        <v>282.59429999999998</v>
      </c>
      <c r="J1176">
        <v>-236.59520000000001</v>
      </c>
      <c r="K1176">
        <v>1.11029</v>
      </c>
      <c r="L1176">
        <v>282.49119999999999</v>
      </c>
      <c r="M1176">
        <v>-0.99882780000000004</v>
      </c>
      <c r="N1176">
        <v>0</v>
      </c>
      <c r="O1176">
        <v>4.7522479999999999E-2</v>
      </c>
      <c r="P1176">
        <v>-0.99829690000000004</v>
      </c>
      <c r="Q1176">
        <v>5.8103199999999897E-2</v>
      </c>
      <c r="R1176">
        <v>5.248689E-3</v>
      </c>
      <c r="S1176">
        <v>-3.0136720000000001</v>
      </c>
      <c r="T1176">
        <v>-0.1550782</v>
      </c>
      <c r="U1176">
        <v>1.6479489999999999E-2</v>
      </c>
      <c r="V1176">
        <v>-4.224733E-2</v>
      </c>
      <c r="W1176">
        <v>6.7247929999999997E-2</v>
      </c>
      <c r="X1176">
        <v>0.99684139999999999</v>
      </c>
      <c r="Y1176">
        <v>-4.1943479999999998E-2</v>
      </c>
      <c r="Z1176">
        <v>-3.521569E-3</v>
      </c>
      <c r="AA1176">
        <v>0.99911380000000005</v>
      </c>
      <c r="AB1176">
        <v>32</v>
      </c>
      <c r="AC1176">
        <v>-21.261600000000001</v>
      </c>
      <c r="AD1176">
        <v>-1.110287355791</v>
      </c>
      <c r="AE1176">
        <v>0.103099999999983</v>
      </c>
      <c r="AF1176">
        <v>-0.90499539021226505</v>
      </c>
      <c r="AG1176">
        <v>-1.110287355791</v>
      </c>
      <c r="AH1176">
        <v>21.184707210503099</v>
      </c>
      <c r="AI1176">
        <v>92.997389610946499</v>
      </c>
      <c r="AJ1176">
        <v>92.446147018078406</v>
      </c>
      <c r="AK1176">
        <v>21.233077362065899</v>
      </c>
    </row>
    <row r="1177" spans="1:37" x14ac:dyDescent="0.2">
      <c r="A1177" t="str">
        <f>"20200111154048872"</f>
        <v>20200111154048872</v>
      </c>
      <c r="B1177" t="str">
        <f>"1578728448867275"</f>
        <v>1578728448867275</v>
      </c>
      <c r="C1177" t="s">
        <v>37</v>
      </c>
      <c r="D1177">
        <v>5.4052199999999999</v>
      </c>
      <c r="E1177">
        <v>0.49966359999999899</v>
      </c>
      <c r="F1177" t="s">
        <v>44</v>
      </c>
      <c r="G1177">
        <v>-258.15600000000001</v>
      </c>
      <c r="H1177" s="1">
        <v>2.8034199999999998E-6</v>
      </c>
      <c r="I1177">
        <v>282.61720000000003</v>
      </c>
      <c r="J1177">
        <v>-236.88839999999999</v>
      </c>
      <c r="K1177">
        <v>1.1102430000000001</v>
      </c>
      <c r="L1177">
        <v>282.50490000000002</v>
      </c>
      <c r="M1177">
        <v>-0.998841599999999</v>
      </c>
      <c r="N1177">
        <v>0</v>
      </c>
      <c r="O1177">
        <v>4.727E-2</v>
      </c>
      <c r="P1177">
        <v>-0.99824480000000004</v>
      </c>
      <c r="Q1177">
        <v>5.8923360000000001E-2</v>
      </c>
      <c r="R1177">
        <v>5.9522219999999897E-3</v>
      </c>
      <c r="S1177">
        <v>-3.0140380000000002</v>
      </c>
      <c r="T1177">
        <v>-0.15520999999999999</v>
      </c>
      <c r="U1177">
        <v>1.7608639999999998E-2</v>
      </c>
      <c r="V1177">
        <v>-4.1285370000000002E-2</v>
      </c>
      <c r="W1177">
        <v>6.7878309999999997E-2</v>
      </c>
      <c r="X1177">
        <v>0.99683899999999903</v>
      </c>
      <c r="Y1177">
        <v>-4.1318199999999999E-2</v>
      </c>
      <c r="Z1177">
        <v>-3.495045E-3</v>
      </c>
      <c r="AA1177">
        <v>0.99913989999999997</v>
      </c>
      <c r="AB1177">
        <v>32</v>
      </c>
      <c r="AC1177">
        <v>-21.267600000000002</v>
      </c>
      <c r="AD1177">
        <v>-1.1102401965799999</v>
      </c>
      <c r="AE1177">
        <v>0.11230000000000399</v>
      </c>
      <c r="AF1177">
        <v>-0.89075829868907497</v>
      </c>
      <c r="AG1177">
        <v>-1.1102401965799999</v>
      </c>
      <c r="AH1177">
        <v>21.191383740240301</v>
      </c>
      <c r="AI1177">
        <v>92.996406638373202</v>
      </c>
      <c r="AJ1177">
        <v>92.406953003743396</v>
      </c>
      <c r="AK1177">
        <v>21.239134362466501</v>
      </c>
    </row>
    <row r="1178" spans="1:37" x14ac:dyDescent="0.2">
      <c r="A1178" t="str">
        <f>"20200111154048894"</f>
        <v>20200111154048894</v>
      </c>
      <c r="B1178" t="str">
        <f>"1578728448887772"</f>
        <v>1578728448887772</v>
      </c>
      <c r="C1178" t="s">
        <v>37</v>
      </c>
      <c r="D1178">
        <v>6.5681789999999998</v>
      </c>
      <c r="E1178">
        <v>0.49972759999999999</v>
      </c>
      <c r="F1178" t="s">
        <v>44</v>
      </c>
      <c r="G1178">
        <v>-258.6019</v>
      </c>
      <c r="H1178" s="1">
        <v>3.0407299999999999E-6</v>
      </c>
      <c r="I1178">
        <v>282.64769999999999</v>
      </c>
      <c r="J1178">
        <v>-237.21449999999999</v>
      </c>
      <c r="K1178">
        <v>1.1101840000000001</v>
      </c>
      <c r="L1178">
        <v>282.52010000000001</v>
      </c>
      <c r="M1178">
        <v>-0.99885440000000003</v>
      </c>
      <c r="N1178">
        <v>0</v>
      </c>
      <c r="O1178">
        <v>4.7037389999999998E-2</v>
      </c>
      <c r="P1178">
        <v>-0.99823949999999995</v>
      </c>
      <c r="Q1178">
        <v>5.88862E-2</v>
      </c>
      <c r="R1178">
        <v>7.0955050000000002E-3</v>
      </c>
      <c r="S1178">
        <v>-3.0142519999999999</v>
      </c>
      <c r="T1178">
        <v>-0.15412239999999999</v>
      </c>
      <c r="U1178">
        <v>1.9836429999999999E-2</v>
      </c>
      <c r="V1178">
        <v>-3.9904660000000002E-2</v>
      </c>
      <c r="W1178">
        <v>6.7643750000000002E-2</v>
      </c>
      <c r="X1178">
        <v>0.996911199999999</v>
      </c>
      <c r="Y1178">
        <v>-4.0350619999999997E-2</v>
      </c>
      <c r="Z1178">
        <v>-3.4337220000000002E-3</v>
      </c>
      <c r="AA1178">
        <v>0.999179699999999</v>
      </c>
      <c r="AB1178">
        <v>32</v>
      </c>
      <c r="AC1178">
        <v>-21.3874</v>
      </c>
      <c r="AD1178">
        <v>-1.11018095927</v>
      </c>
      <c r="AE1178">
        <v>0.12759999999997201</v>
      </c>
      <c r="AF1178">
        <v>-0.87622676995135695</v>
      </c>
      <c r="AG1178">
        <v>-1.11018095927</v>
      </c>
      <c r="AH1178">
        <v>21.312304201909601</v>
      </c>
      <c r="AI1178">
        <v>92.979391435829697</v>
      </c>
      <c r="AJ1178">
        <v>92.3543131133722</v>
      </c>
      <c r="AK1178">
        <v>21.359180356685901</v>
      </c>
    </row>
    <row r="1179" spans="1:37" x14ac:dyDescent="0.2">
      <c r="A1179" t="str">
        <f>"20200111154048918"</f>
        <v>20200111154048918</v>
      </c>
      <c r="B1179" t="str">
        <f>"1578728448907291"</f>
        <v>1578728448907291</v>
      </c>
      <c r="C1179" t="s">
        <v>37</v>
      </c>
      <c r="D1179">
        <v>5.484076</v>
      </c>
      <c r="E1179">
        <v>0.49963839999999998</v>
      </c>
      <c r="F1179" t="s">
        <v>44</v>
      </c>
      <c r="G1179">
        <v>-258.7885</v>
      </c>
      <c r="H1179" s="1">
        <v>3.1400309999999998E-6</v>
      </c>
      <c r="I1179">
        <v>282.68830000000003</v>
      </c>
      <c r="J1179">
        <v>-237.5581</v>
      </c>
      <c r="K1179">
        <v>1.1101219999999901</v>
      </c>
      <c r="L1179">
        <v>282.53609999999998</v>
      </c>
      <c r="M1179">
        <v>-0.99886549999999996</v>
      </c>
      <c r="N1179">
        <v>0</v>
      </c>
      <c r="O1179">
        <v>4.683441E-2</v>
      </c>
      <c r="P1179">
        <v>-0.99828309999999998</v>
      </c>
      <c r="Q1179">
        <v>5.7979299999999998E-2</v>
      </c>
      <c r="R1179">
        <v>8.3291819999999992E-3</v>
      </c>
      <c r="S1179">
        <v>-3.0142820000000001</v>
      </c>
      <c r="T1179">
        <v>-0.15511259999999999</v>
      </c>
      <c r="U1179">
        <v>2.3498539999999998E-2</v>
      </c>
      <c r="V1179">
        <v>-3.8466159999999999E-2</v>
      </c>
      <c r="W1179">
        <v>6.6548549999999998E-2</v>
      </c>
      <c r="X1179">
        <v>0.99704150000000002</v>
      </c>
      <c r="Y1179">
        <v>-3.893435E-2</v>
      </c>
      <c r="Z1179">
        <v>-3.4088389999999999E-3</v>
      </c>
      <c r="AA1179">
        <v>0.99923589999999995</v>
      </c>
      <c r="AB1179">
        <v>32</v>
      </c>
      <c r="AC1179">
        <v>-21.230399999999999</v>
      </c>
      <c r="AD1179">
        <v>-1.11011885996899</v>
      </c>
      <c r="AE1179">
        <v>0.15220000000004999</v>
      </c>
      <c r="AF1179">
        <v>-0.84002057531150998</v>
      </c>
      <c r="AG1179">
        <v>-1.11011885996899</v>
      </c>
      <c r="AH1179">
        <v>21.156388109392299</v>
      </c>
      <c r="AI1179">
        <v>93.001311277671505</v>
      </c>
      <c r="AJ1179">
        <v>92.273751314788896</v>
      </c>
      <c r="AK1179">
        <v>21.2021403703834</v>
      </c>
    </row>
    <row r="1180" spans="1:37" x14ac:dyDescent="0.2">
      <c r="A1180" t="str">
        <f>"20200111154048939"</f>
        <v>20200111154048939</v>
      </c>
      <c r="B1180" t="str">
        <f>"1578728448927713"</f>
        <v>1578728448927713</v>
      </c>
      <c r="C1180" t="s">
        <v>37</v>
      </c>
      <c r="D1180">
        <v>5.5118650000000002</v>
      </c>
      <c r="E1180">
        <v>0.49942999999999999</v>
      </c>
      <c r="F1180" t="s">
        <v>44</v>
      </c>
      <c r="G1180">
        <v>-259.34609999999998</v>
      </c>
      <c r="H1180" s="1">
        <v>3.4367390000000001E-6</v>
      </c>
      <c r="I1180">
        <v>282.72710000000001</v>
      </c>
      <c r="J1180">
        <v>-237.86</v>
      </c>
      <c r="K1180">
        <v>1.110077</v>
      </c>
      <c r="L1180">
        <v>282.55</v>
      </c>
      <c r="M1180">
        <v>-0.99887409999999999</v>
      </c>
      <c r="N1180">
        <v>0</v>
      </c>
      <c r="O1180">
        <v>4.6680649999999997E-2</v>
      </c>
      <c r="P1180">
        <v>-0.99838039999999995</v>
      </c>
      <c r="Q1180">
        <v>5.6117029999999998E-2</v>
      </c>
      <c r="R1180">
        <v>9.3597960000000001E-3</v>
      </c>
      <c r="S1180">
        <v>-3.0138400000000001</v>
      </c>
      <c r="T1180">
        <v>-0.15355769999999999</v>
      </c>
      <c r="U1180">
        <v>2.6428219999999999E-2</v>
      </c>
      <c r="V1180">
        <v>-3.728298E-2</v>
      </c>
      <c r="W1180">
        <v>6.4533950000000007E-2</v>
      </c>
      <c r="X1180">
        <v>0.99721879999999996</v>
      </c>
      <c r="Y1180">
        <v>-3.7811909999999997E-2</v>
      </c>
      <c r="Z1180">
        <v>-3.3387769999999998E-3</v>
      </c>
      <c r="AA1180">
        <v>0.99927929999999998</v>
      </c>
      <c r="AB1180">
        <v>32</v>
      </c>
      <c r="AC1180">
        <v>-21.486099999999901</v>
      </c>
      <c r="AD1180">
        <v>-1.1100735632609999</v>
      </c>
      <c r="AE1180">
        <v>0.17709999999999501</v>
      </c>
      <c r="AF1180">
        <v>-0.823914943087665</v>
      </c>
      <c r="AG1180">
        <v>-1.1100735632609999</v>
      </c>
      <c r="AH1180">
        <v>21.413788247830801</v>
      </c>
      <c r="AI1180">
        <v>92.965320647673295</v>
      </c>
      <c r="AJ1180">
        <v>92.203420249834707</v>
      </c>
      <c r="AK1180">
        <v>21.458364948714799</v>
      </c>
    </row>
    <row r="1181" spans="1:37" x14ac:dyDescent="0.2">
      <c r="A1181" t="str">
        <f>"20200111154048961"</f>
        <v>20200111154048961</v>
      </c>
      <c r="B1181" t="str">
        <f>"1578728448957966"</f>
        <v>1578728448957966</v>
      </c>
      <c r="C1181" t="s">
        <v>37</v>
      </c>
      <c r="D1181">
        <v>5.8099169999999898</v>
      </c>
      <c r="E1181">
        <v>0.49918820000000003</v>
      </c>
      <c r="F1181" t="s">
        <v>44</v>
      </c>
      <c r="G1181">
        <v>-259.30720000000002</v>
      </c>
      <c r="H1181" s="1">
        <v>3.4160559999999998E-6</v>
      </c>
      <c r="I1181">
        <v>282.74680000000001</v>
      </c>
      <c r="J1181">
        <v>-238.17760000000001</v>
      </c>
      <c r="K1181">
        <v>1.110033</v>
      </c>
      <c r="L1181">
        <v>282.56470000000002</v>
      </c>
      <c r="M1181">
        <v>-0.99888239999999995</v>
      </c>
      <c r="N1181">
        <v>0</v>
      </c>
      <c r="O1181">
        <v>4.6533579999999998E-2</v>
      </c>
      <c r="P1181">
        <v>-0.99848320000000002</v>
      </c>
      <c r="Q1181">
        <v>5.4083890000000003E-2</v>
      </c>
      <c r="R1181">
        <v>1.0327869999999999E-2</v>
      </c>
      <c r="S1181">
        <v>-3.0133669999999899</v>
      </c>
      <c r="T1181">
        <v>-0.15596660000000001</v>
      </c>
      <c r="U1181">
        <v>2.7648929999999999E-2</v>
      </c>
      <c r="V1181">
        <v>-3.6170050000000002E-2</v>
      </c>
      <c r="W1181">
        <v>6.2355880000000002E-2</v>
      </c>
      <c r="X1181">
        <v>0.99739840000000002</v>
      </c>
      <c r="Y1181">
        <v>-3.7256020000000001E-2</v>
      </c>
      <c r="Z1181">
        <v>-3.3696249999999998E-3</v>
      </c>
      <c r="AA1181">
        <v>0.99930010000000002</v>
      </c>
      <c r="AB1181">
        <v>32</v>
      </c>
      <c r="AC1181">
        <v>-21.1296</v>
      </c>
      <c r="AD1181">
        <v>-1.110029583944</v>
      </c>
      <c r="AE1181">
        <v>0.18209999999999099</v>
      </c>
      <c r="AF1181">
        <v>-0.79916151744889896</v>
      </c>
      <c r="AG1181">
        <v>-1.110029583944</v>
      </c>
      <c r="AH1181">
        <v>21.057073151876502</v>
      </c>
      <c r="AI1181">
        <v>93.015403309274703</v>
      </c>
      <c r="AJ1181">
        <v>92.173455761405194</v>
      </c>
      <c r="AK1181">
        <v>21.101449109757301</v>
      </c>
    </row>
    <row r="1182" spans="1:37" x14ac:dyDescent="0.2">
      <c r="A1182" t="str">
        <f>"20200111154048985"</f>
        <v>20200111154048985</v>
      </c>
      <c r="B1182" t="str">
        <f>"1578728448977486"</f>
        <v>1578728448977486</v>
      </c>
      <c r="C1182" t="s">
        <v>37</v>
      </c>
      <c r="D1182">
        <v>5.8049660000000003</v>
      </c>
      <c r="E1182">
        <v>0.499079299999999</v>
      </c>
      <c r="F1182" t="s">
        <v>44</v>
      </c>
      <c r="G1182">
        <v>-259.26870000000002</v>
      </c>
      <c r="H1182" s="1">
        <v>3.3955529999999999E-6</v>
      </c>
      <c r="I1182">
        <v>282.76440000000002</v>
      </c>
      <c r="J1182">
        <v>-238.50749999999999</v>
      </c>
      <c r="K1182">
        <v>1.1099950000000001</v>
      </c>
      <c r="L1182">
        <v>282.57990000000001</v>
      </c>
      <c r="M1182">
        <v>-0.9988901</v>
      </c>
      <c r="N1182">
        <v>0</v>
      </c>
      <c r="O1182">
        <v>4.6390069999999999E-2</v>
      </c>
      <c r="P1182">
        <v>-0.9985581</v>
      </c>
      <c r="Q1182">
        <v>5.2541619999999997E-2</v>
      </c>
      <c r="R1182">
        <v>1.1017020000000001E-2</v>
      </c>
      <c r="S1182">
        <v>-3.0128629999999998</v>
      </c>
      <c r="T1182">
        <v>-0.15856799999999999</v>
      </c>
      <c r="U1182">
        <v>2.8533940000000001E-2</v>
      </c>
      <c r="V1182">
        <v>-3.5339490000000001E-2</v>
      </c>
      <c r="W1182">
        <v>6.067964E-2</v>
      </c>
      <c r="X1182">
        <v>0.99753150000000002</v>
      </c>
      <c r="Y1182">
        <v>-3.6814350000000003E-2</v>
      </c>
      <c r="Z1182">
        <v>-3.4071570000000001E-3</v>
      </c>
      <c r="AA1182">
        <v>0.99931630000000005</v>
      </c>
      <c r="AB1182">
        <v>32</v>
      </c>
      <c r="AC1182">
        <v>-20.761199999999999</v>
      </c>
      <c r="AD1182">
        <v>-1.109991604447</v>
      </c>
      <c r="AE1182">
        <v>0.18450000000001399</v>
      </c>
      <c r="AF1182">
        <v>-0.77662441971611496</v>
      </c>
      <c r="AG1182">
        <v>-1.109991604447</v>
      </c>
      <c r="AH1182">
        <v>20.6882740253217</v>
      </c>
      <c r="AI1182">
        <v>93.068998328771499</v>
      </c>
      <c r="AJ1182">
        <v>92.149837014283094</v>
      </c>
      <c r="AK1182">
        <v>20.732580857144701</v>
      </c>
    </row>
    <row r="1183" spans="1:37" x14ac:dyDescent="0.2">
      <c r="A1183" t="str">
        <f>"20200111154049007"</f>
        <v>20200111154049007</v>
      </c>
      <c r="B1183" t="str">
        <f>"1578728448997008"</f>
        <v>1578728448997008</v>
      </c>
      <c r="C1183" t="s">
        <v>37</v>
      </c>
      <c r="D1183">
        <v>5.5204889999999898</v>
      </c>
      <c r="E1183">
        <v>0.49898159999999903</v>
      </c>
      <c r="F1183" t="s">
        <v>44</v>
      </c>
      <c r="G1183">
        <v>-259.2149</v>
      </c>
      <c r="H1183" s="1">
        <v>3.366927E-6</v>
      </c>
      <c r="I1183">
        <v>282.78359999999998</v>
      </c>
      <c r="J1183">
        <v>-238.84110000000001</v>
      </c>
      <c r="K1183">
        <v>1.109972</v>
      </c>
      <c r="L1183">
        <v>282.59530000000001</v>
      </c>
      <c r="M1183">
        <v>-0.99889760000000005</v>
      </c>
      <c r="N1183">
        <v>0</v>
      </c>
      <c r="O1183">
        <v>4.6248940000000002E-2</v>
      </c>
      <c r="P1183">
        <v>-0.99860319999999902</v>
      </c>
      <c r="Q1183">
        <v>5.1508199999999997E-2</v>
      </c>
      <c r="R1183">
        <v>1.17843999999999E-2</v>
      </c>
      <c r="S1183">
        <v>-3.0124970000000002</v>
      </c>
      <c r="T1183">
        <v>-0.16148090000000001</v>
      </c>
      <c r="U1183">
        <v>2.963257E-2</v>
      </c>
      <c r="V1183">
        <v>-3.4432900000000002E-2</v>
      </c>
      <c r="W1183">
        <v>5.9526349999999999E-2</v>
      </c>
      <c r="X1183">
        <v>0.99763269999999904</v>
      </c>
      <c r="Y1183">
        <v>-3.630419E-2</v>
      </c>
      <c r="Z1183">
        <v>-3.448848E-3</v>
      </c>
      <c r="AA1183">
        <v>0.99933479999999997</v>
      </c>
      <c r="AB1183">
        <v>32</v>
      </c>
      <c r="AC1183">
        <v>-20.3737999999999</v>
      </c>
      <c r="AD1183">
        <v>-1.1099686330730001</v>
      </c>
      <c r="AE1183">
        <v>0.18829999999996899</v>
      </c>
      <c r="AF1183">
        <v>-0.75196688818837598</v>
      </c>
      <c r="AG1183">
        <v>-1.1099686330730001</v>
      </c>
      <c r="AH1183">
        <v>20.3004579886843</v>
      </c>
      <c r="AI1183">
        <v>93.127505806004507</v>
      </c>
      <c r="AJ1183">
        <v>92.121372819776894</v>
      </c>
      <c r="AK1183">
        <v>20.344681838693798</v>
      </c>
    </row>
    <row r="1184" spans="1:37" x14ac:dyDescent="0.2">
      <c r="A1184" t="str">
        <f>"20200111154049029"</f>
        <v>20200111154049029</v>
      </c>
      <c r="B1184" t="str">
        <f>"1578728449017139"</f>
        <v>1578728449017139</v>
      </c>
      <c r="C1184" t="s">
        <v>37</v>
      </c>
      <c r="D1184">
        <v>5.7424580000000001</v>
      </c>
      <c r="E1184">
        <v>0.4989672</v>
      </c>
      <c r="F1184" t="s">
        <v>44</v>
      </c>
      <c r="G1184">
        <v>-259.33019999999999</v>
      </c>
      <c r="H1184" s="1">
        <v>3.4282679999999998E-6</v>
      </c>
      <c r="I1184">
        <v>282.80450000000002</v>
      </c>
      <c r="J1184">
        <v>-239.15790000000001</v>
      </c>
      <c r="K1184">
        <v>1.109952</v>
      </c>
      <c r="L1184">
        <v>282.60980000000001</v>
      </c>
      <c r="M1184">
        <v>-0.99890460000000003</v>
      </c>
      <c r="N1184">
        <v>0</v>
      </c>
      <c r="O1184">
        <v>4.6114719999999998E-2</v>
      </c>
      <c r="P1184">
        <v>-0.99865099999999996</v>
      </c>
      <c r="Q1184">
        <v>5.0447020000000002E-2</v>
      </c>
      <c r="R1184">
        <v>1.230207E-2</v>
      </c>
      <c r="S1184">
        <v>-3.012238</v>
      </c>
      <c r="T1184">
        <v>-0.16318369999999999</v>
      </c>
      <c r="U1184">
        <v>3.0761719999999999E-2</v>
      </c>
      <c r="V1184">
        <v>-3.378254E-2</v>
      </c>
      <c r="W1184">
        <v>5.8364890000000003E-2</v>
      </c>
      <c r="X1184">
        <v>0.99772349999999999</v>
      </c>
      <c r="Y1184">
        <v>-3.5792890000000001E-2</v>
      </c>
      <c r="Z1184">
        <v>-3.464352E-3</v>
      </c>
      <c r="AA1184">
        <v>0.99935319999999905</v>
      </c>
      <c r="AB1184">
        <v>33</v>
      </c>
      <c r="AC1184">
        <v>-20.1722999999999</v>
      </c>
      <c r="AD1184">
        <v>-1.1099485717319999</v>
      </c>
      <c r="AE1184">
        <v>0.194700000000011</v>
      </c>
      <c r="AF1184">
        <v>-0.73355574201006601</v>
      </c>
      <c r="AG1184">
        <v>-1.1099485717319999</v>
      </c>
      <c r="AH1184">
        <v>20.098971701135401</v>
      </c>
      <c r="AI1184">
        <v>93.1588010308419</v>
      </c>
      <c r="AJ1184">
        <v>92.090206494160896</v>
      </c>
      <c r="AK1184">
        <v>20.1429579084495</v>
      </c>
    </row>
    <row r="1185" spans="1:37" x14ac:dyDescent="0.2">
      <c r="A1185" t="str">
        <f>"20200111154049051"</f>
        <v>20200111154049051</v>
      </c>
      <c r="B1185" t="str">
        <f>"1578728449047391"</f>
        <v>1578728449047391</v>
      </c>
      <c r="C1185" t="s">
        <v>37</v>
      </c>
      <c r="D1185">
        <v>5.5506869999999999</v>
      </c>
      <c r="E1185">
        <v>0.49889209999999901</v>
      </c>
      <c r="F1185" t="s">
        <v>44</v>
      </c>
      <c r="G1185">
        <v>-259.23430000000002</v>
      </c>
      <c r="H1185" s="1">
        <v>3.3772219999999998E-6</v>
      </c>
      <c r="I1185">
        <v>282.8252</v>
      </c>
      <c r="J1185">
        <v>-239.47710000000001</v>
      </c>
      <c r="K1185">
        <v>1.109931</v>
      </c>
      <c r="L1185">
        <v>282.62439999999998</v>
      </c>
      <c r="M1185">
        <v>-0.99891149999999995</v>
      </c>
      <c r="N1185">
        <v>0</v>
      </c>
      <c r="O1185">
        <v>4.5977990000000003E-2</v>
      </c>
      <c r="P1185">
        <v>-0.99869859999999899</v>
      </c>
      <c r="Q1185">
        <v>4.939292E-2</v>
      </c>
      <c r="R1185">
        <v>1.269263E-2</v>
      </c>
      <c r="S1185">
        <v>-3.012054</v>
      </c>
      <c r="T1185">
        <v>-0.166525799999999</v>
      </c>
      <c r="U1185">
        <v>3.2318119999999999E-2</v>
      </c>
      <c r="V1185">
        <v>-3.3257599999999998E-2</v>
      </c>
      <c r="W1185">
        <v>5.7221910000000001E-2</v>
      </c>
      <c r="X1185">
        <v>0.99780740000000001</v>
      </c>
      <c r="Y1185">
        <v>-3.5135329999999999E-2</v>
      </c>
      <c r="Z1185">
        <v>-3.509683E-3</v>
      </c>
      <c r="AA1185">
        <v>0.99937640000000005</v>
      </c>
      <c r="AB1185">
        <v>33</v>
      </c>
      <c r="AC1185">
        <v>-19.757200000000001</v>
      </c>
      <c r="AD1185">
        <v>-1.1099276227779999</v>
      </c>
      <c r="AE1185">
        <v>0.20080000000001499</v>
      </c>
      <c r="AF1185">
        <v>-0.70561011795215001</v>
      </c>
      <c r="AG1185">
        <v>-1.1099276227779999</v>
      </c>
      <c r="AH1185">
        <v>19.683422521105399</v>
      </c>
      <c r="AI1185">
        <v>93.225363873919093</v>
      </c>
      <c r="AJ1185">
        <v>92.053056431869194</v>
      </c>
      <c r="AK1185">
        <v>19.727314746582302</v>
      </c>
    </row>
    <row r="1186" spans="1:37" x14ac:dyDescent="0.2">
      <c r="A1186" t="str">
        <f>"20200111154049074"</f>
        <v>20200111154049074</v>
      </c>
      <c r="B1186" t="str">
        <f>"1578728449067888"</f>
        <v>1578728449067888</v>
      </c>
      <c r="C1186" t="s">
        <v>37</v>
      </c>
      <c r="D1186">
        <v>5.4437300000000004</v>
      </c>
      <c r="E1186">
        <v>0.49881199999999998</v>
      </c>
      <c r="F1186" t="s">
        <v>44</v>
      </c>
      <c r="G1186">
        <v>-259.14530000000002</v>
      </c>
      <c r="H1186" s="1">
        <v>3.3298860000000001E-6</v>
      </c>
      <c r="I1186">
        <v>282.83940000000001</v>
      </c>
      <c r="J1186">
        <v>-239.81450000000001</v>
      </c>
      <c r="K1186">
        <v>1.109912</v>
      </c>
      <c r="L1186">
        <v>282.63979999999998</v>
      </c>
      <c r="M1186">
        <v>-0.99891909999999895</v>
      </c>
      <c r="N1186">
        <v>0</v>
      </c>
      <c r="O1186">
        <v>4.5830849999999999E-2</v>
      </c>
      <c r="P1186">
        <v>-0.99870619999999999</v>
      </c>
      <c r="Q1186">
        <v>4.9064320000000002E-2</v>
      </c>
      <c r="R1186">
        <v>1.337375E-2</v>
      </c>
      <c r="S1186">
        <v>-3.01188699999999</v>
      </c>
      <c r="T1186">
        <v>-0.16996849999999999</v>
      </c>
      <c r="U1186">
        <v>3.2928470000000001E-2</v>
      </c>
      <c r="V1186">
        <v>-3.243E-2</v>
      </c>
      <c r="W1186">
        <v>5.681108E-2</v>
      </c>
      <c r="X1186">
        <v>0.99785809999999997</v>
      </c>
      <c r="Y1186">
        <v>-3.4780599999999898E-2</v>
      </c>
      <c r="Z1186">
        <v>-3.5640259999999901E-3</v>
      </c>
      <c r="AA1186">
        <v>0.99938859999999996</v>
      </c>
      <c r="AB1186">
        <v>33</v>
      </c>
      <c r="AC1186">
        <v>-19.3308</v>
      </c>
      <c r="AD1186">
        <v>-1.109908670114</v>
      </c>
      <c r="AE1186">
        <v>0.199600000000032</v>
      </c>
      <c r="AF1186">
        <v>-0.68432763866639701</v>
      </c>
      <c r="AG1186">
        <v>-1.109908670114</v>
      </c>
      <c r="AH1186">
        <v>19.256160022403499</v>
      </c>
      <c r="AI1186">
        <v>93.296753402567305</v>
      </c>
      <c r="AJ1186">
        <v>92.035327473365797</v>
      </c>
      <c r="AK1186">
        <v>19.300256484861698</v>
      </c>
    </row>
    <row r="1187" spans="1:37" x14ac:dyDescent="0.2">
      <c r="A1187" t="str">
        <f>"20200111154049096"</f>
        <v>20200111154049096</v>
      </c>
      <c r="B1187" t="str">
        <f>"1578728449087408"</f>
        <v>1578728449087408</v>
      </c>
      <c r="C1187" t="s">
        <v>37</v>
      </c>
      <c r="D1187">
        <v>5.4958849999999897</v>
      </c>
      <c r="E1187">
        <v>0.49875009999999997</v>
      </c>
      <c r="F1187" t="s">
        <v>44</v>
      </c>
      <c r="G1187">
        <v>-259.12009999999998</v>
      </c>
      <c r="H1187" s="1">
        <v>3.3164749999999999E-6</v>
      </c>
      <c r="I1187">
        <v>282.85730000000001</v>
      </c>
      <c r="J1187">
        <v>-240.1379</v>
      </c>
      <c r="K1187">
        <v>1.1098950000000001</v>
      </c>
      <c r="L1187">
        <v>282.65449999999998</v>
      </c>
      <c r="M1187">
        <v>-0.99892610000000004</v>
      </c>
      <c r="N1187">
        <v>0</v>
      </c>
      <c r="O1187">
        <v>4.5688230000000003E-2</v>
      </c>
      <c r="P1187">
        <v>-0.99872479999999997</v>
      </c>
      <c r="Q1187">
        <v>4.8391759999999999E-2</v>
      </c>
      <c r="R1187">
        <v>1.438994E-2</v>
      </c>
      <c r="S1187">
        <v>-3.0119319999999998</v>
      </c>
      <c r="T1187">
        <v>-0.17316099999999901</v>
      </c>
      <c r="U1187">
        <v>3.3935550000000002E-2</v>
      </c>
      <c r="V1187">
        <v>-3.12722E-2</v>
      </c>
      <c r="W1187">
        <v>5.6069819999999999E-2</v>
      </c>
      <c r="X1187">
        <v>0.99793699999999996</v>
      </c>
      <c r="Y1187">
        <v>-3.4300120000000003E-2</v>
      </c>
      <c r="Z1187">
        <v>-3.6088069999999999E-3</v>
      </c>
      <c r="AA1187">
        <v>0.99940509999999905</v>
      </c>
      <c r="AB1187">
        <v>33</v>
      </c>
      <c r="AC1187">
        <v>-18.982199999999899</v>
      </c>
      <c r="AD1187">
        <v>-1.1098916835249999</v>
      </c>
      <c r="AE1187">
        <v>0.20280000000002399</v>
      </c>
      <c r="AF1187">
        <v>-0.66243614354914304</v>
      </c>
      <c r="AG1187">
        <v>-1.1098916835249999</v>
      </c>
      <c r="AH1187">
        <v>18.907011383185701</v>
      </c>
      <c r="AI1187">
        <v>93.357503235435701</v>
      </c>
      <c r="AJ1187">
        <v>92.006624701411894</v>
      </c>
      <c r="AK1187">
        <v>18.951141407243799</v>
      </c>
    </row>
    <row r="1188" spans="1:37" x14ac:dyDescent="0.2">
      <c r="A1188" t="str">
        <f>"20200111154049121"</f>
        <v>20200111154049121</v>
      </c>
      <c r="B1188" t="str">
        <f>"1578728449117663"</f>
        <v>1578728449117663</v>
      </c>
      <c r="C1188" t="s">
        <v>37</v>
      </c>
      <c r="D1188">
        <v>5.5886230000000001</v>
      </c>
      <c r="E1188">
        <v>0.49869380000000002</v>
      </c>
      <c r="F1188" t="s">
        <v>44</v>
      </c>
      <c r="G1188">
        <v>-259.03339999999997</v>
      </c>
      <c r="H1188" s="1">
        <v>3.2703449999999899E-6</v>
      </c>
      <c r="I1188">
        <v>282.88619999999997</v>
      </c>
      <c r="J1188">
        <v>-240.49599999999899</v>
      </c>
      <c r="K1188">
        <v>1.1098709999999901</v>
      </c>
      <c r="L1188">
        <v>282.67070000000001</v>
      </c>
      <c r="M1188">
        <v>-0.99893390000000004</v>
      </c>
      <c r="N1188">
        <v>0</v>
      </c>
      <c r="O1188">
        <v>4.5528890000000002E-2</v>
      </c>
      <c r="P1188">
        <v>-0.99876699999999996</v>
      </c>
      <c r="Q1188">
        <v>4.7314460000000003E-2</v>
      </c>
      <c r="R1188">
        <v>1.503968E-2</v>
      </c>
      <c r="S1188">
        <v>-3.01188699999999</v>
      </c>
      <c r="T1188">
        <v>-0.1769136</v>
      </c>
      <c r="U1188">
        <v>3.6926269999999997E-2</v>
      </c>
      <c r="V1188">
        <v>-3.0465180000000001E-2</v>
      </c>
      <c r="W1188">
        <v>5.4926219999999998E-2</v>
      </c>
      <c r="X1188">
        <v>0.99802549999999901</v>
      </c>
      <c r="Y1188">
        <v>-3.3144729999999997E-2</v>
      </c>
      <c r="Z1188">
        <v>-3.6436529999999902E-3</v>
      </c>
      <c r="AA1188">
        <v>0.99944390000000005</v>
      </c>
      <c r="AB1188">
        <v>33</v>
      </c>
      <c r="AC1188">
        <v>-18.537399999999899</v>
      </c>
      <c r="AD1188">
        <v>-1.1098677296549999</v>
      </c>
      <c r="AE1188">
        <v>0.215499999999963</v>
      </c>
      <c r="AF1188">
        <v>-0.62648984806445696</v>
      </c>
      <c r="AG1188">
        <v>-1.1098677296549999</v>
      </c>
      <c r="AH1188">
        <v>18.461817858674401</v>
      </c>
      <c r="AI1188">
        <v>93.438331258163004</v>
      </c>
      <c r="AJ1188">
        <v>91.943549423052104</v>
      </c>
      <c r="AK1188">
        <v>18.50575625458</v>
      </c>
    </row>
    <row r="1189" spans="1:37" x14ac:dyDescent="0.2">
      <c r="A1189" t="str">
        <f>"20200111154049141"</f>
        <v>20200111154049141</v>
      </c>
      <c r="B1189" t="str">
        <f>"1578728449137184"</f>
        <v>1578728449137184</v>
      </c>
      <c r="C1189" t="s">
        <v>37</v>
      </c>
      <c r="D1189">
        <v>5.4589600000000003</v>
      </c>
      <c r="E1189">
        <v>0.51382299999999903</v>
      </c>
      <c r="F1189" t="s">
        <v>44</v>
      </c>
      <c r="G1189">
        <v>-259.15879999999999</v>
      </c>
      <c r="H1189" s="1">
        <v>3.3370360000000001E-6</v>
      </c>
      <c r="I1189">
        <v>282.90879999999999</v>
      </c>
      <c r="J1189">
        <v>-240.8022</v>
      </c>
      <c r="K1189">
        <v>1.109858</v>
      </c>
      <c r="L1189">
        <v>282.68450000000001</v>
      </c>
      <c r="M1189">
        <v>-0.99894059999999996</v>
      </c>
      <c r="N1189">
        <v>0</v>
      </c>
      <c r="O1189">
        <v>4.5391420000000002E-2</v>
      </c>
      <c r="P1189">
        <v>-0.99880659999999899</v>
      </c>
      <c r="Q1189">
        <v>4.6306269999999997E-2</v>
      </c>
      <c r="R1189">
        <v>1.5540480000000001E-2</v>
      </c>
      <c r="S1189">
        <v>-3.011612</v>
      </c>
      <c r="T1189">
        <v>-0.1790996</v>
      </c>
      <c r="U1189">
        <v>3.8421629999999998E-2</v>
      </c>
      <c r="V1189">
        <v>-2.98292E-2</v>
      </c>
      <c r="W1189">
        <v>5.3868739999999998E-2</v>
      </c>
      <c r="X1189">
        <v>0.99810239999999995</v>
      </c>
      <c r="Y1189">
        <v>-3.2507840000000003E-2</v>
      </c>
      <c r="Z1189">
        <v>-3.6618309999999999E-3</v>
      </c>
      <c r="AA1189">
        <v>0.99946480000000004</v>
      </c>
      <c r="AB1189">
        <v>33</v>
      </c>
      <c r="AC1189">
        <v>-18.356599999999901</v>
      </c>
      <c r="AD1189">
        <v>-1.109854662964</v>
      </c>
      <c r="AE1189">
        <v>0.22429999999997099</v>
      </c>
      <c r="AF1189">
        <v>-0.60696876830473501</v>
      </c>
      <c r="AG1189">
        <v>-1.109854662964</v>
      </c>
      <c r="AH1189">
        <v>18.281043432946198</v>
      </c>
      <c r="AI1189">
        <v>93.472293121373696</v>
      </c>
      <c r="AJ1189">
        <v>91.901640803319097</v>
      </c>
      <c r="AK1189">
        <v>18.324757500601901</v>
      </c>
    </row>
    <row r="1190" spans="1:37" x14ac:dyDescent="0.2">
      <c r="A1190" t="str">
        <f>"20200111154049162"</f>
        <v>20200111154049162</v>
      </c>
      <c r="B1190" t="str">
        <f>"1578728449157680"</f>
        <v>1578728449157680</v>
      </c>
      <c r="C1190" t="s">
        <v>37</v>
      </c>
      <c r="D1190">
        <v>5.6896139999999997</v>
      </c>
      <c r="E1190">
        <v>0.51393069999999996</v>
      </c>
      <c r="F1190" t="s">
        <v>38</v>
      </c>
      <c r="G1190">
        <v>-241.56569999999999</v>
      </c>
      <c r="H1190">
        <v>1.046019</v>
      </c>
      <c r="I1190">
        <v>282.72559999999999</v>
      </c>
      <c r="J1190">
        <v>-241.1208</v>
      </c>
      <c r="K1190">
        <v>1.109842</v>
      </c>
      <c r="L1190">
        <v>282.69889999999998</v>
      </c>
      <c r="M1190">
        <v>-0.99894740000000004</v>
      </c>
      <c r="N1190">
        <v>0</v>
      </c>
      <c r="O1190">
        <v>4.5249270000000001E-2</v>
      </c>
      <c r="P1190">
        <v>-0.99885820000000003</v>
      </c>
      <c r="Q1190">
        <v>4.5269789999999997E-2</v>
      </c>
      <c r="R1190">
        <v>1.527732E-2</v>
      </c>
      <c r="S1190">
        <v>-3.012756</v>
      </c>
      <c r="T1190">
        <v>-0.25208530000000001</v>
      </c>
      <c r="U1190">
        <v>0.16152949999999999</v>
      </c>
      <c r="V1190">
        <v>-2.9952289999999999E-2</v>
      </c>
      <c r="W1190">
        <v>5.2787389999999997E-2</v>
      </c>
      <c r="X1190">
        <v>0.9981565</v>
      </c>
      <c r="Y1190">
        <v>8.4259709999999904E-3</v>
      </c>
      <c r="Z1190">
        <v>-3.4231750000000001E-3</v>
      </c>
      <c r="AA1190">
        <v>0.99995859999999903</v>
      </c>
      <c r="AB1190">
        <v>33</v>
      </c>
      <c r="AC1190">
        <v>-0.44489999999998903</v>
      </c>
      <c r="AD1190">
        <v>-6.3822999999999894E-2</v>
      </c>
      <c r="AE1190">
        <v>2.6700000000005199E-2</v>
      </c>
      <c r="AF1190">
        <v>6.4092560811926198E-3</v>
      </c>
      <c r="AG1190">
        <v>-6.3822999999999894E-2</v>
      </c>
      <c r="AH1190">
        <v>0.43669780144883102</v>
      </c>
      <c r="AI1190">
        <v>98.313977845040398</v>
      </c>
      <c r="AJ1190">
        <v>89.159150885652295</v>
      </c>
      <c r="AK1190">
        <v>0.441383533542832</v>
      </c>
    </row>
    <row r="1191" spans="1:37" x14ac:dyDescent="0.2">
      <c r="A1191" t="str">
        <f>"20200111154049185"</f>
        <v>20200111154049185</v>
      </c>
      <c r="B1191" t="str">
        <f>"1578728449177199"</f>
        <v>1578728449177199</v>
      </c>
      <c r="C1191" t="s">
        <v>37</v>
      </c>
      <c r="D1191">
        <v>5.4702719999999996</v>
      </c>
      <c r="E1191">
        <v>0.51305190000000001</v>
      </c>
      <c r="F1191" t="s">
        <v>44</v>
      </c>
      <c r="G1191">
        <v>-254.85310000000001</v>
      </c>
      <c r="H1191" s="1">
        <v>1.0458039999999999E-6</v>
      </c>
      <c r="I1191">
        <v>283.43599999999998</v>
      </c>
      <c r="J1191">
        <v>-241.45240000000001</v>
      </c>
      <c r="K1191">
        <v>1.109829</v>
      </c>
      <c r="L1191">
        <v>282.71370000000002</v>
      </c>
      <c r="M1191">
        <v>-0.99895440000000002</v>
      </c>
      <c r="N1191">
        <v>0</v>
      </c>
      <c r="O1191">
        <v>4.5102150000000001E-2</v>
      </c>
      <c r="P1191">
        <v>-0.99885550000000001</v>
      </c>
      <c r="Q1191">
        <v>4.5334239999999998E-2</v>
      </c>
      <c r="R1191">
        <v>1.52576E-2</v>
      </c>
      <c r="S1191">
        <v>-3.011978</v>
      </c>
      <c r="T1191">
        <v>-0.24342610000000001</v>
      </c>
      <c r="U1191">
        <v>0.1616821</v>
      </c>
      <c r="V1191">
        <v>-2.9824690000000001E-2</v>
      </c>
      <c r="W1191">
        <v>5.2811660000000003E-2</v>
      </c>
      <c r="X1191">
        <v>0.99815900000000002</v>
      </c>
      <c r="Y1191">
        <v>8.6278750000000001E-3</v>
      </c>
      <c r="Z1191">
        <v>-3.2868319999999999E-3</v>
      </c>
      <c r="AA1191">
        <v>0.9999574</v>
      </c>
      <c r="AB1191">
        <v>33</v>
      </c>
      <c r="AC1191">
        <v>-13.400700000000001</v>
      </c>
      <c r="AD1191">
        <v>-1.1098279541960001</v>
      </c>
      <c r="AE1191">
        <v>0.72229999999996097</v>
      </c>
      <c r="AF1191">
        <v>0.116351918276817</v>
      </c>
      <c r="AG1191">
        <v>-1.1098279541960001</v>
      </c>
      <c r="AH1191">
        <v>13.3284862880208</v>
      </c>
      <c r="AI1191">
        <v>94.759707601245594</v>
      </c>
      <c r="AJ1191">
        <v>89.499845340356998</v>
      </c>
      <c r="AK1191">
        <v>13.375118787762601</v>
      </c>
    </row>
    <row r="1192" spans="1:37" x14ac:dyDescent="0.2">
      <c r="A1192" t="str">
        <f>"20200111154049207"</f>
        <v>20200111154049207</v>
      </c>
      <c r="B1192" t="str">
        <f>"1578728449197698"</f>
        <v>1578728449197698</v>
      </c>
      <c r="C1192" t="s">
        <v>37</v>
      </c>
      <c r="D1192">
        <v>5.4482109999999997</v>
      </c>
      <c r="E1192">
        <v>0.51261679999999998</v>
      </c>
      <c r="F1192" t="s">
        <v>38</v>
      </c>
      <c r="G1192">
        <v>-242.44710000000001</v>
      </c>
      <c r="H1192">
        <v>1.032349</v>
      </c>
      <c r="I1192">
        <v>282.76499999999999</v>
      </c>
      <c r="J1192">
        <v>-241.7962</v>
      </c>
      <c r="K1192">
        <v>1.1098239999999999</v>
      </c>
      <c r="L1192">
        <v>282.72919999999999</v>
      </c>
      <c r="M1192">
        <v>-0.9989614</v>
      </c>
      <c r="N1192">
        <v>0</v>
      </c>
      <c r="O1192">
        <v>4.4949099999999999E-2</v>
      </c>
      <c r="P1192">
        <v>-0.998865</v>
      </c>
      <c r="Q1192">
        <v>4.5357389999999997E-2</v>
      </c>
      <c r="R1192">
        <v>1.454129E-2</v>
      </c>
      <c r="S1192">
        <v>-3.0117340000000001</v>
      </c>
      <c r="T1192">
        <v>-0.2347571</v>
      </c>
      <c r="U1192">
        <v>0.15469359999999999</v>
      </c>
      <c r="V1192">
        <v>-3.0388249999999999E-2</v>
      </c>
      <c r="W1192">
        <v>5.279785E-2</v>
      </c>
      <c r="X1192">
        <v>0.99814269999999905</v>
      </c>
      <c r="Y1192">
        <v>6.46927599999999E-3</v>
      </c>
      <c r="Z1192">
        <v>-3.2426899999999999E-3</v>
      </c>
      <c r="AA1192">
        <v>0.99997380000000002</v>
      </c>
      <c r="AB1192">
        <v>33</v>
      </c>
      <c r="AC1192">
        <v>-0.65090000000000703</v>
      </c>
      <c r="AD1192">
        <v>-7.7474999999999905E-2</v>
      </c>
      <c r="AE1192">
        <v>3.5799999999994697E-2</v>
      </c>
      <c r="AF1192">
        <v>6.41501914144923E-3</v>
      </c>
      <c r="AG1192">
        <v>-7.7474999999999905E-2</v>
      </c>
      <c r="AH1192">
        <v>0.64277226656922404</v>
      </c>
      <c r="AI1192">
        <v>96.872513973531696</v>
      </c>
      <c r="AJ1192">
        <v>89.428193562880693</v>
      </c>
      <c r="AK1192">
        <v>0.64745634197691104</v>
      </c>
    </row>
    <row r="1193" spans="1:37" x14ac:dyDescent="0.2">
      <c r="A1193" t="str">
        <f>"20200111154049229"</f>
        <v>20200111154049229</v>
      </c>
      <c r="B1193" t="str">
        <f>"1578728449227952"</f>
        <v>1578728449227952</v>
      </c>
      <c r="C1193" t="s">
        <v>37</v>
      </c>
      <c r="D1193">
        <v>5.5728919999999897</v>
      </c>
      <c r="E1193">
        <v>0.5122139</v>
      </c>
      <c r="F1193" t="s">
        <v>38</v>
      </c>
      <c r="G1193">
        <v>-242.74879999999999</v>
      </c>
      <c r="H1193">
        <v>1.037571</v>
      </c>
      <c r="I1193">
        <v>282.77640000000002</v>
      </c>
      <c r="J1193">
        <v>-242.1293</v>
      </c>
      <c r="K1193">
        <v>1.1098159999999999</v>
      </c>
      <c r="L1193">
        <v>282.74400000000003</v>
      </c>
      <c r="M1193">
        <v>-0.99896839999999998</v>
      </c>
      <c r="N1193">
        <v>0</v>
      </c>
      <c r="O1193">
        <v>4.4800630000000001E-2</v>
      </c>
      <c r="P1193">
        <v>-0.99886169999999996</v>
      </c>
      <c r="Q1193">
        <v>4.5787920000000003E-2</v>
      </c>
      <c r="R1193">
        <v>1.337443E-2</v>
      </c>
      <c r="S1193">
        <v>-3.0116269999999998</v>
      </c>
      <c r="T1193">
        <v>-0.22849839999999999</v>
      </c>
      <c r="U1193">
        <v>0.1493225</v>
      </c>
      <c r="V1193">
        <v>-3.1405620000000002E-2</v>
      </c>
      <c r="W1193">
        <v>5.3197349999999997E-2</v>
      </c>
      <c r="X1193">
        <v>0.99808999999999903</v>
      </c>
      <c r="Y1193">
        <v>4.839004E-3</v>
      </c>
      <c r="Z1193">
        <v>-3.2072680000000001E-3</v>
      </c>
      <c r="AA1193">
        <v>0.99998310000000001</v>
      </c>
      <c r="AB1193">
        <v>33</v>
      </c>
      <c r="AC1193">
        <v>-0.61949999999998795</v>
      </c>
      <c r="AD1193">
        <v>-7.2244999999999795E-2</v>
      </c>
      <c r="AE1193">
        <v>3.2399999999995502E-2</v>
      </c>
      <c r="AF1193">
        <v>4.5509890464393897E-3</v>
      </c>
      <c r="AG1193">
        <v>-7.2244999999999795E-2</v>
      </c>
      <c r="AH1193">
        <v>0.61202876358393599</v>
      </c>
      <c r="AI1193">
        <v>96.731961752567699</v>
      </c>
      <c r="AJ1193">
        <v>89.573961756797303</v>
      </c>
      <c r="AK1193">
        <v>0.61629478253542103</v>
      </c>
    </row>
    <row r="1194" spans="1:37" x14ac:dyDescent="0.2">
      <c r="A1194" t="str">
        <f>"20200111154049251"</f>
        <v>20200111154049251</v>
      </c>
      <c r="B1194" t="str">
        <f>"1578728449247471"</f>
        <v>1578728449247471</v>
      </c>
      <c r="C1194" t="s">
        <v>37</v>
      </c>
      <c r="D1194">
        <v>5.4069830000000003</v>
      </c>
      <c r="E1194">
        <v>0.51183699999999999</v>
      </c>
      <c r="F1194" t="s">
        <v>38</v>
      </c>
      <c r="G1194">
        <v>-243.05279999999999</v>
      </c>
      <c r="H1194">
        <v>1.0424739999999999</v>
      </c>
      <c r="I1194">
        <v>282.7878</v>
      </c>
      <c r="J1194">
        <v>-242.44450000000001</v>
      </c>
      <c r="K1194">
        <v>1.1098129999999999</v>
      </c>
      <c r="L1194">
        <v>282.75799999999998</v>
      </c>
      <c r="M1194">
        <v>-0.99897499999999995</v>
      </c>
      <c r="N1194">
        <v>0</v>
      </c>
      <c r="O1194">
        <v>4.4658980000000001E-2</v>
      </c>
      <c r="P1194">
        <v>-0.99885330000000006</v>
      </c>
      <c r="Q1194">
        <v>4.6280799999999997E-2</v>
      </c>
      <c r="R1194">
        <v>1.22641E-2</v>
      </c>
      <c r="S1194">
        <v>-3.0115970000000001</v>
      </c>
      <c r="T1194">
        <v>-0.2196391</v>
      </c>
      <c r="U1194">
        <v>0.14248659999999999</v>
      </c>
      <c r="V1194">
        <v>-3.237284E-2</v>
      </c>
      <c r="W1194">
        <v>5.3663519999999999E-2</v>
      </c>
      <c r="X1194">
        <v>0.99803419999999898</v>
      </c>
      <c r="Y1194">
        <v>2.7133600000000002E-3</v>
      </c>
      <c r="Z1194">
        <v>-3.1505600000000002E-3</v>
      </c>
      <c r="AA1194">
        <v>0.99999139999999997</v>
      </c>
      <c r="AB1194">
        <v>33</v>
      </c>
      <c r="AC1194">
        <v>-0.60829999999998496</v>
      </c>
      <c r="AD1194">
        <v>-6.7338999999999996E-2</v>
      </c>
      <c r="AE1194">
        <v>2.9800000000022898E-2</v>
      </c>
      <c r="AF1194">
        <v>2.5720248749914899E-3</v>
      </c>
      <c r="AG1194">
        <v>-6.7338999999999996E-2</v>
      </c>
      <c r="AH1194">
        <v>0.601668405428741</v>
      </c>
      <c r="AI1194">
        <v>96.385936118748305</v>
      </c>
      <c r="AJ1194">
        <v>89.755072277090306</v>
      </c>
      <c r="AK1194">
        <v>0.60543044713998395</v>
      </c>
    </row>
    <row r="1195" spans="1:37" x14ac:dyDescent="0.2">
      <c r="A1195" t="str">
        <f>"20200111154049287"</f>
        <v>20200111154049287</v>
      </c>
      <c r="B1195" t="str">
        <f>"1578728449277727"</f>
        <v>1578728449277727</v>
      </c>
      <c r="C1195" t="s">
        <v>37</v>
      </c>
      <c r="D1195">
        <v>5.4119989999999998</v>
      </c>
      <c r="E1195">
        <v>0.51169739999999997</v>
      </c>
      <c r="F1195" t="s">
        <v>38</v>
      </c>
      <c r="G1195">
        <v>-243.3552</v>
      </c>
      <c r="H1195">
        <v>1.044724</v>
      </c>
      <c r="I1195">
        <v>282.79899999999998</v>
      </c>
      <c r="J1195">
        <v>-242.97309999999999</v>
      </c>
      <c r="K1195">
        <v>1.1098159999999999</v>
      </c>
      <c r="L1195">
        <v>282.78140000000002</v>
      </c>
      <c r="M1195">
        <v>-0.99898580000000003</v>
      </c>
      <c r="N1195">
        <v>0</v>
      </c>
      <c r="O1195">
        <v>4.4420830000000001E-2</v>
      </c>
      <c r="P1195">
        <v>-0.99882219999999999</v>
      </c>
      <c r="Q1195">
        <v>4.7063559999999997E-2</v>
      </c>
      <c r="R1195">
        <v>1.180667E-2</v>
      </c>
      <c r="S1195">
        <v>-3.011765</v>
      </c>
      <c r="T1195">
        <v>-0.21520980000000001</v>
      </c>
      <c r="U1195">
        <v>0.13589479999999901</v>
      </c>
      <c r="V1195">
        <v>-3.2590910000000001E-2</v>
      </c>
      <c r="W1195">
        <v>5.4404389999999997E-2</v>
      </c>
      <c r="X1195">
        <v>0.99798699999999996</v>
      </c>
      <c r="Y1195">
        <v>7.6505490000000002E-4</v>
      </c>
      <c r="Z1195">
        <v>-3.1397299999999999E-3</v>
      </c>
      <c r="AA1195">
        <v>0.99999479999999996</v>
      </c>
      <c r="AB1195">
        <v>34</v>
      </c>
      <c r="AC1195">
        <v>-0.38210000000000799</v>
      </c>
      <c r="AD1195">
        <v>-6.50919999999999E-2</v>
      </c>
      <c r="AE1195">
        <v>1.7600000000015801E-2</v>
      </c>
      <c r="AF1195">
        <v>5.9182877131752198E-4</v>
      </c>
      <c r="AG1195">
        <v>-6.50919999999999E-2</v>
      </c>
      <c r="AH1195">
        <v>0.37173950555725599</v>
      </c>
      <c r="AI1195">
        <v>99.931854098067205</v>
      </c>
      <c r="AJ1195">
        <v>89.908782193888797</v>
      </c>
      <c r="AK1195">
        <v>0.37739578524043899</v>
      </c>
    </row>
    <row r="1196" spans="1:37" x14ac:dyDescent="0.2">
      <c r="A1196" t="str">
        <f>"20200111154049308"</f>
        <v>20200111154049308</v>
      </c>
      <c r="B1196" t="str">
        <f>"1578728449297247"</f>
        <v>1578728449297247</v>
      </c>
      <c r="C1196" t="s">
        <v>37</v>
      </c>
      <c r="D1196">
        <v>5.4240969999999997</v>
      </c>
      <c r="E1196">
        <v>0.51139489999999999</v>
      </c>
      <c r="F1196" t="s">
        <v>38</v>
      </c>
      <c r="G1196">
        <v>-243.95500000000001</v>
      </c>
      <c r="H1196">
        <v>1.0415700000000001</v>
      </c>
      <c r="I1196">
        <v>282.82499999999999</v>
      </c>
      <c r="J1196">
        <v>-243.31010000000001</v>
      </c>
      <c r="K1196">
        <v>1.1098170000000001</v>
      </c>
      <c r="L1196">
        <v>282.7962</v>
      </c>
      <c r="M1196">
        <v>-0.99899289999999996</v>
      </c>
      <c r="N1196">
        <v>0</v>
      </c>
      <c r="O1196">
        <v>4.4268149999999999E-2</v>
      </c>
      <c r="P1196">
        <v>-0.99879819999999997</v>
      </c>
      <c r="Q1196">
        <v>4.752137E-2</v>
      </c>
      <c r="R1196">
        <v>1.199885E-2</v>
      </c>
      <c r="S1196">
        <v>-3.0118259999999899</v>
      </c>
      <c r="T1196">
        <v>-0.20932629999999999</v>
      </c>
      <c r="U1196">
        <v>0.1337585</v>
      </c>
      <c r="V1196">
        <v>-3.2245610000000001E-2</v>
      </c>
      <c r="W1196">
        <v>5.483814E-2</v>
      </c>
      <c r="X1196">
        <v>0.99797449999999999</v>
      </c>
      <c r="Y1196">
        <v>2.041333E-4</v>
      </c>
      <c r="Z1196">
        <v>-3.0629799999999999E-3</v>
      </c>
      <c r="AA1196">
        <v>0.99999530000000003</v>
      </c>
      <c r="AB1196">
        <v>34</v>
      </c>
      <c r="AC1196">
        <v>-0.64490000000000602</v>
      </c>
      <c r="AD1196">
        <v>-6.8246999999999905E-2</v>
      </c>
      <c r="AE1196">
        <v>2.8799999999989698E-2</v>
      </c>
      <c r="AF1196">
        <v>2.20012504387346E-4</v>
      </c>
      <c r="AG1196">
        <v>-6.8246999999999905E-2</v>
      </c>
      <c r="AH1196">
        <v>0.63840737241015399</v>
      </c>
      <c r="AI1196">
        <v>96.101857170885296</v>
      </c>
      <c r="AJ1196">
        <v>89.980254320380297</v>
      </c>
      <c r="AK1196">
        <v>0.64204491631204397</v>
      </c>
    </row>
    <row r="1197" spans="1:37" x14ac:dyDescent="0.2">
      <c r="A1197" t="str">
        <f>"20200111154049331"</f>
        <v>20200111154049331</v>
      </c>
      <c r="B1197" t="str">
        <f>"1578728449327503"</f>
        <v>1578728449327503</v>
      </c>
      <c r="C1197" t="s">
        <v>37</v>
      </c>
      <c r="D1197">
        <v>5.3443170000000002</v>
      </c>
      <c r="E1197">
        <v>0.51133409999999901</v>
      </c>
      <c r="F1197" t="s">
        <v>38</v>
      </c>
      <c r="G1197">
        <v>-244.26140000000001</v>
      </c>
      <c r="H1197">
        <v>1.044907</v>
      </c>
      <c r="I1197">
        <v>282.837999999999</v>
      </c>
      <c r="J1197">
        <v>-243.64400000000001</v>
      </c>
      <c r="K1197">
        <v>1.1098159999999999</v>
      </c>
      <c r="L1197">
        <v>282.8109</v>
      </c>
      <c r="M1197">
        <v>-0.99899959999999899</v>
      </c>
      <c r="N1197">
        <v>0</v>
      </c>
      <c r="O1197">
        <v>4.4116120000000002E-2</v>
      </c>
      <c r="P1197">
        <v>-0.99874509999999905</v>
      </c>
      <c r="Q1197">
        <v>4.8562969999999997E-2</v>
      </c>
      <c r="R1197">
        <v>1.2245270000000001E-2</v>
      </c>
      <c r="S1197">
        <v>-3.0118259999999899</v>
      </c>
      <c r="T1197">
        <v>-0.20562420000000001</v>
      </c>
      <c r="U1197">
        <v>0.13220209999999999</v>
      </c>
      <c r="V1197">
        <v>-3.1845030000000003E-2</v>
      </c>
      <c r="W1197">
        <v>5.5857959999999998E-2</v>
      </c>
      <c r="X1197">
        <v>0.99793080000000001</v>
      </c>
      <c r="Y1197">
        <v>-1.626485E-4</v>
      </c>
      <c r="Z1197">
        <v>-3.011129E-3</v>
      </c>
      <c r="AA1197">
        <v>0.99999550000000004</v>
      </c>
      <c r="AB1197">
        <v>34</v>
      </c>
      <c r="AC1197">
        <v>-0.61740000000000295</v>
      </c>
      <c r="AD1197">
        <v>-6.49089999999998E-2</v>
      </c>
      <c r="AE1197">
        <v>2.70999999999617E-2</v>
      </c>
      <c r="AF1197">
        <v>-1.62613831908211E-4</v>
      </c>
      <c r="AG1197">
        <v>-6.49089999999998E-2</v>
      </c>
      <c r="AH1197">
        <v>0.61125133861371606</v>
      </c>
      <c r="AI1197">
        <v>96.061543264547396</v>
      </c>
      <c r="AJ1197">
        <v>90.015242643165607</v>
      </c>
      <c r="AK1197">
        <v>0.61468805396015203</v>
      </c>
    </row>
    <row r="1198" spans="1:37" x14ac:dyDescent="0.2">
      <c r="A1198" t="str">
        <f>"20200111154049351"</f>
        <v>20200111154049351</v>
      </c>
      <c r="B1198" t="str">
        <f>"1578728449347023"</f>
        <v>1578728449347023</v>
      </c>
      <c r="C1198" t="s">
        <v>37</v>
      </c>
      <c r="D1198">
        <v>5.361936</v>
      </c>
      <c r="E1198">
        <v>0.51129959999999997</v>
      </c>
      <c r="F1198" t="s">
        <v>44</v>
      </c>
      <c r="G1198">
        <v>-259.9658</v>
      </c>
      <c r="H1198" s="1">
        <v>-1.555016E-6</v>
      </c>
      <c r="I1198">
        <v>283.52999999999997</v>
      </c>
      <c r="J1198">
        <v>-243.96449999999999</v>
      </c>
      <c r="K1198">
        <v>1.1098049999999999</v>
      </c>
      <c r="L1198">
        <v>282.82490000000001</v>
      </c>
      <c r="M1198">
        <v>-0.99900630000000001</v>
      </c>
      <c r="N1198">
        <v>0</v>
      </c>
      <c r="O1198">
        <v>4.397015E-2</v>
      </c>
      <c r="P1198">
        <v>-0.99874779999999996</v>
      </c>
      <c r="Q1198">
        <v>4.8526420000000001E-2</v>
      </c>
      <c r="R1198">
        <v>1.2192659999999999E-2</v>
      </c>
      <c r="S1198">
        <v>-3.0121000000000002</v>
      </c>
      <c r="T1198">
        <v>-0.20481160000000001</v>
      </c>
      <c r="U1198">
        <v>0.132720899999999</v>
      </c>
      <c r="V1198">
        <v>-3.1752339999999997E-2</v>
      </c>
      <c r="W1198">
        <v>5.5802740000000003E-2</v>
      </c>
      <c r="X1198">
        <v>0.99793679999999996</v>
      </c>
      <c r="Y1198">
        <v>1.49505499999999E-4</v>
      </c>
      <c r="Z1198">
        <v>-2.978475E-3</v>
      </c>
      <c r="AA1198">
        <v>0.99999550000000004</v>
      </c>
      <c r="AB1198">
        <v>34</v>
      </c>
      <c r="AC1198">
        <v>-16.001300000000001</v>
      </c>
      <c r="AD1198">
        <v>-1.1098065550159999</v>
      </c>
      <c r="AE1198">
        <v>0.70509999999995898</v>
      </c>
      <c r="AF1198">
        <v>8.1588552046130104E-4</v>
      </c>
      <c r="AG1198">
        <v>-1.1098065550159999</v>
      </c>
      <c r="AH1198">
        <v>15.9402965193227</v>
      </c>
      <c r="AI1198">
        <v>93.982660343193203</v>
      </c>
      <c r="AJ1198">
        <v>89.997067382229005</v>
      </c>
      <c r="AK1198">
        <v>15.978883702535599</v>
      </c>
    </row>
    <row r="1199" spans="1:37" x14ac:dyDescent="0.2">
      <c r="A1199" t="str">
        <f>"20200111154049375"</f>
        <v>20200111154049375</v>
      </c>
      <c r="B1199" t="str">
        <f>"1578728449367519"</f>
        <v>1578728449367519</v>
      </c>
      <c r="C1199" t="s">
        <v>37</v>
      </c>
      <c r="D1199">
        <v>5.3903679999999996</v>
      </c>
      <c r="E1199">
        <v>0.51132639999999996</v>
      </c>
      <c r="F1199" t="s">
        <v>44</v>
      </c>
      <c r="G1199">
        <v>-260.07380000000001</v>
      </c>
      <c r="H1199" s="1">
        <v>-1.4975179999999999E-6</v>
      </c>
      <c r="I1199">
        <v>283.5342</v>
      </c>
      <c r="J1199">
        <v>-244.3186</v>
      </c>
      <c r="K1199">
        <v>1.1097999999999999</v>
      </c>
      <c r="L1199">
        <v>282.84030000000001</v>
      </c>
      <c r="M1199">
        <v>-0.9990135</v>
      </c>
      <c r="N1199">
        <v>0</v>
      </c>
      <c r="O1199">
        <v>4.3808809999999997E-2</v>
      </c>
      <c r="P1199">
        <v>-0.9987625</v>
      </c>
      <c r="Q1199">
        <v>4.819727E-2</v>
      </c>
      <c r="R1199">
        <v>1.2273320000000001E-2</v>
      </c>
      <c r="S1199">
        <v>-3.012238</v>
      </c>
      <c r="T1199">
        <v>-0.2075205</v>
      </c>
      <c r="U1199">
        <v>0.13262939999999901</v>
      </c>
      <c r="V1199">
        <v>-3.1511209999999998E-2</v>
      </c>
      <c r="W1199">
        <v>5.545518E-2</v>
      </c>
      <c r="X1199">
        <v>0.99796379999999996</v>
      </c>
      <c r="Y1199">
        <v>2.806509E-4</v>
      </c>
      <c r="Z1199">
        <v>-3.0020490000000001E-3</v>
      </c>
      <c r="AA1199">
        <v>0.99999550000000004</v>
      </c>
      <c r="AB1199">
        <v>34</v>
      </c>
      <c r="AC1199">
        <v>-15.7552</v>
      </c>
      <c r="AD1199">
        <v>-1.1098014975179999</v>
      </c>
      <c r="AE1199">
        <v>0.69389999999998497</v>
      </c>
      <c r="AF1199">
        <v>2.9842050526929201E-3</v>
      </c>
      <c r="AG1199">
        <v>-1.1098014975179999</v>
      </c>
      <c r="AH1199">
        <v>15.692758678217301</v>
      </c>
      <c r="AI1199">
        <v>94.045257499244599</v>
      </c>
      <c r="AJ1199">
        <v>89.989104378894297</v>
      </c>
      <c r="AK1199">
        <v>15.731952936687099</v>
      </c>
    </row>
    <row r="1200" spans="1:37" x14ac:dyDescent="0.2">
      <c r="A1200" t="str">
        <f>"20200111154049397"</f>
        <v>20200111154049397</v>
      </c>
      <c r="B1200" t="str">
        <f>"1578728449388015"</f>
        <v>1578728449388015</v>
      </c>
      <c r="C1200" t="s">
        <v>37</v>
      </c>
      <c r="D1200">
        <v>5.3573510000000004</v>
      </c>
      <c r="E1200">
        <v>0.51125329999999902</v>
      </c>
      <c r="F1200" t="s">
        <v>44</v>
      </c>
      <c r="G1200">
        <v>-260.38690000000003</v>
      </c>
      <c r="H1200" s="1">
        <v>-1.3308949999999999E-6</v>
      </c>
      <c r="I1200">
        <v>283.55200000000002</v>
      </c>
      <c r="J1200">
        <v>-244.65950000000001</v>
      </c>
      <c r="K1200">
        <v>1.109788</v>
      </c>
      <c r="L1200">
        <v>282.85509999999999</v>
      </c>
      <c r="M1200">
        <v>-0.99902049999999998</v>
      </c>
      <c r="N1200">
        <v>0</v>
      </c>
      <c r="O1200">
        <v>4.3653129999999998E-2</v>
      </c>
      <c r="P1200">
        <v>-0.99876919999999902</v>
      </c>
      <c r="Q1200">
        <v>4.806916E-2</v>
      </c>
      <c r="R1200">
        <v>1.223115E-2</v>
      </c>
      <c r="S1200">
        <v>-3.0121000000000002</v>
      </c>
      <c r="T1200">
        <v>-0.20803930000000001</v>
      </c>
      <c r="U1200">
        <v>0.13342290000000001</v>
      </c>
      <c r="V1200">
        <v>-3.1398200000000001E-2</v>
      </c>
      <c r="W1200">
        <v>5.5311399999999997E-2</v>
      </c>
      <c r="X1200">
        <v>0.99797530000000001</v>
      </c>
      <c r="Y1200">
        <v>7.0057059999999996E-4</v>
      </c>
      <c r="Z1200">
        <v>-2.9844519999999999E-3</v>
      </c>
      <c r="AA1200">
        <v>0.99999530000000003</v>
      </c>
      <c r="AB1200">
        <v>34</v>
      </c>
      <c r="AC1200">
        <v>-15.727399999999999</v>
      </c>
      <c r="AD1200">
        <v>-1.109789330895</v>
      </c>
      <c r="AE1200">
        <v>0.69690000000002705</v>
      </c>
      <c r="AF1200">
        <v>9.6195983098762393E-3</v>
      </c>
      <c r="AG1200">
        <v>-1.109789330895</v>
      </c>
      <c r="AH1200">
        <v>15.6649820971015</v>
      </c>
      <c r="AI1200">
        <v>94.052361561032399</v>
      </c>
      <c r="AJ1200">
        <v>89.964815643511699</v>
      </c>
      <c r="AK1200">
        <v>15.704247482708301</v>
      </c>
    </row>
    <row r="1201" spans="1:37" x14ac:dyDescent="0.2">
      <c r="A1201" t="str">
        <f>"20200111154049420"</f>
        <v>20200111154049420</v>
      </c>
      <c r="B1201" t="str">
        <f>"1578728449407535"</f>
        <v>1578728449407535</v>
      </c>
      <c r="C1201" t="s">
        <v>37</v>
      </c>
      <c r="D1201">
        <v>5.3767329999999998</v>
      </c>
      <c r="E1201">
        <v>0.51107269999999905</v>
      </c>
      <c r="F1201" t="s">
        <v>44</v>
      </c>
      <c r="G1201">
        <v>-260.81529999999998</v>
      </c>
      <c r="H1201" s="1">
        <v>-1.102913E-6</v>
      </c>
      <c r="I1201">
        <v>283.56549999999999</v>
      </c>
      <c r="J1201">
        <v>-244.99719999999999</v>
      </c>
      <c r="K1201">
        <v>1.1097790000000001</v>
      </c>
      <c r="L1201">
        <v>282.86970000000002</v>
      </c>
      <c r="M1201">
        <v>-0.99902729999999995</v>
      </c>
      <c r="N1201">
        <v>0</v>
      </c>
      <c r="O1201">
        <v>4.3499160000000002E-2</v>
      </c>
      <c r="P1201">
        <v>-0.99877579999999999</v>
      </c>
      <c r="Q1201">
        <v>4.803789E-2</v>
      </c>
      <c r="R1201">
        <v>1.1814059999999999E-2</v>
      </c>
      <c r="S1201">
        <v>-3.0120390000000001</v>
      </c>
      <c r="T1201">
        <v>-0.2069049</v>
      </c>
      <c r="U1201">
        <v>0.13244629999999999</v>
      </c>
      <c r="V1201">
        <v>-3.1661439999999999E-2</v>
      </c>
      <c r="W1201">
        <v>5.5266639999999999E-2</v>
      </c>
      <c r="X1201">
        <v>0.99796949999999995</v>
      </c>
      <c r="Y1201">
        <v>5.3093279999999997E-4</v>
      </c>
      <c r="Z1201">
        <v>-2.9635719999999998E-3</v>
      </c>
      <c r="AA1201">
        <v>0.99999550000000004</v>
      </c>
      <c r="AB1201">
        <v>34</v>
      </c>
      <c r="AC1201">
        <v>-15.8180999999999</v>
      </c>
      <c r="AD1201">
        <v>-1.1097801029130001</v>
      </c>
      <c r="AE1201">
        <v>0.695799999999962</v>
      </c>
      <c r="AF1201">
        <v>7.0148544939639904E-3</v>
      </c>
      <c r="AG1201">
        <v>-1.1097801029130001</v>
      </c>
      <c r="AH1201">
        <v>15.7559888918871</v>
      </c>
      <c r="AI1201">
        <v>94.028999344320198</v>
      </c>
      <c r="AJ1201">
        <v>89.974490872480004</v>
      </c>
      <c r="AK1201">
        <v>15.795026022336099</v>
      </c>
    </row>
    <row r="1202" spans="1:37" x14ac:dyDescent="0.2">
      <c r="A1202" t="str">
        <f>"20200111154049441"</f>
        <v>20200111154049441</v>
      </c>
      <c r="B1202" t="str">
        <f>"1578728449437791"</f>
        <v>1578728449437791</v>
      </c>
      <c r="C1202" t="s">
        <v>37</v>
      </c>
      <c r="D1202">
        <v>5.4041110000000003</v>
      </c>
      <c r="E1202">
        <v>0.51078800000000002</v>
      </c>
      <c r="F1202" t="s">
        <v>44</v>
      </c>
      <c r="G1202">
        <v>-261.1816</v>
      </c>
      <c r="H1202" s="1">
        <v>-9.0801240000000001E-7</v>
      </c>
      <c r="I1202">
        <v>283.56819999999999</v>
      </c>
      <c r="J1202">
        <v>-245.32839999999999</v>
      </c>
      <c r="K1202">
        <v>1.1097790000000001</v>
      </c>
      <c r="L1202">
        <v>282.88389999999998</v>
      </c>
      <c r="M1202">
        <v>-0.99903399999999998</v>
      </c>
      <c r="N1202">
        <v>0</v>
      </c>
      <c r="O1202">
        <v>4.3348339999999999E-2</v>
      </c>
      <c r="P1202">
        <v>-0.99877340000000003</v>
      </c>
      <c r="Q1202">
        <v>4.8071019999999999E-2</v>
      </c>
      <c r="R1202">
        <v>1.188878E-2</v>
      </c>
      <c r="S1202">
        <v>-3.01207</v>
      </c>
      <c r="T1202">
        <v>-0.206540999999999</v>
      </c>
      <c r="U1202">
        <v>0.13000490000000001</v>
      </c>
      <c r="V1202">
        <v>-3.143584E-2</v>
      </c>
      <c r="W1202">
        <v>5.5287599999999999E-2</v>
      </c>
      <c r="X1202">
        <v>0.99797549999999902</v>
      </c>
      <c r="Y1202">
        <v>-1.2670720000000001E-4</v>
      </c>
      <c r="Z1202">
        <v>-2.970604E-3</v>
      </c>
      <c r="AA1202">
        <v>0.99999559999999998</v>
      </c>
      <c r="AB1202">
        <v>34</v>
      </c>
      <c r="AC1202">
        <v>-15.853199999999999</v>
      </c>
      <c r="AD1202">
        <v>-1.1097799080124</v>
      </c>
      <c r="AE1202">
        <v>0.68430000000000701</v>
      </c>
      <c r="AF1202">
        <v>-3.5536480714880498E-3</v>
      </c>
      <c r="AG1202">
        <v>-1.1097799080124</v>
      </c>
      <c r="AH1202">
        <v>15.790723127857101</v>
      </c>
      <c r="AI1202">
        <v>94.020165594618604</v>
      </c>
      <c r="AJ1202">
        <v>90.012894218414502</v>
      </c>
      <c r="AK1202">
        <v>15.8296734323006</v>
      </c>
    </row>
    <row r="1203" spans="1:37" x14ac:dyDescent="0.2">
      <c r="A1203" t="str">
        <f>"20200111154049465"</f>
        <v>20200111154049465</v>
      </c>
      <c r="B1203" t="str">
        <f>"1578728449457311"</f>
        <v>1578728449457311</v>
      </c>
      <c r="C1203" t="s">
        <v>37</v>
      </c>
      <c r="D1203">
        <v>5.3712589999999896</v>
      </c>
      <c r="E1203">
        <v>0.49974740000000001</v>
      </c>
      <c r="F1203" t="s">
        <v>44</v>
      </c>
      <c r="G1203">
        <v>-261.67930000000001</v>
      </c>
      <c r="H1203" s="1">
        <v>-6.4313979999999999E-7</v>
      </c>
      <c r="I1203">
        <v>283.57839999999999</v>
      </c>
      <c r="J1203">
        <v>-245.6798</v>
      </c>
      <c r="K1203">
        <v>1.1097709999999901</v>
      </c>
      <c r="L1203">
        <v>282.899</v>
      </c>
      <c r="M1203">
        <v>-0.99904090000000001</v>
      </c>
      <c r="N1203">
        <v>0</v>
      </c>
      <c r="O1203">
        <v>4.3188579999999997E-2</v>
      </c>
      <c r="P1203">
        <v>-0.99876369999999903</v>
      </c>
      <c r="Q1203">
        <v>4.8309779999999997E-2</v>
      </c>
      <c r="R1203">
        <v>1.173507E-2</v>
      </c>
      <c r="S1203">
        <v>-3.0120239999999998</v>
      </c>
      <c r="T1203">
        <v>-0.204434</v>
      </c>
      <c r="U1203">
        <v>0.12792970000000001</v>
      </c>
      <c r="V1203">
        <v>-3.1429730000000003E-2</v>
      </c>
      <c r="W1203">
        <v>5.5516120000000002E-2</v>
      </c>
      <c r="X1203">
        <v>0.99796299999999905</v>
      </c>
      <c r="Y1203">
        <v>-6.55056E-4</v>
      </c>
      <c r="Z1203">
        <v>-2.947557E-3</v>
      </c>
      <c r="AA1203">
        <v>0.99999550000000004</v>
      </c>
      <c r="AB1203">
        <v>34</v>
      </c>
      <c r="AC1203">
        <v>-15.999499999999999</v>
      </c>
      <c r="AD1203">
        <v>-1.1097716431397999</v>
      </c>
      <c r="AE1203">
        <v>0.67939999999998602</v>
      </c>
      <c r="AF1203">
        <v>-1.2189078181194499E-2</v>
      </c>
      <c r="AG1203">
        <v>-1.1097716431397999</v>
      </c>
      <c r="AH1203">
        <v>15.9373737252377</v>
      </c>
      <c r="AI1203">
        <v>93.983262321404894</v>
      </c>
      <c r="AJ1203">
        <v>90.043820431885905</v>
      </c>
      <c r="AK1203">
        <v>15.975970171837499</v>
      </c>
    </row>
    <row r="1204" spans="1:37" x14ac:dyDescent="0.2">
      <c r="A1204" t="str">
        <f>"20200111154049486"</f>
        <v>20200111154049486</v>
      </c>
      <c r="B1204" t="str">
        <f>"1578728449477807"</f>
        <v>1578728449477807</v>
      </c>
      <c r="C1204" t="s">
        <v>37</v>
      </c>
      <c r="D1204">
        <v>5.3386899999999997</v>
      </c>
      <c r="E1204">
        <v>0.49830059999999898</v>
      </c>
      <c r="F1204" t="s">
        <v>44</v>
      </c>
      <c r="G1204">
        <v>-260.90190000000001</v>
      </c>
      <c r="H1204" s="1">
        <v>-1.056825E-6</v>
      </c>
      <c r="I1204">
        <v>283.10140000000001</v>
      </c>
      <c r="J1204">
        <v>-246.03460000000001</v>
      </c>
      <c r="K1204">
        <v>1.1097699999999999</v>
      </c>
      <c r="L1204">
        <v>282.91419999999999</v>
      </c>
      <c r="M1204">
        <v>-0.99904789999999999</v>
      </c>
      <c r="N1204">
        <v>0</v>
      </c>
      <c r="O1204">
        <v>4.3027499999999899E-2</v>
      </c>
      <c r="P1204">
        <v>-0.99881089999999995</v>
      </c>
      <c r="Q1204">
        <v>4.7391629999999997E-2</v>
      </c>
      <c r="R1204">
        <v>1.1451950000000001E-2</v>
      </c>
      <c r="S1204">
        <v>-3.0138699999999998</v>
      </c>
      <c r="T1204">
        <v>-0.21972700000000001</v>
      </c>
      <c r="U1204">
        <v>4.006958E-2</v>
      </c>
      <c r="V1204">
        <v>-3.1553169999999998E-2</v>
      </c>
      <c r="W1204">
        <v>5.4588659999999997E-2</v>
      </c>
      <c r="X1204">
        <v>0.99801030000000002</v>
      </c>
      <c r="Y1204">
        <v>-2.9550730000000001E-2</v>
      </c>
      <c r="Z1204">
        <v>-4.2074959999999998E-3</v>
      </c>
      <c r="AA1204">
        <v>0.99955450000000001</v>
      </c>
      <c r="AB1204">
        <v>34</v>
      </c>
      <c r="AC1204">
        <v>-14.8673</v>
      </c>
      <c r="AD1204">
        <v>-1.1097710568250001</v>
      </c>
      <c r="AE1204">
        <v>0.18720000000001799</v>
      </c>
      <c r="AF1204">
        <v>-0.45018475511249501</v>
      </c>
      <c r="AG1204">
        <v>-1.1097710568250001</v>
      </c>
      <c r="AH1204">
        <v>14.779250150201699</v>
      </c>
      <c r="AI1204">
        <v>94.292286746824402</v>
      </c>
      <c r="AJ1204">
        <v>91.7447240628819</v>
      </c>
      <c r="AK1204">
        <v>14.8276934522716</v>
      </c>
    </row>
    <row r="1205" spans="1:37" x14ac:dyDescent="0.2">
      <c r="A1205" t="str">
        <f>"20200111154049510"</f>
        <v>20200111154049510</v>
      </c>
      <c r="B1205" t="str">
        <f>"1578728449507088"</f>
        <v>1578728449507088</v>
      </c>
      <c r="C1205" t="s">
        <v>37</v>
      </c>
      <c r="D1205">
        <v>5.3418869999999998</v>
      </c>
      <c r="E1205">
        <v>0.4975522</v>
      </c>
      <c r="F1205" t="s">
        <v>44</v>
      </c>
      <c r="G1205">
        <v>-261.07839999999999</v>
      </c>
      <c r="H1205" s="1">
        <v>-9.6293950000000006E-7</v>
      </c>
      <c r="I1205">
        <v>283.05290000000002</v>
      </c>
      <c r="J1205">
        <v>-246.3963</v>
      </c>
      <c r="K1205">
        <v>1.1097669999999999</v>
      </c>
      <c r="L1205">
        <v>282.92959999999999</v>
      </c>
      <c r="M1205">
        <v>-0.99905499999999903</v>
      </c>
      <c r="N1205">
        <v>0</v>
      </c>
      <c r="O1205">
        <v>4.286326E-2</v>
      </c>
      <c r="P1205">
        <v>-0.99880759999999902</v>
      </c>
      <c r="Q1205">
        <v>4.7687189999999997E-2</v>
      </c>
      <c r="R1205">
        <v>1.0461399999999999E-2</v>
      </c>
      <c r="S1205">
        <v>-3.0137939999999999</v>
      </c>
      <c r="T1205">
        <v>-0.2223261</v>
      </c>
      <c r="U1205">
        <v>2.7801510000000001E-2</v>
      </c>
      <c r="V1205">
        <v>-3.237926E-2</v>
      </c>
      <c r="W1205">
        <v>5.4875279999999999E-2</v>
      </c>
      <c r="X1205">
        <v>0.99796810000000002</v>
      </c>
      <c r="Y1205">
        <v>-3.3439419999999997E-2</v>
      </c>
      <c r="Z1205">
        <v>-4.3885490000000003E-3</v>
      </c>
      <c r="AA1205">
        <v>0.99943110000000002</v>
      </c>
      <c r="AB1205">
        <v>35</v>
      </c>
      <c r="AC1205">
        <v>-14.682099999999901</v>
      </c>
      <c r="AD1205">
        <v>-1.1097679629395001</v>
      </c>
      <c r="AE1205">
        <v>0.123300000000028</v>
      </c>
      <c r="AF1205">
        <v>-0.50327713281696995</v>
      </c>
      <c r="AG1205">
        <v>-1.1097679629395001</v>
      </c>
      <c r="AH1205">
        <v>14.5905364440046</v>
      </c>
      <c r="AI1205">
        <v>94.347012923734098</v>
      </c>
      <c r="AJ1205">
        <v>91.975542690806094</v>
      </c>
      <c r="AK1205">
        <v>14.641332812548599</v>
      </c>
    </row>
    <row r="1206" spans="1:37" x14ac:dyDescent="0.2">
      <c r="A1206" t="str">
        <f>"20200111154049531"</f>
        <v>20200111154049531</v>
      </c>
      <c r="B1206" t="str">
        <f>"1578728449527584"</f>
        <v>1578728449527584</v>
      </c>
      <c r="C1206" t="s">
        <v>37</v>
      </c>
      <c r="D1206">
        <v>5.3722659999999998</v>
      </c>
      <c r="E1206">
        <v>0.49771539999999997</v>
      </c>
      <c r="F1206" t="s">
        <v>44</v>
      </c>
      <c r="G1206">
        <v>-261.41759999999999</v>
      </c>
      <c r="H1206" s="1">
        <v>-7.8241629999999996E-7</v>
      </c>
      <c r="I1206">
        <v>283.02620000000002</v>
      </c>
      <c r="J1206">
        <v>-246.71</v>
      </c>
      <c r="K1206">
        <v>1.1097649999999999</v>
      </c>
      <c r="L1206">
        <v>282.94299999999998</v>
      </c>
      <c r="M1206">
        <v>-0.99906109999999904</v>
      </c>
      <c r="N1206">
        <v>0</v>
      </c>
      <c r="O1206">
        <v>4.2720470000000003E-2</v>
      </c>
      <c r="P1206">
        <v>-0.99878440000000002</v>
      </c>
      <c r="Q1206">
        <v>4.8303980000000003E-2</v>
      </c>
      <c r="R1206">
        <v>9.8320290000000008E-3</v>
      </c>
      <c r="S1206">
        <v>-3.013992</v>
      </c>
      <c r="T1206">
        <v>-0.2226726</v>
      </c>
      <c r="U1206">
        <v>1.9378659999999999E-2</v>
      </c>
      <c r="V1206">
        <v>-3.2864020000000001E-2</v>
      </c>
      <c r="W1206">
        <v>5.5485180000000002E-2</v>
      </c>
      <c r="X1206">
        <v>0.99791849999999904</v>
      </c>
      <c r="Y1206">
        <v>-3.6082429999999999E-2</v>
      </c>
      <c r="Z1206">
        <v>-4.4821490000000004E-3</v>
      </c>
      <c r="AA1206">
        <v>0.99933869999999903</v>
      </c>
      <c r="AB1206">
        <v>35</v>
      </c>
      <c r="AC1206">
        <v>-14.7075999999999</v>
      </c>
      <c r="AD1206">
        <v>-1.1097657824163001</v>
      </c>
      <c r="AE1206">
        <v>8.32000000000334E-2</v>
      </c>
      <c r="AF1206">
        <v>-0.54212137663848503</v>
      </c>
      <c r="AG1206">
        <v>-1.1097657824163001</v>
      </c>
      <c r="AH1206">
        <v>14.614521579372701</v>
      </c>
      <c r="AI1206">
        <v>94.339495439101</v>
      </c>
      <c r="AJ1206">
        <v>92.124396033202501</v>
      </c>
      <c r="AK1206">
        <v>14.666619128919301</v>
      </c>
    </row>
    <row r="1207" spans="1:37" x14ac:dyDescent="0.2">
      <c r="A1207" t="str">
        <f>"20200111154049553"</f>
        <v>20200111154049553</v>
      </c>
      <c r="B1207" t="str">
        <f>"1578728449547103"</f>
        <v>1578728449547103</v>
      </c>
      <c r="C1207" t="s">
        <v>37</v>
      </c>
      <c r="D1207">
        <v>5.2838820000000002</v>
      </c>
      <c r="E1207">
        <v>0.49805699999999897</v>
      </c>
      <c r="F1207" t="s">
        <v>44</v>
      </c>
      <c r="G1207">
        <v>-261.60520000000002</v>
      </c>
      <c r="H1207" s="1">
        <v>-6.8258079999999995E-7</v>
      </c>
      <c r="I1207">
        <v>283.03629999999998</v>
      </c>
      <c r="J1207">
        <v>-247.06649999999999</v>
      </c>
      <c r="K1207">
        <v>1.1097629999999901</v>
      </c>
      <c r="L1207">
        <v>282.957999999999</v>
      </c>
      <c r="M1207">
        <v>-0.99906830000000002</v>
      </c>
      <c r="N1207">
        <v>0</v>
      </c>
      <c r="O1207">
        <v>4.2554830000000002E-2</v>
      </c>
      <c r="P1207">
        <v>-0.99876849999999995</v>
      </c>
      <c r="Q1207">
        <v>4.8818489999999999E-2</v>
      </c>
      <c r="R1207">
        <v>8.8592040000000007E-3</v>
      </c>
      <c r="S1207">
        <v>-3.014313</v>
      </c>
      <c r="T1207">
        <v>-0.22458139999999999</v>
      </c>
      <c r="U1207">
        <v>1.8890379999999998E-2</v>
      </c>
      <c r="V1207">
        <v>-3.3670079999999998E-2</v>
      </c>
      <c r="W1207">
        <v>5.5993179999999997E-2</v>
      </c>
      <c r="X1207">
        <v>0.99786319999999995</v>
      </c>
      <c r="Y1207">
        <v>-3.607614E-2</v>
      </c>
      <c r="Z1207">
        <v>-4.5074429999999999E-3</v>
      </c>
      <c r="AA1207">
        <v>0.99933890000000003</v>
      </c>
      <c r="AB1207">
        <v>35</v>
      </c>
      <c r="AC1207">
        <v>-14.5387</v>
      </c>
      <c r="AD1207">
        <v>-1.1097636825807999</v>
      </c>
      <c r="AE1207">
        <v>7.8300000000012901E-2</v>
      </c>
      <c r="AF1207">
        <v>-0.53734802581645502</v>
      </c>
      <c r="AG1207">
        <v>-1.1097636825807999</v>
      </c>
      <c r="AH1207">
        <v>14.444701298364601</v>
      </c>
      <c r="AI1207">
        <v>94.390289336343798</v>
      </c>
      <c r="AJ1207">
        <v>92.130440989949506</v>
      </c>
      <c r="AK1207">
        <v>14.4972312505181</v>
      </c>
    </row>
    <row r="1208" spans="1:37" x14ac:dyDescent="0.2">
      <c r="A1208" t="str">
        <f>"20200111154049576"</f>
        <v>20200111154049576</v>
      </c>
      <c r="B1208" t="str">
        <f>"1578728449567600"</f>
        <v>1578728449567600</v>
      </c>
      <c r="C1208" t="s">
        <v>37</v>
      </c>
      <c r="D1208">
        <v>5.3673209999999996</v>
      </c>
      <c r="E1208">
        <v>0.49825540000000001</v>
      </c>
      <c r="F1208" t="s">
        <v>44</v>
      </c>
      <c r="G1208">
        <v>-262.10930000000002</v>
      </c>
      <c r="H1208" s="1">
        <v>-4.1431249999999902E-7</v>
      </c>
      <c r="I1208">
        <v>283.05029999999999</v>
      </c>
      <c r="J1208">
        <v>-247.428</v>
      </c>
      <c r="K1208">
        <v>1.1097709999999901</v>
      </c>
      <c r="L1208">
        <v>282.97329999999999</v>
      </c>
      <c r="M1208">
        <v>-0.99907559999999995</v>
      </c>
      <c r="N1208">
        <v>0</v>
      </c>
      <c r="O1208">
        <v>4.2381960000000003E-2</v>
      </c>
      <c r="P1208">
        <v>-0.99876529999999997</v>
      </c>
      <c r="Q1208">
        <v>4.9035960000000003E-2</v>
      </c>
      <c r="R1208">
        <v>7.9689619999999996E-3</v>
      </c>
      <c r="S1208">
        <v>-3.014389</v>
      </c>
      <c r="T1208">
        <v>-0.22238179999999899</v>
      </c>
      <c r="U1208">
        <v>1.849365E-2</v>
      </c>
      <c r="V1208">
        <v>-3.4387189999999998E-2</v>
      </c>
      <c r="W1208">
        <v>5.6204079999999997E-2</v>
      </c>
      <c r="X1208">
        <v>0.99782689999999996</v>
      </c>
      <c r="Y1208">
        <v>-3.6039719999999997E-2</v>
      </c>
      <c r="Z1208">
        <v>-4.4492379999999899E-3</v>
      </c>
      <c r="AA1208">
        <v>0.99934049999999996</v>
      </c>
      <c r="AB1208">
        <v>35</v>
      </c>
      <c r="AC1208">
        <v>-14.6813</v>
      </c>
      <c r="AD1208">
        <v>-1.1097714143124999</v>
      </c>
      <c r="AE1208">
        <v>7.6999999999998098E-2</v>
      </c>
      <c r="AF1208">
        <v>-0.54220946460191699</v>
      </c>
      <c r="AG1208">
        <v>-1.1097714143124999</v>
      </c>
      <c r="AH1208">
        <v>14.5880181649752</v>
      </c>
      <c r="AI1208">
        <v>94.347359394058401</v>
      </c>
      <c r="AJ1208">
        <v>92.128597572141601</v>
      </c>
      <c r="AK1208">
        <v>14.640213716922799</v>
      </c>
    </row>
    <row r="1209" spans="1:37" x14ac:dyDescent="0.2">
      <c r="A1209" t="str">
        <f>"20200111154049598"</f>
        <v>20200111154049598</v>
      </c>
      <c r="B1209" t="str">
        <f>"1578728449587119"</f>
        <v>1578728449587119</v>
      </c>
      <c r="C1209" t="s">
        <v>37</v>
      </c>
      <c r="D1209">
        <v>5.3522919999999896</v>
      </c>
      <c r="E1209">
        <v>0.49816559999999999</v>
      </c>
      <c r="F1209" t="s">
        <v>44</v>
      </c>
      <c r="G1209">
        <v>-262.5138</v>
      </c>
      <c r="H1209" s="1">
        <v>-1.9909069999999999E-7</v>
      </c>
      <c r="I1209">
        <v>283.06060000000002</v>
      </c>
      <c r="J1209">
        <v>-247.76840000000001</v>
      </c>
      <c r="K1209">
        <v>1.1097790000000001</v>
      </c>
      <c r="L1209">
        <v>282.98750000000001</v>
      </c>
      <c r="M1209">
        <v>-0.99908299999999906</v>
      </c>
      <c r="N1209">
        <v>0</v>
      </c>
      <c r="O1209">
        <v>4.2209660000000003E-2</v>
      </c>
      <c r="P1209">
        <v>-0.99873869999999898</v>
      </c>
      <c r="Q1209">
        <v>4.9621239999999997E-2</v>
      </c>
      <c r="R1209">
        <v>7.6865519999999897E-3</v>
      </c>
      <c r="S1209">
        <v>-3.0144500000000001</v>
      </c>
      <c r="T1209">
        <v>-0.2217556</v>
      </c>
      <c r="U1209">
        <v>1.7456050000000001E-2</v>
      </c>
      <c r="V1209">
        <v>-3.449787E-2</v>
      </c>
      <c r="W1209">
        <v>5.6784889999999998E-2</v>
      </c>
      <c r="X1209">
        <v>0.99779019999999996</v>
      </c>
      <c r="Y1209">
        <v>-3.6212660000000001E-2</v>
      </c>
      <c r="Z1209">
        <v>-4.4303670000000002E-3</v>
      </c>
      <c r="AA1209">
        <v>0.99933430000000001</v>
      </c>
      <c r="AB1209">
        <v>35</v>
      </c>
      <c r="AC1209">
        <v>-14.745399999999901</v>
      </c>
      <c r="AD1209">
        <v>-1.1097791990907</v>
      </c>
      <c r="AE1209">
        <v>7.3100000000010795E-2</v>
      </c>
      <c r="AF1209">
        <v>-0.54628515572108505</v>
      </c>
      <c r="AG1209">
        <v>-1.1097791990907</v>
      </c>
      <c r="AH1209">
        <v>14.6523475722864</v>
      </c>
      <c r="AI1209">
        <v>94.328357333965201</v>
      </c>
      <c r="AJ1209">
        <v>92.135176167946696</v>
      </c>
      <c r="AK1209">
        <v>14.7044662168058</v>
      </c>
    </row>
    <row r="1210" spans="1:37" x14ac:dyDescent="0.2">
      <c r="A1210" t="str">
        <f>"20200111154049620"</f>
        <v>20200111154049620</v>
      </c>
      <c r="B1210" t="str">
        <f>"1578728449617375"</f>
        <v>1578728449617375</v>
      </c>
      <c r="C1210" t="s">
        <v>37</v>
      </c>
      <c r="D1210">
        <v>5.5382619999999996</v>
      </c>
      <c r="E1210">
        <v>0.4995193</v>
      </c>
      <c r="F1210" t="s">
        <v>44</v>
      </c>
      <c r="G1210">
        <v>-263.09710000000001</v>
      </c>
      <c r="H1210" s="1">
        <v>1.11315299999999E-7</v>
      </c>
      <c r="I1210">
        <v>283.07069999999999</v>
      </c>
      <c r="J1210">
        <v>-248.1045</v>
      </c>
      <c r="K1210">
        <v>1.1097999999999999</v>
      </c>
      <c r="L1210">
        <v>283.0016</v>
      </c>
      <c r="M1210">
        <v>-0.999090699999999</v>
      </c>
      <c r="N1210">
        <v>0</v>
      </c>
      <c r="O1210">
        <v>4.2024890000000002E-2</v>
      </c>
      <c r="P1210">
        <v>-0.9987338</v>
      </c>
      <c r="Q1210">
        <v>4.969602E-2</v>
      </c>
      <c r="R1210">
        <v>7.8223219999999996E-3</v>
      </c>
      <c r="S1210">
        <v>-3.0145110000000002</v>
      </c>
      <c r="T1210">
        <v>-0.21824789999999999</v>
      </c>
      <c r="U1210">
        <v>1.6357420000000001E-2</v>
      </c>
      <c r="V1210">
        <v>-3.4178939999999998E-2</v>
      </c>
      <c r="W1210">
        <v>5.6863440000000001E-2</v>
      </c>
      <c r="X1210">
        <v>0.99779680000000004</v>
      </c>
      <c r="Y1210">
        <v>-3.6398809999999997E-2</v>
      </c>
      <c r="Z1210">
        <v>-4.3537749999999998E-3</v>
      </c>
      <c r="AA1210">
        <v>0.99932779999999999</v>
      </c>
      <c r="AB1210">
        <v>35</v>
      </c>
      <c r="AC1210">
        <v>-14.992599999999999</v>
      </c>
      <c r="AD1210">
        <v>-1.10979988868469</v>
      </c>
      <c r="AE1210">
        <v>6.9099999999991696E-2</v>
      </c>
      <c r="AF1210">
        <v>-0.557982335758065</v>
      </c>
      <c r="AG1210">
        <v>-1.10979988868469</v>
      </c>
      <c r="AH1210">
        <v>14.9006131645669</v>
      </c>
      <c r="AI1210">
        <v>94.256561111129301</v>
      </c>
      <c r="AJ1210">
        <v>92.144549456876902</v>
      </c>
      <c r="AK1210">
        <v>14.9522999153979</v>
      </c>
    </row>
    <row r="1211" spans="1:37" x14ac:dyDescent="0.2">
      <c r="A1211" t="str">
        <f>"20200111154049641"</f>
        <v>20200111154049641</v>
      </c>
      <c r="B1211" t="str">
        <f>"1578728449637872"</f>
        <v>1578728449637872</v>
      </c>
      <c r="C1211" t="s">
        <v>37</v>
      </c>
      <c r="D1211">
        <v>5.6032289999999998</v>
      </c>
      <c r="E1211">
        <v>0.56082799999999999</v>
      </c>
      <c r="F1211" t="s">
        <v>44</v>
      </c>
      <c r="G1211">
        <v>-263.28129999999999</v>
      </c>
      <c r="H1211" s="1">
        <v>2.0932349999999999E-7</v>
      </c>
      <c r="I1211">
        <v>283.142</v>
      </c>
      <c r="J1211">
        <v>-248.44909999999999</v>
      </c>
      <c r="K1211">
        <v>1.1098239999999999</v>
      </c>
      <c r="L1211">
        <v>283.01589999999999</v>
      </c>
      <c r="M1211">
        <v>-0.99909959999999898</v>
      </c>
      <c r="N1211">
        <v>0</v>
      </c>
      <c r="O1211">
        <v>4.1813639999999999E-2</v>
      </c>
      <c r="P1211">
        <v>-0.99872139999999998</v>
      </c>
      <c r="Q1211">
        <v>5.001299E-2</v>
      </c>
      <c r="R1211">
        <v>7.3949419999999998E-3</v>
      </c>
      <c r="S1211">
        <v>-3.0145569999999999</v>
      </c>
      <c r="T1211">
        <v>-0.22043960000000001</v>
      </c>
      <c r="U1211">
        <v>2.7893069999999999E-2</v>
      </c>
      <c r="V1211">
        <v>-3.4396690000000001E-2</v>
      </c>
      <c r="W1211">
        <v>5.7188599999999999E-2</v>
      </c>
      <c r="X1211">
        <v>0.99777070000000001</v>
      </c>
      <c r="Y1211">
        <v>-3.2370629999999997E-2</v>
      </c>
      <c r="Z1211">
        <v>-4.2346930000000003E-3</v>
      </c>
      <c r="AA1211">
        <v>0.99946699999999999</v>
      </c>
      <c r="AB1211">
        <v>35</v>
      </c>
      <c r="AC1211">
        <v>-14.8322</v>
      </c>
      <c r="AD1211">
        <v>-1.1098237906764901</v>
      </c>
      <c r="AE1211">
        <v>0.12610000000000801</v>
      </c>
      <c r="AF1211">
        <v>-0.49146314730081703</v>
      </c>
      <c r="AG1211">
        <v>-1.1098237906764901</v>
      </c>
      <c r="AH1211">
        <v>14.7419685883452</v>
      </c>
      <c r="AI1211">
        <v>94.302911628077794</v>
      </c>
      <c r="AJ1211">
        <v>91.909401652285297</v>
      </c>
      <c r="AK1211">
        <v>14.791851903371001</v>
      </c>
    </row>
    <row r="1212" spans="1:37" x14ac:dyDescent="0.2">
      <c r="A1212" t="str">
        <f>"20200111154049666"</f>
        <v>20200111154049666</v>
      </c>
      <c r="B1212" t="str">
        <f>"1578728449657391"</f>
        <v>1578728449657391</v>
      </c>
      <c r="C1212" t="s">
        <v>37</v>
      </c>
      <c r="D1212">
        <v>5.5146059999999997</v>
      </c>
      <c r="E1212">
        <v>0.56353319999999996</v>
      </c>
      <c r="F1212" t="s">
        <v>38</v>
      </c>
      <c r="G1212">
        <v>-249.2002</v>
      </c>
      <c r="H1212">
        <v>1.05532</v>
      </c>
      <c r="I1212">
        <v>283.1447</v>
      </c>
      <c r="J1212">
        <v>-248.82159999999999</v>
      </c>
      <c r="K1212">
        <v>1.109861</v>
      </c>
      <c r="L1212">
        <v>283.03129999999999</v>
      </c>
      <c r="M1212">
        <v>-0.99911030000000001</v>
      </c>
      <c r="N1212">
        <v>0</v>
      </c>
      <c r="O1212">
        <v>4.154882E-2</v>
      </c>
      <c r="P1212">
        <v>-0.99871799999999999</v>
      </c>
      <c r="Q1212">
        <v>5.0079039999999998E-2</v>
      </c>
      <c r="R1212">
        <v>7.3626769999999998E-3</v>
      </c>
      <c r="S1212">
        <v>-3.0109710000000001</v>
      </c>
      <c r="T1212">
        <v>-0.21862570000000001</v>
      </c>
      <c r="U1212">
        <v>0.51568599999999998</v>
      </c>
      <c r="V1212">
        <v>-3.4167679999999999E-2</v>
      </c>
      <c r="W1212">
        <v>5.7268569999999998E-2</v>
      </c>
      <c r="X1212">
        <v>0.99777389999999999</v>
      </c>
      <c r="Y1212">
        <v>0.1274922</v>
      </c>
      <c r="Z1212">
        <v>1.601232E-3</v>
      </c>
      <c r="AA1212">
        <v>0.99183829999999995</v>
      </c>
      <c r="AB1212">
        <v>35</v>
      </c>
      <c r="AC1212">
        <v>-0.37860000000000499</v>
      </c>
      <c r="AD1212">
        <v>-5.4540999999999902E-2</v>
      </c>
      <c r="AE1212">
        <v>0.11340000000001201</v>
      </c>
      <c r="AF1212">
        <v>9.5747797134585699E-2</v>
      </c>
      <c r="AG1212">
        <v>-5.4540999999999902E-2</v>
      </c>
      <c r="AH1212">
        <v>0.37582732725103901</v>
      </c>
      <c r="AI1212">
        <v>98.005032491609498</v>
      </c>
      <c r="AJ1212">
        <v>75.707070095331503</v>
      </c>
      <c r="AK1212">
        <v>0.39164849194882101</v>
      </c>
    </row>
    <row r="1213" spans="1:37" x14ac:dyDescent="0.2">
      <c r="A1213" t="str">
        <f>"20200111154049688"</f>
        <v>20200111154049688</v>
      </c>
      <c r="B1213" t="str">
        <f>"1578728449677890"</f>
        <v>1578728449677890</v>
      </c>
      <c r="C1213" t="s">
        <v>37</v>
      </c>
      <c r="D1213">
        <v>5.5546579999999999</v>
      </c>
      <c r="E1213">
        <v>0.56216849999999996</v>
      </c>
      <c r="F1213" t="s">
        <v>38</v>
      </c>
      <c r="G1213">
        <v>-249.8169</v>
      </c>
      <c r="H1213">
        <v>1.0357209999999999</v>
      </c>
      <c r="I1213">
        <v>283.20909999999998</v>
      </c>
      <c r="J1213">
        <v>-249.17779999999999</v>
      </c>
      <c r="K1213">
        <v>1.1099049999999999</v>
      </c>
      <c r="L1213">
        <v>283.04590000000002</v>
      </c>
      <c r="M1213">
        <v>-0.99912269999999903</v>
      </c>
      <c r="N1213">
        <v>0</v>
      </c>
      <c r="O1213">
        <v>4.125231E-2</v>
      </c>
      <c r="P1213">
        <v>-0.99872240000000001</v>
      </c>
      <c r="Q1213">
        <v>4.9911619999999997E-2</v>
      </c>
      <c r="R1213">
        <v>7.9199089999999993E-3</v>
      </c>
      <c r="S1213">
        <v>-3.011139</v>
      </c>
      <c r="T1213">
        <v>-0.22446749999999999</v>
      </c>
      <c r="U1213">
        <v>0.53707890000000003</v>
      </c>
      <c r="V1213">
        <v>-3.3318680000000003E-2</v>
      </c>
      <c r="W1213">
        <v>5.7126709999999997E-2</v>
      </c>
      <c r="X1213">
        <v>0.9978108</v>
      </c>
      <c r="Y1213">
        <v>0.13458029999999899</v>
      </c>
      <c r="Z1213">
        <v>1.9265489999999901E-3</v>
      </c>
      <c r="AA1213">
        <v>0.99090080000000003</v>
      </c>
      <c r="AB1213">
        <v>35</v>
      </c>
      <c r="AC1213">
        <v>-0.63910000000001299</v>
      </c>
      <c r="AD1213">
        <v>-7.4184E-2</v>
      </c>
      <c r="AE1213">
        <v>0.16319999999995999</v>
      </c>
      <c r="AF1213">
        <v>0.134988592946158</v>
      </c>
      <c r="AG1213">
        <v>-7.4184E-2</v>
      </c>
      <c r="AH1213">
        <v>0.637228341853604</v>
      </c>
      <c r="AI1213">
        <v>96.497381917830396</v>
      </c>
      <c r="AJ1213">
        <v>78.039446912058594</v>
      </c>
      <c r="AK1213">
        <v>0.65558000712580999</v>
      </c>
    </row>
    <row r="1214" spans="1:37" x14ac:dyDescent="0.2">
      <c r="A1214" t="str">
        <f>"20200111154049710"</f>
        <v>20200111154049710</v>
      </c>
      <c r="B1214" t="str">
        <f>"1578728449697407"</f>
        <v>1578728449697407</v>
      </c>
      <c r="C1214" t="s">
        <v>37</v>
      </c>
      <c r="D1214">
        <v>5.5601719999999997</v>
      </c>
      <c r="E1214">
        <v>0.56106060000000002</v>
      </c>
      <c r="F1214" t="s">
        <v>38</v>
      </c>
      <c r="G1214">
        <v>-250.13849999999999</v>
      </c>
      <c r="H1214">
        <v>1.042926</v>
      </c>
      <c r="I1214">
        <v>283.21420000000001</v>
      </c>
      <c r="J1214">
        <v>-249.51939999999999</v>
      </c>
      <c r="K1214">
        <v>1.1099490000000001</v>
      </c>
      <c r="L1214">
        <v>283.05970000000002</v>
      </c>
      <c r="M1214">
        <v>-0.99913539999999901</v>
      </c>
      <c r="N1214">
        <v>0</v>
      </c>
      <c r="O1214">
        <v>4.0931629999999997E-2</v>
      </c>
      <c r="P1214">
        <v>-0.99866939999999904</v>
      </c>
      <c r="Q1214">
        <v>5.0774020000000003E-2</v>
      </c>
      <c r="R1214">
        <v>9.0427169999999901E-3</v>
      </c>
      <c r="S1214">
        <v>-3.0101169999999899</v>
      </c>
      <c r="T1214">
        <v>-0.20978720000000001</v>
      </c>
      <c r="U1214">
        <v>0.52752690000000002</v>
      </c>
      <c r="V1214">
        <v>-3.1879640000000001E-2</v>
      </c>
      <c r="W1214">
        <v>5.8017859999999997E-2</v>
      </c>
      <c r="X1214">
        <v>0.99780639999999998</v>
      </c>
      <c r="Y1214">
        <v>0.1319437</v>
      </c>
      <c r="Z1214">
        <v>1.732934E-3</v>
      </c>
      <c r="AA1214">
        <v>0.99125569999999896</v>
      </c>
      <c r="AB1214">
        <v>35</v>
      </c>
      <c r="AC1214">
        <v>-0.61910000000000298</v>
      </c>
      <c r="AD1214">
        <v>-6.7022999999999999E-2</v>
      </c>
      <c r="AE1214">
        <v>0.15449999999998401</v>
      </c>
      <c r="AF1214">
        <v>0.12762104555053499</v>
      </c>
      <c r="AG1214">
        <v>-6.7022999999999999E-2</v>
      </c>
      <c r="AH1214">
        <v>0.618085987341222</v>
      </c>
      <c r="AI1214">
        <v>96.061877608326995</v>
      </c>
      <c r="AJ1214">
        <v>78.333639615165097</v>
      </c>
      <c r="AK1214">
        <v>0.63467275153734504</v>
      </c>
    </row>
    <row r="1215" spans="1:37" x14ac:dyDescent="0.2">
      <c r="A1215" t="str">
        <f>"20200111154049731"</f>
        <v>20200111154049731</v>
      </c>
      <c r="B1215" t="str">
        <f>"1578728449727663"</f>
        <v>1578728449727663</v>
      </c>
      <c r="C1215" t="s">
        <v>37</v>
      </c>
      <c r="D1215">
        <v>5.5710519999999999</v>
      </c>
      <c r="E1215">
        <v>0.55969939999999996</v>
      </c>
      <c r="F1215" t="s">
        <v>38</v>
      </c>
      <c r="G1215">
        <v>-250.4563</v>
      </c>
      <c r="H1215">
        <v>1.0441069999999999</v>
      </c>
      <c r="I1215">
        <v>283.22239999999999</v>
      </c>
      <c r="J1215">
        <v>-249.8674</v>
      </c>
      <c r="K1215">
        <v>1.1100000000000001</v>
      </c>
      <c r="L1215">
        <v>283.0736</v>
      </c>
      <c r="M1215">
        <v>-0.99915030000000005</v>
      </c>
      <c r="N1215">
        <v>0</v>
      </c>
      <c r="O1215">
        <v>4.0559600000000001E-2</v>
      </c>
      <c r="P1215">
        <v>-0.99859549999999997</v>
      </c>
      <c r="Q1215">
        <v>5.1891930000000003E-2</v>
      </c>
      <c r="R1215">
        <v>1.0688909999999999E-2</v>
      </c>
      <c r="S1215">
        <v>-3.0100560000000001</v>
      </c>
      <c r="T1215">
        <v>-0.21172550000000001</v>
      </c>
      <c r="U1215">
        <v>0.52185059999999905</v>
      </c>
      <c r="V1215">
        <v>-2.9865889999999999E-2</v>
      </c>
      <c r="W1215">
        <v>5.9176010000000001E-2</v>
      </c>
      <c r="X1215">
        <v>0.99780069999999998</v>
      </c>
      <c r="Y1215">
        <v>0.13050039999999999</v>
      </c>
      <c r="Z1215">
        <v>1.7247529999999899E-3</v>
      </c>
      <c r="AA1215">
        <v>0.99144669999999901</v>
      </c>
      <c r="AB1215">
        <v>35</v>
      </c>
      <c r="AC1215">
        <v>-0.58889999999999498</v>
      </c>
      <c r="AD1215">
        <v>-6.5893000000000201E-2</v>
      </c>
      <c r="AE1215">
        <v>0.14879999999999399</v>
      </c>
      <c r="AF1215">
        <v>0.123339848046882</v>
      </c>
      <c r="AG1215">
        <v>-6.5893000000000201E-2</v>
      </c>
      <c r="AH1215">
        <v>0.58753644800285199</v>
      </c>
      <c r="AI1215">
        <v>96.263649794242497</v>
      </c>
      <c r="AJ1215">
        <v>78.144219010568094</v>
      </c>
      <c r="AK1215">
        <v>0.60394841112220499</v>
      </c>
    </row>
    <row r="1216" spans="1:37" x14ac:dyDescent="0.2">
      <c r="A1216" t="str">
        <f>"20200111154049754"</f>
        <v>20200111154049754</v>
      </c>
      <c r="B1216" t="str">
        <f>"1578728449747183"</f>
        <v>1578728449747183</v>
      </c>
      <c r="C1216" t="s">
        <v>37</v>
      </c>
      <c r="D1216">
        <v>5.5750760000000001</v>
      </c>
      <c r="E1216">
        <v>0.55897259999999904</v>
      </c>
      <c r="F1216" t="s">
        <v>38</v>
      </c>
      <c r="G1216">
        <v>-250.77629999999999</v>
      </c>
      <c r="H1216">
        <v>1.047347</v>
      </c>
      <c r="I1216">
        <v>283.22919999999999</v>
      </c>
      <c r="J1216">
        <v>-250.2372</v>
      </c>
      <c r="K1216">
        <v>1.110061</v>
      </c>
      <c r="L1216">
        <v>283.08819999999997</v>
      </c>
      <c r="M1216">
        <v>-0.99916819999999895</v>
      </c>
      <c r="N1216">
        <v>0</v>
      </c>
      <c r="O1216">
        <v>4.0107719999999999E-2</v>
      </c>
      <c r="P1216">
        <v>-0.99857909999999905</v>
      </c>
      <c r="Q1216">
        <v>5.1639709999999998E-2</v>
      </c>
      <c r="R1216">
        <v>1.3172339999999999E-2</v>
      </c>
      <c r="S1216">
        <v>-3.0094599999999998</v>
      </c>
      <c r="T1216">
        <v>-0.20738289999999901</v>
      </c>
      <c r="U1216">
        <v>0.5151367</v>
      </c>
      <c r="V1216">
        <v>-2.693808E-2</v>
      </c>
      <c r="W1216">
        <v>5.8981810000000003E-2</v>
      </c>
      <c r="X1216">
        <v>0.99789550000000005</v>
      </c>
      <c r="Y1216">
        <v>0.12884489999999901</v>
      </c>
      <c r="Z1216">
        <v>1.6643160000000001E-3</v>
      </c>
      <c r="AA1216">
        <v>0.99166339999999997</v>
      </c>
      <c r="AB1216">
        <v>35</v>
      </c>
      <c r="AC1216">
        <v>-0.53909999999999003</v>
      </c>
      <c r="AD1216">
        <v>-6.2713999999999895E-2</v>
      </c>
      <c r="AE1216">
        <v>0.141000000000019</v>
      </c>
      <c r="AF1216">
        <v>0.117772130587933</v>
      </c>
      <c r="AG1216">
        <v>-6.2713999999999895E-2</v>
      </c>
      <c r="AH1216">
        <v>0.53751317355704697</v>
      </c>
      <c r="AI1216">
        <v>96.501985272866307</v>
      </c>
      <c r="AJ1216">
        <v>77.641471818476603</v>
      </c>
      <c r="AK1216">
        <v>0.55382644599783204</v>
      </c>
    </row>
    <row r="1217" spans="1:37" x14ac:dyDescent="0.2">
      <c r="A1217" t="str">
        <f>"20200111154049777"</f>
        <v>20200111154049777</v>
      </c>
      <c r="B1217" t="str">
        <f>"1578728449767683"</f>
        <v>1578728449767683</v>
      </c>
      <c r="C1217" t="s">
        <v>37</v>
      </c>
      <c r="D1217">
        <v>5.5667410000000004</v>
      </c>
      <c r="E1217">
        <v>0.55827919999999998</v>
      </c>
      <c r="F1217" t="s">
        <v>38</v>
      </c>
      <c r="G1217">
        <v>-251.09780000000001</v>
      </c>
      <c r="H1217">
        <v>1.051442</v>
      </c>
      <c r="I1217">
        <v>283.2362</v>
      </c>
      <c r="J1217">
        <v>-250.59970000000001</v>
      </c>
      <c r="K1217">
        <v>1.110107</v>
      </c>
      <c r="L1217">
        <v>283.10230000000001</v>
      </c>
      <c r="M1217">
        <v>-0.99918759999999995</v>
      </c>
      <c r="N1217">
        <v>0</v>
      </c>
      <c r="O1217">
        <v>3.9606120000000002E-2</v>
      </c>
      <c r="P1217">
        <v>-0.99854109999999996</v>
      </c>
      <c r="Q1217">
        <v>5.2161300000000001E-2</v>
      </c>
      <c r="R1217">
        <v>1.396797E-2</v>
      </c>
      <c r="S1217">
        <v>-3.008057</v>
      </c>
      <c r="T1217">
        <v>-0.2051212</v>
      </c>
      <c r="U1217">
        <v>0.5161133</v>
      </c>
      <c r="V1217">
        <v>-2.5648130000000002E-2</v>
      </c>
      <c r="W1217">
        <v>5.9566330000000001E-2</v>
      </c>
      <c r="X1217">
        <v>0.99789479999999997</v>
      </c>
      <c r="Y1217">
        <v>0.129733399999999</v>
      </c>
      <c r="Z1217">
        <v>1.710804E-3</v>
      </c>
      <c r="AA1217">
        <v>0.99154739999999997</v>
      </c>
      <c r="AB1217">
        <v>36</v>
      </c>
      <c r="AC1217">
        <v>-0.49809999999999299</v>
      </c>
      <c r="AD1217">
        <v>-5.8664999999999898E-2</v>
      </c>
      <c r="AE1217">
        <v>0.13389999999998201</v>
      </c>
      <c r="AF1217">
        <v>0.112609779385503</v>
      </c>
      <c r="AG1217">
        <v>-5.8664999999999898E-2</v>
      </c>
      <c r="AH1217">
        <v>0.49658835456991202</v>
      </c>
      <c r="AI1217">
        <v>96.572125011808893</v>
      </c>
      <c r="AJ1217">
        <v>77.223297700618204</v>
      </c>
      <c r="AK1217">
        <v>0.51256466765931596</v>
      </c>
    </row>
    <row r="1218" spans="1:37" x14ac:dyDescent="0.2">
      <c r="A1218" t="str">
        <f>"20200111154049800"</f>
        <v>20200111154049800</v>
      </c>
      <c r="B1218" t="str">
        <f>"1578728449787199"</f>
        <v>1578728449787199</v>
      </c>
      <c r="C1218" t="s">
        <v>37</v>
      </c>
      <c r="D1218">
        <v>5.5789349999999898</v>
      </c>
      <c r="E1218">
        <v>0.55789639999999996</v>
      </c>
      <c r="F1218" t="s">
        <v>44</v>
      </c>
      <c r="G1218">
        <v>-267.13150000000002</v>
      </c>
      <c r="H1218" s="1">
        <v>2.2582269999999999E-6</v>
      </c>
      <c r="I1218">
        <v>285.92349999999999</v>
      </c>
      <c r="J1218">
        <v>-250.96099999999899</v>
      </c>
      <c r="K1218">
        <v>1.1101729999999901</v>
      </c>
      <c r="L1218">
        <v>283.11610000000002</v>
      </c>
      <c r="M1218">
        <v>-0.99920909999999996</v>
      </c>
      <c r="N1218">
        <v>0</v>
      </c>
      <c r="O1218">
        <v>3.9051589999999997E-2</v>
      </c>
      <c r="P1218">
        <v>-0.99853069999999899</v>
      </c>
      <c r="Q1218">
        <v>5.2096549999999998E-2</v>
      </c>
      <c r="R1218">
        <v>1.4923519999999999E-2</v>
      </c>
      <c r="S1218">
        <v>-3.007736</v>
      </c>
      <c r="T1218">
        <v>-0.201968799999999</v>
      </c>
      <c r="U1218">
        <v>0.51327509999999998</v>
      </c>
      <c r="V1218">
        <v>-2.414637E-2</v>
      </c>
      <c r="W1218">
        <v>5.9569190000000001E-2</v>
      </c>
      <c r="X1218">
        <v>0.99793209999999999</v>
      </c>
      <c r="Y1218">
        <v>0.12939790000000001</v>
      </c>
      <c r="Z1218">
        <v>1.710542E-3</v>
      </c>
      <c r="AA1218">
        <v>0.99159129999999995</v>
      </c>
      <c r="AB1218">
        <v>36</v>
      </c>
      <c r="AC1218">
        <v>-16.170500000000001</v>
      </c>
      <c r="AD1218">
        <v>-1.11017074177299</v>
      </c>
      <c r="AE1218">
        <v>2.8073999999999701</v>
      </c>
      <c r="AF1218">
        <v>2.1638562550280498</v>
      </c>
      <c r="AG1218">
        <v>-1.11017074177299</v>
      </c>
      <c r="AH1218">
        <v>16.193707045160501</v>
      </c>
      <c r="AI1218">
        <v>93.887371326046406</v>
      </c>
      <c r="AJ1218">
        <v>82.389034695134498</v>
      </c>
      <c r="AK1218">
        <v>16.375313762880801</v>
      </c>
    </row>
    <row r="1219" spans="1:37" x14ac:dyDescent="0.2">
      <c r="A1219" t="str">
        <f>"20200111154049821"</f>
        <v>20200111154049821</v>
      </c>
      <c r="B1219" t="str">
        <f>"1578728449817456"</f>
        <v>1578728449817456</v>
      </c>
      <c r="C1219" t="s">
        <v>37</v>
      </c>
      <c r="D1219">
        <v>5.5687379999999997</v>
      </c>
      <c r="E1219">
        <v>0.55734839999999997</v>
      </c>
      <c r="F1219" t="s">
        <v>44</v>
      </c>
      <c r="G1219">
        <v>-267.6123</v>
      </c>
      <c r="H1219" s="1">
        <v>2.514108E-6</v>
      </c>
      <c r="I1219">
        <v>285.96010000000001</v>
      </c>
      <c r="J1219">
        <v>-251.29730000000001</v>
      </c>
      <c r="K1219">
        <v>1.1102350000000001</v>
      </c>
      <c r="L1219">
        <v>283.12880000000001</v>
      </c>
      <c r="M1219">
        <v>-0.99922999999999995</v>
      </c>
      <c r="N1219">
        <v>0</v>
      </c>
      <c r="O1219">
        <v>3.849317E-2</v>
      </c>
      <c r="P1219">
        <v>-0.99851840000000003</v>
      </c>
      <c r="Q1219">
        <v>5.2330399999999999E-2</v>
      </c>
      <c r="R1219">
        <v>1.492575E-2</v>
      </c>
      <c r="S1219">
        <v>-3.0072169999999998</v>
      </c>
      <c r="T1219">
        <v>-0.2004967</v>
      </c>
      <c r="U1219">
        <v>0.51361080000000003</v>
      </c>
      <c r="V1219">
        <v>-2.359205E-2</v>
      </c>
      <c r="W1219">
        <v>5.9871920000000002E-2</v>
      </c>
      <c r="X1219">
        <v>0.99792719999999902</v>
      </c>
      <c r="Y1219">
        <v>0.13008800000000001</v>
      </c>
      <c r="Z1219">
        <v>1.7580300000000001E-3</v>
      </c>
      <c r="AA1219">
        <v>0.99150090000000002</v>
      </c>
      <c r="AB1219">
        <v>36</v>
      </c>
      <c r="AC1219">
        <v>-16.314999999999898</v>
      </c>
      <c r="AD1219">
        <v>-1.1102324858920001</v>
      </c>
      <c r="AE1219">
        <v>2.8312999999999899</v>
      </c>
      <c r="AF1219">
        <v>2.1913164897991502</v>
      </c>
      <c r="AG1219">
        <v>-1.1102324858920001</v>
      </c>
      <c r="AH1219">
        <v>16.338448781443599</v>
      </c>
      <c r="AI1219">
        <v>93.853000017301298</v>
      </c>
      <c r="AJ1219">
        <v>82.361062938441805</v>
      </c>
      <c r="AK1219">
        <v>16.522088025278499</v>
      </c>
    </row>
    <row r="1220" spans="1:37" x14ac:dyDescent="0.2">
      <c r="A1220" t="str">
        <f>"20200111154049845"</f>
        <v>20200111154049845</v>
      </c>
      <c r="B1220" t="str">
        <f>"1578728449837952"</f>
        <v>1578728449837952</v>
      </c>
      <c r="C1220" t="s">
        <v>37</v>
      </c>
      <c r="D1220">
        <v>5.5423790000000004</v>
      </c>
      <c r="E1220">
        <v>0.55699940000000003</v>
      </c>
      <c r="F1220" t="s">
        <v>44</v>
      </c>
      <c r="G1220">
        <v>-268.1807</v>
      </c>
      <c r="H1220" s="1">
        <v>2.816574E-6</v>
      </c>
      <c r="I1220">
        <v>285.98899999999998</v>
      </c>
      <c r="J1220">
        <v>-251.67859999999999</v>
      </c>
      <c r="K1220">
        <v>1.1102969999999901</v>
      </c>
      <c r="L1220">
        <v>283.1429</v>
      </c>
      <c r="M1220">
        <v>-0.99925489999999995</v>
      </c>
      <c r="N1220">
        <v>0</v>
      </c>
      <c r="O1220">
        <v>3.7822509999999997E-2</v>
      </c>
      <c r="P1220">
        <v>-0.99851469999999898</v>
      </c>
      <c r="Q1220">
        <v>5.2716829999999999E-2</v>
      </c>
      <c r="R1220">
        <v>1.3754270000000001E-2</v>
      </c>
      <c r="S1220">
        <v>-3.0071870000000001</v>
      </c>
      <c r="T1220">
        <v>-0.19774939999999999</v>
      </c>
      <c r="U1220">
        <v>0.50942989999999999</v>
      </c>
      <c r="V1220">
        <v>-2.4099550000000001E-2</v>
      </c>
      <c r="W1220">
        <v>6.0354079999999997E-2</v>
      </c>
      <c r="X1220">
        <v>0.997886099999999</v>
      </c>
      <c r="Y1220">
        <v>0.1294206</v>
      </c>
      <c r="Z1220">
        <v>1.756079E-3</v>
      </c>
      <c r="AA1220">
        <v>0.99158819999999903</v>
      </c>
      <c r="AB1220">
        <v>36</v>
      </c>
      <c r="AC1220">
        <v>-16.502099999999999</v>
      </c>
      <c r="AD1220">
        <v>-1.1102941834259901</v>
      </c>
      <c r="AE1220">
        <v>2.8461000000000301</v>
      </c>
      <c r="AF1220">
        <v>2.2101779621120698</v>
      </c>
      <c r="AG1220">
        <v>-1.1102941834259901</v>
      </c>
      <c r="AH1220">
        <v>16.525294545050201</v>
      </c>
      <c r="AI1220">
        <v>93.809963041450004</v>
      </c>
      <c r="AJ1220">
        <v>82.382174793669904</v>
      </c>
      <c r="AK1220">
        <v>16.709368617593601</v>
      </c>
    </row>
    <row r="1221" spans="1:37" x14ac:dyDescent="0.2">
      <c r="A1221" t="str">
        <f>"20200111154049868"</f>
        <v>20200111154049868</v>
      </c>
      <c r="B1221" t="str">
        <f>"1578728449857471"</f>
        <v>1578728449857471</v>
      </c>
      <c r="C1221" t="s">
        <v>37</v>
      </c>
      <c r="D1221">
        <v>5.5718079999999999</v>
      </c>
      <c r="E1221">
        <v>0.55666669999999996</v>
      </c>
      <c r="F1221" t="s">
        <v>38</v>
      </c>
      <c r="G1221">
        <v>-252.69319999999999</v>
      </c>
      <c r="H1221">
        <v>1.0443420000000001</v>
      </c>
      <c r="I1221">
        <v>283.31299999999999</v>
      </c>
      <c r="J1221">
        <v>-252.04910000000001</v>
      </c>
      <c r="K1221">
        <v>1.110358</v>
      </c>
      <c r="L1221">
        <v>283.15629999999999</v>
      </c>
      <c r="M1221">
        <v>-0.99927960000000005</v>
      </c>
      <c r="N1221">
        <v>0</v>
      </c>
      <c r="O1221">
        <v>3.7144150000000001E-2</v>
      </c>
      <c r="P1221">
        <v>-0.99853630000000004</v>
      </c>
      <c r="Q1221">
        <v>5.2773199999999999E-2</v>
      </c>
      <c r="R1221">
        <v>1.185515E-2</v>
      </c>
      <c r="S1221">
        <v>-3.0078580000000001</v>
      </c>
      <c r="T1221">
        <v>-0.19565669999999999</v>
      </c>
      <c r="U1221">
        <v>0.50350950000000005</v>
      </c>
      <c r="V1221">
        <v>-2.5325E-2</v>
      </c>
      <c r="W1221">
        <v>6.052685E-2</v>
      </c>
      <c r="X1221">
        <v>0.99784519999999899</v>
      </c>
      <c r="Y1221">
        <v>0.12816449999999999</v>
      </c>
      <c r="Z1221">
        <v>1.7405629999999899E-3</v>
      </c>
      <c r="AA1221">
        <v>0.99175139999999995</v>
      </c>
      <c r="AB1221">
        <v>36</v>
      </c>
      <c r="AC1221">
        <v>-0.64409999999998002</v>
      </c>
      <c r="AD1221">
        <v>-6.6015999999999797E-2</v>
      </c>
      <c r="AE1221">
        <v>0.15670000000000001</v>
      </c>
      <c r="AF1221">
        <v>0.131363735820371</v>
      </c>
      <c r="AG1221">
        <v>-6.6015999999999797E-2</v>
      </c>
      <c r="AH1221">
        <v>0.643097986616883</v>
      </c>
      <c r="AI1221">
        <v>95.743281949369305</v>
      </c>
      <c r="AJ1221">
        <v>78.455180242246399</v>
      </c>
      <c r="AK1221">
        <v>0.65968899015776605</v>
      </c>
    </row>
    <row r="1222" spans="1:37" x14ac:dyDescent="0.2">
      <c r="A1222" t="str">
        <f>"20200111154049890"</f>
        <v>20200111154049890</v>
      </c>
      <c r="B1222" t="str">
        <f>"1578728449877969"</f>
        <v>1578728449877969</v>
      </c>
      <c r="C1222" t="s">
        <v>37</v>
      </c>
      <c r="D1222">
        <v>5.5665550000000001</v>
      </c>
      <c r="E1222">
        <v>0.55639669999999997</v>
      </c>
      <c r="F1222" t="s">
        <v>38</v>
      </c>
      <c r="G1222">
        <v>-253.017</v>
      </c>
      <c r="H1222">
        <v>1.047418</v>
      </c>
      <c r="I1222">
        <v>283.31610000000001</v>
      </c>
      <c r="J1222">
        <v>-252.3989</v>
      </c>
      <c r="K1222">
        <v>1.110412</v>
      </c>
      <c r="L1222">
        <v>283.16879999999998</v>
      </c>
      <c r="M1222">
        <v>-0.99930259999999904</v>
      </c>
      <c r="N1222">
        <v>0</v>
      </c>
      <c r="O1222">
        <v>3.648995E-2</v>
      </c>
      <c r="P1222">
        <v>-0.99854920000000003</v>
      </c>
      <c r="Q1222">
        <v>5.2923900000000003E-2</v>
      </c>
      <c r="R1222">
        <v>9.9515850000000006E-3</v>
      </c>
      <c r="S1222">
        <v>-3.0088810000000001</v>
      </c>
      <c r="T1222">
        <v>-0.19597919999999999</v>
      </c>
      <c r="U1222">
        <v>0.49545289999999997</v>
      </c>
      <c r="V1222">
        <v>-2.657783E-2</v>
      </c>
      <c r="W1222">
        <v>6.0793859999999998E-2</v>
      </c>
      <c r="X1222">
        <v>0.99779640000000003</v>
      </c>
      <c r="Y1222">
        <v>0.12617639999999999</v>
      </c>
      <c r="Z1222">
        <v>1.721141E-3</v>
      </c>
      <c r="AA1222">
        <v>0.99200630000000001</v>
      </c>
      <c r="AB1222">
        <v>36</v>
      </c>
      <c r="AC1222">
        <v>-0.61809999999999798</v>
      </c>
      <c r="AD1222">
        <v>-6.2994000000000203E-2</v>
      </c>
      <c r="AE1222">
        <v>0.14730000000002899</v>
      </c>
      <c r="AF1222">
        <v>0.12343357043252801</v>
      </c>
      <c r="AG1222">
        <v>-6.2994000000000203E-2</v>
      </c>
      <c r="AH1222">
        <v>0.61699923634223797</v>
      </c>
      <c r="AI1222">
        <v>95.717040639175494</v>
      </c>
      <c r="AJ1222">
        <v>78.6870564035287</v>
      </c>
      <c r="AK1222">
        <v>0.63237026178705402</v>
      </c>
    </row>
    <row r="1223" spans="1:37" x14ac:dyDescent="0.2">
      <c r="A1223" t="str">
        <f>"20200111154049912"</f>
        <v>20200111154049912</v>
      </c>
      <c r="B1223" t="str">
        <f>"1578728449907247"</f>
        <v>1578728449907247</v>
      </c>
      <c r="C1223" t="s">
        <v>37</v>
      </c>
      <c r="D1223">
        <v>5.577197</v>
      </c>
      <c r="E1223">
        <v>0.55636699999999994</v>
      </c>
      <c r="F1223" t="s">
        <v>38</v>
      </c>
      <c r="G1223">
        <v>-253.3398</v>
      </c>
      <c r="H1223">
        <v>1.04881</v>
      </c>
      <c r="I1223">
        <v>283.32130000000001</v>
      </c>
      <c r="J1223">
        <v>-252.73330000000001</v>
      </c>
      <c r="K1223">
        <v>1.1104719999999999</v>
      </c>
      <c r="L1223">
        <v>283.18049999999999</v>
      </c>
      <c r="M1223">
        <v>-0.9993244</v>
      </c>
      <c r="N1223">
        <v>0</v>
      </c>
      <c r="O1223">
        <v>3.5858670000000002E-2</v>
      </c>
      <c r="P1223">
        <v>-0.99849080000000001</v>
      </c>
      <c r="Q1223">
        <v>5.4192610000000002E-2</v>
      </c>
      <c r="R1223">
        <v>8.914913E-3</v>
      </c>
      <c r="S1223">
        <v>-3.0099640000000001</v>
      </c>
      <c r="T1223">
        <v>-0.19720460000000001</v>
      </c>
      <c r="U1223">
        <v>0.48715209999999998</v>
      </c>
      <c r="V1223">
        <v>-2.6985599999999998E-2</v>
      </c>
      <c r="W1223">
        <v>6.2208810000000003E-2</v>
      </c>
      <c r="X1223">
        <v>0.99769819999999998</v>
      </c>
      <c r="Y1223">
        <v>0.1240815</v>
      </c>
      <c r="Z1223">
        <v>1.704475E-3</v>
      </c>
      <c r="AA1223">
        <v>0.9922706</v>
      </c>
      <c r="AB1223">
        <v>36</v>
      </c>
      <c r="AC1223">
        <v>-0.60649999999998205</v>
      </c>
      <c r="AD1223">
        <v>-6.16619999999998E-2</v>
      </c>
      <c r="AE1223">
        <v>0.140800000000012</v>
      </c>
      <c r="AF1223">
        <v>0.117805031227721</v>
      </c>
      <c r="AG1223">
        <v>-6.16619999999998E-2</v>
      </c>
      <c r="AH1223">
        <v>0.60522300834020704</v>
      </c>
      <c r="AI1223">
        <v>95.710946094542706</v>
      </c>
      <c r="AJ1223">
        <v>78.985259622240605</v>
      </c>
      <c r="AK1223">
        <v>0.61965725804749106</v>
      </c>
    </row>
    <row r="1224" spans="1:37" x14ac:dyDescent="0.2">
      <c r="A1224" t="str">
        <f>"20200111154049932"</f>
        <v>20200111154049932</v>
      </c>
      <c r="B1224" t="str">
        <f>"1578728449927743"</f>
        <v>1578728449927743</v>
      </c>
      <c r="C1224" t="s">
        <v>37</v>
      </c>
      <c r="D1224">
        <v>5.6356400000000004</v>
      </c>
      <c r="E1224">
        <v>0.55604030000000004</v>
      </c>
      <c r="F1224" t="s">
        <v>38</v>
      </c>
      <c r="G1224">
        <v>-253.66220000000001</v>
      </c>
      <c r="H1224">
        <v>1.049166</v>
      </c>
      <c r="I1224">
        <v>283.33</v>
      </c>
      <c r="J1224">
        <v>-253.08439999999999</v>
      </c>
      <c r="K1224">
        <v>1.110536</v>
      </c>
      <c r="L1224">
        <v>283.1925</v>
      </c>
      <c r="M1224">
        <v>-0.99934630000000002</v>
      </c>
      <c r="N1224">
        <v>0</v>
      </c>
      <c r="O1224">
        <v>3.5194019999999999E-2</v>
      </c>
      <c r="P1224">
        <v>-0.99838269999999996</v>
      </c>
      <c r="Q1224">
        <v>5.6182459999999997E-2</v>
      </c>
      <c r="R1224">
        <v>8.7085440000000004E-3</v>
      </c>
      <c r="S1224">
        <v>-3.0110169999999998</v>
      </c>
      <c r="T1224">
        <v>-0.19895399999999999</v>
      </c>
      <c r="U1224">
        <v>0.48370360000000001</v>
      </c>
      <c r="V1224">
        <v>-2.6529469999999999E-2</v>
      </c>
      <c r="W1224">
        <v>6.4404999999999907E-2</v>
      </c>
      <c r="X1224">
        <v>0.99757119999999999</v>
      </c>
      <c r="Y1224">
        <v>0.123575399999999</v>
      </c>
      <c r="Z1224">
        <v>1.7460259999999999E-3</v>
      </c>
      <c r="AA1224">
        <v>0.99233369999999999</v>
      </c>
      <c r="AB1224">
        <v>36</v>
      </c>
      <c r="AC1224">
        <v>-0.57780000000002396</v>
      </c>
      <c r="AD1224">
        <v>-6.1369999999999897E-2</v>
      </c>
      <c r="AE1224">
        <v>0.13749999999998799</v>
      </c>
      <c r="AF1224">
        <v>0.11584220900058401</v>
      </c>
      <c r="AG1224">
        <v>-6.1369999999999897E-2</v>
      </c>
      <c r="AH1224">
        <v>0.576130243569967</v>
      </c>
      <c r="AI1224">
        <v>95.961842555224095</v>
      </c>
      <c r="AJ1224">
        <v>78.631159718657997</v>
      </c>
      <c r="AK1224">
        <v>0.590856794699126</v>
      </c>
    </row>
    <row r="1225" spans="1:37" x14ac:dyDescent="0.2">
      <c r="A1225" t="str">
        <f>"20200111154049956"</f>
        <v>20200111154049956</v>
      </c>
      <c r="B1225" t="str">
        <f>"1578728449947263"</f>
        <v>1578728449947263</v>
      </c>
      <c r="C1225" t="s">
        <v>37</v>
      </c>
      <c r="D1225">
        <v>5.5872479999999998</v>
      </c>
      <c r="E1225">
        <v>0.55586119999999895</v>
      </c>
      <c r="F1225" t="s">
        <v>38</v>
      </c>
      <c r="G1225">
        <v>-253.9956</v>
      </c>
      <c r="H1225">
        <v>1.051687</v>
      </c>
      <c r="I1225">
        <v>283.337999999999</v>
      </c>
      <c r="J1225">
        <v>-253.45679999999999</v>
      </c>
      <c r="K1225">
        <v>1.110608</v>
      </c>
      <c r="L1225">
        <v>283.20490000000001</v>
      </c>
      <c r="M1225">
        <v>-0.99936840000000005</v>
      </c>
      <c r="N1225">
        <v>0</v>
      </c>
      <c r="O1225">
        <v>3.4493070000000001E-2</v>
      </c>
      <c r="P1225">
        <v>-0.99829799999999902</v>
      </c>
      <c r="Q1225">
        <v>5.7619040000000003E-2</v>
      </c>
      <c r="R1225">
        <v>9.0162819999999901E-3</v>
      </c>
      <c r="S1225">
        <v>-3.0116269999999998</v>
      </c>
      <c r="T1225">
        <v>-0.1946011</v>
      </c>
      <c r="U1225">
        <v>0.4803772</v>
      </c>
      <c r="V1225">
        <v>-2.5524330000000001E-2</v>
      </c>
      <c r="W1225">
        <v>6.6116049999999996E-2</v>
      </c>
      <c r="X1225">
        <v>0.99748539999999997</v>
      </c>
      <c r="Y1225">
        <v>0.1231787</v>
      </c>
      <c r="Z1225">
        <v>1.73985E-3</v>
      </c>
      <c r="AA1225">
        <v>0.99238300000000002</v>
      </c>
      <c r="AB1225">
        <v>36</v>
      </c>
      <c r="AC1225">
        <v>-0.53880000000000805</v>
      </c>
      <c r="AD1225">
        <v>-5.8921000000000001E-2</v>
      </c>
      <c r="AE1225">
        <v>0.133099999999956</v>
      </c>
      <c r="AF1225">
        <v>0.11315982983551399</v>
      </c>
      <c r="AG1225">
        <v>-5.8921000000000001E-2</v>
      </c>
      <c r="AH1225">
        <v>0.53701786023720599</v>
      </c>
      <c r="AI1225">
        <v>96.127872507265195</v>
      </c>
      <c r="AJ1225">
        <v>78.1007746644717</v>
      </c>
      <c r="AK1225">
        <v>0.55196468505072904</v>
      </c>
    </row>
    <row r="1226" spans="1:37" x14ac:dyDescent="0.2">
      <c r="A1226" t="str">
        <f>"20200111154049979"</f>
        <v>20200111154049979</v>
      </c>
      <c r="B1226" t="str">
        <f>"1578728449967758"</f>
        <v>1578728449967758</v>
      </c>
      <c r="C1226" t="s">
        <v>37</v>
      </c>
      <c r="D1226">
        <v>5.6016490000000001</v>
      </c>
      <c r="E1226">
        <v>0.55589709999999903</v>
      </c>
      <c r="F1226" t="s">
        <v>44</v>
      </c>
      <c r="G1226">
        <v>-270.79050000000001</v>
      </c>
      <c r="H1226" s="1">
        <v>-1.17514E-6</v>
      </c>
      <c r="I1226">
        <v>285.96629999999999</v>
      </c>
      <c r="J1226">
        <v>-253.83</v>
      </c>
      <c r="K1226">
        <v>1.110684</v>
      </c>
      <c r="L1226">
        <v>283.21719999999999</v>
      </c>
      <c r="M1226">
        <v>-0.99938939999999998</v>
      </c>
      <c r="N1226">
        <v>0</v>
      </c>
      <c r="O1226">
        <v>3.3800199999999898E-2</v>
      </c>
      <c r="P1226">
        <v>-0.99826469999999901</v>
      </c>
      <c r="Q1226">
        <v>5.8130710000000002E-2</v>
      </c>
      <c r="R1226">
        <v>9.4041409999999995E-3</v>
      </c>
      <c r="S1226">
        <v>-3.0119319999999998</v>
      </c>
      <c r="T1226">
        <v>-0.19298119999999999</v>
      </c>
      <c r="U1226">
        <v>0.47982789999999997</v>
      </c>
      <c r="V1226">
        <v>-2.4446590000000001E-2</v>
      </c>
      <c r="W1226">
        <v>6.6947720000000002E-2</v>
      </c>
      <c r="X1226">
        <v>0.99745699999999904</v>
      </c>
      <c r="Y1226">
        <v>0.1236751</v>
      </c>
      <c r="Z1226">
        <v>1.7850229999999999E-3</v>
      </c>
      <c r="AA1226">
        <v>0.99232109999999996</v>
      </c>
      <c r="AB1226">
        <v>36</v>
      </c>
      <c r="AC1226">
        <v>-16.9604999999999</v>
      </c>
      <c r="AD1226">
        <v>-1.11068517514</v>
      </c>
      <c r="AE1226">
        <v>2.7490999999999901</v>
      </c>
      <c r="AF1226">
        <v>2.1651906139527402</v>
      </c>
      <c r="AG1226">
        <v>-1.11068517514</v>
      </c>
      <c r="AH1226">
        <v>16.972807565655401</v>
      </c>
      <c r="AI1226">
        <v>93.714032529298507</v>
      </c>
      <c r="AJ1226">
        <v>82.730146175121902</v>
      </c>
      <c r="AK1226">
        <v>17.146366046885699</v>
      </c>
    </row>
    <row r="1227" spans="1:37" x14ac:dyDescent="0.2">
      <c r="A1227" t="str">
        <f>"20200111154049999"</f>
        <v>20200111154049999</v>
      </c>
      <c r="B1227" t="str">
        <f>"1578728449987279"</f>
        <v>1578728449987279</v>
      </c>
      <c r="C1227" t="s">
        <v>37</v>
      </c>
      <c r="D1227">
        <v>5.649826</v>
      </c>
      <c r="E1227">
        <v>0.55587069999999905</v>
      </c>
      <c r="F1227" t="s">
        <v>44</v>
      </c>
      <c r="G1227">
        <v>-271.23919999999998</v>
      </c>
      <c r="H1227" s="1">
        <v>-9.3779200000000004E-7</v>
      </c>
      <c r="I1227">
        <v>285.99930000000001</v>
      </c>
      <c r="J1227">
        <v>-254.1677</v>
      </c>
      <c r="K1227">
        <v>1.110746</v>
      </c>
      <c r="L1227">
        <v>283.22800000000001</v>
      </c>
      <c r="M1227">
        <v>-0.99940699999999905</v>
      </c>
      <c r="N1227">
        <v>0</v>
      </c>
      <c r="O1227">
        <v>3.3185300000000001E-2</v>
      </c>
      <c r="P1227">
        <v>-0.99830640000000004</v>
      </c>
      <c r="Q1227">
        <v>5.7362929999999999E-2</v>
      </c>
      <c r="R1227">
        <v>9.6921059999999903E-3</v>
      </c>
      <c r="S1227">
        <v>-3.01187099999999</v>
      </c>
      <c r="T1227">
        <v>-0.19215389999999999</v>
      </c>
      <c r="U1227">
        <v>0.48132320000000001</v>
      </c>
      <c r="V1227">
        <v>-2.3546460000000002E-2</v>
      </c>
      <c r="W1227">
        <v>6.6496219999999995E-2</v>
      </c>
      <c r="X1227">
        <v>0.99750879999999997</v>
      </c>
      <c r="Y1227">
        <v>0.12476719999999999</v>
      </c>
      <c r="Z1227">
        <v>1.8508109999999999E-3</v>
      </c>
      <c r="AA1227">
        <v>0.99218430000000002</v>
      </c>
      <c r="AB1227">
        <v>36</v>
      </c>
      <c r="AC1227">
        <v>-17.071499999999901</v>
      </c>
      <c r="AD1227">
        <v>-1.1107469377920001</v>
      </c>
      <c r="AE1227">
        <v>2.7712999999999899</v>
      </c>
      <c r="AF1227">
        <v>2.1941764545189901</v>
      </c>
      <c r="AG1227">
        <v>-1.1107469377920001</v>
      </c>
      <c r="AH1227">
        <v>17.0836024057919</v>
      </c>
      <c r="AI1227">
        <v>93.689813855786198</v>
      </c>
      <c r="AJ1227">
        <v>82.681138032001101</v>
      </c>
      <c r="AK1227">
        <v>17.259711475936001</v>
      </c>
    </row>
    <row r="1228" spans="1:37" x14ac:dyDescent="0.2">
      <c r="A1228" t="str">
        <f>"20200111154050023"</f>
        <v>20200111154050023</v>
      </c>
      <c r="B1228" t="str">
        <f>"1578728450017536"</f>
        <v>1578728450017536</v>
      </c>
      <c r="C1228" t="s">
        <v>37</v>
      </c>
      <c r="D1228">
        <v>5.5940899999999996</v>
      </c>
      <c r="E1228">
        <v>0.55587410000000004</v>
      </c>
      <c r="F1228" t="s">
        <v>44</v>
      </c>
      <c r="G1228">
        <v>-271.3879</v>
      </c>
      <c r="H1228" s="1">
        <v>-8.5807869999999896E-7</v>
      </c>
      <c r="I1228">
        <v>285.9864</v>
      </c>
      <c r="J1228">
        <v>-254.53620000000001</v>
      </c>
      <c r="K1228">
        <v>1.110806</v>
      </c>
      <c r="L1228">
        <v>283.2396</v>
      </c>
      <c r="M1228">
        <v>-0.99942540000000002</v>
      </c>
      <c r="N1228">
        <v>0</v>
      </c>
      <c r="O1228">
        <v>3.252961E-2</v>
      </c>
      <c r="P1228">
        <v>-0.99835370000000001</v>
      </c>
      <c r="Q1228">
        <v>5.6569910000000001E-2</v>
      </c>
      <c r="R1228">
        <v>9.4866580000000002E-3</v>
      </c>
      <c r="S1228">
        <v>-3.011536</v>
      </c>
      <c r="T1228">
        <v>-0.19425110000000001</v>
      </c>
      <c r="U1228">
        <v>0.48239140000000003</v>
      </c>
      <c r="V1228">
        <v>-2.30986E-2</v>
      </c>
      <c r="W1228">
        <v>6.6055630000000004E-2</v>
      </c>
      <c r="X1228">
        <v>0.99754849999999995</v>
      </c>
      <c r="Y1228">
        <v>0.12577089999999999</v>
      </c>
      <c r="Z1228">
        <v>1.945167E-3</v>
      </c>
      <c r="AA1228">
        <v>0.99205739999999998</v>
      </c>
      <c r="AB1228">
        <v>36</v>
      </c>
      <c r="AC1228">
        <v>-16.851699999999902</v>
      </c>
      <c r="AD1228">
        <v>-1.1108068580787001</v>
      </c>
      <c r="AE1228">
        <v>2.7467999999999999</v>
      </c>
      <c r="AF1228">
        <v>2.1878817847871401</v>
      </c>
      <c r="AG1228">
        <v>-1.1108068580787001</v>
      </c>
      <c r="AH1228">
        <v>16.860773180247001</v>
      </c>
      <c r="AI1228">
        <v>93.738014784551694</v>
      </c>
      <c r="AJ1228">
        <v>82.606517648674398</v>
      </c>
      <c r="AK1228">
        <v>17.0383799351902</v>
      </c>
    </row>
    <row r="1229" spans="1:37" x14ac:dyDescent="0.2">
      <c r="A1229" t="str">
        <f>"20200111154050046"</f>
        <v>20200111154050046</v>
      </c>
      <c r="B1229" t="str">
        <f>"1578728450038032"</f>
        <v>1578728450038032</v>
      </c>
      <c r="C1229" t="s">
        <v>37</v>
      </c>
      <c r="D1229">
        <v>5.5803779999999996</v>
      </c>
      <c r="E1229">
        <v>0.55585549999999995</v>
      </c>
      <c r="F1229" t="s">
        <v>44</v>
      </c>
      <c r="G1229">
        <v>-271.4434</v>
      </c>
      <c r="H1229" s="1">
        <v>-8.2683149999999999E-7</v>
      </c>
      <c r="I1229">
        <v>285.94630000000001</v>
      </c>
      <c r="J1229">
        <v>-254.9153</v>
      </c>
      <c r="K1229">
        <v>1.1108480000000001</v>
      </c>
      <c r="L1229">
        <v>283.25130000000001</v>
      </c>
      <c r="M1229">
        <v>-0.99944270000000002</v>
      </c>
      <c r="N1229">
        <v>0</v>
      </c>
      <c r="O1229">
        <v>3.1876740000000001E-2</v>
      </c>
      <c r="P1229">
        <v>-0.99837109999999996</v>
      </c>
      <c r="Q1229">
        <v>5.6420489999999997E-2</v>
      </c>
      <c r="R1229">
        <v>8.4895059999999904E-3</v>
      </c>
      <c r="S1229">
        <v>-3.0115810000000001</v>
      </c>
      <c r="T1229">
        <v>-0.19786229999999999</v>
      </c>
      <c r="U1229">
        <v>0.48211670000000001</v>
      </c>
      <c r="V1229">
        <v>-2.344311E-2</v>
      </c>
      <c r="W1229">
        <v>6.6279249999999998E-2</v>
      </c>
      <c r="X1229">
        <v>0.99752569999999996</v>
      </c>
      <c r="Y1229">
        <v>0.1263186</v>
      </c>
      <c r="Z1229">
        <v>2.0415979999999999E-3</v>
      </c>
      <c r="AA1229">
        <v>0.99198759999999997</v>
      </c>
      <c r="AB1229">
        <v>36</v>
      </c>
      <c r="AC1229">
        <v>-16.528099999999899</v>
      </c>
      <c r="AD1229">
        <v>-1.1108488268315</v>
      </c>
      <c r="AE1229">
        <v>2.6949999999999901</v>
      </c>
      <c r="AF1229">
        <v>2.15725023839792</v>
      </c>
      <c r="AG1229">
        <v>-1.1108488268315</v>
      </c>
      <c r="AH1229">
        <v>16.5328645409727</v>
      </c>
      <c r="AI1229">
        <v>93.811730170652694</v>
      </c>
      <c r="AJ1229">
        <v>82.565901251535706</v>
      </c>
      <c r="AK1229">
        <v>16.7099767695019</v>
      </c>
    </row>
    <row r="1230" spans="1:37" x14ac:dyDescent="0.2">
      <c r="A1230" t="str">
        <f>"20200111154050069"</f>
        <v>20200111154050069</v>
      </c>
      <c r="B1230" t="str">
        <f>"1578728450057551"</f>
        <v>1578728450057551</v>
      </c>
      <c r="C1230" t="s">
        <v>37</v>
      </c>
      <c r="D1230">
        <v>5.5900460000000001</v>
      </c>
      <c r="E1230">
        <v>0.55588549999999903</v>
      </c>
      <c r="F1230" t="s">
        <v>38</v>
      </c>
      <c r="G1230">
        <v>-255.91739999999999</v>
      </c>
      <c r="H1230">
        <v>1.044602</v>
      </c>
      <c r="I1230">
        <v>283.41070000000002</v>
      </c>
      <c r="J1230">
        <v>-255.28380000000001</v>
      </c>
      <c r="K1230">
        <v>1.1108690000000001</v>
      </c>
      <c r="L1230">
        <v>283.26229999999998</v>
      </c>
      <c r="M1230">
        <v>-0.99945869999999903</v>
      </c>
      <c r="N1230">
        <v>0</v>
      </c>
      <c r="O1230">
        <v>3.1257220000000002E-2</v>
      </c>
      <c r="P1230">
        <v>-0.99837690000000001</v>
      </c>
      <c r="Q1230">
        <v>5.6496400000000002E-2</v>
      </c>
      <c r="R1230">
        <v>7.2285659999999996E-3</v>
      </c>
      <c r="S1230">
        <v>-3.0120849999999999</v>
      </c>
      <c r="T1230">
        <v>-0.19916420000000001</v>
      </c>
      <c r="U1230">
        <v>0.47906490000000002</v>
      </c>
      <c r="V1230">
        <v>-2.4083589999999998E-2</v>
      </c>
      <c r="W1230">
        <v>6.6709829999999998E-2</v>
      </c>
      <c r="X1230">
        <v>0.99748169999999903</v>
      </c>
      <c r="Y1230">
        <v>0.12592429999999999</v>
      </c>
      <c r="Z1230">
        <v>2.082469E-3</v>
      </c>
      <c r="AA1230">
        <v>0.99203770000000002</v>
      </c>
      <c r="AB1230">
        <v>36</v>
      </c>
      <c r="AC1230">
        <v>-0.63359999999997196</v>
      </c>
      <c r="AD1230">
        <v>-6.6267000000000006E-2</v>
      </c>
      <c r="AE1230">
        <v>0.148400000000037</v>
      </c>
      <c r="AF1230">
        <v>0.12720279526205999</v>
      </c>
      <c r="AG1230">
        <v>-6.6267000000000006E-2</v>
      </c>
      <c r="AH1230">
        <v>0.63138188510186799</v>
      </c>
      <c r="AI1230">
        <v>95.874389003895203</v>
      </c>
      <c r="AJ1230">
        <v>78.609254483450002</v>
      </c>
      <c r="AK1230">
        <v>0.64746810828508705</v>
      </c>
    </row>
    <row r="1231" spans="1:37" x14ac:dyDescent="0.2">
      <c r="A1231" t="str">
        <f>"20200111154050089"</f>
        <v>20200111154050089</v>
      </c>
      <c r="B1231" t="str">
        <f>"1578728450078050"</f>
        <v>1578728450078050</v>
      </c>
      <c r="C1231" t="s">
        <v>37</v>
      </c>
      <c r="D1231">
        <v>5.5750409999999997</v>
      </c>
      <c r="E1231">
        <v>0.55589409999999995</v>
      </c>
      <c r="F1231" t="s">
        <v>38</v>
      </c>
      <c r="G1231">
        <v>-256.24160000000001</v>
      </c>
      <c r="H1231">
        <v>1.047204</v>
      </c>
      <c r="I1231">
        <v>283.41370000000001</v>
      </c>
      <c r="J1231">
        <v>-255.6163</v>
      </c>
      <c r="K1231">
        <v>1.110876</v>
      </c>
      <c r="L1231">
        <v>283.2722</v>
      </c>
      <c r="M1231">
        <v>-0.99947260000000004</v>
      </c>
      <c r="N1231">
        <v>0</v>
      </c>
      <c r="O1231">
        <v>3.0706319999999999E-2</v>
      </c>
      <c r="P1231">
        <v>-0.99837749999999903</v>
      </c>
      <c r="Q1231">
        <v>5.6643869999999999E-2</v>
      </c>
      <c r="R1231">
        <v>5.824358E-3</v>
      </c>
      <c r="S1231">
        <v>-3.0127869999999999</v>
      </c>
      <c r="T1231">
        <v>-0.200316299999999</v>
      </c>
      <c r="U1231">
        <v>0.47546389999999999</v>
      </c>
      <c r="V1231">
        <v>-2.4934700000000001E-2</v>
      </c>
      <c r="W1231">
        <v>6.7157049999999996E-2</v>
      </c>
      <c r="X1231">
        <v>0.99743079999999995</v>
      </c>
      <c r="Y1231">
        <v>0.12527639999999901</v>
      </c>
      <c r="Z1231">
        <v>2.1091109999999999E-3</v>
      </c>
      <c r="AA1231">
        <v>0.99211970000000005</v>
      </c>
      <c r="AB1231">
        <v>36</v>
      </c>
      <c r="AC1231">
        <v>-0.62530000000000996</v>
      </c>
      <c r="AD1231">
        <v>-6.3671999999999895E-2</v>
      </c>
      <c r="AE1231">
        <v>0.14150000000000701</v>
      </c>
      <c r="AF1231">
        <v>0.121037677859128</v>
      </c>
      <c r="AG1231">
        <v>-6.3671999999999895E-2</v>
      </c>
      <c r="AH1231">
        <v>0.62320332042960802</v>
      </c>
      <c r="AI1231">
        <v>95.727316757100496</v>
      </c>
      <c r="AJ1231">
        <v>79.008928063056601</v>
      </c>
      <c r="AK1231">
        <v>0.63803340166485001</v>
      </c>
    </row>
    <row r="1232" spans="1:37" x14ac:dyDescent="0.2">
      <c r="A1232" t="str">
        <f>"20200111154050112"</f>
        <v>20200111154050112</v>
      </c>
      <c r="B1232" t="str">
        <f>"1578728450107327"</f>
        <v>1578728450107327</v>
      </c>
      <c r="C1232" t="s">
        <v>37</v>
      </c>
      <c r="D1232">
        <v>5.6846180000000004</v>
      </c>
      <c r="E1232">
        <v>0.55591489999999999</v>
      </c>
      <c r="F1232" t="s">
        <v>38</v>
      </c>
      <c r="G1232">
        <v>-256.56389999999999</v>
      </c>
      <c r="H1232">
        <v>1.0476289999999999</v>
      </c>
      <c r="I1232">
        <v>283.42039999999997</v>
      </c>
      <c r="J1232">
        <v>-255.96539999999999</v>
      </c>
      <c r="K1232">
        <v>1.1108799999999901</v>
      </c>
      <c r="L1232">
        <v>283.28230000000002</v>
      </c>
      <c r="M1232">
        <v>-0.9994866</v>
      </c>
      <c r="N1232">
        <v>0</v>
      </c>
      <c r="O1232">
        <v>3.0141620000000001E-2</v>
      </c>
      <c r="P1232">
        <v>-0.9983957</v>
      </c>
      <c r="Q1232">
        <v>5.6452290000000002E-2</v>
      </c>
      <c r="R1232">
        <v>4.3891729999999997E-3</v>
      </c>
      <c r="S1232">
        <v>-3.01355</v>
      </c>
      <c r="T1232">
        <v>-0.20125370000000001</v>
      </c>
      <c r="U1232">
        <v>0.4711304</v>
      </c>
      <c r="V1232">
        <v>-2.5803920000000001E-2</v>
      </c>
      <c r="W1232">
        <v>6.7265060000000002E-2</v>
      </c>
      <c r="X1232">
        <v>0.99740139999999999</v>
      </c>
      <c r="Y1232">
        <v>0.1244046</v>
      </c>
      <c r="Z1232">
        <v>2.127131E-3</v>
      </c>
      <c r="AA1232">
        <v>0.99222929999999998</v>
      </c>
      <c r="AB1232">
        <v>36</v>
      </c>
      <c r="AC1232">
        <v>-0.59850000000000103</v>
      </c>
      <c r="AD1232">
        <v>-6.3250999999999696E-2</v>
      </c>
      <c r="AE1232">
        <v>0.13809999999995101</v>
      </c>
      <c r="AF1232">
        <v>0.11873730640987799</v>
      </c>
      <c r="AG1232">
        <v>-6.3250999999999696E-2</v>
      </c>
      <c r="AH1232">
        <v>0.59606998791165799</v>
      </c>
      <c r="AI1232">
        <v>95.941310301373903</v>
      </c>
      <c r="AJ1232">
        <v>78.734132737379099</v>
      </c>
      <c r="AK1232">
        <v>0.61106355432432502</v>
      </c>
    </row>
    <row r="1233" spans="1:37" x14ac:dyDescent="0.2">
      <c r="A1233" t="str">
        <f>"20200111154050135"</f>
        <v>20200111154050135</v>
      </c>
      <c r="B1233" t="str">
        <f>"1578728450127824"</f>
        <v>1578728450127824</v>
      </c>
      <c r="C1233" t="s">
        <v>37</v>
      </c>
      <c r="D1233">
        <v>5.3910029999999898</v>
      </c>
      <c r="E1233">
        <v>0.5152234</v>
      </c>
      <c r="F1233" t="s">
        <v>38</v>
      </c>
      <c r="G1233">
        <v>-256.88659999999999</v>
      </c>
      <c r="H1233">
        <v>1.048729</v>
      </c>
      <c r="I1233">
        <v>283.42529999999999</v>
      </c>
      <c r="J1233">
        <v>-256.3569</v>
      </c>
      <c r="K1233">
        <v>1.1108830000000001</v>
      </c>
      <c r="L1233">
        <v>283.29349999999999</v>
      </c>
      <c r="M1233">
        <v>-0.99950149999999904</v>
      </c>
      <c r="N1233">
        <v>0</v>
      </c>
      <c r="O1233">
        <v>2.9526400000000001E-2</v>
      </c>
      <c r="P1233">
        <v>-0.99833969999999905</v>
      </c>
      <c r="Q1233">
        <v>5.7528459999999997E-2</v>
      </c>
      <c r="R1233">
        <v>2.9355039999999998E-3</v>
      </c>
      <c r="S1233">
        <v>-3.0142820000000001</v>
      </c>
      <c r="T1233">
        <v>-0.20364959999999999</v>
      </c>
      <c r="U1233">
        <v>0.46679690000000001</v>
      </c>
      <c r="V1233">
        <v>-2.6639389999999999E-2</v>
      </c>
      <c r="W1233">
        <v>6.8653729999999996E-2</v>
      </c>
      <c r="X1233">
        <v>0.99728479999999997</v>
      </c>
      <c r="Y1233">
        <v>0.123581199999999</v>
      </c>
      <c r="Z1233">
        <v>2.1656969999999998E-3</v>
      </c>
      <c r="AA1233">
        <v>0.99233209999999905</v>
      </c>
      <c r="AB1233">
        <v>36</v>
      </c>
      <c r="AC1233">
        <v>-0.52969999999999096</v>
      </c>
      <c r="AD1233">
        <v>-6.2154000000000001E-2</v>
      </c>
      <c r="AE1233">
        <v>0.131799999999998</v>
      </c>
      <c r="AF1233">
        <v>0.114615369082816</v>
      </c>
      <c r="AG1233">
        <v>-6.2154000000000001E-2</v>
      </c>
      <c r="AH1233">
        <v>0.52653405741730697</v>
      </c>
      <c r="AI1233">
        <v>96.579567277694196</v>
      </c>
      <c r="AJ1233">
        <v>77.719491265315398</v>
      </c>
      <c r="AK1233">
        <v>0.54243701585190696</v>
      </c>
    </row>
    <row r="1234" spans="1:37" x14ac:dyDescent="0.2">
      <c r="A1234" t="str">
        <f>"20200111154050158"</f>
        <v>20200111154050158</v>
      </c>
      <c r="B1234" t="str">
        <f>"1578728450147343"</f>
        <v>1578728450147343</v>
      </c>
      <c r="C1234" t="s">
        <v>37</v>
      </c>
      <c r="D1234">
        <v>5.4239999999999897</v>
      </c>
      <c r="E1234">
        <v>0.50065109999999902</v>
      </c>
      <c r="F1234" t="s">
        <v>44</v>
      </c>
      <c r="G1234">
        <v>-275.89940000000001</v>
      </c>
      <c r="H1234" s="1">
        <v>1.6215649999999999E-6</v>
      </c>
      <c r="I1234">
        <v>284.1816</v>
      </c>
      <c r="J1234">
        <v>-256.71469999999999</v>
      </c>
      <c r="K1234">
        <v>1.1108769999999999</v>
      </c>
      <c r="L1234">
        <v>283.30340000000001</v>
      </c>
      <c r="M1234">
        <v>-0.99951429999999997</v>
      </c>
      <c r="N1234">
        <v>0</v>
      </c>
      <c r="O1234">
        <v>2.8980639999999998E-2</v>
      </c>
      <c r="P1234">
        <v>-0.99813189999999996</v>
      </c>
      <c r="Q1234">
        <v>6.1079960000000003E-2</v>
      </c>
      <c r="R1234">
        <v>1.4126060000000001E-3</v>
      </c>
      <c r="S1234">
        <v>-3.014465</v>
      </c>
      <c r="T1234">
        <v>-0.17135549999999999</v>
      </c>
      <c r="U1234">
        <v>0.13699339999999999</v>
      </c>
      <c r="V1234">
        <v>-2.7612950000000001E-2</v>
      </c>
      <c r="W1234">
        <v>7.2466989999999995E-2</v>
      </c>
      <c r="X1234">
        <v>0.99698850000000006</v>
      </c>
      <c r="Y1234">
        <v>1.6446929999999998E-2</v>
      </c>
      <c r="Z1234">
        <v>-1.1780359999999999E-3</v>
      </c>
      <c r="AA1234">
        <v>0.99986399999999998</v>
      </c>
      <c r="AB1234">
        <v>36</v>
      </c>
      <c r="AC1234">
        <v>-19.184699999999999</v>
      </c>
      <c r="AD1234">
        <v>-1.1108753784350001</v>
      </c>
      <c r="AE1234">
        <v>0.87819999999999199</v>
      </c>
      <c r="AF1234">
        <v>0.32073655040335602</v>
      </c>
      <c r="AG1234">
        <v>-1.1108753784350001</v>
      </c>
      <c r="AH1234">
        <v>19.138059490898002</v>
      </c>
      <c r="AI1234">
        <v>93.321560664647507</v>
      </c>
      <c r="AJ1234">
        <v>89.039864491636493</v>
      </c>
      <c r="AK1234">
        <v>19.172955878484899</v>
      </c>
    </row>
    <row r="1235" spans="1:37" x14ac:dyDescent="0.2">
      <c r="A1235" t="str">
        <f>"20200111154050179"</f>
        <v>20200111154050179</v>
      </c>
      <c r="B1235" t="str">
        <f>"1578728450177599"</f>
        <v>1578728450177599</v>
      </c>
      <c r="C1235" t="s">
        <v>37</v>
      </c>
      <c r="D1235">
        <v>5.3204419999999999</v>
      </c>
      <c r="E1235">
        <v>0.49175770000000002</v>
      </c>
      <c r="F1235" t="s">
        <v>44</v>
      </c>
      <c r="G1235">
        <v>-276.09100000000001</v>
      </c>
      <c r="H1235" s="1">
        <v>1.7573370000000001E-6</v>
      </c>
      <c r="I1235">
        <v>283.4085</v>
      </c>
      <c r="J1235">
        <v>-257.06490000000002</v>
      </c>
      <c r="K1235">
        <v>1.1108739999999999</v>
      </c>
      <c r="L1235">
        <v>283.31299999999999</v>
      </c>
      <c r="M1235">
        <v>-0.99952659999999904</v>
      </c>
      <c r="N1235">
        <v>0</v>
      </c>
      <c r="O1235">
        <v>2.846125E-2</v>
      </c>
      <c r="P1235">
        <v>-0.99796810000000002</v>
      </c>
      <c r="Q1235">
        <v>6.3717339999999997E-2</v>
      </c>
      <c r="R1235" s="1">
        <v>-5.308911E-5</v>
      </c>
      <c r="S1235">
        <v>-3.0161739999999999</v>
      </c>
      <c r="T1235">
        <v>-0.1729224</v>
      </c>
      <c r="U1235">
        <v>1.6357420000000001E-2</v>
      </c>
      <c r="V1235">
        <v>-2.855574E-2</v>
      </c>
      <c r="W1235">
        <v>7.5342080000000006E-2</v>
      </c>
      <c r="X1235">
        <v>0.99674879999999999</v>
      </c>
      <c r="Y1235">
        <v>-2.2957390000000001E-2</v>
      </c>
      <c r="Z1235">
        <v>-2.2878439999999998E-3</v>
      </c>
      <c r="AA1235">
        <v>0.99973380000000001</v>
      </c>
      <c r="AB1235">
        <v>36</v>
      </c>
      <c r="AC1235">
        <v>-19.0260999999999</v>
      </c>
      <c r="AD1235">
        <v>-1.110872242663</v>
      </c>
      <c r="AE1235">
        <v>9.5500000000015406E-2</v>
      </c>
      <c r="AF1235">
        <v>-0.44456675612122898</v>
      </c>
      <c r="AG1235">
        <v>-1.110872242663</v>
      </c>
      <c r="AH1235">
        <v>18.956488353344302</v>
      </c>
      <c r="AI1235">
        <v>93.3528439188063</v>
      </c>
      <c r="AJ1235">
        <v>91.343451915874795</v>
      </c>
      <c r="AK1235">
        <v>18.994212998454199</v>
      </c>
    </row>
    <row r="1236" spans="1:37" x14ac:dyDescent="0.2">
      <c r="A1236" t="str">
        <f>"20200111154050201"</f>
        <v>20200111154050201</v>
      </c>
      <c r="B1236" t="str">
        <f>"1578728450197119"</f>
        <v>1578728450197119</v>
      </c>
      <c r="C1236" t="s">
        <v>37</v>
      </c>
      <c r="D1236">
        <v>5.5629949999999999</v>
      </c>
      <c r="E1236">
        <v>0.48943559999999903</v>
      </c>
      <c r="F1236" t="s">
        <v>44</v>
      </c>
      <c r="G1236">
        <v>-275.52690000000001</v>
      </c>
      <c r="H1236" s="1">
        <v>1.4772039999999999E-6</v>
      </c>
      <c r="I1236">
        <v>282.94889999999998</v>
      </c>
      <c r="J1236">
        <v>-257.39999999999998</v>
      </c>
      <c r="K1236">
        <v>1.1108610000000001</v>
      </c>
      <c r="L1236">
        <v>283.32209999999998</v>
      </c>
      <c r="M1236">
        <v>-0.99953760000000003</v>
      </c>
      <c r="N1236">
        <v>0</v>
      </c>
      <c r="O1236">
        <v>2.797885E-2</v>
      </c>
      <c r="P1236">
        <v>-0.99795330000000004</v>
      </c>
      <c r="Q1236">
        <v>6.3920359999999996E-2</v>
      </c>
      <c r="R1236">
        <v>-1.828477E-3</v>
      </c>
      <c r="S1236">
        <v>-3.0177</v>
      </c>
      <c r="T1236">
        <v>-0.18157770000000001</v>
      </c>
      <c r="U1236">
        <v>-5.9509279999999998E-2</v>
      </c>
      <c r="V1236">
        <v>-2.984614E-2</v>
      </c>
      <c r="W1236">
        <v>7.5755729999999993E-2</v>
      </c>
      <c r="X1236">
        <v>0.9966796</v>
      </c>
      <c r="Y1236">
        <v>-4.7547359999999997E-2</v>
      </c>
      <c r="Z1236">
        <v>-3.1109509999999998E-3</v>
      </c>
      <c r="AA1236">
        <v>0.99886409999999903</v>
      </c>
      <c r="AB1236">
        <v>36</v>
      </c>
      <c r="AC1236">
        <v>-18.126899999999999</v>
      </c>
      <c r="AD1236">
        <v>-1.1108595227960001</v>
      </c>
      <c r="AE1236">
        <v>-0.37319999999999698</v>
      </c>
      <c r="AF1236">
        <v>-0.87696756550530397</v>
      </c>
      <c r="AG1236">
        <v>-1.1108595227960001</v>
      </c>
      <c r="AH1236">
        <v>18.041632961760101</v>
      </c>
      <c r="AI1236">
        <v>93.519223460068503</v>
      </c>
      <c r="AJ1236">
        <v>92.782842510230296</v>
      </c>
      <c r="AK1236">
        <v>18.097060560135301</v>
      </c>
    </row>
    <row r="1237" spans="1:37" x14ac:dyDescent="0.2">
      <c r="A1237" t="str">
        <f>"20200111154050214"</f>
        <v>20200111154050214</v>
      </c>
      <c r="B1237" t="str">
        <f>"1578728450207855"</f>
        <v>1578728450207855</v>
      </c>
      <c r="C1237" t="s">
        <v>37</v>
      </c>
      <c r="D1237">
        <v>5.3662339999999897</v>
      </c>
      <c r="E1237">
        <v>0.48843509999999901</v>
      </c>
      <c r="F1237" t="s">
        <v>44</v>
      </c>
      <c r="G1237">
        <v>-275.995</v>
      </c>
      <c r="H1237" s="1">
        <v>1.7326449999999999E-6</v>
      </c>
      <c r="I1237">
        <v>282.80430000000001</v>
      </c>
      <c r="J1237">
        <v>-257.6284</v>
      </c>
      <c r="K1237">
        <v>1.1108469999999999</v>
      </c>
      <c r="L1237">
        <v>283.32810000000001</v>
      </c>
      <c r="M1237">
        <v>-0.99954500000000002</v>
      </c>
      <c r="N1237">
        <v>0</v>
      </c>
      <c r="O1237">
        <v>2.765981E-2</v>
      </c>
      <c r="P1237">
        <v>-0.99798759999999997</v>
      </c>
      <c r="Q1237">
        <v>6.3349929999999999E-2</v>
      </c>
      <c r="R1237">
        <v>-2.8077429999999902E-3</v>
      </c>
      <c r="S1237">
        <v>-3.0175480000000001</v>
      </c>
      <c r="T1237">
        <v>-0.18026719999999999</v>
      </c>
      <c r="U1237">
        <v>-8.4014889999999995E-2</v>
      </c>
      <c r="V1237">
        <v>-3.050489E-2</v>
      </c>
      <c r="W1237">
        <v>7.5317350000000005E-2</v>
      </c>
      <c r="X1237">
        <v>0.99669289999999999</v>
      </c>
      <c r="Y1237">
        <v>-5.5323909999999997E-2</v>
      </c>
      <c r="Z1237">
        <v>-3.3014400000000001E-3</v>
      </c>
      <c r="AA1237">
        <v>0.99846299999999899</v>
      </c>
      <c r="AB1237">
        <v>36</v>
      </c>
      <c r="AC1237">
        <v>-18.366599999999998</v>
      </c>
      <c r="AD1237">
        <v>-1.110845267355</v>
      </c>
      <c r="AE1237">
        <v>-0.52379999999999405</v>
      </c>
      <c r="AF1237">
        <v>-1.0278959557835301</v>
      </c>
      <c r="AG1237">
        <v>-1.110845267355</v>
      </c>
      <c r="AH1237">
        <v>18.2782740621487</v>
      </c>
      <c r="AI1237">
        <v>93.472347834036896</v>
      </c>
      <c r="AJ1237">
        <v>93.218691959416802</v>
      </c>
      <c r="AK1237">
        <v>18.340824681429599</v>
      </c>
    </row>
    <row r="1238" spans="1:37" x14ac:dyDescent="0.2">
      <c r="A1238" t="str">
        <f>"20200111154050234"</f>
        <v>20200111154050234</v>
      </c>
      <c r="B1238" t="str">
        <f>"1578728450227375"</f>
        <v>1578728450227375</v>
      </c>
      <c r="C1238" t="s">
        <v>37</v>
      </c>
      <c r="D1238">
        <v>5.3745370000000001</v>
      </c>
      <c r="E1238">
        <v>0.48718040000000001</v>
      </c>
      <c r="F1238" t="s">
        <v>44</v>
      </c>
      <c r="G1238">
        <v>-276.10730000000001</v>
      </c>
      <c r="H1238" s="1">
        <v>1.7948509999999899E-6</v>
      </c>
      <c r="I1238">
        <v>282.74889999999999</v>
      </c>
      <c r="J1238">
        <v>-257.9384</v>
      </c>
      <c r="K1238">
        <v>1.1108199999999999</v>
      </c>
      <c r="L1238">
        <v>283.33620000000002</v>
      </c>
      <c r="M1238">
        <v>-0.99955450000000001</v>
      </c>
      <c r="N1238">
        <v>0</v>
      </c>
      <c r="O1238">
        <v>2.7239889999999999E-2</v>
      </c>
      <c r="P1238">
        <v>-0.99810949999999998</v>
      </c>
      <c r="Q1238">
        <v>6.1353770000000002E-2</v>
      </c>
      <c r="R1238">
        <v>-3.6708179999999902E-3</v>
      </c>
      <c r="S1238">
        <v>-3.0173030000000001</v>
      </c>
      <c r="T1238">
        <v>-0.18138219999999999</v>
      </c>
      <c r="U1238">
        <v>-9.4573969999999993E-2</v>
      </c>
      <c r="V1238">
        <v>-3.0947309999999999E-2</v>
      </c>
      <c r="W1238">
        <v>7.3488520000000002E-2</v>
      </c>
      <c r="X1238">
        <v>0.99681580000000003</v>
      </c>
      <c r="Y1238">
        <v>-5.8390940000000002E-2</v>
      </c>
      <c r="Z1238">
        <v>-3.3888109999999998E-3</v>
      </c>
      <c r="AA1238">
        <v>0.99828799999999995</v>
      </c>
      <c r="AB1238">
        <v>36</v>
      </c>
      <c r="AC1238">
        <v>-18.168900000000001</v>
      </c>
      <c r="AD1238">
        <v>-1.1108182051490001</v>
      </c>
      <c r="AE1238">
        <v>-0.58730000000002702</v>
      </c>
      <c r="AF1238">
        <v>-1.07801239027588</v>
      </c>
      <c r="AG1238">
        <v>-1.1108182051490001</v>
      </c>
      <c r="AH1238">
        <v>18.078651981979899</v>
      </c>
      <c r="AI1238">
        <v>93.509822398885305</v>
      </c>
      <c r="AJ1238">
        <v>93.412450834196704</v>
      </c>
      <c r="AK1238">
        <v>18.1447977471237</v>
      </c>
    </row>
    <row r="1239" spans="1:37" x14ac:dyDescent="0.2">
      <c r="A1239" t="str">
        <f>"20200111154050258"</f>
        <v>20200111154050258</v>
      </c>
      <c r="B1239" t="str">
        <f>"1578728450247874"</f>
        <v>1578728450247874</v>
      </c>
      <c r="C1239" t="s">
        <v>37</v>
      </c>
      <c r="D1239">
        <v>5.3528510000000002</v>
      </c>
      <c r="E1239">
        <v>0.48609479999999999</v>
      </c>
      <c r="F1239" t="s">
        <v>44</v>
      </c>
      <c r="G1239">
        <v>-275.31869999999998</v>
      </c>
      <c r="H1239" s="1">
        <v>1.3762989999999901E-6</v>
      </c>
      <c r="I1239">
        <v>282.72320000000002</v>
      </c>
      <c r="J1239">
        <v>-258.32260000000002</v>
      </c>
      <c r="K1239">
        <v>1.1107940000000001</v>
      </c>
      <c r="L1239">
        <v>283.34620000000001</v>
      </c>
      <c r="M1239">
        <v>-0.999565699999999</v>
      </c>
      <c r="N1239">
        <v>0</v>
      </c>
      <c r="O1239">
        <v>2.6745640000000001E-2</v>
      </c>
      <c r="P1239">
        <v>-0.99817060000000002</v>
      </c>
      <c r="Q1239">
        <v>6.0322290000000001E-2</v>
      </c>
      <c r="R1239">
        <v>-4.1129410000000002E-3</v>
      </c>
      <c r="S1239">
        <v>-3.0171509999999899</v>
      </c>
      <c r="T1239">
        <v>-0.1928338</v>
      </c>
      <c r="U1239">
        <v>-0.1064148</v>
      </c>
      <c r="V1239">
        <v>-3.0892200000000002E-2</v>
      </c>
      <c r="W1239">
        <v>7.2642010000000007E-2</v>
      </c>
      <c r="X1239">
        <v>0.99687950000000003</v>
      </c>
      <c r="Y1239">
        <v>-6.1786059999999997E-2</v>
      </c>
      <c r="Z1239">
        <v>-3.6791179999999999E-3</v>
      </c>
      <c r="AA1239">
        <v>0.99808259999999904</v>
      </c>
      <c r="AB1239">
        <v>36</v>
      </c>
      <c r="AC1239">
        <v>-16.996099999999899</v>
      </c>
      <c r="AD1239">
        <v>-1.110792623701</v>
      </c>
      <c r="AE1239">
        <v>-0.62299999999999001</v>
      </c>
      <c r="AF1239">
        <v>-1.0728072599101299</v>
      </c>
      <c r="AG1239">
        <v>-1.110792623701</v>
      </c>
      <c r="AH1239">
        <v>16.901260561683401</v>
      </c>
      <c r="AI1239">
        <v>93.752681806354701</v>
      </c>
      <c r="AJ1239">
        <v>93.631976139311305</v>
      </c>
      <c r="AK1239">
        <v>16.971664156578701</v>
      </c>
    </row>
    <row r="1240" spans="1:37" x14ac:dyDescent="0.2">
      <c r="A1240" t="str">
        <f>"20200111154050279"</f>
        <v>20200111154050279</v>
      </c>
      <c r="B1240" t="str">
        <f>"1578728450267391"</f>
        <v>1578728450267391</v>
      </c>
      <c r="C1240" t="s">
        <v>37</v>
      </c>
      <c r="D1240">
        <v>5.3196500000000002</v>
      </c>
      <c r="E1240">
        <v>0.48519329999999999</v>
      </c>
      <c r="F1240" t="s">
        <v>44</v>
      </c>
      <c r="G1240">
        <v>-274.9461</v>
      </c>
      <c r="H1240" s="1">
        <v>1.178792E-6</v>
      </c>
      <c r="I1240">
        <v>282.7063</v>
      </c>
      <c r="J1240">
        <v>-258.65750000000003</v>
      </c>
      <c r="K1240">
        <v>1.1107670000000001</v>
      </c>
      <c r="L1240">
        <v>283.35469999999998</v>
      </c>
      <c r="M1240">
        <v>-0.99957459999999898</v>
      </c>
      <c r="N1240">
        <v>0</v>
      </c>
      <c r="O1240">
        <v>2.634357E-2</v>
      </c>
      <c r="P1240">
        <v>-0.99814740000000002</v>
      </c>
      <c r="Q1240">
        <v>6.071957E-2</v>
      </c>
      <c r="R1240">
        <v>-3.9451549999999997E-3</v>
      </c>
      <c r="S1240">
        <v>-3.0172119999999998</v>
      </c>
      <c r="T1240">
        <v>-0.2016116</v>
      </c>
      <c r="U1240">
        <v>-0.1161499</v>
      </c>
      <c r="V1240">
        <v>-3.0318669999999999E-2</v>
      </c>
      <c r="W1240">
        <v>7.3181780000000002E-2</v>
      </c>
      <c r="X1240">
        <v>0.99685759999999901</v>
      </c>
      <c r="Y1240">
        <v>-6.4577560000000006E-2</v>
      </c>
      <c r="Z1240">
        <v>-3.9122419999999998E-3</v>
      </c>
      <c r="AA1240">
        <v>0.99790499999999904</v>
      </c>
      <c r="AB1240">
        <v>36</v>
      </c>
      <c r="AC1240">
        <v>-16.288599999999899</v>
      </c>
      <c r="AD1240">
        <v>-1.110765821208</v>
      </c>
      <c r="AE1240">
        <v>-0.64839999999997999</v>
      </c>
      <c r="AF1240">
        <v>-1.07232969489505</v>
      </c>
      <c r="AG1240">
        <v>-1.110765821208</v>
      </c>
      <c r="AH1240">
        <v>16.190691758392301</v>
      </c>
      <c r="AI1240">
        <v>93.916086479028195</v>
      </c>
      <c r="AJ1240">
        <v>93.789236761484801</v>
      </c>
      <c r="AK1240">
        <v>16.2641381972544</v>
      </c>
    </row>
    <row r="1241" spans="1:37" x14ac:dyDescent="0.2">
      <c r="A1241" t="str">
        <f>"20200111154050313"</f>
        <v>20200111154050313</v>
      </c>
      <c r="B1241" t="str">
        <f>"1578728450307408"</f>
        <v>1578728450307408</v>
      </c>
      <c r="C1241" t="s">
        <v>37</v>
      </c>
      <c r="D1241">
        <v>5.3772589999999996</v>
      </c>
      <c r="E1241">
        <v>0.4842764</v>
      </c>
      <c r="F1241" t="s">
        <v>44</v>
      </c>
      <c r="G1241">
        <v>-274.54649999999998</v>
      </c>
      <c r="H1241" s="1">
        <v>9.6590850000000006E-7</v>
      </c>
      <c r="I1241">
        <v>282.71170000000001</v>
      </c>
      <c r="J1241">
        <v>-259.18990000000002</v>
      </c>
      <c r="K1241">
        <v>1.110738</v>
      </c>
      <c r="L1241">
        <v>283.36810000000003</v>
      </c>
      <c r="M1241">
        <v>-0.99958689999999994</v>
      </c>
      <c r="N1241">
        <v>0</v>
      </c>
      <c r="O1241">
        <v>2.5777399999999999E-2</v>
      </c>
      <c r="P1241">
        <v>-0.99816919999999898</v>
      </c>
      <c r="Q1241">
        <v>6.0374270000000001E-2</v>
      </c>
      <c r="R1241">
        <v>-3.6108209999999902E-3</v>
      </c>
      <c r="S1241">
        <v>-3.01791399999999</v>
      </c>
      <c r="T1241">
        <v>-0.21097579999999999</v>
      </c>
      <c r="U1241">
        <v>-0.1221313</v>
      </c>
      <c r="V1241">
        <v>-2.941158E-2</v>
      </c>
      <c r="W1241">
        <v>7.3022470000000006E-2</v>
      </c>
      <c r="X1241">
        <v>0.99689649999999996</v>
      </c>
      <c r="Y1241">
        <v>-6.5957089999999996E-2</v>
      </c>
      <c r="Z1241">
        <v>-4.101052E-3</v>
      </c>
      <c r="AA1241">
        <v>0.99781409999999904</v>
      </c>
      <c r="AB1241">
        <v>36</v>
      </c>
      <c r="AC1241">
        <v>-15.356599999999901</v>
      </c>
      <c r="AD1241">
        <v>-1.1107370340914999</v>
      </c>
      <c r="AE1241">
        <v>-0.65640000000001897</v>
      </c>
      <c r="AF1241">
        <v>-1.04660166035852</v>
      </c>
      <c r="AG1241">
        <v>-1.1107370340914999</v>
      </c>
      <c r="AH1241">
        <v>15.254912982634901</v>
      </c>
      <c r="AI1241">
        <v>94.154725124909803</v>
      </c>
      <c r="AJ1241">
        <v>93.9247707682281</v>
      </c>
      <c r="AK1241">
        <v>15.3310626475183</v>
      </c>
    </row>
    <row r="1242" spans="1:37" x14ac:dyDescent="0.2">
      <c r="A1242" t="str">
        <f>"20200111154050335"</f>
        <v>20200111154050335</v>
      </c>
      <c r="B1242" t="str">
        <f>"1578728450327904"</f>
        <v>1578728450327904</v>
      </c>
      <c r="C1242" t="s">
        <v>37</v>
      </c>
      <c r="D1242">
        <v>5.4359199999999896</v>
      </c>
      <c r="E1242">
        <v>0.48414249999999998</v>
      </c>
      <c r="F1242" t="s">
        <v>44</v>
      </c>
      <c r="G1242">
        <v>-274.34559999999999</v>
      </c>
      <c r="H1242" s="1">
        <v>8.583683E-7</v>
      </c>
      <c r="I1242">
        <v>282.7253</v>
      </c>
      <c r="J1242">
        <v>-259.56180000000001</v>
      </c>
      <c r="K1242">
        <v>1.1107119999999999</v>
      </c>
      <c r="L1242">
        <v>283.37729999999999</v>
      </c>
      <c r="M1242">
        <v>-0.99959449999999905</v>
      </c>
      <c r="N1242">
        <v>0</v>
      </c>
      <c r="O1242">
        <v>2.5435510000000001E-2</v>
      </c>
      <c r="P1242">
        <v>-0.99817540000000005</v>
      </c>
      <c r="Q1242">
        <v>6.0256179999999999E-2</v>
      </c>
      <c r="R1242">
        <v>-3.9448E-3</v>
      </c>
      <c r="S1242">
        <v>-3.0184329999999999</v>
      </c>
      <c r="T1242">
        <v>-0.2212171</v>
      </c>
      <c r="U1242">
        <v>-0.1280212</v>
      </c>
      <c r="V1242">
        <v>-2.9397349999999999E-2</v>
      </c>
      <c r="W1242">
        <v>7.3012480000000005E-2</v>
      </c>
      <c r="X1242">
        <v>0.996897699999999</v>
      </c>
      <c r="Y1242">
        <v>-6.7527149999999994E-2</v>
      </c>
      <c r="Z1242">
        <v>-4.3311290000000004E-3</v>
      </c>
      <c r="AA1242">
        <v>0.99770800000000004</v>
      </c>
      <c r="AB1242">
        <v>36</v>
      </c>
      <c r="AC1242">
        <v>-14.7837999999999</v>
      </c>
      <c r="AD1242">
        <v>-1.1107111416316999</v>
      </c>
      <c r="AE1242">
        <v>-0.65199999999998604</v>
      </c>
      <c r="AF1242">
        <v>-1.02209524907488</v>
      </c>
      <c r="AG1242">
        <v>-1.1107111416316999</v>
      </c>
      <c r="AH1242">
        <v>14.6797310573921</v>
      </c>
      <c r="AI1242">
        <v>94.316510294092396</v>
      </c>
      <c r="AJ1242">
        <v>93.982864933545002</v>
      </c>
      <c r="AK1242">
        <v>14.757129187470399</v>
      </c>
    </row>
    <row r="1243" spans="1:37" x14ac:dyDescent="0.2">
      <c r="A1243" t="str">
        <f>"20200111154050358"</f>
        <v>20200111154050358</v>
      </c>
      <c r="B1243" t="str">
        <f>"1578728450347423"</f>
        <v>1578728450347423</v>
      </c>
      <c r="C1243" t="s">
        <v>37</v>
      </c>
      <c r="D1243">
        <v>5.7239149999999999</v>
      </c>
      <c r="E1243">
        <v>0.4839697</v>
      </c>
      <c r="F1243" t="s">
        <v>44</v>
      </c>
      <c r="G1243">
        <v>-274.6343</v>
      </c>
      <c r="H1243" s="1">
        <v>1.011923E-6</v>
      </c>
      <c r="I1243">
        <v>282.72750000000002</v>
      </c>
      <c r="J1243">
        <v>-259.92259999999999</v>
      </c>
      <c r="K1243">
        <v>1.1106860000000001</v>
      </c>
      <c r="L1243">
        <v>283.38619999999997</v>
      </c>
      <c r="M1243">
        <v>-0.999600499999999</v>
      </c>
      <c r="N1243">
        <v>0</v>
      </c>
      <c r="O1243">
        <v>2.514825E-2</v>
      </c>
      <c r="P1243">
        <v>-0.99811369999999899</v>
      </c>
      <c r="Q1243">
        <v>6.1241719999999999E-2</v>
      </c>
      <c r="R1243">
        <v>-4.3245369999999998E-3</v>
      </c>
      <c r="S1243">
        <v>-3.018402</v>
      </c>
      <c r="T1243">
        <v>-0.22242909999999999</v>
      </c>
      <c r="U1243">
        <v>-0.13012699999999999</v>
      </c>
      <c r="V1243">
        <v>-2.9482939999999999E-2</v>
      </c>
      <c r="W1243">
        <v>7.4088169999999995E-2</v>
      </c>
      <c r="X1243">
        <v>0.99681580000000003</v>
      </c>
      <c r="Y1243">
        <v>-6.7932590000000001E-2</v>
      </c>
      <c r="Z1243">
        <v>-4.3485590000000001E-3</v>
      </c>
      <c r="AA1243">
        <v>0.99768040000000002</v>
      </c>
      <c r="AB1243">
        <v>36</v>
      </c>
      <c r="AC1243">
        <v>-14.7117</v>
      </c>
      <c r="AD1243">
        <v>-1.110684988077</v>
      </c>
      <c r="AE1243">
        <v>-0.65869999999995299</v>
      </c>
      <c r="AF1243">
        <v>-1.02267858243808</v>
      </c>
      <c r="AG1243">
        <v>-1.110684988077</v>
      </c>
      <c r="AH1243">
        <v>14.607387928016999</v>
      </c>
      <c r="AI1243">
        <v>94.337589161298595</v>
      </c>
      <c r="AJ1243">
        <v>94.004803033263698</v>
      </c>
      <c r="AK1243">
        <v>14.685205981030499</v>
      </c>
    </row>
    <row r="1244" spans="1:37" x14ac:dyDescent="0.2">
      <c r="A1244" t="str">
        <f>"20200111154050379"</f>
        <v>20200111154050379</v>
      </c>
      <c r="B1244" t="str">
        <f>"1578728450367919"</f>
        <v>1578728450367919</v>
      </c>
      <c r="C1244" t="s">
        <v>37</v>
      </c>
      <c r="D1244">
        <v>5.6806900000000002</v>
      </c>
      <c r="E1244">
        <v>0.4836375</v>
      </c>
      <c r="F1244" t="s">
        <v>44</v>
      </c>
      <c r="G1244">
        <v>-275.2473</v>
      </c>
      <c r="H1244" s="1">
        <v>1.3388710000000001E-6</v>
      </c>
      <c r="I1244">
        <v>282.71080000000001</v>
      </c>
      <c r="J1244">
        <v>-260.2595</v>
      </c>
      <c r="K1244">
        <v>1.110663</v>
      </c>
      <c r="L1244">
        <v>283.39429999999999</v>
      </c>
      <c r="M1244">
        <v>-0.99960519999999997</v>
      </c>
      <c r="N1244">
        <v>0</v>
      </c>
      <c r="O1244">
        <v>2.4926029999999998E-2</v>
      </c>
      <c r="P1244">
        <v>-0.99804709999999996</v>
      </c>
      <c r="Q1244">
        <v>6.2335559999999998E-2</v>
      </c>
      <c r="R1244">
        <v>-4.1010489999999998E-3</v>
      </c>
      <c r="S1244">
        <v>-3.0185240000000002</v>
      </c>
      <c r="T1244">
        <v>-0.2187722</v>
      </c>
      <c r="U1244">
        <v>-0.13302610000000001</v>
      </c>
      <c r="V1244">
        <v>-2.902979E-2</v>
      </c>
      <c r="W1244">
        <v>7.5256009999999998E-2</v>
      </c>
      <c r="X1244">
        <v>0.99674159999999901</v>
      </c>
      <c r="Y1244">
        <v>-6.8672369999999996E-2</v>
      </c>
      <c r="Z1244">
        <v>-4.2876820000000001E-3</v>
      </c>
      <c r="AA1244">
        <v>0.99763009999999996</v>
      </c>
      <c r="AB1244">
        <v>36</v>
      </c>
      <c r="AC1244">
        <v>-14.987799999999901</v>
      </c>
      <c r="AD1244">
        <v>-1.1106616611290001</v>
      </c>
      <c r="AE1244">
        <v>-0.68349999999998001</v>
      </c>
      <c r="AF1244">
        <v>-1.0511450224037699</v>
      </c>
      <c r="AG1244">
        <v>-1.1106616611290001</v>
      </c>
      <c r="AH1244">
        <v>14.884535918827799</v>
      </c>
      <c r="AI1244">
        <v>94.256853799640197</v>
      </c>
      <c r="AJ1244">
        <v>94.039518113803794</v>
      </c>
      <c r="AK1244">
        <v>14.962883569102001</v>
      </c>
    </row>
    <row r="1245" spans="1:37" x14ac:dyDescent="0.2">
      <c r="A1245" t="str">
        <f>"20200111154050402"</f>
        <v>20200111154050402</v>
      </c>
      <c r="B1245" t="str">
        <f>"1578728450397199"</f>
        <v>1578728450397199</v>
      </c>
      <c r="C1245" t="s">
        <v>37</v>
      </c>
      <c r="D1245">
        <v>5.4331670000000001</v>
      </c>
      <c r="E1245">
        <v>0.48334969999999999</v>
      </c>
      <c r="F1245" t="s">
        <v>44</v>
      </c>
      <c r="G1245">
        <v>-275.97930000000002</v>
      </c>
      <c r="H1245" s="1">
        <v>1.7294290000000001E-6</v>
      </c>
      <c r="I1245">
        <v>282.68680000000001</v>
      </c>
      <c r="J1245">
        <v>-260.62310000000002</v>
      </c>
      <c r="K1245">
        <v>1.1106240000000001</v>
      </c>
      <c r="L1245">
        <v>283.40320000000003</v>
      </c>
      <c r="M1245">
        <v>-0.99960910000000003</v>
      </c>
      <c r="N1245">
        <v>0</v>
      </c>
      <c r="O1245">
        <v>2.4734510000000001E-2</v>
      </c>
      <c r="P1245">
        <v>-0.99799319999999903</v>
      </c>
      <c r="Q1245">
        <v>6.3180410000000006E-2</v>
      </c>
      <c r="R1245">
        <v>-4.2639949999999996E-3</v>
      </c>
      <c r="S1245">
        <v>-3.0186160000000002</v>
      </c>
      <c r="T1245">
        <v>-0.2132763</v>
      </c>
      <c r="U1245">
        <v>-0.13586429999999999</v>
      </c>
      <c r="V1245">
        <v>-2.8992130000000001E-2</v>
      </c>
      <c r="W1245">
        <v>7.6170349999999998E-2</v>
      </c>
      <c r="X1245">
        <v>0.99667320000000004</v>
      </c>
      <c r="Y1245">
        <v>-6.9426799999999997E-2</v>
      </c>
      <c r="Z1245">
        <v>-4.1931269999999996E-3</v>
      </c>
      <c r="AA1245">
        <v>0.99757830000000003</v>
      </c>
      <c r="AB1245">
        <v>36</v>
      </c>
      <c r="AC1245">
        <v>-15.356199999999999</v>
      </c>
      <c r="AD1245">
        <v>-1.110622270571</v>
      </c>
      <c r="AE1245">
        <v>-0.71640000000002102</v>
      </c>
      <c r="AF1245">
        <v>-1.09035014785434</v>
      </c>
      <c r="AG1245">
        <v>-1.110622270571</v>
      </c>
      <c r="AH1245">
        <v>15.2541620840327</v>
      </c>
      <c r="AI1245">
        <v>94.153672664087495</v>
      </c>
      <c r="AJ1245">
        <v>94.088483585580803</v>
      </c>
      <c r="AK1245">
        <v>15.333355997913699</v>
      </c>
    </row>
    <row r="1246" spans="1:37" x14ac:dyDescent="0.2">
      <c r="A1246" t="str">
        <f>"20200111154050424"</f>
        <v>20200111154050424</v>
      </c>
      <c r="B1246" t="str">
        <f>"1578728450417695"</f>
        <v>1578728450417695</v>
      </c>
      <c r="C1246" t="s">
        <v>37</v>
      </c>
      <c r="D1246">
        <v>5.8146789999999999</v>
      </c>
      <c r="E1246">
        <v>0.48361340000000003</v>
      </c>
      <c r="F1246" t="s">
        <v>44</v>
      </c>
      <c r="G1246">
        <v>-276.56740000000002</v>
      </c>
      <c r="H1246" s="1">
        <v>2.043263E-6</v>
      </c>
      <c r="I1246">
        <v>282.66770000000002</v>
      </c>
      <c r="J1246">
        <v>-260.97890000000001</v>
      </c>
      <c r="K1246">
        <v>1.110581</v>
      </c>
      <c r="L1246">
        <v>283.41180000000003</v>
      </c>
      <c r="M1246">
        <v>-0.99961169999999999</v>
      </c>
      <c r="N1246">
        <v>0</v>
      </c>
      <c r="O1246">
        <v>2.459538E-2</v>
      </c>
      <c r="P1246">
        <v>-0.99796870000000004</v>
      </c>
      <c r="Q1246">
        <v>6.3610739999999999E-2</v>
      </c>
      <c r="R1246">
        <v>-3.4855569999999998E-3</v>
      </c>
      <c r="S1246">
        <v>-3.018707</v>
      </c>
      <c r="T1246">
        <v>-0.2102715</v>
      </c>
      <c r="U1246">
        <v>-0.13925170000000001</v>
      </c>
      <c r="V1246">
        <v>-2.8066689999999998E-2</v>
      </c>
      <c r="W1246">
        <v>7.6659569999999996E-2</v>
      </c>
      <c r="X1246">
        <v>0.99666219999999905</v>
      </c>
      <c r="Y1246">
        <v>-7.0408239999999997E-2</v>
      </c>
      <c r="Z1246">
        <v>-4.158419E-3</v>
      </c>
      <c r="AA1246">
        <v>0.9975096</v>
      </c>
      <c r="AB1246">
        <v>36</v>
      </c>
      <c r="AC1246">
        <v>-15.5885</v>
      </c>
      <c r="AD1246">
        <v>-1.1105789567369999</v>
      </c>
      <c r="AE1246">
        <v>-0.74410000000000298</v>
      </c>
      <c r="AF1246">
        <v>-1.12163277328082</v>
      </c>
      <c r="AG1246">
        <v>-1.1105789567369999</v>
      </c>
      <c r="AH1246">
        <v>15.4870525912016</v>
      </c>
      <c r="AI1246">
        <v>94.090989649344806</v>
      </c>
      <c r="AJ1246">
        <v>94.142351484312798</v>
      </c>
      <c r="AK1246">
        <v>15.5672811903649</v>
      </c>
    </row>
    <row r="1247" spans="1:37" x14ac:dyDescent="0.2">
      <c r="A1247" t="str">
        <f>"20200111154050446"</f>
        <v>20200111154050446</v>
      </c>
      <c r="B1247" t="str">
        <f>"1578728450437215"</f>
        <v>1578728450437215</v>
      </c>
      <c r="C1247" t="s">
        <v>37</v>
      </c>
      <c r="D1247">
        <v>5.5933010000000003</v>
      </c>
      <c r="E1247">
        <v>0.48409540000000001</v>
      </c>
      <c r="F1247" t="s">
        <v>44</v>
      </c>
      <c r="G1247">
        <v>-277.23689999999999</v>
      </c>
      <c r="H1247" s="1">
        <v>2.3988170000000001E-6</v>
      </c>
      <c r="I1247">
        <v>282.6841</v>
      </c>
      <c r="J1247">
        <v>-261.34030000000001</v>
      </c>
      <c r="K1247">
        <v>1.1105419999999999</v>
      </c>
      <c r="L1247">
        <v>283.4205</v>
      </c>
      <c r="M1247">
        <v>-0.99961369999999905</v>
      </c>
      <c r="N1247">
        <v>0</v>
      </c>
      <c r="O1247">
        <v>2.449318E-2</v>
      </c>
      <c r="P1247">
        <v>-0.9979749</v>
      </c>
      <c r="Q1247">
        <v>6.3550170000000003E-2</v>
      </c>
      <c r="R1247">
        <v>-2.775928E-3</v>
      </c>
      <c r="S1247">
        <v>-3.0187680000000001</v>
      </c>
      <c r="T1247">
        <v>-0.20621020000000001</v>
      </c>
      <c r="U1247">
        <v>-0.1351318</v>
      </c>
      <c r="V1247">
        <v>-2.724787E-2</v>
      </c>
      <c r="W1247">
        <v>7.6643879999999998E-2</v>
      </c>
      <c r="X1247">
        <v>0.99668619999999997</v>
      </c>
      <c r="Y1247">
        <v>-6.8959099999999995E-2</v>
      </c>
      <c r="Z1247">
        <v>-4.021943E-3</v>
      </c>
      <c r="AA1247">
        <v>0.99761139999999904</v>
      </c>
      <c r="AB1247">
        <v>36</v>
      </c>
      <c r="AC1247">
        <v>-15.8965999999999</v>
      </c>
      <c r="AD1247">
        <v>-1.110539601183</v>
      </c>
      <c r="AE1247">
        <v>-0.73640000000000305</v>
      </c>
      <c r="AF1247">
        <v>-1.1201159576097699</v>
      </c>
      <c r="AG1247">
        <v>-1.110539601183</v>
      </c>
      <c r="AH1247">
        <v>15.7968611607272</v>
      </c>
      <c r="AI1247">
        <v>94.011312090409007</v>
      </c>
      <c r="AJ1247">
        <v>94.0559121278813</v>
      </c>
      <c r="AK1247">
        <v>15.875414340910201</v>
      </c>
    </row>
    <row r="1248" spans="1:37" x14ac:dyDescent="0.2">
      <c r="A1248" t="str">
        <f>"20200111154050470"</f>
        <v>20200111154050470</v>
      </c>
      <c r="B1248" t="str">
        <f>"1578728450457714"</f>
        <v>1578728450457714</v>
      </c>
      <c r="C1248" t="s">
        <v>37</v>
      </c>
      <c r="D1248">
        <v>5.4921139999999999</v>
      </c>
      <c r="E1248">
        <v>0.50542279999999995</v>
      </c>
      <c r="F1248" t="s">
        <v>44</v>
      </c>
      <c r="G1248">
        <v>-277.54109999999997</v>
      </c>
      <c r="H1248" s="1">
        <v>2.558917E-6</v>
      </c>
      <c r="I1248">
        <v>282.72469999999998</v>
      </c>
      <c r="J1248">
        <v>-261.69839999999999</v>
      </c>
      <c r="K1248">
        <v>1.1105039999999999</v>
      </c>
      <c r="L1248">
        <v>283.42919999999998</v>
      </c>
      <c r="M1248">
        <v>-0.99961509999999998</v>
      </c>
      <c r="N1248">
        <v>0</v>
      </c>
      <c r="O1248">
        <v>2.4420049999999999E-2</v>
      </c>
      <c r="P1248">
        <v>-0.99798109999999995</v>
      </c>
      <c r="Q1248">
        <v>6.3492499999999993E-2</v>
      </c>
      <c r="R1248">
        <v>-1.673096E-3</v>
      </c>
      <c r="S1248">
        <v>-3.0188599999999899</v>
      </c>
      <c r="T1248">
        <v>-0.2069376</v>
      </c>
      <c r="U1248">
        <v>-0.12966920000000001</v>
      </c>
      <c r="V1248">
        <v>-2.60664E-2</v>
      </c>
      <c r="W1248">
        <v>7.6623899999999995E-2</v>
      </c>
      <c r="X1248">
        <v>0.99671929999999997</v>
      </c>
      <c r="Y1248">
        <v>-6.7085939999999997E-2</v>
      </c>
      <c r="Z1248">
        <v>-3.9670240000000004E-3</v>
      </c>
      <c r="AA1248">
        <v>0.9977393</v>
      </c>
      <c r="AB1248">
        <v>36</v>
      </c>
      <c r="AC1248">
        <v>-15.842699999999899</v>
      </c>
      <c r="AD1248">
        <v>-1.1105014410830001</v>
      </c>
      <c r="AE1248">
        <v>-0.70449999999999502</v>
      </c>
      <c r="AF1248">
        <v>-1.0858781317047801</v>
      </c>
      <c r="AG1248">
        <v>-1.1105014410830001</v>
      </c>
      <c r="AH1248">
        <v>15.7435678698504</v>
      </c>
      <c r="AI1248">
        <v>94.025248516113706</v>
      </c>
      <c r="AJ1248">
        <v>93.945602154181799</v>
      </c>
      <c r="AK1248">
        <v>15.819996018967499</v>
      </c>
    </row>
    <row r="1249" spans="1:37" x14ac:dyDescent="0.2">
      <c r="A1249" t="str">
        <f>"20200111154050491"</f>
        <v>20200111154050491</v>
      </c>
      <c r="B1249" t="str">
        <f>"1578728450486993"</f>
        <v>1578728450486993</v>
      </c>
      <c r="C1249" t="s">
        <v>37</v>
      </c>
      <c r="D1249">
        <v>5.4985169999999997</v>
      </c>
      <c r="E1249">
        <v>0.50132900000000002</v>
      </c>
      <c r="F1249" t="s">
        <v>38</v>
      </c>
      <c r="G1249">
        <v>-262.64420000000001</v>
      </c>
      <c r="H1249">
        <v>1.0327519999999999</v>
      </c>
      <c r="I1249">
        <v>283.44330000000002</v>
      </c>
      <c r="J1249">
        <v>-262.04480000000001</v>
      </c>
      <c r="K1249">
        <v>1.1104780000000001</v>
      </c>
      <c r="L1249">
        <v>283.43759999999997</v>
      </c>
      <c r="M1249">
        <v>-0.99961580000000005</v>
      </c>
      <c r="N1249">
        <v>0</v>
      </c>
      <c r="O1249">
        <v>2.4366479999999999E-2</v>
      </c>
      <c r="P1249">
        <v>-0.99801410000000002</v>
      </c>
      <c r="Q1249">
        <v>6.2989400000000001E-2</v>
      </c>
      <c r="R1249">
        <v>-5.3329069999999998E-4</v>
      </c>
      <c r="S1249">
        <v>-3.0220340000000001</v>
      </c>
      <c r="T1249">
        <v>-0.24860989999999999</v>
      </c>
      <c r="U1249">
        <v>4.4342039999999999E-2</v>
      </c>
      <c r="V1249">
        <v>-2.4869599999999999E-2</v>
      </c>
      <c r="W1249">
        <v>7.6152269999999994E-2</v>
      </c>
      <c r="X1249">
        <v>0.99678599999999995</v>
      </c>
      <c r="Y1249">
        <v>-9.5843600000000001E-3</v>
      </c>
      <c r="Z1249">
        <v>-2.3945239999999999E-3</v>
      </c>
      <c r="AA1249">
        <v>0.99995119999999904</v>
      </c>
      <c r="AB1249">
        <v>36</v>
      </c>
      <c r="AC1249">
        <v>-0.59940000000000204</v>
      </c>
      <c r="AD1249">
        <v>-7.7725999999999906E-2</v>
      </c>
      <c r="AE1249">
        <v>5.7000000000471101E-3</v>
      </c>
      <c r="AF1249">
        <v>-8.7609329077238795E-3</v>
      </c>
      <c r="AG1249">
        <v>-7.7725999999999906E-2</v>
      </c>
      <c r="AH1249">
        <v>0.58945014393919404</v>
      </c>
      <c r="AI1249">
        <v>97.510971534631096</v>
      </c>
      <c r="AJ1249">
        <v>90.851518195438302</v>
      </c>
      <c r="AK1249">
        <v>0.59461715179714603</v>
      </c>
    </row>
    <row r="1250" spans="1:37" x14ac:dyDescent="0.2">
      <c r="A1250" t="str">
        <f>"20200111154050514"</f>
        <v>20200111154050514</v>
      </c>
      <c r="B1250" t="str">
        <f>"1578728450507487"</f>
        <v>1578728450507487</v>
      </c>
      <c r="C1250" t="s">
        <v>37</v>
      </c>
      <c r="D1250">
        <v>5.4851839999999896</v>
      </c>
      <c r="E1250">
        <v>0.50038579999999999</v>
      </c>
      <c r="F1250" t="s">
        <v>44</v>
      </c>
      <c r="G1250">
        <v>-276.88279999999997</v>
      </c>
      <c r="H1250" s="1">
        <v>2.1742380000000001E-6</v>
      </c>
      <c r="I1250">
        <v>283.51</v>
      </c>
      <c r="J1250">
        <v>-262.39929999999998</v>
      </c>
      <c r="K1250">
        <v>1.110457</v>
      </c>
      <c r="L1250">
        <v>283.4461</v>
      </c>
      <c r="M1250">
        <v>-0.99961679999999997</v>
      </c>
      <c r="N1250">
        <v>0</v>
      </c>
      <c r="O1250">
        <v>2.431931E-2</v>
      </c>
      <c r="P1250">
        <v>-0.99807269999999904</v>
      </c>
      <c r="Q1250">
        <v>6.20548E-2</v>
      </c>
      <c r="R1250">
        <v>-5.6137400000000001E-4</v>
      </c>
      <c r="S1250">
        <v>-3.0202640000000001</v>
      </c>
      <c r="T1250">
        <v>-0.22603699999999999</v>
      </c>
      <c r="U1250">
        <v>1.473999E-2</v>
      </c>
      <c r="V1250">
        <v>-2.4848510000000001E-2</v>
      </c>
      <c r="W1250">
        <v>7.5240799999999997E-2</v>
      </c>
      <c r="X1250">
        <v>0.99685569999999901</v>
      </c>
      <c r="Y1250">
        <v>-1.9320250000000001E-2</v>
      </c>
      <c r="Z1250">
        <v>-2.5394570000000002E-3</v>
      </c>
      <c r="AA1250">
        <v>0.99981010000000003</v>
      </c>
      <c r="AB1250">
        <v>36</v>
      </c>
      <c r="AC1250">
        <v>-14.4834999999999</v>
      </c>
      <c r="AD1250">
        <v>-1.1104548257619999</v>
      </c>
      <c r="AE1250">
        <v>6.3899999999989604E-2</v>
      </c>
      <c r="AF1250">
        <v>-0.286693174431284</v>
      </c>
      <c r="AG1250">
        <v>-1.1104548257619999</v>
      </c>
      <c r="AH1250">
        <v>14.3961459756017</v>
      </c>
      <c r="AI1250">
        <v>94.409937169570895</v>
      </c>
      <c r="AJ1250">
        <v>91.140870476648701</v>
      </c>
      <c r="AK1250">
        <v>14.441756189853001</v>
      </c>
    </row>
    <row r="1251" spans="1:37" x14ac:dyDescent="0.2">
      <c r="A1251" t="str">
        <f>"20200111154050536"</f>
        <v>20200111154050536</v>
      </c>
      <c r="B1251" t="str">
        <f>"1578728450527011"</f>
        <v>1578728450527011</v>
      </c>
      <c r="C1251" t="s">
        <v>37</v>
      </c>
      <c r="D1251">
        <v>5.5644559999999998</v>
      </c>
      <c r="E1251">
        <v>0.49926670000000001</v>
      </c>
      <c r="F1251" t="s">
        <v>44</v>
      </c>
      <c r="G1251">
        <v>-277.93799999999999</v>
      </c>
      <c r="H1251" s="1">
        <v>2.7369859999999998E-6</v>
      </c>
      <c r="I1251">
        <v>283.483</v>
      </c>
      <c r="J1251">
        <v>-262.76350000000002</v>
      </c>
      <c r="K1251">
        <v>1.1104479999999901</v>
      </c>
      <c r="L1251">
        <v>283.45490000000001</v>
      </c>
      <c r="M1251">
        <v>-0.99961769999999905</v>
      </c>
      <c r="N1251">
        <v>0</v>
      </c>
      <c r="O1251">
        <v>2.4273949999999999E-2</v>
      </c>
      <c r="P1251">
        <v>-0.99811879999999997</v>
      </c>
      <c r="Q1251">
        <v>6.1308189999999999E-2</v>
      </c>
      <c r="R1251">
        <v>-5.7798799999999998E-4</v>
      </c>
      <c r="S1251">
        <v>-3.01922599999999</v>
      </c>
      <c r="T1251">
        <v>-0.21576409999999999</v>
      </c>
      <c r="U1251">
        <v>7.17163099999999E-3</v>
      </c>
      <c r="V1251">
        <v>-2.48185E-2</v>
      </c>
      <c r="W1251">
        <v>7.4510430000000002E-2</v>
      </c>
      <c r="X1251">
        <v>0.99691129999999994</v>
      </c>
      <c r="Y1251">
        <v>-2.1783940000000002E-2</v>
      </c>
      <c r="Z1251">
        <v>-2.5098830000000001E-3</v>
      </c>
      <c r="AA1251">
        <v>0.99975959999999997</v>
      </c>
      <c r="AB1251">
        <v>36</v>
      </c>
      <c r="AC1251">
        <v>-15.174499999999901</v>
      </c>
      <c r="AD1251">
        <v>-1.11044526301399</v>
      </c>
      <c r="AE1251">
        <v>2.80999999999949E-2</v>
      </c>
      <c r="AF1251">
        <v>-0.33847306984814002</v>
      </c>
      <c r="AG1251">
        <v>-1.11044526301399</v>
      </c>
      <c r="AH1251">
        <v>15.089902841043701</v>
      </c>
      <c r="AI1251">
        <v>94.207677087187193</v>
      </c>
      <c r="AJ1251">
        <v>91.284953732973904</v>
      </c>
      <c r="AK1251">
        <v>15.1344910866967</v>
      </c>
    </row>
    <row r="1252" spans="1:37" x14ac:dyDescent="0.2">
      <c r="A1252" t="str">
        <f>"20200111154050558"</f>
        <v>20200111154050558</v>
      </c>
      <c r="B1252" t="str">
        <f>"1578728450547503"</f>
        <v>1578728450547503</v>
      </c>
      <c r="C1252" t="s">
        <v>37</v>
      </c>
      <c r="D1252">
        <v>5.5520300000000002</v>
      </c>
      <c r="E1252">
        <v>0.49989489999999998</v>
      </c>
      <c r="F1252" t="s">
        <v>44</v>
      </c>
      <c r="G1252">
        <v>-277.98489999999998</v>
      </c>
      <c r="H1252" s="1">
        <v>2.7634990000000001E-6</v>
      </c>
      <c r="I1252">
        <v>283.44709999999998</v>
      </c>
      <c r="J1252">
        <v>-263.11950000000002</v>
      </c>
      <c r="K1252">
        <v>1.110439</v>
      </c>
      <c r="L1252">
        <v>283.46339999999998</v>
      </c>
      <c r="M1252">
        <v>-0.99961869999999997</v>
      </c>
      <c r="N1252">
        <v>0</v>
      </c>
      <c r="O1252">
        <v>2.4228799999999901E-2</v>
      </c>
      <c r="P1252">
        <v>-0.998121699999999</v>
      </c>
      <c r="Q1252">
        <v>6.1261160000000002E-2</v>
      </c>
      <c r="R1252">
        <v>-4.9852869999999995E-4</v>
      </c>
      <c r="S1252">
        <v>-3.019196</v>
      </c>
      <c r="T1252">
        <v>-0.2202585</v>
      </c>
      <c r="U1252">
        <v>-1.556396E-3</v>
      </c>
      <c r="V1252">
        <v>-2.4692599999999999E-2</v>
      </c>
      <c r="W1252">
        <v>7.447144E-2</v>
      </c>
      <c r="X1252">
        <v>0.99691739999999995</v>
      </c>
      <c r="Y1252">
        <v>-2.4616470000000001E-2</v>
      </c>
      <c r="Z1252">
        <v>-2.6619669999999999E-3</v>
      </c>
      <c r="AA1252">
        <v>0.99969349999999901</v>
      </c>
      <c r="AB1252">
        <v>36</v>
      </c>
      <c r="AC1252">
        <v>-14.8653999999999</v>
      </c>
      <c r="AD1252">
        <v>-1.1104362365009901</v>
      </c>
      <c r="AE1252">
        <v>-1.6300000000001001E-2</v>
      </c>
      <c r="AF1252">
        <v>-0.374408416613837</v>
      </c>
      <c r="AG1252">
        <v>-1.1104362365009901</v>
      </c>
      <c r="AH1252">
        <v>14.778178268828499</v>
      </c>
      <c r="AI1252">
        <v>94.295771617389903</v>
      </c>
      <c r="AJ1252">
        <v>91.451290790726901</v>
      </c>
      <c r="AK1252">
        <v>14.8245675566959</v>
      </c>
    </row>
    <row r="1253" spans="1:37" x14ac:dyDescent="0.2">
      <c r="A1253" t="str">
        <f>"20200111154050579"</f>
        <v>20200111154050579</v>
      </c>
      <c r="B1253" t="str">
        <f>"1578728450567028"</f>
        <v>1578728450567028</v>
      </c>
      <c r="C1253" t="s">
        <v>37</v>
      </c>
      <c r="D1253">
        <v>5.5079669999999998</v>
      </c>
      <c r="E1253">
        <v>0.4997201</v>
      </c>
      <c r="F1253" t="s">
        <v>44</v>
      </c>
      <c r="G1253">
        <v>-278.03500000000003</v>
      </c>
      <c r="H1253" s="1">
        <v>2.7887020000000001E-6</v>
      </c>
      <c r="I1253">
        <v>283.48</v>
      </c>
      <c r="J1253">
        <v>-263.45330000000001</v>
      </c>
      <c r="K1253">
        <v>1.1104369999999999</v>
      </c>
      <c r="L1253">
        <v>283.47149999999999</v>
      </c>
      <c r="M1253">
        <v>-0.9996197</v>
      </c>
      <c r="N1253">
        <v>0</v>
      </c>
      <c r="O1253">
        <v>2.4184710000000002E-2</v>
      </c>
      <c r="P1253">
        <v>-0.99814429999999998</v>
      </c>
      <c r="Q1253">
        <v>6.0889099999999897E-2</v>
      </c>
      <c r="R1253">
        <v>-7.8035649999999904E-4</v>
      </c>
      <c r="S1253">
        <v>-3.0194700000000001</v>
      </c>
      <c r="T1253">
        <v>-0.22479469999999999</v>
      </c>
      <c r="U1253">
        <v>3.3569339999999998E-3</v>
      </c>
      <c r="V1253">
        <v>-2.4930020000000001E-2</v>
      </c>
      <c r="W1253">
        <v>7.4101490000000006E-2</v>
      </c>
      <c r="X1253">
        <v>0.99693909999999997</v>
      </c>
      <c r="Y1253">
        <v>-2.294496E-2</v>
      </c>
      <c r="Z1253">
        <v>-2.6509709999999998E-3</v>
      </c>
      <c r="AA1253">
        <v>0.99973319999999999</v>
      </c>
      <c r="AB1253">
        <v>36</v>
      </c>
      <c r="AC1253">
        <v>-14.5817</v>
      </c>
      <c r="AD1253">
        <v>-1.1104342112979999</v>
      </c>
      <c r="AE1253">
        <v>8.5000000000263701E-3</v>
      </c>
      <c r="AF1253">
        <v>-0.34220312220271398</v>
      </c>
      <c r="AG1253">
        <v>-1.1104342112979999</v>
      </c>
      <c r="AH1253">
        <v>14.4935883623605</v>
      </c>
      <c r="AI1253">
        <v>94.379972553551696</v>
      </c>
      <c r="AJ1253">
        <v>91.352539620410099</v>
      </c>
      <c r="AK1253">
        <v>14.540091840563401</v>
      </c>
    </row>
    <row r="1254" spans="1:37" x14ac:dyDescent="0.2">
      <c r="A1254" t="str">
        <f>"20200111154050603"</f>
        <v>20200111154050603</v>
      </c>
      <c r="B1254" t="str">
        <f>"1578728450597279"</f>
        <v>1578728450597279</v>
      </c>
      <c r="C1254" t="s">
        <v>37</v>
      </c>
      <c r="D1254">
        <v>5.6092760000000004</v>
      </c>
      <c r="E1254">
        <v>0.4995327</v>
      </c>
      <c r="F1254" t="s">
        <v>44</v>
      </c>
      <c r="G1254">
        <v>-278.30239999999998</v>
      </c>
      <c r="H1254" s="1">
        <v>2.9311160000000002E-6</v>
      </c>
      <c r="I1254">
        <v>283.47730000000001</v>
      </c>
      <c r="J1254">
        <v>-263.82400000000001</v>
      </c>
      <c r="K1254">
        <v>1.110436</v>
      </c>
      <c r="L1254">
        <v>283.4803</v>
      </c>
      <c r="M1254">
        <v>-0.99962109999999904</v>
      </c>
      <c r="N1254">
        <v>0</v>
      </c>
      <c r="O1254">
        <v>2.4134409999999999E-2</v>
      </c>
      <c r="P1254">
        <v>-0.99816539999999998</v>
      </c>
      <c r="Q1254">
        <v>6.051749E-2</v>
      </c>
      <c r="R1254">
        <v>-1.9906669999999998E-3</v>
      </c>
      <c r="S1254">
        <v>-3.0193180000000002</v>
      </c>
      <c r="T1254">
        <v>-0.22578909999999999</v>
      </c>
      <c r="U1254">
        <v>1.190186E-3</v>
      </c>
      <c r="V1254">
        <v>-2.608924E-2</v>
      </c>
      <c r="W1254">
        <v>7.3719629999999994E-2</v>
      </c>
      <c r="X1254">
        <v>0.99693770000000004</v>
      </c>
      <c r="Y1254">
        <v>-2.3609140000000001E-2</v>
      </c>
      <c r="Z1254">
        <v>-2.683848E-3</v>
      </c>
      <c r="AA1254">
        <v>0.99971769999999904</v>
      </c>
      <c r="AB1254">
        <v>36</v>
      </c>
      <c r="AC1254">
        <v>-14.478399999999899</v>
      </c>
      <c r="AD1254">
        <v>-1.1104330688840001</v>
      </c>
      <c r="AE1254">
        <v>-2.9999999999858998E-3</v>
      </c>
      <c r="AF1254">
        <v>-0.35039626027628201</v>
      </c>
      <c r="AG1254">
        <v>-1.1104330688840001</v>
      </c>
      <c r="AH1254">
        <v>14.389467152828001</v>
      </c>
      <c r="AI1254">
        <v>94.411458597533397</v>
      </c>
      <c r="AJ1254">
        <v>91.394927268561105</v>
      </c>
      <c r="AK1254">
        <v>14.436502487860499</v>
      </c>
    </row>
    <row r="1255" spans="1:37" x14ac:dyDescent="0.2">
      <c r="A1255" t="str">
        <f>"20200111154050626"</f>
        <v>20200111154050626</v>
      </c>
      <c r="B1255" t="str">
        <f>"1578728450617775"</f>
        <v>1578728450617775</v>
      </c>
      <c r="C1255" t="s">
        <v>37</v>
      </c>
      <c r="D1255">
        <v>5.5489389999999998</v>
      </c>
      <c r="E1255">
        <v>0.49932270000000001</v>
      </c>
      <c r="F1255" t="s">
        <v>44</v>
      </c>
      <c r="G1255">
        <v>-278.54500000000002</v>
      </c>
      <c r="H1255" s="1">
        <v>3.0607830000000002E-6</v>
      </c>
      <c r="I1255">
        <v>283.46409999999997</v>
      </c>
      <c r="J1255">
        <v>-264.19069999999999</v>
      </c>
      <c r="K1255">
        <v>1.1104369999999999</v>
      </c>
      <c r="L1255">
        <v>283.48910000000001</v>
      </c>
      <c r="M1255">
        <v>-0.99962249999999997</v>
      </c>
      <c r="N1255">
        <v>0</v>
      </c>
      <c r="O1255">
        <v>2.4088289999999998E-2</v>
      </c>
      <c r="P1255">
        <v>-0.99812999999999996</v>
      </c>
      <c r="Q1255">
        <v>6.1075900000000002E-2</v>
      </c>
      <c r="R1255">
        <v>-2.5555920000000002E-3</v>
      </c>
      <c r="S1255">
        <v>-3.0193180000000002</v>
      </c>
      <c r="T1255">
        <v>-0.22775290000000001</v>
      </c>
      <c r="U1255">
        <v>-3.32641599999999E-3</v>
      </c>
      <c r="V1255">
        <v>-2.6606810000000002E-2</v>
      </c>
      <c r="W1255">
        <v>7.4256030000000001E-2</v>
      </c>
      <c r="X1255">
        <v>0.996884199999999</v>
      </c>
      <c r="Y1255">
        <v>-2.5052169999999999E-2</v>
      </c>
      <c r="Z1255">
        <v>-2.7580069999999998E-3</v>
      </c>
      <c r="AA1255">
        <v>0.99968239999999997</v>
      </c>
      <c r="AB1255">
        <v>36</v>
      </c>
      <c r="AC1255">
        <v>-14.3543</v>
      </c>
      <c r="AD1255">
        <v>-1.110433939217</v>
      </c>
      <c r="AE1255">
        <v>-2.5000000000034099E-2</v>
      </c>
      <c r="AF1255">
        <v>-0.368587703873683</v>
      </c>
      <c r="AG1255">
        <v>-1.110433939217</v>
      </c>
      <c r="AH1255">
        <v>14.264169503028301</v>
      </c>
      <c r="AI1255">
        <v>94.449892177799896</v>
      </c>
      <c r="AJ1255">
        <v>91.480199834432696</v>
      </c>
      <c r="AK1255">
        <v>14.312073645699799</v>
      </c>
    </row>
    <row r="1256" spans="1:37" x14ac:dyDescent="0.2">
      <c r="A1256" t="str">
        <f>"20200111154050648"</f>
        <v>20200111154050648</v>
      </c>
      <c r="B1256" t="str">
        <f>"1578728450637295"</f>
        <v>1578728450637295</v>
      </c>
      <c r="C1256" t="s">
        <v>37</v>
      </c>
      <c r="D1256">
        <v>5.5259419999999997</v>
      </c>
      <c r="E1256">
        <v>0.49909609999999899</v>
      </c>
      <c r="F1256" t="s">
        <v>44</v>
      </c>
      <c r="G1256">
        <v>-278.82369999999997</v>
      </c>
      <c r="H1256" s="1">
        <v>3.2095170000000002E-6</v>
      </c>
      <c r="I1256">
        <v>283.45530000000002</v>
      </c>
      <c r="J1256">
        <v>-264.54109999999997</v>
      </c>
      <c r="K1256">
        <v>1.110439</v>
      </c>
      <c r="L1256">
        <v>283.49759999999998</v>
      </c>
      <c r="M1256">
        <v>-0.99962379999999995</v>
      </c>
      <c r="N1256">
        <v>0</v>
      </c>
      <c r="O1256">
        <v>2.405473E-2</v>
      </c>
      <c r="P1256">
        <v>-0.99804159999999997</v>
      </c>
      <c r="Q1256">
        <v>6.2504550000000006E-2</v>
      </c>
      <c r="R1256">
        <v>-2.5114099999999999E-3</v>
      </c>
      <c r="S1256">
        <v>-3.0196230000000002</v>
      </c>
      <c r="T1256">
        <v>-0.22914490000000001</v>
      </c>
      <c r="U1256">
        <v>-6.9885249999999998E-3</v>
      </c>
      <c r="V1256">
        <v>-2.6526520000000001E-2</v>
      </c>
      <c r="W1256">
        <v>7.5657790000000003E-2</v>
      </c>
      <c r="X1256">
        <v>0.99678089999999997</v>
      </c>
      <c r="Y1256">
        <v>-2.622588E-2</v>
      </c>
      <c r="Z1256">
        <v>-2.8164650000000002E-3</v>
      </c>
      <c r="AA1256">
        <v>0.99965210000000004</v>
      </c>
      <c r="AB1256">
        <v>36</v>
      </c>
      <c r="AC1256">
        <v>-14.2826</v>
      </c>
      <c r="AD1256">
        <v>-1.110435790483</v>
      </c>
      <c r="AE1256">
        <v>-4.22999999999547E-2</v>
      </c>
      <c r="AF1256">
        <v>-0.38356318366154002</v>
      </c>
      <c r="AG1256">
        <v>-1.110435790483</v>
      </c>
      <c r="AH1256">
        <v>14.191665773853099</v>
      </c>
      <c r="AI1256">
        <v>94.472401934825498</v>
      </c>
      <c r="AJ1256">
        <v>91.548176455549296</v>
      </c>
      <c r="AK1256">
        <v>14.240209471682601</v>
      </c>
    </row>
    <row r="1257" spans="1:37" x14ac:dyDescent="0.2">
      <c r="A1257" t="str">
        <f>"20200111154050670"</f>
        <v>20200111154050670</v>
      </c>
      <c r="B1257" t="str">
        <f>"1578728450657794"</f>
        <v>1578728450657794</v>
      </c>
      <c r="C1257" t="s">
        <v>37</v>
      </c>
      <c r="D1257">
        <v>5.8449819999999999</v>
      </c>
      <c r="E1257">
        <v>0.49894250000000001</v>
      </c>
      <c r="F1257" t="s">
        <v>44</v>
      </c>
      <c r="G1257">
        <v>-279.43099999999998</v>
      </c>
      <c r="H1257" s="1">
        <v>3.5327149999999999E-6</v>
      </c>
      <c r="I1257">
        <v>283.45440000000002</v>
      </c>
      <c r="J1257">
        <v>-264.8861</v>
      </c>
      <c r="K1257">
        <v>1.1104339999999999</v>
      </c>
      <c r="L1257">
        <v>283.50580000000002</v>
      </c>
      <c r="M1257">
        <v>-0.99962459999999898</v>
      </c>
      <c r="N1257">
        <v>0</v>
      </c>
      <c r="O1257">
        <v>2.403054E-2</v>
      </c>
      <c r="P1257">
        <v>-0.99800029999999995</v>
      </c>
      <c r="Q1257">
        <v>6.3183970000000006E-2</v>
      </c>
      <c r="R1257">
        <v>-1.6820800000000001E-3</v>
      </c>
      <c r="S1257">
        <v>-3.0199579999999999</v>
      </c>
      <c r="T1257">
        <v>-0.22521820000000001</v>
      </c>
      <c r="U1257">
        <v>-8.7585449999999995E-3</v>
      </c>
      <c r="V1257">
        <v>-2.5671590000000001E-2</v>
      </c>
      <c r="W1257">
        <v>7.6307739999999999E-2</v>
      </c>
      <c r="X1257">
        <v>0.99675380000000002</v>
      </c>
      <c r="Y1257">
        <v>-2.6790769999999998E-2</v>
      </c>
      <c r="Z1257">
        <v>-2.7872629999999999E-3</v>
      </c>
      <c r="AA1257">
        <v>0.999637199999999</v>
      </c>
      <c r="AB1257">
        <v>36</v>
      </c>
      <c r="AC1257">
        <v>-14.544899999999901</v>
      </c>
      <c r="AD1257">
        <v>-1.1104304672849901</v>
      </c>
      <c r="AE1257">
        <v>-5.1400000000000903E-2</v>
      </c>
      <c r="AF1257">
        <v>-0.39861391077993003</v>
      </c>
      <c r="AG1257">
        <v>-1.1104304672849901</v>
      </c>
      <c r="AH1257">
        <v>14.4552117757868</v>
      </c>
      <c r="AI1257">
        <v>94.391096998361704</v>
      </c>
      <c r="AJ1257">
        <v>91.579576187013998</v>
      </c>
      <c r="AK1257">
        <v>14.503278813957399</v>
      </c>
    </row>
    <row r="1258" spans="1:37" x14ac:dyDescent="0.2">
      <c r="A1258" t="str">
        <f>"20200111154050692"</f>
        <v>20200111154050692</v>
      </c>
      <c r="B1258" t="str">
        <f>"1578728450687071"</f>
        <v>1578728450687071</v>
      </c>
      <c r="C1258" t="s">
        <v>37</v>
      </c>
      <c r="D1258">
        <v>5.7184540000000004</v>
      </c>
      <c r="E1258">
        <v>0.50183540000000004</v>
      </c>
      <c r="F1258" t="s">
        <v>44</v>
      </c>
      <c r="G1258">
        <v>-279.9556</v>
      </c>
      <c r="H1258" s="1">
        <v>3.8113479999999999E-6</v>
      </c>
      <c r="I1258">
        <v>283.46679999999998</v>
      </c>
      <c r="J1258">
        <v>-265.23390000000001</v>
      </c>
      <c r="K1258">
        <v>1.1104149999999999</v>
      </c>
      <c r="L1258">
        <v>283.51420000000002</v>
      </c>
      <c r="M1258">
        <v>-0.99962569999999995</v>
      </c>
      <c r="N1258">
        <v>0</v>
      </c>
      <c r="O1258">
        <v>2.401257E-2</v>
      </c>
      <c r="P1258">
        <v>-0.99798379999999998</v>
      </c>
      <c r="Q1258">
        <v>6.3472139999999996E-2</v>
      </c>
      <c r="R1258">
        <v>5.1834020000000001E-4</v>
      </c>
      <c r="S1258">
        <v>-3.0200809999999998</v>
      </c>
      <c r="T1258">
        <v>-0.22254160000000001</v>
      </c>
      <c r="U1258">
        <v>-7.8125E-3</v>
      </c>
      <c r="V1258">
        <v>-2.3450530000000001E-2</v>
      </c>
      <c r="W1258">
        <v>7.6555929999999994E-2</v>
      </c>
      <c r="X1258">
        <v>0.99678949999999999</v>
      </c>
      <c r="Y1258">
        <v>-2.6463799999999999E-2</v>
      </c>
      <c r="Z1258">
        <v>-2.7407629999999998E-3</v>
      </c>
      <c r="AA1258">
        <v>0.99964599999999904</v>
      </c>
      <c r="AB1258">
        <v>36</v>
      </c>
      <c r="AC1258">
        <v>-14.721699999999901</v>
      </c>
      <c r="AD1258">
        <v>-1.1104111886519901</v>
      </c>
      <c r="AE1258">
        <v>-4.7400000000038703E-2</v>
      </c>
      <c r="AF1258">
        <v>-0.39865455721603499</v>
      </c>
      <c r="AG1258">
        <v>-1.1104111886519901</v>
      </c>
      <c r="AH1258">
        <v>14.633066392704899</v>
      </c>
      <c r="AI1258">
        <v>94.337895587323302</v>
      </c>
      <c r="AJ1258">
        <v>91.560546133798795</v>
      </c>
      <c r="AK1258">
        <v>14.6805507566025</v>
      </c>
    </row>
    <row r="1259" spans="1:37" x14ac:dyDescent="0.2">
      <c r="A1259" t="str">
        <f>"20200111154050714"</f>
        <v>20200111154050714</v>
      </c>
      <c r="B1259" t="str">
        <f>"1578728450707567"</f>
        <v>1578728450707567</v>
      </c>
      <c r="C1259" t="s">
        <v>37</v>
      </c>
      <c r="D1259">
        <v>5.688339</v>
      </c>
      <c r="E1259">
        <v>0.5713975</v>
      </c>
      <c r="F1259" t="s">
        <v>45</v>
      </c>
      <c r="G1259">
        <v>-280.48809999999997</v>
      </c>
      <c r="H1259" s="1">
        <v>8.3909660000000001E-6</v>
      </c>
      <c r="I1259">
        <v>283.6234</v>
      </c>
      <c r="J1259">
        <v>-265.5985</v>
      </c>
      <c r="K1259">
        <v>1.110387</v>
      </c>
      <c r="L1259">
        <v>283.52289999999999</v>
      </c>
      <c r="M1259">
        <v>-0.99962659999999903</v>
      </c>
      <c r="N1259">
        <v>0</v>
      </c>
      <c r="O1259">
        <v>2.4005840000000001E-2</v>
      </c>
      <c r="P1259">
        <v>-0.99801839999999997</v>
      </c>
      <c r="Q1259">
        <v>6.2798809999999997E-2</v>
      </c>
      <c r="R1259">
        <v>3.9691290000000001E-3</v>
      </c>
      <c r="S1259">
        <v>-3.0200499999999999</v>
      </c>
      <c r="T1259">
        <v>-0.21983989999999901</v>
      </c>
      <c r="U1259">
        <v>2.163696E-2</v>
      </c>
      <c r="V1259">
        <v>-1.999223E-2</v>
      </c>
      <c r="W1259">
        <v>7.5827989999999998E-2</v>
      </c>
      <c r="X1259">
        <v>0.99692049999999999</v>
      </c>
      <c r="Y1259">
        <v>-1.6737289999999998E-2</v>
      </c>
      <c r="Z1259">
        <v>-2.3534929999999999E-3</v>
      </c>
      <c r="AA1259">
        <v>0.99985709999999905</v>
      </c>
      <c r="AB1259">
        <v>36</v>
      </c>
      <c r="AC1259">
        <v>-14.8895999999999</v>
      </c>
      <c r="AD1259">
        <v>-1.110378609034</v>
      </c>
      <c r="AE1259">
        <v>0.10050000000001</v>
      </c>
      <c r="AF1259">
        <v>-0.25557550984031802</v>
      </c>
      <c r="AG1259">
        <v>-1.110378609034</v>
      </c>
      <c r="AH1259">
        <v>14.8053877391577</v>
      </c>
      <c r="AI1259">
        <v>94.288418790402901</v>
      </c>
      <c r="AJ1259">
        <v>90.988960509466693</v>
      </c>
      <c r="AK1259">
        <v>14.849167168680999</v>
      </c>
    </row>
    <row r="1260" spans="1:37" x14ac:dyDescent="0.2">
      <c r="A1260" t="str">
        <f>"20200111154050737"</f>
        <v>20200111154050737</v>
      </c>
      <c r="B1260" t="str">
        <f>"1578728450727087"</f>
        <v>1578728450727087</v>
      </c>
      <c r="C1260" t="s">
        <v>37</v>
      </c>
      <c r="D1260">
        <v>5.6190259999999999</v>
      </c>
      <c r="E1260">
        <v>0.57157899999999995</v>
      </c>
      <c r="F1260" t="s">
        <v>38</v>
      </c>
      <c r="G1260">
        <v>-266.45659999999998</v>
      </c>
      <c r="H1260">
        <v>1.0349200000000001</v>
      </c>
      <c r="I1260">
        <v>283.6902</v>
      </c>
      <c r="J1260">
        <v>-265.96249999999998</v>
      </c>
      <c r="K1260">
        <v>1.11036</v>
      </c>
      <c r="L1260">
        <v>283.5317</v>
      </c>
      <c r="M1260">
        <v>-0.9996275</v>
      </c>
      <c r="N1260">
        <v>0</v>
      </c>
      <c r="O1260">
        <v>2.40018E-2</v>
      </c>
      <c r="P1260">
        <v>-0.99805049999999995</v>
      </c>
      <c r="Q1260">
        <v>6.206561E-2</v>
      </c>
      <c r="R1260">
        <v>6.5869329999999997E-3</v>
      </c>
      <c r="S1260">
        <v>-3.0203549999999999</v>
      </c>
      <c r="T1260">
        <v>-0.2659125</v>
      </c>
      <c r="U1260">
        <v>0.58770749999999905</v>
      </c>
      <c r="V1260">
        <v>-1.7370139999999999E-2</v>
      </c>
      <c r="W1260">
        <v>7.5027300000000005E-2</v>
      </c>
      <c r="X1260">
        <v>0.99703019999999998</v>
      </c>
      <c r="Y1260">
        <v>0.16685129999999901</v>
      </c>
      <c r="Z1260">
        <v>5.1745259999999996E-3</v>
      </c>
      <c r="AA1260">
        <v>0.98596849999999903</v>
      </c>
      <c r="AB1260">
        <v>36</v>
      </c>
      <c r="AC1260">
        <v>-0.49410000000000298</v>
      </c>
      <c r="AD1260">
        <v>-7.5439999999999896E-2</v>
      </c>
      <c r="AE1260">
        <v>0.158500000000003</v>
      </c>
      <c r="AF1260">
        <v>0.14355966937269801</v>
      </c>
      <c r="AG1260">
        <v>-7.5439999999999896E-2</v>
      </c>
      <c r="AH1260">
        <v>0.48745898722438102</v>
      </c>
      <c r="AI1260">
        <v>98.444309324390602</v>
      </c>
      <c r="AJ1260">
        <v>73.589974527531396</v>
      </c>
      <c r="AK1260">
        <v>0.51372836839736402</v>
      </c>
    </row>
    <row r="1261" spans="1:37" x14ac:dyDescent="0.2">
      <c r="A1261" t="str">
        <f>"20200111154050758"</f>
        <v>20200111154050758</v>
      </c>
      <c r="B1261" t="str">
        <f>"1578728450747583"</f>
        <v>1578728450747583</v>
      </c>
      <c r="C1261" t="s">
        <v>37</v>
      </c>
      <c r="D1261">
        <v>5.6433299999999997</v>
      </c>
      <c r="E1261">
        <v>0.57082949999999999</v>
      </c>
      <c r="F1261" t="s">
        <v>38</v>
      </c>
      <c r="G1261">
        <v>-266.77659999999997</v>
      </c>
      <c r="H1261">
        <v>1.039172</v>
      </c>
      <c r="I1261">
        <v>283.69310000000002</v>
      </c>
      <c r="J1261">
        <v>-266.2928</v>
      </c>
      <c r="K1261">
        <v>1.1103379999999901</v>
      </c>
      <c r="L1261">
        <v>283.53960000000001</v>
      </c>
      <c r="M1261">
        <v>-0.99962839999999997</v>
      </c>
      <c r="N1261">
        <v>0</v>
      </c>
      <c r="O1261">
        <v>2.400277E-2</v>
      </c>
      <c r="P1261">
        <v>-0.99812019999999901</v>
      </c>
      <c r="Q1261">
        <v>6.0712629999999997E-2</v>
      </c>
      <c r="R1261">
        <v>8.3684509999999903E-3</v>
      </c>
      <c r="S1261">
        <v>-3.0183719999999998</v>
      </c>
      <c r="T1261">
        <v>-0.26406439999999998</v>
      </c>
      <c r="U1261">
        <v>0.59735109999999902</v>
      </c>
      <c r="V1261">
        <v>-1.5591310000000001E-2</v>
      </c>
      <c r="W1261">
        <v>7.3612639999999993E-2</v>
      </c>
      <c r="X1261">
        <v>0.99716499999999997</v>
      </c>
      <c r="Y1261">
        <v>0.1699997</v>
      </c>
      <c r="Z1261">
        <v>5.2765240000000003E-3</v>
      </c>
      <c r="AA1261">
        <v>0.98542999999999903</v>
      </c>
      <c r="AB1261">
        <v>36</v>
      </c>
      <c r="AC1261">
        <v>-0.48379999999997297</v>
      </c>
      <c r="AD1261">
        <v>-7.1165999999999799E-2</v>
      </c>
      <c r="AE1261">
        <v>0.15350000000000799</v>
      </c>
      <c r="AF1261">
        <v>0.13910756678175601</v>
      </c>
      <c r="AG1261">
        <v>-7.1165999999999799E-2</v>
      </c>
      <c r="AH1261">
        <v>0.47794939767067202</v>
      </c>
      <c r="AI1261">
        <v>98.136231812376494</v>
      </c>
      <c r="AJ1261">
        <v>73.772319415366994</v>
      </c>
      <c r="AK1261">
        <v>0.50284305844438004</v>
      </c>
    </row>
    <row r="1262" spans="1:37" x14ac:dyDescent="0.2">
      <c r="A1262" t="str">
        <f>"20200111154050780"</f>
        <v>20200111154050780</v>
      </c>
      <c r="B1262" t="str">
        <f>"1578728450777839"</f>
        <v>1578728450777839</v>
      </c>
      <c r="C1262" t="s">
        <v>37</v>
      </c>
      <c r="D1262">
        <v>5.6584339999999997</v>
      </c>
      <c r="E1262">
        <v>0.57016800000000001</v>
      </c>
      <c r="F1262" t="s">
        <v>38</v>
      </c>
      <c r="G1262">
        <v>-267.0942</v>
      </c>
      <c r="H1262">
        <v>1.039909</v>
      </c>
      <c r="I1262">
        <v>283.69819999999999</v>
      </c>
      <c r="J1262">
        <v>-266.63740000000001</v>
      </c>
      <c r="K1262">
        <v>1.110311</v>
      </c>
      <c r="L1262">
        <v>283.54790000000003</v>
      </c>
      <c r="M1262">
        <v>-0.99962899999999999</v>
      </c>
      <c r="N1262">
        <v>0</v>
      </c>
      <c r="O1262">
        <v>2.4016510000000001E-2</v>
      </c>
      <c r="P1262">
        <v>-0.99819139999999995</v>
      </c>
      <c r="Q1262">
        <v>5.9433710000000001E-2</v>
      </c>
      <c r="R1262">
        <v>9.0574490000000004E-3</v>
      </c>
      <c r="S1262">
        <v>-3.016785</v>
      </c>
      <c r="T1262">
        <v>-0.26530179999999998</v>
      </c>
      <c r="U1262">
        <v>0.59637450000000003</v>
      </c>
      <c r="V1262">
        <v>-1.491664E-2</v>
      </c>
      <c r="W1262">
        <v>7.2262499999999993E-2</v>
      </c>
      <c r="X1262">
        <v>0.99727410000000005</v>
      </c>
      <c r="Y1262">
        <v>0.16977320000000001</v>
      </c>
      <c r="Z1262">
        <v>5.2930130000000001E-3</v>
      </c>
      <c r="AA1262">
        <v>0.98546889999999998</v>
      </c>
      <c r="AB1262">
        <v>36</v>
      </c>
      <c r="AC1262">
        <v>-0.45679999999998699</v>
      </c>
      <c r="AD1262">
        <v>-7.0402000000000006E-2</v>
      </c>
      <c r="AE1262">
        <v>0.15029999999995799</v>
      </c>
      <c r="AF1262">
        <v>0.13636238272818199</v>
      </c>
      <c r="AG1262">
        <v>-7.0402000000000006E-2</v>
      </c>
      <c r="AH1262">
        <v>0.45062020313812901</v>
      </c>
      <c r="AI1262">
        <v>98.504805463756895</v>
      </c>
      <c r="AJ1262">
        <v>73.163636376695393</v>
      </c>
      <c r="AK1262">
        <v>0.47603540677512202</v>
      </c>
    </row>
    <row r="1263" spans="1:37" x14ac:dyDescent="0.2">
      <c r="A1263" t="str">
        <f>"20200111154050805"</f>
        <v>20200111154050805</v>
      </c>
      <c r="B1263" t="str">
        <f>"1578728450797360"</f>
        <v>1578728450797360</v>
      </c>
      <c r="C1263" t="s">
        <v>37</v>
      </c>
      <c r="D1263">
        <v>5.5999980000000003</v>
      </c>
      <c r="E1263">
        <v>0.56994219999999995</v>
      </c>
      <c r="F1263" t="s">
        <v>38</v>
      </c>
      <c r="G1263">
        <v>-267.41269999999997</v>
      </c>
      <c r="H1263">
        <v>1.041857</v>
      </c>
      <c r="I1263">
        <v>283.70049999999998</v>
      </c>
      <c r="J1263">
        <v>-267.0283</v>
      </c>
      <c r="K1263">
        <v>1.110277</v>
      </c>
      <c r="L1263">
        <v>283.5573</v>
      </c>
      <c r="M1263">
        <v>-0.99962899999999999</v>
      </c>
      <c r="N1263">
        <v>0</v>
      </c>
      <c r="O1263">
        <v>2.4057849999999999E-2</v>
      </c>
      <c r="P1263">
        <v>-0.99826130000000002</v>
      </c>
      <c r="Q1263">
        <v>5.8284759999999998E-2</v>
      </c>
      <c r="R1263">
        <v>8.8142450000000001E-3</v>
      </c>
      <c r="S1263">
        <v>-3.01593</v>
      </c>
      <c r="T1263">
        <v>-0.26637119999999997</v>
      </c>
      <c r="U1263">
        <v>0.592804</v>
      </c>
      <c r="V1263">
        <v>-1.519998E-2</v>
      </c>
      <c r="W1263">
        <v>7.1034470000000002E-2</v>
      </c>
      <c r="X1263">
        <v>0.99735799999999997</v>
      </c>
      <c r="Y1263">
        <v>0.1686619</v>
      </c>
      <c r="Z1263">
        <v>5.2642089999999997E-3</v>
      </c>
      <c r="AA1263">
        <v>0.98565990000000003</v>
      </c>
      <c r="AB1263">
        <v>36</v>
      </c>
      <c r="AC1263">
        <v>-0.38439999999997099</v>
      </c>
      <c r="AD1263">
        <v>-6.8419999999999898E-2</v>
      </c>
      <c r="AE1263">
        <v>0.14319999999997801</v>
      </c>
      <c r="AF1263">
        <v>0.13028538742033799</v>
      </c>
      <c r="AG1263">
        <v>-6.8419999999999898E-2</v>
      </c>
      <c r="AH1263">
        <v>0.37723921336539001</v>
      </c>
      <c r="AI1263">
        <v>99.727890266286096</v>
      </c>
      <c r="AJ1263">
        <v>70.946856601336506</v>
      </c>
      <c r="AK1263">
        <v>0.40492592245471998</v>
      </c>
    </row>
    <row r="1264" spans="1:37" x14ac:dyDescent="0.2">
      <c r="A1264" t="str">
        <f>"20200111154050827"</f>
        <v>20200111154050827</v>
      </c>
      <c r="B1264" t="str">
        <f>"1578728450817854"</f>
        <v>1578728450817854</v>
      </c>
      <c r="C1264" t="s">
        <v>37</v>
      </c>
      <c r="D1264">
        <v>5.6002510000000001</v>
      </c>
      <c r="E1264">
        <v>0.56996400000000003</v>
      </c>
      <c r="F1264" t="s">
        <v>38</v>
      </c>
      <c r="G1264">
        <v>-268.0369</v>
      </c>
      <c r="H1264">
        <v>1.0211330000000001</v>
      </c>
      <c r="I1264">
        <v>283.75510000000003</v>
      </c>
      <c r="J1264">
        <v>-267.3922</v>
      </c>
      <c r="K1264">
        <v>1.1102449999999999</v>
      </c>
      <c r="L1264">
        <v>283.56619999999998</v>
      </c>
      <c r="M1264">
        <v>-0.99962819999999997</v>
      </c>
      <c r="N1264">
        <v>0</v>
      </c>
      <c r="O1264">
        <v>2.4129279999999999E-2</v>
      </c>
      <c r="P1264">
        <v>-0.99830160000000001</v>
      </c>
      <c r="Q1264">
        <v>5.7611969999999998E-2</v>
      </c>
      <c r="R1264">
        <v>8.6788290000000008E-3</v>
      </c>
      <c r="S1264">
        <v>-3.015625</v>
      </c>
      <c r="T1264">
        <v>-0.26670050000000001</v>
      </c>
      <c r="U1264">
        <v>0.59054569999999995</v>
      </c>
      <c r="V1264">
        <v>-1.540386E-2</v>
      </c>
      <c r="W1264">
        <v>7.0294839999999997E-2</v>
      </c>
      <c r="X1264">
        <v>0.9974073</v>
      </c>
      <c r="Y1264">
        <v>0.1679012</v>
      </c>
      <c r="Z1264">
        <v>5.2320880000000002E-3</v>
      </c>
      <c r="AA1264">
        <v>0.98578999999999894</v>
      </c>
      <c r="AB1264">
        <v>36</v>
      </c>
      <c r="AC1264">
        <v>-0.64470000000000005</v>
      </c>
      <c r="AD1264">
        <v>-8.9111999999999997E-2</v>
      </c>
      <c r="AE1264">
        <v>0.188900000000046</v>
      </c>
      <c r="AF1264">
        <v>0.17029133388329301</v>
      </c>
      <c r="AG1264">
        <v>-8.9111999999999997E-2</v>
      </c>
      <c r="AH1264">
        <v>0.63784779000833502</v>
      </c>
      <c r="AI1264">
        <v>97.687300837675494</v>
      </c>
      <c r="AJ1264">
        <v>75.051929744708005</v>
      </c>
      <c r="AK1264">
        <v>0.66617557007013395</v>
      </c>
    </row>
    <row r="1265" spans="1:37" x14ac:dyDescent="0.2">
      <c r="A1265" t="str">
        <f>"20200111154050849"</f>
        <v>20200111154050849</v>
      </c>
      <c r="B1265" t="str">
        <f>"1578728450837376"</f>
        <v>1578728450837376</v>
      </c>
      <c r="C1265" t="s">
        <v>37</v>
      </c>
      <c r="D1265">
        <v>5.7806319999999998</v>
      </c>
      <c r="E1265">
        <v>0.56978269999999998</v>
      </c>
      <c r="F1265" t="s">
        <v>38</v>
      </c>
      <c r="G1265">
        <v>-268.35610000000003</v>
      </c>
      <c r="H1265">
        <v>1.0251490000000001</v>
      </c>
      <c r="I1265">
        <v>283.75490000000002</v>
      </c>
      <c r="J1265">
        <v>-267.72629999999998</v>
      </c>
      <c r="K1265">
        <v>1.1102110000000001</v>
      </c>
      <c r="L1265">
        <v>283.57429999999999</v>
      </c>
      <c r="M1265">
        <v>-0.99962680000000004</v>
      </c>
      <c r="N1265">
        <v>0</v>
      </c>
      <c r="O1265">
        <v>2.4219129999999998E-2</v>
      </c>
      <c r="P1265">
        <v>-0.99832509999999997</v>
      </c>
      <c r="Q1265">
        <v>5.7167429999999998E-2</v>
      </c>
      <c r="R1265">
        <v>8.8975080000000002E-3</v>
      </c>
      <c r="S1265">
        <v>-3.0153500000000002</v>
      </c>
      <c r="T1265">
        <v>-0.26626840000000002</v>
      </c>
      <c r="U1265">
        <v>0.58996579999999998</v>
      </c>
      <c r="V1265">
        <v>-1.5271710000000001E-2</v>
      </c>
      <c r="W1265">
        <v>6.9793010000000003E-2</v>
      </c>
      <c r="X1265">
        <v>0.99744460000000001</v>
      </c>
      <c r="Y1265">
        <v>0.16764979999999999</v>
      </c>
      <c r="Z1265">
        <v>5.2053960000000002E-3</v>
      </c>
      <c r="AA1265">
        <v>0.98583290000000001</v>
      </c>
      <c r="AB1265">
        <v>36</v>
      </c>
      <c r="AC1265">
        <v>-0.62980000000004499</v>
      </c>
      <c r="AD1265">
        <v>-8.5061999999999902E-2</v>
      </c>
      <c r="AE1265">
        <v>0.18060000000002599</v>
      </c>
      <c r="AF1265">
        <v>0.16255265497086599</v>
      </c>
      <c r="AG1265">
        <v>-8.5061999999999902E-2</v>
      </c>
      <c r="AH1265">
        <v>0.62348037152145896</v>
      </c>
      <c r="AI1265">
        <v>97.520572404905096</v>
      </c>
      <c r="AJ1265">
        <v>75.387248480733703</v>
      </c>
      <c r="AK1265">
        <v>0.649912827350418</v>
      </c>
    </row>
    <row r="1266" spans="1:37" x14ac:dyDescent="0.2">
      <c r="A1266" t="str">
        <f>"20200111154050870"</f>
        <v>20200111154050870</v>
      </c>
      <c r="B1266" t="str">
        <f>"1578728450867631"</f>
        <v>1578728450867631</v>
      </c>
      <c r="C1266" t="s">
        <v>37</v>
      </c>
      <c r="D1266">
        <v>5.5876869999999998</v>
      </c>
      <c r="E1266">
        <v>0.59713269999999996</v>
      </c>
      <c r="F1266" t="s">
        <v>38</v>
      </c>
      <c r="G1266">
        <v>-268.67520000000002</v>
      </c>
      <c r="H1266">
        <v>1.0278590000000001</v>
      </c>
      <c r="I1266">
        <v>283.75959999999998</v>
      </c>
      <c r="J1266">
        <v>-268.06</v>
      </c>
      <c r="K1266">
        <v>1.1101799999999999</v>
      </c>
      <c r="L1266">
        <v>283.58249999999998</v>
      </c>
      <c r="M1266">
        <v>-0.99962439999999997</v>
      </c>
      <c r="N1266">
        <v>0</v>
      </c>
      <c r="O1266">
        <v>2.433925E-2</v>
      </c>
      <c r="P1266">
        <v>-0.99833919999999998</v>
      </c>
      <c r="Q1266">
        <v>5.6812540000000002E-2</v>
      </c>
      <c r="R1266">
        <v>9.5519929999999999E-3</v>
      </c>
      <c r="S1266">
        <v>-3.0147710000000001</v>
      </c>
      <c r="T1266">
        <v>-0.26164899999999902</v>
      </c>
      <c r="U1266">
        <v>0.58859249999999996</v>
      </c>
      <c r="V1266">
        <v>-1.473325E-2</v>
      </c>
      <c r="W1266">
        <v>6.9386790000000004E-2</v>
      </c>
      <c r="X1266">
        <v>0.99748099999999995</v>
      </c>
      <c r="Y1266">
        <v>0.1671549</v>
      </c>
      <c r="Z1266">
        <v>5.0850690000000002E-3</v>
      </c>
      <c r="AA1266">
        <v>0.985917499999999</v>
      </c>
      <c r="AB1266">
        <v>36</v>
      </c>
      <c r="AC1266">
        <v>-0.61520000000001496</v>
      </c>
      <c r="AD1266">
        <v>-8.2320999999999797E-2</v>
      </c>
      <c r="AE1266">
        <v>0.17709999999999501</v>
      </c>
      <c r="AF1266">
        <v>0.15943650392545999</v>
      </c>
      <c r="AG1266">
        <v>-8.2320999999999797E-2</v>
      </c>
      <c r="AH1266">
        <v>0.60925434938762901</v>
      </c>
      <c r="AI1266">
        <v>97.447243412094195</v>
      </c>
      <c r="AJ1266">
        <v>75.335058016795799</v>
      </c>
      <c r="AK1266">
        <v>0.63512802494671605</v>
      </c>
    </row>
    <row r="1267" spans="1:37" x14ac:dyDescent="0.2">
      <c r="A1267" t="str">
        <f>"20200111154050885"</f>
        <v>20200111154050885</v>
      </c>
      <c r="B1267" t="str">
        <f>"1578728450877391"</f>
        <v>1578728450877391</v>
      </c>
      <c r="C1267" t="s">
        <v>37</v>
      </c>
      <c r="D1267">
        <v>5.579218</v>
      </c>
      <c r="E1267">
        <v>0.59778589999999998</v>
      </c>
      <c r="F1267" t="s">
        <v>45</v>
      </c>
      <c r="G1267">
        <v>-283.85390000000001</v>
      </c>
      <c r="H1267" s="1">
        <v>6.0303949999999902E-6</v>
      </c>
      <c r="I1267">
        <v>287.82409999999999</v>
      </c>
      <c r="J1267">
        <v>-268.30149999999998</v>
      </c>
      <c r="K1267">
        <v>1.110158</v>
      </c>
      <c r="L1267">
        <v>283.58850000000001</v>
      </c>
      <c r="M1267">
        <v>-0.99962229999999996</v>
      </c>
      <c r="N1267">
        <v>0</v>
      </c>
      <c r="O1267">
        <v>2.4445689999999999E-2</v>
      </c>
      <c r="P1267">
        <v>-0.99834590000000001</v>
      </c>
      <c r="Q1267">
        <v>5.657794E-2</v>
      </c>
      <c r="R1267">
        <v>1.023465E-2</v>
      </c>
      <c r="S1267">
        <v>-3.0093079999999999</v>
      </c>
      <c r="T1267">
        <v>-0.21152789999999999</v>
      </c>
      <c r="U1267">
        <v>0.80816650000000001</v>
      </c>
      <c r="V1267">
        <v>-1.415371E-2</v>
      </c>
      <c r="W1267">
        <v>6.911755E-2</v>
      </c>
      <c r="X1267">
        <v>0.99750810000000001</v>
      </c>
      <c r="Y1267">
        <v>0.2351926</v>
      </c>
      <c r="Z1267">
        <v>6.4275130000000001E-3</v>
      </c>
      <c r="AA1267">
        <v>0.97192749999999895</v>
      </c>
      <c r="AB1267">
        <v>36</v>
      </c>
      <c r="AC1267">
        <v>-15.5524</v>
      </c>
      <c r="AD1267">
        <v>-1.110151969605</v>
      </c>
      <c r="AE1267">
        <v>4.2355999999999696</v>
      </c>
      <c r="AF1267">
        <v>3.8359193228486399</v>
      </c>
      <c r="AG1267">
        <v>-1.110151969605</v>
      </c>
      <c r="AH1267">
        <v>15.5774108604214</v>
      </c>
      <c r="AI1267">
        <v>93.958533418941897</v>
      </c>
      <c r="AJ1267">
        <v>76.166217449132105</v>
      </c>
      <c r="AK1267">
        <v>16.0811207184511</v>
      </c>
    </row>
    <row r="1268" spans="1:37" x14ac:dyDescent="0.2">
      <c r="A1268" t="str">
        <f>"20200111154050904"</f>
        <v>20200111154050904</v>
      </c>
      <c r="B1268" t="str">
        <f>"1578728450897887"</f>
        <v>1578728450897887</v>
      </c>
      <c r="C1268" t="s">
        <v>37</v>
      </c>
      <c r="D1268">
        <v>5.5757139999999996</v>
      </c>
      <c r="E1268">
        <v>0.59808190000000006</v>
      </c>
      <c r="F1268" t="s">
        <v>45</v>
      </c>
      <c r="G1268">
        <v>-284.41579999999999</v>
      </c>
      <c r="H1268" s="1">
        <v>5.7540210000000002E-6</v>
      </c>
      <c r="I1268">
        <v>287.95569999999998</v>
      </c>
      <c r="J1268">
        <v>-268.61110000000002</v>
      </c>
      <c r="K1268">
        <v>1.110131</v>
      </c>
      <c r="L1268">
        <v>283.59620000000001</v>
      </c>
      <c r="M1268">
        <v>-0.99961880000000003</v>
      </c>
      <c r="N1268">
        <v>0</v>
      </c>
      <c r="O1268">
        <v>2.4609659999999998E-2</v>
      </c>
      <c r="P1268">
        <v>-0.99831219999999998</v>
      </c>
      <c r="Q1268">
        <v>5.7074739999999999E-2</v>
      </c>
      <c r="R1268">
        <v>1.0742430000000001E-2</v>
      </c>
      <c r="S1268">
        <v>-3.008362</v>
      </c>
      <c r="T1268">
        <v>-0.20725360000000001</v>
      </c>
      <c r="U1268">
        <v>0.81530760000000002</v>
      </c>
      <c r="V1268">
        <v>-1.380462E-2</v>
      </c>
      <c r="W1268">
        <v>6.9572780000000001E-2</v>
      </c>
      <c r="X1268">
        <v>0.99748130000000002</v>
      </c>
      <c r="Y1268">
        <v>0.23727509999999999</v>
      </c>
      <c r="Z1268">
        <v>6.3572589999999997E-3</v>
      </c>
      <c r="AA1268">
        <v>0.97142169999999906</v>
      </c>
      <c r="AB1268">
        <v>36</v>
      </c>
      <c r="AC1268">
        <v>-15.804699999999899</v>
      </c>
      <c r="AD1268">
        <v>-1.1101252459790001</v>
      </c>
      <c r="AE1268">
        <v>4.3594999999999597</v>
      </c>
      <c r="AF1268">
        <v>3.9510855857156102</v>
      </c>
      <c r="AG1268">
        <v>-1.1101252459790001</v>
      </c>
      <c r="AH1268">
        <v>15.834607562850399</v>
      </c>
      <c r="AI1268">
        <v>93.891375494934493</v>
      </c>
      <c r="AJ1268">
        <v>75.9895268059838</v>
      </c>
      <c r="AK1268">
        <v>16.357819293441601</v>
      </c>
    </row>
    <row r="1269" spans="1:37" x14ac:dyDescent="0.2">
      <c r="A1269" t="str">
        <f>"20200111154050918"</f>
        <v>20200111154050918</v>
      </c>
      <c r="B1269" t="str">
        <f>"1578728450907648"</f>
        <v>1578728450907648</v>
      </c>
      <c r="C1269" t="s">
        <v>37</v>
      </c>
      <c r="D1269">
        <v>5.5790610000000003</v>
      </c>
      <c r="E1269">
        <v>0.5979061</v>
      </c>
      <c r="F1269" t="s">
        <v>45</v>
      </c>
      <c r="G1269">
        <v>-285.7534</v>
      </c>
      <c r="H1269" s="1">
        <v>5.0973549999999999E-6</v>
      </c>
      <c r="I1269">
        <v>288.26299999999998</v>
      </c>
      <c r="J1269">
        <v>-268.82990000000001</v>
      </c>
      <c r="K1269">
        <v>1.1101129999999999</v>
      </c>
      <c r="L1269">
        <v>283.60169999999999</v>
      </c>
      <c r="M1269">
        <v>-0.99961599999999995</v>
      </c>
      <c r="N1269">
        <v>0</v>
      </c>
      <c r="O1269">
        <v>2.4740809999999998E-2</v>
      </c>
      <c r="P1269">
        <v>-0.99830010000000002</v>
      </c>
      <c r="Q1269">
        <v>5.7130300000000002E-2</v>
      </c>
      <c r="R1269">
        <v>1.1543390000000001E-2</v>
      </c>
      <c r="S1269">
        <v>-3.0074160000000001</v>
      </c>
      <c r="T1269">
        <v>-0.1947586</v>
      </c>
      <c r="U1269">
        <v>0.81872559999999905</v>
      </c>
      <c r="V1269">
        <v>-1.313157E-2</v>
      </c>
      <c r="W1269">
        <v>6.9597989999999998E-2</v>
      </c>
      <c r="X1269">
        <v>0.99748869999999901</v>
      </c>
      <c r="Y1269">
        <v>0.23830570000000001</v>
      </c>
      <c r="Z1269">
        <v>6.0001430000000003E-3</v>
      </c>
      <c r="AA1269">
        <v>0.97117169999999897</v>
      </c>
      <c r="AB1269">
        <v>36</v>
      </c>
      <c r="AC1269">
        <v>-16.923499999999901</v>
      </c>
      <c r="AD1269">
        <v>-1.11010790264499</v>
      </c>
      <c r="AE1269">
        <v>4.6612999999999802</v>
      </c>
      <c r="AF1269">
        <v>4.2242448786124198</v>
      </c>
      <c r="AG1269">
        <v>-1.11010790264499</v>
      </c>
      <c r="AH1269">
        <v>16.965799520440299</v>
      </c>
      <c r="AI1269">
        <v>93.633037459065804</v>
      </c>
      <c r="AJ1269">
        <v>76.018455305250697</v>
      </c>
      <c r="AK1269">
        <v>17.518987919333998</v>
      </c>
    </row>
    <row r="1270" spans="1:37" x14ac:dyDescent="0.2">
      <c r="A1270" t="str">
        <f>"20200111154050937"</f>
        <v>20200111154050937</v>
      </c>
      <c r="B1270" t="str">
        <f>"1578728450927795"</f>
        <v>1578728450927795</v>
      </c>
      <c r="C1270" t="s">
        <v>37</v>
      </c>
      <c r="D1270">
        <v>5.579574</v>
      </c>
      <c r="E1270">
        <v>0.59813649999999996</v>
      </c>
      <c r="F1270" t="s">
        <v>45</v>
      </c>
      <c r="G1270">
        <v>-286.0951</v>
      </c>
      <c r="H1270" s="1">
        <v>4.936574E-6</v>
      </c>
      <c r="I1270">
        <v>288.30779999999999</v>
      </c>
      <c r="J1270">
        <v>-269.14139999999998</v>
      </c>
      <c r="K1270">
        <v>1.1100909999999999</v>
      </c>
      <c r="L1270">
        <v>283.6096</v>
      </c>
      <c r="M1270">
        <v>-0.99961149999999999</v>
      </c>
      <c r="N1270">
        <v>0</v>
      </c>
      <c r="O1270">
        <v>2.4942300000000001E-2</v>
      </c>
      <c r="P1270">
        <v>-0.99824769999999896</v>
      </c>
      <c r="Q1270">
        <v>5.7754E-2</v>
      </c>
      <c r="R1270">
        <v>1.289262E-2</v>
      </c>
      <c r="S1270">
        <v>-3.0066830000000002</v>
      </c>
      <c r="T1270">
        <v>-0.19332249999999901</v>
      </c>
      <c r="U1270">
        <v>0.81954959999999899</v>
      </c>
      <c r="V1270">
        <v>-1.197907E-2</v>
      </c>
      <c r="W1270">
        <v>7.0181629999999995E-2</v>
      </c>
      <c r="X1270">
        <v>0.99746229999999902</v>
      </c>
      <c r="Y1270">
        <v>0.23842379999999999</v>
      </c>
      <c r="Z1270">
        <v>5.9482119999999996E-3</v>
      </c>
      <c r="AA1270">
        <v>0.97114299999999998</v>
      </c>
      <c r="AB1270">
        <v>36</v>
      </c>
      <c r="AC1270">
        <v>-16.953700000000001</v>
      </c>
      <c r="AD1270">
        <v>-1.1100860634259999</v>
      </c>
      <c r="AE1270">
        <v>4.6981999999999804</v>
      </c>
      <c r="AF1270">
        <v>4.2568921467147796</v>
      </c>
      <c r="AG1270">
        <v>-1.1100860634259999</v>
      </c>
      <c r="AH1270">
        <v>16.9979397441031</v>
      </c>
      <c r="AI1270">
        <v>93.624882933657801</v>
      </c>
      <c r="AJ1270">
        <v>75.940259795176502</v>
      </c>
      <c r="AK1270">
        <v>17.558000380485701</v>
      </c>
    </row>
    <row r="1271" spans="1:37" x14ac:dyDescent="0.2">
      <c r="A1271" t="str">
        <f>"20200111154050959"</f>
        <v>20200111154050959</v>
      </c>
      <c r="B1271" t="str">
        <f>"1578728450947300"</f>
        <v>1578728450947300</v>
      </c>
      <c r="C1271" t="s">
        <v>37</v>
      </c>
      <c r="D1271">
        <v>5.550935</v>
      </c>
      <c r="E1271">
        <v>0.59812010000000004</v>
      </c>
      <c r="F1271" t="s">
        <v>45</v>
      </c>
      <c r="G1271">
        <v>-286.84370000000001</v>
      </c>
      <c r="H1271" s="1">
        <v>4.5715490000000001E-6</v>
      </c>
      <c r="I1271">
        <v>288.4676</v>
      </c>
      <c r="J1271">
        <v>-269.48649999999998</v>
      </c>
      <c r="K1271">
        <v>1.110066</v>
      </c>
      <c r="L1271">
        <v>283.61849999999998</v>
      </c>
      <c r="M1271">
        <v>-0.99960599999999999</v>
      </c>
      <c r="N1271">
        <v>0</v>
      </c>
      <c r="O1271">
        <v>2.5180890000000001E-2</v>
      </c>
      <c r="P1271">
        <v>-0.99825529999999996</v>
      </c>
      <c r="Q1271">
        <v>5.738907E-2</v>
      </c>
      <c r="R1271">
        <v>1.3904120000000001E-2</v>
      </c>
      <c r="S1271">
        <v>-3.0055239999999999</v>
      </c>
      <c r="T1271">
        <v>-0.188472</v>
      </c>
      <c r="U1271">
        <v>0.82479859999999905</v>
      </c>
      <c r="V1271">
        <v>-1.120269E-2</v>
      </c>
      <c r="W1271">
        <v>6.9777790000000006E-2</v>
      </c>
      <c r="X1271">
        <v>0.99749959999999904</v>
      </c>
      <c r="Y1271">
        <v>0.23988280000000001</v>
      </c>
      <c r="Z1271">
        <v>5.8303309999999898E-3</v>
      </c>
      <c r="AA1271">
        <v>0.97078439999999999</v>
      </c>
      <c r="AB1271">
        <v>36</v>
      </c>
      <c r="AC1271">
        <v>-17.357199999999999</v>
      </c>
      <c r="AD1271">
        <v>-1.110061428451</v>
      </c>
      <c r="AE1271">
        <v>4.8491000000000204</v>
      </c>
      <c r="AF1271">
        <v>4.3937888131475997</v>
      </c>
      <c r="AG1271">
        <v>-1.110061428451</v>
      </c>
      <c r="AH1271">
        <v>17.407764487129299</v>
      </c>
      <c r="AI1271">
        <v>93.538041970634595</v>
      </c>
      <c r="AJ1271">
        <v>75.834195060987895</v>
      </c>
      <c r="AK1271">
        <v>17.987992688147202</v>
      </c>
    </row>
    <row r="1272" spans="1:37" x14ac:dyDescent="0.2">
      <c r="A1272" t="str">
        <f>"20200111154050973"</f>
        <v>20200111154050973</v>
      </c>
      <c r="B1272" t="str">
        <f>"1578728450967797"</f>
        <v>1578728450967797</v>
      </c>
      <c r="C1272" t="s">
        <v>37</v>
      </c>
      <c r="D1272">
        <v>5.5705239999999998</v>
      </c>
      <c r="E1272">
        <v>0.59835070000000001</v>
      </c>
      <c r="F1272" t="s">
        <v>45</v>
      </c>
      <c r="G1272">
        <v>-287.11259999999999</v>
      </c>
      <c r="H1272" s="1">
        <v>4.4514359999999903E-6</v>
      </c>
      <c r="I1272">
        <v>288.4717</v>
      </c>
      <c r="J1272">
        <v>-269.70690000000002</v>
      </c>
      <c r="K1272">
        <v>1.110055</v>
      </c>
      <c r="L1272">
        <v>283.62419999999997</v>
      </c>
      <c r="M1272">
        <v>-0.99960230000000005</v>
      </c>
      <c r="N1272">
        <v>0</v>
      </c>
      <c r="O1272">
        <v>2.53396E-2</v>
      </c>
      <c r="P1272">
        <v>-0.99825849999999905</v>
      </c>
      <c r="Q1272">
        <v>5.7173040000000001E-2</v>
      </c>
      <c r="R1272">
        <v>1.453867E-2</v>
      </c>
      <c r="S1272">
        <v>-3.0046080000000002</v>
      </c>
      <c r="T1272">
        <v>-0.1892239</v>
      </c>
      <c r="U1272">
        <v>0.82730099999999995</v>
      </c>
      <c r="V1272">
        <v>-1.072532E-2</v>
      </c>
      <c r="W1272">
        <v>6.9536150000000005E-2</v>
      </c>
      <c r="X1272">
        <v>0.99752180000000001</v>
      </c>
      <c r="Y1272">
        <v>0.24055170000000001</v>
      </c>
      <c r="Z1272">
        <v>5.8655109999999899E-3</v>
      </c>
      <c r="AA1272">
        <v>0.9706186</v>
      </c>
      <c r="AB1272">
        <v>36</v>
      </c>
      <c r="AC1272">
        <v>-17.4056999999999</v>
      </c>
      <c r="AD1272">
        <v>-1.110050548564</v>
      </c>
      <c r="AE1272">
        <v>4.8475000000000197</v>
      </c>
      <c r="AF1272">
        <v>4.3882923496204196</v>
      </c>
      <c r="AG1272">
        <v>-1.110050548564</v>
      </c>
      <c r="AH1272">
        <v>17.457061540699801</v>
      </c>
      <c r="AI1272">
        <v>93.528898335302401</v>
      </c>
      <c r="AJ1272">
        <v>75.889560515103895</v>
      </c>
      <c r="AK1272">
        <v>18.034364962534301</v>
      </c>
    </row>
    <row r="1273" spans="1:37" x14ac:dyDescent="0.2">
      <c r="A1273" t="str">
        <f>"20200111154050994"</f>
        <v>20200111154050994</v>
      </c>
      <c r="B1273" t="str">
        <f>"1578728450987317"</f>
        <v>1578728450987317</v>
      </c>
      <c r="C1273" t="s">
        <v>37</v>
      </c>
      <c r="D1273">
        <v>5.502281</v>
      </c>
      <c r="E1273">
        <v>0.59870049999999997</v>
      </c>
      <c r="F1273" t="s">
        <v>45</v>
      </c>
      <c r="G1273">
        <v>-287.70159999999998</v>
      </c>
      <c r="H1273" s="1">
        <v>4.1632729999999999E-6</v>
      </c>
      <c r="I1273">
        <v>288.60230000000001</v>
      </c>
      <c r="J1273">
        <v>-270.03050000000002</v>
      </c>
      <c r="K1273">
        <v>1.1100429999999999</v>
      </c>
      <c r="L1273">
        <v>283.63260000000002</v>
      </c>
      <c r="M1273">
        <v>-0.99959679999999995</v>
      </c>
      <c r="N1273">
        <v>0</v>
      </c>
      <c r="O1273">
        <v>2.55763E-2</v>
      </c>
      <c r="P1273">
        <v>-0.99824740000000001</v>
      </c>
      <c r="Q1273">
        <v>5.732694E-2</v>
      </c>
      <c r="R1273">
        <v>1.469824E-2</v>
      </c>
      <c r="S1273">
        <v>-3.0037539999999998</v>
      </c>
      <c r="T1273">
        <v>-0.18529399999999999</v>
      </c>
      <c r="U1273">
        <v>0.83096309999999995</v>
      </c>
      <c r="V1273">
        <v>-1.080038E-2</v>
      </c>
      <c r="W1273">
        <v>6.9652679999999995E-2</v>
      </c>
      <c r="X1273">
        <v>0.99751279999999998</v>
      </c>
      <c r="Y1273">
        <v>0.2415069</v>
      </c>
      <c r="Z1273">
        <v>5.7591830000000002E-3</v>
      </c>
      <c r="AA1273">
        <v>0.97038199999999997</v>
      </c>
      <c r="AB1273">
        <v>36</v>
      </c>
      <c r="AC1273">
        <v>-17.6710999999999</v>
      </c>
      <c r="AD1273">
        <v>-1.110038836727</v>
      </c>
      <c r="AE1273">
        <v>4.96969999999998</v>
      </c>
      <c r="AF1273">
        <v>4.4996244738253397</v>
      </c>
      <c r="AG1273">
        <v>-1.110038836727</v>
      </c>
      <c r="AH1273">
        <v>17.727609881167901</v>
      </c>
      <c r="AI1273">
        <v>93.473127789018704</v>
      </c>
      <c r="AJ1273">
        <v>75.757939531679497</v>
      </c>
      <c r="AK1273">
        <v>18.323399213120101</v>
      </c>
    </row>
    <row r="1274" spans="1:37" x14ac:dyDescent="0.2">
      <c r="A1274" t="str">
        <f>"20200111154051007"</f>
        <v>20200111154051007</v>
      </c>
      <c r="B1274" t="str">
        <f>"1578728450997076"</f>
        <v>1578728450997076</v>
      </c>
      <c r="C1274" t="s">
        <v>37</v>
      </c>
      <c r="D1274">
        <v>5.7695439999999998</v>
      </c>
      <c r="E1274">
        <v>0.59754689999999999</v>
      </c>
      <c r="F1274" t="s">
        <v>45</v>
      </c>
      <c r="G1274">
        <v>-288.68459999999999</v>
      </c>
      <c r="H1274" s="1">
        <v>3.6830569999999998E-6</v>
      </c>
      <c r="I1274">
        <v>288.81670000000003</v>
      </c>
      <c r="J1274">
        <v>-270.2543</v>
      </c>
      <c r="K1274">
        <v>1.1100369999999999</v>
      </c>
      <c r="L1274">
        <v>283.63850000000002</v>
      </c>
      <c r="M1274">
        <v>-0.99959279999999995</v>
      </c>
      <c r="N1274">
        <v>0</v>
      </c>
      <c r="O1274">
        <v>2.5742089999999999E-2</v>
      </c>
      <c r="P1274">
        <v>-0.99824389999999996</v>
      </c>
      <c r="Q1274">
        <v>5.733452E-2</v>
      </c>
      <c r="R1274">
        <v>1.491464E-2</v>
      </c>
      <c r="S1274">
        <v>-3.0032349999999899</v>
      </c>
      <c r="T1274">
        <v>-0.1787117</v>
      </c>
      <c r="U1274">
        <v>0.83462519999999996</v>
      </c>
      <c r="V1274">
        <v>-1.074807E-2</v>
      </c>
      <c r="W1274">
        <v>6.9637000000000004E-2</v>
      </c>
      <c r="X1274">
        <v>0.99751449999999997</v>
      </c>
      <c r="Y1274">
        <v>0.2425129</v>
      </c>
      <c r="Z1274">
        <v>5.5746830000000004E-3</v>
      </c>
      <c r="AA1274">
        <v>0.9701322</v>
      </c>
      <c r="AB1274">
        <v>36</v>
      </c>
      <c r="AC1274">
        <v>-18.4302999999999</v>
      </c>
      <c r="AD1274">
        <v>-1.1100333169429999</v>
      </c>
      <c r="AE1274">
        <v>5.1782000000000004</v>
      </c>
      <c r="AF1274">
        <v>4.6862577193519304</v>
      </c>
      <c r="AG1274">
        <v>-1.1100333169429999</v>
      </c>
      <c r="AH1274">
        <v>18.4953163415564</v>
      </c>
      <c r="AI1274">
        <v>93.329631476295702</v>
      </c>
      <c r="AJ1274">
        <v>75.781882991747196</v>
      </c>
      <c r="AK1274">
        <v>19.112035787721599</v>
      </c>
    </row>
    <row r="1275" spans="1:37" x14ac:dyDescent="0.2">
      <c r="A1275" t="str">
        <f>"20200111154051028"</f>
        <v>20200111154051028</v>
      </c>
      <c r="B1275" t="str">
        <f>"1578728451017572"</f>
        <v>1578728451017572</v>
      </c>
      <c r="C1275" t="s">
        <v>37</v>
      </c>
      <c r="D1275">
        <v>5.7936050000000003</v>
      </c>
      <c r="E1275">
        <v>0.59575349999999905</v>
      </c>
      <c r="F1275" t="s">
        <v>45</v>
      </c>
      <c r="G1275">
        <v>-287.47030000000001</v>
      </c>
      <c r="H1275" s="1">
        <v>4.3130229999999996E-6</v>
      </c>
      <c r="I1275">
        <v>288.37400000000002</v>
      </c>
      <c r="J1275">
        <v>-270.5702</v>
      </c>
      <c r="K1275">
        <v>1.1100319999999999</v>
      </c>
      <c r="L1275">
        <v>283.64690000000002</v>
      </c>
      <c r="M1275">
        <v>-0.99958709999999995</v>
      </c>
      <c r="N1275">
        <v>0</v>
      </c>
      <c r="O1275">
        <v>2.5976590000000001E-2</v>
      </c>
      <c r="P1275">
        <v>-0.9982278</v>
      </c>
      <c r="Q1275">
        <v>5.7588790000000001E-2</v>
      </c>
      <c r="R1275">
        <v>1.5005589999999999E-2</v>
      </c>
      <c r="S1275">
        <v>-3.0040279999999999</v>
      </c>
      <c r="T1275">
        <v>-0.19369020000000001</v>
      </c>
      <c r="U1275">
        <v>0.82629390000000003</v>
      </c>
      <c r="V1275">
        <v>-1.08906E-2</v>
      </c>
      <c r="W1275">
        <v>6.9861039999999999E-2</v>
      </c>
      <c r="X1275">
        <v>0.99749730000000003</v>
      </c>
      <c r="Y1275">
        <v>0.2396625</v>
      </c>
      <c r="Z1275">
        <v>5.9367439999999999E-3</v>
      </c>
      <c r="AA1275">
        <v>0.97083809999999904</v>
      </c>
      <c r="AB1275">
        <v>36</v>
      </c>
      <c r="AC1275">
        <v>-16.900099999999998</v>
      </c>
      <c r="AD1275">
        <v>-1.1100276869769901</v>
      </c>
      <c r="AE1275">
        <v>4.7271000000000001</v>
      </c>
      <c r="AF1275">
        <v>4.26938247251619</v>
      </c>
      <c r="AG1275">
        <v>-1.1100276869769901</v>
      </c>
      <c r="AH1275">
        <v>16.949383945604001</v>
      </c>
      <c r="AI1275">
        <v>93.633803408471294</v>
      </c>
      <c r="AJ1275">
        <v>75.861876026858994</v>
      </c>
      <c r="AK1275">
        <v>17.514034495169302</v>
      </c>
    </row>
    <row r="1276" spans="1:37" x14ac:dyDescent="0.2">
      <c r="A1276" t="str">
        <f>"20200111154051048"</f>
        <v>20200111154051048</v>
      </c>
      <c r="B1276" t="str">
        <f>"1578728451037058"</f>
        <v>1578728451037058</v>
      </c>
      <c r="C1276" t="s">
        <v>37</v>
      </c>
      <c r="D1276">
        <v>5.7514459999999996</v>
      </c>
      <c r="E1276">
        <v>0.59432390000000002</v>
      </c>
      <c r="F1276" t="s">
        <v>45</v>
      </c>
      <c r="G1276">
        <v>-285.85320000000002</v>
      </c>
      <c r="H1276" s="1">
        <v>5.1529969999999998E-6</v>
      </c>
      <c r="I1276">
        <v>287.77940000000001</v>
      </c>
      <c r="J1276">
        <v>-270.89870000000002</v>
      </c>
      <c r="K1276">
        <v>1.1100219999999901</v>
      </c>
      <c r="L1276">
        <v>283.65559999999999</v>
      </c>
      <c r="M1276">
        <v>-0.99958119999999995</v>
      </c>
      <c r="N1276">
        <v>0</v>
      </c>
      <c r="O1276">
        <v>2.6217069999999999E-2</v>
      </c>
      <c r="P1276">
        <v>-0.9982259</v>
      </c>
      <c r="Q1276">
        <v>5.7634860000000003E-2</v>
      </c>
      <c r="R1276">
        <v>1.4953330000000001E-2</v>
      </c>
      <c r="S1276">
        <v>-3.0057070000000001</v>
      </c>
      <c r="T1276">
        <v>-0.218307899999999</v>
      </c>
      <c r="U1276">
        <v>0.81274409999999997</v>
      </c>
      <c r="V1276">
        <v>-1.118215E-2</v>
      </c>
      <c r="W1276">
        <v>6.9878620000000002E-2</v>
      </c>
      <c r="X1276">
        <v>0.99749279999999996</v>
      </c>
      <c r="Y1276">
        <v>0.2351143</v>
      </c>
      <c r="Z1276">
        <v>6.5106189999999996E-3</v>
      </c>
      <c r="AA1276">
        <v>0.97194590000000003</v>
      </c>
      <c r="AB1276">
        <v>36</v>
      </c>
      <c r="AC1276">
        <v>-14.9544999999999</v>
      </c>
      <c r="AD1276">
        <v>-1.1100168470029901</v>
      </c>
      <c r="AE1276">
        <v>4.1238000000000099</v>
      </c>
      <c r="AF1276">
        <v>3.7112872246944799</v>
      </c>
      <c r="AG1276">
        <v>-1.1100168470029901</v>
      </c>
      <c r="AH1276">
        <v>14.980776581311799</v>
      </c>
      <c r="AI1276">
        <v>94.113737796719306</v>
      </c>
      <c r="AJ1276">
        <v>76.085874173083994</v>
      </c>
      <c r="AK1276">
        <v>15.473508239697701</v>
      </c>
    </row>
    <row r="1277" spans="1:37" x14ac:dyDescent="0.2">
      <c r="A1277" t="str">
        <f>"20200111154051061"</f>
        <v>20200111154051061</v>
      </c>
      <c r="B1277" t="str">
        <f>"1578728451047793"</f>
        <v>1578728451047793</v>
      </c>
      <c r="C1277" t="s">
        <v>37</v>
      </c>
      <c r="D1277">
        <v>5.7422120000000003</v>
      </c>
      <c r="E1277">
        <v>0.59400030000000004</v>
      </c>
      <c r="F1277" t="s">
        <v>45</v>
      </c>
      <c r="G1277">
        <v>-284.81760000000003</v>
      </c>
      <c r="H1277" s="1">
        <v>5.6983290000000003E-6</v>
      </c>
      <c r="I1277">
        <v>287.36279999999999</v>
      </c>
      <c r="J1277">
        <v>-271.09829999999999</v>
      </c>
      <c r="K1277">
        <v>1.1100190000000001</v>
      </c>
      <c r="L1277">
        <v>283.661</v>
      </c>
      <c r="M1277">
        <v>-0.99957750000000001</v>
      </c>
      <c r="N1277">
        <v>0</v>
      </c>
      <c r="O1277">
        <v>2.6360700000000001E-2</v>
      </c>
      <c r="P1277">
        <v>-0.99821249999999995</v>
      </c>
      <c r="Q1277">
        <v>5.7923349999999998E-2</v>
      </c>
      <c r="R1277">
        <v>1.4725520000000001E-2</v>
      </c>
      <c r="S1277">
        <v>-3.0072019999999999</v>
      </c>
      <c r="T1277">
        <v>-0.23982010000000001</v>
      </c>
      <c r="U1277">
        <v>0.80093380000000003</v>
      </c>
      <c r="V1277">
        <v>-1.1552460000000001E-2</v>
      </c>
      <c r="W1277">
        <v>7.0151179999999994E-2</v>
      </c>
      <c r="X1277">
        <v>0.99746950000000001</v>
      </c>
      <c r="Y1277">
        <v>0.23119629999999899</v>
      </c>
      <c r="Z1277">
        <v>6.9859090000000002E-3</v>
      </c>
      <c r="AA1277">
        <v>0.97288200000000002</v>
      </c>
      <c r="AB1277">
        <v>36</v>
      </c>
      <c r="AC1277">
        <v>-13.7193</v>
      </c>
      <c r="AD1277">
        <v>-1.1100133016710001</v>
      </c>
      <c r="AE1277">
        <v>3.7017999999999902</v>
      </c>
      <c r="AF1277">
        <v>3.3185859672670901</v>
      </c>
      <c r="AG1277">
        <v>-1.1100133016710001</v>
      </c>
      <c r="AH1277">
        <v>13.7283508499912</v>
      </c>
      <c r="AI1277">
        <v>94.4937475117177</v>
      </c>
      <c r="AJ1277">
        <v>76.410455281530105</v>
      </c>
      <c r="AK1277">
        <v>14.167313062556399</v>
      </c>
    </row>
    <row r="1278" spans="1:37" x14ac:dyDescent="0.2">
      <c r="A1278" t="str">
        <f>"20200111154051075"</f>
        <v>20200111154051075</v>
      </c>
      <c r="B1278" t="str">
        <f>"1578728451067313"</f>
        <v>1578728451067313</v>
      </c>
      <c r="C1278" t="s">
        <v>37</v>
      </c>
      <c r="D1278">
        <v>5.5136729999999998</v>
      </c>
      <c r="E1278">
        <v>0.59408439999999996</v>
      </c>
      <c r="F1278" t="s">
        <v>45</v>
      </c>
      <c r="G1278">
        <v>-284.60840000000002</v>
      </c>
      <c r="H1278" s="1">
        <v>5.8156389999999999E-6</v>
      </c>
      <c r="I1278">
        <v>287.24419999999998</v>
      </c>
      <c r="J1278">
        <v>-271.31560000000002</v>
      </c>
      <c r="K1278">
        <v>1.1100139999999901</v>
      </c>
      <c r="L1278">
        <v>283.6669</v>
      </c>
      <c r="M1278">
        <v>-0.99957359999999995</v>
      </c>
      <c r="N1278">
        <v>0</v>
      </c>
      <c r="O1278">
        <v>2.6511819999999998E-2</v>
      </c>
      <c r="P1278">
        <v>-0.99822069999999996</v>
      </c>
      <c r="Q1278">
        <v>5.7833589999999997E-2</v>
      </c>
      <c r="R1278">
        <v>1.451292E-2</v>
      </c>
      <c r="S1278">
        <v>-3.0078740000000002</v>
      </c>
      <c r="T1278">
        <v>-0.2471333</v>
      </c>
      <c r="U1278">
        <v>0.79776000000000002</v>
      </c>
      <c r="V1278">
        <v>-1.1916400000000001E-2</v>
      </c>
      <c r="W1278">
        <v>7.0046070000000002E-2</v>
      </c>
      <c r="X1278">
        <v>0.99747260000000004</v>
      </c>
      <c r="Y1278">
        <v>0.23000300000000001</v>
      </c>
      <c r="Z1278">
        <v>7.1373959999999998E-3</v>
      </c>
      <c r="AA1278">
        <v>0.97316369999999897</v>
      </c>
      <c r="AB1278">
        <v>36</v>
      </c>
      <c r="AC1278">
        <v>-13.2928</v>
      </c>
      <c r="AD1278">
        <v>-1.1100081843609999</v>
      </c>
      <c r="AE1278">
        <v>3.5772999999999699</v>
      </c>
      <c r="AF1278">
        <v>3.20277493853435</v>
      </c>
      <c r="AG1278">
        <v>-1.1100081843609999</v>
      </c>
      <c r="AH1278">
        <v>13.296519501190399</v>
      </c>
      <c r="AI1278">
        <v>94.639947628814198</v>
      </c>
      <c r="AJ1278">
        <v>76.456971314088094</v>
      </c>
      <c r="AK1278">
        <v>13.721782548990801</v>
      </c>
    </row>
    <row r="1279" spans="1:37" x14ac:dyDescent="0.2">
      <c r="A1279" t="str">
        <f>"20200111154051095"</f>
        <v>20200111154051095</v>
      </c>
      <c r="B1279" t="str">
        <f>"1578728451087809"</f>
        <v>1578728451087809</v>
      </c>
      <c r="C1279" t="s">
        <v>37</v>
      </c>
      <c r="D1279">
        <v>5.2531569999999999</v>
      </c>
      <c r="E1279">
        <v>0.54199739999999996</v>
      </c>
      <c r="F1279" t="s">
        <v>45</v>
      </c>
      <c r="G1279">
        <v>-284.94470000000001</v>
      </c>
      <c r="H1279" s="1">
        <v>5.6585969999999996E-6</v>
      </c>
      <c r="I1279">
        <v>287.2824</v>
      </c>
      <c r="J1279">
        <v>-271.63869999999997</v>
      </c>
      <c r="K1279">
        <v>1.1100179999999999</v>
      </c>
      <c r="L1279">
        <v>283.67570000000001</v>
      </c>
      <c r="M1279">
        <v>-0.99956819999999902</v>
      </c>
      <c r="N1279">
        <v>0</v>
      </c>
      <c r="O1279">
        <v>2.6726449999999999E-2</v>
      </c>
      <c r="P1279">
        <v>-0.99819380000000002</v>
      </c>
      <c r="Q1279">
        <v>5.8554780000000001E-2</v>
      </c>
      <c r="R1279">
        <v>1.343518E-2</v>
      </c>
      <c r="S1279">
        <v>-3.0079349999999998</v>
      </c>
      <c r="T1279">
        <v>-0.2449781</v>
      </c>
      <c r="U1279">
        <v>0.79794309999999902</v>
      </c>
      <c r="V1279">
        <v>-1.320755E-2</v>
      </c>
      <c r="W1279">
        <v>7.0745290000000002E-2</v>
      </c>
      <c r="X1279">
        <v>0.99740699999999904</v>
      </c>
      <c r="Y1279">
        <v>0.229856799999999</v>
      </c>
      <c r="Z1279">
        <v>7.0521910000000002E-3</v>
      </c>
      <c r="AA1279">
        <v>0.97319889999999998</v>
      </c>
      <c r="AB1279">
        <v>36</v>
      </c>
      <c r="AC1279">
        <v>-13.305999999999999</v>
      </c>
      <c r="AD1279">
        <v>-1.1100123414030001</v>
      </c>
      <c r="AE1279">
        <v>3.60669999999998</v>
      </c>
      <c r="AF1279">
        <v>3.2288305779277802</v>
      </c>
      <c r="AG1279">
        <v>-1.1100123414030001</v>
      </c>
      <c r="AH1279">
        <v>13.3113514346407</v>
      </c>
      <c r="AI1279">
        <v>94.633037824212707</v>
      </c>
      <c r="AJ1279">
        <v>76.365540192221204</v>
      </c>
      <c r="AK1279">
        <v>13.742254229766701</v>
      </c>
    </row>
    <row r="1280" spans="1:37" x14ac:dyDescent="0.2">
      <c r="A1280" t="str">
        <f>"20200111154051109"</f>
        <v>20200111154051109</v>
      </c>
      <c r="B1280" t="str">
        <f>"1578728451097569"</f>
        <v>1578728451097569</v>
      </c>
      <c r="C1280" t="s">
        <v>37</v>
      </c>
      <c r="D1280">
        <v>5.5163289999999998</v>
      </c>
      <c r="E1280">
        <v>0.47712739999999998</v>
      </c>
      <c r="F1280" t="s">
        <v>38</v>
      </c>
      <c r="G1280">
        <v>-272.49130000000002</v>
      </c>
      <c r="H1280">
        <v>1.0437479999999999</v>
      </c>
      <c r="I1280">
        <v>283.78280000000001</v>
      </c>
      <c r="J1280">
        <v>-271.86259999999999</v>
      </c>
      <c r="K1280">
        <v>1.1100299999999901</v>
      </c>
      <c r="L1280">
        <v>283.68180000000001</v>
      </c>
      <c r="M1280">
        <v>-0.99956480000000003</v>
      </c>
      <c r="N1280">
        <v>0</v>
      </c>
      <c r="O1280">
        <v>2.68654999999999E-2</v>
      </c>
      <c r="P1280">
        <v>-0.99817919999999905</v>
      </c>
      <c r="Q1280">
        <v>5.884441E-2</v>
      </c>
      <c r="R1280">
        <v>1.3267930000000001E-2</v>
      </c>
      <c r="S1280">
        <v>-3.0140380000000002</v>
      </c>
      <c r="T1280">
        <v>-0.234171299999999</v>
      </c>
      <c r="U1280">
        <v>0.37902829999999998</v>
      </c>
      <c r="V1280">
        <v>-1.351453E-2</v>
      </c>
      <c r="W1280">
        <v>7.1021150000000005E-2</v>
      </c>
      <c r="X1280">
        <v>0.99738320000000003</v>
      </c>
      <c r="Y1280">
        <v>9.7858609999999999E-2</v>
      </c>
      <c r="Z1280">
        <v>1.7058570000000001E-3</v>
      </c>
      <c r="AA1280">
        <v>0.99519880000000005</v>
      </c>
      <c r="AB1280">
        <v>36</v>
      </c>
      <c r="AC1280">
        <v>-0.62870000000003701</v>
      </c>
      <c r="AD1280">
        <v>-6.6281999999999897E-2</v>
      </c>
      <c r="AE1280">
        <v>0.10099999999999899</v>
      </c>
      <c r="AF1280">
        <v>8.3170771146791903E-2</v>
      </c>
      <c r="AG1280">
        <v>-6.6281999999999897E-2</v>
      </c>
      <c r="AH1280">
        <v>0.62442091380944997</v>
      </c>
      <c r="AI1280">
        <v>96.006576168340402</v>
      </c>
      <c r="AJ1280">
        <v>82.413051603712901</v>
      </c>
      <c r="AK1280">
        <v>0.63341310240614701</v>
      </c>
    </row>
    <row r="1281" spans="1:37" x14ac:dyDescent="0.2">
      <c r="A1281" t="str">
        <f>"20200111154051128"</f>
        <v>20200111154051128</v>
      </c>
      <c r="B1281" t="str">
        <f>"1578728451118065"</f>
        <v>1578728451118065</v>
      </c>
      <c r="C1281" t="s">
        <v>37</v>
      </c>
      <c r="D1281">
        <v>5.6888519999999998</v>
      </c>
      <c r="E1281">
        <v>0.47164650000000002</v>
      </c>
      <c r="F1281" t="s">
        <v>45</v>
      </c>
      <c r="G1281">
        <v>-291.33539999999999</v>
      </c>
      <c r="H1281" s="1">
        <v>2.6029449999999999E-6</v>
      </c>
      <c r="I1281">
        <v>282.78250000000003</v>
      </c>
      <c r="J1281">
        <v>-272.17329999999998</v>
      </c>
      <c r="K1281">
        <v>1.1100449999999999</v>
      </c>
      <c r="L1281">
        <v>283.69029999999998</v>
      </c>
      <c r="M1281">
        <v>-0.99956009999999995</v>
      </c>
      <c r="N1281">
        <v>0</v>
      </c>
      <c r="O1281">
        <v>2.7043339999999999E-2</v>
      </c>
      <c r="P1281">
        <v>-0.99817900000000004</v>
      </c>
      <c r="Q1281">
        <v>5.8996640000000003E-2</v>
      </c>
      <c r="R1281">
        <v>1.2591059999999999E-2</v>
      </c>
      <c r="S1281">
        <v>-3.017487</v>
      </c>
      <c r="T1281">
        <v>-0.17200889999999999</v>
      </c>
      <c r="U1281">
        <v>-0.1393433</v>
      </c>
      <c r="V1281">
        <v>-1.4369969999999999E-2</v>
      </c>
      <c r="W1281">
        <v>7.1155289999999996E-2</v>
      </c>
      <c r="X1281">
        <v>0.99736170000000002</v>
      </c>
      <c r="Y1281">
        <v>-7.296706E-2</v>
      </c>
      <c r="Z1281">
        <v>-3.6166429999999901E-3</v>
      </c>
      <c r="AA1281">
        <v>0.99732779999999999</v>
      </c>
      <c r="AB1281">
        <v>36</v>
      </c>
      <c r="AC1281">
        <v>-19.162099999999999</v>
      </c>
      <c r="AD1281">
        <v>-1.110042397055</v>
      </c>
      <c r="AE1281">
        <v>-0.90779999999995198</v>
      </c>
      <c r="AF1281">
        <v>-1.4209558083731499</v>
      </c>
      <c r="AG1281">
        <v>-1.110042397055</v>
      </c>
      <c r="AH1281">
        <v>19.066698604930501</v>
      </c>
      <c r="AI1281">
        <v>93.322742881290495</v>
      </c>
      <c r="AJ1281">
        <v>94.262119275285798</v>
      </c>
      <c r="AK1281">
        <v>19.151770289554602</v>
      </c>
    </row>
    <row r="1282" spans="1:37" x14ac:dyDescent="0.2">
      <c r="A1282" t="str">
        <f>"20200111154051149"</f>
        <v>20200111154051149</v>
      </c>
      <c r="B1282" t="str">
        <f>"1578728451137585"</f>
        <v>1578728451137585</v>
      </c>
      <c r="C1282" t="s">
        <v>37</v>
      </c>
      <c r="D1282">
        <v>5.5049519999999896</v>
      </c>
      <c r="E1282">
        <v>0.47186119999999998</v>
      </c>
      <c r="F1282" t="s">
        <v>45</v>
      </c>
      <c r="G1282">
        <v>-290.1277</v>
      </c>
      <c r="H1282" s="1">
        <v>2.4055920000000001E-6</v>
      </c>
      <c r="I1282">
        <v>282.58949999999999</v>
      </c>
      <c r="J1282">
        <v>-272.49439999999998</v>
      </c>
      <c r="K1282">
        <v>1.1100649999999901</v>
      </c>
      <c r="L1282">
        <v>283.69920000000002</v>
      </c>
      <c r="M1282">
        <v>-0.99955590000000005</v>
      </c>
      <c r="N1282">
        <v>0</v>
      </c>
      <c r="O1282">
        <v>2.720699E-2</v>
      </c>
      <c r="P1282">
        <v>-0.99815399999999999</v>
      </c>
      <c r="Q1282">
        <v>5.9582400000000001E-2</v>
      </c>
      <c r="R1282">
        <v>1.17749E-2</v>
      </c>
      <c r="S1282">
        <v>-3.0188290000000002</v>
      </c>
      <c r="T1282">
        <v>-0.18664159999999999</v>
      </c>
      <c r="U1282">
        <v>-0.18508910000000001</v>
      </c>
      <c r="V1282">
        <v>-1.535188E-2</v>
      </c>
      <c r="W1282">
        <v>7.1725070000000002E-2</v>
      </c>
      <c r="X1282">
        <v>0.99730629999999998</v>
      </c>
      <c r="Y1282">
        <v>-8.8112540000000003E-2</v>
      </c>
      <c r="Z1282">
        <v>-4.3979099999999997E-3</v>
      </c>
      <c r="AA1282">
        <v>0.99610080000000001</v>
      </c>
      <c r="AB1282">
        <v>36</v>
      </c>
      <c r="AC1282">
        <v>-17.633299999999998</v>
      </c>
      <c r="AD1282">
        <v>-1.11006259440799</v>
      </c>
      <c r="AE1282">
        <v>-1.1097000000000301</v>
      </c>
      <c r="AF1282">
        <v>-1.58282557619282</v>
      </c>
      <c r="AG1282">
        <v>-1.11006259440799</v>
      </c>
      <c r="AH1282">
        <v>17.527390114992102</v>
      </c>
      <c r="AI1282">
        <v>93.609226923209604</v>
      </c>
      <c r="AJ1282">
        <v>95.160146264954804</v>
      </c>
      <c r="AK1282">
        <v>17.633688780606199</v>
      </c>
    </row>
    <row r="1283" spans="1:37" x14ac:dyDescent="0.2">
      <c r="A1283" t="str">
        <f>"20200111154051171"</f>
        <v>20200111154051171</v>
      </c>
      <c r="B1283" t="str">
        <f>"1578728451167841"</f>
        <v>1578728451167841</v>
      </c>
      <c r="C1283" t="s">
        <v>37</v>
      </c>
      <c r="D1283">
        <v>5.2429500000000004</v>
      </c>
      <c r="E1283">
        <v>0.47227730000000001</v>
      </c>
      <c r="F1283" t="s">
        <v>45</v>
      </c>
      <c r="G1283">
        <v>-289.56229999999999</v>
      </c>
      <c r="H1283" s="1">
        <v>4.5680790000000004E-6</v>
      </c>
      <c r="I1283">
        <v>282.64999999999998</v>
      </c>
      <c r="J1283">
        <v>-272.84710000000001</v>
      </c>
      <c r="K1283">
        <v>1.1100889999999899</v>
      </c>
      <c r="L1283">
        <v>283.70890000000003</v>
      </c>
      <c r="M1283">
        <v>-0.99955190000000005</v>
      </c>
      <c r="N1283">
        <v>0</v>
      </c>
      <c r="O1283">
        <v>2.7359910000000001E-2</v>
      </c>
      <c r="P1283">
        <v>-0.99811419999999995</v>
      </c>
      <c r="Q1283">
        <v>6.0302439999999999E-2</v>
      </c>
      <c r="R1283">
        <v>1.1468539999999999E-2</v>
      </c>
      <c r="S1283">
        <v>-3.019501</v>
      </c>
      <c r="T1283">
        <v>-0.19638259999999999</v>
      </c>
      <c r="U1283">
        <v>-0.18560789999999999</v>
      </c>
      <c r="V1283">
        <v>-1.5813310000000001E-2</v>
      </c>
      <c r="W1283">
        <v>7.2426099999999993E-2</v>
      </c>
      <c r="X1283">
        <v>0.99724840000000003</v>
      </c>
      <c r="Y1283">
        <v>-8.8397610000000001E-2</v>
      </c>
      <c r="Z1283">
        <v>-4.6451009999999996E-3</v>
      </c>
      <c r="AA1283">
        <v>0.99607440000000003</v>
      </c>
      <c r="AB1283">
        <v>36</v>
      </c>
      <c r="AC1283">
        <v>-16.7151999999999</v>
      </c>
      <c r="AD1283">
        <v>-1.1100844319209999</v>
      </c>
      <c r="AE1283">
        <v>-1.0589000000000499</v>
      </c>
      <c r="AF1283">
        <v>-1.50923373939326</v>
      </c>
      <c r="AG1283">
        <v>-1.1100844319209999</v>
      </c>
      <c r="AH1283">
        <v>16.607015510165901</v>
      </c>
      <c r="AI1283">
        <v>93.808558969433605</v>
      </c>
      <c r="AJ1283">
        <v>95.1927352983936</v>
      </c>
      <c r="AK1283">
        <v>16.712361834313199</v>
      </c>
    </row>
    <row r="1284" spans="1:37" x14ac:dyDescent="0.2">
      <c r="A1284" t="str">
        <f>"20200111154051187"</f>
        <v>20200111154051187</v>
      </c>
      <c r="B1284" t="str">
        <f>"1578728451177601"</f>
        <v>1578728451177601</v>
      </c>
      <c r="C1284" t="s">
        <v>37</v>
      </c>
      <c r="D1284">
        <v>5.2386189999999999</v>
      </c>
      <c r="E1284">
        <v>0.47265950000000001</v>
      </c>
      <c r="F1284" t="s">
        <v>45</v>
      </c>
      <c r="G1284">
        <v>-288.91770000000002</v>
      </c>
      <c r="H1284" s="1">
        <v>4.8363839999999902E-6</v>
      </c>
      <c r="I1284">
        <v>282.73480000000001</v>
      </c>
      <c r="J1284">
        <v>-273.09100000000001</v>
      </c>
      <c r="K1284">
        <v>1.1100950000000001</v>
      </c>
      <c r="L1284">
        <v>283.71570000000003</v>
      </c>
      <c r="M1284">
        <v>-0.99954969999999999</v>
      </c>
      <c r="N1284">
        <v>0</v>
      </c>
      <c r="O1284">
        <v>2.744868E-2</v>
      </c>
      <c r="P1284">
        <v>-0.99807829999999997</v>
      </c>
      <c r="Q1284">
        <v>6.0914870000000003E-2</v>
      </c>
      <c r="R1284">
        <v>1.13797999999999E-2</v>
      </c>
      <c r="S1284">
        <v>-3.0203859999999998</v>
      </c>
      <c r="T1284">
        <v>-0.2086346</v>
      </c>
      <c r="U1284">
        <v>-0.18307499999999999</v>
      </c>
      <c r="V1284">
        <v>-1.5991890000000002E-2</v>
      </c>
      <c r="W1284">
        <v>7.3023889999999994E-2</v>
      </c>
      <c r="X1284">
        <v>0.99720200000000003</v>
      </c>
      <c r="Y1284">
        <v>-8.7606420000000004E-2</v>
      </c>
      <c r="Z1284">
        <v>-4.91176299999999E-3</v>
      </c>
      <c r="AA1284">
        <v>0.996143</v>
      </c>
      <c r="AB1284">
        <v>36</v>
      </c>
      <c r="AC1284">
        <v>-15.826700000000001</v>
      </c>
      <c r="AD1284">
        <v>-1.1100901636160001</v>
      </c>
      <c r="AE1284">
        <v>-0.98090000000001898</v>
      </c>
      <c r="AF1284">
        <v>-1.4080835109370999</v>
      </c>
      <c r="AG1284">
        <v>-1.1100901636160001</v>
      </c>
      <c r="AH1284">
        <v>15.716783972583899</v>
      </c>
      <c r="AI1284">
        <v>94.024077224749803</v>
      </c>
      <c r="AJ1284">
        <v>95.1195220699597</v>
      </c>
      <c r="AK1284">
        <v>15.818732496189501</v>
      </c>
    </row>
    <row r="1285" spans="1:37" x14ac:dyDescent="0.2">
      <c r="A1285" t="str">
        <f>"20200111154051205"</f>
        <v>20200111154051205</v>
      </c>
      <c r="B1285" t="str">
        <f>"1578728451197121"</f>
        <v>1578728451197121</v>
      </c>
      <c r="C1285" t="s">
        <v>37</v>
      </c>
      <c r="D1285">
        <v>5.4837559999999996</v>
      </c>
      <c r="E1285">
        <v>0.47339100000000001</v>
      </c>
      <c r="F1285" t="s">
        <v>45</v>
      </c>
      <c r="G1285">
        <v>-289.0788</v>
      </c>
      <c r="H1285" s="1">
        <v>4.7593920000000003E-6</v>
      </c>
      <c r="I1285">
        <v>282.76190000000003</v>
      </c>
      <c r="J1285">
        <v>-273.40379999999999</v>
      </c>
      <c r="K1285">
        <v>1.110117</v>
      </c>
      <c r="L1285">
        <v>283.7244</v>
      </c>
      <c r="M1285">
        <v>-0.99954739999999997</v>
      </c>
      <c r="N1285">
        <v>0</v>
      </c>
      <c r="O1285">
        <v>2.7537260000000001E-2</v>
      </c>
      <c r="P1285">
        <v>-0.99803539999999902</v>
      </c>
      <c r="Q1285">
        <v>6.1582449999999997E-2</v>
      </c>
      <c r="R1285">
        <v>1.153733E-2</v>
      </c>
      <c r="S1285">
        <v>-3.0206300000000001</v>
      </c>
      <c r="T1285">
        <v>-0.2097337</v>
      </c>
      <c r="U1285">
        <v>-0.18020629999999899</v>
      </c>
      <c r="V1285">
        <v>-1.5925979999999999E-2</v>
      </c>
      <c r="W1285">
        <v>7.3673020000000006E-2</v>
      </c>
      <c r="X1285">
        <v>0.99715520000000002</v>
      </c>
      <c r="Y1285">
        <v>-8.6746169999999997E-2</v>
      </c>
      <c r="Z1285">
        <v>-4.9136509999999998E-3</v>
      </c>
      <c r="AA1285">
        <v>0.9962183</v>
      </c>
      <c r="AB1285">
        <v>36</v>
      </c>
      <c r="AC1285">
        <v>-15.675000000000001</v>
      </c>
      <c r="AD1285">
        <v>-1.110112240608</v>
      </c>
      <c r="AE1285">
        <v>-0.96249999999997704</v>
      </c>
      <c r="AF1285">
        <v>-1.3868833028890799</v>
      </c>
      <c r="AG1285">
        <v>-1.110112240608</v>
      </c>
      <c r="AH1285">
        <v>15.5647755638545</v>
      </c>
      <c r="AI1285">
        <v>94.063501483931105</v>
      </c>
      <c r="AJ1285">
        <v>95.091834291509102</v>
      </c>
      <c r="AK1285">
        <v>15.6658237203073</v>
      </c>
    </row>
    <row r="1286" spans="1:37" x14ac:dyDescent="0.2">
      <c r="A1286" t="str">
        <f>"20200111154051229"</f>
        <v>20200111154051229</v>
      </c>
      <c r="B1286" t="str">
        <f>"1578728451217618"</f>
        <v>1578728451217618</v>
      </c>
      <c r="C1286" t="s">
        <v>37</v>
      </c>
      <c r="D1286">
        <v>5.2335880000000001</v>
      </c>
      <c r="E1286">
        <v>0.474070299999999</v>
      </c>
      <c r="F1286" t="s">
        <v>45</v>
      </c>
      <c r="G1286">
        <v>-289.4015</v>
      </c>
      <c r="H1286" s="1">
        <v>4.6082859999999996E-6</v>
      </c>
      <c r="I1286">
        <v>282.80059999999997</v>
      </c>
      <c r="J1286">
        <v>-273.77120000000002</v>
      </c>
      <c r="K1286">
        <v>1.110141</v>
      </c>
      <c r="L1286">
        <v>283.7346</v>
      </c>
      <c r="M1286">
        <v>-0.99954580000000004</v>
      </c>
      <c r="N1286">
        <v>0</v>
      </c>
      <c r="O1286">
        <v>2.7604440000000001E-2</v>
      </c>
      <c r="P1286">
        <v>-0.99800119999999903</v>
      </c>
      <c r="Q1286">
        <v>6.2087379999999998E-2</v>
      </c>
      <c r="R1286">
        <v>1.1782910000000001E-2</v>
      </c>
      <c r="S1286">
        <v>-3.0208439999999999</v>
      </c>
      <c r="T1286">
        <v>-0.20962329999999901</v>
      </c>
      <c r="U1286">
        <v>-0.1744385</v>
      </c>
      <c r="V1286">
        <v>-1.5751870000000001E-2</v>
      </c>
      <c r="W1286">
        <v>7.4152839999999998E-2</v>
      </c>
      <c r="X1286">
        <v>0.99712250000000002</v>
      </c>
      <c r="Y1286">
        <v>-8.4917729999999997E-2</v>
      </c>
      <c r="Z1286">
        <v>-4.85232799999999E-3</v>
      </c>
      <c r="AA1286">
        <v>0.99637619999999905</v>
      </c>
      <c r="AB1286">
        <v>36</v>
      </c>
      <c r="AC1286">
        <v>-15.630299999999901</v>
      </c>
      <c r="AD1286">
        <v>-1.1101363917139999</v>
      </c>
      <c r="AE1286">
        <v>-0.93400000000002503</v>
      </c>
      <c r="AF1286">
        <v>-1.35831361133256</v>
      </c>
      <c r="AG1286">
        <v>-1.1101363917139999</v>
      </c>
      <c r="AH1286">
        <v>15.520543580601201</v>
      </c>
      <c r="AI1286">
        <v>94.075696224381105</v>
      </c>
      <c r="AJ1286">
        <v>95.0016192790129</v>
      </c>
      <c r="AK1286">
        <v>15.6193691201752</v>
      </c>
    </row>
    <row r="1287" spans="1:37" x14ac:dyDescent="0.2">
      <c r="A1287" t="str">
        <f>"20200111154051243"</f>
        <v>20200111154051243</v>
      </c>
      <c r="B1287" t="str">
        <f>"1578728451238114"</f>
        <v>1578728451238114</v>
      </c>
      <c r="C1287" t="s">
        <v>37</v>
      </c>
      <c r="D1287">
        <v>5.1619960000000003</v>
      </c>
      <c r="E1287">
        <v>0.47485870000000002</v>
      </c>
      <c r="F1287" t="s">
        <v>45</v>
      </c>
      <c r="G1287">
        <v>-289.83519999999999</v>
      </c>
      <c r="H1287" s="1">
        <v>4.4077810000000001E-6</v>
      </c>
      <c r="I1287">
        <v>282.84010000000001</v>
      </c>
      <c r="J1287">
        <v>-274.00510000000003</v>
      </c>
      <c r="K1287">
        <v>1.110163</v>
      </c>
      <c r="L1287">
        <v>283.74110000000002</v>
      </c>
      <c r="M1287">
        <v>-0.99954529999999997</v>
      </c>
      <c r="N1287">
        <v>0</v>
      </c>
      <c r="O1287">
        <v>2.7633049999999999E-2</v>
      </c>
      <c r="P1287">
        <v>-0.99797139999999995</v>
      </c>
      <c r="Q1287">
        <v>6.2612890000000004E-2</v>
      </c>
      <c r="R1287">
        <v>1.153712E-2</v>
      </c>
      <c r="S1287">
        <v>-3.0209959999999998</v>
      </c>
      <c r="T1287">
        <v>-0.20877229999999999</v>
      </c>
      <c r="U1287">
        <v>-0.1682129</v>
      </c>
      <c r="V1287">
        <v>-1.602845E-2</v>
      </c>
      <c r="W1287">
        <v>7.4662119999999998E-2</v>
      </c>
      <c r="X1287">
        <v>0.99708009999999903</v>
      </c>
      <c r="Y1287">
        <v>-8.2903329999999997E-2</v>
      </c>
      <c r="Z1287">
        <v>-4.7652040000000003E-3</v>
      </c>
      <c r="AA1287">
        <v>0.99654619999999905</v>
      </c>
      <c r="AB1287">
        <v>36</v>
      </c>
      <c r="AC1287">
        <v>-15.8300999999999</v>
      </c>
      <c r="AD1287">
        <v>-1.110158592219</v>
      </c>
      <c r="AE1287">
        <v>-0.90100000000001002</v>
      </c>
      <c r="AF1287">
        <v>-1.3315938385441399</v>
      </c>
      <c r="AG1287">
        <v>-1.110158592219</v>
      </c>
      <c r="AH1287">
        <v>15.7220809176582</v>
      </c>
      <c r="AI1287">
        <v>94.024671066504894</v>
      </c>
      <c r="AJ1287">
        <v>94.841156739335901</v>
      </c>
      <c r="AK1287">
        <v>15.8173772361956</v>
      </c>
    </row>
    <row r="1288" spans="1:37" x14ac:dyDescent="0.2">
      <c r="A1288" t="str">
        <f>"20200111154051261"</f>
        <v>20200111154051261</v>
      </c>
      <c r="B1288" t="str">
        <f>"1578728451257633"</f>
        <v>1578728451257633</v>
      </c>
      <c r="C1288" t="s">
        <v>37</v>
      </c>
      <c r="D1288">
        <v>5.174067</v>
      </c>
      <c r="E1288">
        <v>0.475547099999999</v>
      </c>
      <c r="F1288" t="s">
        <v>45</v>
      </c>
      <c r="G1288">
        <v>-290.73750000000001</v>
      </c>
      <c r="H1288" s="1">
        <v>2.4919269999999999E-6</v>
      </c>
      <c r="I1288">
        <v>282.83920000000001</v>
      </c>
      <c r="J1288">
        <v>-274.28919999999999</v>
      </c>
      <c r="K1288">
        <v>1.1101809999999901</v>
      </c>
      <c r="L1288">
        <v>283.74900000000002</v>
      </c>
      <c r="M1288">
        <v>-0.99954500000000002</v>
      </c>
      <c r="N1288">
        <v>0</v>
      </c>
      <c r="O1288">
        <v>2.7652969999999999E-2</v>
      </c>
      <c r="P1288">
        <v>-0.99794689999999997</v>
      </c>
      <c r="Q1288">
        <v>6.3118229999999997E-2</v>
      </c>
      <c r="R1288">
        <v>1.088065E-2</v>
      </c>
      <c r="S1288">
        <v>-3.0205690000000001</v>
      </c>
      <c r="T1288">
        <v>-0.20040859999999999</v>
      </c>
      <c r="U1288">
        <v>-0.16281129999999999</v>
      </c>
      <c r="V1288">
        <v>-1.670725E-2</v>
      </c>
      <c r="W1288">
        <v>7.5145229999999993E-2</v>
      </c>
      <c r="X1288">
        <v>0.99703259999999905</v>
      </c>
      <c r="Y1288">
        <v>-8.117837E-2</v>
      </c>
      <c r="Z1288">
        <v>-4.5197850000000001E-3</v>
      </c>
      <c r="AA1288">
        <v>0.9966893</v>
      </c>
      <c r="AB1288">
        <v>36</v>
      </c>
      <c r="AC1288">
        <v>-16.4483</v>
      </c>
      <c r="AD1288">
        <v>-1.11017850807299</v>
      </c>
      <c r="AE1288">
        <v>-0.90980000000001804</v>
      </c>
      <c r="AF1288">
        <v>-1.35816103930906</v>
      </c>
      <c r="AG1288">
        <v>-1.11017850807299</v>
      </c>
      <c r="AH1288">
        <v>16.342625449773099</v>
      </c>
      <c r="AI1288">
        <v>93.872905476845702</v>
      </c>
      <c r="AJ1288">
        <v>94.750674033366707</v>
      </c>
      <c r="AK1288">
        <v>16.436499150368199</v>
      </c>
    </row>
    <row r="1289" spans="1:37" x14ac:dyDescent="0.2">
      <c r="A1289" t="str">
        <f>"20200111154051285"</f>
        <v>20200111154051285</v>
      </c>
      <c r="B1289" t="str">
        <f>"1578728451277153"</f>
        <v>1578728451277153</v>
      </c>
      <c r="C1289" t="s">
        <v>37</v>
      </c>
      <c r="D1289">
        <v>5.1122100000000001</v>
      </c>
      <c r="E1289">
        <v>0.47595589999999999</v>
      </c>
      <c r="F1289" t="s">
        <v>45</v>
      </c>
      <c r="G1289">
        <v>-291.57760000000002</v>
      </c>
      <c r="H1289" s="1">
        <v>2.6413789999999999E-6</v>
      </c>
      <c r="I1289">
        <v>282.83429999999998</v>
      </c>
      <c r="J1289">
        <v>-274.6524</v>
      </c>
      <c r="K1289">
        <v>1.1102069999999999</v>
      </c>
      <c r="L1289">
        <v>283.75909999999999</v>
      </c>
      <c r="M1289">
        <v>-0.99954580000000004</v>
      </c>
      <c r="N1289">
        <v>0</v>
      </c>
      <c r="O1289">
        <v>2.7641309999999999E-2</v>
      </c>
      <c r="P1289">
        <v>-0.99794749999999999</v>
      </c>
      <c r="Q1289">
        <v>6.3247990000000004E-2</v>
      </c>
      <c r="R1289">
        <v>1.003479E-2</v>
      </c>
      <c r="S1289">
        <v>-3.0201720000000001</v>
      </c>
      <c r="T1289">
        <v>-0.19394139999999899</v>
      </c>
      <c r="U1289">
        <v>-0.15978999999999999</v>
      </c>
      <c r="V1289">
        <v>-1.754671E-2</v>
      </c>
      <c r="W1289">
        <v>7.5241279999999994E-2</v>
      </c>
      <c r="X1289">
        <v>0.99701090000000003</v>
      </c>
      <c r="Y1289">
        <v>-8.019664E-2</v>
      </c>
      <c r="Z1289">
        <v>-4.3427020000000004E-3</v>
      </c>
      <c r="AA1289">
        <v>0.99676960000000003</v>
      </c>
      <c r="AB1289">
        <v>36</v>
      </c>
      <c r="AC1289">
        <v>-16.9252</v>
      </c>
      <c r="AD1289">
        <v>-1.110204358621</v>
      </c>
      <c r="AE1289">
        <v>-0.92480000000000395</v>
      </c>
      <c r="AF1289">
        <v>-1.3863676825748901</v>
      </c>
      <c r="AG1289">
        <v>-1.110204358621</v>
      </c>
      <c r="AH1289">
        <v>16.821007684171001</v>
      </c>
      <c r="AI1289">
        <v>93.763381947908499</v>
      </c>
      <c r="AJ1289">
        <v>94.711601639946196</v>
      </c>
      <c r="AK1289">
        <v>16.9145165044742</v>
      </c>
    </row>
    <row r="1290" spans="1:37" x14ac:dyDescent="0.2">
      <c r="A1290" t="str">
        <f>"20200111154051297"</f>
        <v>20200111154051297</v>
      </c>
      <c r="B1290" t="str">
        <f>"1578728451287890"</f>
        <v>1578728451287890</v>
      </c>
      <c r="C1290" t="s">
        <v>37</v>
      </c>
      <c r="D1290">
        <v>5.2617430000000001</v>
      </c>
      <c r="E1290">
        <v>0.47610159999999901</v>
      </c>
      <c r="F1290" t="s">
        <v>45</v>
      </c>
      <c r="G1290">
        <v>-292.04509999999999</v>
      </c>
      <c r="H1290" s="1">
        <v>2.7236640000000001E-6</v>
      </c>
      <c r="I1290">
        <v>282.84160000000003</v>
      </c>
      <c r="J1290">
        <v>-274.86900000000003</v>
      </c>
      <c r="K1290">
        <v>1.1102270000000001</v>
      </c>
      <c r="L1290">
        <v>283.76499999999999</v>
      </c>
      <c r="M1290">
        <v>-0.99954709999999902</v>
      </c>
      <c r="N1290">
        <v>0</v>
      </c>
      <c r="O1290">
        <v>2.7600030000000001E-2</v>
      </c>
      <c r="P1290">
        <v>-0.99794919999999998</v>
      </c>
      <c r="Q1290">
        <v>6.3300629999999997E-2</v>
      </c>
      <c r="R1290">
        <v>9.51486E-3</v>
      </c>
      <c r="S1290">
        <v>-3.0199889999999998</v>
      </c>
      <c r="T1290">
        <v>-0.19277069999999999</v>
      </c>
      <c r="U1290">
        <v>-0.15930179999999999</v>
      </c>
      <c r="V1290">
        <v>-1.8029699999999999E-2</v>
      </c>
      <c r="W1290">
        <v>7.5267420000000002E-2</v>
      </c>
      <c r="X1290">
        <v>0.99700040000000001</v>
      </c>
      <c r="Y1290">
        <v>-8.0001050000000004E-2</v>
      </c>
      <c r="Z1290">
        <v>-4.3079579999999998E-3</v>
      </c>
      <c r="AA1290">
        <v>0.99678549999999999</v>
      </c>
      <c r="AB1290">
        <v>36</v>
      </c>
      <c r="AC1290">
        <v>-17.176099999999899</v>
      </c>
      <c r="AD1290">
        <v>-1.110224276336</v>
      </c>
      <c r="AE1290">
        <v>-0.92339999999995803</v>
      </c>
      <c r="AF1290">
        <v>-1.3913468026226501</v>
      </c>
      <c r="AG1290">
        <v>-1.110224276336</v>
      </c>
      <c r="AH1290">
        <v>17.072942242861998</v>
      </c>
      <c r="AI1290">
        <v>93.708348868712307</v>
      </c>
      <c r="AJ1290">
        <v>94.658981463611795</v>
      </c>
      <c r="AK1290">
        <v>17.1654828273787</v>
      </c>
    </row>
    <row r="1291" spans="1:37" x14ac:dyDescent="0.2">
      <c r="A1291" t="str">
        <f>"20200111154051318"</f>
        <v>20200111154051318</v>
      </c>
      <c r="B1291" t="str">
        <f>"1578728451307408"</f>
        <v>1578728451307408</v>
      </c>
      <c r="C1291" t="s">
        <v>37</v>
      </c>
      <c r="D1291">
        <v>5.205616</v>
      </c>
      <c r="E1291">
        <v>0.47624749999999999</v>
      </c>
      <c r="F1291" t="s">
        <v>45</v>
      </c>
      <c r="G1291">
        <v>-292.1995</v>
      </c>
      <c r="H1291" s="1">
        <v>2.750563E-6</v>
      </c>
      <c r="I1291">
        <v>282.84719999999999</v>
      </c>
      <c r="J1291">
        <v>-275.1807</v>
      </c>
      <c r="K1291">
        <v>1.1102650000000001</v>
      </c>
      <c r="L1291">
        <v>283.77359999999999</v>
      </c>
      <c r="M1291">
        <v>-0.9995501</v>
      </c>
      <c r="N1291">
        <v>0</v>
      </c>
      <c r="O1291">
        <v>2.750551E-2</v>
      </c>
      <c r="P1291">
        <v>-0.99794419999999995</v>
      </c>
      <c r="Q1291">
        <v>6.3500059999999997E-2</v>
      </c>
      <c r="R1291">
        <v>8.6811730000000004E-3</v>
      </c>
      <c r="S1291">
        <v>-3.0199579999999999</v>
      </c>
      <c r="T1291">
        <v>-0.1934651</v>
      </c>
      <c r="U1291">
        <v>-0.15994259999999999</v>
      </c>
      <c r="V1291">
        <v>-1.8776319999999999E-2</v>
      </c>
      <c r="W1291">
        <v>7.5429560000000007E-2</v>
      </c>
      <c r="X1291">
        <v>0.99697429999999998</v>
      </c>
      <c r="Y1291">
        <v>-8.0116640000000003E-2</v>
      </c>
      <c r="Z1291">
        <v>-4.3211150000000004E-3</v>
      </c>
      <c r="AA1291">
        <v>0.99677610000000005</v>
      </c>
      <c r="AB1291">
        <v>36</v>
      </c>
      <c r="AC1291">
        <v>-17.018799999999999</v>
      </c>
      <c r="AD1291">
        <v>-1.110262249437</v>
      </c>
      <c r="AE1291">
        <v>-0.926400000000001</v>
      </c>
      <c r="AF1291">
        <v>-1.3883026585224401</v>
      </c>
      <c r="AG1291">
        <v>-1.110262249437</v>
      </c>
      <c r="AH1291">
        <v>16.915100513375201</v>
      </c>
      <c r="AI1291">
        <v>93.742806722720502</v>
      </c>
      <c r="AJ1291">
        <v>94.692020118236897</v>
      </c>
      <c r="AK1291">
        <v>17.008253640858399</v>
      </c>
    </row>
    <row r="1292" spans="1:37" x14ac:dyDescent="0.2">
      <c r="A1292" t="str">
        <f>"20200111154051340"</f>
        <v>20200111154051340</v>
      </c>
      <c r="B1292" t="str">
        <f>"1578728451337665"</f>
        <v>1578728451337665</v>
      </c>
      <c r="C1292" t="s">
        <v>37</v>
      </c>
      <c r="D1292">
        <v>5.1566729999999996</v>
      </c>
      <c r="E1292">
        <v>0.47637020000000002</v>
      </c>
      <c r="F1292" t="s">
        <v>45</v>
      </c>
      <c r="G1292">
        <v>-292.55079999999998</v>
      </c>
      <c r="H1292" s="1">
        <v>2.813122E-6</v>
      </c>
      <c r="I1292">
        <v>282.84449999999998</v>
      </c>
      <c r="J1292">
        <v>-275.54129999999998</v>
      </c>
      <c r="K1292">
        <v>1.1103160000000001</v>
      </c>
      <c r="L1292">
        <v>283.78339999999997</v>
      </c>
      <c r="M1292">
        <v>-0.99955579999999999</v>
      </c>
      <c r="N1292">
        <v>0</v>
      </c>
      <c r="O1292">
        <v>2.732323E-2</v>
      </c>
      <c r="P1292">
        <v>-0.99792119999999995</v>
      </c>
      <c r="Q1292">
        <v>6.3921179999999994E-2</v>
      </c>
      <c r="R1292">
        <v>8.2134679999999998E-3</v>
      </c>
      <c r="S1292">
        <v>-3.0198669999999899</v>
      </c>
      <c r="T1292">
        <v>-0.193024</v>
      </c>
      <c r="U1292">
        <v>-0.16152949999999999</v>
      </c>
      <c r="V1292">
        <v>-1.9073389999999999E-2</v>
      </c>
      <c r="W1292">
        <v>7.5794730000000005E-2</v>
      </c>
      <c r="X1292">
        <v>0.99694099999999997</v>
      </c>
      <c r="Y1292">
        <v>-8.0459420000000004E-2</v>
      </c>
      <c r="Z1292">
        <v>-4.3106580000000002E-3</v>
      </c>
      <c r="AA1292">
        <v>0.99674859999999899</v>
      </c>
      <c r="AB1292">
        <v>36</v>
      </c>
      <c r="AC1292">
        <v>-17.009499999999999</v>
      </c>
      <c r="AD1292">
        <v>-1.1103131868780001</v>
      </c>
      <c r="AE1292">
        <v>-0.93889999999998897</v>
      </c>
      <c r="AF1292">
        <v>-1.3974006244142001</v>
      </c>
      <c r="AG1292">
        <v>-1.1103131868780001</v>
      </c>
      <c r="AH1292">
        <v>16.905677345641699</v>
      </c>
      <c r="AI1292">
        <v>93.744879947450102</v>
      </c>
      <c r="AJ1292">
        <v>94.725250172714496</v>
      </c>
      <c r="AK1292">
        <v>16.999630889904999</v>
      </c>
    </row>
    <row r="1293" spans="1:37" x14ac:dyDescent="0.2">
      <c r="A1293" t="str">
        <f>"20200111154051361"</f>
        <v>20200111154051361</v>
      </c>
      <c r="B1293" t="str">
        <f>"1578728451357185"</f>
        <v>1578728451357185</v>
      </c>
      <c r="C1293" t="s">
        <v>37</v>
      </c>
      <c r="D1293">
        <v>5.1778599999999999</v>
      </c>
      <c r="E1293">
        <v>0.47636649999999903</v>
      </c>
      <c r="F1293" t="s">
        <v>45</v>
      </c>
      <c r="G1293">
        <v>-292.92320000000001</v>
      </c>
      <c r="H1293" s="1">
        <v>2.8785200000000002E-6</v>
      </c>
      <c r="I1293">
        <v>282.8519</v>
      </c>
      <c r="J1293">
        <v>-275.86669999999998</v>
      </c>
      <c r="K1293">
        <v>1.110379</v>
      </c>
      <c r="L1293">
        <v>283.7921</v>
      </c>
      <c r="M1293">
        <v>-0.99956350000000005</v>
      </c>
      <c r="N1293">
        <v>0</v>
      </c>
      <c r="O1293">
        <v>2.706977E-2</v>
      </c>
      <c r="P1293">
        <v>-0.99788500000000002</v>
      </c>
      <c r="Q1293">
        <v>6.4547229999999997E-2</v>
      </c>
      <c r="R1293">
        <v>7.724753E-3</v>
      </c>
      <c r="S1293">
        <v>-3.01992799999999</v>
      </c>
      <c r="T1293">
        <v>-0.1929061</v>
      </c>
      <c r="U1293">
        <v>-0.1618347</v>
      </c>
      <c r="V1293">
        <v>-1.932118E-2</v>
      </c>
      <c r="W1293">
        <v>7.6357190000000005E-2</v>
      </c>
      <c r="X1293">
        <v>0.99689329999999998</v>
      </c>
      <c r="Y1293">
        <v>-8.0307130000000004E-2</v>
      </c>
      <c r="Z1293">
        <v>-4.286911E-3</v>
      </c>
      <c r="AA1293">
        <v>0.99676100000000001</v>
      </c>
      <c r="AB1293">
        <v>36</v>
      </c>
      <c r="AC1293">
        <v>-17.0565</v>
      </c>
      <c r="AD1293">
        <v>-1.1103761214800001</v>
      </c>
      <c r="AE1293">
        <v>-0.94020000000000403</v>
      </c>
      <c r="AF1293">
        <v>-1.39570619942222</v>
      </c>
      <c r="AG1293">
        <v>-1.1103761214800001</v>
      </c>
      <c r="AH1293">
        <v>16.953166155178899</v>
      </c>
      <c r="AI1293">
        <v>93.734731827347602</v>
      </c>
      <c r="AJ1293">
        <v>94.7063856329451</v>
      </c>
      <c r="AK1293">
        <v>17.046723251445201</v>
      </c>
    </row>
    <row r="1294" spans="1:37" x14ac:dyDescent="0.2">
      <c r="A1294" t="str">
        <f>"20200111154051375"</f>
        <v>20200111154051375</v>
      </c>
      <c r="B1294" t="str">
        <f>"1578728451367921"</f>
        <v>1578728451367921</v>
      </c>
      <c r="C1294" t="s">
        <v>37</v>
      </c>
      <c r="D1294">
        <v>5.1738540000000004</v>
      </c>
      <c r="E1294">
        <v>0.47624559999999999</v>
      </c>
      <c r="F1294" t="s">
        <v>45</v>
      </c>
      <c r="G1294">
        <v>-293.43270000000001</v>
      </c>
      <c r="H1294" s="1">
        <v>2.9697449999999999E-6</v>
      </c>
      <c r="I1294">
        <v>282.84230000000002</v>
      </c>
      <c r="J1294">
        <v>-276.09449999999998</v>
      </c>
      <c r="K1294">
        <v>1.1104319999999901</v>
      </c>
      <c r="L1294">
        <v>283.79809999999998</v>
      </c>
      <c r="M1294">
        <v>-0.99957039999999997</v>
      </c>
      <c r="N1294">
        <v>0</v>
      </c>
      <c r="O1294">
        <v>2.6829249999999999E-2</v>
      </c>
      <c r="P1294">
        <v>-0.99786169999999996</v>
      </c>
      <c r="Q1294">
        <v>6.4957239999999999E-2</v>
      </c>
      <c r="R1294">
        <v>7.2530479999999998E-3</v>
      </c>
      <c r="S1294">
        <v>-3.01992799999999</v>
      </c>
      <c r="T1294">
        <v>-0.19089410000000001</v>
      </c>
      <c r="U1294">
        <v>-0.163269</v>
      </c>
      <c r="V1294">
        <v>-1.9562590000000001E-2</v>
      </c>
      <c r="W1294">
        <v>7.6717560000000004E-2</v>
      </c>
      <c r="X1294">
        <v>0.99686090000000005</v>
      </c>
      <c r="Y1294">
        <v>-8.054385E-2</v>
      </c>
      <c r="Z1294">
        <v>-4.2345239999999999E-3</v>
      </c>
      <c r="AA1294">
        <v>0.99674209999999996</v>
      </c>
      <c r="AB1294">
        <v>36</v>
      </c>
      <c r="AC1294">
        <v>-17.338200000000001</v>
      </c>
      <c r="AD1294">
        <v>-1.1104290302549999</v>
      </c>
      <c r="AE1294">
        <v>-0.95579999999995302</v>
      </c>
      <c r="AF1294">
        <v>-1.4148732447964001</v>
      </c>
      <c r="AG1294">
        <v>-1.1104290302549999</v>
      </c>
      <c r="AH1294">
        <v>17.2358291492259</v>
      </c>
      <c r="AI1294">
        <v>93.673898140402301</v>
      </c>
      <c r="AJ1294">
        <v>94.6928352559529</v>
      </c>
      <c r="AK1294">
        <v>17.329417918423498</v>
      </c>
    </row>
    <row r="1295" spans="1:37" x14ac:dyDescent="0.2">
      <c r="A1295" t="str">
        <f>"20200111154051388"</f>
        <v>20200111154051388</v>
      </c>
      <c r="B1295" t="str">
        <f>"1578728451377681"</f>
        <v>1578728451377681</v>
      </c>
      <c r="C1295" t="s">
        <v>37</v>
      </c>
      <c r="D1295">
        <v>5.1360239999999999</v>
      </c>
      <c r="E1295">
        <v>0.47610159999999901</v>
      </c>
      <c r="F1295" t="s">
        <v>45</v>
      </c>
      <c r="G1295">
        <v>-293.77809999999999</v>
      </c>
      <c r="H1295" s="1">
        <v>3.0321889999999999E-6</v>
      </c>
      <c r="I1295">
        <v>282.8288</v>
      </c>
      <c r="J1295">
        <v>-276.29849999999999</v>
      </c>
      <c r="K1295">
        <v>1.1104810000000001</v>
      </c>
      <c r="L1295">
        <v>283.80329999999998</v>
      </c>
      <c r="M1295">
        <v>-0.99957759999999996</v>
      </c>
      <c r="N1295">
        <v>0</v>
      </c>
      <c r="O1295">
        <v>2.6581090000000002E-2</v>
      </c>
      <c r="P1295">
        <v>-0.99784839999999997</v>
      </c>
      <c r="Q1295">
        <v>6.5201480000000006E-2</v>
      </c>
      <c r="R1295">
        <v>6.8960239999999997E-3</v>
      </c>
      <c r="S1295">
        <v>-3.01992799999999</v>
      </c>
      <c r="T1295">
        <v>-0.189634</v>
      </c>
      <c r="U1295">
        <v>-0.16552729999999999</v>
      </c>
      <c r="V1295">
        <v>-1.96815999999999E-2</v>
      </c>
      <c r="W1295">
        <v>7.691249E-2</v>
      </c>
      <c r="X1295">
        <v>0.99684359999999905</v>
      </c>
      <c r="Y1295">
        <v>-8.1041870000000002E-2</v>
      </c>
      <c r="Z1295">
        <v>-4.2065959999999999E-3</v>
      </c>
      <c r="AA1295">
        <v>0.99670179999999997</v>
      </c>
      <c r="AB1295">
        <v>36</v>
      </c>
      <c r="AC1295">
        <v>-17.479600000000001</v>
      </c>
      <c r="AD1295">
        <v>-1.1104779678109999</v>
      </c>
      <c r="AE1295">
        <v>-0.97449999999997705</v>
      </c>
      <c r="AF1295">
        <v>-1.43304858258986</v>
      </c>
      <c r="AG1295">
        <v>-1.1104779678109999</v>
      </c>
      <c r="AH1295">
        <v>17.377598255559199</v>
      </c>
      <c r="AI1295">
        <v>93.644055430318602</v>
      </c>
      <c r="AJ1295">
        <v>94.714245618696296</v>
      </c>
      <c r="AK1295">
        <v>17.4719120501642</v>
      </c>
    </row>
    <row r="1296" spans="1:37" x14ac:dyDescent="0.2">
      <c r="A1296" t="str">
        <f>"20200111154051407"</f>
        <v>20200111154051407</v>
      </c>
      <c r="B1296" t="str">
        <f>"1578728451397204"</f>
        <v>1578728451397204</v>
      </c>
      <c r="C1296" t="s">
        <v>37</v>
      </c>
      <c r="D1296">
        <v>5.1843089999999998</v>
      </c>
      <c r="E1296">
        <v>0.4758539</v>
      </c>
      <c r="F1296" t="s">
        <v>45</v>
      </c>
      <c r="G1296">
        <v>-293.98360000000002</v>
      </c>
      <c r="H1296" s="1">
        <v>3.0693849999999898E-6</v>
      </c>
      <c r="I1296">
        <v>282.82040000000001</v>
      </c>
      <c r="J1296">
        <v>-276.60969999999998</v>
      </c>
      <c r="K1296">
        <v>1.110552</v>
      </c>
      <c r="L1296">
        <v>283.81119999999999</v>
      </c>
      <c r="M1296">
        <v>-0.99959050000000005</v>
      </c>
      <c r="N1296">
        <v>0</v>
      </c>
      <c r="O1296">
        <v>2.612536E-2</v>
      </c>
      <c r="P1296">
        <v>-0.99780990000000003</v>
      </c>
      <c r="Q1296">
        <v>6.5897830000000004E-2</v>
      </c>
      <c r="R1296">
        <v>5.7383959999999998E-3</v>
      </c>
      <c r="S1296">
        <v>-3.0199889999999998</v>
      </c>
      <c r="T1296">
        <v>-0.18962979999999999</v>
      </c>
      <c r="U1296">
        <v>-0.16784669999999999</v>
      </c>
      <c r="V1296">
        <v>-2.0399810000000001E-2</v>
      </c>
      <c r="W1296">
        <v>7.7522430000000003E-2</v>
      </c>
      <c r="X1296">
        <v>0.9967819</v>
      </c>
      <c r="Y1296">
        <v>-8.1349779999999997E-2</v>
      </c>
      <c r="Z1296">
        <v>-4.1874130000000001E-3</v>
      </c>
      <c r="AA1296">
        <v>0.99667680000000003</v>
      </c>
      <c r="AB1296">
        <v>36</v>
      </c>
      <c r="AC1296">
        <v>-17.373899999999999</v>
      </c>
      <c r="AD1296">
        <v>-1.110548930615</v>
      </c>
      <c r="AE1296">
        <v>-0.99079999999997803</v>
      </c>
      <c r="AF1296">
        <v>-1.4385335400114501</v>
      </c>
      <c r="AG1296">
        <v>-1.110548930615</v>
      </c>
      <c r="AH1296">
        <v>17.271741552206201</v>
      </c>
      <c r="AI1296">
        <v>93.666314691805894</v>
      </c>
      <c r="AJ1296">
        <v>94.7610777670576</v>
      </c>
      <c r="AK1296">
        <v>17.3670882395189</v>
      </c>
    </row>
    <row r="1297" spans="1:37" x14ac:dyDescent="0.2">
      <c r="A1297" t="str">
        <f>"20200111154051428"</f>
        <v>20200111154051428</v>
      </c>
      <c r="B1297" t="str">
        <f>"1578728451417700"</f>
        <v>1578728451417700</v>
      </c>
      <c r="C1297" t="s">
        <v>37</v>
      </c>
      <c r="D1297">
        <v>5.1425330000000002</v>
      </c>
      <c r="E1297">
        <v>0.4756823</v>
      </c>
      <c r="F1297" t="s">
        <v>45</v>
      </c>
      <c r="G1297">
        <v>-294.4239</v>
      </c>
      <c r="H1297" s="1">
        <v>3.15026099999999E-6</v>
      </c>
      <c r="I1297">
        <v>282.78859999999997</v>
      </c>
      <c r="J1297">
        <v>-276.94670000000002</v>
      </c>
      <c r="K1297">
        <v>1.11063</v>
      </c>
      <c r="L1297">
        <v>283.81950000000001</v>
      </c>
      <c r="M1297">
        <v>-0.99960709999999997</v>
      </c>
      <c r="N1297">
        <v>0</v>
      </c>
      <c r="O1297">
        <v>2.5532470000000002E-2</v>
      </c>
      <c r="P1297">
        <v>-0.99778169999999899</v>
      </c>
      <c r="Q1297">
        <v>6.6411109999999995E-2</v>
      </c>
      <c r="R1297">
        <v>4.6707809999999997E-3</v>
      </c>
      <c r="S1297">
        <v>-3.0200499999999999</v>
      </c>
      <c r="T1297">
        <v>-0.18827189999999999</v>
      </c>
      <c r="U1297">
        <v>-0.17337040000000001</v>
      </c>
      <c r="V1297">
        <v>-2.089156E-2</v>
      </c>
      <c r="W1297">
        <v>7.7927949999999996E-2</v>
      </c>
      <c r="X1297">
        <v>0.99674010000000002</v>
      </c>
      <c r="Y1297">
        <v>-8.2576380000000005E-2</v>
      </c>
      <c r="Z1297">
        <v>-4.1584589999999998E-3</v>
      </c>
      <c r="AA1297">
        <v>0.99657609999999996</v>
      </c>
      <c r="AB1297">
        <v>36</v>
      </c>
      <c r="AC1297">
        <v>-17.4771999999999</v>
      </c>
      <c r="AD1297">
        <v>-1.1106268497389999</v>
      </c>
      <c r="AE1297">
        <v>-1.0309000000000299</v>
      </c>
      <c r="AF1297">
        <v>-1.47091050042555</v>
      </c>
      <c r="AG1297">
        <v>-1.1106268497389999</v>
      </c>
      <c r="AH1297">
        <v>17.375256115032101</v>
      </c>
      <c r="AI1297">
        <v>93.644372007329196</v>
      </c>
      <c r="AJ1297">
        <v>94.838863924801799</v>
      </c>
      <c r="AK1297">
        <v>17.472738616558701</v>
      </c>
    </row>
    <row r="1298" spans="1:37" x14ac:dyDescent="0.2">
      <c r="A1298" t="str">
        <f>"20200111154051450"</f>
        <v>20200111154051450</v>
      </c>
      <c r="B1298" t="str">
        <f>"1578728451437216"</f>
        <v>1578728451437216</v>
      </c>
      <c r="C1298" t="s">
        <v>37</v>
      </c>
      <c r="D1298">
        <v>5.1278360000000003</v>
      </c>
      <c r="E1298">
        <v>0.47556670000000001</v>
      </c>
      <c r="F1298" t="s">
        <v>45</v>
      </c>
      <c r="G1298">
        <v>-294.80419999999998</v>
      </c>
      <c r="H1298" s="1">
        <v>3.2195580000000002E-6</v>
      </c>
      <c r="I1298">
        <v>282.76769999999999</v>
      </c>
      <c r="J1298">
        <v>-277.29469999999998</v>
      </c>
      <c r="K1298">
        <v>1.1107</v>
      </c>
      <c r="L1298">
        <v>283.82780000000002</v>
      </c>
      <c r="M1298">
        <v>-0.99962640000000003</v>
      </c>
      <c r="N1298">
        <v>0</v>
      </c>
      <c r="O1298">
        <v>2.4823350000000001E-2</v>
      </c>
      <c r="P1298">
        <v>-0.99771299999999996</v>
      </c>
      <c r="Q1298">
        <v>6.7505019999999999E-2</v>
      </c>
      <c r="R1298">
        <v>3.5048599999999998E-3</v>
      </c>
      <c r="S1298">
        <v>-3.0200200000000001</v>
      </c>
      <c r="T1298">
        <v>-0.18782650000000001</v>
      </c>
      <c r="U1298">
        <v>-0.17788699999999999</v>
      </c>
      <c r="V1298">
        <v>-2.1366159999999999E-2</v>
      </c>
      <c r="W1298">
        <v>7.8895809999999997E-2</v>
      </c>
      <c r="X1298">
        <v>0.99665389999999998</v>
      </c>
      <c r="Y1298">
        <v>-8.3356189999999997E-2</v>
      </c>
      <c r="Z1298">
        <v>-4.12868099999999E-3</v>
      </c>
      <c r="AA1298">
        <v>0.99651129999999999</v>
      </c>
      <c r="AB1298">
        <v>36</v>
      </c>
      <c r="AC1298">
        <v>-17.509499999999999</v>
      </c>
      <c r="AD1298">
        <v>-1.110696780442</v>
      </c>
      <c r="AE1298">
        <v>-1.06010000000003</v>
      </c>
      <c r="AF1298">
        <v>-1.48847861545395</v>
      </c>
      <c r="AG1298">
        <v>-1.110696780442</v>
      </c>
      <c r="AH1298">
        <v>17.407995225795801</v>
      </c>
      <c r="AI1298">
        <v>93.637504429211901</v>
      </c>
      <c r="AJ1298">
        <v>94.887214596151694</v>
      </c>
      <c r="AK1298">
        <v>17.506784790705499</v>
      </c>
    </row>
    <row r="1299" spans="1:37" x14ac:dyDescent="0.2">
      <c r="A1299" t="str">
        <f>"20200111154051465"</f>
        <v>20200111154051465</v>
      </c>
      <c r="B1299" t="str">
        <f>"1578728451457713"</f>
        <v>1578728451457713</v>
      </c>
      <c r="C1299" t="s">
        <v>37</v>
      </c>
      <c r="D1299">
        <v>5.144361</v>
      </c>
      <c r="E1299">
        <v>0.4754082</v>
      </c>
      <c r="F1299" t="s">
        <v>45</v>
      </c>
      <c r="G1299">
        <v>-295.3039</v>
      </c>
      <c r="H1299" s="1">
        <v>3.3106309999999999E-6</v>
      </c>
      <c r="I1299">
        <v>282.73970000000003</v>
      </c>
      <c r="J1299">
        <v>-277.52670000000001</v>
      </c>
      <c r="K1299">
        <v>1.110741</v>
      </c>
      <c r="L1299">
        <v>283.8331</v>
      </c>
      <c r="M1299">
        <v>-0.99963999999999997</v>
      </c>
      <c r="N1299">
        <v>0</v>
      </c>
      <c r="O1299">
        <v>2.430477E-2</v>
      </c>
      <c r="P1299">
        <v>-0.99767430000000001</v>
      </c>
      <c r="Q1299">
        <v>6.8105460000000007E-2</v>
      </c>
      <c r="R1299">
        <v>2.7529820000000002E-3</v>
      </c>
      <c r="S1299">
        <v>-3.020111</v>
      </c>
      <c r="T1299">
        <v>-0.18626189999999901</v>
      </c>
      <c r="U1299">
        <v>-0.1824646</v>
      </c>
      <c r="V1299">
        <v>-2.1611459999999999E-2</v>
      </c>
      <c r="W1299">
        <v>7.9402039999999993E-2</v>
      </c>
      <c r="X1299">
        <v>0.99660839999999995</v>
      </c>
      <c r="Y1299">
        <v>-8.4345089999999998E-2</v>
      </c>
      <c r="Z1299">
        <v>-4.0925620000000001E-3</v>
      </c>
      <c r="AA1299">
        <v>0.99642819999999899</v>
      </c>
      <c r="AB1299">
        <v>36</v>
      </c>
      <c r="AC1299">
        <v>-17.777199999999901</v>
      </c>
      <c r="AD1299">
        <v>-1.110737689369</v>
      </c>
      <c r="AE1299">
        <v>-1.09339999999997</v>
      </c>
      <c r="AF1299">
        <v>-1.5192669421726499</v>
      </c>
      <c r="AG1299">
        <v>-1.110737689369</v>
      </c>
      <c r="AH1299">
        <v>17.676623978703699</v>
      </c>
      <c r="AI1299">
        <v>93.582368027051601</v>
      </c>
      <c r="AJ1299">
        <v>94.912373991368696</v>
      </c>
      <c r="AK1299">
        <v>17.776527938285501</v>
      </c>
    </row>
    <row r="1300" spans="1:37" x14ac:dyDescent="0.2">
      <c r="A1300" t="str">
        <f>"20200111154051477"</f>
        <v>20200111154051477</v>
      </c>
      <c r="B1300" t="str">
        <f>"1578728451467473"</f>
        <v>1578728451467473</v>
      </c>
      <c r="C1300" t="s">
        <v>37</v>
      </c>
      <c r="D1300">
        <v>5.1363949999999896</v>
      </c>
      <c r="E1300">
        <v>0.4753715</v>
      </c>
      <c r="F1300" t="s">
        <v>45</v>
      </c>
      <c r="G1300">
        <v>-295.67590000000001</v>
      </c>
      <c r="H1300" s="1">
        <v>3.3787139999999999E-6</v>
      </c>
      <c r="I1300">
        <v>282.71570000000003</v>
      </c>
      <c r="J1300">
        <v>-277.72910000000002</v>
      </c>
      <c r="K1300">
        <v>1.1107769999999999</v>
      </c>
      <c r="L1300">
        <v>283.83760000000001</v>
      </c>
      <c r="M1300">
        <v>-0.99965289999999996</v>
      </c>
      <c r="N1300">
        <v>0</v>
      </c>
      <c r="O1300">
        <v>2.3812360000000001E-2</v>
      </c>
      <c r="P1300">
        <v>-0.99764719999999996</v>
      </c>
      <c r="Q1300">
        <v>6.8531439999999999E-2</v>
      </c>
      <c r="R1300">
        <v>1.943515E-3</v>
      </c>
      <c r="S1300">
        <v>-3.020111</v>
      </c>
      <c r="T1300">
        <v>-0.18483229999999901</v>
      </c>
      <c r="U1300">
        <v>-0.18594359999999999</v>
      </c>
      <c r="V1300">
        <v>-2.1937829999999998E-2</v>
      </c>
      <c r="W1300">
        <v>7.9737630000000004E-2</v>
      </c>
      <c r="X1300">
        <v>0.99657450000000003</v>
      </c>
      <c r="Y1300">
        <v>-8.5000649999999997E-2</v>
      </c>
      <c r="Z1300">
        <v>-4.0510069999999997E-3</v>
      </c>
      <c r="AA1300">
        <v>0.99637260000000005</v>
      </c>
      <c r="AB1300">
        <v>36</v>
      </c>
      <c r="AC1300">
        <v>-17.9467999999999</v>
      </c>
      <c r="AD1300">
        <v>-1.110773621286</v>
      </c>
      <c r="AE1300">
        <v>-1.1218999999999799</v>
      </c>
      <c r="AF1300">
        <v>-1.54307661326333</v>
      </c>
      <c r="AG1300">
        <v>-1.110773621286</v>
      </c>
      <c r="AH1300">
        <v>17.846893868524901</v>
      </c>
      <c r="AI1300">
        <v>93.548236654771998</v>
      </c>
      <c r="AJ1300">
        <v>94.9416133019337</v>
      </c>
      <c r="AK1300">
        <v>17.947883558418201</v>
      </c>
    </row>
    <row r="1301" spans="1:37" x14ac:dyDescent="0.2">
      <c r="A1301" t="str">
        <f>"20200111154051496"</f>
        <v>20200111154051496</v>
      </c>
      <c r="B1301" t="str">
        <f>"1578728451487969"</f>
        <v>1578728451487969</v>
      </c>
      <c r="C1301" t="s">
        <v>37</v>
      </c>
      <c r="D1301">
        <v>5.1375060000000001</v>
      </c>
      <c r="E1301">
        <v>0.47525499999999998</v>
      </c>
      <c r="F1301" t="s">
        <v>45</v>
      </c>
      <c r="G1301">
        <v>-295.90629999999999</v>
      </c>
      <c r="H1301" s="1">
        <v>3.42074799999999E-6</v>
      </c>
      <c r="I1301">
        <v>282.70249999999999</v>
      </c>
      <c r="J1301">
        <v>-278.02879999999999</v>
      </c>
      <c r="K1301">
        <v>1.1108209999999901</v>
      </c>
      <c r="L1301">
        <v>283.84410000000003</v>
      </c>
      <c r="M1301">
        <v>-0.99967269999999897</v>
      </c>
      <c r="N1301">
        <v>0</v>
      </c>
      <c r="O1301">
        <v>2.303761E-2</v>
      </c>
      <c r="P1301">
        <v>-0.99760139999999997</v>
      </c>
      <c r="Q1301">
        <v>6.9216949999999999E-2</v>
      </c>
      <c r="R1301">
        <v>6.7503679999999903E-4</v>
      </c>
      <c r="S1301">
        <v>-3.0201419999999999</v>
      </c>
      <c r="T1301">
        <v>-0.18455479999999999</v>
      </c>
      <c r="U1301">
        <v>-0.18859860000000001</v>
      </c>
      <c r="V1301">
        <v>-2.2445320000000001E-2</v>
      </c>
      <c r="W1301">
        <v>8.0276150000000004E-2</v>
      </c>
      <c r="X1301">
        <v>0.99651990000000001</v>
      </c>
      <c r="Y1301">
        <v>-8.5102250000000004E-2</v>
      </c>
      <c r="Z1301">
        <v>-4.0006209999999898E-3</v>
      </c>
      <c r="AA1301">
        <v>0.99636420000000003</v>
      </c>
      <c r="AB1301">
        <v>36</v>
      </c>
      <c r="AC1301">
        <v>-17.877499999999898</v>
      </c>
      <c r="AD1301">
        <v>-1.1108175792520001</v>
      </c>
      <c r="AE1301">
        <v>-1.1416000000000299</v>
      </c>
      <c r="AF1301">
        <v>-1.54722813653809</v>
      </c>
      <c r="AG1301">
        <v>-1.1108175792520001</v>
      </c>
      <c r="AH1301">
        <v>17.778095268620099</v>
      </c>
      <c r="AI1301">
        <v>93.561899339430099</v>
      </c>
      <c r="AJ1301">
        <v>94.973920717422601</v>
      </c>
      <c r="AK1301">
        <v>17.879835065822199</v>
      </c>
    </row>
    <row r="1302" spans="1:37" x14ac:dyDescent="0.2">
      <c r="A1302" t="str">
        <f>"20200111154051519"</f>
        <v>20200111154051519</v>
      </c>
      <c r="B1302" t="str">
        <f>"1578728451507489"</f>
        <v>1578728451507489</v>
      </c>
      <c r="C1302" t="s">
        <v>37</v>
      </c>
      <c r="D1302">
        <v>5.2166980000000001</v>
      </c>
      <c r="E1302">
        <v>0.47517299999999901</v>
      </c>
      <c r="F1302" t="s">
        <v>45</v>
      </c>
      <c r="G1302">
        <v>-296.24459999999999</v>
      </c>
      <c r="H1302" s="1">
        <v>3.4828509999999999E-6</v>
      </c>
      <c r="I1302">
        <v>282.67840000000001</v>
      </c>
      <c r="J1302">
        <v>-278.39269999999999</v>
      </c>
      <c r="K1302">
        <v>1.1108610000000001</v>
      </c>
      <c r="L1302">
        <v>283.85160000000002</v>
      </c>
      <c r="M1302">
        <v>-0.99969759999999996</v>
      </c>
      <c r="N1302">
        <v>0</v>
      </c>
      <c r="O1302">
        <v>2.2028519999999999E-2</v>
      </c>
      <c r="P1302">
        <v>-0.99757850000000003</v>
      </c>
      <c r="Q1302">
        <v>6.953964E-2</v>
      </c>
      <c r="R1302">
        <v>-1.2091319999999999E-3</v>
      </c>
      <c r="S1302">
        <v>-3.0201419999999999</v>
      </c>
      <c r="T1302">
        <v>-0.18417159999999999</v>
      </c>
      <c r="U1302">
        <v>-0.19326779999999999</v>
      </c>
      <c r="V1302">
        <v>-2.3336989999999998E-2</v>
      </c>
      <c r="W1302">
        <v>8.0393560000000003E-2</v>
      </c>
      <c r="X1302">
        <v>0.99648989999999904</v>
      </c>
      <c r="Y1302">
        <v>-8.5632459999999994E-2</v>
      </c>
      <c r="Z1302">
        <v>-3.9468439999999997E-3</v>
      </c>
      <c r="AA1302">
        <v>0.99631899999999995</v>
      </c>
      <c r="AB1302">
        <v>36</v>
      </c>
      <c r="AC1302">
        <v>-17.851900000000001</v>
      </c>
      <c r="AD1302">
        <v>-1.1108575171490001</v>
      </c>
      <c r="AE1302">
        <v>-1.1732</v>
      </c>
      <c r="AF1302">
        <v>-1.5601745160679801</v>
      </c>
      <c r="AG1302">
        <v>-1.1108575171490001</v>
      </c>
      <c r="AH1302">
        <v>17.7532751464679</v>
      </c>
      <c r="AI1302">
        <v>93.566731407471707</v>
      </c>
      <c r="AJ1302">
        <v>95.022304322726001</v>
      </c>
      <c r="AK1302">
        <v>17.856285374349</v>
      </c>
    </row>
    <row r="1303" spans="1:37" x14ac:dyDescent="0.2">
      <c r="A1303" t="str">
        <f>"20200111154051540"</f>
        <v>20200111154051540</v>
      </c>
      <c r="B1303" t="str">
        <f>"1578728451527985"</f>
        <v>1578728451527985</v>
      </c>
      <c r="C1303" t="s">
        <v>37</v>
      </c>
      <c r="D1303">
        <v>5.1719660000000003</v>
      </c>
      <c r="E1303">
        <v>0.47515069999999998</v>
      </c>
      <c r="F1303" t="s">
        <v>45</v>
      </c>
      <c r="G1303">
        <v>-296.49639999999999</v>
      </c>
      <c r="H1303" s="1">
        <v>3.529552E-6</v>
      </c>
      <c r="I1303">
        <v>282.65519999999998</v>
      </c>
      <c r="J1303">
        <v>-278.72840000000002</v>
      </c>
      <c r="K1303">
        <v>1.1108929999999999</v>
      </c>
      <c r="L1303">
        <v>283.85820000000001</v>
      </c>
      <c r="M1303">
        <v>-0.99972109999999903</v>
      </c>
      <c r="N1303">
        <v>0</v>
      </c>
      <c r="O1303">
        <v>2.1041109999999998E-2</v>
      </c>
      <c r="P1303">
        <v>-0.99756579999999995</v>
      </c>
      <c r="Q1303">
        <v>6.9663779999999995E-2</v>
      </c>
      <c r="R1303">
        <v>-3.0692179999999999E-3</v>
      </c>
      <c r="S1303">
        <v>-3.0199579999999999</v>
      </c>
      <c r="T1303">
        <v>-0.1853071</v>
      </c>
      <c r="U1303">
        <v>-0.19958499999999901</v>
      </c>
      <c r="V1303">
        <v>-2.4224269999999999E-2</v>
      </c>
      <c r="W1303">
        <v>8.0314170000000004E-2</v>
      </c>
      <c r="X1303">
        <v>0.99647520000000001</v>
      </c>
      <c r="Y1303">
        <v>-8.6724850000000006E-2</v>
      </c>
      <c r="Z1303">
        <v>-3.9440769999999998E-3</v>
      </c>
      <c r="AA1303">
        <v>0.99622449999999996</v>
      </c>
      <c r="AB1303">
        <v>36</v>
      </c>
      <c r="AC1303">
        <v>-17.767999999999901</v>
      </c>
      <c r="AD1303">
        <v>-1.1108894704479999</v>
      </c>
      <c r="AE1303">
        <v>-1.20300000000003</v>
      </c>
      <c r="AF1303">
        <v>-1.57050251327454</v>
      </c>
      <c r="AG1303">
        <v>-1.1108894704479999</v>
      </c>
      <c r="AH1303">
        <v>17.6699953473241</v>
      </c>
      <c r="AI1303">
        <v>93.583287725325903</v>
      </c>
      <c r="AJ1303">
        <v>95.079081087767506</v>
      </c>
      <c r="AK1303">
        <v>17.7743998248664</v>
      </c>
    </row>
    <row r="1304" spans="1:37" x14ac:dyDescent="0.2">
      <c r="A1304" t="str">
        <f>"20200111154051554"</f>
        <v>20200111154051554</v>
      </c>
      <c r="B1304" t="str">
        <f>"1578728451547505"</f>
        <v>1578728451547505</v>
      </c>
      <c r="C1304" t="s">
        <v>37</v>
      </c>
      <c r="D1304">
        <v>5.1839250000000003</v>
      </c>
      <c r="E1304">
        <v>0.475076199999999</v>
      </c>
      <c r="F1304" t="s">
        <v>45</v>
      </c>
      <c r="G1304">
        <v>-296.65269999999998</v>
      </c>
      <c r="H1304" s="1">
        <v>3.5584659999999998E-6</v>
      </c>
      <c r="I1304">
        <v>282.64159999999998</v>
      </c>
      <c r="J1304">
        <v>-278.94150000000002</v>
      </c>
      <c r="K1304">
        <v>1.110908</v>
      </c>
      <c r="L1304">
        <v>283.8621</v>
      </c>
      <c r="M1304">
        <v>-0.99973579999999995</v>
      </c>
      <c r="N1304">
        <v>0</v>
      </c>
      <c r="O1304">
        <v>2.039148E-2</v>
      </c>
      <c r="P1304">
        <v>-0.99754599999999904</v>
      </c>
      <c r="Q1304">
        <v>6.9863770000000006E-2</v>
      </c>
      <c r="R1304">
        <v>-4.5768129999999999E-3</v>
      </c>
      <c r="S1304">
        <v>-3.0197449999999999</v>
      </c>
      <c r="T1304">
        <v>-0.18715370000000001</v>
      </c>
      <c r="U1304">
        <v>-0.2049561</v>
      </c>
      <c r="V1304">
        <v>-2.5090330000000001E-2</v>
      </c>
      <c r="W1304">
        <v>8.0381190000000005E-2</v>
      </c>
      <c r="X1304">
        <v>0.99644829999999995</v>
      </c>
      <c r="Y1304">
        <v>-8.7841150000000007E-2</v>
      </c>
      <c r="Z1304">
        <v>-3.9776880000000001E-3</v>
      </c>
      <c r="AA1304">
        <v>0.99612649999999903</v>
      </c>
      <c r="AB1304">
        <v>36</v>
      </c>
      <c r="AC1304">
        <v>-17.711199999999899</v>
      </c>
      <c r="AD1304">
        <v>-1.1109044415339999</v>
      </c>
      <c r="AE1304">
        <v>-1.2205000000000099</v>
      </c>
      <c r="AF1304">
        <v>-1.57525600048203</v>
      </c>
      <c r="AG1304">
        <v>-1.1109044415339999</v>
      </c>
      <c r="AH1304">
        <v>17.613659427615701</v>
      </c>
      <c r="AI1304">
        <v>93.594591169577996</v>
      </c>
      <c r="AJ1304">
        <v>95.110581129564295</v>
      </c>
      <c r="AK1304">
        <v>17.718818769243899</v>
      </c>
    </row>
    <row r="1305" spans="1:37" x14ac:dyDescent="0.2">
      <c r="A1305" t="str">
        <f>"20200111154051568"</f>
        <v>20200111154051568</v>
      </c>
      <c r="B1305" t="str">
        <f>"1578728451557265"</f>
        <v>1578728451557265</v>
      </c>
      <c r="C1305" t="s">
        <v>37</v>
      </c>
      <c r="D1305">
        <v>5.2379319999999998</v>
      </c>
      <c r="E1305">
        <v>0.4750627</v>
      </c>
      <c r="F1305" t="s">
        <v>45</v>
      </c>
      <c r="G1305">
        <v>-296.72340000000003</v>
      </c>
      <c r="H1305" s="1">
        <v>3.5723079999999999E-6</v>
      </c>
      <c r="I1305">
        <v>282.6268</v>
      </c>
      <c r="J1305">
        <v>-279.17099999999999</v>
      </c>
      <c r="K1305">
        <v>1.110922</v>
      </c>
      <c r="L1305">
        <v>283.86619999999999</v>
      </c>
      <c r="M1305">
        <v>-0.99975159999999996</v>
      </c>
      <c r="N1305">
        <v>0</v>
      </c>
      <c r="O1305">
        <v>1.9680719999999999E-2</v>
      </c>
      <c r="P1305">
        <v>-0.99753269999999905</v>
      </c>
      <c r="Q1305">
        <v>6.996281E-2</v>
      </c>
      <c r="R1305">
        <v>-5.8074019999999997E-3</v>
      </c>
      <c r="S1305">
        <v>-3.0196529999999999</v>
      </c>
      <c r="T1305">
        <v>-0.18864879999999901</v>
      </c>
      <c r="U1305">
        <v>-0.20977779999999999</v>
      </c>
      <c r="V1305">
        <v>-2.5618309999999998E-2</v>
      </c>
      <c r="W1305">
        <v>8.0335100000000007E-2</v>
      </c>
      <c r="X1305">
        <v>0.99643859999999995</v>
      </c>
      <c r="Y1305">
        <v>-8.8714470000000004E-2</v>
      </c>
      <c r="Z1305">
        <v>-3.9922079999999997E-3</v>
      </c>
      <c r="AA1305">
        <v>0.99604910000000002</v>
      </c>
      <c r="AB1305">
        <v>36</v>
      </c>
      <c r="AC1305">
        <v>-17.552399999999999</v>
      </c>
      <c r="AD1305">
        <v>-1.1109184276919899</v>
      </c>
      <c r="AE1305">
        <v>-1.2393999999999801</v>
      </c>
      <c r="AF1305">
        <v>-1.5783315468949399</v>
      </c>
      <c r="AG1305">
        <v>-1.1109184276919899</v>
      </c>
      <c r="AH1305">
        <v>17.455031588070099</v>
      </c>
      <c r="AI1305">
        <v>93.626897691879506</v>
      </c>
      <c r="AJ1305">
        <v>95.166789483417901</v>
      </c>
      <c r="AK1305">
        <v>17.561417880269101</v>
      </c>
    </row>
    <row r="1306" spans="1:37" x14ac:dyDescent="0.2">
      <c r="A1306" t="str">
        <f>"20200111154051585"</f>
        <v>20200111154051585</v>
      </c>
      <c r="B1306" t="str">
        <f>"1578728451577760"</f>
        <v>1578728451577760</v>
      </c>
      <c r="C1306" t="s">
        <v>37</v>
      </c>
      <c r="D1306">
        <v>5.4501099999999996</v>
      </c>
      <c r="E1306">
        <v>0.49672640000000001</v>
      </c>
      <c r="F1306" t="s">
        <v>45</v>
      </c>
      <c r="G1306">
        <v>-296.8426</v>
      </c>
      <c r="H1306" s="1">
        <v>3.59423499999999E-6</v>
      </c>
      <c r="I1306">
        <v>282.61779999999999</v>
      </c>
      <c r="J1306">
        <v>-279.46600000000001</v>
      </c>
      <c r="K1306">
        <v>1.1109329999999999</v>
      </c>
      <c r="L1306">
        <v>283.87130000000002</v>
      </c>
      <c r="M1306">
        <v>-0.99977139999999998</v>
      </c>
      <c r="N1306">
        <v>0</v>
      </c>
      <c r="O1306">
        <v>1.874961E-2</v>
      </c>
      <c r="P1306">
        <v>-0.99751520000000005</v>
      </c>
      <c r="Q1306">
        <v>7.0035860000000005E-2</v>
      </c>
      <c r="R1306">
        <v>-7.6628249999999998E-3</v>
      </c>
      <c r="S1306">
        <v>-3.019501</v>
      </c>
      <c r="T1306">
        <v>-0.18981909999999999</v>
      </c>
      <c r="U1306">
        <v>-0.2133179</v>
      </c>
      <c r="V1306">
        <v>-2.6551249999999998E-2</v>
      </c>
      <c r="W1306">
        <v>8.0215320000000007E-2</v>
      </c>
      <c r="X1306">
        <v>0.99642389999999903</v>
      </c>
      <c r="Y1306">
        <v>-8.8951069999999993E-2</v>
      </c>
      <c r="Z1306">
        <v>-3.9659700000000001E-3</v>
      </c>
      <c r="AA1306">
        <v>0.99602809999999897</v>
      </c>
      <c r="AB1306">
        <v>36</v>
      </c>
      <c r="AC1306">
        <v>-17.3765999999999</v>
      </c>
      <c r="AD1306">
        <v>-1.1109294057649901</v>
      </c>
      <c r="AE1306">
        <v>-1.25350000000003</v>
      </c>
      <c r="AF1306">
        <v>-1.5727063562065799</v>
      </c>
      <c r="AG1306">
        <v>-1.1109294057649901</v>
      </c>
      <c r="AH1306">
        <v>17.279778069147</v>
      </c>
      <c r="AI1306">
        <v>93.663424072399195</v>
      </c>
      <c r="AJ1306">
        <v>95.200405672623106</v>
      </c>
      <c r="AK1306">
        <v>17.386727683679201</v>
      </c>
    </row>
    <row r="1307" spans="1:37" x14ac:dyDescent="0.2">
      <c r="A1307" t="str">
        <f>"20200111154051598"</f>
        <v>20200111154051598</v>
      </c>
      <c r="B1307" t="str">
        <f>"1578728451587522"</f>
        <v>1578728451587522</v>
      </c>
      <c r="C1307" t="s">
        <v>37</v>
      </c>
      <c r="D1307">
        <v>5.2819390000000004</v>
      </c>
      <c r="E1307">
        <v>0.50030479999999999</v>
      </c>
      <c r="F1307" t="s">
        <v>38</v>
      </c>
      <c r="G1307">
        <v>-280.46960000000001</v>
      </c>
      <c r="H1307">
        <v>1.026297</v>
      </c>
      <c r="I1307">
        <v>283.85640000000001</v>
      </c>
      <c r="J1307">
        <v>-279.67989999999998</v>
      </c>
      <c r="K1307">
        <v>1.110938</v>
      </c>
      <c r="L1307">
        <v>283.87479999999999</v>
      </c>
      <c r="M1307">
        <v>-0.99978549999999999</v>
      </c>
      <c r="N1307">
        <v>0</v>
      </c>
      <c r="O1307">
        <v>1.8065330000000001E-2</v>
      </c>
      <c r="P1307">
        <v>-0.99750699999999903</v>
      </c>
      <c r="Q1307">
        <v>7.0040980000000003E-2</v>
      </c>
      <c r="R1307">
        <v>-8.6334900000000006E-3</v>
      </c>
      <c r="S1307">
        <v>-3.0250240000000002</v>
      </c>
      <c r="T1307">
        <v>-0.25524940000000002</v>
      </c>
      <c r="U1307">
        <v>-4.5257569999999997E-2</v>
      </c>
      <c r="V1307">
        <v>-2.6843260000000001E-2</v>
      </c>
      <c r="W1307">
        <v>8.0085080000000003E-2</v>
      </c>
      <c r="X1307">
        <v>0.99642649999999999</v>
      </c>
      <c r="Y1307">
        <v>-3.2840300000000003E-2</v>
      </c>
      <c r="Z1307">
        <v>-2.9046039999999999E-3</v>
      </c>
      <c r="AA1307">
        <v>0.99945640000000002</v>
      </c>
      <c r="AB1307">
        <v>36</v>
      </c>
      <c r="AC1307">
        <v>-0.78970000000003804</v>
      </c>
      <c r="AD1307">
        <v>-8.4640999999999897E-2</v>
      </c>
      <c r="AE1307">
        <v>-1.8399999999985501E-2</v>
      </c>
      <c r="AF1307">
        <v>-3.2293143715098498E-2</v>
      </c>
      <c r="AG1307">
        <v>-8.4640999999999897E-2</v>
      </c>
      <c r="AH1307">
        <v>0.78027985133153599</v>
      </c>
      <c r="AI1307">
        <v>96.185708945480499</v>
      </c>
      <c r="AJ1307">
        <v>92.369926015081404</v>
      </c>
      <c r="AK1307">
        <v>0.78552122339626695</v>
      </c>
    </row>
    <row r="1308" spans="1:37" x14ac:dyDescent="0.2">
      <c r="A1308" t="str">
        <f>"20200111154051619"</f>
        <v>20200111154051619</v>
      </c>
      <c r="B1308" t="str">
        <f>"1578728451608020"</f>
        <v>1578728451608020</v>
      </c>
      <c r="C1308" t="s">
        <v>37</v>
      </c>
      <c r="D1308">
        <v>5.2019739999999999</v>
      </c>
      <c r="E1308">
        <v>0.50287780000000004</v>
      </c>
      <c r="F1308" t="s">
        <v>45</v>
      </c>
      <c r="G1308">
        <v>-292.12349999999998</v>
      </c>
      <c r="H1308" s="1">
        <v>2.6542719999999998E-6</v>
      </c>
      <c r="I1308">
        <v>283.7944</v>
      </c>
      <c r="J1308">
        <v>-280.01159999999999</v>
      </c>
      <c r="K1308">
        <v>1.1109469999999999</v>
      </c>
      <c r="L1308">
        <v>283.87990000000002</v>
      </c>
      <c r="M1308">
        <v>-0.99980619999999998</v>
      </c>
      <c r="N1308">
        <v>0</v>
      </c>
      <c r="O1308">
        <v>1.699765E-2</v>
      </c>
      <c r="P1308">
        <v>-0.99747030000000003</v>
      </c>
      <c r="Q1308">
        <v>7.0404149999999999E-2</v>
      </c>
      <c r="R1308">
        <v>-9.8232110000000001E-3</v>
      </c>
      <c r="S1308">
        <v>-3.0263059999999999</v>
      </c>
      <c r="T1308">
        <v>-0.27018209999999998</v>
      </c>
      <c r="U1308">
        <v>-1.953125E-2</v>
      </c>
      <c r="V1308">
        <v>-2.6973569999999999E-2</v>
      </c>
      <c r="W1308">
        <v>8.0251439999999993E-2</v>
      </c>
      <c r="X1308">
        <v>0.99640960000000001</v>
      </c>
      <c r="Y1308">
        <v>-2.3290660000000001E-2</v>
      </c>
      <c r="Z1308">
        <v>-2.552122E-3</v>
      </c>
      <c r="AA1308">
        <v>0.99972549999999905</v>
      </c>
      <c r="AB1308">
        <v>36</v>
      </c>
      <c r="AC1308">
        <v>-12.111899999999901</v>
      </c>
      <c r="AD1308">
        <v>-1.1109443457279999</v>
      </c>
      <c r="AE1308">
        <v>-8.5500000000024501E-2</v>
      </c>
      <c r="AF1308">
        <v>-0.28894084875583498</v>
      </c>
      <c r="AG1308">
        <v>-1.1109443457279999</v>
      </c>
      <c r="AH1308">
        <v>12.0076789438156</v>
      </c>
      <c r="AI1308">
        <v>95.2844073513361</v>
      </c>
      <c r="AJ1308">
        <v>91.378442666666004</v>
      </c>
      <c r="AK1308">
        <v>12.0624225498503</v>
      </c>
    </row>
    <row r="1309" spans="1:37" x14ac:dyDescent="0.2">
      <c r="A1309" t="str">
        <f>"20200111154051641"</f>
        <v>20200111154051641</v>
      </c>
      <c r="B1309" t="str">
        <f>"1578728451637297"</f>
        <v>1578728451637297</v>
      </c>
      <c r="C1309" t="s">
        <v>37</v>
      </c>
      <c r="D1309">
        <v>5.5014320000000003</v>
      </c>
      <c r="E1309">
        <v>0.50329749999999995</v>
      </c>
      <c r="F1309" t="s">
        <v>38</v>
      </c>
      <c r="G1309">
        <v>-280.79570000000001</v>
      </c>
      <c r="H1309">
        <v>1.03494</v>
      </c>
      <c r="I1309">
        <v>283.87909999999999</v>
      </c>
      <c r="J1309">
        <v>-280.35169999999999</v>
      </c>
      <c r="K1309">
        <v>1.1109500000000001</v>
      </c>
      <c r="L1309">
        <v>283.88470000000001</v>
      </c>
      <c r="M1309">
        <v>-0.99982629999999995</v>
      </c>
      <c r="N1309">
        <v>0</v>
      </c>
      <c r="O1309">
        <v>1.589672E-2</v>
      </c>
      <c r="P1309">
        <v>-0.99744179999999905</v>
      </c>
      <c r="Q1309">
        <v>7.0656070000000001E-2</v>
      </c>
      <c r="R1309">
        <v>-1.08638E-2</v>
      </c>
      <c r="S1309">
        <v>-3.0283199999999999</v>
      </c>
      <c r="T1309">
        <v>-0.29347889999999999</v>
      </c>
      <c r="U1309">
        <v>-2.5634770000000002E-3</v>
      </c>
      <c r="V1309">
        <v>-2.6920699999999999E-2</v>
      </c>
      <c r="W1309">
        <v>8.0309899999999906E-2</v>
      </c>
      <c r="X1309">
        <v>0.99640629999999997</v>
      </c>
      <c r="Y1309">
        <v>-1.6591649999999999E-2</v>
      </c>
      <c r="Z1309">
        <v>-2.3390820000000001E-3</v>
      </c>
      <c r="AA1309">
        <v>0.99985959999999996</v>
      </c>
      <c r="AB1309">
        <v>36</v>
      </c>
      <c r="AC1309">
        <v>-0.44400000000001599</v>
      </c>
      <c r="AD1309">
        <v>-7.6010000000000105E-2</v>
      </c>
      <c r="AE1309">
        <v>-5.6000000000153696E-3</v>
      </c>
      <c r="AF1309">
        <v>-1.22974233762537E-2</v>
      </c>
      <c r="AG1309">
        <v>-7.6010000000000105E-2</v>
      </c>
      <c r="AH1309">
        <v>0.431219017889302</v>
      </c>
      <c r="AI1309">
        <v>99.992727235646299</v>
      </c>
      <c r="AJ1309">
        <v>91.633507604864803</v>
      </c>
      <c r="AK1309">
        <v>0.43803948236558499</v>
      </c>
    </row>
    <row r="1310" spans="1:37" x14ac:dyDescent="0.2">
      <c r="A1310" t="str">
        <f>"20200111154051663"</f>
        <v>20200111154051663</v>
      </c>
      <c r="B1310" t="str">
        <f>"1578728451657794"</f>
        <v>1578728451657794</v>
      </c>
      <c r="C1310" t="s">
        <v>37</v>
      </c>
      <c r="D1310">
        <v>5.2158309999999997</v>
      </c>
      <c r="E1310">
        <v>0.50299439999999995</v>
      </c>
      <c r="F1310" t="s">
        <v>38</v>
      </c>
      <c r="G1310">
        <v>-281.11750000000001</v>
      </c>
      <c r="H1310">
        <v>1.0324930000000001</v>
      </c>
      <c r="I1310">
        <v>283.88440000000003</v>
      </c>
      <c r="J1310">
        <v>-280.72199999999998</v>
      </c>
      <c r="K1310">
        <v>1.110949</v>
      </c>
      <c r="L1310">
        <v>283.88959999999997</v>
      </c>
      <c r="M1310">
        <v>-0.99984649999999997</v>
      </c>
      <c r="N1310">
        <v>0</v>
      </c>
      <c r="O1310">
        <v>1.4696890000000001E-2</v>
      </c>
      <c r="P1310">
        <v>-0.99743839999999995</v>
      </c>
      <c r="Q1310">
        <v>7.0535039999999993E-2</v>
      </c>
      <c r="R1310">
        <v>-1.19040999999999E-2</v>
      </c>
      <c r="S1310">
        <v>-3.0297239999999999</v>
      </c>
      <c r="T1310">
        <v>-0.31067139999999999</v>
      </c>
      <c r="U1310">
        <v>-2.2277829999999901E-3</v>
      </c>
      <c r="V1310">
        <v>-2.6767470000000002E-2</v>
      </c>
      <c r="W1310">
        <v>7.9982880000000006E-2</v>
      </c>
      <c r="X1310">
        <v>0.99643680000000001</v>
      </c>
      <c r="Y1310">
        <v>-1.527562E-2</v>
      </c>
      <c r="Z1310">
        <v>-2.284267E-3</v>
      </c>
      <c r="AA1310">
        <v>0.99988069999999896</v>
      </c>
      <c r="AB1310">
        <v>36</v>
      </c>
      <c r="AC1310">
        <v>-0.395500000000026</v>
      </c>
      <c r="AD1310">
        <v>-7.8455999999999804E-2</v>
      </c>
      <c r="AE1310">
        <v>-5.1999999999452397E-3</v>
      </c>
      <c r="AF1310">
        <v>-1.0595449829914901E-2</v>
      </c>
      <c r="AG1310">
        <v>-7.8455999999999804E-2</v>
      </c>
      <c r="AH1310">
        <v>0.38041365898296797</v>
      </c>
      <c r="AI1310">
        <v>101.64882295808</v>
      </c>
      <c r="AJ1310">
        <v>91.595414977593506</v>
      </c>
      <c r="AK1310">
        <v>0.38856422819645597</v>
      </c>
    </row>
    <row r="1311" spans="1:37" x14ac:dyDescent="0.2">
      <c r="A1311" t="str">
        <f>"20200111154051677"</f>
        <v>20200111154051677</v>
      </c>
      <c r="B1311" t="str">
        <f>"1578728451667553"</f>
        <v>1578728451667553</v>
      </c>
      <c r="C1311" t="s">
        <v>37</v>
      </c>
      <c r="D1311">
        <v>5.2402230000000003</v>
      </c>
      <c r="E1311">
        <v>0.50291920000000001</v>
      </c>
      <c r="F1311" t="s">
        <v>38</v>
      </c>
      <c r="G1311">
        <v>-281.75409999999999</v>
      </c>
      <c r="H1311">
        <v>1.0056929999999999</v>
      </c>
      <c r="I1311">
        <v>283.887</v>
      </c>
      <c r="J1311">
        <v>-280.95209999999997</v>
      </c>
      <c r="K1311">
        <v>1.110946</v>
      </c>
      <c r="L1311">
        <v>283.89240000000001</v>
      </c>
      <c r="M1311">
        <v>-0.99985829999999998</v>
      </c>
      <c r="N1311">
        <v>0</v>
      </c>
      <c r="O1311">
        <v>1.3952289999999999E-2</v>
      </c>
      <c r="P1311">
        <v>-0.99743809999999999</v>
      </c>
      <c r="Q1311">
        <v>7.0451269999999996E-2</v>
      </c>
      <c r="R1311">
        <v>-1.241652E-2</v>
      </c>
      <c r="S1311">
        <v>-3.0294490000000001</v>
      </c>
      <c r="T1311">
        <v>-0.30897859999999899</v>
      </c>
      <c r="U1311">
        <v>-7.9345700000000002E-3</v>
      </c>
      <c r="V1311">
        <v>-2.6539360000000001E-2</v>
      </c>
      <c r="W1311">
        <v>7.9778020000000005E-2</v>
      </c>
      <c r="X1311">
        <v>0.99645930000000005</v>
      </c>
      <c r="Y1311">
        <v>-1.641422E-2</v>
      </c>
      <c r="Z1311">
        <v>-2.2542579999999999E-3</v>
      </c>
      <c r="AA1311">
        <v>0.99986269999999999</v>
      </c>
      <c r="AB1311">
        <v>36</v>
      </c>
      <c r="AC1311">
        <v>-0.80200000000002003</v>
      </c>
      <c r="AD1311">
        <v>-0.105253</v>
      </c>
      <c r="AE1311">
        <v>-5.4000000000087303E-3</v>
      </c>
      <c r="AF1311">
        <v>-1.6308825719003901E-2</v>
      </c>
      <c r="AG1311">
        <v>-0.105253</v>
      </c>
      <c r="AH1311">
        <v>0.78827045845128796</v>
      </c>
      <c r="AI1311">
        <v>97.603766734345896</v>
      </c>
      <c r="AJ1311">
        <v>91.185244961890206</v>
      </c>
      <c r="AK1311">
        <v>0.79543352171777204</v>
      </c>
    </row>
    <row r="1312" spans="1:37" x14ac:dyDescent="0.2">
      <c r="A1312" t="str">
        <f>"20200111154051690"</f>
        <v>20200111154051690</v>
      </c>
      <c r="B1312" t="str">
        <f>"1578728451677313"</f>
        <v>1578728451677313</v>
      </c>
      <c r="C1312" t="s">
        <v>37</v>
      </c>
      <c r="D1312">
        <v>5.2652890000000001</v>
      </c>
      <c r="E1312">
        <v>0.50290919999999995</v>
      </c>
      <c r="F1312" t="s">
        <v>38</v>
      </c>
      <c r="G1312">
        <v>-281.76479999999998</v>
      </c>
      <c r="H1312">
        <v>1.028184</v>
      </c>
      <c r="I1312">
        <v>283.8897</v>
      </c>
      <c r="J1312">
        <v>-281.15559999999999</v>
      </c>
      <c r="K1312">
        <v>1.1109439999999999</v>
      </c>
      <c r="L1312">
        <v>283.8947</v>
      </c>
      <c r="M1312">
        <v>-0.99986830000000004</v>
      </c>
      <c r="N1312">
        <v>0</v>
      </c>
      <c r="O1312">
        <v>1.329463E-2</v>
      </c>
      <c r="P1312">
        <v>-0.99744120000000003</v>
      </c>
      <c r="Q1312">
        <v>7.0322830000000003E-2</v>
      </c>
      <c r="R1312">
        <v>-1.290037E-2</v>
      </c>
      <c r="S1312">
        <v>-3.0292970000000001</v>
      </c>
      <c r="T1312">
        <v>-0.30852009999999902</v>
      </c>
      <c r="U1312">
        <v>-1.037598E-2</v>
      </c>
      <c r="V1312">
        <v>-2.6368320000000001E-2</v>
      </c>
      <c r="W1312">
        <v>7.9547980000000004E-2</v>
      </c>
      <c r="X1312">
        <v>0.99648230000000004</v>
      </c>
      <c r="Y1312">
        <v>-1.6565549999999998E-2</v>
      </c>
      <c r="Z1312">
        <v>-2.1919209999999999E-3</v>
      </c>
      <c r="AA1312">
        <v>0.99986039999999998</v>
      </c>
      <c r="AB1312">
        <v>36</v>
      </c>
      <c r="AC1312">
        <v>-0.60919999999998697</v>
      </c>
      <c r="AD1312">
        <v>-8.2760000000000097E-2</v>
      </c>
      <c r="AE1312">
        <v>-4.9999999999954499E-3</v>
      </c>
      <c r="AF1312">
        <v>-1.2861647909310801E-2</v>
      </c>
      <c r="AG1312">
        <v>-8.2760000000000097E-2</v>
      </c>
      <c r="AH1312">
        <v>0.59804335203433301</v>
      </c>
      <c r="AI1312">
        <v>97.877016335488605</v>
      </c>
      <c r="AJ1312">
        <v>91.232025336218598</v>
      </c>
      <c r="AK1312">
        <v>0.60387953310192899</v>
      </c>
    </row>
    <row r="1313" spans="1:37" x14ac:dyDescent="0.2">
      <c r="A1313" t="str">
        <f>"20200111154051709"</f>
        <v>20200111154051709</v>
      </c>
      <c r="B1313" t="str">
        <f>"1578728451697812"</f>
        <v>1578728451697812</v>
      </c>
      <c r="C1313" t="s">
        <v>37</v>
      </c>
      <c r="D1313">
        <v>5.2827390000000003</v>
      </c>
      <c r="E1313">
        <v>0.50304110000000002</v>
      </c>
      <c r="F1313" t="s">
        <v>38</v>
      </c>
      <c r="G1313">
        <v>-282.0847</v>
      </c>
      <c r="H1313">
        <v>1.0150330000000001</v>
      </c>
      <c r="I1313">
        <v>283.8913</v>
      </c>
      <c r="J1313">
        <v>-281.47140000000002</v>
      </c>
      <c r="K1313">
        <v>1.1109370000000001</v>
      </c>
      <c r="L1313">
        <v>283.8981</v>
      </c>
      <c r="M1313">
        <v>-0.99988259999999995</v>
      </c>
      <c r="N1313">
        <v>0</v>
      </c>
      <c r="O1313">
        <v>1.227577E-2</v>
      </c>
      <c r="P1313">
        <v>-0.9974769</v>
      </c>
      <c r="Q1313">
        <v>6.9743100000000002E-2</v>
      </c>
      <c r="R1313">
        <v>-1.3263250000000001E-2</v>
      </c>
      <c r="S1313">
        <v>-3.0296020000000001</v>
      </c>
      <c r="T1313">
        <v>-0.31292709999999901</v>
      </c>
      <c r="U1313">
        <v>-1.190186E-2</v>
      </c>
      <c r="V1313">
        <v>-2.5715990000000001E-2</v>
      </c>
      <c r="W1313">
        <v>7.8818810000000003E-2</v>
      </c>
      <c r="X1313">
        <v>0.99655720000000003</v>
      </c>
      <c r="Y1313">
        <v>-1.6053669999999999E-2</v>
      </c>
      <c r="Z1313">
        <v>-2.0915179999999901E-3</v>
      </c>
      <c r="AA1313">
        <v>0.99986889999999995</v>
      </c>
      <c r="AB1313">
        <v>36</v>
      </c>
      <c r="AC1313">
        <v>-0.61329999999998097</v>
      </c>
      <c r="AD1313">
        <v>-9.5904000000000003E-2</v>
      </c>
      <c r="AE1313">
        <v>-6.7999999999983603E-3</v>
      </c>
      <c r="AF1313">
        <v>-1.3986566077997999E-2</v>
      </c>
      <c r="AG1313">
        <v>-9.5904000000000003E-2</v>
      </c>
      <c r="AH1313">
        <v>0.59853625335929805</v>
      </c>
      <c r="AI1313">
        <v>99.100732743238495</v>
      </c>
      <c r="AJ1313">
        <v>91.338641366384707</v>
      </c>
      <c r="AK1313">
        <v>0.60633229159598601</v>
      </c>
    </row>
    <row r="1314" spans="1:37" x14ac:dyDescent="0.2">
      <c r="A1314" t="str">
        <f>"20200111154051725"</f>
        <v>20200111154051725</v>
      </c>
      <c r="B1314" t="str">
        <f>"1578728451717329"</f>
        <v>1578728451717329</v>
      </c>
      <c r="C1314" t="s">
        <v>37</v>
      </c>
      <c r="D1314">
        <v>5.2994089999999998</v>
      </c>
      <c r="E1314">
        <v>0.50314749999999997</v>
      </c>
      <c r="F1314" t="s">
        <v>38</v>
      </c>
      <c r="G1314">
        <v>-282.41000000000003</v>
      </c>
      <c r="H1314">
        <v>1.0117</v>
      </c>
      <c r="I1314">
        <v>283.89479999999998</v>
      </c>
      <c r="J1314">
        <v>-281.72930000000002</v>
      </c>
      <c r="K1314">
        <v>1.1109290000000001</v>
      </c>
      <c r="L1314">
        <v>283.9006</v>
      </c>
      <c r="M1314">
        <v>-0.99989349999999999</v>
      </c>
      <c r="N1314">
        <v>0</v>
      </c>
      <c r="O1314">
        <v>1.144501E-2</v>
      </c>
      <c r="P1314">
        <v>-0.99750190000000005</v>
      </c>
      <c r="Q1314">
        <v>6.9305140000000001E-2</v>
      </c>
      <c r="R1314">
        <v>-1.3668029999999999E-2</v>
      </c>
      <c r="S1314">
        <v>-3.029846</v>
      </c>
      <c r="T1314">
        <v>-0.32052720000000001</v>
      </c>
      <c r="U1314">
        <v>-1.153564E-2</v>
      </c>
      <c r="V1314">
        <v>-2.529323E-2</v>
      </c>
      <c r="W1314">
        <v>7.8258830000000001E-2</v>
      </c>
      <c r="X1314">
        <v>0.99661219999999995</v>
      </c>
      <c r="Y1314">
        <v>-1.5104299999999999E-2</v>
      </c>
      <c r="Z1314">
        <v>-2.0041460000000001E-3</v>
      </c>
      <c r="AA1314">
        <v>0.99988390000000005</v>
      </c>
      <c r="AB1314">
        <v>37</v>
      </c>
      <c r="AC1314">
        <v>-0.68070000000000097</v>
      </c>
      <c r="AD1314">
        <v>-9.9228999999999998E-2</v>
      </c>
      <c r="AE1314">
        <v>-5.8000000000220098E-3</v>
      </c>
      <c r="AF1314">
        <v>-1.33077835398269E-2</v>
      </c>
      <c r="AG1314">
        <v>-9.9228999999999998E-2</v>
      </c>
      <c r="AH1314">
        <v>0.66642823579789201</v>
      </c>
      <c r="AI1314">
        <v>98.467271622165597</v>
      </c>
      <c r="AJ1314">
        <v>91.143976901919302</v>
      </c>
      <c r="AK1314">
        <v>0.673906584781922</v>
      </c>
    </row>
    <row r="1315" spans="1:37" x14ac:dyDescent="0.2">
      <c r="A1315" t="str">
        <f>"20200111154051740"</f>
        <v>20200111154051740</v>
      </c>
      <c r="B1315" t="str">
        <f>"1578728451737826"</f>
        <v>1578728451737826</v>
      </c>
      <c r="C1315" t="s">
        <v>37</v>
      </c>
      <c r="D1315">
        <v>5.3264370000000003</v>
      </c>
      <c r="E1315">
        <v>0.50315100000000001</v>
      </c>
      <c r="F1315" t="s">
        <v>38</v>
      </c>
      <c r="G1315">
        <v>-282.73360000000002</v>
      </c>
      <c r="H1315">
        <v>1.003082</v>
      </c>
      <c r="I1315">
        <v>283.89659999999998</v>
      </c>
      <c r="J1315">
        <v>-281.99329999999998</v>
      </c>
      <c r="K1315">
        <v>1.1109229999999899</v>
      </c>
      <c r="L1315">
        <v>283.90300000000002</v>
      </c>
      <c r="M1315">
        <v>-0.99990389999999996</v>
      </c>
      <c r="N1315">
        <v>0</v>
      </c>
      <c r="O1315">
        <v>1.0595749999999999E-2</v>
      </c>
      <c r="P1315">
        <v>-0.99755749999999999</v>
      </c>
      <c r="Q1315">
        <v>6.8561319999999995E-2</v>
      </c>
      <c r="R1315">
        <v>-1.3361899999999999E-2</v>
      </c>
      <c r="S1315">
        <v>-3.0299680000000002</v>
      </c>
      <c r="T1315">
        <v>-0.3253317</v>
      </c>
      <c r="U1315">
        <v>-1.1932369999999999E-2</v>
      </c>
      <c r="V1315">
        <v>-2.4139569999999999E-2</v>
      </c>
      <c r="W1315">
        <v>7.7400269999999993E-2</v>
      </c>
      <c r="X1315">
        <v>0.99670780000000003</v>
      </c>
      <c r="Y1315">
        <v>-1.439035E-2</v>
      </c>
      <c r="Z1315">
        <v>-1.90479E-3</v>
      </c>
      <c r="AA1315">
        <v>0.99989459999999997</v>
      </c>
      <c r="AB1315">
        <v>37</v>
      </c>
      <c r="AC1315">
        <v>-0.74030000000004703</v>
      </c>
      <c r="AD1315">
        <v>-0.10784099999999899</v>
      </c>
      <c r="AE1315">
        <v>-6.4000000000419199E-3</v>
      </c>
      <c r="AF1315">
        <v>-1.39480281289534E-2</v>
      </c>
      <c r="AG1315">
        <v>-0.10784099999999899</v>
      </c>
      <c r="AH1315">
        <v>0.72481103695072702</v>
      </c>
      <c r="AI1315">
        <v>98.461126374469302</v>
      </c>
      <c r="AJ1315">
        <v>91.102445295469806</v>
      </c>
      <c r="AK1315">
        <v>0.73292241612279396</v>
      </c>
    </row>
    <row r="1316" spans="1:37" x14ac:dyDescent="0.2">
      <c r="A1316" t="str">
        <f>"20200111154051765"</f>
        <v>20200111154051765</v>
      </c>
      <c r="B1316" t="str">
        <f>"1578728451757346"</f>
        <v>1578728451757346</v>
      </c>
      <c r="C1316" t="s">
        <v>37</v>
      </c>
      <c r="D1316">
        <v>5.3119489999999896</v>
      </c>
      <c r="E1316">
        <v>0.50318750000000001</v>
      </c>
      <c r="F1316" t="s">
        <v>38</v>
      </c>
      <c r="G1316">
        <v>-282.74590000000001</v>
      </c>
      <c r="H1316">
        <v>1.0291429999999999</v>
      </c>
      <c r="I1316">
        <v>283.90019999999998</v>
      </c>
      <c r="J1316">
        <v>-282.37810000000002</v>
      </c>
      <c r="K1316">
        <v>1.110914</v>
      </c>
      <c r="L1316">
        <v>283.90600000000001</v>
      </c>
      <c r="M1316">
        <v>-0.99991770000000002</v>
      </c>
      <c r="N1316">
        <v>0</v>
      </c>
      <c r="O1316">
        <v>9.3598199999999996E-3</v>
      </c>
      <c r="P1316">
        <v>-0.99754200000000004</v>
      </c>
      <c r="Q1316">
        <v>6.8941760000000005E-2</v>
      </c>
      <c r="R1316">
        <v>-1.252996E-2</v>
      </c>
      <c r="S1316">
        <v>-3.0298159999999998</v>
      </c>
      <c r="T1316">
        <v>-0.32917390000000002</v>
      </c>
      <c r="U1316">
        <v>-1.089478E-2</v>
      </c>
      <c r="V1316">
        <v>-2.2077900000000001E-2</v>
      </c>
      <c r="W1316">
        <v>7.7626089999999995E-2</v>
      </c>
      <c r="X1316">
        <v>0.99673809999999996</v>
      </c>
      <c r="Y1316">
        <v>-1.282524E-2</v>
      </c>
      <c r="Z1316">
        <v>-1.7085939999999999E-3</v>
      </c>
      <c r="AA1316">
        <v>0.99991629999999998</v>
      </c>
      <c r="AB1316">
        <v>37</v>
      </c>
      <c r="AC1316">
        <v>-0.36779999999998803</v>
      </c>
      <c r="AD1316">
        <v>-8.1770999999999996E-2</v>
      </c>
      <c r="AE1316">
        <v>-5.8000000000220098E-3</v>
      </c>
      <c r="AF1316">
        <v>-8.8072038562631797E-3</v>
      </c>
      <c r="AG1316">
        <v>-8.1770999999999996E-2</v>
      </c>
      <c r="AH1316">
        <v>0.35041357739101398</v>
      </c>
      <c r="AI1316">
        <v>103.13123365193</v>
      </c>
      <c r="AJ1316">
        <v>91.439754127780304</v>
      </c>
      <c r="AK1316">
        <v>0.35993574218287</v>
      </c>
    </row>
    <row r="1317" spans="1:37" x14ac:dyDescent="0.2">
      <c r="A1317" t="str">
        <f>"20200111154051777"</f>
        <v>20200111154051777</v>
      </c>
      <c r="B1317" t="str">
        <f>"1578728451768081"</f>
        <v>1578728451768081</v>
      </c>
      <c r="C1317" t="s">
        <v>37</v>
      </c>
      <c r="D1317">
        <v>5.3642799999999999</v>
      </c>
      <c r="E1317">
        <v>0.50311919999999999</v>
      </c>
      <c r="F1317" t="s">
        <v>38</v>
      </c>
      <c r="G1317">
        <v>-283.3897</v>
      </c>
      <c r="H1317">
        <v>1.000794</v>
      </c>
      <c r="I1317">
        <v>283.90320000000003</v>
      </c>
      <c r="J1317">
        <v>-282.6053</v>
      </c>
      <c r="K1317">
        <v>1.1109089999999999</v>
      </c>
      <c r="L1317">
        <v>283.9076</v>
      </c>
      <c r="M1317">
        <v>-0.99992510000000001</v>
      </c>
      <c r="N1317">
        <v>0</v>
      </c>
      <c r="O1317">
        <v>8.6317140000000004E-3</v>
      </c>
      <c r="P1317">
        <v>-0.99755049999999901</v>
      </c>
      <c r="Q1317">
        <v>6.8888370000000004E-2</v>
      </c>
      <c r="R1317">
        <v>-1.214519E-2</v>
      </c>
      <c r="S1317">
        <v>-3.03009</v>
      </c>
      <c r="T1317">
        <v>-0.32995930000000001</v>
      </c>
      <c r="U1317">
        <v>-8.7890629999999997E-3</v>
      </c>
      <c r="V1317">
        <v>-2.0967369999999999E-2</v>
      </c>
      <c r="W1317">
        <v>7.7489169999999996E-2</v>
      </c>
      <c r="X1317">
        <v>0.99677269999999896</v>
      </c>
      <c r="Y1317">
        <v>-1.1413980000000001E-2</v>
      </c>
      <c r="Z1317">
        <v>-1.5568260000000001E-3</v>
      </c>
      <c r="AA1317">
        <v>0.99993369999999904</v>
      </c>
      <c r="AB1317">
        <v>37</v>
      </c>
      <c r="AC1317">
        <v>-0.78440000000000498</v>
      </c>
      <c r="AD1317">
        <v>-0.11011499999999901</v>
      </c>
      <c r="AE1317">
        <v>-4.3999999999755303E-3</v>
      </c>
      <c r="AF1317">
        <v>-1.09549268248843E-2</v>
      </c>
      <c r="AG1317">
        <v>-0.11011499999999901</v>
      </c>
      <c r="AH1317">
        <v>0.76917523045577896</v>
      </c>
      <c r="AI1317">
        <v>98.146282732063</v>
      </c>
      <c r="AJ1317">
        <v>90.815976141555595</v>
      </c>
      <c r="AK1317">
        <v>0.77709449798170604</v>
      </c>
    </row>
    <row r="1318" spans="1:37" x14ac:dyDescent="0.2">
      <c r="A1318" t="str">
        <f>"20200111154051799"</f>
        <v>20200111154051799</v>
      </c>
      <c r="B1318" t="str">
        <f>"1578728451787601"</f>
        <v>1578728451787601</v>
      </c>
      <c r="C1318" t="s">
        <v>37</v>
      </c>
      <c r="D1318">
        <v>5.5594289999999997</v>
      </c>
      <c r="E1318">
        <v>0.53698069999999998</v>
      </c>
      <c r="F1318" t="s">
        <v>38</v>
      </c>
      <c r="G1318">
        <v>-283.40069999999997</v>
      </c>
      <c r="H1318">
        <v>1.0238350000000001</v>
      </c>
      <c r="I1318">
        <v>283.90550000000002</v>
      </c>
      <c r="J1318">
        <v>-282.94110000000001</v>
      </c>
      <c r="K1318">
        <v>1.110897</v>
      </c>
      <c r="L1318">
        <v>283.90949999999998</v>
      </c>
      <c r="M1318">
        <v>-0.99993489999999996</v>
      </c>
      <c r="N1318">
        <v>0</v>
      </c>
      <c r="O1318">
        <v>7.5581229999999999E-3</v>
      </c>
      <c r="P1318">
        <v>-0.99762299999999904</v>
      </c>
      <c r="Q1318">
        <v>6.7882109999999996E-2</v>
      </c>
      <c r="R1318">
        <v>-1.184552E-2</v>
      </c>
      <c r="S1318">
        <v>-3.030151</v>
      </c>
      <c r="T1318">
        <v>-0.33191520000000002</v>
      </c>
      <c r="U1318">
        <v>-8.3007810000000001E-3</v>
      </c>
      <c r="V1318">
        <v>-1.9595439999999999E-2</v>
      </c>
      <c r="W1318">
        <v>7.6369549999999994E-2</v>
      </c>
      <c r="X1318">
        <v>0.99688699999999997</v>
      </c>
      <c r="Y1318">
        <v>-1.0191510000000001E-2</v>
      </c>
      <c r="Z1318">
        <v>-1.381965E-3</v>
      </c>
      <c r="AA1318">
        <v>0.99994709999999998</v>
      </c>
      <c r="AB1318">
        <v>37</v>
      </c>
      <c r="AC1318">
        <v>-0.45959999999996598</v>
      </c>
      <c r="AD1318">
        <v>-8.7061999999999903E-2</v>
      </c>
      <c r="AE1318">
        <v>-3.9999999999622499E-3</v>
      </c>
      <c r="AF1318">
        <v>-7.2148500705682796E-3</v>
      </c>
      <c r="AG1318">
        <v>-8.7061999999999903E-2</v>
      </c>
      <c r="AH1318">
        <v>0.44363845363408599</v>
      </c>
      <c r="AI1318">
        <v>101.10150290706601</v>
      </c>
      <c r="AJ1318">
        <v>90.931713690171094</v>
      </c>
      <c r="AK1318">
        <v>0.45215807351896697</v>
      </c>
    </row>
    <row r="1319" spans="1:37" x14ac:dyDescent="0.2">
      <c r="A1319" t="str">
        <f>"20200111154051820"</f>
        <v>20200111154051820</v>
      </c>
      <c r="B1319" t="str">
        <f>"1578728451817858"</f>
        <v>1578728451817858</v>
      </c>
      <c r="C1319" t="s">
        <v>37</v>
      </c>
      <c r="D1319">
        <v>5.3287589999999998</v>
      </c>
      <c r="E1319">
        <v>0.55736160000000001</v>
      </c>
      <c r="F1319" t="s">
        <v>38</v>
      </c>
      <c r="G1319">
        <v>-283.709</v>
      </c>
      <c r="H1319">
        <v>0.98294169999999903</v>
      </c>
      <c r="I1319">
        <v>283.97629999999998</v>
      </c>
      <c r="J1319">
        <v>-283.29700000000003</v>
      </c>
      <c r="K1319">
        <v>1.110878</v>
      </c>
      <c r="L1319">
        <v>283.91129999999998</v>
      </c>
      <c r="M1319">
        <v>-0.99994359999999904</v>
      </c>
      <c r="N1319">
        <v>0</v>
      </c>
      <c r="O1319">
        <v>6.4358949999999996E-3</v>
      </c>
      <c r="P1319">
        <v>-0.997706599999999</v>
      </c>
      <c r="Q1319">
        <v>6.6416039999999996E-2</v>
      </c>
      <c r="R1319">
        <v>-1.305948E-2</v>
      </c>
      <c r="S1319">
        <v>-3.0448300000000001</v>
      </c>
      <c r="T1319">
        <v>-0.50757629999999998</v>
      </c>
      <c r="U1319">
        <v>0.2643433</v>
      </c>
      <c r="V1319">
        <v>-1.9686220000000001E-2</v>
      </c>
      <c r="W1319">
        <v>7.4791449999999995E-2</v>
      </c>
      <c r="X1319">
        <v>0.99700489999999997</v>
      </c>
      <c r="Y1319">
        <v>7.9083029999999999E-2</v>
      </c>
      <c r="Z1319">
        <v>5.470885E-3</v>
      </c>
      <c r="AA1319">
        <v>0.99685299999999999</v>
      </c>
      <c r="AB1319">
        <v>37</v>
      </c>
      <c r="AC1319">
        <v>-0.411999999999977</v>
      </c>
      <c r="AD1319">
        <v>-0.1279363</v>
      </c>
      <c r="AE1319">
        <v>6.4999999999997699E-2</v>
      </c>
      <c r="AF1319">
        <v>5.6985543314917002E-2</v>
      </c>
      <c r="AG1319">
        <v>-0.1279363</v>
      </c>
      <c r="AH1319">
        <v>0.376945298747002</v>
      </c>
      <c r="AI1319">
        <v>108.551217884493</v>
      </c>
      <c r="AJ1319">
        <v>81.403280153374695</v>
      </c>
      <c r="AK1319">
        <v>0.40212287581292</v>
      </c>
    </row>
    <row r="1320" spans="1:37" x14ac:dyDescent="0.2">
      <c r="A1320" t="str">
        <f>"20200111154051843"</f>
        <v>20200111154051843</v>
      </c>
      <c r="B1320" t="str">
        <f>"1578728451837377"</f>
        <v>1578728451837377</v>
      </c>
      <c r="C1320" t="s">
        <v>37</v>
      </c>
      <c r="D1320">
        <v>5.384341</v>
      </c>
      <c r="E1320">
        <v>0.55963680000000005</v>
      </c>
      <c r="F1320" t="s">
        <v>38</v>
      </c>
      <c r="G1320">
        <v>-284.01650000000001</v>
      </c>
      <c r="H1320">
        <v>0.93493369999999998</v>
      </c>
      <c r="I1320">
        <v>284.01170000000002</v>
      </c>
      <c r="J1320">
        <v>-283.66699999999997</v>
      </c>
      <c r="K1320">
        <v>1.1108450000000001</v>
      </c>
      <c r="L1320">
        <v>283.91269999999997</v>
      </c>
      <c r="M1320">
        <v>-0.99995119999999904</v>
      </c>
      <c r="N1320">
        <v>0</v>
      </c>
      <c r="O1320">
        <v>5.3054790000000001E-3</v>
      </c>
      <c r="P1320">
        <v>-0.99775449999999999</v>
      </c>
      <c r="Q1320">
        <v>6.5198210000000006E-2</v>
      </c>
      <c r="R1320">
        <v>-1.5346729999999999E-2</v>
      </c>
      <c r="S1320">
        <v>-3.0622859999999998</v>
      </c>
      <c r="T1320">
        <v>-0.74894059999999996</v>
      </c>
      <c r="U1320">
        <v>0.42630000000000001</v>
      </c>
      <c r="V1320">
        <v>-2.083923E-2</v>
      </c>
      <c r="W1320">
        <v>7.3463790000000001E-2</v>
      </c>
      <c r="X1320">
        <v>0.99708009999999903</v>
      </c>
      <c r="Y1320">
        <v>0.1290453</v>
      </c>
      <c r="Z1320">
        <v>1.420685E-2</v>
      </c>
      <c r="AA1320">
        <v>0.99153690000000005</v>
      </c>
      <c r="AB1320">
        <v>37</v>
      </c>
      <c r="AC1320">
        <v>-0.349499999999977</v>
      </c>
      <c r="AD1320">
        <v>-0.17591129999999999</v>
      </c>
      <c r="AE1320">
        <v>9.9000000000046301E-2</v>
      </c>
      <c r="AF1320">
        <v>7.8690121450296205E-2</v>
      </c>
      <c r="AG1320">
        <v>-0.17591129999999999</v>
      </c>
      <c r="AH1320">
        <v>0.28352821135839301</v>
      </c>
      <c r="AI1320">
        <v>120.872613711151</v>
      </c>
      <c r="AJ1320">
        <v>74.488593509945801</v>
      </c>
      <c r="AK1320">
        <v>0.34281943836025702</v>
      </c>
    </row>
    <row r="1321" spans="1:37" x14ac:dyDescent="0.2">
      <c r="A1321" t="str">
        <f>"20200111154051865"</f>
        <v>20200111154051865</v>
      </c>
      <c r="B1321" t="str">
        <f>"1578728451857873"</f>
        <v>1578728451857873</v>
      </c>
      <c r="C1321" t="s">
        <v>37</v>
      </c>
      <c r="D1321">
        <v>5.3282590000000001</v>
      </c>
      <c r="E1321">
        <v>0.56065699999999996</v>
      </c>
      <c r="F1321" t="s">
        <v>38</v>
      </c>
      <c r="G1321">
        <v>-284.34699999999998</v>
      </c>
      <c r="H1321">
        <v>0.93329359999999995</v>
      </c>
      <c r="I1321">
        <v>284.0102</v>
      </c>
      <c r="J1321">
        <v>-284.03820000000002</v>
      </c>
      <c r="K1321">
        <v>1.110795</v>
      </c>
      <c r="L1321">
        <v>283.91370000000001</v>
      </c>
      <c r="M1321">
        <v>-0.99995710000000004</v>
      </c>
      <c r="N1321">
        <v>0</v>
      </c>
      <c r="O1321">
        <v>4.2346670000000001E-3</v>
      </c>
      <c r="P1321">
        <v>-0.99777299999999902</v>
      </c>
      <c r="Q1321">
        <v>6.4243590000000003E-2</v>
      </c>
      <c r="R1321">
        <v>-1.7940629999999999E-2</v>
      </c>
      <c r="S1321">
        <v>-3.0658259999999999</v>
      </c>
      <c r="T1321">
        <v>-0.80064650000000004</v>
      </c>
      <c r="U1321">
        <v>0.43911739999999999</v>
      </c>
      <c r="V1321">
        <v>-2.2356170000000002E-2</v>
      </c>
      <c r="W1321">
        <v>7.2409929999999997E-2</v>
      </c>
      <c r="X1321">
        <v>0.99712440000000002</v>
      </c>
      <c r="Y1321">
        <v>0.13334570000000001</v>
      </c>
      <c r="Z1321">
        <v>1.5959460000000002E-2</v>
      </c>
      <c r="AA1321">
        <v>0.99094110000000002</v>
      </c>
      <c r="AB1321">
        <v>37</v>
      </c>
      <c r="AC1321">
        <v>-0.30879999999996199</v>
      </c>
      <c r="AD1321">
        <v>-0.1775014</v>
      </c>
      <c r="AE1321">
        <v>9.6499999999991801E-2</v>
      </c>
      <c r="AF1321">
        <v>7.3167261391930596E-2</v>
      </c>
      <c r="AG1321">
        <v>-0.1775014</v>
      </c>
      <c r="AH1321">
        <v>0.23766582085101001</v>
      </c>
      <c r="AI1321">
        <v>125.51898392867</v>
      </c>
      <c r="AJ1321">
        <v>72.888612869217098</v>
      </c>
      <c r="AK1321">
        <v>0.30552452854450102</v>
      </c>
    </row>
    <row r="1322" spans="1:37" x14ac:dyDescent="0.2">
      <c r="A1322" t="str">
        <f>"20200111154051887"</f>
        <v>20200111154051887</v>
      </c>
      <c r="B1322" t="str">
        <f>"1578728451877392"</f>
        <v>1578728451877392</v>
      </c>
      <c r="C1322" t="s">
        <v>37</v>
      </c>
      <c r="D1322">
        <v>5.3295629999999896</v>
      </c>
      <c r="E1322">
        <v>0.56134189999999995</v>
      </c>
      <c r="F1322" t="s">
        <v>38</v>
      </c>
      <c r="G1322">
        <v>-284.98090000000002</v>
      </c>
      <c r="H1322">
        <v>0.85857859999999997</v>
      </c>
      <c r="I1322">
        <v>284.04919999999998</v>
      </c>
      <c r="J1322">
        <v>-284.4126</v>
      </c>
      <c r="K1322">
        <v>1.110724</v>
      </c>
      <c r="L1322">
        <v>283.9144</v>
      </c>
      <c r="M1322">
        <v>-0.99996149999999995</v>
      </c>
      <c r="N1322">
        <v>0</v>
      </c>
      <c r="O1322">
        <v>3.2314029999999999E-3</v>
      </c>
      <c r="P1322">
        <v>-0.99779359999999995</v>
      </c>
      <c r="Q1322">
        <v>6.3154000000000002E-2</v>
      </c>
      <c r="R1322">
        <v>-2.0483540000000001E-2</v>
      </c>
      <c r="S1322">
        <v>-3.0674739999999998</v>
      </c>
      <c r="T1322">
        <v>-0.82071890000000003</v>
      </c>
      <c r="U1322">
        <v>0.44055179999999999</v>
      </c>
      <c r="V1322">
        <v>-2.3886330000000001E-2</v>
      </c>
      <c r="W1322">
        <v>7.1233759999999993E-2</v>
      </c>
      <c r="X1322">
        <v>0.99717359999999899</v>
      </c>
      <c r="Y1322">
        <v>0.13443929999999901</v>
      </c>
      <c r="Z1322">
        <v>1.6742949999999999E-2</v>
      </c>
      <c r="AA1322">
        <v>0.99078040000000001</v>
      </c>
      <c r="AB1322">
        <v>37</v>
      </c>
      <c r="AC1322">
        <v>-0.56830000000002201</v>
      </c>
      <c r="AD1322">
        <v>-0.25214540000000002</v>
      </c>
      <c r="AE1322">
        <v>0.13479999999998399</v>
      </c>
      <c r="AF1322">
        <v>0.112075401944353</v>
      </c>
      <c r="AG1322">
        <v>-0.25214540000000002</v>
      </c>
      <c r="AH1322">
        <v>0.47938916369665702</v>
      </c>
      <c r="AI1322">
        <v>117.119794990496</v>
      </c>
      <c r="AJ1322">
        <v>76.841278381980302</v>
      </c>
      <c r="AK1322">
        <v>0.553129432169297</v>
      </c>
    </row>
    <row r="1323" spans="1:37" x14ac:dyDescent="0.2">
      <c r="A1323" t="str">
        <f>"20200111154051909"</f>
        <v>20200111154051909</v>
      </c>
      <c r="B1323" t="str">
        <f>"1578728451897891"</f>
        <v>1578728451897891</v>
      </c>
      <c r="C1323" t="s">
        <v>37</v>
      </c>
      <c r="D1323">
        <v>5.3144450000000001</v>
      </c>
      <c r="E1323">
        <v>0.56169279999999999</v>
      </c>
      <c r="F1323" t="s">
        <v>38</v>
      </c>
      <c r="G1323">
        <v>-285.31700000000001</v>
      </c>
      <c r="H1323">
        <v>0.86547770000000002</v>
      </c>
      <c r="I1323">
        <v>284.04340000000002</v>
      </c>
      <c r="J1323">
        <v>-284.77</v>
      </c>
      <c r="K1323">
        <v>1.1106559999999901</v>
      </c>
      <c r="L1323">
        <v>283.91480000000001</v>
      </c>
      <c r="M1323">
        <v>-0.99996469999999904</v>
      </c>
      <c r="N1323">
        <v>0</v>
      </c>
      <c r="O1323">
        <v>2.340375E-3</v>
      </c>
      <c r="P1323">
        <v>-0.99784729999999999</v>
      </c>
      <c r="Q1323">
        <v>6.173857E-2</v>
      </c>
      <c r="R1323">
        <v>-2.212797E-2</v>
      </c>
      <c r="S1323">
        <v>-3.0682070000000001</v>
      </c>
      <c r="T1323">
        <v>-0.83198289999999997</v>
      </c>
      <c r="U1323">
        <v>0.4375</v>
      </c>
      <c r="V1323">
        <v>-2.4629249999999998E-2</v>
      </c>
      <c r="W1323">
        <v>6.9747820000000002E-2</v>
      </c>
      <c r="X1323">
        <v>0.99726059999999905</v>
      </c>
      <c r="Y1323">
        <v>0.13417879999999999</v>
      </c>
      <c r="Z1323">
        <v>1.71638E-2</v>
      </c>
      <c r="AA1323">
        <v>0.99080849999999898</v>
      </c>
      <c r="AB1323">
        <v>37</v>
      </c>
      <c r="AC1323">
        <v>-0.54700000000002502</v>
      </c>
      <c r="AD1323">
        <v>-0.24517829999999899</v>
      </c>
      <c r="AE1323">
        <v>0.12860000000000499</v>
      </c>
      <c r="AF1323">
        <v>0.10695681557633201</v>
      </c>
      <c r="AG1323">
        <v>-0.24517829999999899</v>
      </c>
      <c r="AH1323">
        <v>0.45976811325693201</v>
      </c>
      <c r="AI1323">
        <v>117.44718578384099</v>
      </c>
      <c r="AJ1323">
        <v>76.9040875281773</v>
      </c>
      <c r="AK1323">
        <v>0.53191999131162504</v>
      </c>
    </row>
    <row r="1324" spans="1:37" x14ac:dyDescent="0.2">
      <c r="A1324" t="str">
        <f>"20200111154051923"</f>
        <v>20200111154051923</v>
      </c>
      <c r="B1324" t="str">
        <f>"1578728451917410"</f>
        <v>1578728451917410</v>
      </c>
      <c r="C1324" t="s">
        <v>37</v>
      </c>
      <c r="D1324">
        <v>5.3449200000000001</v>
      </c>
      <c r="E1324">
        <v>0.56216899999999903</v>
      </c>
      <c r="F1324" t="s">
        <v>38</v>
      </c>
      <c r="G1324">
        <v>-285.65260000000001</v>
      </c>
      <c r="H1324">
        <v>0.86902259999999998</v>
      </c>
      <c r="I1324">
        <v>284.0403</v>
      </c>
      <c r="J1324">
        <v>-285.01229999999998</v>
      </c>
      <c r="K1324">
        <v>1.1106100000000001</v>
      </c>
      <c r="L1324">
        <v>283.91500000000002</v>
      </c>
      <c r="M1324">
        <v>-0.99996620000000003</v>
      </c>
      <c r="N1324">
        <v>0</v>
      </c>
      <c r="O1324">
        <v>1.7721670000000001E-3</v>
      </c>
      <c r="P1324">
        <v>-0.99787329999999996</v>
      </c>
      <c r="Q1324">
        <v>6.1057779999999999E-2</v>
      </c>
      <c r="R1324">
        <v>-2.2829039999999998E-2</v>
      </c>
      <c r="S1324">
        <v>-3.068085</v>
      </c>
      <c r="T1324">
        <v>-0.8400029</v>
      </c>
      <c r="U1324">
        <v>0.43518069999999998</v>
      </c>
      <c r="V1324">
        <v>-2.475509E-2</v>
      </c>
      <c r="W1324">
        <v>6.9024299999999997E-2</v>
      </c>
      <c r="X1324">
        <v>0.99730779999999997</v>
      </c>
      <c r="Y1324">
        <v>0.133911999999999</v>
      </c>
      <c r="Z1324">
        <v>1.7441350000000001E-2</v>
      </c>
      <c r="AA1324">
        <v>0.99083969999999899</v>
      </c>
      <c r="AB1324">
        <v>37</v>
      </c>
      <c r="AC1324">
        <v>-0.64030000000002396</v>
      </c>
      <c r="AD1324">
        <v>-0.24158740000000001</v>
      </c>
      <c r="AE1324">
        <v>0.12529999999998101</v>
      </c>
      <c r="AF1324">
        <v>0.109193769047603</v>
      </c>
      <c r="AG1324">
        <v>-0.24158740000000001</v>
      </c>
      <c r="AH1324">
        <v>0.56328982361077695</v>
      </c>
      <c r="AI1324">
        <v>112.83344859879701</v>
      </c>
      <c r="AJ1324">
        <v>79.029277539367001</v>
      </c>
      <c r="AK1324">
        <v>0.62256178522379702</v>
      </c>
    </row>
    <row r="1325" spans="1:37" x14ac:dyDescent="0.2">
      <c r="A1325" t="str">
        <f>"20200111154051942"</f>
        <v>20200111154051942</v>
      </c>
      <c r="B1325" t="str">
        <f>"1578728451937904"</f>
        <v>1578728451937904</v>
      </c>
      <c r="C1325" t="s">
        <v>37</v>
      </c>
      <c r="D1325">
        <v>5.381602</v>
      </c>
      <c r="E1325">
        <v>0.56247190000000002</v>
      </c>
      <c r="F1325" t="s">
        <v>38</v>
      </c>
      <c r="G1325">
        <v>-285.97820000000002</v>
      </c>
      <c r="H1325">
        <v>0.84516380000000002</v>
      </c>
      <c r="I1325">
        <v>284.05259999999998</v>
      </c>
      <c r="J1325">
        <v>-285.33819999999997</v>
      </c>
      <c r="K1325">
        <v>1.110538</v>
      </c>
      <c r="L1325">
        <v>283.91489999999999</v>
      </c>
      <c r="M1325">
        <v>-0.99996749999999901</v>
      </c>
      <c r="N1325">
        <v>0</v>
      </c>
      <c r="O1325">
        <v>1.078783E-3</v>
      </c>
      <c r="P1325">
        <v>-0.99792909999999901</v>
      </c>
      <c r="Q1325">
        <v>5.992244E-2</v>
      </c>
      <c r="R1325">
        <v>-2.3389549999999999E-2</v>
      </c>
      <c r="S1325">
        <v>-3.0679630000000002</v>
      </c>
      <c r="T1325">
        <v>-0.8430955</v>
      </c>
      <c r="U1325">
        <v>0.43667600000000001</v>
      </c>
      <c r="V1325">
        <v>-2.461205E-2</v>
      </c>
      <c r="W1325">
        <v>6.7835000000000006E-2</v>
      </c>
      <c r="X1325">
        <v>0.99739299999999997</v>
      </c>
      <c r="Y1325">
        <v>0.13497899999999999</v>
      </c>
      <c r="Z1325">
        <v>1.7832839999999999E-2</v>
      </c>
      <c r="AA1325">
        <v>0.99068799999999901</v>
      </c>
      <c r="AB1325">
        <v>37</v>
      </c>
      <c r="AC1325">
        <v>-0.64000000000004298</v>
      </c>
      <c r="AD1325">
        <v>-0.26537419999999901</v>
      </c>
      <c r="AE1325">
        <v>0.13769999999999499</v>
      </c>
      <c r="AF1325">
        <v>0.117672849466121</v>
      </c>
      <c r="AG1325">
        <v>-0.26537419999999901</v>
      </c>
      <c r="AH1325">
        <v>0.54980182623154095</v>
      </c>
      <c r="AI1325">
        <v>115.266524559839</v>
      </c>
      <c r="AJ1325">
        <v>77.919374880155601</v>
      </c>
      <c r="AK1325">
        <v>0.62173339435376496</v>
      </c>
    </row>
    <row r="1326" spans="1:37" x14ac:dyDescent="0.2">
      <c r="A1326" t="str">
        <f>"20200111154051966"</f>
        <v>20200111154051966</v>
      </c>
      <c r="B1326" t="str">
        <f>"1578728451957425"</f>
        <v>1578728451957425</v>
      </c>
      <c r="C1326" t="s">
        <v>37</v>
      </c>
      <c r="D1326">
        <v>5.3883179999999999</v>
      </c>
      <c r="E1326">
        <v>0.56245919999999905</v>
      </c>
      <c r="F1326" t="s">
        <v>38</v>
      </c>
      <c r="G1326">
        <v>-286.0104</v>
      </c>
      <c r="H1326">
        <v>0.92481610000000003</v>
      </c>
      <c r="I1326">
        <v>284.010999999999</v>
      </c>
      <c r="J1326">
        <v>-285.72250000000003</v>
      </c>
      <c r="K1326">
        <v>1.110449</v>
      </c>
      <c r="L1326">
        <v>283.91480000000001</v>
      </c>
      <c r="M1326">
        <v>-0.99996859999999999</v>
      </c>
      <c r="N1326">
        <v>0</v>
      </c>
      <c r="O1326">
        <v>3.6631910000000002E-4</v>
      </c>
      <c r="P1326">
        <v>-0.9979884</v>
      </c>
      <c r="Q1326">
        <v>5.9054750000000003E-2</v>
      </c>
      <c r="R1326">
        <v>-2.3059980000000001E-2</v>
      </c>
      <c r="S1326">
        <v>-3.067383</v>
      </c>
      <c r="T1326">
        <v>-0.84748860000000004</v>
      </c>
      <c r="U1326">
        <v>0.43774409999999903</v>
      </c>
      <c r="V1326">
        <v>-2.3557700000000001E-2</v>
      </c>
      <c r="W1326">
        <v>6.6906800000000002E-2</v>
      </c>
      <c r="X1326">
        <v>0.99748110000000001</v>
      </c>
      <c r="Y1326">
        <v>0.13593559999999999</v>
      </c>
      <c r="Z1326">
        <v>1.8246700000000001E-2</v>
      </c>
      <c r="AA1326">
        <v>0.99054959999999903</v>
      </c>
      <c r="AB1326">
        <v>37</v>
      </c>
      <c r="AC1326">
        <v>-0.28789999999997901</v>
      </c>
      <c r="AD1326">
        <v>-0.18563289999999999</v>
      </c>
      <c r="AE1326">
        <v>9.6199999999953406E-2</v>
      </c>
      <c r="AF1326">
        <v>6.9938402624238893E-2</v>
      </c>
      <c r="AG1326">
        <v>-0.18563289999999999</v>
      </c>
      <c r="AH1326">
        <v>0.20956166910296301</v>
      </c>
      <c r="AI1326">
        <v>130.03886860477499</v>
      </c>
      <c r="AJ1326">
        <v>71.544257856090596</v>
      </c>
      <c r="AK1326">
        <v>0.288560300251542</v>
      </c>
    </row>
    <row r="1327" spans="1:37" x14ac:dyDescent="0.2">
      <c r="A1327" t="str">
        <f>"20200111154051987"</f>
        <v>20200111154051987</v>
      </c>
      <c r="B1327" t="str">
        <f>"1578728451977923"</f>
        <v>1578728451977923</v>
      </c>
      <c r="C1327" t="s">
        <v>37</v>
      </c>
      <c r="D1327">
        <v>5.317259</v>
      </c>
      <c r="E1327">
        <v>0.56296539999999995</v>
      </c>
      <c r="F1327" t="s">
        <v>38</v>
      </c>
      <c r="G1327">
        <v>-286.65309999999999</v>
      </c>
      <c r="H1327">
        <v>0.85179139999999998</v>
      </c>
      <c r="I1327">
        <v>284.04820000000001</v>
      </c>
      <c r="J1327">
        <v>-286.09440000000001</v>
      </c>
      <c r="K1327">
        <v>1.1103459999999901</v>
      </c>
      <c r="L1327">
        <v>283.9144</v>
      </c>
      <c r="M1327">
        <v>-0.999969199999999</v>
      </c>
      <c r="N1327">
        <v>0</v>
      </c>
      <c r="O1327">
        <v>-2.2060809999999999E-4</v>
      </c>
      <c r="P1327">
        <v>-0.99806010000000001</v>
      </c>
      <c r="Q1327">
        <v>5.792543E-2</v>
      </c>
      <c r="R1327">
        <v>-2.2821020000000001E-2</v>
      </c>
      <c r="S1327">
        <v>-3.0666199999999999</v>
      </c>
      <c r="T1327">
        <v>-0.8523676</v>
      </c>
      <c r="U1327">
        <v>0.43887330000000002</v>
      </c>
      <c r="V1327">
        <v>-2.2717609999999999E-2</v>
      </c>
      <c r="W1327">
        <v>6.572066E-2</v>
      </c>
      <c r="X1327">
        <v>0.99757940000000001</v>
      </c>
      <c r="Y1327">
        <v>0.1367961</v>
      </c>
      <c r="Z1327">
        <v>1.8628019999999999E-2</v>
      </c>
      <c r="AA1327">
        <v>0.99042399999999997</v>
      </c>
      <c r="AB1327">
        <v>38</v>
      </c>
      <c r="AC1327">
        <v>-0.55869999999998698</v>
      </c>
      <c r="AD1327">
        <v>-0.25855459999999902</v>
      </c>
      <c r="AE1327">
        <v>0.133800000000007</v>
      </c>
      <c r="AF1327">
        <v>0.111366274394325</v>
      </c>
      <c r="AG1327">
        <v>-0.25855459999999902</v>
      </c>
      <c r="AH1327">
        <v>0.46457240740728101</v>
      </c>
      <c r="AI1327">
        <v>118.422701789603</v>
      </c>
      <c r="AJ1327">
        <v>76.519556085339104</v>
      </c>
      <c r="AK1327">
        <v>0.54321307971902499</v>
      </c>
    </row>
    <row r="1328" spans="1:37" x14ac:dyDescent="0.2">
      <c r="A1328" t="str">
        <f>"20200111154052001"</f>
        <v>20200111154052001</v>
      </c>
      <c r="B1328" t="str">
        <f>"1578728451997441"</f>
        <v>1578728451997441</v>
      </c>
      <c r="C1328" t="s">
        <v>37</v>
      </c>
      <c r="D1328">
        <v>5.3387779999999996</v>
      </c>
      <c r="E1328">
        <v>0.56315209999999905</v>
      </c>
      <c r="F1328" t="s">
        <v>38</v>
      </c>
      <c r="G1328">
        <v>-286.9932</v>
      </c>
      <c r="H1328">
        <v>0.85899820000000005</v>
      </c>
      <c r="I1328">
        <v>284.04500000000002</v>
      </c>
      <c r="J1328">
        <v>-286.31900000000002</v>
      </c>
      <c r="K1328">
        <v>1.1102889999999901</v>
      </c>
      <c r="L1328">
        <v>283.91410000000002</v>
      </c>
      <c r="M1328">
        <v>-0.99996939999999901</v>
      </c>
      <c r="N1328">
        <v>0</v>
      </c>
      <c r="O1328">
        <v>-5.3757209999999998E-4</v>
      </c>
      <c r="P1328">
        <v>-0.99809409999999898</v>
      </c>
      <c r="Q1328">
        <v>5.7475249999999999E-2</v>
      </c>
      <c r="R1328">
        <v>-2.2475330000000002E-2</v>
      </c>
      <c r="S1328">
        <v>-3.0657040000000002</v>
      </c>
      <c r="T1328">
        <v>-0.85731029999999997</v>
      </c>
      <c r="U1328">
        <v>0.444183299999999</v>
      </c>
      <c r="V1328">
        <v>-2.2047600000000001E-2</v>
      </c>
      <c r="W1328">
        <v>6.5238190000000001E-2</v>
      </c>
      <c r="X1328">
        <v>0.99762609999999996</v>
      </c>
      <c r="Y1328">
        <v>0.13868900000000001</v>
      </c>
      <c r="Z1328">
        <v>1.908023E-2</v>
      </c>
      <c r="AA1328">
        <v>0.99015219999999904</v>
      </c>
      <c r="AB1328">
        <v>38</v>
      </c>
      <c r="AC1328">
        <v>-0.67419999999998403</v>
      </c>
      <c r="AD1328">
        <v>-0.25129079999999898</v>
      </c>
      <c r="AE1328">
        <v>0.13089999999999599</v>
      </c>
      <c r="AF1328">
        <v>0.11576427350381099</v>
      </c>
      <c r="AG1328">
        <v>-0.25129079999999898</v>
      </c>
      <c r="AH1328">
        <v>0.59453508190566295</v>
      </c>
      <c r="AI1328">
        <v>112.532398523317</v>
      </c>
      <c r="AJ1328">
        <v>78.981580988583701</v>
      </c>
      <c r="AK1328">
        <v>0.65575940466079397</v>
      </c>
    </row>
    <row r="1329" spans="1:37" x14ac:dyDescent="0.2">
      <c r="A1329" t="str">
        <f>"20200111154052019"</f>
        <v>20200111154052019</v>
      </c>
      <c r="B1329" t="str">
        <f>"1578728452007201"</f>
        <v>1578728452007201</v>
      </c>
      <c r="C1329" t="s">
        <v>37</v>
      </c>
      <c r="D1329">
        <v>5.3557040000000002</v>
      </c>
      <c r="E1329">
        <v>0.56320239999999999</v>
      </c>
      <c r="F1329" t="s">
        <v>38</v>
      </c>
      <c r="G1329">
        <v>-287.01560000000001</v>
      </c>
      <c r="H1329">
        <v>0.91520089999999998</v>
      </c>
      <c r="I1329">
        <v>284.015999999999</v>
      </c>
      <c r="J1329">
        <v>-286.62630000000001</v>
      </c>
      <c r="K1329">
        <v>1.1102129999999999</v>
      </c>
      <c r="L1329">
        <v>283.91359999999997</v>
      </c>
      <c r="M1329">
        <v>-0.99996949999999996</v>
      </c>
      <c r="N1329">
        <v>0</v>
      </c>
      <c r="O1329">
        <v>-9.1664199999999996E-4</v>
      </c>
      <c r="P1329">
        <v>-0.99811289999999997</v>
      </c>
      <c r="Q1329">
        <v>5.7256040000000001E-2</v>
      </c>
      <c r="R1329">
        <v>-2.2199400000000001E-2</v>
      </c>
      <c r="S1329">
        <v>-3.0652159999999999</v>
      </c>
      <c r="T1329">
        <v>-0.85847340000000005</v>
      </c>
      <c r="U1329">
        <v>0.44702150000000002</v>
      </c>
      <c r="V1329">
        <v>-2.1382450000000001E-2</v>
      </c>
      <c r="W1329">
        <v>6.497174E-2</v>
      </c>
      <c r="X1329">
        <v>0.99765800000000004</v>
      </c>
      <c r="Y1329">
        <v>0.13990910000000001</v>
      </c>
      <c r="Z1329">
        <v>1.9377330000000002E-2</v>
      </c>
      <c r="AA1329">
        <v>0.98997469999999999</v>
      </c>
      <c r="AB1329">
        <v>38</v>
      </c>
      <c r="AC1329">
        <v>-0.38929999999999099</v>
      </c>
      <c r="AD1329">
        <v>-0.19501209999999899</v>
      </c>
      <c r="AE1329">
        <v>0.102399999999988</v>
      </c>
      <c r="AF1329">
        <v>8.3224585361638501E-2</v>
      </c>
      <c r="AG1329">
        <v>-0.19501209999999899</v>
      </c>
      <c r="AH1329">
        <v>0.31522488289581702</v>
      </c>
      <c r="AI1329">
        <v>120.885695704006</v>
      </c>
      <c r="AJ1329">
        <v>75.210436045215999</v>
      </c>
      <c r="AK1329">
        <v>0.379898377927187</v>
      </c>
    </row>
    <row r="1330" spans="1:37" x14ac:dyDescent="0.2">
      <c r="A1330" t="str">
        <f>"20200111154052033"</f>
        <v>20200111154052033</v>
      </c>
      <c r="B1330" t="str">
        <f>"1578728452027698"</f>
        <v>1578728452027698</v>
      </c>
      <c r="C1330" t="s">
        <v>37</v>
      </c>
      <c r="D1330">
        <v>5.3755699999999997</v>
      </c>
      <c r="E1330">
        <v>0.56328579999999995</v>
      </c>
      <c r="F1330" t="s">
        <v>38</v>
      </c>
      <c r="G1330">
        <v>-287.35039999999998</v>
      </c>
      <c r="H1330">
        <v>0.90709209999999996</v>
      </c>
      <c r="I1330">
        <v>284.01949999999999</v>
      </c>
      <c r="J1330">
        <v>-286.85539999999997</v>
      </c>
      <c r="K1330">
        <v>1.1101589999999999</v>
      </c>
      <c r="L1330">
        <v>283.91320000000002</v>
      </c>
      <c r="M1330">
        <v>-0.99996939999999901</v>
      </c>
      <c r="N1330">
        <v>0</v>
      </c>
      <c r="O1330">
        <v>-1.163655E-3</v>
      </c>
      <c r="P1330">
        <v>-0.99813779999999996</v>
      </c>
      <c r="Q1330">
        <v>5.673566E-2</v>
      </c>
      <c r="R1330">
        <v>-2.240499E-2</v>
      </c>
      <c r="S1330">
        <v>-3.0649410000000001</v>
      </c>
      <c r="T1330">
        <v>-0.85979599999999901</v>
      </c>
      <c r="U1330">
        <v>0.44778440000000003</v>
      </c>
      <c r="V1330">
        <v>-2.1333749999999999E-2</v>
      </c>
      <c r="W1330">
        <v>6.4411200000000002E-2</v>
      </c>
      <c r="X1330">
        <v>0.99769540000000001</v>
      </c>
      <c r="Y1330">
        <v>0.14036409999999999</v>
      </c>
      <c r="Z1330">
        <v>1.953736E-2</v>
      </c>
      <c r="AA1330">
        <v>0.98990719999999999</v>
      </c>
      <c r="AB1330">
        <v>38</v>
      </c>
      <c r="AC1330">
        <v>-0.49500000000000399</v>
      </c>
      <c r="AD1330">
        <v>-0.20306689999999999</v>
      </c>
      <c r="AE1330">
        <v>0.106299999999976</v>
      </c>
      <c r="AF1330">
        <v>9.2065019176405305E-2</v>
      </c>
      <c r="AG1330">
        <v>-0.20306689999999999</v>
      </c>
      <c r="AH1330">
        <v>0.42629574997298603</v>
      </c>
      <c r="AI1330">
        <v>114.967510021968</v>
      </c>
      <c r="AJ1330">
        <v>77.813275384971902</v>
      </c>
      <c r="AK1330">
        <v>0.48108232151742197</v>
      </c>
    </row>
    <row r="1331" spans="1:37" x14ac:dyDescent="0.2">
      <c r="A1331" t="str">
        <f>"20200111154052055"</f>
        <v>20200111154052055</v>
      </c>
      <c r="B1331" t="str">
        <f>"1578728452047216"</f>
        <v>1578728452047216</v>
      </c>
      <c r="C1331" t="s">
        <v>37</v>
      </c>
      <c r="D1331">
        <v>5.3216479999999997</v>
      </c>
      <c r="E1331">
        <v>0.56344539999999999</v>
      </c>
      <c r="F1331" t="s">
        <v>38</v>
      </c>
      <c r="G1331">
        <v>-287.678</v>
      </c>
      <c r="H1331">
        <v>0.87891070000000004</v>
      </c>
      <c r="I1331">
        <v>284.03359999999998</v>
      </c>
      <c r="J1331">
        <v>-287.22039999999998</v>
      </c>
      <c r="K1331">
        <v>1.1100749999999999</v>
      </c>
      <c r="L1331">
        <v>283.91239999999999</v>
      </c>
      <c r="M1331">
        <v>-0.99996969999999996</v>
      </c>
      <c r="N1331">
        <v>0</v>
      </c>
      <c r="O1331">
        <v>-1.510071E-3</v>
      </c>
      <c r="P1331">
        <v>-0.99812919999999905</v>
      </c>
      <c r="Q1331">
        <v>5.685308E-2</v>
      </c>
      <c r="R1331">
        <v>-2.250282E-2</v>
      </c>
      <c r="S1331">
        <v>-3.064667</v>
      </c>
      <c r="T1331">
        <v>-0.86163049999999997</v>
      </c>
      <c r="U1331">
        <v>0.44778440000000003</v>
      </c>
      <c r="V1331">
        <v>-2.107537E-2</v>
      </c>
      <c r="W1331">
        <v>6.4456399999999997E-2</v>
      </c>
      <c r="X1331">
        <v>0.99769789999999903</v>
      </c>
      <c r="Y1331">
        <v>0.1406712</v>
      </c>
      <c r="Z1331">
        <v>1.971641E-2</v>
      </c>
      <c r="AA1331">
        <v>0.98985999999999996</v>
      </c>
      <c r="AB1331">
        <v>38</v>
      </c>
      <c r="AC1331">
        <v>-0.457600000000013</v>
      </c>
      <c r="AD1331">
        <v>-0.23116429999999899</v>
      </c>
      <c r="AE1331">
        <v>0.121199999999987</v>
      </c>
      <c r="AF1331">
        <v>9.8420948086486507E-2</v>
      </c>
      <c r="AG1331">
        <v>-0.23116429999999899</v>
      </c>
      <c r="AH1331">
        <v>0.369341472037991</v>
      </c>
      <c r="AI1331">
        <v>121.16462352371499</v>
      </c>
      <c r="AJ1331">
        <v>75.078737530810699</v>
      </c>
      <c r="AK1331">
        <v>0.44669535433438601</v>
      </c>
    </row>
    <row r="1332" spans="1:37" x14ac:dyDescent="0.2">
      <c r="A1332" t="str">
        <f>"20200111154052067"</f>
        <v>20200111154052067</v>
      </c>
      <c r="B1332" t="str">
        <f>"1578728452057953"</f>
        <v>1578728452057953</v>
      </c>
      <c r="C1332" t="s">
        <v>37</v>
      </c>
      <c r="D1332">
        <v>5.3210649999999999</v>
      </c>
      <c r="E1332">
        <v>0.56360540000000003</v>
      </c>
      <c r="F1332" t="s">
        <v>38</v>
      </c>
      <c r="G1332">
        <v>-288.02030000000002</v>
      </c>
      <c r="H1332">
        <v>0.88559650000000001</v>
      </c>
      <c r="I1332">
        <v>284.02949999999998</v>
      </c>
      <c r="J1332">
        <v>-287.44069999999999</v>
      </c>
      <c r="K1332">
        <v>1.1100270000000001</v>
      </c>
      <c r="L1332">
        <v>283.91199999999998</v>
      </c>
      <c r="M1332">
        <v>-0.99996980000000002</v>
      </c>
      <c r="N1332">
        <v>0</v>
      </c>
      <c r="O1332">
        <v>-1.6948320000000001E-3</v>
      </c>
      <c r="P1332">
        <v>-0.99810810000000005</v>
      </c>
      <c r="Q1332">
        <v>5.7209070000000001E-2</v>
      </c>
      <c r="R1332">
        <v>-2.252262E-2</v>
      </c>
      <c r="S1332">
        <v>-3.0647279999999899</v>
      </c>
      <c r="T1332">
        <v>-0.86013899999999999</v>
      </c>
      <c r="U1332">
        <v>0.44812010000000002</v>
      </c>
      <c r="V1332">
        <v>-2.090558E-2</v>
      </c>
      <c r="W1332">
        <v>6.4764749999999996E-2</v>
      </c>
      <c r="X1332">
        <v>0.99768159999999895</v>
      </c>
      <c r="Y1332">
        <v>0.1409581</v>
      </c>
      <c r="Z1332">
        <v>1.9772930000000001E-2</v>
      </c>
      <c r="AA1332">
        <v>0.98981810000000003</v>
      </c>
      <c r="AB1332">
        <v>38</v>
      </c>
      <c r="AC1332">
        <v>-0.57960000000002698</v>
      </c>
      <c r="AD1332">
        <v>-0.2244305</v>
      </c>
      <c r="AE1332">
        <v>0.11749999999994901</v>
      </c>
      <c r="AF1332">
        <v>0.103566752835321</v>
      </c>
      <c r="AG1332">
        <v>-0.2244305</v>
      </c>
      <c r="AH1332">
        <v>0.50646077307380899</v>
      </c>
      <c r="AI1332">
        <v>113.468104859498</v>
      </c>
      <c r="AJ1332">
        <v>78.442854957012898</v>
      </c>
      <c r="AK1332">
        <v>0.56355801501320502</v>
      </c>
    </row>
    <row r="1333" spans="1:37" x14ac:dyDescent="0.2">
      <c r="A1333" t="str">
        <f>"20200111154052089"</f>
        <v>20200111154052089</v>
      </c>
      <c r="B1333" t="str">
        <f>"1578728452077473"</f>
        <v>1578728452077473</v>
      </c>
      <c r="C1333" t="s">
        <v>37</v>
      </c>
      <c r="D1333">
        <v>5.291226</v>
      </c>
      <c r="E1333">
        <v>0.56384449999999997</v>
      </c>
      <c r="F1333" t="s">
        <v>38</v>
      </c>
      <c r="G1333">
        <v>-288.34899999999999</v>
      </c>
      <c r="H1333">
        <v>0.85574069999999902</v>
      </c>
      <c r="I1333">
        <v>284.0453</v>
      </c>
      <c r="J1333">
        <v>-287.80410000000001</v>
      </c>
      <c r="K1333">
        <v>1.109964</v>
      </c>
      <c r="L1333">
        <v>283.91109999999998</v>
      </c>
      <c r="M1333">
        <v>-0.99997000000000003</v>
      </c>
      <c r="N1333">
        <v>0</v>
      </c>
      <c r="O1333">
        <v>-1.9660699999999999E-3</v>
      </c>
      <c r="P1333">
        <v>-0.99803739999999996</v>
      </c>
      <c r="Q1333">
        <v>5.8213590000000003E-2</v>
      </c>
      <c r="R1333">
        <v>-2.3084199999999999E-2</v>
      </c>
      <c r="S1333">
        <v>-3.0650019999999998</v>
      </c>
      <c r="T1333">
        <v>-0.85810540000000002</v>
      </c>
      <c r="U1333">
        <v>0.44903559999999998</v>
      </c>
      <c r="V1333">
        <v>-2.118927E-2</v>
      </c>
      <c r="W1333">
        <v>6.5684030000000004E-2</v>
      </c>
      <c r="X1333">
        <v>0.99761549999999999</v>
      </c>
      <c r="Y1333">
        <v>0.14149879999999901</v>
      </c>
      <c r="Z1333">
        <v>1.9873829999999999E-2</v>
      </c>
      <c r="AA1333">
        <v>0.98973889999999998</v>
      </c>
      <c r="AB1333">
        <v>38</v>
      </c>
      <c r="AC1333">
        <v>-0.54489999999998395</v>
      </c>
      <c r="AD1333">
        <v>-0.25422329999999999</v>
      </c>
      <c r="AE1333">
        <v>0.134200000000021</v>
      </c>
      <c r="AF1333">
        <v>0.112237536596394</v>
      </c>
      <c r="AG1333">
        <v>-0.25422329999999999</v>
      </c>
      <c r="AH1333">
        <v>0.45189629707747597</v>
      </c>
      <c r="AI1333">
        <v>118.633737349488</v>
      </c>
      <c r="AJ1333">
        <v>76.051682289882805</v>
      </c>
      <c r="AK1333">
        <v>0.53050637526466204</v>
      </c>
    </row>
    <row r="1334" spans="1:37" x14ac:dyDescent="0.2">
      <c r="A1334" t="str">
        <f>"20200111154052110"</f>
        <v>20200111154052110</v>
      </c>
      <c r="B1334" t="str">
        <f>"1578728452107730"</f>
        <v>1578728452107730</v>
      </c>
      <c r="C1334" t="s">
        <v>37</v>
      </c>
      <c r="D1334">
        <v>5.2823260000000003</v>
      </c>
      <c r="E1334">
        <v>0.56400419999999996</v>
      </c>
      <c r="F1334" t="s">
        <v>38</v>
      </c>
      <c r="G1334">
        <v>-288.69310000000002</v>
      </c>
      <c r="H1334">
        <v>0.86258400000000002</v>
      </c>
      <c r="I1334">
        <v>284.04129999999998</v>
      </c>
      <c r="J1334">
        <v>-288.17320000000001</v>
      </c>
      <c r="K1334">
        <v>1.109904</v>
      </c>
      <c r="L1334">
        <v>283.9101</v>
      </c>
      <c r="M1334">
        <v>-0.99997009999999897</v>
      </c>
      <c r="N1334">
        <v>0</v>
      </c>
      <c r="O1334">
        <v>-2.215074E-3</v>
      </c>
      <c r="P1334">
        <v>-0.99798140000000002</v>
      </c>
      <c r="Q1334">
        <v>5.9170819999999999E-2</v>
      </c>
      <c r="R1334">
        <v>-2.3068559999999998E-2</v>
      </c>
      <c r="S1334">
        <v>-3.066071</v>
      </c>
      <c r="T1334">
        <v>-0.85326740000000001</v>
      </c>
      <c r="U1334">
        <v>0.44793699999999997</v>
      </c>
      <c r="V1334">
        <v>-2.0919779999999999E-2</v>
      </c>
      <c r="W1334">
        <v>6.6540929999999998E-2</v>
      </c>
      <c r="X1334">
        <v>0.99756440000000002</v>
      </c>
      <c r="Y1334">
        <v>0.14140549999999999</v>
      </c>
      <c r="Z1334">
        <v>1.9814740000000001E-2</v>
      </c>
      <c r="AA1334">
        <v>0.98975340000000001</v>
      </c>
      <c r="AB1334">
        <v>38</v>
      </c>
      <c r="AC1334">
        <v>-0.51990000000000602</v>
      </c>
      <c r="AD1334">
        <v>-0.24731999999999901</v>
      </c>
      <c r="AE1334">
        <v>0.131199999999978</v>
      </c>
      <c r="AF1334">
        <v>0.109133373471323</v>
      </c>
      <c r="AG1334">
        <v>-0.24731999999999901</v>
      </c>
      <c r="AH1334">
        <v>0.42845497752112</v>
      </c>
      <c r="AI1334">
        <v>119.221605554997</v>
      </c>
      <c r="AJ1334">
        <v>75.709848839217102</v>
      </c>
      <c r="AK1334">
        <v>0.50660728712470604</v>
      </c>
    </row>
    <row r="1335" spans="1:37" x14ac:dyDescent="0.2">
      <c r="A1335" t="str">
        <f>"20200111154052133"</f>
        <v>20200111154052133</v>
      </c>
      <c r="B1335" t="str">
        <f>"1578728452127249"</f>
        <v>1578728452127249</v>
      </c>
      <c r="C1335" t="s">
        <v>37</v>
      </c>
      <c r="D1335">
        <v>5.2383009999999999</v>
      </c>
      <c r="E1335">
        <v>0.56419589999999997</v>
      </c>
      <c r="F1335" t="s">
        <v>38</v>
      </c>
      <c r="G1335">
        <v>-289.03859999999997</v>
      </c>
      <c r="H1335">
        <v>0.87066639999999995</v>
      </c>
      <c r="I1335">
        <v>284.0369</v>
      </c>
      <c r="J1335">
        <v>-288.55430000000001</v>
      </c>
      <c r="K1335">
        <v>1.109856</v>
      </c>
      <c r="L1335">
        <v>283.90910000000002</v>
      </c>
      <c r="M1335">
        <v>-0.99997049999999998</v>
      </c>
      <c r="N1335">
        <v>0</v>
      </c>
      <c r="O1335">
        <v>-2.4549490000000001E-3</v>
      </c>
      <c r="P1335">
        <v>-0.99793729999999903</v>
      </c>
      <c r="Q1335">
        <v>5.9798299999999999E-2</v>
      </c>
      <c r="R1335">
        <v>-2.3355939999999999E-2</v>
      </c>
      <c r="S1335">
        <v>-3.066681</v>
      </c>
      <c r="T1335">
        <v>-0.84775730000000005</v>
      </c>
      <c r="U1335">
        <v>0.4483337</v>
      </c>
      <c r="V1335">
        <v>-2.096282E-2</v>
      </c>
      <c r="W1335">
        <v>6.7056190000000002E-2</v>
      </c>
      <c r="X1335">
        <v>0.997529</v>
      </c>
      <c r="Y1335">
        <v>0.14178689999999999</v>
      </c>
      <c r="Z1335">
        <v>1.98037E-2</v>
      </c>
      <c r="AA1335">
        <v>0.98969910000000005</v>
      </c>
      <c r="AB1335">
        <v>38</v>
      </c>
      <c r="AC1335">
        <v>-0.48429999999996198</v>
      </c>
      <c r="AD1335">
        <v>-0.239189599999999</v>
      </c>
      <c r="AE1335">
        <v>0.12779999999997901</v>
      </c>
      <c r="AF1335">
        <v>0.105035747938568</v>
      </c>
      <c r="AG1335">
        <v>-0.239189599999999</v>
      </c>
      <c r="AH1335">
        <v>0.39411012282448799</v>
      </c>
      <c r="AI1335">
        <v>120.389087516684</v>
      </c>
      <c r="AJ1335">
        <v>75.076765490870102</v>
      </c>
      <c r="AK1335">
        <v>0.47282868145440099</v>
      </c>
    </row>
    <row r="1336" spans="1:37" x14ac:dyDescent="0.2">
      <c r="A1336" t="str">
        <f>"20200111154052154"</f>
        <v>20200111154052154</v>
      </c>
      <c r="B1336" t="str">
        <f>"1578728452147745"</f>
        <v>1578728452147745</v>
      </c>
      <c r="C1336" t="s">
        <v>37</v>
      </c>
      <c r="D1336">
        <v>5.2560279999999997</v>
      </c>
      <c r="E1336">
        <v>0.56437130000000002</v>
      </c>
      <c r="F1336" t="s">
        <v>38</v>
      </c>
      <c r="G1336">
        <v>-289.385999999999</v>
      </c>
      <c r="H1336">
        <v>0.88102499999999995</v>
      </c>
      <c r="I1336">
        <v>284.03089999999997</v>
      </c>
      <c r="J1336">
        <v>-288.93610000000001</v>
      </c>
      <c r="K1336">
        <v>1.1098110000000001</v>
      </c>
      <c r="L1336">
        <v>283.90789999999998</v>
      </c>
      <c r="M1336">
        <v>-0.99997069999999999</v>
      </c>
      <c r="N1336">
        <v>0</v>
      </c>
      <c r="O1336">
        <v>-2.686445E-3</v>
      </c>
      <c r="P1336">
        <v>-0.99788169999999898</v>
      </c>
      <c r="Q1336">
        <v>6.0537699999999903E-2</v>
      </c>
      <c r="R1336">
        <v>-2.3824560000000002E-2</v>
      </c>
      <c r="S1336">
        <v>-3.067291</v>
      </c>
      <c r="T1336">
        <v>-0.84398130000000005</v>
      </c>
      <c r="U1336">
        <v>0.44894409999999901</v>
      </c>
      <c r="V1336">
        <v>-2.1196420000000001E-2</v>
      </c>
      <c r="W1336">
        <v>6.7682770000000003E-2</v>
      </c>
      <c r="X1336">
        <v>0.99748169999999903</v>
      </c>
      <c r="Y1336">
        <v>0.1422052</v>
      </c>
      <c r="Z1336">
        <v>1.9833050000000001E-2</v>
      </c>
      <c r="AA1336">
        <v>0.98963849999999998</v>
      </c>
      <c r="AB1336">
        <v>38</v>
      </c>
      <c r="AC1336">
        <v>-0.449899999999956</v>
      </c>
      <c r="AD1336">
        <v>-0.22878599999999999</v>
      </c>
      <c r="AE1336">
        <v>0.12299999999999001</v>
      </c>
      <c r="AF1336">
        <v>0.10011830564667699</v>
      </c>
      <c r="AG1336">
        <v>-0.22878599999999999</v>
      </c>
      <c r="AH1336">
        <v>0.36237521467397399</v>
      </c>
      <c r="AI1336">
        <v>121.32268811048699</v>
      </c>
      <c r="AJ1336">
        <v>74.555400551539606</v>
      </c>
      <c r="AK1336">
        <v>0.440093745844644</v>
      </c>
    </row>
    <row r="1337" spans="1:37" x14ac:dyDescent="0.2">
      <c r="A1337" t="str">
        <f>"20200111154052168"</f>
        <v>20200111154052168</v>
      </c>
      <c r="B1337" t="str">
        <f>"1578728452157505"</f>
        <v>1578728452157505</v>
      </c>
      <c r="C1337" t="s">
        <v>37</v>
      </c>
      <c r="D1337">
        <v>5.23034</v>
      </c>
      <c r="E1337">
        <v>0.56438880000000002</v>
      </c>
      <c r="F1337" t="s">
        <v>38</v>
      </c>
      <c r="G1337">
        <v>-289.73419999999999</v>
      </c>
      <c r="H1337">
        <v>0.89128469999999904</v>
      </c>
      <c r="I1337">
        <v>284.02510000000001</v>
      </c>
      <c r="J1337">
        <v>-289.1728</v>
      </c>
      <c r="K1337">
        <v>1.1097859999999999</v>
      </c>
      <c r="L1337">
        <v>283.90710000000001</v>
      </c>
      <c r="M1337">
        <v>-0.99997080000000005</v>
      </c>
      <c r="N1337">
        <v>0</v>
      </c>
      <c r="O1337">
        <v>-2.8281420000000001E-3</v>
      </c>
      <c r="P1337">
        <v>-0.99784619999999902</v>
      </c>
      <c r="Q1337">
        <v>6.103111E-2</v>
      </c>
      <c r="R1337">
        <v>-2.4053629999999999E-2</v>
      </c>
      <c r="S1337">
        <v>-3.068085</v>
      </c>
      <c r="T1337">
        <v>-0.84019089999999996</v>
      </c>
      <c r="U1337">
        <v>0.44979859999999999</v>
      </c>
      <c r="V1337">
        <v>-2.1282369999999998E-2</v>
      </c>
      <c r="W1337">
        <v>6.8109500000000003E-2</v>
      </c>
      <c r="X1337">
        <v>0.99745079999999997</v>
      </c>
      <c r="Y1337">
        <v>0.14260819999999999</v>
      </c>
      <c r="Z1337">
        <v>1.9833670000000001E-2</v>
      </c>
      <c r="AA1337">
        <v>0.98958049999999997</v>
      </c>
      <c r="AB1337">
        <v>38</v>
      </c>
      <c r="AC1337">
        <v>-0.56139999999999102</v>
      </c>
      <c r="AD1337">
        <v>-0.21850130000000001</v>
      </c>
      <c r="AE1337">
        <v>0.117999999999994</v>
      </c>
      <c r="AF1337">
        <v>0.104436339901188</v>
      </c>
      <c r="AG1337">
        <v>-0.21850130000000001</v>
      </c>
      <c r="AH1337">
        <v>0.489980789343676</v>
      </c>
      <c r="AI1337">
        <v>113.564014987755</v>
      </c>
      <c r="AJ1337">
        <v>77.967815078580301</v>
      </c>
      <c r="AK1337">
        <v>0.54656284279074296</v>
      </c>
    </row>
    <row r="1338" spans="1:37" x14ac:dyDescent="0.2">
      <c r="A1338" t="str">
        <f>"20200111154052181"</f>
        <v>20200111154052181</v>
      </c>
      <c r="B1338" t="str">
        <f>"1578728452178001"</f>
        <v>1578728452178001</v>
      </c>
      <c r="C1338" t="s">
        <v>37</v>
      </c>
      <c r="D1338">
        <v>5.2559839999999998</v>
      </c>
      <c r="E1338">
        <v>0.56442429999999999</v>
      </c>
      <c r="F1338" t="s">
        <v>38</v>
      </c>
      <c r="G1338">
        <v>-290.06869999999998</v>
      </c>
      <c r="H1338">
        <v>0.86486839999999998</v>
      </c>
      <c r="I1338">
        <v>284.03840000000002</v>
      </c>
      <c r="J1338">
        <v>-289.40609999999998</v>
      </c>
      <c r="K1338">
        <v>1.1097629999999901</v>
      </c>
      <c r="L1338">
        <v>283.90629999999999</v>
      </c>
      <c r="M1338">
        <v>-0.99997080000000005</v>
      </c>
      <c r="N1338">
        <v>0</v>
      </c>
      <c r="O1338">
        <v>-2.967492E-3</v>
      </c>
      <c r="P1338">
        <v>-0.99781799999999998</v>
      </c>
      <c r="Q1338">
        <v>6.1436829999999998E-2</v>
      </c>
      <c r="R1338">
        <v>-2.418404E-2</v>
      </c>
      <c r="S1338">
        <v>-3.0686040000000001</v>
      </c>
      <c r="T1338">
        <v>-0.8388892</v>
      </c>
      <c r="U1338">
        <v>0.44958500000000001</v>
      </c>
      <c r="V1338">
        <v>-2.127188E-2</v>
      </c>
      <c r="W1338">
        <v>6.8452499999999999E-2</v>
      </c>
      <c r="X1338">
        <v>0.99742759999999997</v>
      </c>
      <c r="Y1338">
        <v>0.14266509999999999</v>
      </c>
      <c r="Z1338">
        <v>1.9845740000000001E-2</v>
      </c>
      <c r="AA1338">
        <v>0.98957199999999901</v>
      </c>
      <c r="AB1338">
        <v>38</v>
      </c>
      <c r="AC1338">
        <v>-0.66259999999999697</v>
      </c>
      <c r="AD1338">
        <v>-0.24489459999999899</v>
      </c>
      <c r="AE1338">
        <v>0.13210000000003599</v>
      </c>
      <c r="AF1338">
        <v>0.11849756452009599</v>
      </c>
      <c r="AG1338">
        <v>-0.24489459999999899</v>
      </c>
      <c r="AH1338">
        <v>0.58530758933493299</v>
      </c>
      <c r="AI1338">
        <v>112.297725594921</v>
      </c>
      <c r="AJ1338">
        <v>78.554963584485904</v>
      </c>
      <c r="AK1338">
        <v>0.64544559185064199</v>
      </c>
    </row>
    <row r="1339" spans="1:37" x14ac:dyDescent="0.2">
      <c r="A1339" t="str">
        <f>"20200111154052198"</f>
        <v>20200111154052198</v>
      </c>
      <c r="B1339" t="str">
        <f>"1578728452187761"</f>
        <v>1578728452187761</v>
      </c>
      <c r="C1339" t="s">
        <v>37</v>
      </c>
      <c r="D1339">
        <v>5.2547160000000002</v>
      </c>
      <c r="E1339">
        <v>0.56443969999999999</v>
      </c>
      <c r="F1339" t="s">
        <v>38</v>
      </c>
      <c r="G1339">
        <v>-290.09179999999998</v>
      </c>
      <c r="H1339">
        <v>0.92250319999999997</v>
      </c>
      <c r="I1339">
        <v>284.00670000000002</v>
      </c>
      <c r="J1339">
        <v>-289.69369999999998</v>
      </c>
      <c r="K1339">
        <v>1.1097360000000001</v>
      </c>
      <c r="L1339">
        <v>283.90539999999999</v>
      </c>
      <c r="M1339">
        <v>-0.99997069999999999</v>
      </c>
      <c r="N1339">
        <v>0</v>
      </c>
      <c r="O1339">
        <v>-3.1398289999999998E-3</v>
      </c>
      <c r="P1339">
        <v>-0.99776860000000001</v>
      </c>
      <c r="Q1339">
        <v>6.2249060000000002E-2</v>
      </c>
      <c r="R1339">
        <v>-2.4147709999999999E-2</v>
      </c>
      <c r="S1339">
        <v>-3.069061</v>
      </c>
      <c r="T1339">
        <v>-0.83820989999999995</v>
      </c>
      <c r="U1339">
        <v>0.44937129999999997</v>
      </c>
      <c r="V1339">
        <v>-2.1062009999999999E-2</v>
      </c>
      <c r="W1339">
        <v>6.9193180000000007E-2</v>
      </c>
      <c r="X1339">
        <v>0.99738090000000001</v>
      </c>
      <c r="Y1339">
        <v>0.1427476</v>
      </c>
      <c r="Z1339">
        <v>1.9884490000000001E-2</v>
      </c>
      <c r="AA1339">
        <v>0.98955939999999998</v>
      </c>
      <c r="AB1339">
        <v>38</v>
      </c>
      <c r="AC1339">
        <v>-0.39809999999999901</v>
      </c>
      <c r="AD1339">
        <v>-0.1872328</v>
      </c>
      <c r="AE1339">
        <v>0.101300000000037</v>
      </c>
      <c r="AF1339">
        <v>8.4909837833072599E-2</v>
      </c>
      <c r="AG1339">
        <v>-0.1872328</v>
      </c>
      <c r="AH1339">
        <v>0.329357367040018</v>
      </c>
      <c r="AI1339">
        <v>118.831907996883</v>
      </c>
      <c r="AJ1339">
        <v>75.543670076432207</v>
      </c>
      <c r="AK1339">
        <v>0.38825517019121802</v>
      </c>
    </row>
    <row r="1340" spans="1:37" x14ac:dyDescent="0.2">
      <c r="A1340" t="str">
        <f>"20200111154052213"</f>
        <v>20200111154052213</v>
      </c>
      <c r="B1340" t="str">
        <f>"1578728452207281"</f>
        <v>1578728452207281</v>
      </c>
      <c r="C1340" t="s">
        <v>37</v>
      </c>
      <c r="D1340">
        <v>5.2461149999999996</v>
      </c>
      <c r="E1340">
        <v>0.56443449999999995</v>
      </c>
      <c r="F1340" t="s">
        <v>38</v>
      </c>
      <c r="G1340">
        <v>-290.43200000000002</v>
      </c>
      <c r="H1340">
        <v>0.90866069999999999</v>
      </c>
      <c r="I1340">
        <v>284.0138</v>
      </c>
      <c r="J1340">
        <v>-289.93310000000002</v>
      </c>
      <c r="K1340">
        <v>1.10972</v>
      </c>
      <c r="L1340">
        <v>283.90449999999998</v>
      </c>
      <c r="M1340">
        <v>-0.9999709</v>
      </c>
      <c r="N1340">
        <v>0</v>
      </c>
      <c r="O1340">
        <v>-3.2836559999999998E-3</v>
      </c>
      <c r="P1340">
        <v>-0.99774470000000004</v>
      </c>
      <c r="Q1340">
        <v>6.2612780000000007E-2</v>
      </c>
      <c r="R1340">
        <v>-2.419379E-2</v>
      </c>
      <c r="S1340">
        <v>-3.0697329999999998</v>
      </c>
      <c r="T1340">
        <v>-0.83609339999999999</v>
      </c>
      <c r="U1340">
        <v>0.4493103</v>
      </c>
      <c r="V1340">
        <v>-2.0963590000000001E-2</v>
      </c>
      <c r="W1340">
        <v>6.9501430000000003E-2</v>
      </c>
      <c r="X1340">
        <v>0.99736150000000001</v>
      </c>
      <c r="Y1340">
        <v>0.1428585</v>
      </c>
      <c r="Z1340">
        <v>1.988496E-2</v>
      </c>
      <c r="AA1340">
        <v>0.98954330000000001</v>
      </c>
      <c r="AB1340">
        <v>39</v>
      </c>
      <c r="AC1340">
        <v>-0.49889999999999102</v>
      </c>
      <c r="AD1340">
        <v>-0.2010593</v>
      </c>
      <c r="AE1340">
        <v>0.10930000000001799</v>
      </c>
      <c r="AF1340">
        <v>9.6052015540574895E-2</v>
      </c>
      <c r="AG1340">
        <v>-0.2010593</v>
      </c>
      <c r="AH1340">
        <v>0.43164436290443597</v>
      </c>
      <c r="AI1340">
        <v>114.450211566072</v>
      </c>
      <c r="AJ1340">
        <v>77.454617101075002</v>
      </c>
      <c r="AK1340">
        <v>0.48576505414971299</v>
      </c>
    </row>
    <row r="1341" spans="1:37" x14ac:dyDescent="0.2">
      <c r="A1341" t="str">
        <f>"20200111154052233"</f>
        <v>20200111154052233</v>
      </c>
      <c r="B1341" t="str">
        <f>"1578728452227778"</f>
        <v>1578728452227778</v>
      </c>
      <c r="C1341" t="s">
        <v>37</v>
      </c>
      <c r="D1341">
        <v>5.2578339999999999</v>
      </c>
      <c r="E1341">
        <v>0.56436529999999996</v>
      </c>
      <c r="F1341" t="s">
        <v>38</v>
      </c>
      <c r="G1341">
        <v>-290.76839999999999</v>
      </c>
      <c r="H1341">
        <v>0.88239259999999997</v>
      </c>
      <c r="I1341">
        <v>284.02690000000001</v>
      </c>
      <c r="J1341">
        <v>-290.30079999999998</v>
      </c>
      <c r="K1341">
        <v>1.1096999999999999</v>
      </c>
      <c r="L1341">
        <v>283.90309999999999</v>
      </c>
      <c r="M1341">
        <v>-0.99997039999999904</v>
      </c>
      <c r="N1341">
        <v>0</v>
      </c>
      <c r="O1341">
        <v>-3.5052170000000001E-3</v>
      </c>
      <c r="P1341">
        <v>-0.99769660000000004</v>
      </c>
      <c r="Q1341">
        <v>6.3348890000000005E-2</v>
      </c>
      <c r="R1341">
        <v>-2.4263010000000002E-2</v>
      </c>
      <c r="S1341">
        <v>-3.0700989999999999</v>
      </c>
      <c r="T1341">
        <v>-0.83557130000000002</v>
      </c>
      <c r="U1341">
        <v>0.44906620000000003</v>
      </c>
      <c r="V1341">
        <v>-2.0810439999999999E-2</v>
      </c>
      <c r="W1341">
        <v>7.0158330000000005E-2</v>
      </c>
      <c r="X1341">
        <v>0.9973187</v>
      </c>
      <c r="Y1341">
        <v>0.14297899999999999</v>
      </c>
      <c r="Z1341">
        <v>1.994576E-2</v>
      </c>
      <c r="AA1341">
        <v>0.98952469999999904</v>
      </c>
      <c r="AB1341">
        <v>39</v>
      </c>
      <c r="AC1341">
        <v>-0.46760000000000401</v>
      </c>
      <c r="AD1341">
        <v>-0.22730739999999899</v>
      </c>
      <c r="AE1341">
        <v>0.12380000000001699</v>
      </c>
      <c r="AF1341">
        <v>0.10274850187265799</v>
      </c>
      <c r="AG1341">
        <v>-0.22730739999999899</v>
      </c>
      <c r="AH1341">
        <v>0.38266071317119199</v>
      </c>
      <c r="AI1341">
        <v>119.842756874526</v>
      </c>
      <c r="AJ1341">
        <v>74.969986491942905</v>
      </c>
      <c r="AK1341">
        <v>0.45678783930455202</v>
      </c>
    </row>
    <row r="1342" spans="1:37" x14ac:dyDescent="0.2">
      <c r="A1342" t="str">
        <f>"20200111154052256"</f>
        <v>20200111154052256</v>
      </c>
      <c r="B1342" t="str">
        <f>"1578728452247297"</f>
        <v>1578728452247297</v>
      </c>
      <c r="C1342" t="s">
        <v>37</v>
      </c>
      <c r="D1342">
        <v>5.2700519999999997</v>
      </c>
      <c r="E1342">
        <v>0.56441140000000001</v>
      </c>
      <c r="F1342" t="s">
        <v>38</v>
      </c>
      <c r="G1342">
        <v>-291.1182</v>
      </c>
      <c r="H1342">
        <v>0.88761399999999901</v>
      </c>
      <c r="I1342">
        <v>284.02249999999998</v>
      </c>
      <c r="J1342">
        <v>-290.68439999999998</v>
      </c>
      <c r="K1342">
        <v>1.1096900000000001</v>
      </c>
      <c r="L1342">
        <v>283.9015</v>
      </c>
      <c r="M1342">
        <v>-0.99997009999999897</v>
      </c>
      <c r="N1342">
        <v>0</v>
      </c>
      <c r="O1342">
        <v>-3.7370770000000001E-3</v>
      </c>
      <c r="P1342">
        <v>-0.99766829999999995</v>
      </c>
      <c r="Q1342">
        <v>6.3731850000000007E-2</v>
      </c>
      <c r="R1342">
        <v>-2.4417169999999998E-2</v>
      </c>
      <c r="S1342">
        <v>-3.07077</v>
      </c>
      <c r="T1342">
        <v>-0.83442569999999905</v>
      </c>
      <c r="U1342">
        <v>0.44790649999999999</v>
      </c>
      <c r="V1342">
        <v>-2.0731989999999999E-2</v>
      </c>
      <c r="W1342">
        <v>7.0467500000000002E-2</v>
      </c>
      <c r="X1342">
        <v>0.99729859999999904</v>
      </c>
      <c r="Y1342">
        <v>0.14282449999999999</v>
      </c>
      <c r="Z1342">
        <v>1.9956789999999999E-2</v>
      </c>
      <c r="AA1342">
        <v>0.98954679999999995</v>
      </c>
      <c r="AB1342">
        <v>39</v>
      </c>
      <c r="AC1342">
        <v>-0.433800000000019</v>
      </c>
      <c r="AD1342">
        <v>-0.222076</v>
      </c>
      <c r="AE1342">
        <v>0.12099999999998</v>
      </c>
      <c r="AF1342">
        <v>9.8636317300124204E-2</v>
      </c>
      <c r="AG1342">
        <v>-0.222076</v>
      </c>
      <c r="AH1342">
        <v>0.34858436991956099</v>
      </c>
      <c r="AI1342">
        <v>121.508751770581</v>
      </c>
      <c r="AJ1342">
        <v>74.200474319173907</v>
      </c>
      <c r="AK1342">
        <v>0.42492109363827502</v>
      </c>
    </row>
    <row r="1343" spans="1:37" x14ac:dyDescent="0.2">
      <c r="A1343" t="str">
        <f>"20200111154052278"</f>
        <v>20200111154052278</v>
      </c>
      <c r="B1343" t="str">
        <f>"1578728452267797"</f>
        <v>1578728452267797</v>
      </c>
      <c r="C1343" t="s">
        <v>37</v>
      </c>
      <c r="D1343">
        <v>5.1153199999999996</v>
      </c>
      <c r="E1343">
        <v>0.52716099999999999</v>
      </c>
      <c r="F1343" t="s">
        <v>38</v>
      </c>
      <c r="G1343">
        <v>-291.47019999999998</v>
      </c>
      <c r="H1343">
        <v>0.89643099999999998</v>
      </c>
      <c r="I1343">
        <v>284.01620000000003</v>
      </c>
      <c r="J1343">
        <v>-291.07310000000001</v>
      </c>
      <c r="K1343">
        <v>1.1096809999999999</v>
      </c>
      <c r="L1343">
        <v>283.8999</v>
      </c>
      <c r="M1343">
        <v>-0.99996969999999996</v>
      </c>
      <c r="N1343">
        <v>0</v>
      </c>
      <c r="O1343">
        <v>-3.9723279999999998E-3</v>
      </c>
      <c r="P1343">
        <v>-0.99761239999999995</v>
      </c>
      <c r="Q1343">
        <v>6.4553189999999996E-2</v>
      </c>
      <c r="R1343">
        <v>-2.454373E-2</v>
      </c>
      <c r="S1343">
        <v>-3.071167</v>
      </c>
      <c r="T1343">
        <v>-0.83347399999999905</v>
      </c>
      <c r="U1343">
        <v>0.44763180000000002</v>
      </c>
      <c r="V1343">
        <v>-2.0623409999999998E-2</v>
      </c>
      <c r="W1343">
        <v>7.1221870000000007E-2</v>
      </c>
      <c r="X1343">
        <v>0.99724729999999995</v>
      </c>
      <c r="Y1343">
        <v>0.1429522</v>
      </c>
      <c r="Z1343">
        <v>2.0011810000000001E-2</v>
      </c>
      <c r="AA1343">
        <v>0.98952719999999905</v>
      </c>
      <c r="AB1343">
        <v>39</v>
      </c>
      <c r="AC1343">
        <v>-0.39709999999996598</v>
      </c>
      <c r="AD1343">
        <v>-0.213249999999999</v>
      </c>
      <c r="AE1343">
        <v>0.116300000000023</v>
      </c>
      <c r="AF1343">
        <v>9.3138378741264599E-2</v>
      </c>
      <c r="AG1343">
        <v>-0.213249999999999</v>
      </c>
      <c r="AH1343">
        <v>0.313395121508732</v>
      </c>
      <c r="AI1343">
        <v>123.114633091797</v>
      </c>
      <c r="AJ1343">
        <v>73.448496164219804</v>
      </c>
      <c r="AK1343">
        <v>0.39034192995375799</v>
      </c>
    </row>
    <row r="1344" spans="1:37" x14ac:dyDescent="0.2">
      <c r="A1344" t="str">
        <f>"20200111154052292"</f>
        <v>20200111154052292</v>
      </c>
      <c r="B1344" t="str">
        <f>"1578728452287313"</f>
        <v>1578728452287313</v>
      </c>
      <c r="C1344" t="s">
        <v>37</v>
      </c>
      <c r="D1344">
        <v>5.2594050000000001</v>
      </c>
      <c r="E1344">
        <v>0.51059520000000003</v>
      </c>
      <c r="F1344" t="s">
        <v>38</v>
      </c>
      <c r="G1344">
        <v>-291.83429999999998</v>
      </c>
      <c r="H1344">
        <v>0.93228140000000004</v>
      </c>
      <c r="I1344">
        <v>283.9375</v>
      </c>
      <c r="J1344">
        <v>-291.30970000000002</v>
      </c>
      <c r="K1344">
        <v>1.1096729999999999</v>
      </c>
      <c r="L1344">
        <v>283.89879999999999</v>
      </c>
      <c r="M1344">
        <v>-0.99996939999999901</v>
      </c>
      <c r="N1344">
        <v>0</v>
      </c>
      <c r="O1344">
        <v>-4.1158169999999999E-3</v>
      </c>
      <c r="P1344">
        <v>-0.9975813</v>
      </c>
      <c r="Q1344">
        <v>6.4958160000000001E-2</v>
      </c>
      <c r="R1344">
        <v>-2.4743930000000001E-2</v>
      </c>
      <c r="S1344">
        <v>-3.057007</v>
      </c>
      <c r="T1344">
        <v>-0.71249010000000002</v>
      </c>
      <c r="U1344">
        <v>0.14950559999999999</v>
      </c>
      <c r="V1344">
        <v>-2.068041E-2</v>
      </c>
      <c r="W1344">
        <v>7.1590470000000003E-2</v>
      </c>
      <c r="X1344">
        <v>0.99721970000000004</v>
      </c>
      <c r="Y1344">
        <v>5.1471699999999898E-2</v>
      </c>
      <c r="Z1344">
        <v>6.861565E-3</v>
      </c>
      <c r="AA1344">
        <v>0.99865090000000001</v>
      </c>
      <c r="AB1344">
        <v>39</v>
      </c>
      <c r="AC1344">
        <v>-0.52459999999996398</v>
      </c>
      <c r="AD1344">
        <v>-0.17739159999999901</v>
      </c>
      <c r="AE1344">
        <v>3.8700000000005702E-2</v>
      </c>
      <c r="AF1344">
        <v>3.6686714378096001E-2</v>
      </c>
      <c r="AG1344">
        <v>-0.17739159999999901</v>
      </c>
      <c r="AH1344">
        <v>0.47088527186775397</v>
      </c>
      <c r="AI1344">
        <v>110.58523456153701</v>
      </c>
      <c r="AJ1344">
        <v>85.545079822817598</v>
      </c>
      <c r="AK1344">
        <v>0.50452614800859297</v>
      </c>
    </row>
    <row r="1345" spans="1:37" x14ac:dyDescent="0.2">
      <c r="A1345" t="str">
        <f>"20200111154052310"</f>
        <v>20200111154052310</v>
      </c>
      <c r="B1345" t="str">
        <f>"1578728452307809"</f>
        <v>1578728452307809</v>
      </c>
      <c r="C1345" t="s">
        <v>37</v>
      </c>
      <c r="D1345">
        <v>5.1357400000000002</v>
      </c>
      <c r="E1345">
        <v>0.48699609999999899</v>
      </c>
      <c r="F1345" t="s">
        <v>38</v>
      </c>
      <c r="G1345">
        <v>-292.19909999999999</v>
      </c>
      <c r="H1345">
        <v>0.96087710000000004</v>
      </c>
      <c r="I1345">
        <v>283.90350000000001</v>
      </c>
      <c r="J1345">
        <v>-291.63510000000002</v>
      </c>
      <c r="K1345">
        <v>1.109666</v>
      </c>
      <c r="L1345">
        <v>283.89729999999997</v>
      </c>
      <c r="M1345">
        <v>-0.99996890000000005</v>
      </c>
      <c r="N1345">
        <v>0</v>
      </c>
      <c r="O1345">
        <v>-4.3124390000000004E-3</v>
      </c>
      <c r="P1345">
        <v>-0.99753590000000003</v>
      </c>
      <c r="Q1345">
        <v>6.5509269999999994E-2</v>
      </c>
      <c r="R1345">
        <v>-2.511677E-2</v>
      </c>
      <c r="S1345">
        <v>-3.0408019999999998</v>
      </c>
      <c r="T1345">
        <v>-0.50882879999999997</v>
      </c>
      <c r="U1345">
        <v>1.544189E-2</v>
      </c>
      <c r="V1345">
        <v>-2.0857009999999999E-2</v>
      </c>
      <c r="W1345">
        <v>7.2096510000000003E-2</v>
      </c>
      <c r="X1345">
        <v>0.99717960000000005</v>
      </c>
      <c r="Y1345">
        <v>9.202689E-3</v>
      </c>
      <c r="Z1345">
        <v>1.4812860000000001E-3</v>
      </c>
      <c r="AA1345">
        <v>0.99995650000000003</v>
      </c>
      <c r="AB1345">
        <v>39</v>
      </c>
      <c r="AC1345">
        <v>-0.56399999999996397</v>
      </c>
      <c r="AD1345">
        <v>-0.1487889</v>
      </c>
      <c r="AE1345">
        <v>6.2000000000352797E-3</v>
      </c>
      <c r="AF1345">
        <v>8.0705992488366192E-3</v>
      </c>
      <c r="AG1345">
        <v>-0.1487889</v>
      </c>
      <c r="AH1345">
        <v>0.52727625358513797</v>
      </c>
      <c r="AI1345">
        <v>105.756461057221</v>
      </c>
      <c r="AJ1345">
        <v>89.123087440787103</v>
      </c>
      <c r="AK1345">
        <v>0.54792656344643798</v>
      </c>
    </row>
    <row r="1346" spans="1:37" x14ac:dyDescent="0.2">
      <c r="A1346" t="str">
        <f>"20200111154052325"</f>
        <v>20200111154052325</v>
      </c>
      <c r="B1346" t="str">
        <f>"1578728452317570"</f>
        <v>1578728452317570</v>
      </c>
      <c r="C1346" t="s">
        <v>37</v>
      </c>
      <c r="D1346">
        <v>5.2102219999999999</v>
      </c>
      <c r="E1346">
        <v>0.48599629999999999</v>
      </c>
      <c r="F1346" t="s">
        <v>44</v>
      </c>
      <c r="G1346">
        <v>-349.50310000000002</v>
      </c>
      <c r="H1346" s="1">
        <v>3.5202639999999998E-6</v>
      </c>
      <c r="I1346">
        <v>280.4896</v>
      </c>
      <c r="J1346">
        <v>-291.892</v>
      </c>
      <c r="K1346">
        <v>1.1096600000000001</v>
      </c>
      <c r="L1346">
        <v>283.89609999999999</v>
      </c>
      <c r="M1346">
        <v>-0.99996830000000003</v>
      </c>
      <c r="N1346">
        <v>0</v>
      </c>
      <c r="O1346">
        <v>-4.46751599999999E-3</v>
      </c>
      <c r="P1346">
        <v>-0.99752580000000002</v>
      </c>
      <c r="Q1346">
        <v>6.5489240000000004E-2</v>
      </c>
      <c r="R1346">
        <v>-2.5561480000000001E-2</v>
      </c>
      <c r="S1346">
        <v>-3.0067439999999999</v>
      </c>
      <c r="T1346">
        <v>-5.7656649999999997E-2</v>
      </c>
      <c r="U1346">
        <v>-0.177063</v>
      </c>
      <c r="V1346">
        <v>-2.1146189999999999E-2</v>
      </c>
      <c r="W1346">
        <v>7.2043720000000006E-2</v>
      </c>
      <c r="X1346">
        <v>0.99717730000000004</v>
      </c>
      <c r="Y1346">
        <v>-5.4317150000000002E-2</v>
      </c>
      <c r="Z1346">
        <v>-4.3470329999999998E-4</v>
      </c>
      <c r="AA1346">
        <v>0.99852369999999901</v>
      </c>
      <c r="AB1346">
        <v>39</v>
      </c>
      <c r="AC1346">
        <v>-57.6111</v>
      </c>
      <c r="AD1346">
        <v>-1.109656479736</v>
      </c>
      <c r="AE1346">
        <v>-3.4064999999999901</v>
      </c>
      <c r="AF1346">
        <v>-3.14791811803914</v>
      </c>
      <c r="AG1346">
        <v>-1.109656479736</v>
      </c>
      <c r="AH1346">
        <v>57.604447631916798</v>
      </c>
      <c r="AI1346">
        <v>91.101930277789293</v>
      </c>
      <c r="AJ1346">
        <v>93.127939100091595</v>
      </c>
      <c r="AK1346">
        <v>57.701066826872001</v>
      </c>
    </row>
    <row r="1347" spans="1:37" x14ac:dyDescent="0.2">
      <c r="A1347" t="str">
        <f>"20200111154052344"</f>
        <v>20200111154052344</v>
      </c>
      <c r="B1347" t="str">
        <f>"1578728452338065"</f>
        <v>1578728452338065</v>
      </c>
      <c r="C1347" t="s">
        <v>37</v>
      </c>
      <c r="D1347">
        <v>5.2100989999999996</v>
      </c>
      <c r="E1347">
        <v>0.48392659999999998</v>
      </c>
      <c r="F1347" t="s">
        <v>44</v>
      </c>
      <c r="G1347">
        <v>-344.3202</v>
      </c>
      <c r="H1347" s="1">
        <v>7.6221419999999898E-7</v>
      </c>
      <c r="I1347">
        <v>280.64599999999899</v>
      </c>
      <c r="J1347">
        <v>-292.24939999999998</v>
      </c>
      <c r="K1347">
        <v>1.1096539999999999</v>
      </c>
      <c r="L1347">
        <v>283.89429999999999</v>
      </c>
      <c r="M1347">
        <v>-0.99996770000000001</v>
      </c>
      <c r="N1347">
        <v>0</v>
      </c>
      <c r="O1347">
        <v>-4.6830090000000001E-3</v>
      </c>
      <c r="P1347">
        <v>-0.99752079999999999</v>
      </c>
      <c r="Q1347">
        <v>6.5443029999999999E-2</v>
      </c>
      <c r="R1347">
        <v>-2.5877230000000001E-2</v>
      </c>
      <c r="S1347">
        <v>-3.0068969999999999</v>
      </c>
      <c r="T1347">
        <v>-6.3641909999999996E-2</v>
      </c>
      <c r="U1347">
        <v>-0.18640139999999999</v>
      </c>
      <c r="V1347">
        <v>-2.1247120000000001E-2</v>
      </c>
      <c r="W1347">
        <v>7.1957649999999998E-2</v>
      </c>
      <c r="X1347">
        <v>0.9971814</v>
      </c>
      <c r="Y1347">
        <v>-5.7185979999999997E-2</v>
      </c>
      <c r="Z1347">
        <v>-5.0552219999999996E-4</v>
      </c>
      <c r="AA1347">
        <v>0.99836340000000001</v>
      </c>
      <c r="AB1347">
        <v>39</v>
      </c>
      <c r="AC1347">
        <v>-52.070799999999998</v>
      </c>
      <c r="AD1347">
        <v>-1.1096532377857999</v>
      </c>
      <c r="AE1347">
        <v>-3.2483000000000199</v>
      </c>
      <c r="AF1347">
        <v>-3.0030526442045198</v>
      </c>
      <c r="AG1347">
        <v>-1.1096532377857999</v>
      </c>
      <c r="AH1347">
        <v>52.061889610291999</v>
      </c>
      <c r="AI1347">
        <v>91.218998442665196</v>
      </c>
      <c r="AJ1347">
        <v>93.301297588101704</v>
      </c>
      <c r="AK1347">
        <v>52.160233945854003</v>
      </c>
    </row>
    <row r="1348" spans="1:37" x14ac:dyDescent="0.2">
      <c r="A1348" t="str">
        <f>"20200111154052358"</f>
        <v>20200111154052358</v>
      </c>
      <c r="B1348" t="str">
        <f>"1578728452347825"</f>
        <v>1578728452347825</v>
      </c>
      <c r="C1348" t="s">
        <v>37</v>
      </c>
      <c r="D1348">
        <v>5.2158889999999998</v>
      </c>
      <c r="E1348">
        <v>0.4835526</v>
      </c>
      <c r="F1348" t="s">
        <v>44</v>
      </c>
      <c r="G1348">
        <v>-330.8621</v>
      </c>
      <c r="H1348" s="1">
        <v>-9.3208459999999998E-7</v>
      </c>
      <c r="I1348">
        <v>281.27769999999998</v>
      </c>
      <c r="J1348">
        <v>-292.4957</v>
      </c>
      <c r="K1348">
        <v>1.10965</v>
      </c>
      <c r="L1348">
        <v>283.8931</v>
      </c>
      <c r="M1348">
        <v>-0.99996719999999895</v>
      </c>
      <c r="N1348">
        <v>0</v>
      </c>
      <c r="O1348">
        <v>-4.8313330000000002E-3</v>
      </c>
      <c r="P1348">
        <v>-0.99751449999999997</v>
      </c>
      <c r="Q1348">
        <v>6.5383049999999998E-2</v>
      </c>
      <c r="R1348">
        <v>-2.6263849999999998E-2</v>
      </c>
      <c r="S1348">
        <v>-3.0078429999999998</v>
      </c>
      <c r="T1348">
        <v>-8.6439489999999994E-2</v>
      </c>
      <c r="U1348">
        <v>-0.20382690000000001</v>
      </c>
      <c r="V1348">
        <v>-2.148547E-2</v>
      </c>
      <c r="W1348">
        <v>7.1872969999999994E-2</v>
      </c>
      <c r="X1348">
        <v>0.99718240000000002</v>
      </c>
      <c r="Y1348">
        <v>-6.2765109999999999E-2</v>
      </c>
      <c r="Z1348">
        <v>-7.6200210000000005E-4</v>
      </c>
      <c r="AA1348">
        <v>0.99802800000000003</v>
      </c>
      <c r="AB1348">
        <v>39</v>
      </c>
      <c r="AC1348">
        <v>-38.366399999999999</v>
      </c>
      <c r="AD1348">
        <v>-1.1096509320846</v>
      </c>
      <c r="AE1348">
        <v>-2.6154000000000202</v>
      </c>
      <c r="AF1348">
        <v>-2.42798306821012</v>
      </c>
      <c r="AG1348">
        <v>-1.1096509320846</v>
      </c>
      <c r="AH1348">
        <v>38.346659389030201</v>
      </c>
      <c r="AI1348">
        <v>91.654215101989706</v>
      </c>
      <c r="AJ1348">
        <v>93.622942101942797</v>
      </c>
      <c r="AK1348">
        <v>38.439468170994402</v>
      </c>
    </row>
    <row r="1349" spans="1:37" x14ac:dyDescent="0.2">
      <c r="A1349" t="str">
        <f>"20200111154052379"</f>
        <v>20200111154052379</v>
      </c>
      <c r="B1349" t="str">
        <f>"1578728452367344"</f>
        <v>1578728452367344</v>
      </c>
      <c r="C1349" t="s">
        <v>37</v>
      </c>
      <c r="D1349">
        <v>5.215643</v>
      </c>
      <c r="E1349">
        <v>0.48397209999999902</v>
      </c>
      <c r="F1349" t="s">
        <v>44</v>
      </c>
      <c r="G1349">
        <v>-327.06349999999998</v>
      </c>
      <c r="H1349" s="1">
        <v>2.358026E-6</v>
      </c>
      <c r="I1349">
        <v>281.50540000000001</v>
      </c>
      <c r="J1349">
        <v>-292.83920000000001</v>
      </c>
      <c r="K1349">
        <v>1.109639</v>
      </c>
      <c r="L1349">
        <v>283.8913</v>
      </c>
      <c r="M1349">
        <v>-0.99996629999999997</v>
      </c>
      <c r="N1349">
        <v>0</v>
      </c>
      <c r="O1349">
        <v>-5.0379300000000004E-3</v>
      </c>
      <c r="P1349">
        <v>-0.99752559999999901</v>
      </c>
      <c r="Q1349">
        <v>6.5066479999999996E-2</v>
      </c>
      <c r="R1349">
        <v>-2.663302E-2</v>
      </c>
      <c r="S1349">
        <v>-3.0083009999999999</v>
      </c>
      <c r="T1349">
        <v>-9.6568230000000005E-2</v>
      </c>
      <c r="U1349">
        <v>-0.20779420000000001</v>
      </c>
      <c r="V1349">
        <v>-2.164816E-2</v>
      </c>
      <c r="W1349">
        <v>7.1526740000000005E-2</v>
      </c>
      <c r="X1349">
        <v>0.99720370000000003</v>
      </c>
      <c r="Y1349">
        <v>-6.3852339999999994E-2</v>
      </c>
      <c r="Z1349">
        <v>-8.6188429999999895E-4</v>
      </c>
      <c r="AA1349">
        <v>0.99795900000000004</v>
      </c>
      <c r="AB1349">
        <v>39</v>
      </c>
      <c r="AC1349">
        <v>-34.2242999999999</v>
      </c>
      <c r="AD1349">
        <v>-1.109636641974</v>
      </c>
      <c r="AE1349">
        <v>-2.3858999999999901</v>
      </c>
      <c r="AF1349">
        <v>-2.21113333098761</v>
      </c>
      <c r="AG1349">
        <v>-1.109636641974</v>
      </c>
      <c r="AH1349">
        <v>34.200108050196498</v>
      </c>
      <c r="AI1349">
        <v>91.854464275382995</v>
      </c>
      <c r="AJ1349">
        <v>93.699185105204407</v>
      </c>
      <c r="AK1349">
        <v>34.289470610228598</v>
      </c>
    </row>
    <row r="1350" spans="1:37" x14ac:dyDescent="0.2">
      <c r="A1350" t="str">
        <f>"20200111154052391"</f>
        <v>20200111154052391</v>
      </c>
      <c r="B1350" t="str">
        <f>"1578728452387841"</f>
        <v>1578728452387841</v>
      </c>
      <c r="C1350" t="s">
        <v>37</v>
      </c>
      <c r="D1350">
        <v>5.1483780000000001</v>
      </c>
      <c r="E1350">
        <v>0.48388439999999999</v>
      </c>
      <c r="F1350" t="s">
        <v>44</v>
      </c>
      <c r="G1350">
        <v>-320.93939999999998</v>
      </c>
      <c r="H1350" s="1">
        <v>-9.2134839999999999E-7</v>
      </c>
      <c r="I1350">
        <v>281.9726</v>
      </c>
      <c r="J1350">
        <v>-293.0772</v>
      </c>
      <c r="K1350">
        <v>1.1096330000000001</v>
      </c>
      <c r="L1350">
        <v>283.89</v>
      </c>
      <c r="M1350">
        <v>-0.99996580000000002</v>
      </c>
      <c r="N1350">
        <v>0</v>
      </c>
      <c r="O1350">
        <v>-5.1807959999999997E-3</v>
      </c>
      <c r="P1350">
        <v>-0.99752379999999996</v>
      </c>
      <c r="Q1350">
        <v>6.5003829999999999E-2</v>
      </c>
      <c r="R1350">
        <v>-2.6852640000000001E-2</v>
      </c>
      <c r="S1350">
        <v>-3.0097049999999999</v>
      </c>
      <c r="T1350">
        <v>-0.11884929999999901</v>
      </c>
      <c r="U1350">
        <v>-0.2055054</v>
      </c>
      <c r="V1350">
        <v>-2.1725319999999999E-2</v>
      </c>
      <c r="W1350">
        <v>7.1445410000000001E-2</v>
      </c>
      <c r="X1350">
        <v>0.99720789999999904</v>
      </c>
      <c r="Y1350">
        <v>-6.2907729999999995E-2</v>
      </c>
      <c r="Z1350">
        <v>-1.035886E-3</v>
      </c>
      <c r="AA1350">
        <v>0.99801879999999998</v>
      </c>
      <c r="AB1350">
        <v>40</v>
      </c>
      <c r="AC1350">
        <v>-27.862199999999898</v>
      </c>
      <c r="AD1350">
        <v>-1.1096339213484001</v>
      </c>
      <c r="AE1350">
        <v>-1.91739999999998</v>
      </c>
      <c r="AF1350">
        <v>-1.77022838030982</v>
      </c>
      <c r="AG1350">
        <v>-1.1096339213484001</v>
      </c>
      <c r="AH1350">
        <v>27.827830442685499</v>
      </c>
      <c r="AI1350">
        <v>92.278856408785899</v>
      </c>
      <c r="AJ1350">
        <v>93.639886062694799</v>
      </c>
      <c r="AK1350">
        <v>27.9061488404387</v>
      </c>
    </row>
    <row r="1351" spans="1:37" x14ac:dyDescent="0.2">
      <c r="A1351" t="str">
        <f>"20200111154052411"</f>
        <v>20200111154052411</v>
      </c>
      <c r="B1351" t="str">
        <f>"1578728452397601"</f>
        <v>1578728452397601</v>
      </c>
      <c r="C1351" t="s">
        <v>37</v>
      </c>
      <c r="D1351">
        <v>5.189095</v>
      </c>
      <c r="E1351">
        <v>0.4839813</v>
      </c>
      <c r="F1351" t="s">
        <v>45</v>
      </c>
      <c r="G1351">
        <v>-318.69220000000001</v>
      </c>
      <c r="H1351" s="1">
        <v>6.2888580000000002E-6</v>
      </c>
      <c r="I1351">
        <v>282.13130000000001</v>
      </c>
      <c r="J1351">
        <v>-293.41669999999999</v>
      </c>
      <c r="K1351">
        <v>1.1096250000000001</v>
      </c>
      <c r="L1351">
        <v>283.88810000000001</v>
      </c>
      <c r="M1351">
        <v>-0.99996469999999904</v>
      </c>
      <c r="N1351">
        <v>0</v>
      </c>
      <c r="O1351">
        <v>-5.3842040000000001E-3</v>
      </c>
      <c r="P1351">
        <v>-0.99753169999999902</v>
      </c>
      <c r="Q1351">
        <v>6.4796820000000005E-2</v>
      </c>
      <c r="R1351">
        <v>-2.7056980000000001E-2</v>
      </c>
      <c r="S1351">
        <v>-3.0104060000000001</v>
      </c>
      <c r="T1351">
        <v>-0.130409199999999</v>
      </c>
      <c r="U1351">
        <v>-0.20669560000000001</v>
      </c>
      <c r="V1351">
        <v>-2.172663E-2</v>
      </c>
      <c r="W1351">
        <v>7.1214739999999999E-2</v>
      </c>
      <c r="X1351">
        <v>0.99722429999999995</v>
      </c>
      <c r="Y1351">
        <v>-6.3072580000000003E-2</v>
      </c>
      <c r="Z1351">
        <v>-1.1310409999999999E-3</v>
      </c>
      <c r="AA1351">
        <v>0.99800829999999996</v>
      </c>
      <c r="AB1351">
        <v>40</v>
      </c>
      <c r="AC1351">
        <v>-25.275500000000001</v>
      </c>
      <c r="AD1351">
        <v>-1.1096187111419999</v>
      </c>
      <c r="AE1351">
        <v>-1.7567999999999899</v>
      </c>
      <c r="AF1351">
        <v>-1.61758068946169</v>
      </c>
      <c r="AG1351">
        <v>-1.1096187111419999</v>
      </c>
      <c r="AH1351">
        <v>25.236189064464899</v>
      </c>
      <c r="AI1351">
        <v>92.512486926905893</v>
      </c>
      <c r="AJ1351">
        <v>93.667508273201506</v>
      </c>
      <c r="AK1351">
        <v>25.312310433234899</v>
      </c>
    </row>
    <row r="1352" spans="1:37" x14ac:dyDescent="0.2">
      <c r="A1352" t="str">
        <f>"20200111154052424"</f>
        <v>20200111154052424</v>
      </c>
      <c r="B1352" t="str">
        <f>"1578728452418097"</f>
        <v>1578728452418097</v>
      </c>
      <c r="C1352" t="s">
        <v>37</v>
      </c>
      <c r="D1352">
        <v>5.446377</v>
      </c>
      <c r="E1352">
        <v>0.48408869999999998</v>
      </c>
      <c r="F1352" t="s">
        <v>45</v>
      </c>
      <c r="G1352">
        <v>-318.04809999999998</v>
      </c>
      <c r="H1352" s="1">
        <v>5.9974509999999999E-6</v>
      </c>
      <c r="I1352">
        <v>282.19749999999999</v>
      </c>
      <c r="J1352">
        <v>-293.66129999999998</v>
      </c>
      <c r="K1352">
        <v>1.1096250000000001</v>
      </c>
      <c r="L1352">
        <v>283.88670000000002</v>
      </c>
      <c r="M1352">
        <v>-0.99996409999999902</v>
      </c>
      <c r="N1352">
        <v>0</v>
      </c>
      <c r="O1352">
        <v>-5.5308980000000002E-3</v>
      </c>
      <c r="P1352">
        <v>-0.9975581</v>
      </c>
      <c r="Q1352">
        <v>6.4349290000000003E-2</v>
      </c>
      <c r="R1352">
        <v>-2.7155640000000002E-2</v>
      </c>
      <c r="S1352">
        <v>-3.0106199999999999</v>
      </c>
      <c r="T1352">
        <v>-0.135625</v>
      </c>
      <c r="U1352">
        <v>-0.206634499999999</v>
      </c>
      <c r="V1352">
        <v>-2.1678360000000001E-2</v>
      </c>
      <c r="W1352">
        <v>7.0752889999999999E-2</v>
      </c>
      <c r="X1352">
        <v>0.99725830000000004</v>
      </c>
      <c r="Y1352">
        <v>-6.2897120000000001E-2</v>
      </c>
      <c r="Z1352">
        <v>-1.1656080000000001E-3</v>
      </c>
      <c r="AA1352">
        <v>0.99801930000000005</v>
      </c>
      <c r="AB1352">
        <v>40</v>
      </c>
      <c r="AC1352">
        <v>-24.386799999999901</v>
      </c>
      <c r="AD1352">
        <v>-1.109619002549</v>
      </c>
      <c r="AE1352">
        <v>-1.68920000000002</v>
      </c>
      <c r="AF1352">
        <v>-1.5510945460807199</v>
      </c>
      <c r="AG1352">
        <v>-1.109619002549</v>
      </c>
      <c r="AH1352">
        <v>24.345607362309401</v>
      </c>
      <c r="AI1352">
        <v>92.604335996625906</v>
      </c>
      <c r="AJ1352">
        <v>93.645471423759801</v>
      </c>
      <c r="AK1352">
        <v>24.420191368239401</v>
      </c>
    </row>
    <row r="1353" spans="1:37" x14ac:dyDescent="0.2">
      <c r="A1353" t="str">
        <f>"20200111154052438"</f>
        <v>20200111154052438</v>
      </c>
      <c r="B1353" t="str">
        <f>"1578728452427858"</f>
        <v>1578728452427858</v>
      </c>
      <c r="C1353" t="s">
        <v>37</v>
      </c>
      <c r="D1353">
        <v>5.2378309999999999</v>
      </c>
      <c r="E1353">
        <v>0.48423480000000002</v>
      </c>
      <c r="F1353" t="s">
        <v>45</v>
      </c>
      <c r="G1353">
        <v>-317.46170000000001</v>
      </c>
      <c r="H1353" s="1">
        <v>5.7318679999999899E-6</v>
      </c>
      <c r="I1353">
        <v>282.26069999999999</v>
      </c>
      <c r="J1353">
        <v>-293.90429999999998</v>
      </c>
      <c r="K1353">
        <v>1.109615</v>
      </c>
      <c r="L1353">
        <v>283.8852</v>
      </c>
      <c r="M1353">
        <v>-0.9999633</v>
      </c>
      <c r="N1353">
        <v>0</v>
      </c>
      <c r="O1353">
        <v>-5.6760530000000003E-3</v>
      </c>
      <c r="P1353">
        <v>-0.99755550000000004</v>
      </c>
      <c r="Q1353">
        <v>6.4371059999999994E-2</v>
      </c>
      <c r="R1353">
        <v>-2.7190280000000001E-2</v>
      </c>
      <c r="S1353">
        <v>-3.0108029999999899</v>
      </c>
      <c r="T1353">
        <v>-0.1403692</v>
      </c>
      <c r="U1353">
        <v>-0.2056885</v>
      </c>
      <c r="V1353">
        <v>-2.1568509999999999E-2</v>
      </c>
      <c r="W1353">
        <v>7.0761439999999995E-2</v>
      </c>
      <c r="X1353">
        <v>0.99726000000000004</v>
      </c>
      <c r="Y1353">
        <v>-6.2432519999999998E-2</v>
      </c>
      <c r="Z1353">
        <v>-1.1887110000000001E-3</v>
      </c>
      <c r="AA1353">
        <v>0.99804850000000001</v>
      </c>
      <c r="AB1353">
        <v>40</v>
      </c>
      <c r="AC1353">
        <v>-23.557400000000001</v>
      </c>
      <c r="AD1353">
        <v>-1.109609268132</v>
      </c>
      <c r="AE1353">
        <v>-1.62450000000001</v>
      </c>
      <c r="AF1353">
        <v>-1.48747348740298</v>
      </c>
      <c r="AG1353">
        <v>-1.109609268132</v>
      </c>
      <c r="AH1353">
        <v>23.5143187102193</v>
      </c>
      <c r="AI1353">
        <v>92.696325632081695</v>
      </c>
      <c r="AJ1353">
        <v>93.619604978669898</v>
      </c>
      <c r="AK1353">
        <v>23.587432978376899</v>
      </c>
    </row>
    <row r="1354" spans="1:37" x14ac:dyDescent="0.2">
      <c r="A1354" t="str">
        <f>"20200111154052457"</f>
        <v>20200111154052457</v>
      </c>
      <c r="B1354" t="str">
        <f>"1578728452447376"</f>
        <v>1578728452447376</v>
      </c>
      <c r="C1354" t="s">
        <v>37</v>
      </c>
      <c r="D1354">
        <v>5.2452750000000004</v>
      </c>
      <c r="E1354">
        <v>0.48410629999999999</v>
      </c>
      <c r="F1354" t="s">
        <v>45</v>
      </c>
      <c r="G1354">
        <v>-317.33789999999999</v>
      </c>
      <c r="H1354" s="1">
        <v>5.6741259999999999E-6</v>
      </c>
      <c r="I1354">
        <v>282.29320000000001</v>
      </c>
      <c r="J1354">
        <v>-294.24619999999999</v>
      </c>
      <c r="K1354">
        <v>1.1096059999999901</v>
      </c>
      <c r="L1354">
        <v>283.88310000000001</v>
      </c>
      <c r="M1354">
        <v>-0.99996219999999902</v>
      </c>
      <c r="N1354">
        <v>0</v>
      </c>
      <c r="O1354">
        <v>-5.8807989999999999E-3</v>
      </c>
      <c r="P1354">
        <v>-0.99758060000000004</v>
      </c>
      <c r="Q1354">
        <v>6.3823530000000003E-2</v>
      </c>
      <c r="R1354">
        <v>-2.7556859999999999E-2</v>
      </c>
      <c r="S1354">
        <v>-3.0109859999999999</v>
      </c>
      <c r="T1354">
        <v>-0.142573799999999</v>
      </c>
      <c r="U1354">
        <v>-0.204559299999999</v>
      </c>
      <c r="V1354">
        <v>-2.1731049999999998E-2</v>
      </c>
      <c r="W1354">
        <v>7.0197330000000002E-2</v>
      </c>
      <c r="X1354">
        <v>0.99729639999999997</v>
      </c>
      <c r="Y1354">
        <v>-6.1850420000000003E-2</v>
      </c>
      <c r="Z1354">
        <v>-1.183866E-3</v>
      </c>
      <c r="AA1354">
        <v>0.99808469999999905</v>
      </c>
      <c r="AB1354">
        <v>40</v>
      </c>
      <c r="AC1354">
        <v>-23.091699999999999</v>
      </c>
      <c r="AD1354">
        <v>-1.1096003258739999</v>
      </c>
      <c r="AE1354">
        <v>-1.5899000000000001</v>
      </c>
      <c r="AF1354">
        <v>-1.4507381453011801</v>
      </c>
      <c r="AG1354">
        <v>-1.1096003258739999</v>
      </c>
      <c r="AH1354">
        <v>23.0476850541245</v>
      </c>
      <c r="AI1354">
        <v>92.750865535602301</v>
      </c>
      <c r="AJ1354">
        <v>93.601735068519204</v>
      </c>
      <c r="AK1354">
        <v>23.119940320068402</v>
      </c>
    </row>
    <row r="1355" spans="1:37" x14ac:dyDescent="0.2">
      <c r="A1355" t="str">
        <f>"20200111154052479"</f>
        <v>20200111154052479</v>
      </c>
      <c r="B1355" t="str">
        <f>"1578728452467873"</f>
        <v>1578728452467873</v>
      </c>
      <c r="C1355" t="s">
        <v>37</v>
      </c>
      <c r="D1355">
        <v>5.2339019999999996</v>
      </c>
      <c r="E1355">
        <v>0.4845564</v>
      </c>
      <c r="F1355" t="s">
        <v>45</v>
      </c>
      <c r="G1355">
        <v>-316.55</v>
      </c>
      <c r="H1355" s="1">
        <v>5.3194219999999996E-6</v>
      </c>
      <c r="I1355">
        <v>282.35419999999999</v>
      </c>
      <c r="J1355">
        <v>-294.6266</v>
      </c>
      <c r="K1355">
        <v>1.1096029999999999</v>
      </c>
      <c r="L1355">
        <v>283.88069999999999</v>
      </c>
      <c r="M1355">
        <v>-0.99996099999999999</v>
      </c>
      <c r="N1355">
        <v>0</v>
      </c>
      <c r="O1355">
        <v>-6.1079630000000001E-3</v>
      </c>
      <c r="P1355">
        <v>-0.99761489999999997</v>
      </c>
      <c r="Q1355">
        <v>6.3165730000000003E-2</v>
      </c>
      <c r="R1355">
        <v>-2.7835840000000001E-2</v>
      </c>
      <c r="S1355">
        <v>-3.01116899999999</v>
      </c>
      <c r="T1355">
        <v>-0.14980389999999999</v>
      </c>
      <c r="U1355">
        <v>-0.20642089999999999</v>
      </c>
      <c r="V1355">
        <v>-2.1782490000000002E-2</v>
      </c>
      <c r="W1355">
        <v>6.9524240000000001E-2</v>
      </c>
      <c r="X1355">
        <v>0.99734239999999996</v>
      </c>
      <c r="Y1355">
        <v>-6.2227099999999903E-2</v>
      </c>
      <c r="Z1355">
        <v>-1.241802E-3</v>
      </c>
      <c r="AA1355">
        <v>0.99806119999999898</v>
      </c>
      <c r="AB1355">
        <v>40</v>
      </c>
      <c r="AC1355">
        <v>-21.923400000000001</v>
      </c>
      <c r="AD1355">
        <v>-1.1095976805779999</v>
      </c>
      <c r="AE1355">
        <v>-1.52649999999999</v>
      </c>
      <c r="AF1355">
        <v>-1.38902050328507</v>
      </c>
      <c r="AG1355">
        <v>-1.1095976805779999</v>
      </c>
      <c r="AH1355">
        <v>21.8765459325211</v>
      </c>
      <c r="AI1355">
        <v>92.897778914440494</v>
      </c>
      <c r="AJ1355">
        <v>93.633038020928396</v>
      </c>
      <c r="AK1355">
        <v>21.948663898037001</v>
      </c>
    </row>
    <row r="1356" spans="1:37" x14ac:dyDescent="0.2">
      <c r="A1356" t="str">
        <f>"20200111154052494"</f>
        <v>20200111154052494</v>
      </c>
      <c r="B1356" t="str">
        <f>"1578728452487393"</f>
        <v>1578728452487393</v>
      </c>
      <c r="C1356" t="s">
        <v>37</v>
      </c>
      <c r="D1356">
        <v>5.2107130000000002</v>
      </c>
      <c r="E1356">
        <v>0.4847206</v>
      </c>
      <c r="F1356" t="s">
        <v>45</v>
      </c>
      <c r="G1356">
        <v>-316.18150000000003</v>
      </c>
      <c r="H1356" s="1">
        <v>5.1500099999999997E-6</v>
      </c>
      <c r="I1356">
        <v>282.42239999999998</v>
      </c>
      <c r="J1356">
        <v>-294.89080000000001</v>
      </c>
      <c r="K1356">
        <v>1.1095999999999999</v>
      </c>
      <c r="L1356">
        <v>283.87900000000002</v>
      </c>
      <c r="M1356">
        <v>-0.99996019999999897</v>
      </c>
      <c r="N1356">
        <v>0</v>
      </c>
      <c r="O1356">
        <v>-6.2658879999999998E-3</v>
      </c>
      <c r="P1356">
        <v>-0.99761690000000003</v>
      </c>
      <c r="Q1356">
        <v>6.2994809999999998E-2</v>
      </c>
      <c r="R1356">
        <v>-2.8152859999999998E-2</v>
      </c>
      <c r="S1356">
        <v>-3.0112919999999899</v>
      </c>
      <c r="T1356">
        <v>-0.15501489999999901</v>
      </c>
      <c r="U1356">
        <v>-0.20373540000000001</v>
      </c>
      <c r="V1356">
        <v>-2.1941599999999999E-2</v>
      </c>
      <c r="W1356">
        <v>6.9343970000000005E-2</v>
      </c>
      <c r="X1356">
        <v>0.99735149999999995</v>
      </c>
      <c r="Y1356">
        <v>-6.11774E-2</v>
      </c>
      <c r="Z1356">
        <v>-1.2498450000000001E-3</v>
      </c>
      <c r="AA1356">
        <v>0.99812610000000002</v>
      </c>
      <c r="AB1356">
        <v>40</v>
      </c>
      <c r="AC1356">
        <v>-21.290700000000001</v>
      </c>
      <c r="AD1356">
        <v>-1.1095948499899999</v>
      </c>
      <c r="AE1356">
        <v>-1.4566000000000301</v>
      </c>
      <c r="AF1356">
        <v>-1.31959608856941</v>
      </c>
      <c r="AG1356">
        <v>-1.1095948499899999</v>
      </c>
      <c r="AH1356">
        <v>21.241982120491301</v>
      </c>
      <c r="AI1356">
        <v>92.984438344280306</v>
      </c>
      <c r="AJ1356">
        <v>93.554764836615703</v>
      </c>
      <c r="AK1356">
        <v>21.311835654756901</v>
      </c>
    </row>
    <row r="1357" spans="1:37" x14ac:dyDescent="0.2">
      <c r="A1357" t="str">
        <f>"20200111154052511"</f>
        <v>20200111154052511</v>
      </c>
      <c r="B1357" t="str">
        <f>"1578728452507890"</f>
        <v>1578728452507890</v>
      </c>
      <c r="C1357" t="s">
        <v>37</v>
      </c>
      <c r="D1357">
        <v>5.196904</v>
      </c>
      <c r="E1357">
        <v>0.48483039999999999</v>
      </c>
      <c r="F1357" t="s">
        <v>45</v>
      </c>
      <c r="G1357">
        <v>-316.26429999999999</v>
      </c>
      <c r="H1357" s="1">
        <v>5.1855879999999996E-6</v>
      </c>
      <c r="I1357">
        <v>282.43579999999997</v>
      </c>
      <c r="J1357">
        <v>-295.22449999999998</v>
      </c>
      <c r="K1357">
        <v>1.10959599999999</v>
      </c>
      <c r="L1357">
        <v>283.8768</v>
      </c>
      <c r="M1357">
        <v>-0.99995879999999904</v>
      </c>
      <c r="N1357">
        <v>0</v>
      </c>
      <c r="O1357">
        <v>-6.4650559999999899E-3</v>
      </c>
      <c r="P1357">
        <v>-0.99762299999999904</v>
      </c>
      <c r="Q1357">
        <v>6.2653769999999998E-2</v>
      </c>
      <c r="R1357">
        <v>-2.8687020000000001E-2</v>
      </c>
      <c r="S1357">
        <v>-3.0113219999999998</v>
      </c>
      <c r="T1357">
        <v>-0.156331</v>
      </c>
      <c r="U1357">
        <v>-0.20333860000000001</v>
      </c>
      <c r="V1357">
        <v>-2.227647E-2</v>
      </c>
      <c r="W1357">
        <v>6.8992890000000001E-2</v>
      </c>
      <c r="X1357">
        <v>0.99736840000000004</v>
      </c>
      <c r="Y1357">
        <v>-6.0846490000000003E-2</v>
      </c>
      <c r="Z1357">
        <v>-1.2415410000000001E-3</v>
      </c>
      <c r="AA1357">
        <v>0.99814639999999999</v>
      </c>
      <c r="AB1357">
        <v>40</v>
      </c>
      <c r="AC1357">
        <v>-21.0398</v>
      </c>
      <c r="AD1357">
        <v>-1.1095908144119999</v>
      </c>
      <c r="AE1357">
        <v>-1.44100000000003</v>
      </c>
      <c r="AF1357">
        <v>-1.30134115986773</v>
      </c>
      <c r="AG1357">
        <v>-1.1095908144119999</v>
      </c>
      <c r="AH1357">
        <v>20.990568832614699</v>
      </c>
      <c r="AI1357">
        <v>93.020130936816201</v>
      </c>
      <c r="AJ1357">
        <v>93.547595559973104</v>
      </c>
      <c r="AK1357">
        <v>21.060120144636599</v>
      </c>
    </row>
    <row r="1358" spans="1:37" x14ac:dyDescent="0.2">
      <c r="A1358" t="str">
        <f>"20200111154052525"</f>
        <v>20200111154052525</v>
      </c>
      <c r="B1358" t="str">
        <f>"1578728452517649"</f>
        <v>1578728452517649</v>
      </c>
      <c r="C1358" t="s">
        <v>37</v>
      </c>
      <c r="D1358">
        <v>5.2302080000000002</v>
      </c>
      <c r="E1358">
        <v>0.48483339999999903</v>
      </c>
      <c r="F1358" t="s">
        <v>45</v>
      </c>
      <c r="G1358">
        <v>-316.42509999999999</v>
      </c>
      <c r="H1358" s="1">
        <v>5.2565469999999998E-6</v>
      </c>
      <c r="I1358">
        <v>282.43950000000001</v>
      </c>
      <c r="J1358">
        <v>-295.47199999999998</v>
      </c>
      <c r="K1358">
        <v>1.1095919999999999</v>
      </c>
      <c r="L1358">
        <v>283.87509999999997</v>
      </c>
      <c r="M1358">
        <v>-0.99995800000000001</v>
      </c>
      <c r="N1358">
        <v>0</v>
      </c>
      <c r="O1358">
        <v>-6.6128559999999899E-3</v>
      </c>
      <c r="P1358">
        <v>-0.99761299999999997</v>
      </c>
      <c r="Q1358">
        <v>6.2786190000000006E-2</v>
      </c>
      <c r="R1358">
        <v>-2.8747780000000001E-2</v>
      </c>
      <c r="S1358">
        <v>-3.0112000000000001</v>
      </c>
      <c r="T1358">
        <v>-0.157599499999999</v>
      </c>
      <c r="U1358">
        <v>-0.20413210000000001</v>
      </c>
      <c r="V1358">
        <v>-2.21902E-2</v>
      </c>
      <c r="W1358">
        <v>6.9119449999999999E-2</v>
      </c>
      <c r="X1358">
        <v>0.99736150000000001</v>
      </c>
      <c r="Y1358">
        <v>-6.0962339999999997E-2</v>
      </c>
      <c r="Z1358">
        <v>-1.2469460000000001E-3</v>
      </c>
      <c r="AA1358">
        <v>0.99813929999999995</v>
      </c>
      <c r="AB1358">
        <v>40</v>
      </c>
      <c r="AC1358">
        <v>-20.953099999999999</v>
      </c>
      <c r="AD1358">
        <v>-1.109586743453</v>
      </c>
      <c r="AE1358">
        <v>-1.43559999999996</v>
      </c>
      <c r="AF1358">
        <v>-1.2933958508987899</v>
      </c>
      <c r="AG1358">
        <v>-1.109586743453</v>
      </c>
      <c r="AH1358">
        <v>20.903788649019599</v>
      </c>
      <c r="AI1358">
        <v>93.032657194089197</v>
      </c>
      <c r="AJ1358">
        <v>93.540591279108696</v>
      </c>
      <c r="AK1358">
        <v>20.973136042357901</v>
      </c>
    </row>
    <row r="1359" spans="1:37" x14ac:dyDescent="0.2">
      <c r="A1359" t="str">
        <f>"20200111154052539"</f>
        <v>20200111154052539</v>
      </c>
      <c r="B1359" t="str">
        <f>"1578728452527409"</f>
        <v>1578728452527409</v>
      </c>
      <c r="C1359" t="s">
        <v>37</v>
      </c>
      <c r="D1359">
        <v>5.2373159999999999</v>
      </c>
      <c r="E1359">
        <v>0.48482150000000002</v>
      </c>
      <c r="F1359" t="s">
        <v>45</v>
      </c>
      <c r="G1359">
        <v>-316.7602</v>
      </c>
      <c r="H1359" s="1">
        <v>5.4060599999999902E-6</v>
      </c>
      <c r="I1359">
        <v>282.42919999999998</v>
      </c>
      <c r="J1359">
        <v>-295.71230000000003</v>
      </c>
      <c r="K1359">
        <v>1.1095899999999901</v>
      </c>
      <c r="L1359">
        <v>283.8734</v>
      </c>
      <c r="M1359">
        <v>-0.99995710000000004</v>
      </c>
      <c r="N1359">
        <v>0</v>
      </c>
      <c r="O1359">
        <v>-6.7563689999999999E-3</v>
      </c>
      <c r="P1359">
        <v>-0.99760659999999901</v>
      </c>
      <c r="Q1359">
        <v>6.2819639999999996E-2</v>
      </c>
      <c r="R1359">
        <v>-2.8901030000000001E-2</v>
      </c>
      <c r="S1359">
        <v>-3.0112000000000001</v>
      </c>
      <c r="T1359">
        <v>-0.15695039999999999</v>
      </c>
      <c r="U1359">
        <v>-0.20452879999999901</v>
      </c>
      <c r="V1359">
        <v>-2.2200620000000001E-2</v>
      </c>
      <c r="W1359">
        <v>6.9147500000000001E-2</v>
      </c>
      <c r="X1359">
        <v>0.99735940000000001</v>
      </c>
      <c r="Y1359">
        <v>-6.0950820000000003E-2</v>
      </c>
      <c r="Z1359">
        <v>-1.2340459999999999E-3</v>
      </c>
      <c r="AA1359">
        <v>0.99813999999999903</v>
      </c>
      <c r="AB1359">
        <v>40</v>
      </c>
      <c r="AC1359">
        <v>-21.047899999999899</v>
      </c>
      <c r="AD1359">
        <v>-1.10958459393999</v>
      </c>
      <c r="AE1359">
        <v>-1.4442000000000199</v>
      </c>
      <c r="AF1359">
        <v>-1.2983654297165801</v>
      </c>
      <c r="AG1359">
        <v>-1.10958459393999</v>
      </c>
      <c r="AH1359">
        <v>20.9990923220114</v>
      </c>
      <c r="AI1359">
        <v>93.018921460177694</v>
      </c>
      <c r="AJ1359">
        <v>93.538071019645699</v>
      </c>
      <c r="AK1359">
        <v>21.0684315768533</v>
      </c>
    </row>
    <row r="1360" spans="1:37" x14ac:dyDescent="0.2">
      <c r="A1360" t="str">
        <f>"20200111154052557"</f>
        <v>20200111154052557</v>
      </c>
      <c r="B1360" t="str">
        <f>"1578728452547785"</f>
        <v>1578728452547785</v>
      </c>
      <c r="C1360" t="s">
        <v>37</v>
      </c>
      <c r="D1360">
        <v>5.24641</v>
      </c>
      <c r="E1360">
        <v>0.48484899999999997</v>
      </c>
      <c r="F1360" t="s">
        <v>45</v>
      </c>
      <c r="G1360">
        <v>-316.91230000000002</v>
      </c>
      <c r="H1360" s="1">
        <v>5.473315E-6</v>
      </c>
      <c r="I1360">
        <v>282.43150000000003</v>
      </c>
      <c r="J1360">
        <v>-296.04480000000001</v>
      </c>
      <c r="K1360">
        <v>1.109586</v>
      </c>
      <c r="L1360">
        <v>283.87099999999998</v>
      </c>
      <c r="M1360">
        <v>-0.99995579999999995</v>
      </c>
      <c r="N1360">
        <v>0</v>
      </c>
      <c r="O1360">
        <v>-6.95436199999999E-3</v>
      </c>
      <c r="P1360">
        <v>-0.9976138</v>
      </c>
      <c r="Q1360">
        <v>6.2558539999999996E-2</v>
      </c>
      <c r="R1360">
        <v>-2.9217859999999998E-2</v>
      </c>
      <c r="S1360">
        <v>-3.0112000000000001</v>
      </c>
      <c r="T1360">
        <v>-0.15760250000000001</v>
      </c>
      <c r="U1360">
        <v>-0.204803499999999</v>
      </c>
      <c r="V1360">
        <v>-2.2319930000000002E-2</v>
      </c>
      <c r="W1360">
        <v>6.8880170000000004E-2</v>
      </c>
      <c r="X1360">
        <v>0.99737520000000002</v>
      </c>
      <c r="Y1360">
        <v>-6.0843609999999999E-2</v>
      </c>
      <c r="Z1360">
        <v>-1.22602E-3</v>
      </c>
      <c r="AA1360">
        <v>0.99814650000000005</v>
      </c>
      <c r="AB1360">
        <v>40</v>
      </c>
      <c r="AC1360">
        <v>-20.8675</v>
      </c>
      <c r="AD1360">
        <v>-1.1095805266850001</v>
      </c>
      <c r="AE1360">
        <v>-1.43949999999995</v>
      </c>
      <c r="AF1360">
        <v>-1.2907101519242901</v>
      </c>
      <c r="AG1360">
        <v>-1.1095805266850001</v>
      </c>
      <c r="AH1360">
        <v>20.818424540949099</v>
      </c>
      <c r="AI1360">
        <v>93.045028568405598</v>
      </c>
      <c r="AJ1360">
        <v>93.5477088725399</v>
      </c>
      <c r="AK1360">
        <v>20.887888883481502</v>
      </c>
    </row>
    <row r="1361" spans="1:37" x14ac:dyDescent="0.2">
      <c r="A1361" t="str">
        <f>"20200111154052579"</f>
        <v>20200111154052579</v>
      </c>
      <c r="B1361" t="str">
        <f>"1578728452567305"</f>
        <v>1578728452567305</v>
      </c>
      <c r="C1361" t="s">
        <v>37</v>
      </c>
      <c r="D1361">
        <v>5.2362539999999997</v>
      </c>
      <c r="E1361">
        <v>0.48483219999999999</v>
      </c>
      <c r="F1361" t="s">
        <v>45</v>
      </c>
      <c r="G1361">
        <v>-317.05520000000001</v>
      </c>
      <c r="H1361" s="1">
        <v>5.5363279999999998E-6</v>
      </c>
      <c r="I1361">
        <v>282.43540000000002</v>
      </c>
      <c r="J1361">
        <v>-296.44209999999998</v>
      </c>
      <c r="K1361">
        <v>1.10958</v>
      </c>
      <c r="L1361">
        <v>283.86810000000003</v>
      </c>
      <c r="M1361">
        <v>-0.99995400000000001</v>
      </c>
      <c r="N1361">
        <v>0</v>
      </c>
      <c r="O1361">
        <v>-7.1912169999999997E-3</v>
      </c>
      <c r="P1361">
        <v>-0.99763729999999995</v>
      </c>
      <c r="Q1361">
        <v>6.2293969999999997E-2</v>
      </c>
      <c r="R1361">
        <v>-2.897309E-2</v>
      </c>
      <c r="S1361">
        <v>-3.0110779999999999</v>
      </c>
      <c r="T1361">
        <v>-0.1590183</v>
      </c>
      <c r="U1361">
        <v>-0.2057495</v>
      </c>
      <c r="V1361">
        <v>-2.183856E-2</v>
      </c>
      <c r="W1361">
        <v>6.8610909999999997E-2</v>
      </c>
      <c r="X1361">
        <v>0.99740450000000003</v>
      </c>
      <c r="Y1361">
        <v>-6.092098E-2</v>
      </c>
      <c r="Z1361">
        <v>-1.2266110000000001E-3</v>
      </c>
      <c r="AA1361">
        <v>0.99814179999999997</v>
      </c>
      <c r="AB1361">
        <v>40</v>
      </c>
      <c r="AC1361">
        <v>-20.613099999999999</v>
      </c>
      <c r="AD1361">
        <v>-1.109574463672</v>
      </c>
      <c r="AE1361">
        <v>-1.4327000000000101</v>
      </c>
      <c r="AF1361">
        <v>-1.2807335830564399</v>
      </c>
      <c r="AG1361">
        <v>-1.109574463672</v>
      </c>
      <c r="AH1361">
        <v>20.563573158505601</v>
      </c>
      <c r="AI1361">
        <v>93.082623554441199</v>
      </c>
      <c r="AJ1361">
        <v>93.563873230867102</v>
      </c>
      <c r="AK1361">
        <v>20.633273493229702</v>
      </c>
    </row>
    <row r="1362" spans="1:37" x14ac:dyDescent="0.2">
      <c r="A1362" t="str">
        <f>"20200111154052594"</f>
        <v>20200111154052594</v>
      </c>
      <c r="B1362" t="str">
        <f>"1578728452587802"</f>
        <v>1578728452587802</v>
      </c>
      <c r="C1362" t="s">
        <v>37</v>
      </c>
      <c r="D1362">
        <v>5.2229339999999898</v>
      </c>
      <c r="E1362">
        <v>0.48485099999999998</v>
      </c>
      <c r="F1362" t="s">
        <v>45</v>
      </c>
      <c r="G1362">
        <v>-317.38979999999998</v>
      </c>
      <c r="H1362" s="1">
        <v>5.6843949999999998E-6</v>
      </c>
      <c r="I1362">
        <v>282.4391</v>
      </c>
      <c r="J1362">
        <v>-296.7158</v>
      </c>
      <c r="K1362">
        <v>1.1095740000000001</v>
      </c>
      <c r="L1362">
        <v>283.86599999999999</v>
      </c>
      <c r="M1362">
        <v>-0.99995290000000003</v>
      </c>
      <c r="N1362">
        <v>0</v>
      </c>
      <c r="O1362">
        <v>-7.3541700000000002E-3</v>
      </c>
      <c r="P1362">
        <v>-0.99761749999999905</v>
      </c>
      <c r="Q1362">
        <v>6.2716069999999999E-2</v>
      </c>
      <c r="R1362">
        <v>-2.8743970000000001E-2</v>
      </c>
      <c r="S1362">
        <v>-3.0111080000000001</v>
      </c>
      <c r="T1362">
        <v>-0.15949469999999999</v>
      </c>
      <c r="U1362">
        <v>-0.20541379999999901</v>
      </c>
      <c r="V1362">
        <v>-2.144747E-2</v>
      </c>
      <c r="W1362">
        <v>6.9030019999999997E-2</v>
      </c>
      <c r="X1362">
        <v>0.99738400000000005</v>
      </c>
      <c r="Y1362">
        <v>-6.0647029999999998E-2</v>
      </c>
      <c r="Z1362">
        <v>-1.214417E-3</v>
      </c>
      <c r="AA1362">
        <v>0.99815849999999995</v>
      </c>
      <c r="AB1362">
        <v>41</v>
      </c>
      <c r="AC1362">
        <v>-20.6739999999999</v>
      </c>
      <c r="AD1362">
        <v>-1.109568315605</v>
      </c>
      <c r="AE1362">
        <v>-1.4268999999999801</v>
      </c>
      <c r="AF1362">
        <v>-1.2711740686086499</v>
      </c>
      <c r="AG1362">
        <v>-1.109568315605</v>
      </c>
      <c r="AH1362">
        <v>20.6248078859755</v>
      </c>
      <c r="AI1362">
        <v>93.073594637277196</v>
      </c>
      <c r="AJ1362">
        <v>93.526864188987503</v>
      </c>
      <c r="AK1362">
        <v>20.693712226014298</v>
      </c>
    </row>
    <row r="1363" spans="1:37" x14ac:dyDescent="0.2">
      <c r="A1363" t="str">
        <f>"20200111154052612"</f>
        <v>20200111154052612</v>
      </c>
      <c r="B1363" t="str">
        <f>"1578728452607322"</f>
        <v>1578728452607322</v>
      </c>
      <c r="C1363" t="s">
        <v>37</v>
      </c>
      <c r="D1363">
        <v>5.2254899999999997</v>
      </c>
      <c r="E1363">
        <v>0.48489169999999998</v>
      </c>
      <c r="F1363" t="s">
        <v>45</v>
      </c>
      <c r="G1363">
        <v>-317.73930000000001</v>
      </c>
      <c r="H1363" s="1">
        <v>5.8394380000000001E-6</v>
      </c>
      <c r="I1363">
        <v>282.43830000000003</v>
      </c>
      <c r="J1363">
        <v>-297.03989999999999</v>
      </c>
      <c r="K1363">
        <v>1.1095729999999999</v>
      </c>
      <c r="L1363">
        <v>283.86349999999999</v>
      </c>
      <c r="M1363">
        <v>-0.99995149999999999</v>
      </c>
      <c r="N1363">
        <v>0</v>
      </c>
      <c r="O1363">
        <v>-7.5470469999999899E-3</v>
      </c>
      <c r="P1363">
        <v>-0.99761949999999999</v>
      </c>
      <c r="Q1363">
        <v>6.2891890000000006E-2</v>
      </c>
      <c r="R1363">
        <v>-2.8292689999999999E-2</v>
      </c>
      <c r="S1363">
        <v>-3.0112919999999899</v>
      </c>
      <c r="T1363">
        <v>-0.1589286</v>
      </c>
      <c r="U1363">
        <v>-0.20449829999999999</v>
      </c>
      <c r="V1363">
        <v>-2.0803749999999999E-2</v>
      </c>
      <c r="W1363">
        <v>6.920316E-2</v>
      </c>
      <c r="X1363">
        <v>0.99738559999999998</v>
      </c>
      <c r="Y1363">
        <v>-6.0149769999999998E-2</v>
      </c>
      <c r="Z1363">
        <v>-1.1867939999999999E-3</v>
      </c>
      <c r="AA1363">
        <v>0.99818869999999904</v>
      </c>
      <c r="AB1363">
        <v>41</v>
      </c>
      <c r="AC1363">
        <v>-20.699400000000001</v>
      </c>
      <c r="AD1363">
        <v>-1.1095671605619899</v>
      </c>
      <c r="AE1363">
        <v>-1.4251999999999601</v>
      </c>
      <c r="AF1363">
        <v>-1.2653183628073701</v>
      </c>
      <c r="AG1363">
        <v>-1.1095671605619899</v>
      </c>
      <c r="AH1363">
        <v>20.6505101299499</v>
      </c>
      <c r="AI1363">
        <v>93.069840860993907</v>
      </c>
      <c r="AJ1363">
        <v>93.506299734994101</v>
      </c>
      <c r="AK1363">
        <v>20.718970497353901</v>
      </c>
    </row>
    <row r="1364" spans="1:37" x14ac:dyDescent="0.2">
      <c r="A1364" t="str">
        <f>"20200111154052627"</f>
        <v>20200111154052627</v>
      </c>
      <c r="B1364" t="str">
        <f>"1578728452617082"</f>
        <v>1578728452617082</v>
      </c>
      <c r="C1364" t="s">
        <v>37</v>
      </c>
      <c r="D1364">
        <v>5.2239089999999999</v>
      </c>
      <c r="E1364">
        <v>0.48494729999999903</v>
      </c>
      <c r="F1364" t="s">
        <v>45</v>
      </c>
      <c r="G1364">
        <v>-318.03660000000002</v>
      </c>
      <c r="H1364" s="1">
        <v>5.9702930000000003E-6</v>
      </c>
      <c r="I1364">
        <v>282.44979999999998</v>
      </c>
      <c r="J1364">
        <v>-297.3186</v>
      </c>
      <c r="K1364">
        <v>1.1095709999999901</v>
      </c>
      <c r="L1364">
        <v>283.86130000000003</v>
      </c>
      <c r="M1364">
        <v>-0.99995020000000001</v>
      </c>
      <c r="N1364">
        <v>0</v>
      </c>
      <c r="O1364">
        <v>-7.7127480000000002E-3</v>
      </c>
      <c r="P1364">
        <v>-0.99760139999999997</v>
      </c>
      <c r="Q1364">
        <v>6.318725E-2</v>
      </c>
      <c r="R1364">
        <v>-2.8266579999999999E-2</v>
      </c>
      <c r="S1364">
        <v>-3.011444</v>
      </c>
      <c r="T1364">
        <v>-0.1591389</v>
      </c>
      <c r="U1364">
        <v>-0.20275879999999999</v>
      </c>
      <c r="V1364">
        <v>-2.061261E-2</v>
      </c>
      <c r="W1364">
        <v>6.9497130000000004E-2</v>
      </c>
      <c r="X1364">
        <v>0.99736919999999996</v>
      </c>
      <c r="Y1364">
        <v>-5.9408059999999999E-2</v>
      </c>
      <c r="Z1364">
        <v>-1.160024E-3</v>
      </c>
      <c r="AA1364">
        <v>0.99823309999999998</v>
      </c>
      <c r="AB1364">
        <v>41</v>
      </c>
      <c r="AC1364">
        <v>-20.718</v>
      </c>
      <c r="AD1364">
        <v>-1.1095650297069899</v>
      </c>
      <c r="AE1364">
        <v>-1.4115000000000399</v>
      </c>
      <c r="AF1364">
        <v>-1.2480988357509699</v>
      </c>
      <c r="AG1364">
        <v>-1.1095650297069899</v>
      </c>
      <c r="AH1364">
        <v>20.669260773617602</v>
      </c>
      <c r="AI1364">
        <v>93.067220292521498</v>
      </c>
      <c r="AJ1364">
        <v>93.455569621218899</v>
      </c>
      <c r="AK1364">
        <v>20.7366155914305</v>
      </c>
    </row>
    <row r="1365" spans="1:37" x14ac:dyDescent="0.2">
      <c r="A1365" t="str">
        <f>"20200111154052647"</f>
        <v>20200111154052647</v>
      </c>
      <c r="B1365" t="str">
        <f>"1578728452637621"</f>
        <v>1578728452637621</v>
      </c>
      <c r="C1365" t="s">
        <v>37</v>
      </c>
      <c r="D1365">
        <v>5.2277329999999997</v>
      </c>
      <c r="E1365">
        <v>0.48495280000000002</v>
      </c>
      <c r="F1365" t="s">
        <v>45</v>
      </c>
      <c r="G1365">
        <v>-318.45859999999999</v>
      </c>
      <c r="H1365" s="1">
        <v>6.1581849999999902E-6</v>
      </c>
      <c r="I1365">
        <v>282.44099999999997</v>
      </c>
      <c r="J1365">
        <v>-297.67829999999998</v>
      </c>
      <c r="K1365">
        <v>1.1095680000000001</v>
      </c>
      <c r="L1365">
        <v>283.85840000000002</v>
      </c>
      <c r="M1365">
        <v>-0.99994850000000002</v>
      </c>
      <c r="N1365">
        <v>0</v>
      </c>
      <c r="O1365">
        <v>-7.9263760000000006E-3</v>
      </c>
      <c r="P1365">
        <v>-0.99758979999999997</v>
      </c>
      <c r="Q1365">
        <v>6.3329350000000006E-2</v>
      </c>
      <c r="R1365">
        <v>-2.8358379999999999E-2</v>
      </c>
      <c r="S1365">
        <v>-3.0115050000000001</v>
      </c>
      <c r="T1365">
        <v>-0.1580637</v>
      </c>
      <c r="U1365">
        <v>-0.2023315</v>
      </c>
      <c r="V1365">
        <v>-2.049161E-2</v>
      </c>
      <c r="W1365">
        <v>6.9637939999999995E-2</v>
      </c>
      <c r="X1365">
        <v>0.99736179999999997</v>
      </c>
      <c r="Y1365">
        <v>-5.9054189999999999E-2</v>
      </c>
      <c r="Z1365">
        <v>-1.1317180000000001E-3</v>
      </c>
      <c r="AA1365">
        <v>0.99825409999999903</v>
      </c>
      <c r="AB1365">
        <v>41</v>
      </c>
      <c r="AC1365">
        <v>-20.7803</v>
      </c>
      <c r="AD1365">
        <v>-1.1095618418149999</v>
      </c>
      <c r="AE1365">
        <v>-1.41740000000004</v>
      </c>
      <c r="AF1365">
        <v>-1.2490949959492199</v>
      </c>
      <c r="AG1365">
        <v>-1.1095618418149999</v>
      </c>
      <c r="AH1365">
        <v>20.732048600780701</v>
      </c>
      <c r="AI1365">
        <v>93.057964713660994</v>
      </c>
      <c r="AJ1365">
        <v>93.447872609039607</v>
      </c>
      <c r="AK1365">
        <v>20.799259721799</v>
      </c>
    </row>
    <row r="1366" spans="1:37" x14ac:dyDescent="0.2">
      <c r="A1366" t="str">
        <f>"20200111154052661"</f>
        <v>20200111154052661</v>
      </c>
      <c r="B1366" t="str">
        <f>"1578728452657142"</f>
        <v>1578728452657142</v>
      </c>
      <c r="C1366" t="s">
        <v>37</v>
      </c>
      <c r="D1366">
        <v>5.2145229999999998</v>
      </c>
      <c r="E1366">
        <v>0.48480779999999901</v>
      </c>
      <c r="F1366" t="s">
        <v>45</v>
      </c>
      <c r="G1366">
        <v>-318.62270000000001</v>
      </c>
      <c r="H1366" s="1">
        <v>6.2300849999999997E-6</v>
      </c>
      <c r="I1366">
        <v>282.450999999999</v>
      </c>
      <c r="J1366">
        <v>-297.94279999999998</v>
      </c>
      <c r="K1366">
        <v>1.1095660000000001</v>
      </c>
      <c r="L1366">
        <v>283.8562</v>
      </c>
      <c r="M1366">
        <v>-0.99994740000000004</v>
      </c>
      <c r="N1366">
        <v>0</v>
      </c>
      <c r="O1366">
        <v>-8.0833780000000004E-3</v>
      </c>
      <c r="P1366">
        <v>-0.99759379999999998</v>
      </c>
      <c r="Q1366">
        <v>6.3285369999999994E-2</v>
      </c>
      <c r="R1366">
        <v>-2.8322199999999999E-2</v>
      </c>
      <c r="S1366">
        <v>-3.0115970000000001</v>
      </c>
      <c r="T1366">
        <v>-0.1595444</v>
      </c>
      <c r="U1366">
        <v>-0.20236209999999999</v>
      </c>
      <c r="V1366">
        <v>-2.0299069999999999E-2</v>
      </c>
      <c r="W1366">
        <v>6.9593699999999994E-2</v>
      </c>
      <c r="X1366">
        <v>0.9973689</v>
      </c>
      <c r="Y1366">
        <v>-5.8904619999999998E-2</v>
      </c>
      <c r="Z1366">
        <v>-1.1300150000000001E-3</v>
      </c>
      <c r="AA1366">
        <v>0.99826299999999901</v>
      </c>
      <c r="AB1366">
        <v>41</v>
      </c>
      <c r="AC1366">
        <v>-20.6799</v>
      </c>
      <c r="AD1366">
        <v>-1.1095597699149999</v>
      </c>
      <c r="AE1366">
        <v>-1.40520000000003</v>
      </c>
      <c r="AF1366">
        <v>-1.2344499638236399</v>
      </c>
      <c r="AG1366">
        <v>-1.1095597699149999</v>
      </c>
      <c r="AH1366">
        <v>20.631463392411501</v>
      </c>
      <c r="AI1366">
        <v>93.072915422579001</v>
      </c>
      <c r="AJ1366">
        <v>93.424117266135795</v>
      </c>
      <c r="AK1366">
        <v>20.698122410223899</v>
      </c>
    </row>
    <row r="1367" spans="1:37" x14ac:dyDescent="0.2">
      <c r="A1367" t="str">
        <f>"20200111154052679"</f>
        <v>20200111154052679</v>
      </c>
      <c r="B1367" t="str">
        <f>"1578728452667878"</f>
        <v>1578728452667878</v>
      </c>
      <c r="C1367" t="s">
        <v>37</v>
      </c>
      <c r="D1367">
        <v>5.2068789999999998</v>
      </c>
      <c r="E1367">
        <v>0.48476540000000001</v>
      </c>
      <c r="F1367" t="s">
        <v>45</v>
      </c>
      <c r="G1367">
        <v>-318.52780000000001</v>
      </c>
      <c r="H1367" s="1">
        <v>6.1865629999999998E-6</v>
      </c>
      <c r="I1367">
        <v>282.46749999999997</v>
      </c>
      <c r="J1367">
        <v>-298.26209999999998</v>
      </c>
      <c r="K1367">
        <v>1.109564</v>
      </c>
      <c r="L1367">
        <v>283.8535</v>
      </c>
      <c r="M1367">
        <v>-0.99994570000000005</v>
      </c>
      <c r="N1367">
        <v>0</v>
      </c>
      <c r="O1367">
        <v>-8.2724500000000006E-3</v>
      </c>
      <c r="P1367">
        <v>-0.99756069999999997</v>
      </c>
      <c r="Q1367">
        <v>6.3687220000000003E-2</v>
      </c>
      <c r="R1367">
        <v>-2.8574680000000002E-2</v>
      </c>
      <c r="S1367">
        <v>-3.0117799999999999</v>
      </c>
      <c r="T1367">
        <v>-0.16233929999999999</v>
      </c>
      <c r="U1367">
        <v>-0.20318599999999901</v>
      </c>
      <c r="V1367">
        <v>-2.036317E-2</v>
      </c>
      <c r="W1367">
        <v>6.9995660000000001E-2</v>
      </c>
      <c r="X1367">
        <v>0.99733939999999999</v>
      </c>
      <c r="Y1367">
        <v>-5.898134E-2</v>
      </c>
      <c r="Z1367">
        <v>-1.141595E-3</v>
      </c>
      <c r="AA1367">
        <v>0.99825839999999999</v>
      </c>
      <c r="AB1367">
        <v>41</v>
      </c>
      <c r="AC1367">
        <v>-20.265699999999999</v>
      </c>
      <c r="AD1367">
        <v>-1.1095578134370001</v>
      </c>
      <c r="AE1367">
        <v>-1.3860000000000201</v>
      </c>
      <c r="AF1367">
        <v>-1.2146780241687201</v>
      </c>
      <c r="AG1367">
        <v>-1.1095578134370001</v>
      </c>
      <c r="AH1367">
        <v>20.216154153644801</v>
      </c>
      <c r="AI1367">
        <v>93.135866448546906</v>
      </c>
      <c r="AJ1367">
        <v>93.438455904588807</v>
      </c>
      <c r="AK1367">
        <v>20.282984248075699</v>
      </c>
    </row>
    <row r="1368" spans="1:37" x14ac:dyDescent="0.2">
      <c r="A1368" t="str">
        <f>"20200111154052692"</f>
        <v>20200111154052692</v>
      </c>
      <c r="B1368" t="str">
        <f>"1578728452687399"</f>
        <v>1578728452687399</v>
      </c>
      <c r="C1368" t="s">
        <v>37</v>
      </c>
      <c r="D1368">
        <v>5.2275510000000001</v>
      </c>
      <c r="E1368">
        <v>0.48464439999999998</v>
      </c>
      <c r="F1368" t="s">
        <v>45</v>
      </c>
      <c r="G1368">
        <v>-318.81779999999998</v>
      </c>
      <c r="H1368" s="1">
        <v>6.3158770000000004E-6</v>
      </c>
      <c r="I1368">
        <v>282.45940000000002</v>
      </c>
      <c r="J1368">
        <v>-298.50889999999998</v>
      </c>
      <c r="K1368">
        <v>1.109561</v>
      </c>
      <c r="L1368">
        <v>283.85129999999998</v>
      </c>
      <c r="M1368">
        <v>-0.99994459999999996</v>
      </c>
      <c r="N1368">
        <v>0</v>
      </c>
      <c r="O1368">
        <v>-8.4189590000000002E-3</v>
      </c>
      <c r="P1368">
        <v>-0.99754699999999996</v>
      </c>
      <c r="Q1368">
        <v>6.3724799999999998E-2</v>
      </c>
      <c r="R1368">
        <v>-2.8972830000000001E-2</v>
      </c>
      <c r="S1368">
        <v>-3.011841</v>
      </c>
      <c r="T1368">
        <v>-0.16257360000000001</v>
      </c>
      <c r="U1368">
        <v>-0.2042542</v>
      </c>
      <c r="V1368">
        <v>-2.0615640000000001E-2</v>
      </c>
      <c r="W1368">
        <v>7.0031780000000002E-2</v>
      </c>
      <c r="X1368">
        <v>0.99733169999999904</v>
      </c>
      <c r="Y1368">
        <v>-5.9185849999999998E-2</v>
      </c>
      <c r="Z1368">
        <v>-1.1408200000000001E-3</v>
      </c>
      <c r="AA1368">
        <v>0.99824629999999903</v>
      </c>
      <c r="AB1368">
        <v>41</v>
      </c>
      <c r="AC1368">
        <v>-20.308899999999898</v>
      </c>
      <c r="AD1368">
        <v>-1.109554684123</v>
      </c>
      <c r="AE1368">
        <v>-1.3918999999999599</v>
      </c>
      <c r="AF1368">
        <v>-1.2172511170878999</v>
      </c>
      <c r="AG1368">
        <v>-1.109554684123</v>
      </c>
      <c r="AH1368">
        <v>20.259709045370698</v>
      </c>
      <c r="AI1368">
        <v>93.129129883673599</v>
      </c>
      <c r="AJ1368">
        <v>93.438332249623897</v>
      </c>
      <c r="AK1368">
        <v>20.326549694480502</v>
      </c>
    </row>
    <row r="1369" spans="1:37" x14ac:dyDescent="0.2">
      <c r="A1369" t="str">
        <f>"20200111154052705"</f>
        <v>20200111154052705</v>
      </c>
      <c r="B1369" t="str">
        <f>"1578728452697158"</f>
        <v>1578728452697158</v>
      </c>
      <c r="C1369" t="s">
        <v>37</v>
      </c>
      <c r="D1369">
        <v>5.2004989999999998</v>
      </c>
      <c r="E1369">
        <v>0.48461349999999997</v>
      </c>
      <c r="F1369" t="s">
        <v>45</v>
      </c>
      <c r="G1369">
        <v>-318.92239999999998</v>
      </c>
      <c r="H1369" s="1">
        <v>6.3628499999999902E-6</v>
      </c>
      <c r="I1369">
        <v>282.45249999999999</v>
      </c>
      <c r="J1369">
        <v>-298.76920000000001</v>
      </c>
      <c r="K1369">
        <v>1.109561</v>
      </c>
      <c r="L1369">
        <v>283.84899999999999</v>
      </c>
      <c r="M1369">
        <v>-0.99994329999999998</v>
      </c>
      <c r="N1369">
        <v>0</v>
      </c>
      <c r="O1369">
        <v>-8.5732109999999903E-3</v>
      </c>
      <c r="P1369">
        <v>-0.99754169999999998</v>
      </c>
      <c r="Q1369">
        <v>6.3665869999999999E-2</v>
      </c>
      <c r="R1369">
        <v>-2.9278189999999999E-2</v>
      </c>
      <c r="S1369">
        <v>-3.011841</v>
      </c>
      <c r="T1369">
        <v>-0.16370599999999999</v>
      </c>
      <c r="U1369">
        <v>-0.2063904</v>
      </c>
      <c r="V1369">
        <v>-2.0767440000000002E-2</v>
      </c>
      <c r="W1369">
        <v>6.9969950000000003E-2</v>
      </c>
      <c r="X1369">
        <v>0.99733289999999997</v>
      </c>
      <c r="Y1369">
        <v>-5.973502E-2</v>
      </c>
      <c r="Z1369">
        <v>-1.155257E-3</v>
      </c>
      <c r="AA1369">
        <v>0.99821360000000003</v>
      </c>
      <c r="AB1369">
        <v>41</v>
      </c>
      <c r="AC1369">
        <v>-20.153199999999899</v>
      </c>
      <c r="AD1369">
        <v>-1.10955463715</v>
      </c>
      <c r="AE1369">
        <v>-1.3965000000000001</v>
      </c>
      <c r="AF1369">
        <v>-1.2199872838277499</v>
      </c>
      <c r="AG1369">
        <v>-1.10955463715</v>
      </c>
      <c r="AH1369">
        <v>20.103785401955101</v>
      </c>
      <c r="AI1369">
        <v>93.153236290453293</v>
      </c>
      <c r="AJ1369">
        <v>93.472704533775698</v>
      </c>
      <c r="AK1369">
        <v>20.171308037739799</v>
      </c>
    </row>
    <row r="1370" spans="1:37" x14ac:dyDescent="0.2">
      <c r="A1370" t="str">
        <f>"20200111154052724"</f>
        <v>20200111154052724</v>
      </c>
      <c r="B1370" t="str">
        <f>"1578728452717654"</f>
        <v>1578728452717654</v>
      </c>
      <c r="C1370" t="s">
        <v>37</v>
      </c>
      <c r="D1370">
        <v>5.2466280000000003</v>
      </c>
      <c r="E1370">
        <v>0.484554599999999</v>
      </c>
      <c r="F1370" t="s">
        <v>45</v>
      </c>
      <c r="G1370">
        <v>-319.00869999999998</v>
      </c>
      <c r="H1370" s="1">
        <v>6.4009809999999999E-6</v>
      </c>
      <c r="I1370">
        <v>282.4545</v>
      </c>
      <c r="J1370">
        <v>-299.10539999999997</v>
      </c>
      <c r="K1370">
        <v>1.1095569999999999</v>
      </c>
      <c r="L1370">
        <v>283.846</v>
      </c>
      <c r="M1370">
        <v>-0.99994159999999899</v>
      </c>
      <c r="N1370">
        <v>0</v>
      </c>
      <c r="O1370">
        <v>-8.7729950000000004E-3</v>
      </c>
      <c r="P1370">
        <v>-0.99752700000000005</v>
      </c>
      <c r="Q1370">
        <v>6.370613E-2</v>
      </c>
      <c r="R1370">
        <v>-2.9696989999999999E-2</v>
      </c>
      <c r="S1370">
        <v>-3.0118099999999899</v>
      </c>
      <c r="T1370">
        <v>-0.1651108</v>
      </c>
      <c r="U1370">
        <v>-0.2075195</v>
      </c>
      <c r="V1370">
        <v>-2.098709E-2</v>
      </c>
      <c r="W1370">
        <v>7.0006109999999996E-2</v>
      </c>
      <c r="X1370">
        <v>0.99732579999999904</v>
      </c>
      <c r="Y1370">
        <v>-5.9907500000000002E-2</v>
      </c>
      <c r="Z1370">
        <v>-1.158942E-3</v>
      </c>
      <c r="AA1370">
        <v>0.99820330000000002</v>
      </c>
      <c r="AB1370">
        <v>41</v>
      </c>
      <c r="AC1370">
        <v>-19.903300000000002</v>
      </c>
      <c r="AD1370">
        <v>-1.109550599019</v>
      </c>
      <c r="AE1370">
        <v>-1.3915</v>
      </c>
      <c r="AF1370">
        <v>-1.2130798251002699</v>
      </c>
      <c r="AG1370">
        <v>-1.109550599019</v>
      </c>
      <c r="AH1370">
        <v>19.853343055806299</v>
      </c>
      <c r="AI1370">
        <v>93.192839054820297</v>
      </c>
      <c r="AJ1370">
        <v>93.496542119178599</v>
      </c>
      <c r="AK1370">
        <v>19.9212925204511</v>
      </c>
    </row>
    <row r="1371" spans="1:37" x14ac:dyDescent="0.2">
      <c r="A1371" t="str">
        <f>"20200111154052738"</f>
        <v>20200111154052738</v>
      </c>
      <c r="B1371" t="str">
        <f>"1578728452727414"</f>
        <v>1578728452727414</v>
      </c>
      <c r="C1371" t="s">
        <v>37</v>
      </c>
      <c r="D1371">
        <v>5.2029870000000003</v>
      </c>
      <c r="E1371">
        <v>0.48450219999999999</v>
      </c>
      <c r="F1371" t="s">
        <v>45</v>
      </c>
      <c r="G1371">
        <v>-319.08350000000002</v>
      </c>
      <c r="H1371" s="1">
        <v>6.4337580000000002E-6</v>
      </c>
      <c r="I1371">
        <v>282.4588</v>
      </c>
      <c r="J1371">
        <v>-299.36059999999998</v>
      </c>
      <c r="K1371">
        <v>1.1095539999999999</v>
      </c>
      <c r="L1371">
        <v>283.84370000000001</v>
      </c>
      <c r="M1371">
        <v>-0.9999403</v>
      </c>
      <c r="N1371">
        <v>0</v>
      </c>
      <c r="O1371">
        <v>-8.9237929999999993E-3</v>
      </c>
      <c r="P1371">
        <v>-0.99751069999999997</v>
      </c>
      <c r="Q1371">
        <v>6.3848600000000005E-2</v>
      </c>
      <c r="R1371">
        <v>-2.9932810000000001E-2</v>
      </c>
      <c r="S1371">
        <v>-3.0119020000000001</v>
      </c>
      <c r="T1371">
        <v>-0.16727639999999999</v>
      </c>
      <c r="U1371">
        <v>-0.20913699999999999</v>
      </c>
      <c r="V1371">
        <v>-2.107297E-2</v>
      </c>
      <c r="W1371">
        <v>7.0145959999999993E-2</v>
      </c>
      <c r="X1371">
        <v>0.99731419999999904</v>
      </c>
      <c r="Y1371">
        <v>-6.0285989999999998E-2</v>
      </c>
      <c r="Z1371">
        <v>-1.1761950000000001E-3</v>
      </c>
      <c r="AA1371">
        <v>0.99818039999999997</v>
      </c>
      <c r="AB1371">
        <v>41</v>
      </c>
      <c r="AC1371">
        <v>-19.722899999999999</v>
      </c>
      <c r="AD1371">
        <v>-1.109547566242</v>
      </c>
      <c r="AE1371">
        <v>-1.38490000000001</v>
      </c>
      <c r="AF1371">
        <v>-1.205043233274</v>
      </c>
      <c r="AG1371">
        <v>-1.109547566242</v>
      </c>
      <c r="AH1371">
        <v>19.6725187571253</v>
      </c>
      <c r="AI1371">
        <v>93.222086388454699</v>
      </c>
      <c r="AJ1371">
        <v>93.505282204936904</v>
      </c>
      <c r="AK1371">
        <v>19.740598249426501</v>
      </c>
    </row>
    <row r="1372" spans="1:37" x14ac:dyDescent="0.2">
      <c r="A1372" t="str">
        <f>"20200111154052758"</f>
        <v>20200111154052758</v>
      </c>
      <c r="B1372" t="str">
        <f>"1578728452747912"</f>
        <v>1578728452747912</v>
      </c>
      <c r="C1372" t="s">
        <v>37</v>
      </c>
      <c r="D1372">
        <v>5.139011</v>
      </c>
      <c r="E1372">
        <v>0.48449170000000003</v>
      </c>
      <c r="F1372" t="s">
        <v>45</v>
      </c>
      <c r="G1372">
        <v>-319.20650000000001</v>
      </c>
      <c r="H1372" s="1">
        <v>6.4884959999999997E-6</v>
      </c>
      <c r="I1372">
        <v>282.45659999999998</v>
      </c>
      <c r="J1372">
        <v>-299.72840000000002</v>
      </c>
      <c r="K1372">
        <v>1.10955</v>
      </c>
      <c r="L1372">
        <v>283.84030000000001</v>
      </c>
      <c r="M1372">
        <v>-0.99993829999999995</v>
      </c>
      <c r="N1372">
        <v>0</v>
      </c>
      <c r="O1372">
        <v>-9.1415860000000002E-3</v>
      </c>
      <c r="P1372">
        <v>-0.99750209999999995</v>
      </c>
      <c r="Q1372">
        <v>6.377737E-2</v>
      </c>
      <c r="R1372">
        <v>-3.0366600000000001E-2</v>
      </c>
      <c r="S1372">
        <v>-3.0119929999999999</v>
      </c>
      <c r="T1372">
        <v>-0.16839460000000001</v>
      </c>
      <c r="U1372">
        <v>-0.21051030000000001</v>
      </c>
      <c r="V1372">
        <v>-2.1289450000000001E-2</v>
      </c>
      <c r="W1372">
        <v>7.0072229999999999E-2</v>
      </c>
      <c r="X1372">
        <v>0.997314699999999</v>
      </c>
      <c r="Y1372">
        <v>-6.0518349999999999E-2</v>
      </c>
      <c r="Z1372">
        <v>-1.1783239999999999E-3</v>
      </c>
      <c r="AA1372">
        <v>0.99816640000000001</v>
      </c>
      <c r="AB1372">
        <v>41</v>
      </c>
      <c r="AC1372">
        <v>-19.478099999999898</v>
      </c>
      <c r="AD1372">
        <v>-1.109543511504</v>
      </c>
      <c r="AE1372">
        <v>-1.3837000000000299</v>
      </c>
      <c r="AF1372">
        <v>-1.20169814850692</v>
      </c>
      <c r="AG1372">
        <v>-1.109543511504</v>
      </c>
      <c r="AH1372">
        <v>19.4272135432415</v>
      </c>
      <c r="AI1372">
        <v>93.262552019761301</v>
      </c>
      <c r="AJ1372">
        <v>93.539602758527096</v>
      </c>
      <c r="AK1372">
        <v>19.4959429445911</v>
      </c>
    </row>
    <row r="1373" spans="1:37" x14ac:dyDescent="0.2">
      <c r="A1373" t="str">
        <f>"20200111154052771"</f>
        <v>20200111154052771</v>
      </c>
      <c r="B1373" t="str">
        <f>"1578728452767430"</f>
        <v>1578728452767430</v>
      </c>
      <c r="C1373" t="s">
        <v>37</v>
      </c>
      <c r="D1373">
        <v>5.2065010000000003</v>
      </c>
      <c r="E1373">
        <v>0.48451939999999999</v>
      </c>
      <c r="F1373" t="s">
        <v>45</v>
      </c>
      <c r="G1373">
        <v>-319.3544</v>
      </c>
      <c r="H1373" s="1">
        <v>6.5538270000000004E-6</v>
      </c>
      <c r="I1373">
        <v>282.45960000000002</v>
      </c>
      <c r="J1373">
        <v>-299.96859999999998</v>
      </c>
      <c r="K1373">
        <v>1.1095440000000001</v>
      </c>
      <c r="L1373">
        <v>283.837999999999</v>
      </c>
      <c r="M1373">
        <v>-0.99993709999999902</v>
      </c>
      <c r="N1373">
        <v>0</v>
      </c>
      <c r="O1373">
        <v>-9.2835650000000006E-3</v>
      </c>
      <c r="P1373">
        <v>-0.99749909999999997</v>
      </c>
      <c r="Q1373">
        <v>6.383759E-2</v>
      </c>
      <c r="R1373">
        <v>-3.0343390000000001E-2</v>
      </c>
      <c r="S1373">
        <v>-3.0119630000000002</v>
      </c>
      <c r="T1373">
        <v>-0.1702795</v>
      </c>
      <c r="U1373">
        <v>-0.2118835</v>
      </c>
      <c r="V1373">
        <v>-2.1124819999999999E-2</v>
      </c>
      <c r="W1373">
        <v>7.0131209999999999E-2</v>
      </c>
      <c r="X1373">
        <v>0.99731409999999998</v>
      </c>
      <c r="Y1373">
        <v>-6.0828140000000003E-2</v>
      </c>
      <c r="Z1373">
        <v>-1.1922160000000001E-3</v>
      </c>
      <c r="AA1373">
        <v>0.99814749999999997</v>
      </c>
      <c r="AB1373">
        <v>41</v>
      </c>
      <c r="AC1373">
        <v>-19.3858</v>
      </c>
      <c r="AD1373">
        <v>-1.1095374461730001</v>
      </c>
      <c r="AE1373">
        <v>-1.3783999999999399</v>
      </c>
      <c r="AF1373">
        <v>-1.19447453032132</v>
      </c>
      <c r="AG1373">
        <v>-1.1095374461730001</v>
      </c>
      <c r="AH1373">
        <v>19.3347432715236</v>
      </c>
      <c r="AI1373">
        <v>93.278119326022406</v>
      </c>
      <c r="AJ1373">
        <v>93.535163610387201</v>
      </c>
      <c r="AK1373">
        <v>19.403353836998701</v>
      </c>
    </row>
    <row r="1374" spans="1:37" x14ac:dyDescent="0.2">
      <c r="A1374" t="str">
        <f>"20200111154052784"</f>
        <v>20200111154052784</v>
      </c>
      <c r="B1374" t="str">
        <f>"1578728452778166"</f>
        <v>1578728452778166</v>
      </c>
      <c r="C1374" t="s">
        <v>37</v>
      </c>
      <c r="D1374">
        <v>5.2526339999999996</v>
      </c>
      <c r="E1374">
        <v>0.48454819999999998</v>
      </c>
      <c r="F1374" t="s">
        <v>45</v>
      </c>
      <c r="G1374">
        <v>-319.51769999999999</v>
      </c>
      <c r="H1374" s="1">
        <v>6.6257230000000004E-6</v>
      </c>
      <c r="I1374">
        <v>282.46530000000001</v>
      </c>
      <c r="J1374">
        <v>-300.2183</v>
      </c>
      <c r="K1374">
        <v>1.109542</v>
      </c>
      <c r="L1374">
        <v>283.8356</v>
      </c>
      <c r="M1374">
        <v>-0.99993559999999904</v>
      </c>
      <c r="N1374">
        <v>0</v>
      </c>
      <c r="O1374">
        <v>-9.4306709999999998E-3</v>
      </c>
      <c r="P1374">
        <v>-0.9974864</v>
      </c>
      <c r="Q1374">
        <v>6.4019610000000005E-2</v>
      </c>
      <c r="R1374">
        <v>-3.037014E-2</v>
      </c>
      <c r="S1374">
        <v>-3.012054</v>
      </c>
      <c r="T1374">
        <v>-0.17095399999999999</v>
      </c>
      <c r="U1374">
        <v>-0.2114868</v>
      </c>
      <c r="V1374">
        <v>-2.100519E-2</v>
      </c>
      <c r="W1374">
        <v>7.0311960000000007E-2</v>
      </c>
      <c r="X1374">
        <v>0.99730379999999996</v>
      </c>
      <c r="Y1374">
        <v>-6.0548379999999999E-2</v>
      </c>
      <c r="Z1374">
        <v>-1.180646E-3</v>
      </c>
      <c r="AA1374">
        <v>0.99816459999999996</v>
      </c>
      <c r="AB1374">
        <v>42</v>
      </c>
      <c r="AC1374">
        <v>-19.299399999999899</v>
      </c>
      <c r="AD1374">
        <v>-1.109535374277</v>
      </c>
      <c r="AE1374">
        <v>-1.3702999999999801</v>
      </c>
      <c r="AF1374">
        <v>-1.18433434196849</v>
      </c>
      <c r="AG1374">
        <v>-1.109535374277</v>
      </c>
      <c r="AH1374">
        <v>19.248165355582799</v>
      </c>
      <c r="AI1374">
        <v>93.292875977410006</v>
      </c>
      <c r="AJ1374">
        <v>93.520954760293094</v>
      </c>
      <c r="AK1374">
        <v>19.316458944024799</v>
      </c>
    </row>
    <row r="1375" spans="1:37" x14ac:dyDescent="0.2">
      <c r="A1375" t="str">
        <f>"20200111154052801"</f>
        <v>20200111154052801</v>
      </c>
      <c r="B1375" t="str">
        <f>"1578728452797686"</f>
        <v>1578728452797686</v>
      </c>
      <c r="C1375" t="s">
        <v>37</v>
      </c>
      <c r="D1375">
        <v>5.2145159999999997</v>
      </c>
      <c r="E1375">
        <v>0.48460169999999902</v>
      </c>
      <c r="F1375" t="s">
        <v>45</v>
      </c>
      <c r="G1375">
        <v>-319.77850000000001</v>
      </c>
      <c r="H1375" s="1">
        <v>6.7415480000000002E-6</v>
      </c>
      <c r="I1375">
        <v>282.46379999999999</v>
      </c>
      <c r="J1375">
        <v>-300.54680000000002</v>
      </c>
      <c r="K1375">
        <v>1.1095429999999999</v>
      </c>
      <c r="L1375">
        <v>283.83240000000001</v>
      </c>
      <c r="M1375">
        <v>-0.99993369999999904</v>
      </c>
      <c r="N1375">
        <v>0</v>
      </c>
      <c r="O1375">
        <v>-9.6246270000000002E-3</v>
      </c>
      <c r="P1375">
        <v>-0.99747589999999997</v>
      </c>
      <c r="Q1375">
        <v>6.4254420000000007E-2</v>
      </c>
      <c r="R1375">
        <v>-3.0220159999999999E-2</v>
      </c>
      <c r="S1375">
        <v>-3.0120849999999999</v>
      </c>
      <c r="T1375">
        <v>-0.17085739999999999</v>
      </c>
      <c r="U1375">
        <v>-0.21124270000000001</v>
      </c>
      <c r="V1375">
        <v>-2.0661970000000002E-2</v>
      </c>
      <c r="W1375">
        <v>7.0545499999999997E-2</v>
      </c>
      <c r="X1375">
        <v>0.99729449999999997</v>
      </c>
      <c r="Y1375">
        <v>-6.0274399999999999E-2</v>
      </c>
      <c r="Z1375">
        <v>-1.1612389999999899E-3</v>
      </c>
      <c r="AA1375">
        <v>0.99818119999999999</v>
      </c>
      <c r="AB1375">
        <v>42</v>
      </c>
      <c r="AC1375">
        <v>-19.231699999999901</v>
      </c>
      <c r="AD1375">
        <v>-1.1095362584520001</v>
      </c>
      <c r="AE1375">
        <v>-1.36860000000001</v>
      </c>
      <c r="AF1375">
        <v>-1.17952869873105</v>
      </c>
      <c r="AG1375">
        <v>-1.1095362584520001</v>
      </c>
      <c r="AH1375">
        <v>19.180461375756</v>
      </c>
      <c r="AI1375">
        <v>93.3044829611908</v>
      </c>
      <c r="AJ1375">
        <v>93.519050650515894</v>
      </c>
      <c r="AK1375">
        <v>19.248700144342699</v>
      </c>
    </row>
    <row r="1376" spans="1:37" x14ac:dyDescent="0.2">
      <c r="A1376" t="str">
        <f>"20200111154052826"</f>
        <v>20200111154052826</v>
      </c>
      <c r="B1376" t="str">
        <f>"1578728452817206"</f>
        <v>1578728452817206</v>
      </c>
      <c r="C1376" t="s">
        <v>37</v>
      </c>
      <c r="D1376">
        <v>5.2716269999999996</v>
      </c>
      <c r="E1376">
        <v>0.48449730000000002</v>
      </c>
      <c r="F1376" t="s">
        <v>44</v>
      </c>
      <c r="G1376">
        <v>-320.09280000000001</v>
      </c>
      <c r="H1376" s="1">
        <v>-1.393521E-6</v>
      </c>
      <c r="I1376">
        <v>282.46839999999997</v>
      </c>
      <c r="J1376">
        <v>-300.988</v>
      </c>
      <c r="K1376">
        <v>1.1095389999999901</v>
      </c>
      <c r="L1376">
        <v>283.8279</v>
      </c>
      <c r="M1376">
        <v>-0.99993129999999997</v>
      </c>
      <c r="N1376">
        <v>0</v>
      </c>
      <c r="O1376">
        <v>-9.8847499999999994E-3</v>
      </c>
      <c r="P1376">
        <v>-0.9974615</v>
      </c>
      <c r="Q1376">
        <v>6.4405779999999996E-2</v>
      </c>
      <c r="R1376">
        <v>-3.0372710000000001E-2</v>
      </c>
      <c r="S1376">
        <v>-3.012238</v>
      </c>
      <c r="T1376">
        <v>-0.17099200000000001</v>
      </c>
      <c r="U1376">
        <v>-0.21020510000000001</v>
      </c>
      <c r="V1376">
        <v>-2.05557E-2</v>
      </c>
      <c r="W1376">
        <v>7.069628E-2</v>
      </c>
      <c r="X1376">
        <v>0.99728609999999895</v>
      </c>
      <c r="Y1376">
        <v>-5.9670309999999997E-2</v>
      </c>
      <c r="Z1376">
        <v>-1.1302619999999999E-3</v>
      </c>
      <c r="AA1376">
        <v>0.99821749999999998</v>
      </c>
      <c r="AB1376">
        <v>42</v>
      </c>
      <c r="AC1376">
        <v>-19.104800000000001</v>
      </c>
      <c r="AD1376">
        <v>-1.10954039352099</v>
      </c>
      <c r="AE1376">
        <v>-1.3595000000000199</v>
      </c>
      <c r="AF1376">
        <v>-1.1666684490705801</v>
      </c>
      <c r="AG1376">
        <v>-1.10954039352099</v>
      </c>
      <c r="AH1376">
        <v>19.053364194487798</v>
      </c>
      <c r="AI1376">
        <v>93.3265425626753</v>
      </c>
      <c r="AJ1376">
        <v>93.503938928169404</v>
      </c>
      <c r="AK1376">
        <v>19.1212678000885</v>
      </c>
    </row>
    <row r="1377" spans="1:37" x14ac:dyDescent="0.2">
      <c r="A1377" t="str">
        <f>"20200111154052848"</f>
        <v>20200111154052848</v>
      </c>
      <c r="B1377" t="str">
        <f>"1578728452837702"</f>
        <v>1578728452837702</v>
      </c>
      <c r="C1377" t="s">
        <v>37</v>
      </c>
      <c r="D1377">
        <v>5.1460970000000001</v>
      </c>
      <c r="E1377">
        <v>0.4844929</v>
      </c>
      <c r="F1377" t="s">
        <v>44</v>
      </c>
      <c r="G1377">
        <v>-320.45310000000001</v>
      </c>
      <c r="H1377" s="1">
        <v>-1.20152E-6</v>
      </c>
      <c r="I1377">
        <v>282.46230000000003</v>
      </c>
      <c r="J1377">
        <v>-301.40710000000001</v>
      </c>
      <c r="K1377">
        <v>1.109532</v>
      </c>
      <c r="L1377">
        <v>283.8236</v>
      </c>
      <c r="M1377">
        <v>-0.99992879999999995</v>
      </c>
      <c r="N1377">
        <v>0</v>
      </c>
      <c r="O1377">
        <v>-1.0131050000000001E-2</v>
      </c>
      <c r="P1377">
        <v>-0.99746579999999996</v>
      </c>
      <c r="Q1377">
        <v>6.4336489999999996E-2</v>
      </c>
      <c r="R1377">
        <v>-3.0384640000000001E-2</v>
      </c>
      <c r="S1377">
        <v>-3.0122990000000001</v>
      </c>
      <c r="T1377">
        <v>-0.171706</v>
      </c>
      <c r="U1377">
        <v>-0.2113342</v>
      </c>
      <c r="V1377">
        <v>-2.0321840000000001E-2</v>
      </c>
      <c r="W1377">
        <v>7.0627309999999999E-2</v>
      </c>
      <c r="X1377">
        <v>0.99729570000000001</v>
      </c>
      <c r="Y1377">
        <v>-5.979491E-2</v>
      </c>
      <c r="Z1377">
        <v>-1.1244720000000001E-3</v>
      </c>
      <c r="AA1377">
        <v>0.99821009999999999</v>
      </c>
      <c r="AB1377">
        <v>42</v>
      </c>
      <c r="AC1377">
        <v>-19.0459999999999</v>
      </c>
      <c r="AD1377">
        <v>-1.1095332015199999</v>
      </c>
      <c r="AE1377">
        <v>-1.36129999999997</v>
      </c>
      <c r="AF1377">
        <v>-1.16433899063844</v>
      </c>
      <c r="AG1377">
        <v>-1.1095332015199999</v>
      </c>
      <c r="AH1377">
        <v>18.994679637250702</v>
      </c>
      <c r="AI1377">
        <v>93.336761714373594</v>
      </c>
      <c r="AJ1377">
        <v>93.507737092271796</v>
      </c>
      <c r="AK1377">
        <v>19.0626494415698</v>
      </c>
    </row>
    <row r="1378" spans="1:37" x14ac:dyDescent="0.2">
      <c r="A1378" t="str">
        <f>"20200111154052868"</f>
        <v>20200111154052868</v>
      </c>
      <c r="B1378" t="str">
        <f>"1578728452857221"</f>
        <v>1578728452857221</v>
      </c>
      <c r="C1378" t="s">
        <v>37</v>
      </c>
      <c r="D1378">
        <v>5.4598300000000002</v>
      </c>
      <c r="E1378">
        <v>0.48456670000000002</v>
      </c>
      <c r="F1378" t="s">
        <v>44</v>
      </c>
      <c r="G1378">
        <v>-320.7808</v>
      </c>
      <c r="H1378" s="1">
        <v>-1.027227E-6</v>
      </c>
      <c r="I1378">
        <v>282.46429999999998</v>
      </c>
      <c r="J1378">
        <v>-301.79489999999998</v>
      </c>
      <c r="K1378">
        <v>1.109531</v>
      </c>
      <c r="L1378">
        <v>283.81950000000001</v>
      </c>
      <c r="M1378">
        <v>-0.99992639999999999</v>
      </c>
      <c r="N1378">
        <v>0</v>
      </c>
      <c r="O1378">
        <v>-1.035934E-2</v>
      </c>
      <c r="P1378">
        <v>-0.99747919999999901</v>
      </c>
      <c r="Q1378">
        <v>6.414367E-2</v>
      </c>
      <c r="R1378">
        <v>-3.0345029999999999E-2</v>
      </c>
      <c r="S1378">
        <v>-3.0123289999999998</v>
      </c>
      <c r="T1378">
        <v>-0.17251649999999999</v>
      </c>
      <c r="U1378">
        <v>-0.21136469999999999</v>
      </c>
      <c r="V1378">
        <v>-2.005438E-2</v>
      </c>
      <c r="W1378">
        <v>7.0435639999999994E-2</v>
      </c>
      <c r="X1378">
        <v>0.997314699999999</v>
      </c>
      <c r="Y1378">
        <v>-5.9576329999999997E-2</v>
      </c>
      <c r="Z1378">
        <v>-1.1104680000000001E-3</v>
      </c>
      <c r="AA1378">
        <v>0.99822310000000003</v>
      </c>
      <c r="AB1378">
        <v>42</v>
      </c>
      <c r="AC1378">
        <v>-18.985900000000001</v>
      </c>
      <c r="AD1378">
        <v>-1.109532027227</v>
      </c>
      <c r="AE1378">
        <v>-1.3552000000000199</v>
      </c>
      <c r="AF1378">
        <v>-1.1545190261692</v>
      </c>
      <c r="AG1378">
        <v>-1.109532027227</v>
      </c>
      <c r="AH1378">
        <v>18.934582685503798</v>
      </c>
      <c r="AI1378">
        <v>93.347390690587204</v>
      </c>
      <c r="AJ1378">
        <v>93.489238386044306</v>
      </c>
      <c r="AK1378">
        <v>19.002168217743201</v>
      </c>
    </row>
    <row r="1379" spans="1:37" x14ac:dyDescent="0.2">
      <c r="A1379" t="str">
        <f>"20200111154052882"</f>
        <v>20200111154052882</v>
      </c>
      <c r="B1379" t="str">
        <f>"1578728452877718"</f>
        <v>1578728452877718</v>
      </c>
      <c r="C1379" t="s">
        <v>37</v>
      </c>
      <c r="D1379">
        <v>5.2621640000000003</v>
      </c>
      <c r="E1379">
        <v>0.48453549999999901</v>
      </c>
      <c r="F1379" t="s">
        <v>44</v>
      </c>
      <c r="G1379">
        <v>-321.0915</v>
      </c>
      <c r="H1379" s="1">
        <v>-8.6207509999999996E-7</v>
      </c>
      <c r="I1379">
        <v>282.46910000000003</v>
      </c>
      <c r="J1379">
        <v>-302.0591</v>
      </c>
      <c r="K1379">
        <v>1.1095280000000001</v>
      </c>
      <c r="L1379">
        <v>283.81670000000003</v>
      </c>
      <c r="M1379">
        <v>-0.99992499999999995</v>
      </c>
      <c r="N1379">
        <v>0</v>
      </c>
      <c r="O1379">
        <v>-1.051468E-2</v>
      </c>
      <c r="P1379">
        <v>-0.99748769999999998</v>
      </c>
      <c r="Q1379">
        <v>6.4038170000000005E-2</v>
      </c>
      <c r="R1379">
        <v>-3.029273E-2</v>
      </c>
      <c r="S1379">
        <v>-3.0122680000000002</v>
      </c>
      <c r="T1379">
        <v>-0.17320139999999901</v>
      </c>
      <c r="U1379">
        <v>-0.21081539999999999</v>
      </c>
      <c r="V1379">
        <v>-1.9847650000000001E-2</v>
      </c>
      <c r="W1379">
        <v>7.0331459999999998E-2</v>
      </c>
      <c r="X1379">
        <v>0.99732619999999905</v>
      </c>
      <c r="Y1379">
        <v>-5.9241679999999998E-2</v>
      </c>
      <c r="Z1379">
        <v>-1.096386E-3</v>
      </c>
      <c r="AA1379">
        <v>0.99824310000000005</v>
      </c>
      <c r="AB1379">
        <v>42</v>
      </c>
      <c r="AC1379">
        <v>-19.032399999999999</v>
      </c>
      <c r="AD1379">
        <v>-1.1095288620751</v>
      </c>
      <c r="AE1379">
        <v>-1.3475999999999999</v>
      </c>
      <c r="AF1379">
        <v>-1.14353501664222</v>
      </c>
      <c r="AG1379">
        <v>-1.1095288620751</v>
      </c>
      <c r="AH1379">
        <v>18.981331017797402</v>
      </c>
      <c r="AI1379">
        <v>93.339302352787996</v>
      </c>
      <c r="AJ1379">
        <v>93.447631494129297</v>
      </c>
      <c r="AK1379">
        <v>19.048087931266501</v>
      </c>
    </row>
    <row r="1380" spans="1:37" x14ac:dyDescent="0.2">
      <c r="A1380" t="str">
        <f>"20200111154052896"</f>
        <v>20200111154052896</v>
      </c>
      <c r="B1380" t="str">
        <f>"1578728452887479"</f>
        <v>1578728452887479</v>
      </c>
      <c r="C1380" t="s">
        <v>37</v>
      </c>
      <c r="D1380">
        <v>5.2763799999999996</v>
      </c>
      <c r="E1380">
        <v>0.48449249999999999</v>
      </c>
      <c r="F1380" t="s">
        <v>44</v>
      </c>
      <c r="G1380">
        <v>-321.18720000000002</v>
      </c>
      <c r="H1380" s="1">
        <v>-8.1149890000000001E-7</v>
      </c>
      <c r="I1380">
        <v>282.4769</v>
      </c>
      <c r="J1380">
        <v>-302.30610000000001</v>
      </c>
      <c r="K1380">
        <v>1.1095280000000001</v>
      </c>
      <c r="L1380">
        <v>283.81400000000002</v>
      </c>
      <c r="M1380">
        <v>-0.99992329999999996</v>
      </c>
      <c r="N1380">
        <v>0</v>
      </c>
      <c r="O1380">
        <v>-1.0659770000000001E-2</v>
      </c>
      <c r="P1380">
        <v>-0.99748979999999998</v>
      </c>
      <c r="Q1380">
        <v>6.4024079999999997E-2</v>
      </c>
      <c r="R1380">
        <v>-3.0250840000000001E-2</v>
      </c>
      <c r="S1380">
        <v>-3.0123599999999899</v>
      </c>
      <c r="T1380">
        <v>-0.17473279999999999</v>
      </c>
      <c r="U1380">
        <v>-0.21099850000000001</v>
      </c>
      <c r="V1380">
        <v>-1.9660779999999999E-2</v>
      </c>
      <c r="W1380">
        <v>7.0318610000000004E-2</v>
      </c>
      <c r="X1380">
        <v>0.99733079999999996</v>
      </c>
      <c r="Y1380">
        <v>-5.9154089999999999E-2</v>
      </c>
      <c r="Z1380">
        <v>-1.095096E-3</v>
      </c>
      <c r="AA1380">
        <v>0.99824829999999998</v>
      </c>
      <c r="AB1380">
        <v>42</v>
      </c>
      <c r="AC1380">
        <v>-18.8811</v>
      </c>
      <c r="AD1380">
        <v>-1.1095288114988999</v>
      </c>
      <c r="AE1380">
        <v>-1.3371000000000199</v>
      </c>
      <c r="AF1380">
        <v>-1.1318627894501601</v>
      </c>
      <c r="AG1380">
        <v>-1.1095288114988999</v>
      </c>
      <c r="AH1380">
        <v>18.829582672158601</v>
      </c>
      <c r="AI1380">
        <v>93.3661791904632</v>
      </c>
      <c r="AJ1380">
        <v>93.439960503033603</v>
      </c>
      <c r="AK1380">
        <v>18.8961729237786</v>
      </c>
    </row>
    <row r="1381" spans="1:37" x14ac:dyDescent="0.2">
      <c r="A1381" t="str">
        <f>"20200111154052914"</f>
        <v>20200111154052914</v>
      </c>
      <c r="B1381" t="str">
        <f>"1578728452907974"</f>
        <v>1578728452907974</v>
      </c>
      <c r="C1381" t="s">
        <v>37</v>
      </c>
      <c r="D1381">
        <v>5.4679310000000001</v>
      </c>
      <c r="E1381">
        <v>0.4844425</v>
      </c>
      <c r="F1381" t="s">
        <v>44</v>
      </c>
      <c r="G1381">
        <v>-321.4753</v>
      </c>
      <c r="H1381" s="1">
        <v>-6.5786099999999996E-7</v>
      </c>
      <c r="I1381">
        <v>282.46940000000001</v>
      </c>
      <c r="J1381">
        <v>-302.6635</v>
      </c>
      <c r="K1381">
        <v>1.109529</v>
      </c>
      <c r="L1381">
        <v>283.81009999999998</v>
      </c>
      <c r="M1381">
        <v>-0.99992099999999995</v>
      </c>
      <c r="N1381">
        <v>0</v>
      </c>
      <c r="O1381">
        <v>-1.0869709999999999E-2</v>
      </c>
      <c r="P1381">
        <v>-0.99751179999999995</v>
      </c>
      <c r="Q1381">
        <v>6.3824099999999995E-2</v>
      </c>
      <c r="R1381">
        <v>-2.994718E-2</v>
      </c>
      <c r="S1381">
        <v>-3.0123289999999998</v>
      </c>
      <c r="T1381">
        <v>-0.17435619999999999</v>
      </c>
      <c r="U1381">
        <v>-0.21130370000000001</v>
      </c>
      <c r="V1381">
        <v>-1.9146960000000001E-2</v>
      </c>
      <c r="W1381">
        <v>7.0121219999999998E-2</v>
      </c>
      <c r="X1381">
        <v>0.99735469999999904</v>
      </c>
      <c r="Y1381">
        <v>-5.9046710000000002E-2</v>
      </c>
      <c r="Z1381">
        <v>-1.077522E-3</v>
      </c>
      <c r="AA1381">
        <v>0.99825469999999905</v>
      </c>
      <c r="AB1381">
        <v>42</v>
      </c>
      <c r="AC1381">
        <v>-18.811800000000002</v>
      </c>
      <c r="AD1381">
        <v>-1.1095296578610001</v>
      </c>
      <c r="AE1381">
        <v>-1.34069999999996</v>
      </c>
      <c r="AF1381">
        <v>-1.13221916030921</v>
      </c>
      <c r="AG1381">
        <v>-1.1095296578610001</v>
      </c>
      <c r="AH1381">
        <v>18.760330144945801</v>
      </c>
      <c r="AI1381">
        <v>93.378530329476206</v>
      </c>
      <c r="AJ1381">
        <v>93.453712670282997</v>
      </c>
      <c r="AK1381">
        <v>18.827186816835098</v>
      </c>
    </row>
    <row r="1382" spans="1:37" x14ac:dyDescent="0.2">
      <c r="A1382" t="str">
        <f>"20200111154052936"</f>
        <v>20200111154052936</v>
      </c>
      <c r="B1382" t="str">
        <f>"1578728452927493"</f>
        <v>1578728452927493</v>
      </c>
      <c r="C1382" t="s">
        <v>37</v>
      </c>
      <c r="D1382">
        <v>5.2742620000000002</v>
      </c>
      <c r="E1382">
        <v>0.48444510000000002</v>
      </c>
      <c r="F1382" t="s">
        <v>44</v>
      </c>
      <c r="G1382">
        <v>-321.6223</v>
      </c>
      <c r="H1382" s="1">
        <v>-5.8032299999999997E-7</v>
      </c>
      <c r="I1382">
        <v>282.48500000000001</v>
      </c>
      <c r="J1382">
        <v>-303.08150000000001</v>
      </c>
      <c r="K1382">
        <v>1.109526</v>
      </c>
      <c r="L1382">
        <v>283.80540000000002</v>
      </c>
      <c r="M1382">
        <v>-0.99991830000000004</v>
      </c>
      <c r="N1382">
        <v>0</v>
      </c>
      <c r="O1382">
        <v>-1.1115180000000001E-2</v>
      </c>
      <c r="P1382">
        <v>-0.99752280000000004</v>
      </c>
      <c r="Q1382">
        <v>6.3688389999999998E-2</v>
      </c>
      <c r="R1382">
        <v>-2.9870009999999999E-2</v>
      </c>
      <c r="S1382">
        <v>-3.0124819999999999</v>
      </c>
      <c r="T1382">
        <v>-0.1762997</v>
      </c>
      <c r="U1382">
        <v>-0.2105408</v>
      </c>
      <c r="V1382">
        <v>-1.8825640000000001E-2</v>
      </c>
      <c r="W1382">
        <v>6.9988030000000007E-2</v>
      </c>
      <c r="X1382">
        <v>0.99737019999999998</v>
      </c>
      <c r="Y1382">
        <v>-5.8546010000000002E-2</v>
      </c>
      <c r="Z1382">
        <v>-1.060514E-3</v>
      </c>
      <c r="AA1382">
        <v>0.99828419999999896</v>
      </c>
      <c r="AB1382">
        <v>42</v>
      </c>
      <c r="AC1382">
        <v>-18.540799999999901</v>
      </c>
      <c r="AD1382">
        <v>-1.1095265803229999</v>
      </c>
      <c r="AE1382">
        <v>-1.3204</v>
      </c>
      <c r="AF1382">
        <v>-1.11027403553395</v>
      </c>
      <c r="AG1382">
        <v>-1.1095265803229999</v>
      </c>
      <c r="AH1382">
        <v>18.488456142132598</v>
      </c>
      <c r="AI1382">
        <v>93.428146172412497</v>
      </c>
      <c r="AJ1382">
        <v>93.436615311139605</v>
      </c>
      <c r="AK1382">
        <v>18.5549661327092</v>
      </c>
    </row>
    <row r="1383" spans="1:37" x14ac:dyDescent="0.2">
      <c r="A1383" t="str">
        <f>"20200111154052950"</f>
        <v>20200111154052950</v>
      </c>
      <c r="B1383" t="str">
        <f>"1578728452947605"</f>
        <v>1578728452947605</v>
      </c>
      <c r="C1383" t="s">
        <v>37</v>
      </c>
      <c r="D1383">
        <v>5.2845329999999997</v>
      </c>
      <c r="E1383">
        <v>0.48434319999999997</v>
      </c>
      <c r="F1383" t="s">
        <v>44</v>
      </c>
      <c r="G1383">
        <v>-321.95420000000001</v>
      </c>
      <c r="H1383" s="1">
        <v>-4.0388500000000002E-7</v>
      </c>
      <c r="I1383">
        <v>282.48860000000002</v>
      </c>
      <c r="J1383">
        <v>-303.3381</v>
      </c>
      <c r="K1383">
        <v>1.109523</v>
      </c>
      <c r="L1383">
        <v>283.80239999999998</v>
      </c>
      <c r="M1383">
        <v>-0.99991649999999999</v>
      </c>
      <c r="N1383">
        <v>0</v>
      </c>
      <c r="O1383">
        <v>-1.1265870000000001E-2</v>
      </c>
      <c r="P1383">
        <v>-0.9975117</v>
      </c>
      <c r="Q1383">
        <v>6.3872990000000004E-2</v>
      </c>
      <c r="R1383">
        <v>-2.9844119999999998E-2</v>
      </c>
      <c r="S1383">
        <v>-3.0124209999999998</v>
      </c>
      <c r="T1383">
        <v>-0.1771006</v>
      </c>
      <c r="U1383">
        <v>-0.21017459999999999</v>
      </c>
      <c r="V1383">
        <v>-1.8649430000000002E-2</v>
      </c>
      <c r="W1383">
        <v>7.017545E-2</v>
      </c>
      <c r="X1383">
        <v>0.99736029999999998</v>
      </c>
      <c r="Y1383">
        <v>-5.8276179999999997E-2</v>
      </c>
      <c r="Z1383">
        <v>-1.0485939999999999E-3</v>
      </c>
      <c r="AA1383">
        <v>0.99829999999999997</v>
      </c>
      <c r="AB1383">
        <v>42</v>
      </c>
      <c r="AC1383">
        <v>-18.616099999999999</v>
      </c>
      <c r="AD1383">
        <v>-1.1095234038849999</v>
      </c>
      <c r="AE1383">
        <v>-1.3137999999999499</v>
      </c>
      <c r="AF1383">
        <v>-1.1000974726780699</v>
      </c>
      <c r="AG1383">
        <v>-1.1095234038849999</v>
      </c>
      <c r="AH1383">
        <v>18.5641036206219</v>
      </c>
      <c r="AI1383">
        <v>93.414360612792294</v>
      </c>
      <c r="AJ1383">
        <v>93.391346934371199</v>
      </c>
      <c r="AK1383">
        <v>18.629739661904701</v>
      </c>
    </row>
    <row r="1384" spans="1:37" x14ac:dyDescent="0.2">
      <c r="A1384" t="str">
        <f>"20200111154052965"</f>
        <v>20200111154052965</v>
      </c>
      <c r="B1384" t="str">
        <f>"1578728452957365"</f>
        <v>1578728452957365</v>
      </c>
      <c r="C1384" t="s">
        <v>37</v>
      </c>
      <c r="D1384">
        <v>5.3036769999999898</v>
      </c>
      <c r="E1384">
        <v>0.4843247</v>
      </c>
      <c r="F1384" t="s">
        <v>44</v>
      </c>
      <c r="G1384">
        <v>-322.15210000000002</v>
      </c>
      <c r="H1384" s="1">
        <v>-2.9834919999999998E-7</v>
      </c>
      <c r="I1384">
        <v>282.48469999999998</v>
      </c>
      <c r="J1384">
        <v>-303.6173</v>
      </c>
      <c r="K1384">
        <v>1.109521</v>
      </c>
      <c r="L1384">
        <v>283.79919999999998</v>
      </c>
      <c r="M1384">
        <v>-0.99991479999999999</v>
      </c>
      <c r="N1384">
        <v>0</v>
      </c>
      <c r="O1384">
        <v>-1.142992E-2</v>
      </c>
      <c r="P1384">
        <v>-0.99750759999999905</v>
      </c>
      <c r="Q1384">
        <v>6.3970479999999996E-2</v>
      </c>
      <c r="R1384">
        <v>-2.9778849999999999E-2</v>
      </c>
      <c r="S1384">
        <v>-3.0125730000000002</v>
      </c>
      <c r="T1384">
        <v>-0.17766129999999999</v>
      </c>
      <c r="U1384">
        <v>-0.21099850000000001</v>
      </c>
      <c r="V1384">
        <v>-1.8420550000000001E-2</v>
      </c>
      <c r="W1384">
        <v>7.0274870000000003E-2</v>
      </c>
      <c r="X1384">
        <v>0.99735750000000001</v>
      </c>
      <c r="Y1384">
        <v>-5.8380210000000002E-2</v>
      </c>
      <c r="Z1384">
        <v>-1.0452549999999999E-3</v>
      </c>
      <c r="AA1384">
        <v>0.99829389999999996</v>
      </c>
      <c r="AB1384">
        <v>42</v>
      </c>
      <c r="AC1384">
        <v>-18.534800000000001</v>
      </c>
      <c r="AD1384">
        <v>-1.1095212983492</v>
      </c>
      <c r="AE1384">
        <v>-1.3145</v>
      </c>
      <c r="AF1384">
        <v>-1.09864146557596</v>
      </c>
      <c r="AG1384">
        <v>-1.1095212983492</v>
      </c>
      <c r="AH1384">
        <v>18.482714588274899</v>
      </c>
      <c r="AI1384">
        <v>93.4293166665813</v>
      </c>
      <c r="AJ1384">
        <v>93.401748058663202</v>
      </c>
      <c r="AK1384">
        <v>18.548552211237499</v>
      </c>
    </row>
    <row r="1385" spans="1:37" x14ac:dyDescent="0.2">
      <c r="A1385" t="str">
        <f>"20200111154052979"</f>
        <v>20200111154052979</v>
      </c>
      <c r="B1385" t="str">
        <f>"1578728452967126"</f>
        <v>1578728452967126</v>
      </c>
      <c r="C1385" t="s">
        <v>37</v>
      </c>
      <c r="D1385">
        <v>5.2995549999999998</v>
      </c>
      <c r="E1385">
        <v>0.48428369999999998</v>
      </c>
      <c r="F1385" t="s">
        <v>44</v>
      </c>
      <c r="G1385">
        <v>-322.35419999999999</v>
      </c>
      <c r="H1385" s="1">
        <v>-1.910031E-7</v>
      </c>
      <c r="I1385">
        <v>282.48840000000001</v>
      </c>
      <c r="J1385">
        <v>-303.90620000000001</v>
      </c>
      <c r="K1385">
        <v>1.109513</v>
      </c>
      <c r="L1385">
        <v>283.79579999999999</v>
      </c>
      <c r="M1385">
        <v>-0.99991260000000004</v>
      </c>
      <c r="N1385">
        <v>0</v>
      </c>
      <c r="O1385">
        <v>-1.1599089999999999E-2</v>
      </c>
      <c r="P1385">
        <v>-0.99751690000000004</v>
      </c>
      <c r="Q1385">
        <v>6.3934099999999994E-2</v>
      </c>
      <c r="R1385">
        <v>-2.953008E-2</v>
      </c>
      <c r="S1385">
        <v>-3.0126040000000001</v>
      </c>
      <c r="T1385">
        <v>-0.17839449999999901</v>
      </c>
      <c r="U1385">
        <v>-0.21075439999999901</v>
      </c>
      <c r="V1385">
        <v>-1.8003040000000001E-2</v>
      </c>
      <c r="W1385">
        <v>7.0241559999999995E-2</v>
      </c>
      <c r="X1385">
        <v>0.99736759999999902</v>
      </c>
      <c r="Y1385">
        <v>-5.8130149999999998E-2</v>
      </c>
      <c r="Z1385">
        <v>-1.03217E-3</v>
      </c>
      <c r="AA1385">
        <v>0.99830849999999904</v>
      </c>
      <c r="AB1385">
        <v>43</v>
      </c>
      <c r="AC1385">
        <v>-18.447999999999901</v>
      </c>
      <c r="AD1385">
        <v>-1.1095131910031</v>
      </c>
      <c r="AE1385">
        <v>-1.3073999999999699</v>
      </c>
      <c r="AF1385">
        <v>-1.08940687205482</v>
      </c>
      <c r="AG1385">
        <v>-1.1095131910031</v>
      </c>
      <c r="AH1385">
        <v>18.3957163620444</v>
      </c>
      <c r="AI1385">
        <v>93.445515607319507</v>
      </c>
      <c r="AJ1385">
        <v>93.389136845330299</v>
      </c>
      <c r="AK1385">
        <v>18.4613165111993</v>
      </c>
    </row>
    <row r="1386" spans="1:37" x14ac:dyDescent="0.2">
      <c r="A1386" t="str">
        <f>"20200111154052992"</f>
        <v>20200111154052992</v>
      </c>
      <c r="B1386" t="str">
        <f>"1578728452987621"</f>
        <v>1578728452987621</v>
      </c>
      <c r="C1386" t="s">
        <v>37</v>
      </c>
      <c r="D1386">
        <v>5.2853949999999896</v>
      </c>
      <c r="E1386">
        <v>0.48423260000000001</v>
      </c>
      <c r="F1386" t="s">
        <v>44</v>
      </c>
      <c r="G1386">
        <v>-322.56650000000002</v>
      </c>
      <c r="H1386" s="1">
        <v>-7.822863E-8</v>
      </c>
      <c r="I1386">
        <v>282.49290000000002</v>
      </c>
      <c r="J1386">
        <v>-304.1395</v>
      </c>
      <c r="K1386">
        <v>1.1095079999999999</v>
      </c>
      <c r="L1386">
        <v>283.79300000000001</v>
      </c>
      <c r="M1386">
        <v>-0.99991109999999905</v>
      </c>
      <c r="N1386">
        <v>0</v>
      </c>
      <c r="O1386">
        <v>-1.1735239999999999E-2</v>
      </c>
      <c r="P1386">
        <v>-0.99751880000000004</v>
      </c>
      <c r="Q1386">
        <v>6.3927970000000001E-2</v>
      </c>
      <c r="R1386">
        <v>-2.9487630000000001E-2</v>
      </c>
      <c r="S1386">
        <v>-3.0127259999999998</v>
      </c>
      <c r="T1386">
        <v>-0.17913199999999899</v>
      </c>
      <c r="U1386">
        <v>-0.21035770000000001</v>
      </c>
      <c r="V1386">
        <v>-1.7824690000000001E-2</v>
      </c>
      <c r="W1386">
        <v>7.0237759999999996E-2</v>
      </c>
      <c r="X1386">
        <v>0.99737099999999901</v>
      </c>
      <c r="Y1386">
        <v>-5.7860639999999998E-2</v>
      </c>
      <c r="Z1386">
        <v>-1.020321E-3</v>
      </c>
      <c r="AA1386">
        <v>0.99832419999999999</v>
      </c>
      <c r="AB1386">
        <v>43</v>
      </c>
      <c r="AC1386">
        <v>-18.427</v>
      </c>
      <c r="AD1386">
        <v>-1.10950807822862</v>
      </c>
      <c r="AE1386">
        <v>-1.30009999999998</v>
      </c>
      <c r="AF1386">
        <v>-1.07986535635285</v>
      </c>
      <c r="AG1386">
        <v>-1.10950807822862</v>
      </c>
      <c r="AH1386">
        <v>18.374703315246801</v>
      </c>
      <c r="AI1386">
        <v>93.449521835050902</v>
      </c>
      <c r="AJ1386">
        <v>93.363354633193595</v>
      </c>
      <c r="AK1386">
        <v>18.4398166825716</v>
      </c>
    </row>
    <row r="1387" spans="1:37" x14ac:dyDescent="0.2">
      <c r="A1387" t="str">
        <f>"20200111154053014"</f>
        <v>20200111154053014</v>
      </c>
      <c r="B1387" t="str">
        <f>"1578728453007143"</f>
        <v>1578728453007143</v>
      </c>
      <c r="C1387" t="s">
        <v>37</v>
      </c>
      <c r="D1387">
        <v>5.5041880000000001</v>
      </c>
      <c r="E1387">
        <v>0.48421359999999902</v>
      </c>
      <c r="F1387" t="s">
        <v>44</v>
      </c>
      <c r="G1387">
        <v>-322.71260000000001</v>
      </c>
      <c r="H1387" s="1">
        <v>-4.94551999999999E-10</v>
      </c>
      <c r="I1387">
        <v>282.4941</v>
      </c>
      <c r="J1387">
        <v>-304.5686</v>
      </c>
      <c r="K1387">
        <v>1.109507</v>
      </c>
      <c r="L1387">
        <v>283.7878</v>
      </c>
      <c r="M1387">
        <v>-0.99990820000000002</v>
      </c>
      <c r="N1387">
        <v>0</v>
      </c>
      <c r="O1387">
        <v>-1.198368E-2</v>
      </c>
      <c r="P1387">
        <v>-0.99750839999999996</v>
      </c>
      <c r="Q1387">
        <v>6.3973150000000006E-2</v>
      </c>
      <c r="R1387">
        <v>-2.974506E-2</v>
      </c>
      <c r="S1387">
        <v>-3.012756</v>
      </c>
      <c r="T1387">
        <v>-0.17997349999999901</v>
      </c>
      <c r="U1387">
        <v>-0.210693399999999</v>
      </c>
      <c r="V1387">
        <v>-1.7834139999999998E-2</v>
      </c>
      <c r="W1387">
        <v>7.0287710000000003E-2</v>
      </c>
      <c r="X1387">
        <v>0.99736729999999996</v>
      </c>
      <c r="Y1387">
        <v>-5.7722509999999998E-2</v>
      </c>
      <c r="Z1387">
        <v>-1.006168E-3</v>
      </c>
      <c r="AA1387">
        <v>0.99833209999999994</v>
      </c>
      <c r="AB1387">
        <v>43</v>
      </c>
      <c r="AC1387">
        <v>-18.143999999999998</v>
      </c>
      <c r="AD1387">
        <v>-1.10950700049455</v>
      </c>
      <c r="AE1387">
        <v>-1.2937000000000001</v>
      </c>
      <c r="AF1387">
        <v>-1.0721818985650799</v>
      </c>
      <c r="AG1387">
        <v>-1.10950700049455</v>
      </c>
      <c r="AH1387">
        <v>18.090894997878099</v>
      </c>
      <c r="AI1387">
        <v>93.503398266955699</v>
      </c>
      <c r="AJ1387">
        <v>93.391746109965595</v>
      </c>
      <c r="AK1387">
        <v>18.156570756395801</v>
      </c>
    </row>
    <row r="1388" spans="1:37" x14ac:dyDescent="0.2">
      <c r="A1388" t="str">
        <f>"20200111154053028"</f>
        <v>20200111154053028</v>
      </c>
      <c r="B1388" t="str">
        <f>"1578728453017877"</f>
        <v>1578728453017877</v>
      </c>
      <c r="C1388" t="s">
        <v>37</v>
      </c>
      <c r="D1388">
        <v>5.3355730000000001</v>
      </c>
      <c r="E1388">
        <v>0.48421729999999902</v>
      </c>
      <c r="F1388" t="s">
        <v>44</v>
      </c>
      <c r="G1388">
        <v>-323.12389999999999</v>
      </c>
      <c r="H1388" s="1">
        <v>2.1875460000000001E-7</v>
      </c>
      <c r="I1388">
        <v>282.48489999999998</v>
      </c>
      <c r="J1388">
        <v>-304.82769999999999</v>
      </c>
      <c r="K1388">
        <v>1.109505</v>
      </c>
      <c r="L1388">
        <v>283.78460000000001</v>
      </c>
      <c r="M1388">
        <v>-0.99990639999999997</v>
      </c>
      <c r="N1388">
        <v>0</v>
      </c>
      <c r="O1388">
        <v>-1.2131019999999999E-2</v>
      </c>
      <c r="P1388">
        <v>-0.99749159999999903</v>
      </c>
      <c r="Q1388">
        <v>6.4130549999999995E-2</v>
      </c>
      <c r="R1388">
        <v>-2.9965599999999998E-2</v>
      </c>
      <c r="S1388">
        <v>-3.0126949999999999</v>
      </c>
      <c r="T1388">
        <v>-0.18014340000000001</v>
      </c>
      <c r="U1388">
        <v>-0.21154789999999901</v>
      </c>
      <c r="V1388">
        <v>-1.7908130000000001E-2</v>
      </c>
      <c r="W1388">
        <v>7.0448469999999999E-2</v>
      </c>
      <c r="X1388">
        <v>0.99735469999999904</v>
      </c>
      <c r="Y1388">
        <v>-5.785846E-2</v>
      </c>
      <c r="Z1388">
        <v>-1.0023930000000001E-3</v>
      </c>
      <c r="AA1388">
        <v>0.99832430000000005</v>
      </c>
      <c r="AB1388">
        <v>43</v>
      </c>
      <c r="AC1388">
        <v>-18.296199999999999</v>
      </c>
      <c r="AD1388">
        <v>-1.10950478124539</v>
      </c>
      <c r="AE1388">
        <v>-1.2997000000000201</v>
      </c>
      <c r="AF1388">
        <v>-1.0737197160845799</v>
      </c>
      <c r="AG1388">
        <v>-1.10950478124539</v>
      </c>
      <c r="AH1388">
        <v>18.243868161352601</v>
      </c>
      <c r="AI1388">
        <v>93.474172079596499</v>
      </c>
      <c r="AJ1388">
        <v>93.368185138586696</v>
      </c>
      <c r="AK1388">
        <v>18.3090851867899</v>
      </c>
    </row>
    <row r="1389" spans="1:37" x14ac:dyDescent="0.2">
      <c r="A1389" t="str">
        <f>"20200111154053041"</f>
        <v>20200111154053041</v>
      </c>
      <c r="B1389" t="str">
        <f>"1578728453037398"</f>
        <v>1578728453037398</v>
      </c>
      <c r="C1389" t="s">
        <v>37</v>
      </c>
      <c r="D1389">
        <v>5.3273269999999897</v>
      </c>
      <c r="E1389">
        <v>0.4841994</v>
      </c>
      <c r="F1389" t="s">
        <v>44</v>
      </c>
      <c r="G1389">
        <v>-323.4486</v>
      </c>
      <c r="H1389" s="1">
        <v>3.9205950000000002E-7</v>
      </c>
      <c r="I1389">
        <v>282.4735</v>
      </c>
      <c r="J1389">
        <v>-305.08249999999998</v>
      </c>
      <c r="K1389">
        <v>1.109502</v>
      </c>
      <c r="L1389">
        <v>283.78140000000002</v>
      </c>
      <c r="M1389">
        <v>-0.99990460000000003</v>
      </c>
      <c r="N1389">
        <v>0</v>
      </c>
      <c r="O1389">
        <v>-1.227371E-2</v>
      </c>
      <c r="P1389">
        <v>-0.99746239999999997</v>
      </c>
      <c r="Q1389">
        <v>6.4491149999999997E-2</v>
      </c>
      <c r="R1389">
        <v>-3.016462E-2</v>
      </c>
      <c r="S1389">
        <v>-3.0127259999999998</v>
      </c>
      <c r="T1389">
        <v>-0.17950959999999999</v>
      </c>
      <c r="U1389">
        <v>-0.2121277</v>
      </c>
      <c r="V1389">
        <v>-1.796474E-2</v>
      </c>
      <c r="W1389">
        <v>7.0811890000000002E-2</v>
      </c>
      <c r="X1389">
        <v>0.99732790000000004</v>
      </c>
      <c r="Y1389">
        <v>-5.7907229999999997E-2</v>
      </c>
      <c r="Z1389">
        <v>-9.9182450000000004E-4</v>
      </c>
      <c r="AA1389">
        <v>0.99832149999999997</v>
      </c>
      <c r="AB1389">
        <v>43</v>
      </c>
      <c r="AC1389">
        <v>-18.366099999999999</v>
      </c>
      <c r="AD1389">
        <v>-1.1095016079405</v>
      </c>
      <c r="AE1389">
        <v>-1.3079000000000101</v>
      </c>
      <c r="AF1389">
        <v>-1.0784608869793899</v>
      </c>
      <c r="AG1389">
        <v>-1.1095016079405</v>
      </c>
      <c r="AH1389">
        <v>18.314270683147299</v>
      </c>
      <c r="AI1389">
        <v>93.460832933158301</v>
      </c>
      <c r="AJ1389">
        <v>93.370048633077403</v>
      </c>
      <c r="AK1389">
        <v>18.379515291714199</v>
      </c>
    </row>
    <row r="1390" spans="1:37" x14ac:dyDescent="0.2">
      <c r="A1390" t="str">
        <f>"20200111154053058"</f>
        <v>20200111154053058</v>
      </c>
      <c r="B1390" t="str">
        <f>"1578728453047156"</f>
        <v>1578728453047156</v>
      </c>
      <c r="C1390" t="s">
        <v>37</v>
      </c>
      <c r="D1390">
        <v>5.3845739999999997</v>
      </c>
      <c r="E1390">
        <v>0.48414049999999997</v>
      </c>
      <c r="F1390" t="s">
        <v>44</v>
      </c>
      <c r="G1390">
        <v>-323.84629999999999</v>
      </c>
      <c r="H1390" s="1">
        <v>6.0444759999999997E-7</v>
      </c>
      <c r="I1390">
        <v>282.45569999999998</v>
      </c>
      <c r="J1390">
        <v>-305.41460000000001</v>
      </c>
      <c r="K1390">
        <v>1.1094979999999901</v>
      </c>
      <c r="L1390">
        <v>283.77730000000003</v>
      </c>
      <c r="M1390">
        <v>-0.99990239999999997</v>
      </c>
      <c r="N1390">
        <v>0</v>
      </c>
      <c r="O1390">
        <v>-1.245346E-2</v>
      </c>
      <c r="P1390">
        <v>-0.99743250000000006</v>
      </c>
      <c r="Q1390">
        <v>6.4908419999999994E-2</v>
      </c>
      <c r="R1390">
        <v>-3.0257119999999998E-2</v>
      </c>
      <c r="S1390">
        <v>-3.0127259999999998</v>
      </c>
      <c r="T1390">
        <v>-0.17814250000000001</v>
      </c>
      <c r="U1390">
        <v>-0.2128601</v>
      </c>
      <c r="V1390">
        <v>-1.7878120000000001E-2</v>
      </c>
      <c r="W1390">
        <v>7.1232809999999994E-2</v>
      </c>
      <c r="X1390">
        <v>0.99729950000000001</v>
      </c>
      <c r="Y1390">
        <v>-5.7970679999999997E-2</v>
      </c>
      <c r="Z1390">
        <v>-9.7554499999999997E-4</v>
      </c>
      <c r="AA1390">
        <v>0.99831780000000003</v>
      </c>
      <c r="AB1390">
        <v>43</v>
      </c>
      <c r="AC1390">
        <v>-18.4316999999999</v>
      </c>
      <c r="AD1390">
        <v>-1.1094973955523999</v>
      </c>
      <c r="AE1390">
        <v>-1.3216000000000401</v>
      </c>
      <c r="AF1390">
        <v>-1.08803220749861</v>
      </c>
      <c r="AG1390">
        <v>-1.1094973955523999</v>
      </c>
      <c r="AH1390">
        <v>18.380469457967799</v>
      </c>
      <c r="AI1390">
        <v>93.448323060791907</v>
      </c>
      <c r="AJ1390">
        <v>93.387671493066094</v>
      </c>
      <c r="AK1390">
        <v>18.446041744791199</v>
      </c>
    </row>
    <row r="1391" spans="1:37" x14ac:dyDescent="0.2">
      <c r="A1391" t="str">
        <f>"20200111154053074"</f>
        <v>20200111154053074</v>
      </c>
      <c r="B1391" t="str">
        <f>"1578728453067653"</f>
        <v>1578728453067653</v>
      </c>
      <c r="C1391" t="s">
        <v>37</v>
      </c>
      <c r="D1391">
        <v>5.3974219999999997</v>
      </c>
      <c r="E1391">
        <v>0.48432770000000003</v>
      </c>
      <c r="F1391" t="s">
        <v>44</v>
      </c>
      <c r="G1391">
        <v>-324.39440000000002</v>
      </c>
      <c r="H1391" s="1">
        <v>8.9722250000000005E-7</v>
      </c>
      <c r="I1391">
        <v>282.43090000000001</v>
      </c>
      <c r="J1391">
        <v>-305.70350000000002</v>
      </c>
      <c r="K1391">
        <v>1.1094949999999999</v>
      </c>
      <c r="L1391">
        <v>283.77359999999999</v>
      </c>
      <c r="M1391">
        <v>-0.99990040000000002</v>
      </c>
      <c r="N1391">
        <v>0</v>
      </c>
      <c r="O1391">
        <v>-1.26041E-2</v>
      </c>
      <c r="P1391">
        <v>-0.99742690000000001</v>
      </c>
      <c r="Q1391">
        <v>6.4919389999999993E-2</v>
      </c>
      <c r="R1391">
        <v>-3.0416329999999998E-2</v>
      </c>
      <c r="S1391">
        <v>-3.0126949999999999</v>
      </c>
      <c r="T1391">
        <v>-0.17611209999999999</v>
      </c>
      <c r="U1391">
        <v>-0.2137146</v>
      </c>
      <c r="V1391">
        <v>-1.788619E-2</v>
      </c>
      <c r="W1391">
        <v>7.1245660000000002E-2</v>
      </c>
      <c r="X1391">
        <v>0.99729840000000003</v>
      </c>
      <c r="Y1391">
        <v>-5.8104540000000003E-2</v>
      </c>
      <c r="Z1391">
        <v>-9.5956380000000003E-4</v>
      </c>
      <c r="AA1391">
        <v>0.99831000000000003</v>
      </c>
      <c r="AB1391">
        <v>43</v>
      </c>
      <c r="AC1391">
        <v>-18.690899999999999</v>
      </c>
      <c r="AD1391">
        <v>-1.1094941027775</v>
      </c>
      <c r="AE1391">
        <v>-1.34269999999997</v>
      </c>
      <c r="AF1391">
        <v>-1.10313952301642</v>
      </c>
      <c r="AG1391">
        <v>-1.1094941027775</v>
      </c>
      <c r="AH1391">
        <v>18.640992473980599</v>
      </c>
      <c r="AI1391">
        <v>93.400237122808605</v>
      </c>
      <c r="AJ1391">
        <v>93.386708669130499</v>
      </c>
      <c r="AK1391">
        <v>18.706536140780798</v>
      </c>
    </row>
    <row r="1392" spans="1:37" x14ac:dyDescent="0.2">
      <c r="A1392" t="str">
        <f>"20200111154053092"</f>
        <v>20200111154053092</v>
      </c>
      <c r="B1392" t="str">
        <f>"1578728453087174"</f>
        <v>1578728453087174</v>
      </c>
      <c r="C1392" t="s">
        <v>37</v>
      </c>
      <c r="D1392">
        <v>5.4658889999999998</v>
      </c>
      <c r="E1392">
        <v>0.48468549999999899</v>
      </c>
      <c r="F1392" t="s">
        <v>44</v>
      </c>
      <c r="G1392">
        <v>-324.62740000000002</v>
      </c>
      <c r="H1392" s="1">
        <v>1.020922E-6</v>
      </c>
      <c r="I1392">
        <v>282.43709999999999</v>
      </c>
      <c r="J1392">
        <v>-306.04919999999998</v>
      </c>
      <c r="K1392">
        <v>1.1094839999999999</v>
      </c>
      <c r="L1392">
        <v>283.76909999999998</v>
      </c>
      <c r="M1392">
        <v>-0.99989830000000002</v>
      </c>
      <c r="N1392">
        <v>0</v>
      </c>
      <c r="O1392">
        <v>-1.27768999999999E-2</v>
      </c>
      <c r="P1392">
        <v>-0.99738669999999996</v>
      </c>
      <c r="Q1392">
        <v>6.5478739999999994E-2</v>
      </c>
      <c r="R1392">
        <v>-3.053873E-2</v>
      </c>
      <c r="S1392">
        <v>-3.012756</v>
      </c>
      <c r="T1392">
        <v>-0.17663589999999901</v>
      </c>
      <c r="U1392">
        <v>-0.2127686</v>
      </c>
      <c r="V1392">
        <v>-1.783554E-2</v>
      </c>
      <c r="W1392">
        <v>7.1804980000000004E-2</v>
      </c>
      <c r="X1392">
        <v>0.99725919999999901</v>
      </c>
      <c r="Y1392">
        <v>-5.7619330000000003E-2</v>
      </c>
      <c r="Z1392">
        <v>-9.3810270000000003E-4</v>
      </c>
      <c r="AA1392">
        <v>0.99833819999999995</v>
      </c>
      <c r="AB1392">
        <v>43</v>
      </c>
      <c r="AC1392">
        <v>-18.578199999999999</v>
      </c>
      <c r="AD1392">
        <v>-1.1094829790780001</v>
      </c>
      <c r="AE1392">
        <v>-1.3319999999999901</v>
      </c>
      <c r="AF1392">
        <v>-1.09064488057697</v>
      </c>
      <c r="AG1392">
        <v>-1.1094829790780001</v>
      </c>
      <c r="AH1392">
        <v>18.5279618220492</v>
      </c>
      <c r="AI1392">
        <v>93.420959987493504</v>
      </c>
      <c r="AJ1392">
        <v>93.368817484172197</v>
      </c>
      <c r="AK1392">
        <v>18.593166164365499</v>
      </c>
    </row>
    <row r="1393" spans="1:37" x14ac:dyDescent="0.2">
      <c r="A1393" t="str">
        <f>"20200111154053105"</f>
        <v>20200111154053105</v>
      </c>
      <c r="B1393" t="str">
        <f>"1578728453097909"</f>
        <v>1578728453097909</v>
      </c>
      <c r="C1393" t="s">
        <v>37</v>
      </c>
      <c r="D1393">
        <v>5.5219629999999897</v>
      </c>
      <c r="E1393">
        <v>0.4848402</v>
      </c>
      <c r="F1393" t="s">
        <v>44</v>
      </c>
      <c r="G1393">
        <v>-325.09969999999998</v>
      </c>
      <c r="H1393" s="1">
        <v>1.272153E-6</v>
      </c>
      <c r="I1393">
        <v>282.43959999999998</v>
      </c>
      <c r="J1393">
        <v>-306.31330000000003</v>
      </c>
      <c r="K1393">
        <v>1.1094790000000001</v>
      </c>
      <c r="L1393">
        <v>283.76569999999998</v>
      </c>
      <c r="M1393">
        <v>-0.99989660000000002</v>
      </c>
      <c r="N1393">
        <v>0</v>
      </c>
      <c r="O1393">
        <v>-1.290344E-2</v>
      </c>
      <c r="P1393">
        <v>-0.99737359999999897</v>
      </c>
      <c r="Q1393">
        <v>6.5582719999999997E-2</v>
      </c>
      <c r="R1393">
        <v>-3.0741480000000002E-2</v>
      </c>
      <c r="S1393">
        <v>-3.01287799999999</v>
      </c>
      <c r="T1393">
        <v>-0.1754674</v>
      </c>
      <c r="U1393">
        <v>-0.21026610000000001</v>
      </c>
      <c r="V1393">
        <v>-1.7911489999999999E-2</v>
      </c>
      <c r="W1393">
        <v>7.1908650000000005E-2</v>
      </c>
      <c r="X1393">
        <v>0.99725039999999998</v>
      </c>
      <c r="Y1393">
        <v>-5.6667820000000001E-2</v>
      </c>
      <c r="Z1393">
        <v>-8.9689299999999995E-4</v>
      </c>
      <c r="AA1393">
        <v>0.99839270000000002</v>
      </c>
      <c r="AB1393">
        <v>43</v>
      </c>
      <c r="AC1393">
        <v>-18.786399999999901</v>
      </c>
      <c r="AD1393">
        <v>-1.1094777278470001</v>
      </c>
      <c r="AE1393">
        <v>-1.3260999999999901</v>
      </c>
      <c r="AF1393">
        <v>-1.0798279872597001</v>
      </c>
      <c r="AG1393">
        <v>-1.1094777278470001</v>
      </c>
      <c r="AH1393">
        <v>18.736921115980401</v>
      </c>
      <c r="AI1393">
        <v>93.383123363309096</v>
      </c>
      <c r="AJ1393">
        <v>93.298366125394907</v>
      </c>
      <c r="AK1393">
        <v>18.800776106776301</v>
      </c>
    </row>
    <row r="1394" spans="1:37" x14ac:dyDescent="0.2">
      <c r="A1394" t="str">
        <f>"20200111154053128"</f>
        <v>20200111154053128</v>
      </c>
      <c r="B1394" t="str">
        <f>"1578728453117428"</f>
        <v>1578728453117428</v>
      </c>
      <c r="C1394" t="s">
        <v>37</v>
      </c>
      <c r="D1394">
        <v>5.4833030000000003</v>
      </c>
      <c r="E1394">
        <v>0.48509799999999997</v>
      </c>
      <c r="F1394" t="s">
        <v>44</v>
      </c>
      <c r="G1394">
        <v>-325.43090000000001</v>
      </c>
      <c r="H1394" s="1">
        <v>1.448579E-6</v>
      </c>
      <c r="I1394">
        <v>282.43630000000002</v>
      </c>
      <c r="J1394">
        <v>-306.74590000000001</v>
      </c>
      <c r="K1394">
        <v>1.1094660000000001</v>
      </c>
      <c r="L1394">
        <v>283.75990000000002</v>
      </c>
      <c r="M1394">
        <v>-0.99989409999999901</v>
      </c>
      <c r="N1394">
        <v>0</v>
      </c>
      <c r="O1394">
        <v>-1.309635E-2</v>
      </c>
      <c r="P1394">
        <v>-0.99735469999999904</v>
      </c>
      <c r="Q1394">
        <v>6.5949339999999995E-2</v>
      </c>
      <c r="R1394">
        <v>-3.0570719999999999E-2</v>
      </c>
      <c r="S1394">
        <v>-3.0129389999999998</v>
      </c>
      <c r="T1394">
        <v>-0.1748537</v>
      </c>
      <c r="U1394">
        <v>-0.2095032</v>
      </c>
      <c r="V1394">
        <v>-1.7546289999999999E-2</v>
      </c>
      <c r="W1394">
        <v>7.2274859999999996E-2</v>
      </c>
      <c r="X1394">
        <v>0.99723039999999996</v>
      </c>
      <c r="Y1394">
        <v>-5.6223780000000001E-2</v>
      </c>
      <c r="Z1394">
        <v>-8.6972340000000001E-4</v>
      </c>
      <c r="AA1394">
        <v>0.99841780000000002</v>
      </c>
      <c r="AB1394">
        <v>43</v>
      </c>
      <c r="AC1394">
        <v>-18.684999999999999</v>
      </c>
      <c r="AD1394">
        <v>-1.109464551421</v>
      </c>
      <c r="AE1394">
        <v>-1.3235999999999899</v>
      </c>
      <c r="AF1394">
        <v>-1.07500507401935</v>
      </c>
      <c r="AG1394">
        <v>-1.109464551421</v>
      </c>
      <c r="AH1394">
        <v>18.635358243692799</v>
      </c>
      <c r="AI1394">
        <v>93.401467156466495</v>
      </c>
      <c r="AJ1394">
        <v>93.301523237463201</v>
      </c>
      <c r="AK1394">
        <v>18.6992813864811</v>
      </c>
    </row>
    <row r="1395" spans="1:37" x14ac:dyDescent="0.2">
      <c r="A1395" t="str">
        <f>"20200111154053148"</f>
        <v>20200111154053148</v>
      </c>
      <c r="B1395" t="str">
        <f>"1578728453137927"</f>
        <v>1578728453137927</v>
      </c>
      <c r="C1395" t="s">
        <v>37</v>
      </c>
      <c r="D1395">
        <v>5.3103989999999897</v>
      </c>
      <c r="E1395">
        <v>0.4853305</v>
      </c>
      <c r="F1395" t="s">
        <v>44</v>
      </c>
      <c r="G1395">
        <v>-326.01620000000003</v>
      </c>
      <c r="H1395" s="1">
        <v>1.7600079999999899E-6</v>
      </c>
      <c r="I1395">
        <v>282.43619999999999</v>
      </c>
      <c r="J1395">
        <v>-307.15879999999999</v>
      </c>
      <c r="K1395">
        <v>1.10945</v>
      </c>
      <c r="L1395">
        <v>283.75439999999998</v>
      </c>
      <c r="M1395">
        <v>-0.999892</v>
      </c>
      <c r="N1395">
        <v>0</v>
      </c>
      <c r="O1395">
        <v>-1.326634E-2</v>
      </c>
      <c r="P1395">
        <v>-0.99732699999999996</v>
      </c>
      <c r="Q1395">
        <v>6.6384380000000007E-2</v>
      </c>
      <c r="R1395">
        <v>-3.0530560000000002E-2</v>
      </c>
      <c r="S1395">
        <v>-3.0130619999999899</v>
      </c>
      <c r="T1395">
        <v>-0.17347379999999901</v>
      </c>
      <c r="U1395">
        <v>-0.20697019999999999</v>
      </c>
      <c r="V1395">
        <v>-1.7335570000000002E-2</v>
      </c>
      <c r="W1395">
        <v>7.2706209999999993E-2</v>
      </c>
      <c r="X1395">
        <v>0.99720279999999994</v>
      </c>
      <c r="Y1395">
        <v>-5.5218919999999998E-2</v>
      </c>
      <c r="Z1395">
        <v>-8.2422630000000005E-4</v>
      </c>
      <c r="AA1395">
        <v>0.99847389999999903</v>
      </c>
      <c r="AB1395">
        <v>43</v>
      </c>
      <c r="AC1395">
        <v>-18.857399999999998</v>
      </c>
      <c r="AD1395">
        <v>-1.109448239992</v>
      </c>
      <c r="AE1395">
        <v>-1.31819999999999</v>
      </c>
      <c r="AF1395">
        <v>-1.0642444576305501</v>
      </c>
      <c r="AG1395">
        <v>-1.109448239992</v>
      </c>
      <c r="AH1395">
        <v>18.808441728030299</v>
      </c>
      <c r="AI1395">
        <v>93.370399633680805</v>
      </c>
      <c r="AJ1395">
        <v>93.238533289248295</v>
      </c>
      <c r="AK1395">
        <v>18.871167740750099</v>
      </c>
    </row>
    <row r="1396" spans="1:37" x14ac:dyDescent="0.2">
      <c r="A1396" t="str">
        <f>"20200111154053161"</f>
        <v>20200111154053161</v>
      </c>
      <c r="B1396" t="str">
        <f>"1578728453157444"</f>
        <v>1578728453157444</v>
      </c>
      <c r="C1396" t="s">
        <v>37</v>
      </c>
      <c r="D1396">
        <v>5.3565690000000004</v>
      </c>
      <c r="E1396">
        <v>0.48557489999999998</v>
      </c>
      <c r="F1396" t="s">
        <v>44</v>
      </c>
      <c r="G1396">
        <v>-326.54930000000002</v>
      </c>
      <c r="H1396" s="1">
        <v>2.0438440000000002E-6</v>
      </c>
      <c r="I1396">
        <v>282.43389999999999</v>
      </c>
      <c r="J1396">
        <v>-307.41129999999998</v>
      </c>
      <c r="K1396">
        <v>1.1094389999999901</v>
      </c>
      <c r="L1396">
        <v>283.75099999999998</v>
      </c>
      <c r="M1396">
        <v>-0.99989059999999896</v>
      </c>
      <c r="N1396">
        <v>0</v>
      </c>
      <c r="O1396">
        <v>-1.3364020000000001E-2</v>
      </c>
      <c r="P1396">
        <v>-0.99733289999999997</v>
      </c>
      <c r="Q1396">
        <v>6.6347539999999997E-2</v>
      </c>
      <c r="R1396">
        <v>-3.0420719999999998E-2</v>
      </c>
      <c r="S1396">
        <v>-3.0132750000000001</v>
      </c>
      <c r="T1396">
        <v>-0.1724077</v>
      </c>
      <c r="U1396">
        <v>-0.2052002</v>
      </c>
      <c r="V1396">
        <v>-1.7126869999999999E-2</v>
      </c>
      <c r="W1396">
        <v>7.2666729999999999E-2</v>
      </c>
      <c r="X1396">
        <v>0.99720919999999902</v>
      </c>
      <c r="Y1396">
        <v>-5.4534899999999997E-2</v>
      </c>
      <c r="Z1396">
        <v>-7.9402050000000005E-4</v>
      </c>
      <c r="AA1396">
        <v>0.99851159999999906</v>
      </c>
      <c r="AB1396">
        <v>43</v>
      </c>
      <c r="AC1396">
        <v>-19.138000000000002</v>
      </c>
      <c r="AD1396">
        <v>-1.10943695615599</v>
      </c>
      <c r="AE1396">
        <v>-1.31709999999998</v>
      </c>
      <c r="AF1396">
        <v>-1.05767897814832</v>
      </c>
      <c r="AG1396">
        <v>-1.10943695615599</v>
      </c>
      <c r="AH1396">
        <v>19.090042078985501</v>
      </c>
      <c r="AI1396">
        <v>93.320978695147303</v>
      </c>
      <c r="AJ1396">
        <v>93.171216020401801</v>
      </c>
      <c r="AK1396">
        <v>19.1514814507374</v>
      </c>
    </row>
    <row r="1397" spans="1:37" x14ac:dyDescent="0.2">
      <c r="A1397" t="str">
        <f>"20200111154053181"</f>
        <v>20200111154053181</v>
      </c>
      <c r="B1397" t="str">
        <f>"1578728453177941"</f>
        <v>1578728453177941</v>
      </c>
      <c r="C1397" t="s">
        <v>37</v>
      </c>
      <c r="D1397">
        <v>5.3821649999999996</v>
      </c>
      <c r="E1397">
        <v>0.48582609999999898</v>
      </c>
      <c r="F1397" t="s">
        <v>44</v>
      </c>
      <c r="G1397">
        <v>-326.72570000000002</v>
      </c>
      <c r="H1397" s="1">
        <v>2.1370410000000001E-6</v>
      </c>
      <c r="I1397">
        <v>282.44889999999998</v>
      </c>
      <c r="J1397">
        <v>-307.79360000000003</v>
      </c>
      <c r="K1397">
        <v>1.109421</v>
      </c>
      <c r="L1397">
        <v>283.74579999999997</v>
      </c>
      <c r="M1397">
        <v>-0.99988899999999903</v>
      </c>
      <c r="N1397">
        <v>0</v>
      </c>
      <c r="O1397">
        <v>-1.349909E-2</v>
      </c>
      <c r="P1397">
        <v>-0.99734869999999898</v>
      </c>
      <c r="Q1397">
        <v>6.6247810000000004E-2</v>
      </c>
      <c r="R1397">
        <v>-3.0121950000000002E-2</v>
      </c>
      <c r="S1397">
        <v>-3.013306</v>
      </c>
      <c r="T1397">
        <v>-0.17308689999999999</v>
      </c>
      <c r="U1397">
        <v>-0.20315549999999999</v>
      </c>
      <c r="V1397">
        <v>-1.6690960000000001E-2</v>
      </c>
      <c r="W1397">
        <v>7.2563069999999993E-2</v>
      </c>
      <c r="X1397">
        <v>0.99722420000000001</v>
      </c>
      <c r="Y1397">
        <v>-5.3725870000000002E-2</v>
      </c>
      <c r="Z1397">
        <v>-7.6622099999999998E-4</v>
      </c>
      <c r="AA1397">
        <v>0.99855539999999998</v>
      </c>
      <c r="AB1397">
        <v>43</v>
      </c>
      <c r="AC1397">
        <v>-18.932099999999899</v>
      </c>
      <c r="AD1397">
        <v>-1.1094188629590001</v>
      </c>
      <c r="AE1397">
        <v>-1.2968999999999899</v>
      </c>
      <c r="AF1397">
        <v>-1.03766398348658</v>
      </c>
      <c r="AG1397">
        <v>-1.1094188629590001</v>
      </c>
      <c r="AH1397">
        <v>18.883340704641899</v>
      </c>
      <c r="AI1397">
        <v>93.357277115205093</v>
      </c>
      <c r="AJ1397">
        <v>93.145313789736605</v>
      </c>
      <c r="AK1397">
        <v>18.944342504391599</v>
      </c>
    </row>
    <row r="1398" spans="1:37" x14ac:dyDescent="0.2">
      <c r="A1398" t="str">
        <f>"20200111154053196"</f>
        <v>20200111154053196</v>
      </c>
      <c r="B1398" t="str">
        <f>"1578728453187701"</f>
        <v>1578728453187701</v>
      </c>
      <c r="C1398" t="s">
        <v>37</v>
      </c>
      <c r="D1398">
        <v>5.364833</v>
      </c>
      <c r="E1398">
        <v>0.48595829999999901</v>
      </c>
      <c r="F1398" t="s">
        <v>44</v>
      </c>
      <c r="G1398">
        <v>-327.01350000000002</v>
      </c>
      <c r="H1398" s="1">
        <v>2.2893409999999999E-6</v>
      </c>
      <c r="I1398">
        <v>282.46800000000002</v>
      </c>
      <c r="J1398">
        <v>-308.0813</v>
      </c>
      <c r="K1398">
        <v>1.1094059999999999</v>
      </c>
      <c r="L1398">
        <v>283.74189999999999</v>
      </c>
      <c r="M1398">
        <v>-0.99988770000000005</v>
      </c>
      <c r="N1398">
        <v>0</v>
      </c>
      <c r="O1398">
        <v>-1.3591870000000001E-2</v>
      </c>
      <c r="P1398">
        <v>-0.99735779999999996</v>
      </c>
      <c r="Q1398">
        <v>6.6199869999999994E-2</v>
      </c>
      <c r="R1398">
        <v>-2.9923970000000001E-2</v>
      </c>
      <c r="S1398">
        <v>-3.0135190000000001</v>
      </c>
      <c r="T1398">
        <v>-0.17394760000000001</v>
      </c>
      <c r="U1398">
        <v>-0.2003479</v>
      </c>
      <c r="V1398">
        <v>-1.6398579999999999E-2</v>
      </c>
      <c r="W1398">
        <v>7.2512660000000007E-2</v>
      </c>
      <c r="X1398">
        <v>0.99723269999999997</v>
      </c>
      <c r="Y1398">
        <v>-5.2703449999999999E-2</v>
      </c>
      <c r="Z1398">
        <v>-7.3519850000000001E-4</v>
      </c>
      <c r="AA1398">
        <v>0.99861</v>
      </c>
      <c r="AB1398">
        <v>44</v>
      </c>
      <c r="AC1398">
        <v>-18.932200000000002</v>
      </c>
      <c r="AD1398">
        <v>-1.10940371065899</v>
      </c>
      <c r="AE1398">
        <v>-1.2738999999999601</v>
      </c>
      <c r="AF1398">
        <v>-1.0129904468734701</v>
      </c>
      <c r="AG1398">
        <v>-1.10940371065899</v>
      </c>
      <c r="AH1398">
        <v>18.883216875645701</v>
      </c>
      <c r="AI1398">
        <v>93.3574902219721</v>
      </c>
      <c r="AJ1398">
        <v>93.070689593814507</v>
      </c>
      <c r="AK1398">
        <v>18.942882721786301</v>
      </c>
    </row>
    <row r="1399" spans="1:37" x14ac:dyDescent="0.2">
      <c r="A1399" t="str">
        <f>"20200111154053210"</f>
        <v>20200111154053210</v>
      </c>
      <c r="B1399" t="str">
        <f>"1578728453197461"</f>
        <v>1578728453197461</v>
      </c>
      <c r="C1399" t="s">
        <v>37</v>
      </c>
      <c r="D1399">
        <v>5.4688309999999998</v>
      </c>
      <c r="E1399">
        <v>0.48602089999999998</v>
      </c>
      <c r="F1399" t="s">
        <v>44</v>
      </c>
      <c r="G1399">
        <v>-327.255</v>
      </c>
      <c r="H1399" s="1">
        <v>2.4174060000000001E-6</v>
      </c>
      <c r="I1399">
        <v>282.47859999999997</v>
      </c>
      <c r="J1399">
        <v>-308.34300000000002</v>
      </c>
      <c r="K1399">
        <v>1.109394</v>
      </c>
      <c r="L1399">
        <v>283.73829999999998</v>
      </c>
      <c r="M1399">
        <v>-0.99988650000000001</v>
      </c>
      <c r="N1399">
        <v>0</v>
      </c>
      <c r="O1399">
        <v>-1.3671310000000001E-2</v>
      </c>
      <c r="P1399">
        <v>-0.99736360000000002</v>
      </c>
      <c r="Q1399">
        <v>6.6124450000000001E-2</v>
      </c>
      <c r="R1399">
        <v>-2.9896410000000002E-2</v>
      </c>
      <c r="S1399">
        <v>-3.0135190000000001</v>
      </c>
      <c r="T1399">
        <v>-0.174364299999999</v>
      </c>
      <c r="U1399">
        <v>-0.19854739999999901</v>
      </c>
      <c r="V1399">
        <v>-1.6290249999999999E-2</v>
      </c>
      <c r="W1399">
        <v>7.2435620000000006E-2</v>
      </c>
      <c r="X1399">
        <v>0.99724009999999996</v>
      </c>
      <c r="Y1399">
        <v>-5.2030989999999999E-2</v>
      </c>
      <c r="Z1399">
        <v>-7.1296679999999896E-4</v>
      </c>
      <c r="AA1399">
        <v>0.99864519999999901</v>
      </c>
      <c r="AB1399">
        <v>44</v>
      </c>
      <c r="AC1399">
        <v>-18.9119999999999</v>
      </c>
      <c r="AD1399">
        <v>-1.1093915825939999</v>
      </c>
      <c r="AE1399">
        <v>-1.2597</v>
      </c>
      <c r="AF1399">
        <v>-0.99760758662594196</v>
      </c>
      <c r="AG1399">
        <v>-1.1093915825939999</v>
      </c>
      <c r="AH1399">
        <v>18.862832753803101</v>
      </c>
      <c r="AI1399">
        <v>93.361208453391697</v>
      </c>
      <c r="AJ1399">
        <v>93.027408541716895</v>
      </c>
      <c r="AK1399">
        <v>18.921744900467601</v>
      </c>
    </row>
    <row r="1400" spans="1:37" x14ac:dyDescent="0.2">
      <c r="A1400" t="str">
        <f>"20200111154053227"</f>
        <v>20200111154053227</v>
      </c>
      <c r="B1400" t="str">
        <f>"1578728453217956"</f>
        <v>1578728453217956</v>
      </c>
      <c r="C1400" t="s">
        <v>37</v>
      </c>
      <c r="D1400">
        <v>5.4084129999999897</v>
      </c>
      <c r="E1400">
        <v>0.48614269999999998</v>
      </c>
      <c r="F1400" t="s">
        <v>44</v>
      </c>
      <c r="G1400">
        <v>-327.45049999999998</v>
      </c>
      <c r="H1400" s="1">
        <v>2.5212990000000001E-6</v>
      </c>
      <c r="I1400">
        <v>282.48230000000001</v>
      </c>
      <c r="J1400">
        <v>-308.69299999999998</v>
      </c>
      <c r="K1400">
        <v>1.1093759999999999</v>
      </c>
      <c r="L1400">
        <v>283.73349999999999</v>
      </c>
      <c r="M1400">
        <v>-0.99988509999999997</v>
      </c>
      <c r="N1400">
        <v>0</v>
      </c>
      <c r="O1400">
        <v>-1.377016E-2</v>
      </c>
      <c r="P1400">
        <v>-0.99739089999999997</v>
      </c>
      <c r="Q1400">
        <v>6.5775330000000007E-2</v>
      </c>
      <c r="R1400">
        <v>-2.9753479999999999E-2</v>
      </c>
      <c r="S1400">
        <v>-3.01355</v>
      </c>
      <c r="T1400">
        <v>-0.17496800000000001</v>
      </c>
      <c r="U1400">
        <v>-0.1980896</v>
      </c>
      <c r="V1400">
        <v>-1.604672E-2</v>
      </c>
      <c r="W1400">
        <v>7.2084629999999997E-2</v>
      </c>
      <c r="X1400">
        <v>0.99726949999999903</v>
      </c>
      <c r="Y1400">
        <v>-5.1780710000000001E-2</v>
      </c>
      <c r="Z1400">
        <v>-7.0244899999999996E-4</v>
      </c>
      <c r="AA1400">
        <v>0.99865820000000005</v>
      </c>
      <c r="AB1400">
        <v>44</v>
      </c>
      <c r="AC1400">
        <v>-18.7575</v>
      </c>
      <c r="AD1400">
        <v>-1.1093734787009999</v>
      </c>
      <c r="AE1400">
        <v>-1.2511999999999801</v>
      </c>
      <c r="AF1400">
        <v>-0.98933714179994803</v>
      </c>
      <c r="AG1400">
        <v>-1.1093734787009999</v>
      </c>
      <c r="AH1400">
        <v>18.7078031493586</v>
      </c>
      <c r="AI1400">
        <v>93.388943284257707</v>
      </c>
      <c r="AJ1400">
        <v>93.027190719748504</v>
      </c>
      <c r="AK1400">
        <v>18.766763071199701</v>
      </c>
    </row>
    <row r="1401" spans="1:37" x14ac:dyDescent="0.2">
      <c r="A1401" t="str">
        <f>"20200111154053240"</f>
        <v>20200111154053240</v>
      </c>
      <c r="B1401" t="str">
        <f>"1578728453227716"</f>
        <v>1578728453227716</v>
      </c>
      <c r="C1401" t="s">
        <v>37</v>
      </c>
      <c r="D1401">
        <v>5.3945470000000002</v>
      </c>
      <c r="E1401">
        <v>0.486205</v>
      </c>
      <c r="F1401" t="s">
        <v>44</v>
      </c>
      <c r="G1401">
        <v>-327.66820000000001</v>
      </c>
      <c r="H1401" s="1">
        <v>2.6364899999999998E-6</v>
      </c>
      <c r="I1401">
        <v>282.49680000000001</v>
      </c>
      <c r="J1401">
        <v>-308.95580000000001</v>
      </c>
      <c r="K1401">
        <v>1.1093649999999999</v>
      </c>
      <c r="L1401">
        <v>283.72980000000001</v>
      </c>
      <c r="M1401">
        <v>-0.99988429999999995</v>
      </c>
      <c r="N1401">
        <v>0</v>
      </c>
      <c r="O1401">
        <v>-1.3839590000000001E-2</v>
      </c>
      <c r="P1401">
        <v>-0.99740680000000004</v>
      </c>
      <c r="Q1401">
        <v>6.55974E-2</v>
      </c>
      <c r="R1401">
        <v>-2.961486E-2</v>
      </c>
      <c r="S1401">
        <v>-3.0136409999999998</v>
      </c>
      <c r="T1401">
        <v>-0.17619089999999901</v>
      </c>
      <c r="U1401">
        <v>-0.19641110000000001</v>
      </c>
      <c r="V1401">
        <v>-1.5837210000000001E-2</v>
      </c>
      <c r="W1401">
        <v>7.1905800000000006E-2</v>
      </c>
      <c r="X1401">
        <v>0.99728569999999905</v>
      </c>
      <c r="Y1401">
        <v>-5.1155819999999998E-2</v>
      </c>
      <c r="Z1401">
        <v>-6.8505819999999996E-4</v>
      </c>
      <c r="AA1401">
        <v>0.99869039999999998</v>
      </c>
      <c r="AB1401">
        <v>44</v>
      </c>
      <c r="AC1401">
        <v>-18.712399999999999</v>
      </c>
      <c r="AD1401">
        <v>-1.1093623635099901</v>
      </c>
      <c r="AE1401">
        <v>-1.2330000000000001</v>
      </c>
      <c r="AF1401">
        <v>-0.97050850715276504</v>
      </c>
      <c r="AG1401">
        <v>-1.1093623635099901</v>
      </c>
      <c r="AH1401">
        <v>18.6623633718192</v>
      </c>
      <c r="AI1401">
        <v>93.3972975552213</v>
      </c>
      <c r="AJ1401">
        <v>92.976900361311905</v>
      </c>
      <c r="AK1401">
        <v>18.7204801818182</v>
      </c>
    </row>
    <row r="1402" spans="1:37" x14ac:dyDescent="0.2">
      <c r="A1402" t="str">
        <f>"20200111154053270"</f>
        <v>20200111154053270</v>
      </c>
      <c r="B1402" t="str">
        <f>"1578728453257973"</f>
        <v>1578728453257973</v>
      </c>
      <c r="C1402" t="s">
        <v>37</v>
      </c>
      <c r="D1402">
        <v>5.4669410000000003</v>
      </c>
      <c r="E1402">
        <v>0.486339999999999</v>
      </c>
      <c r="F1402" t="s">
        <v>44</v>
      </c>
      <c r="G1402">
        <v>-327.86340000000001</v>
      </c>
      <c r="H1402" s="1">
        <v>2.74008199999999E-6</v>
      </c>
      <c r="I1402">
        <v>282.50290000000001</v>
      </c>
      <c r="J1402">
        <v>-309.54039999999998</v>
      </c>
      <c r="K1402">
        <v>1.109334</v>
      </c>
      <c r="L1402">
        <v>283.72160000000002</v>
      </c>
      <c r="M1402">
        <v>-0.99988220000000005</v>
      </c>
      <c r="N1402">
        <v>0</v>
      </c>
      <c r="O1402">
        <v>-1.3980960000000001E-2</v>
      </c>
      <c r="P1402">
        <v>-0.99742640000000005</v>
      </c>
      <c r="Q1402">
        <v>6.5365900000000005E-2</v>
      </c>
      <c r="R1402">
        <v>-2.9464560000000001E-2</v>
      </c>
      <c r="S1402">
        <v>-3.013611</v>
      </c>
      <c r="T1402">
        <v>-0.17681749999999999</v>
      </c>
      <c r="U1402">
        <v>-0.1955566</v>
      </c>
      <c r="V1402">
        <v>-1.554263E-2</v>
      </c>
      <c r="W1402">
        <v>7.1672749999999993E-2</v>
      </c>
      <c r="X1402">
        <v>0.9973071</v>
      </c>
      <c r="Y1402">
        <v>-5.0733800000000003E-2</v>
      </c>
      <c r="Z1402">
        <v>-6.668701E-4</v>
      </c>
      <c r="AA1402">
        <v>0.99871200000000004</v>
      </c>
      <c r="AB1402">
        <v>44</v>
      </c>
      <c r="AC1402">
        <v>-18.323</v>
      </c>
      <c r="AD1402">
        <v>-1.1093312599180001</v>
      </c>
      <c r="AE1402">
        <v>-1.2187000000000101</v>
      </c>
      <c r="AF1402">
        <v>-0.95890326462715603</v>
      </c>
      <c r="AG1402">
        <v>-1.1093312599180001</v>
      </c>
      <c r="AH1402">
        <v>18.271569144926701</v>
      </c>
      <c r="AI1402">
        <v>93.469600557644398</v>
      </c>
      <c r="AJ1402">
        <v>93.004161979465195</v>
      </c>
      <c r="AK1402">
        <v>18.330312335936402</v>
      </c>
    </row>
    <row r="1403" spans="1:37" x14ac:dyDescent="0.2">
      <c r="A1403" t="str">
        <f>"20200111154053286"</f>
        <v>20200111154053286</v>
      </c>
      <c r="B1403" t="str">
        <f>"1578728453277493"</f>
        <v>1578728453277493</v>
      </c>
      <c r="C1403" t="s">
        <v>37</v>
      </c>
      <c r="D1403">
        <v>5.4055010000000001</v>
      </c>
      <c r="E1403">
        <v>0.4864657</v>
      </c>
      <c r="F1403" t="s">
        <v>44</v>
      </c>
      <c r="G1403">
        <v>-328.33929999999998</v>
      </c>
      <c r="H1403" s="1">
        <v>2.993016E-6</v>
      </c>
      <c r="I1403">
        <v>282.51049999999998</v>
      </c>
      <c r="J1403">
        <v>-309.8501</v>
      </c>
      <c r="K1403">
        <v>1.109324</v>
      </c>
      <c r="L1403">
        <v>283.71730000000002</v>
      </c>
      <c r="M1403">
        <v>-0.99988129999999997</v>
      </c>
      <c r="N1403">
        <v>0</v>
      </c>
      <c r="O1403">
        <v>-1.405051E-2</v>
      </c>
      <c r="P1403">
        <v>-0.99742189999999997</v>
      </c>
      <c r="Q1403">
        <v>6.5390820000000002E-2</v>
      </c>
      <c r="R1403">
        <v>-2.956193E-2</v>
      </c>
      <c r="S1403">
        <v>-3.0137019999999999</v>
      </c>
      <c r="T1403">
        <v>-0.17783979999999999</v>
      </c>
      <c r="U1403">
        <v>-0.19415279999999999</v>
      </c>
      <c r="V1403">
        <v>-1.556971E-2</v>
      </c>
      <c r="W1403">
        <v>7.1697490000000003E-2</v>
      </c>
      <c r="X1403">
        <v>0.99730490000000005</v>
      </c>
      <c r="Y1403">
        <v>-5.019941E-2</v>
      </c>
      <c r="Z1403">
        <v>-6.5087519999999896E-4</v>
      </c>
      <c r="AA1403">
        <v>0.99873899999999904</v>
      </c>
      <c r="AB1403">
        <v>44</v>
      </c>
      <c r="AC1403">
        <v>-18.489199999999901</v>
      </c>
      <c r="AD1403">
        <v>-1.109321006984</v>
      </c>
      <c r="AE1403">
        <v>-1.2068000000000401</v>
      </c>
      <c r="AF1403">
        <v>-0.94351094545887004</v>
      </c>
      <c r="AG1403">
        <v>-1.109321006984</v>
      </c>
      <c r="AH1403">
        <v>18.438238910046401</v>
      </c>
      <c r="AI1403">
        <v>93.438513605245106</v>
      </c>
      <c r="AJ1403">
        <v>92.929351573400595</v>
      </c>
      <c r="AK1403">
        <v>18.495660574975101</v>
      </c>
    </row>
    <row r="1404" spans="1:37" x14ac:dyDescent="0.2">
      <c r="A1404" t="str">
        <f>"20200111154053299"</f>
        <v>20200111154053299</v>
      </c>
      <c r="B1404" t="str">
        <f>"1578728453287252"</f>
        <v>1578728453287252</v>
      </c>
      <c r="C1404" t="s">
        <v>37</v>
      </c>
      <c r="D1404">
        <v>5.4121189999999997</v>
      </c>
      <c r="E1404">
        <v>0.48654449999999999</v>
      </c>
      <c r="F1404" t="s">
        <v>44</v>
      </c>
      <c r="G1404">
        <v>-328.56040000000002</v>
      </c>
      <c r="H1404" s="1">
        <v>3.110436E-6</v>
      </c>
      <c r="I1404">
        <v>282.51609999999999</v>
      </c>
      <c r="J1404">
        <v>-310.12270000000001</v>
      </c>
      <c r="K1404">
        <v>1.109316</v>
      </c>
      <c r="L1404">
        <v>283.71339999999998</v>
      </c>
      <c r="M1404">
        <v>-0.9998804</v>
      </c>
      <c r="N1404">
        <v>0</v>
      </c>
      <c r="O1404">
        <v>-1.4109119999999999E-2</v>
      </c>
      <c r="P1404">
        <v>-0.997419099999999</v>
      </c>
      <c r="Q1404">
        <v>6.5406519999999996E-2</v>
      </c>
      <c r="R1404">
        <v>-2.9615280000000001E-2</v>
      </c>
      <c r="S1404">
        <v>-3.0137330000000002</v>
      </c>
      <c r="T1404">
        <v>-0.17868220000000001</v>
      </c>
      <c r="U1404">
        <v>-0.1934814</v>
      </c>
      <c r="V1404">
        <v>-1.556304E-2</v>
      </c>
      <c r="W1404">
        <v>7.1713180000000001E-2</v>
      </c>
      <c r="X1404">
        <v>0.99730379999999996</v>
      </c>
      <c r="Y1404">
        <v>-4.9918650000000002E-2</v>
      </c>
      <c r="Z1404">
        <v>-6.4217650000000001E-4</v>
      </c>
      <c r="AA1404">
        <v>0.99875309999999995</v>
      </c>
      <c r="AB1404">
        <v>44</v>
      </c>
      <c r="AC1404">
        <v>-18.4377</v>
      </c>
      <c r="AD1404">
        <v>-1.1093128895640001</v>
      </c>
      <c r="AE1404">
        <v>-1.19729999999998</v>
      </c>
      <c r="AF1404">
        <v>-0.93367029183321504</v>
      </c>
      <c r="AG1404">
        <v>-1.1093128895640001</v>
      </c>
      <c r="AH1404">
        <v>18.3864804141596</v>
      </c>
      <c r="AI1404">
        <v>93.448213043637395</v>
      </c>
      <c r="AJ1404">
        <v>92.906997713024793</v>
      </c>
      <c r="AK1404">
        <v>18.4435619477659</v>
      </c>
    </row>
    <row r="1405" spans="1:37" x14ac:dyDescent="0.2">
      <c r="A1405" t="str">
        <f>"20200111154053316"</f>
        <v>20200111154053316</v>
      </c>
      <c r="B1405" t="str">
        <f>"1578728453307751"</f>
        <v>1578728453307751</v>
      </c>
      <c r="C1405" t="s">
        <v>37</v>
      </c>
      <c r="D1405">
        <v>5.4599029999999997</v>
      </c>
      <c r="E1405">
        <v>0.486699299999999</v>
      </c>
      <c r="F1405" t="s">
        <v>44</v>
      </c>
      <c r="G1405">
        <v>-328.82400000000001</v>
      </c>
      <c r="H1405" s="1">
        <v>3.250682E-6</v>
      </c>
      <c r="I1405">
        <v>282.51639999999998</v>
      </c>
      <c r="J1405">
        <v>-310.45170000000002</v>
      </c>
      <c r="K1405">
        <v>1.109307</v>
      </c>
      <c r="L1405">
        <v>283.70870000000002</v>
      </c>
      <c r="M1405">
        <v>-0.99987950000000003</v>
      </c>
      <c r="N1405">
        <v>0</v>
      </c>
      <c r="O1405">
        <v>-1.4177489999999999E-2</v>
      </c>
      <c r="P1405">
        <v>-0.99742869999999995</v>
      </c>
      <c r="Q1405">
        <v>6.52697E-2</v>
      </c>
      <c r="R1405">
        <v>-2.9598159999999998E-2</v>
      </c>
      <c r="S1405">
        <v>-3.013763</v>
      </c>
      <c r="T1405">
        <v>-0.1787687</v>
      </c>
      <c r="U1405">
        <v>-0.19290160000000001</v>
      </c>
      <c r="V1405">
        <v>-1.547664E-2</v>
      </c>
      <c r="W1405">
        <v>7.1577169999999996E-2</v>
      </c>
      <c r="X1405">
        <v>0.99731499999999995</v>
      </c>
      <c r="Y1405">
        <v>-4.9658840000000003E-2</v>
      </c>
      <c r="Z1405">
        <v>-6.3074589999999905E-4</v>
      </c>
      <c r="AA1405">
        <v>0.99876609999999999</v>
      </c>
      <c r="AB1405">
        <v>44</v>
      </c>
      <c r="AC1405">
        <v>-18.372299999999999</v>
      </c>
      <c r="AD1405">
        <v>-1.109303749318</v>
      </c>
      <c r="AE1405">
        <v>-1.1923000000000401</v>
      </c>
      <c r="AF1405">
        <v>-0.92833168482914596</v>
      </c>
      <c r="AG1405">
        <v>-1.109303749318</v>
      </c>
      <c r="AH1405">
        <v>18.320846451709301</v>
      </c>
      <c r="AI1405">
        <v>93.460526888980894</v>
      </c>
      <c r="AJ1405">
        <v>92.900741285382907</v>
      </c>
      <c r="AK1405">
        <v>18.377860844843099</v>
      </c>
    </row>
    <row r="1406" spans="1:37" x14ac:dyDescent="0.2">
      <c r="A1406" t="str">
        <f>"20200111154053330"</f>
        <v>20200111154053330</v>
      </c>
      <c r="B1406" t="str">
        <f>"1578728453317509"</f>
        <v>1578728453317509</v>
      </c>
      <c r="C1406" t="s">
        <v>37</v>
      </c>
      <c r="D1406">
        <v>5.4106509999999997</v>
      </c>
      <c r="E1406">
        <v>0.48677359999999997</v>
      </c>
      <c r="F1406" t="s">
        <v>44</v>
      </c>
      <c r="G1406">
        <v>-328.98849999999999</v>
      </c>
      <c r="H1406" s="1">
        <v>3.3377510000000002E-6</v>
      </c>
      <c r="I1406">
        <v>282.52789999999999</v>
      </c>
      <c r="J1406">
        <v>-310.721</v>
      </c>
      <c r="K1406">
        <v>1.1092979999999999</v>
      </c>
      <c r="L1406">
        <v>283.70490000000001</v>
      </c>
      <c r="M1406">
        <v>-0.99987879999999996</v>
      </c>
      <c r="N1406">
        <v>0</v>
      </c>
      <c r="O1406">
        <v>-1.423229E-2</v>
      </c>
      <c r="P1406">
        <v>-0.99743490000000001</v>
      </c>
      <c r="Q1406">
        <v>6.5141279999999996E-2</v>
      </c>
      <c r="R1406">
        <v>-2.9670330000000002E-2</v>
      </c>
      <c r="S1406">
        <v>-3.013855</v>
      </c>
      <c r="T1406">
        <v>-0.180358399999999</v>
      </c>
      <c r="U1406">
        <v>-0.19198609999999999</v>
      </c>
      <c r="V1406">
        <v>-1.5493430000000001E-2</v>
      </c>
      <c r="W1406">
        <v>7.1449699999999894E-2</v>
      </c>
      <c r="X1406">
        <v>0.99732389999999904</v>
      </c>
      <c r="Y1406">
        <v>-4.9299629999999997E-2</v>
      </c>
      <c r="Z1406">
        <v>-6.2233129999999897E-4</v>
      </c>
      <c r="AA1406">
        <v>0.9987838</v>
      </c>
      <c r="AB1406">
        <v>44</v>
      </c>
      <c r="AC1406">
        <v>-18.267499999999899</v>
      </c>
      <c r="AD1406">
        <v>-1.1092946622490001</v>
      </c>
      <c r="AE1406">
        <v>-1.17700000000002</v>
      </c>
      <c r="AF1406">
        <v>-0.91353249677539095</v>
      </c>
      <c r="AG1406">
        <v>-1.1092946622490001</v>
      </c>
      <c r="AH1406">
        <v>18.215508910812002</v>
      </c>
      <c r="AI1406">
        <v>93.480551782824506</v>
      </c>
      <c r="AJ1406">
        <v>92.871055672061402</v>
      </c>
      <c r="AK1406">
        <v>18.272105547807801</v>
      </c>
    </row>
    <row r="1407" spans="1:37" x14ac:dyDescent="0.2">
      <c r="A1407" t="str">
        <f>"20200111154053342"</f>
        <v>20200111154053342</v>
      </c>
      <c r="B1407" t="str">
        <f>"1578728453338006"</f>
        <v>1578728453338006</v>
      </c>
      <c r="C1407" t="s">
        <v>37</v>
      </c>
      <c r="D1407">
        <v>5.412922</v>
      </c>
      <c r="E1407">
        <v>0.48692279999999999</v>
      </c>
      <c r="F1407" t="s">
        <v>44</v>
      </c>
      <c r="G1407">
        <v>-329.09820000000002</v>
      </c>
      <c r="H1407" s="1">
        <v>3.39564799999999E-6</v>
      </c>
      <c r="I1407">
        <v>282.53829999999999</v>
      </c>
      <c r="J1407">
        <v>-310.9769</v>
      </c>
      <c r="K1407">
        <v>1.1092930000000001</v>
      </c>
      <c r="L1407">
        <v>283.70119999999997</v>
      </c>
      <c r="M1407">
        <v>-0.99987800000000004</v>
      </c>
      <c r="N1407">
        <v>0</v>
      </c>
      <c r="O1407">
        <v>-1.4283519999999999E-2</v>
      </c>
      <c r="P1407">
        <v>-0.99744630000000001</v>
      </c>
      <c r="Q1407">
        <v>6.4906649999999996E-2</v>
      </c>
      <c r="R1407">
        <v>-2.9804890000000001E-2</v>
      </c>
      <c r="S1407">
        <v>-3.0138849999999899</v>
      </c>
      <c r="T1407">
        <v>-0.181926</v>
      </c>
      <c r="U1407">
        <v>-0.1913147</v>
      </c>
      <c r="V1407">
        <v>-1.5575479999999999E-2</v>
      </c>
      <c r="W1407">
        <v>7.1216160000000001E-2</v>
      </c>
      <c r="X1407">
        <v>0.99733930000000004</v>
      </c>
      <c r="Y1407">
        <v>-4.902571E-2</v>
      </c>
      <c r="Z1407">
        <v>-6.1639140000000002E-4</v>
      </c>
      <c r="AA1407">
        <v>0.9987973</v>
      </c>
      <c r="AB1407">
        <v>44</v>
      </c>
      <c r="AC1407">
        <v>-18.121300000000002</v>
      </c>
      <c r="AD1407">
        <v>-1.109289604352</v>
      </c>
      <c r="AE1407">
        <v>-1.1628999999999701</v>
      </c>
      <c r="AF1407">
        <v>-0.90057939488692296</v>
      </c>
      <c r="AG1407">
        <v>-1.109289604352</v>
      </c>
      <c r="AH1407">
        <v>18.0686321625478</v>
      </c>
      <c r="AI1407">
        <v>93.508812193783001</v>
      </c>
      <c r="AJ1407">
        <v>92.853383318370007</v>
      </c>
      <c r="AK1407">
        <v>18.125038893703799</v>
      </c>
    </row>
    <row r="1408" spans="1:37" x14ac:dyDescent="0.2">
      <c r="A1408" t="str">
        <f>"20200111154053360"</f>
        <v>20200111154053360</v>
      </c>
      <c r="B1408" t="str">
        <f>"1578728453347764"</f>
        <v>1578728453347764</v>
      </c>
      <c r="C1408" t="s">
        <v>37</v>
      </c>
      <c r="D1408">
        <v>5.4493130000000001</v>
      </c>
      <c r="E1408">
        <v>0.48695470000000002</v>
      </c>
      <c r="F1408" t="s">
        <v>44</v>
      </c>
      <c r="G1408">
        <v>-329.21440000000001</v>
      </c>
      <c r="H1408" s="1">
        <v>3.4570760000000001E-6</v>
      </c>
      <c r="I1408">
        <v>282.5478</v>
      </c>
      <c r="J1408">
        <v>-311.32929999999999</v>
      </c>
      <c r="K1408">
        <v>1.1092899999999899</v>
      </c>
      <c r="L1408">
        <v>283.6961</v>
      </c>
      <c r="M1408">
        <v>-0.99987709999999996</v>
      </c>
      <c r="N1408">
        <v>0</v>
      </c>
      <c r="O1408">
        <v>-1.435179E-2</v>
      </c>
      <c r="P1408">
        <v>-0.99743459999999995</v>
      </c>
      <c r="Q1408">
        <v>6.5295679999999995E-2</v>
      </c>
      <c r="R1408">
        <v>-2.9339819999999999E-2</v>
      </c>
      <c r="S1408">
        <v>-3.0139469999999999</v>
      </c>
      <c r="T1408">
        <v>-0.18332200000000001</v>
      </c>
      <c r="U1408">
        <v>-0.1906128</v>
      </c>
      <c r="V1408">
        <v>-1.504195E-2</v>
      </c>
      <c r="W1408">
        <v>7.1607119999999996E-2</v>
      </c>
      <c r="X1408">
        <v>0.99731950000000003</v>
      </c>
      <c r="Y1408">
        <v>-4.872427E-2</v>
      </c>
      <c r="Z1408">
        <v>-6.0781099999999998E-4</v>
      </c>
      <c r="AA1408">
        <v>0.99881209999999898</v>
      </c>
      <c r="AB1408">
        <v>44</v>
      </c>
      <c r="AC1408">
        <v>-17.885100000000001</v>
      </c>
      <c r="AD1408">
        <v>-1.109286542924</v>
      </c>
      <c r="AE1408">
        <v>-1.1483000000000001</v>
      </c>
      <c r="AF1408">
        <v>-0.88809109620336102</v>
      </c>
      <c r="AG1408">
        <v>-1.109286542924</v>
      </c>
      <c r="AH1408">
        <v>17.831425250481502</v>
      </c>
      <c r="AI1408">
        <v>93.555366872871502</v>
      </c>
      <c r="AJ1408">
        <v>92.851250564099701</v>
      </c>
      <c r="AK1408">
        <v>17.887955413992302</v>
      </c>
    </row>
    <row r="1409" spans="1:37" x14ac:dyDescent="0.2">
      <c r="A1409" t="str">
        <f>"20200111154053375"</f>
        <v>20200111154053375</v>
      </c>
      <c r="B1409" t="str">
        <f>"1578728453367285"</f>
        <v>1578728453367285</v>
      </c>
      <c r="C1409" t="s">
        <v>37</v>
      </c>
      <c r="D1409">
        <v>5.3949239999999996</v>
      </c>
      <c r="E1409">
        <v>0.48707029999999901</v>
      </c>
      <c r="F1409" t="s">
        <v>44</v>
      </c>
      <c r="G1409">
        <v>-329.62599999999998</v>
      </c>
      <c r="H1409" s="1">
        <v>3.6760820000000002E-6</v>
      </c>
      <c r="I1409">
        <v>282.5489</v>
      </c>
      <c r="J1409">
        <v>-311.60939999999999</v>
      </c>
      <c r="K1409">
        <v>1.1092839999999999</v>
      </c>
      <c r="L1409">
        <v>283.69209999999998</v>
      </c>
      <c r="M1409">
        <v>-0.99987630000000005</v>
      </c>
      <c r="N1409">
        <v>0</v>
      </c>
      <c r="O1409">
        <v>-1.440409E-2</v>
      </c>
      <c r="P1409">
        <v>-0.99741569999999902</v>
      </c>
      <c r="Q1409">
        <v>6.569643E-2</v>
      </c>
      <c r="R1409">
        <v>-2.9089770000000001E-2</v>
      </c>
      <c r="S1409">
        <v>-3.01412999999999</v>
      </c>
      <c r="T1409">
        <v>-0.1827397</v>
      </c>
      <c r="U1409">
        <v>-0.18899540000000001</v>
      </c>
      <c r="V1409">
        <v>-1.473906E-2</v>
      </c>
      <c r="W1409">
        <v>7.2009950000000003E-2</v>
      </c>
      <c r="X1409">
        <v>0.99729500000000004</v>
      </c>
      <c r="Y1409">
        <v>-4.8135919999999999E-2</v>
      </c>
      <c r="Z1409">
        <v>-5.8489109999999996E-4</v>
      </c>
      <c r="AA1409">
        <v>0.99884059999999897</v>
      </c>
      <c r="AB1409">
        <v>44</v>
      </c>
      <c r="AC1409">
        <v>-18.016599999999901</v>
      </c>
      <c r="AD1409">
        <v>-1.109280323918</v>
      </c>
      <c r="AE1409">
        <v>-1.14319999999997</v>
      </c>
      <c r="AF1409">
        <v>-0.880240009177506</v>
      </c>
      <c r="AG1409">
        <v>-1.109280323918</v>
      </c>
      <c r="AH1409">
        <v>17.963374450950798</v>
      </c>
      <c r="AI1409">
        <v>93.529436897286104</v>
      </c>
      <c r="AJ1409">
        <v>92.805359786922196</v>
      </c>
      <c r="AK1409">
        <v>18.019105054798299</v>
      </c>
    </row>
    <row r="1410" spans="1:37" x14ac:dyDescent="0.2">
      <c r="A1410" t="str">
        <f>"20200111154053389"</f>
        <v>20200111154053389</v>
      </c>
      <c r="B1410" t="str">
        <f>"1578728453378021"</f>
        <v>1578728453378021</v>
      </c>
      <c r="C1410" t="s">
        <v>37</v>
      </c>
      <c r="D1410">
        <v>5.4641419999999998</v>
      </c>
      <c r="E1410">
        <v>0.48711880000000002</v>
      </c>
      <c r="F1410" t="s">
        <v>44</v>
      </c>
      <c r="G1410">
        <v>-329.93669999999997</v>
      </c>
      <c r="H1410" s="1">
        <v>3.841226E-6</v>
      </c>
      <c r="I1410">
        <v>282.5532</v>
      </c>
      <c r="J1410">
        <v>-311.90159999999997</v>
      </c>
      <c r="K1410">
        <v>1.1092799999999901</v>
      </c>
      <c r="L1410">
        <v>283.68779999999998</v>
      </c>
      <c r="M1410">
        <v>-0.99987549999999903</v>
      </c>
      <c r="N1410">
        <v>0</v>
      </c>
      <c r="O1410">
        <v>-1.445484E-2</v>
      </c>
      <c r="P1410">
        <v>-0.99741460000000004</v>
      </c>
      <c r="Q1410">
        <v>6.5852389999999997E-2</v>
      </c>
      <c r="R1410">
        <v>-2.8769739999999999E-2</v>
      </c>
      <c r="S1410">
        <v>-3.014313</v>
      </c>
      <c r="T1410">
        <v>-0.18244449999999901</v>
      </c>
      <c r="U1410">
        <v>-0.18731689999999901</v>
      </c>
      <c r="V1410">
        <v>-1.436749E-2</v>
      </c>
      <c r="W1410">
        <v>7.216786E-2</v>
      </c>
      <c r="X1410">
        <v>0.99728899999999998</v>
      </c>
      <c r="Y1410">
        <v>-4.7528800000000003E-2</v>
      </c>
      <c r="Z1410">
        <v>-5.6251830000000002E-4</v>
      </c>
      <c r="AA1410">
        <v>0.99886969999999997</v>
      </c>
      <c r="AB1410">
        <v>45</v>
      </c>
      <c r="AC1410">
        <v>-18.0351</v>
      </c>
      <c r="AD1410">
        <v>-1.1092761587739901</v>
      </c>
      <c r="AE1410">
        <v>-1.1345999999999701</v>
      </c>
      <c r="AF1410">
        <v>-0.87050158144025103</v>
      </c>
      <c r="AG1410">
        <v>-1.1092761587739901</v>
      </c>
      <c r="AH1410">
        <v>17.9818583417991</v>
      </c>
      <c r="AI1410">
        <v>93.525906031436904</v>
      </c>
      <c r="AJ1410">
        <v>92.771524413688198</v>
      </c>
      <c r="AK1410">
        <v>18.0370589627091</v>
      </c>
    </row>
    <row r="1411" spans="1:37" x14ac:dyDescent="0.2">
      <c r="A1411" t="str">
        <f>"20200111154053405"</f>
        <v>20200111154053405</v>
      </c>
      <c r="B1411" t="str">
        <f>"1578728453397540"</f>
        <v>1578728453397540</v>
      </c>
      <c r="C1411" t="s">
        <v>37</v>
      </c>
      <c r="D1411">
        <v>5.4045639999999997</v>
      </c>
      <c r="E1411">
        <v>0.48720599999999997</v>
      </c>
      <c r="F1411" t="s">
        <v>44</v>
      </c>
      <c r="G1411">
        <v>-330.23559999999998</v>
      </c>
      <c r="H1411" s="1">
        <v>-1.3213960000000001E-6</v>
      </c>
      <c r="I1411">
        <v>282.55709999999999</v>
      </c>
      <c r="J1411">
        <v>-312.22000000000003</v>
      </c>
      <c r="K1411">
        <v>1.1092759999999999</v>
      </c>
      <c r="L1411">
        <v>283.6832</v>
      </c>
      <c r="M1411">
        <v>-0.99987490000000001</v>
      </c>
      <c r="N1411">
        <v>0</v>
      </c>
      <c r="O1411">
        <v>-1.450426E-2</v>
      </c>
      <c r="P1411">
        <v>-0.99742009999999903</v>
      </c>
      <c r="Q1411">
        <v>6.5992120000000001E-2</v>
      </c>
      <c r="R1411">
        <v>-2.8257089999999999E-2</v>
      </c>
      <c r="S1411">
        <v>-3.014465</v>
      </c>
      <c r="T1411">
        <v>-0.1823871</v>
      </c>
      <c r="U1411">
        <v>-0.1859131</v>
      </c>
      <c r="V1411">
        <v>-1.38043E-2</v>
      </c>
      <c r="W1411">
        <v>7.2311009999999995E-2</v>
      </c>
      <c r="X1411">
        <v>0.99728660000000002</v>
      </c>
      <c r="Y1411">
        <v>-4.701396E-2</v>
      </c>
      <c r="Z1411">
        <v>-5.4379089999999895E-4</v>
      </c>
      <c r="AA1411">
        <v>0.99889409999999901</v>
      </c>
      <c r="AB1411">
        <v>45</v>
      </c>
      <c r="AC1411">
        <v>-18.0155999999999</v>
      </c>
      <c r="AD1411">
        <v>-1.1092773213959899</v>
      </c>
      <c r="AE1411">
        <v>-1.1261000000000001</v>
      </c>
      <c r="AF1411">
        <v>-0.861420238353797</v>
      </c>
      <c r="AG1411">
        <v>-1.1092773213959899</v>
      </c>
      <c r="AH1411">
        <v>17.962204163848501</v>
      </c>
      <c r="AI1411">
        <v>93.529834613104697</v>
      </c>
      <c r="AJ1411">
        <v>92.745651802904902</v>
      </c>
      <c r="AK1411">
        <v>18.0170285959307</v>
      </c>
    </row>
    <row r="1412" spans="1:37" x14ac:dyDescent="0.2">
      <c r="A1412" t="str">
        <f>"20200111154053419"</f>
        <v>20200111154053419</v>
      </c>
      <c r="B1412" t="str">
        <f>"1578728453407301"</f>
        <v>1578728453407301</v>
      </c>
      <c r="C1412" t="s">
        <v>37</v>
      </c>
      <c r="D1412">
        <v>5.2708019999999998</v>
      </c>
      <c r="E1412">
        <v>0.48720429999999998</v>
      </c>
      <c r="F1412" t="s">
        <v>44</v>
      </c>
      <c r="G1412">
        <v>-330.53129999999999</v>
      </c>
      <c r="H1412" s="1">
        <v>-1.164462E-6</v>
      </c>
      <c r="I1412">
        <v>282.56729999999999</v>
      </c>
      <c r="J1412">
        <v>-312.5016</v>
      </c>
      <c r="K1412">
        <v>1.109264</v>
      </c>
      <c r="L1412">
        <v>283.67910000000001</v>
      </c>
      <c r="M1412">
        <v>-0.99987420000000005</v>
      </c>
      <c r="N1412">
        <v>0</v>
      </c>
      <c r="O1412">
        <v>-1.45408E-2</v>
      </c>
      <c r="P1412">
        <v>-0.99742189999999997</v>
      </c>
      <c r="Q1412">
        <v>6.6030160000000004E-2</v>
      </c>
      <c r="R1412">
        <v>-2.809888E-2</v>
      </c>
      <c r="S1412">
        <v>-3.01464799999999</v>
      </c>
      <c r="T1412">
        <v>-0.1826236</v>
      </c>
      <c r="U1412">
        <v>-0.18371579999999901</v>
      </c>
      <c r="V1412">
        <v>-1.360834E-2</v>
      </c>
      <c r="W1412">
        <v>7.2351910000000005E-2</v>
      </c>
      <c r="X1412">
        <v>0.99728629999999996</v>
      </c>
      <c r="Y1412">
        <v>-4.6249709999999999E-2</v>
      </c>
      <c r="Z1412">
        <v>-5.191579E-4</v>
      </c>
      <c r="AA1412">
        <v>0.99892979999999998</v>
      </c>
      <c r="AB1412">
        <v>45</v>
      </c>
      <c r="AC1412">
        <v>-18.029699999999899</v>
      </c>
      <c r="AD1412">
        <v>-1.109265164462</v>
      </c>
      <c r="AE1412">
        <v>-1.1118000000000099</v>
      </c>
      <c r="AF1412">
        <v>-0.84631953808413396</v>
      </c>
      <c r="AG1412">
        <v>-1.109265164462</v>
      </c>
      <c r="AH1412">
        <v>17.976174132524601</v>
      </c>
      <c r="AI1412">
        <v>93.527206154648297</v>
      </c>
      <c r="AJ1412">
        <v>92.695498936936204</v>
      </c>
      <c r="AK1412">
        <v>18.0302402204873</v>
      </c>
    </row>
    <row r="1413" spans="1:37" x14ac:dyDescent="0.2">
      <c r="A1413" t="str">
        <f>"20200111154053432"</f>
        <v>20200111154053432</v>
      </c>
      <c r="B1413" t="str">
        <f>"1578728453427796"</f>
        <v>1578728453427796</v>
      </c>
      <c r="C1413" t="s">
        <v>37</v>
      </c>
      <c r="D1413">
        <v>5.4279739999999999</v>
      </c>
      <c r="E1413">
        <v>0.48726029999999998</v>
      </c>
      <c r="F1413" t="s">
        <v>44</v>
      </c>
      <c r="G1413">
        <v>-330.75080000000003</v>
      </c>
      <c r="H1413" s="1">
        <v>-1.047856E-6</v>
      </c>
      <c r="I1413">
        <v>282.57119999999998</v>
      </c>
      <c r="J1413">
        <v>-312.76780000000002</v>
      </c>
      <c r="K1413">
        <v>1.1092519999999999</v>
      </c>
      <c r="L1413">
        <v>283.67520000000002</v>
      </c>
      <c r="M1413">
        <v>-0.99987389999999998</v>
      </c>
      <c r="N1413">
        <v>0</v>
      </c>
      <c r="O1413">
        <v>-1.45697E-2</v>
      </c>
      <c r="P1413">
        <v>-0.99742149999999996</v>
      </c>
      <c r="Q1413">
        <v>6.5957340000000003E-2</v>
      </c>
      <c r="R1413">
        <v>-2.828874E-2</v>
      </c>
      <c r="S1413">
        <v>-3.0147089999999999</v>
      </c>
      <c r="T1413">
        <v>-0.18324689999999999</v>
      </c>
      <c r="U1413">
        <v>-0.18301389999999901</v>
      </c>
      <c r="V1413">
        <v>-1.3767720000000001E-2</v>
      </c>
      <c r="W1413">
        <v>7.2281520000000002E-2</v>
      </c>
      <c r="X1413">
        <v>0.99728919999999999</v>
      </c>
      <c r="Y1413">
        <v>-4.5988019999999998E-2</v>
      </c>
      <c r="Z1413">
        <v>-5.1122709999999998E-4</v>
      </c>
      <c r="AA1413">
        <v>0.99894179999999999</v>
      </c>
      <c r="AB1413">
        <v>45</v>
      </c>
      <c r="AC1413">
        <v>-17.983000000000001</v>
      </c>
      <c r="AD1413">
        <v>-1.1092530478560001</v>
      </c>
      <c r="AE1413">
        <v>-1.1040000000000401</v>
      </c>
      <c r="AF1413">
        <v>-0.83869155964319997</v>
      </c>
      <c r="AG1413">
        <v>-1.1092530478560001</v>
      </c>
      <c r="AH1413">
        <v>17.929214668449699</v>
      </c>
      <c r="AI1413">
        <v>93.536432429055296</v>
      </c>
      <c r="AJ1413">
        <v>92.678225661559694</v>
      </c>
      <c r="AK1413">
        <v>17.983063823602102</v>
      </c>
    </row>
    <row r="1414" spans="1:37" x14ac:dyDescent="0.2">
      <c r="A1414" t="str">
        <f>"20200111154053449"</f>
        <v>20200111154053449</v>
      </c>
      <c r="B1414" t="str">
        <f>"1578728453437558"</f>
        <v>1578728453437558</v>
      </c>
      <c r="C1414" t="s">
        <v>37</v>
      </c>
      <c r="D1414">
        <v>5.45486</v>
      </c>
      <c r="E1414">
        <v>0.48731790000000003</v>
      </c>
      <c r="F1414" t="s">
        <v>44</v>
      </c>
      <c r="G1414">
        <v>-330.8954</v>
      </c>
      <c r="H1414" s="1">
        <v>-9.7102269999999902E-7</v>
      </c>
      <c r="I1414">
        <v>282.57420000000002</v>
      </c>
      <c r="J1414">
        <v>-313.10079999999999</v>
      </c>
      <c r="K1414">
        <v>1.1092379999999999</v>
      </c>
      <c r="L1414">
        <v>283.6703</v>
      </c>
      <c r="M1414">
        <v>-0.99987329999999996</v>
      </c>
      <c r="N1414">
        <v>0</v>
      </c>
      <c r="O1414">
        <v>-1.459966E-2</v>
      </c>
      <c r="P1414">
        <v>-0.99744509999999897</v>
      </c>
      <c r="Q1414">
        <v>6.5451850000000006E-2</v>
      </c>
      <c r="R1414">
        <v>-2.8622829999999998E-2</v>
      </c>
      <c r="S1414">
        <v>-3.0148009999999998</v>
      </c>
      <c r="T1414">
        <v>-0.18447949999999999</v>
      </c>
      <c r="U1414">
        <v>-0.1831055</v>
      </c>
      <c r="V1414">
        <v>-1.406924E-2</v>
      </c>
      <c r="W1414">
        <v>7.178023E-2</v>
      </c>
      <c r="X1414">
        <v>0.99732119999999902</v>
      </c>
      <c r="Y1414">
        <v>-4.5985749999999999E-2</v>
      </c>
      <c r="Z1414">
        <v>-5.1274480000000004E-4</v>
      </c>
      <c r="AA1414">
        <v>0.998942</v>
      </c>
      <c r="AB1414">
        <v>45</v>
      </c>
      <c r="AC1414">
        <v>-17.794599999999999</v>
      </c>
      <c r="AD1414">
        <v>-1.1092389710227</v>
      </c>
      <c r="AE1414">
        <v>-1.0960999999999701</v>
      </c>
      <c r="AF1414">
        <v>-0.83295841000776805</v>
      </c>
      <c r="AG1414">
        <v>-1.1092389710227</v>
      </c>
      <c r="AH1414">
        <v>17.7400337663206</v>
      </c>
      <c r="AI1414">
        <v>93.573973418056397</v>
      </c>
      <c r="AJ1414">
        <v>92.688268590523506</v>
      </c>
      <c r="AK1414">
        <v>17.7941852535549</v>
      </c>
    </row>
    <row r="1415" spans="1:37" x14ac:dyDescent="0.2">
      <c r="A1415" t="str">
        <f>"20200111154053472"</f>
        <v>20200111154053472</v>
      </c>
      <c r="B1415" t="str">
        <f>"1578728453458067"</f>
        <v>1578728453458067</v>
      </c>
      <c r="C1415" t="s">
        <v>37</v>
      </c>
      <c r="D1415">
        <v>5.4816940000000001</v>
      </c>
      <c r="E1415">
        <v>0.48746649999999903</v>
      </c>
      <c r="F1415" t="s">
        <v>44</v>
      </c>
      <c r="G1415">
        <v>-331.075999999999</v>
      </c>
      <c r="H1415" s="1">
        <v>-8.7494190000000003E-7</v>
      </c>
      <c r="I1415">
        <v>282.57400000000001</v>
      </c>
      <c r="J1415">
        <v>-313.56240000000003</v>
      </c>
      <c r="K1415">
        <v>1.1092200000000001</v>
      </c>
      <c r="L1415">
        <v>283.66359999999997</v>
      </c>
      <c r="M1415">
        <v>-0.99987280000000001</v>
      </c>
      <c r="N1415">
        <v>0</v>
      </c>
      <c r="O1415">
        <v>-1.463032E-2</v>
      </c>
      <c r="P1415">
        <v>-0.9974518</v>
      </c>
      <c r="Q1415">
        <v>6.5172659999999993E-2</v>
      </c>
      <c r="R1415">
        <v>-2.9023179999999999E-2</v>
      </c>
      <c r="S1415">
        <v>-3.01464799999999</v>
      </c>
      <c r="T1415">
        <v>-0.1860328</v>
      </c>
      <c r="U1415">
        <v>-0.18386839999999999</v>
      </c>
      <c r="V1415">
        <v>-1.443666E-2</v>
      </c>
      <c r="W1415">
        <v>7.1506760000000003E-2</v>
      </c>
      <c r="X1415">
        <v>0.99733559999999999</v>
      </c>
      <c r="Y1415">
        <v>-4.620871E-2</v>
      </c>
      <c r="Z1415">
        <v>-5.2205519999999996E-4</v>
      </c>
      <c r="AA1415">
        <v>0.99893159999999903</v>
      </c>
      <c r="AB1415">
        <v>45</v>
      </c>
      <c r="AC1415">
        <v>-17.513599999999901</v>
      </c>
      <c r="AD1415">
        <v>-1.1092208749418999</v>
      </c>
      <c r="AE1415">
        <v>-1.0895999999999599</v>
      </c>
      <c r="AF1415">
        <v>-0.82993236417304195</v>
      </c>
      <c r="AG1415">
        <v>-1.1092208749418999</v>
      </c>
      <c r="AH1415">
        <v>17.457908075650799</v>
      </c>
      <c r="AI1415">
        <v>93.631417652989001</v>
      </c>
      <c r="AJ1415">
        <v>92.721737818167099</v>
      </c>
      <c r="AK1415">
        <v>17.512787129876902</v>
      </c>
    </row>
    <row r="1416" spans="1:37" x14ac:dyDescent="0.2">
      <c r="A1416" t="str">
        <f>"20200111154053487"</f>
        <v>20200111154053487</v>
      </c>
      <c r="B1416" t="str">
        <f>"1578728453477573"</f>
        <v>1578728453477573</v>
      </c>
      <c r="C1416" t="s">
        <v>37</v>
      </c>
      <c r="D1416">
        <v>5.4337759999999999</v>
      </c>
      <c r="E1416">
        <v>0.48758439999999997</v>
      </c>
      <c r="F1416" t="s">
        <v>44</v>
      </c>
      <c r="G1416">
        <v>-331.44409999999999</v>
      </c>
      <c r="H1416" s="1">
        <v>-6.7898950000000001E-7</v>
      </c>
      <c r="I1416">
        <v>282.57310000000001</v>
      </c>
      <c r="J1416">
        <v>-313.85969999999998</v>
      </c>
      <c r="K1416">
        <v>1.1092089999999999</v>
      </c>
      <c r="L1416">
        <v>283.6592</v>
      </c>
      <c r="M1416">
        <v>-0.9998726</v>
      </c>
      <c r="N1416">
        <v>0</v>
      </c>
      <c r="O1416">
        <v>-1.4645409999999999E-2</v>
      </c>
      <c r="P1416">
        <v>-0.99745090000000003</v>
      </c>
      <c r="Q1416">
        <v>6.514578E-2</v>
      </c>
      <c r="R1416">
        <v>-2.911329E-2</v>
      </c>
      <c r="S1416">
        <v>-3.014526</v>
      </c>
      <c r="T1416">
        <v>-0.18699379999999999</v>
      </c>
      <c r="U1416">
        <v>-0.1838379</v>
      </c>
      <c r="V1416">
        <v>-1.4509920000000001E-2</v>
      </c>
      <c r="W1416">
        <v>7.1483939999999996E-2</v>
      </c>
      <c r="X1416">
        <v>0.99733619999999901</v>
      </c>
      <c r="Y1416">
        <v>-4.6185469999999999E-2</v>
      </c>
      <c r="Z1416">
        <v>-5.2311499999999999E-4</v>
      </c>
      <c r="AA1416">
        <v>0.99893269999999901</v>
      </c>
      <c r="AB1416">
        <v>45</v>
      </c>
      <c r="AC1416">
        <v>-17.584399999999999</v>
      </c>
      <c r="AD1416">
        <v>-1.1092096789894901</v>
      </c>
      <c r="AE1416">
        <v>-1.0860999999999801</v>
      </c>
      <c r="AF1416">
        <v>-0.82517668818281897</v>
      </c>
      <c r="AG1416">
        <v>-1.1092096789894901</v>
      </c>
      <c r="AH1416">
        <v>17.528938404885299</v>
      </c>
      <c r="AI1416">
        <v>93.616784233121606</v>
      </c>
      <c r="AJ1416">
        <v>92.695215322995793</v>
      </c>
      <c r="AK1416">
        <v>17.583371243335201</v>
      </c>
    </row>
    <row r="1417" spans="1:37" x14ac:dyDescent="0.2">
      <c r="A1417" t="str">
        <f>"20200111154053505"</f>
        <v>20200111154053505</v>
      </c>
      <c r="B1417" t="str">
        <f>"1578728453498069"</f>
        <v>1578728453498069</v>
      </c>
      <c r="C1417" t="s">
        <v>37</v>
      </c>
      <c r="D1417">
        <v>5.6893919999999998</v>
      </c>
      <c r="E1417">
        <v>0.48768829999999902</v>
      </c>
      <c r="F1417" t="s">
        <v>44</v>
      </c>
      <c r="G1417">
        <v>-331.678</v>
      </c>
      <c r="H1417" s="1">
        <v>-5.5461780000000004E-7</v>
      </c>
      <c r="I1417">
        <v>282.57510000000002</v>
      </c>
      <c r="J1417">
        <v>-314.2577</v>
      </c>
      <c r="K1417">
        <v>1.1091949999999999</v>
      </c>
      <c r="L1417">
        <v>283.65339999999998</v>
      </c>
      <c r="M1417">
        <v>-0.99987230000000005</v>
      </c>
      <c r="N1417">
        <v>0</v>
      </c>
      <c r="O1417">
        <v>-1.465906E-2</v>
      </c>
      <c r="P1417">
        <v>-0.99742299999999995</v>
      </c>
      <c r="Q1417">
        <v>6.5309140000000002E-2</v>
      </c>
      <c r="R1417">
        <v>-2.9702619999999999E-2</v>
      </c>
      <c r="S1417">
        <v>-3.014526</v>
      </c>
      <c r="T1417">
        <v>-0.18765779999999899</v>
      </c>
      <c r="U1417">
        <v>-0.18341060000000001</v>
      </c>
      <c r="V1417">
        <v>-1.5084220000000001E-2</v>
      </c>
      <c r="W1417">
        <v>7.1652309999999997E-2</v>
      </c>
      <c r="X1417">
        <v>0.99731559999999897</v>
      </c>
      <c r="Y1417">
        <v>-4.6030660000000001E-2</v>
      </c>
      <c r="Z1417">
        <v>-5.1931340000000001E-4</v>
      </c>
      <c r="AA1417">
        <v>0.99893989999999999</v>
      </c>
      <c r="AB1417">
        <v>45</v>
      </c>
      <c r="AC1417">
        <v>-17.420300000000001</v>
      </c>
      <c r="AD1417">
        <v>-1.1091955546178001</v>
      </c>
      <c r="AE1417">
        <v>-1.0782999999999501</v>
      </c>
      <c r="AF1417">
        <v>-0.81950398818449399</v>
      </c>
      <c r="AG1417">
        <v>-1.1091955546178001</v>
      </c>
      <c r="AH1417">
        <v>17.364106469176502</v>
      </c>
      <c r="AI1417">
        <v>93.650957839378194</v>
      </c>
      <c r="AJ1417">
        <v>92.702085743636303</v>
      </c>
      <c r="AK1417">
        <v>17.418785693553101</v>
      </c>
    </row>
    <row r="1418" spans="1:37" x14ac:dyDescent="0.2">
      <c r="A1418" t="str">
        <f>"20200111154053520"</f>
        <v>20200111154053520</v>
      </c>
      <c r="B1418" t="str">
        <f>"1578728453507829"</f>
        <v>1578728453507829</v>
      </c>
      <c r="C1418" t="s">
        <v>37</v>
      </c>
      <c r="D1418">
        <v>5.4862060000000001</v>
      </c>
      <c r="E1418">
        <v>0.48772460000000001</v>
      </c>
      <c r="F1418" t="s">
        <v>44</v>
      </c>
      <c r="G1418">
        <v>-332.10489999999999</v>
      </c>
      <c r="H1418" s="1">
        <v>-3.26918799999999E-7</v>
      </c>
      <c r="I1418">
        <v>282.56319999999999</v>
      </c>
      <c r="J1418">
        <v>-314.54020000000003</v>
      </c>
      <c r="K1418">
        <v>1.1091930000000001</v>
      </c>
      <c r="L1418">
        <v>283.64929999999998</v>
      </c>
      <c r="M1418">
        <v>-0.99987209999999904</v>
      </c>
      <c r="N1418">
        <v>0</v>
      </c>
      <c r="O1418">
        <v>-1.4665340000000001E-2</v>
      </c>
      <c r="P1418">
        <v>-0.99743389999999998</v>
      </c>
      <c r="Q1418">
        <v>6.5029660000000003E-2</v>
      </c>
      <c r="R1418">
        <v>-2.9944519999999999E-2</v>
      </c>
      <c r="S1418">
        <v>-3.014526</v>
      </c>
      <c r="T1418">
        <v>-0.18735099999999999</v>
      </c>
      <c r="U1418">
        <v>-0.1841431</v>
      </c>
      <c r="V1418">
        <v>-1.5318500000000001E-2</v>
      </c>
      <c r="W1418">
        <v>7.1376910000000002E-2</v>
      </c>
      <c r="X1418">
        <v>0.99733179999999999</v>
      </c>
      <c r="Y1418">
        <v>-4.626595E-2</v>
      </c>
      <c r="Z1418">
        <v>-5.2537059999999895E-4</v>
      </c>
      <c r="AA1418">
        <v>0.99892899999999996</v>
      </c>
      <c r="AB1418">
        <v>45</v>
      </c>
      <c r="AC1418">
        <v>-17.564699999999899</v>
      </c>
      <c r="AD1418">
        <v>-1.1091933269187999</v>
      </c>
      <c r="AE1418">
        <v>-1.0860999999999801</v>
      </c>
      <c r="AF1418">
        <v>-0.825107823211922</v>
      </c>
      <c r="AG1418">
        <v>-1.1091933269187999</v>
      </c>
      <c r="AH1418">
        <v>17.5091822207864</v>
      </c>
      <c r="AI1418">
        <v>93.620792734896199</v>
      </c>
      <c r="AJ1418">
        <v>92.698027081573699</v>
      </c>
      <c r="AK1418">
        <v>17.563672019173801</v>
      </c>
    </row>
    <row r="1419" spans="1:37" x14ac:dyDescent="0.2">
      <c r="A1419" t="str">
        <f>"20200111154053535"</f>
        <v>20200111154053535</v>
      </c>
      <c r="B1419" t="str">
        <f>"1578728453527348"</f>
        <v>1578728453527348</v>
      </c>
      <c r="C1419" t="s">
        <v>37</v>
      </c>
      <c r="D1419">
        <v>5.4767000000000001</v>
      </c>
      <c r="E1419">
        <v>0.48780370000000001</v>
      </c>
      <c r="F1419" t="s">
        <v>44</v>
      </c>
      <c r="G1419">
        <v>-332.3073</v>
      </c>
      <c r="H1419" s="1">
        <v>-2.190783E-7</v>
      </c>
      <c r="I1419">
        <v>282.56020000000001</v>
      </c>
      <c r="J1419">
        <v>-314.84789999999998</v>
      </c>
      <c r="K1419">
        <v>1.1091850000000001</v>
      </c>
      <c r="L1419">
        <v>283.6447</v>
      </c>
      <c r="M1419">
        <v>-0.99987219999999999</v>
      </c>
      <c r="N1419">
        <v>0</v>
      </c>
      <c r="O1419">
        <v>-1.466805E-2</v>
      </c>
      <c r="P1419">
        <v>-0.99744330000000003</v>
      </c>
      <c r="Q1419">
        <v>6.4934049999999993E-2</v>
      </c>
      <c r="R1419">
        <v>-2.9843479999999999E-2</v>
      </c>
      <c r="S1419">
        <v>-3.0144039999999999</v>
      </c>
      <c r="T1419">
        <v>-0.18818760000000001</v>
      </c>
      <c r="U1419">
        <v>-0.1847839</v>
      </c>
      <c r="V1419">
        <v>-1.521397E-2</v>
      </c>
      <c r="W1419">
        <v>7.1285609999999999E-2</v>
      </c>
      <c r="X1419">
        <v>0.99733989999999995</v>
      </c>
      <c r="Y1419">
        <v>-4.6476339999999998E-2</v>
      </c>
      <c r="Z1419">
        <v>-5.3411639999999998E-4</v>
      </c>
      <c r="AA1419">
        <v>0.99891919999999901</v>
      </c>
      <c r="AB1419">
        <v>45</v>
      </c>
      <c r="AC1419">
        <v>-17.459399999999999</v>
      </c>
      <c r="AD1419">
        <v>-1.1091852190783</v>
      </c>
      <c r="AE1419">
        <v>-1.08449999999999</v>
      </c>
      <c r="AF1419">
        <v>-0.82496604025216003</v>
      </c>
      <c r="AG1419">
        <v>-1.1091852190783</v>
      </c>
      <c r="AH1419">
        <v>17.403459307172898</v>
      </c>
      <c r="AI1419">
        <v>93.6426551551925</v>
      </c>
      <c r="AJ1419">
        <v>92.713926944143694</v>
      </c>
      <c r="AK1419">
        <v>17.458271869638601</v>
      </c>
    </row>
    <row r="1420" spans="1:37" x14ac:dyDescent="0.2">
      <c r="A1420" t="str">
        <f>"20200111154053549"</f>
        <v>20200111154053549</v>
      </c>
      <c r="B1420" t="str">
        <f>"1578728453538085"</f>
        <v>1578728453538085</v>
      </c>
      <c r="C1420" t="s">
        <v>37</v>
      </c>
      <c r="D1420">
        <v>5.4982249999999997</v>
      </c>
      <c r="E1420">
        <v>0.48786429999999997</v>
      </c>
      <c r="F1420" t="s">
        <v>44</v>
      </c>
      <c r="G1420">
        <v>-332.59649999999999</v>
      </c>
      <c r="H1420" s="1">
        <v>-6.5235230000000002E-8</v>
      </c>
      <c r="I1420">
        <v>282.56139999999999</v>
      </c>
      <c r="J1420">
        <v>-315.14319999999998</v>
      </c>
      <c r="K1420">
        <v>1.109167</v>
      </c>
      <c r="L1420">
        <v>283.6404</v>
      </c>
      <c r="M1420">
        <v>-0.99987230000000005</v>
      </c>
      <c r="N1420">
        <v>0</v>
      </c>
      <c r="O1420">
        <v>-1.466635E-2</v>
      </c>
      <c r="P1420">
        <v>-0.99746039999999903</v>
      </c>
      <c r="Q1420">
        <v>6.4765130000000004E-2</v>
      </c>
      <c r="R1420">
        <v>-2.964164E-2</v>
      </c>
      <c r="S1420">
        <v>-3.0144039999999999</v>
      </c>
      <c r="T1420">
        <v>-0.18838269999999999</v>
      </c>
      <c r="U1420">
        <v>-0.1839905</v>
      </c>
      <c r="V1420">
        <v>-1.501251E-2</v>
      </c>
      <c r="W1420">
        <v>7.1121509999999999E-2</v>
      </c>
      <c r="X1420">
        <v>0.99735469999999904</v>
      </c>
      <c r="Y1420">
        <v>-4.6216449999999999E-2</v>
      </c>
      <c r="Z1420">
        <v>-5.2667419999999896E-4</v>
      </c>
      <c r="AA1420">
        <v>0.99893129999999997</v>
      </c>
      <c r="AB1420">
        <v>45</v>
      </c>
      <c r="AC1420">
        <v>-17.453299999999999</v>
      </c>
      <c r="AD1420">
        <v>-1.1091670652352299</v>
      </c>
      <c r="AE1420">
        <v>-1.079</v>
      </c>
      <c r="AF1420">
        <v>-0.81960506460166305</v>
      </c>
      <c r="AG1420">
        <v>-1.1091670652352299</v>
      </c>
      <c r="AH1420">
        <v>17.397253691808501</v>
      </c>
      <c r="AI1420">
        <v>93.6439414191955</v>
      </c>
      <c r="AJ1420">
        <v>92.697277177583103</v>
      </c>
      <c r="AK1420">
        <v>17.451831997176299</v>
      </c>
    </row>
    <row r="1421" spans="1:37" x14ac:dyDescent="0.2">
      <c r="A1421" t="str">
        <f>"20200111154053564"</f>
        <v>20200111154053564</v>
      </c>
      <c r="B1421" t="str">
        <f>"1578728453557605"</f>
        <v>1578728453557605</v>
      </c>
      <c r="C1421" t="s">
        <v>37</v>
      </c>
      <c r="D1421">
        <v>5.4732349999999999</v>
      </c>
      <c r="E1421">
        <v>0.48795919999999998</v>
      </c>
      <c r="F1421" t="s">
        <v>44</v>
      </c>
      <c r="G1421">
        <v>-332.85599999999999</v>
      </c>
      <c r="H1421" s="1">
        <v>7.277647E-8</v>
      </c>
      <c r="I1421">
        <v>282.56380000000001</v>
      </c>
      <c r="J1421">
        <v>-315.43450000000001</v>
      </c>
      <c r="K1421">
        <v>1.1091580000000001</v>
      </c>
      <c r="L1421">
        <v>283.6361</v>
      </c>
      <c r="M1421">
        <v>-0.99987209999999904</v>
      </c>
      <c r="N1421">
        <v>0</v>
      </c>
      <c r="O1421">
        <v>-1.466071E-2</v>
      </c>
      <c r="P1421">
        <v>-0.99746420000000002</v>
      </c>
      <c r="Q1421">
        <v>6.478971E-2</v>
      </c>
      <c r="R1421">
        <v>-2.9456199999999998E-2</v>
      </c>
      <c r="S1421">
        <v>-3.0144959999999998</v>
      </c>
      <c r="T1421">
        <v>-0.18876560000000001</v>
      </c>
      <c r="U1421">
        <v>-0.18322749999999999</v>
      </c>
      <c r="V1421">
        <v>-1.4831759999999999E-2</v>
      </c>
      <c r="W1421">
        <v>7.1150519999999995E-2</v>
      </c>
      <c r="X1421">
        <v>0.99735529999999994</v>
      </c>
      <c r="Y1421">
        <v>-4.5968580000000002E-2</v>
      </c>
      <c r="Z1421">
        <v>-5.2033629999999895E-4</v>
      </c>
      <c r="AA1421">
        <v>0.99894269999999996</v>
      </c>
      <c r="AB1421">
        <v>46</v>
      </c>
      <c r="AC1421">
        <v>-17.421499999999899</v>
      </c>
      <c r="AD1421">
        <v>-1.1091579272235299</v>
      </c>
      <c r="AE1421">
        <v>-1.07229999999998</v>
      </c>
      <c r="AF1421">
        <v>-0.81348307615056303</v>
      </c>
      <c r="AG1421">
        <v>-1.1091579272235299</v>
      </c>
      <c r="AH1421">
        <v>17.365226622207299</v>
      </c>
      <c r="AI1421">
        <v>93.650659204702293</v>
      </c>
      <c r="AJ1421">
        <v>92.682089797626205</v>
      </c>
      <c r="AK1421">
        <v>17.4196177243739</v>
      </c>
    </row>
    <row r="1422" spans="1:37" x14ac:dyDescent="0.2">
      <c r="A1422" t="str">
        <f>"20200111154053583"</f>
        <v>20200111154053583</v>
      </c>
      <c r="B1422" t="str">
        <f>"1578728453578100"</f>
        <v>1578728453578100</v>
      </c>
      <c r="C1422" t="s">
        <v>37</v>
      </c>
      <c r="D1422">
        <v>5.643688</v>
      </c>
      <c r="E1422">
        <v>0.488012</v>
      </c>
      <c r="F1422" t="s">
        <v>44</v>
      </c>
      <c r="G1422">
        <v>-333.14609999999999</v>
      </c>
      <c r="H1422" s="1">
        <v>2.26963499999999E-7</v>
      </c>
      <c r="I1422">
        <v>282.56779999999998</v>
      </c>
      <c r="J1422">
        <v>-315.83999999999997</v>
      </c>
      <c r="K1422">
        <v>1.1091489999999999</v>
      </c>
      <c r="L1422">
        <v>283.6302</v>
      </c>
      <c r="M1422">
        <v>-0.99987250000000005</v>
      </c>
      <c r="N1422">
        <v>0</v>
      </c>
      <c r="O1422">
        <v>-1.464622E-2</v>
      </c>
      <c r="P1422">
        <v>-0.99746729999999995</v>
      </c>
      <c r="Q1422">
        <v>6.5003539999999999E-2</v>
      </c>
      <c r="R1422">
        <v>-2.8877280000000002E-2</v>
      </c>
      <c r="S1422">
        <v>-3.014526</v>
      </c>
      <c r="T1422">
        <v>-0.18877929999999901</v>
      </c>
      <c r="U1422">
        <v>-0.1818237</v>
      </c>
      <c r="V1422">
        <v>-1.4265119999999999E-2</v>
      </c>
      <c r="W1422">
        <v>7.1370729999999993E-2</v>
      </c>
      <c r="X1422">
        <v>0.99734780000000001</v>
      </c>
      <c r="Y1422">
        <v>-4.5519780000000003E-2</v>
      </c>
      <c r="Z1422">
        <v>-5.0725430000000005E-4</v>
      </c>
      <c r="AA1422">
        <v>0.9989633</v>
      </c>
      <c r="AB1422">
        <v>46</v>
      </c>
      <c r="AC1422">
        <v>-17.306100000000001</v>
      </c>
      <c r="AD1422">
        <v>-1.1091487730364999</v>
      </c>
      <c r="AE1422">
        <v>-1.06240000000002</v>
      </c>
      <c r="AF1422">
        <v>-0.80551570226010005</v>
      </c>
      <c r="AG1422">
        <v>-1.1091487730364999</v>
      </c>
      <c r="AH1422">
        <v>17.249218356966701</v>
      </c>
      <c r="AI1422">
        <v>93.675139229558994</v>
      </c>
      <c r="AJ1422">
        <v>92.673694747254999</v>
      </c>
      <c r="AK1422">
        <v>17.303600795026298</v>
      </c>
    </row>
    <row r="1423" spans="1:37" x14ac:dyDescent="0.2">
      <c r="A1423" t="str">
        <f>"20200111154053596"</f>
        <v>20200111154053596</v>
      </c>
      <c r="B1423" t="str">
        <f>"1578728453587861"</f>
        <v>1578728453587861</v>
      </c>
      <c r="C1423" t="s">
        <v>37</v>
      </c>
      <c r="D1423">
        <v>5.556527</v>
      </c>
      <c r="E1423">
        <v>0.48806549999999999</v>
      </c>
      <c r="F1423" t="s">
        <v>44</v>
      </c>
      <c r="G1423">
        <v>-333.62380000000002</v>
      </c>
      <c r="H1423" s="1">
        <v>4.8107909999999898E-7</v>
      </c>
      <c r="I1423">
        <v>282.57</v>
      </c>
      <c r="J1423">
        <v>-316.10860000000002</v>
      </c>
      <c r="K1423">
        <v>1.1091409999999999</v>
      </c>
      <c r="L1423">
        <v>283.62630000000001</v>
      </c>
      <c r="M1423">
        <v>-0.9998726</v>
      </c>
      <c r="N1423">
        <v>0</v>
      </c>
      <c r="O1423">
        <v>-1.463307E-2</v>
      </c>
      <c r="P1423">
        <v>-0.99747540000000001</v>
      </c>
      <c r="Q1423">
        <v>6.4948580000000006E-2</v>
      </c>
      <c r="R1423">
        <v>-2.8714449999999999E-2</v>
      </c>
      <c r="S1423">
        <v>-3.01464799999999</v>
      </c>
      <c r="T1423">
        <v>-0.18801870000000001</v>
      </c>
      <c r="U1423">
        <v>-0.17971799999999999</v>
      </c>
      <c r="V1423">
        <v>-1.4114410000000001E-2</v>
      </c>
      <c r="W1423">
        <v>7.1320320000000006E-2</v>
      </c>
      <c r="X1423">
        <v>0.99735359999999995</v>
      </c>
      <c r="Y1423">
        <v>-4.4837009999999997E-2</v>
      </c>
      <c r="Z1423">
        <v>-4.8476980000000002E-4</v>
      </c>
      <c r="AA1423">
        <v>0.99899419999999906</v>
      </c>
      <c r="AB1423">
        <v>46</v>
      </c>
      <c r="AC1423">
        <v>-17.515199999999901</v>
      </c>
      <c r="AD1423">
        <v>-1.1091405189208901</v>
      </c>
      <c r="AE1423">
        <v>-1.05630000000002</v>
      </c>
      <c r="AF1423">
        <v>-0.79669737155097198</v>
      </c>
      <c r="AG1423">
        <v>-1.1091405189208901</v>
      </c>
      <c r="AH1423">
        <v>17.459025059357799</v>
      </c>
      <c r="AI1423">
        <v>93.631244554530497</v>
      </c>
      <c r="AJ1423">
        <v>92.612731936516496</v>
      </c>
      <c r="AK1423">
        <v>17.512352081197701</v>
      </c>
    </row>
    <row r="1424" spans="1:37" x14ac:dyDescent="0.2">
      <c r="A1424" t="str">
        <f>"20200111154053618"</f>
        <v>20200111154053618</v>
      </c>
      <c r="B1424" t="str">
        <f>"1578728453607381"</f>
        <v>1578728453607381</v>
      </c>
      <c r="C1424" t="s">
        <v>37</v>
      </c>
      <c r="D1424">
        <v>5.5302739999999897</v>
      </c>
      <c r="E1424">
        <v>0.48815730000000002</v>
      </c>
      <c r="F1424" t="s">
        <v>44</v>
      </c>
      <c r="G1424">
        <v>-333.8689</v>
      </c>
      <c r="H1424" s="1">
        <v>6.1132559999999998E-7</v>
      </c>
      <c r="I1424">
        <v>282.57330000000002</v>
      </c>
      <c r="J1424">
        <v>-316.5437</v>
      </c>
      <c r="K1424">
        <v>1.1091260000000001</v>
      </c>
      <c r="L1424">
        <v>283.61989999999997</v>
      </c>
      <c r="M1424">
        <v>-0.99987289999999995</v>
      </c>
      <c r="N1424">
        <v>0</v>
      </c>
      <c r="O1424">
        <v>-1.460797E-2</v>
      </c>
      <c r="P1424">
        <v>-0.99748510000000001</v>
      </c>
      <c r="Q1424">
        <v>6.4859410000000006E-2</v>
      </c>
      <c r="R1424">
        <v>-2.8579670000000001E-2</v>
      </c>
      <c r="S1424">
        <v>-3.0147089999999999</v>
      </c>
      <c r="T1424">
        <v>-0.1882702</v>
      </c>
      <c r="U1424">
        <v>-0.1787415</v>
      </c>
      <c r="V1424">
        <v>-1.400274E-2</v>
      </c>
      <c r="W1424">
        <v>7.123852E-2</v>
      </c>
      <c r="X1424">
        <v>0.99736100000000005</v>
      </c>
      <c r="Y1424">
        <v>-4.453878E-2</v>
      </c>
      <c r="Z1424">
        <v>-4.7768030000000001E-4</v>
      </c>
      <c r="AA1424">
        <v>0.99900750000000005</v>
      </c>
      <c r="AB1424">
        <v>46</v>
      </c>
      <c r="AC1424">
        <v>-17.325199999999899</v>
      </c>
      <c r="AD1424">
        <v>-1.1091253886743999</v>
      </c>
      <c r="AE1424">
        <v>-1.04659999999995</v>
      </c>
      <c r="AF1424">
        <v>-0.79017056813347697</v>
      </c>
      <c r="AG1424">
        <v>-1.1091253886743999</v>
      </c>
      <c r="AH1424">
        <v>17.268127487156999</v>
      </c>
      <c r="AI1424">
        <v>93.671207378933602</v>
      </c>
      <c r="AJ1424">
        <v>92.619964400639205</v>
      </c>
      <c r="AK1424">
        <v>17.321742278629301</v>
      </c>
    </row>
    <row r="1425" spans="1:37" x14ac:dyDescent="0.2">
      <c r="A1425" t="str">
        <f>"20200111154053639"</f>
        <v>20200111154053639</v>
      </c>
      <c r="B1425" t="str">
        <f>"1578728453627879"</f>
        <v>1578728453627879</v>
      </c>
      <c r="C1425" t="s">
        <v>37</v>
      </c>
      <c r="D1425">
        <v>5.5647539999999998</v>
      </c>
      <c r="E1425">
        <v>0.48824010000000001</v>
      </c>
      <c r="F1425" t="s">
        <v>44</v>
      </c>
      <c r="G1425">
        <v>-334.26459999999997</v>
      </c>
      <c r="H1425" s="1">
        <v>8.2169890000000004E-7</v>
      </c>
      <c r="I1425">
        <v>282.57769999999999</v>
      </c>
      <c r="J1425">
        <v>-316.96809999999999</v>
      </c>
      <c r="K1425">
        <v>1.1091169999999999</v>
      </c>
      <c r="L1425">
        <v>283.61369999999999</v>
      </c>
      <c r="M1425">
        <v>-0.99987329999999996</v>
      </c>
      <c r="N1425">
        <v>0</v>
      </c>
      <c r="O1425">
        <v>-1.4579430000000001E-2</v>
      </c>
      <c r="P1425">
        <v>-0.99745680000000003</v>
      </c>
      <c r="Q1425">
        <v>6.5157720000000002E-2</v>
      </c>
      <c r="R1425">
        <v>-2.8888210000000001E-2</v>
      </c>
      <c r="S1425">
        <v>-3.0147400000000002</v>
      </c>
      <c r="T1425">
        <v>-0.1886891</v>
      </c>
      <c r="U1425">
        <v>-0.1773071</v>
      </c>
      <c r="V1425">
        <v>-1.433866E-2</v>
      </c>
      <c r="W1425">
        <v>7.1543860000000001E-2</v>
      </c>
      <c r="X1425">
        <v>0.99733439999999995</v>
      </c>
      <c r="Y1425">
        <v>-4.4093590000000002E-2</v>
      </c>
      <c r="Z1425">
        <v>-4.6661819999999998E-4</v>
      </c>
      <c r="AA1425">
        <v>0.99902729999999995</v>
      </c>
      <c r="AB1425">
        <v>46</v>
      </c>
      <c r="AC1425">
        <v>-17.296499999999899</v>
      </c>
      <c r="AD1425">
        <v>-1.1091161783011001</v>
      </c>
      <c r="AE1425">
        <v>-1.036</v>
      </c>
      <c r="AF1425">
        <v>-0.78051373982026395</v>
      </c>
      <c r="AG1425">
        <v>-1.1091161783011001</v>
      </c>
      <c r="AH1425">
        <v>17.239134757402901</v>
      </c>
      <c r="AI1425">
        <v>93.677414717340795</v>
      </c>
      <c r="AJ1425">
        <v>92.592335648096494</v>
      </c>
      <c r="AK1425">
        <v>17.2924002839083</v>
      </c>
    </row>
    <row r="1426" spans="1:37" x14ac:dyDescent="0.2">
      <c r="A1426" t="str">
        <f>"20200111154053654"</f>
        <v>20200111154053654</v>
      </c>
      <c r="B1426" t="str">
        <f>"1578728453647397"</f>
        <v>1578728453647397</v>
      </c>
      <c r="C1426" t="s">
        <v>37</v>
      </c>
      <c r="D1426">
        <v>5.5900619999999996</v>
      </c>
      <c r="E1426">
        <v>0.48832199999999998</v>
      </c>
      <c r="F1426" t="s">
        <v>44</v>
      </c>
      <c r="G1426">
        <v>-334.77280000000002</v>
      </c>
      <c r="H1426" s="1">
        <v>1.0927799999999901E-6</v>
      </c>
      <c r="I1426">
        <v>282.56369999999998</v>
      </c>
      <c r="J1426">
        <v>-317.26170000000002</v>
      </c>
      <c r="K1426">
        <v>1.10911</v>
      </c>
      <c r="L1426">
        <v>283.60939999999999</v>
      </c>
      <c r="M1426">
        <v>-0.99987369999999898</v>
      </c>
      <c r="N1426">
        <v>0</v>
      </c>
      <c r="O1426">
        <v>-1.4557830000000001E-2</v>
      </c>
      <c r="P1426">
        <v>-0.99742659999999905</v>
      </c>
      <c r="Q1426">
        <v>6.5529760000000006E-2</v>
      </c>
      <c r="R1426">
        <v>-2.9098590000000001E-2</v>
      </c>
      <c r="S1426">
        <v>-3.0147710000000001</v>
      </c>
      <c r="T1426">
        <v>-0.18780050000000001</v>
      </c>
      <c r="U1426">
        <v>-0.17779539999999999</v>
      </c>
      <c r="V1426">
        <v>-1.456986E-2</v>
      </c>
      <c r="W1426">
        <v>7.192055E-2</v>
      </c>
      <c r="X1426">
        <v>0.99730399999999997</v>
      </c>
      <c r="Y1426">
        <v>-4.4275969999999998E-2</v>
      </c>
      <c r="Z1426">
        <v>-4.7143139999999999E-4</v>
      </c>
      <c r="AA1426">
        <v>0.999019199999999</v>
      </c>
      <c r="AB1426">
        <v>46</v>
      </c>
      <c r="AC1426">
        <v>-17.511099999999999</v>
      </c>
      <c r="AD1426">
        <v>-1.10910890722</v>
      </c>
      <c r="AE1426">
        <v>-1.0457000000000101</v>
      </c>
      <c r="AF1426">
        <v>-0.78751239567809905</v>
      </c>
      <c r="AG1426">
        <v>-1.10910890722</v>
      </c>
      <c r="AH1426">
        <v>17.454694622459101</v>
      </c>
      <c r="AI1426">
        <v>93.632124253737402</v>
      </c>
      <c r="AJ1426">
        <v>92.583291134985004</v>
      </c>
      <c r="AK1426">
        <v>17.507617276623499</v>
      </c>
    </row>
    <row r="1427" spans="1:37" x14ac:dyDescent="0.2">
      <c r="A1427" t="str">
        <f>"20200111154053674"</f>
        <v>20200111154053674</v>
      </c>
      <c r="B1427" t="str">
        <f>"1578728453667892"</f>
        <v>1578728453667892</v>
      </c>
      <c r="C1427" t="s">
        <v>37</v>
      </c>
      <c r="D1427">
        <v>5.5291889999999997</v>
      </c>
      <c r="E1427">
        <v>0.48840309999999998</v>
      </c>
      <c r="F1427" t="s">
        <v>44</v>
      </c>
      <c r="G1427">
        <v>-335.18310000000002</v>
      </c>
      <c r="H1427" s="1">
        <v>1.3116489999999999E-6</v>
      </c>
      <c r="I1427">
        <v>282.5514</v>
      </c>
      <c r="J1427">
        <v>-317.65780000000001</v>
      </c>
      <c r="K1427">
        <v>1.1091059999999999</v>
      </c>
      <c r="L1427">
        <v>283.60359999999997</v>
      </c>
      <c r="M1427">
        <v>-0.99987399999999904</v>
      </c>
      <c r="N1427">
        <v>0</v>
      </c>
      <c r="O1427">
        <v>-1.4526560000000001E-2</v>
      </c>
      <c r="P1427">
        <v>-0.99739519999999904</v>
      </c>
      <c r="Q1427">
        <v>6.578726E-2</v>
      </c>
      <c r="R1427">
        <v>-2.9580789999999999E-2</v>
      </c>
      <c r="S1427">
        <v>-3.0148009999999998</v>
      </c>
      <c r="T1427">
        <v>-0.18657889999999999</v>
      </c>
      <c r="U1427">
        <v>-0.17797850000000001</v>
      </c>
      <c r="V1427">
        <v>-1.5082689999999999E-2</v>
      </c>
      <c r="W1427">
        <v>7.2184499999999999E-2</v>
      </c>
      <c r="X1427">
        <v>0.99727730000000003</v>
      </c>
      <c r="Y1427">
        <v>-4.4367589999999998E-2</v>
      </c>
      <c r="Z1427">
        <v>-4.7312589999999897E-4</v>
      </c>
      <c r="AA1427">
        <v>0.99901519999999999</v>
      </c>
      <c r="AB1427">
        <v>46</v>
      </c>
      <c r="AC1427">
        <v>-17.525300000000001</v>
      </c>
      <c r="AD1427">
        <v>-1.1091046883509901</v>
      </c>
      <c r="AE1427">
        <v>-1.05219999999997</v>
      </c>
      <c r="AF1427">
        <v>-0.79433147890800104</v>
      </c>
      <c r="AG1427">
        <v>-1.1091046883509901</v>
      </c>
      <c r="AH1427">
        <v>17.469021871835601</v>
      </c>
      <c r="AI1427">
        <v>93.629081748291696</v>
      </c>
      <c r="AJ1427">
        <v>92.603495130665607</v>
      </c>
      <c r="AK1427">
        <v>17.522208789612598</v>
      </c>
    </row>
    <row r="1428" spans="1:37" x14ac:dyDescent="0.2">
      <c r="A1428" t="str">
        <f>"20200111154053696"</f>
        <v>20200111154053696</v>
      </c>
      <c r="B1428" t="str">
        <f>"1578728453687413"</f>
        <v>1578728453687413</v>
      </c>
      <c r="C1428" t="s">
        <v>37</v>
      </c>
      <c r="D1428">
        <v>5.5326240000000002</v>
      </c>
      <c r="E1428">
        <v>0.48850090000000002</v>
      </c>
      <c r="F1428" t="s">
        <v>44</v>
      </c>
      <c r="G1428">
        <v>-335.65010000000001</v>
      </c>
      <c r="H1428" s="1">
        <v>1.5608189999999901E-6</v>
      </c>
      <c r="I1428">
        <v>282.53640000000001</v>
      </c>
      <c r="J1428">
        <v>-318.14490000000001</v>
      </c>
      <c r="K1428">
        <v>1.109097</v>
      </c>
      <c r="L1428">
        <v>283.59660000000002</v>
      </c>
      <c r="M1428">
        <v>-0.9998745</v>
      </c>
      <c r="N1428">
        <v>0</v>
      </c>
      <c r="O1428">
        <v>-1.448577E-2</v>
      </c>
      <c r="P1428">
        <v>-0.99739179999999905</v>
      </c>
      <c r="Q1428">
        <v>6.5748639999999997E-2</v>
      </c>
      <c r="R1428">
        <v>-2.9783159999999999E-2</v>
      </c>
      <c r="S1428">
        <v>-3.0148009999999998</v>
      </c>
      <c r="T1428">
        <v>-0.1858426</v>
      </c>
      <c r="U1428">
        <v>-0.17883299999999999</v>
      </c>
      <c r="V1428">
        <v>-1.53242999999999E-2</v>
      </c>
      <c r="W1428">
        <v>7.2154060000000006E-2</v>
      </c>
      <c r="X1428">
        <v>0.99727579999999905</v>
      </c>
      <c r="Y1428">
        <v>-4.4690269999999997E-2</v>
      </c>
      <c r="Z1428">
        <v>-4.836951E-4</v>
      </c>
      <c r="AA1428">
        <v>0.99900080000000002</v>
      </c>
      <c r="AB1428">
        <v>46</v>
      </c>
      <c r="AC1428">
        <v>-17.505199999999999</v>
      </c>
      <c r="AD1428">
        <v>-1.109095439181</v>
      </c>
      <c r="AE1428">
        <v>-1.0602</v>
      </c>
      <c r="AF1428">
        <v>-0.80329440250832995</v>
      </c>
      <c r="AG1428">
        <v>-1.109095439181</v>
      </c>
      <c r="AH1428">
        <v>17.448933062320702</v>
      </c>
      <c r="AI1428">
        <v>93.633124835063299</v>
      </c>
      <c r="AJ1428">
        <v>92.6358577217879</v>
      </c>
      <c r="AK1428">
        <v>17.502589511374101</v>
      </c>
    </row>
    <row r="1429" spans="1:37" x14ac:dyDescent="0.2">
      <c r="A1429" t="str">
        <f>"20200111154053709"</f>
        <v>20200111154053709</v>
      </c>
      <c r="B1429" t="str">
        <f>"1578728453698149"</f>
        <v>1578728453698149</v>
      </c>
      <c r="C1429" t="s">
        <v>37</v>
      </c>
      <c r="D1429">
        <v>5.5176629999999998</v>
      </c>
      <c r="E1429">
        <v>0.48854129999999901</v>
      </c>
      <c r="F1429" t="s">
        <v>44</v>
      </c>
      <c r="G1429">
        <v>-336.07499999999999</v>
      </c>
      <c r="H1429" s="1">
        <v>1.7870199999999999E-6</v>
      </c>
      <c r="I1429">
        <v>282.53429999999997</v>
      </c>
      <c r="J1429">
        <v>-318.42939999999999</v>
      </c>
      <c r="K1429">
        <v>1.109089</v>
      </c>
      <c r="L1429">
        <v>283.59249999999997</v>
      </c>
      <c r="M1429">
        <v>-0.99987469999999901</v>
      </c>
      <c r="N1429">
        <v>0</v>
      </c>
      <c r="O1429">
        <v>-1.44611999999999E-2</v>
      </c>
      <c r="P1429">
        <v>-0.99742129999999996</v>
      </c>
      <c r="Q1429">
        <v>6.528726E-2</v>
      </c>
      <c r="R1429">
        <v>-2.9807699999999999E-2</v>
      </c>
      <c r="S1429">
        <v>-3.0148009999999998</v>
      </c>
      <c r="T1429">
        <v>-0.1864855</v>
      </c>
      <c r="U1429">
        <v>-0.17861939999999901</v>
      </c>
      <c r="V1429">
        <v>-1.537236E-2</v>
      </c>
      <c r="W1429">
        <v>7.169797E-2</v>
      </c>
      <c r="X1429">
        <v>0.99730790000000002</v>
      </c>
      <c r="Y1429">
        <v>-4.4643919999999997E-2</v>
      </c>
      <c r="Z1429">
        <v>-4.8545180000000003E-4</v>
      </c>
      <c r="AA1429">
        <v>0.99900290000000003</v>
      </c>
      <c r="AB1429">
        <v>46</v>
      </c>
      <c r="AC1429">
        <v>-17.645600000000002</v>
      </c>
      <c r="AD1429">
        <v>-1.10908721298</v>
      </c>
      <c r="AE1429">
        <v>-1.05819999999999</v>
      </c>
      <c r="AF1429">
        <v>-0.799759326128758</v>
      </c>
      <c r="AG1429">
        <v>-1.10908721298</v>
      </c>
      <c r="AH1429">
        <v>17.5898173118267</v>
      </c>
      <c r="AI1429">
        <v>93.604169454449902</v>
      </c>
      <c r="AJ1429">
        <v>92.603284408383303</v>
      </c>
      <c r="AK1429">
        <v>17.642884188509701</v>
      </c>
    </row>
    <row r="1430" spans="1:37" x14ac:dyDescent="0.2">
      <c r="A1430" t="str">
        <f>"20200111154053729"</f>
        <v>20200111154053729</v>
      </c>
      <c r="B1430" t="str">
        <f>"1578728453717669"</f>
        <v>1578728453717669</v>
      </c>
      <c r="C1430" t="s">
        <v>37</v>
      </c>
      <c r="D1430">
        <v>5.5573739999999896</v>
      </c>
      <c r="E1430">
        <v>0.48865639999999999</v>
      </c>
      <c r="F1430" t="s">
        <v>44</v>
      </c>
      <c r="G1430">
        <v>-336.18540000000002</v>
      </c>
      <c r="H1430" s="1">
        <v>1.84550099999999E-6</v>
      </c>
      <c r="I1430">
        <v>282.54050000000001</v>
      </c>
      <c r="J1430">
        <v>-318.83539999999999</v>
      </c>
      <c r="K1430">
        <v>1.1090799999999901</v>
      </c>
      <c r="L1430">
        <v>283.58659999999998</v>
      </c>
      <c r="M1430">
        <v>-0.99987539999999997</v>
      </c>
      <c r="N1430">
        <v>0</v>
      </c>
      <c r="O1430">
        <v>-1.442567E-2</v>
      </c>
      <c r="P1430">
        <v>-0.99742540000000002</v>
      </c>
      <c r="Q1430">
        <v>6.5358310000000003E-2</v>
      </c>
      <c r="R1430">
        <v>-2.951177E-2</v>
      </c>
      <c r="S1430">
        <v>-3.0147089999999999</v>
      </c>
      <c r="T1430">
        <v>-0.18830720000000001</v>
      </c>
      <c r="U1430">
        <v>-0.17861939999999901</v>
      </c>
      <c r="V1430">
        <v>-1.511119E-2</v>
      </c>
      <c r="W1430">
        <v>7.177596E-2</v>
      </c>
      <c r="X1430">
        <v>0.99730629999999998</v>
      </c>
      <c r="Y1430">
        <v>-4.4679950000000003E-2</v>
      </c>
      <c r="Z1430">
        <v>-4.9353790000000004E-4</v>
      </c>
      <c r="AA1430">
        <v>0.99900119999999903</v>
      </c>
      <c r="AB1430">
        <v>46</v>
      </c>
      <c r="AC1430">
        <v>-17.350000000000001</v>
      </c>
      <c r="AD1430">
        <v>-1.1090781544989901</v>
      </c>
      <c r="AE1430">
        <v>-1.0460999999999601</v>
      </c>
      <c r="AF1430">
        <v>-0.79247410628592896</v>
      </c>
      <c r="AG1430">
        <v>-1.1090781544989901</v>
      </c>
      <c r="AH1430">
        <v>17.292878432218199</v>
      </c>
      <c r="AI1430">
        <v>93.665800185297499</v>
      </c>
      <c r="AJ1430">
        <v>92.623835982232606</v>
      </c>
      <c r="AK1430">
        <v>17.346518787162999</v>
      </c>
    </row>
    <row r="1431" spans="1:37" x14ac:dyDescent="0.2">
      <c r="A1431" t="str">
        <f>"20200111154053744"</f>
        <v>20200111154053744</v>
      </c>
      <c r="B1431" t="str">
        <f>"1578728453738165"</f>
        <v>1578728453738165</v>
      </c>
      <c r="C1431" t="s">
        <v>37</v>
      </c>
      <c r="D1431">
        <v>5.5548570000000002</v>
      </c>
      <c r="E1431">
        <v>0.488774299999999</v>
      </c>
      <c r="F1431" t="s">
        <v>44</v>
      </c>
      <c r="G1431">
        <v>-336.57690000000002</v>
      </c>
      <c r="H1431" s="1">
        <v>2.05346399999999E-6</v>
      </c>
      <c r="I1431">
        <v>282.54969999999997</v>
      </c>
      <c r="J1431">
        <v>-319.1499</v>
      </c>
      <c r="K1431">
        <v>1.1090709999999999</v>
      </c>
      <c r="L1431">
        <v>283.58210000000003</v>
      </c>
      <c r="M1431">
        <v>-0.99987549999999903</v>
      </c>
      <c r="N1431">
        <v>0</v>
      </c>
      <c r="O1431">
        <v>-1.439729E-2</v>
      </c>
      <c r="P1431">
        <v>-0.99744829999999995</v>
      </c>
      <c r="Q1431">
        <v>6.5101560000000003E-2</v>
      </c>
      <c r="R1431">
        <v>-2.9305500000000002E-2</v>
      </c>
      <c r="S1431">
        <v>-3.0148929999999998</v>
      </c>
      <c r="T1431">
        <v>-0.18847039999999901</v>
      </c>
      <c r="U1431">
        <v>-0.17620849999999999</v>
      </c>
      <c r="V1431">
        <v>-1.493218E-2</v>
      </c>
      <c r="W1431">
        <v>7.1524840000000006E-2</v>
      </c>
      <c r="X1431">
        <v>0.99732699999999996</v>
      </c>
      <c r="Y1431">
        <v>-4.3909950000000003E-2</v>
      </c>
      <c r="Z1431">
        <v>-4.7169129999999999E-4</v>
      </c>
      <c r="AA1431">
        <v>0.99903539999999902</v>
      </c>
      <c r="AB1431">
        <v>46</v>
      </c>
      <c r="AC1431">
        <v>-17.427</v>
      </c>
      <c r="AD1431">
        <v>-1.109068946536</v>
      </c>
      <c r="AE1431">
        <v>-1.0324000000000499</v>
      </c>
      <c r="AF1431">
        <v>-0.77824519487810995</v>
      </c>
      <c r="AG1431">
        <v>-1.109068946536</v>
      </c>
      <c r="AH1431">
        <v>17.369952757551399</v>
      </c>
      <c r="AI1431">
        <v>93.6497163642928</v>
      </c>
      <c r="AJ1431">
        <v>92.565370483014803</v>
      </c>
      <c r="AK1431">
        <v>17.422713861826701</v>
      </c>
    </row>
    <row r="1432" spans="1:37" x14ac:dyDescent="0.2">
      <c r="A1432" t="str">
        <f>"20200111154053762"</f>
        <v>20200111154053762</v>
      </c>
      <c r="B1432" t="str">
        <f>"1578728453757686"</f>
        <v>1578728453757686</v>
      </c>
      <c r="C1432" t="s">
        <v>37</v>
      </c>
      <c r="D1432">
        <v>5.5858559999999997</v>
      </c>
      <c r="E1432">
        <v>0.48887770000000003</v>
      </c>
      <c r="F1432" t="s">
        <v>44</v>
      </c>
      <c r="G1432">
        <v>-336.76130000000001</v>
      </c>
      <c r="H1432" s="1">
        <v>2.1510260000000001E-6</v>
      </c>
      <c r="I1432">
        <v>282.56169999999997</v>
      </c>
      <c r="J1432">
        <v>-319.53609999999998</v>
      </c>
      <c r="K1432">
        <v>1.109065</v>
      </c>
      <c r="L1432">
        <v>283.57650000000001</v>
      </c>
      <c r="M1432">
        <v>-0.99987619999999899</v>
      </c>
      <c r="N1432">
        <v>0</v>
      </c>
      <c r="O1432">
        <v>-1.43632E-2</v>
      </c>
      <c r="P1432">
        <v>-0.99746380000000001</v>
      </c>
      <c r="Q1432">
        <v>6.5061629999999995E-2</v>
      </c>
      <c r="R1432">
        <v>-2.8867159999999999E-2</v>
      </c>
      <c r="S1432">
        <v>-3.014923</v>
      </c>
      <c r="T1432">
        <v>-0.1898637</v>
      </c>
      <c r="U1432">
        <v>-0.17468259999999999</v>
      </c>
      <c r="V1432">
        <v>-1.452751E-2</v>
      </c>
      <c r="W1432">
        <v>7.1491070000000004E-2</v>
      </c>
      <c r="X1432">
        <v>0.99733539999999998</v>
      </c>
      <c r="Y1432">
        <v>-4.3439520000000002E-2</v>
      </c>
      <c r="Z1432">
        <v>-4.6253050000000001E-4</v>
      </c>
      <c r="AA1432">
        <v>0.9990559</v>
      </c>
      <c r="AB1432">
        <v>47</v>
      </c>
      <c r="AC1432">
        <v>-17.225200000000001</v>
      </c>
      <c r="AD1432">
        <v>-1.109062848974</v>
      </c>
      <c r="AE1432">
        <v>-1.0148000000000299</v>
      </c>
      <c r="AF1432">
        <v>-0.764124441937443</v>
      </c>
      <c r="AG1432">
        <v>-1.109062848974</v>
      </c>
      <c r="AH1432">
        <v>17.167078028910598</v>
      </c>
      <c r="AI1432">
        <v>93.692756686331094</v>
      </c>
      <c r="AJ1432">
        <v>92.5486123077727</v>
      </c>
      <c r="AK1432">
        <v>17.219827949676102</v>
      </c>
    </row>
    <row r="1433" spans="1:37" x14ac:dyDescent="0.2">
      <c r="A1433" t="str">
        <f>"20200111154053785"</f>
        <v>20200111154053785</v>
      </c>
      <c r="B1433" t="str">
        <f>"1578728453778180"</f>
        <v>1578728453778180</v>
      </c>
      <c r="C1433" t="s">
        <v>37</v>
      </c>
      <c r="D1433">
        <v>5.5485429999999996</v>
      </c>
      <c r="E1433">
        <v>0.48893619999999999</v>
      </c>
      <c r="F1433" t="s">
        <v>44</v>
      </c>
      <c r="G1433">
        <v>-337.09899999999999</v>
      </c>
      <c r="H1433" s="1">
        <v>2.3303529999999999E-6</v>
      </c>
      <c r="I1433">
        <v>282.57089999999999</v>
      </c>
      <c r="J1433">
        <v>-319.98970000000003</v>
      </c>
      <c r="K1433">
        <v>1.1090580000000001</v>
      </c>
      <c r="L1433">
        <v>283.57</v>
      </c>
      <c r="M1433">
        <v>-0.99987669999999995</v>
      </c>
      <c r="N1433">
        <v>0</v>
      </c>
      <c r="O1433">
        <v>-1.4322669999999999E-2</v>
      </c>
      <c r="P1433">
        <v>-0.99748289999999995</v>
      </c>
      <c r="Q1433">
        <v>6.4883090000000004E-2</v>
      </c>
      <c r="R1433">
        <v>-2.860743E-2</v>
      </c>
      <c r="S1433">
        <v>-3.0150450000000002</v>
      </c>
      <c r="T1433">
        <v>-0.19039420000000001</v>
      </c>
      <c r="U1433">
        <v>-0.17263789999999901</v>
      </c>
      <c r="V1433">
        <v>-1.43074999999999E-2</v>
      </c>
      <c r="W1433">
        <v>7.1321270000000006E-2</v>
      </c>
      <c r="X1433">
        <v>0.99735079999999998</v>
      </c>
      <c r="Y1433">
        <v>-4.2803250000000001E-2</v>
      </c>
      <c r="Z1433">
        <v>-4.4631E-4</v>
      </c>
      <c r="AA1433">
        <v>0.99908339999999995</v>
      </c>
      <c r="AB1433">
        <v>47</v>
      </c>
      <c r="AC1433">
        <v>-17.109299999999902</v>
      </c>
      <c r="AD1433">
        <v>-1.109055669647</v>
      </c>
      <c r="AE1433">
        <v>-0.99909999999999799</v>
      </c>
      <c r="AF1433">
        <v>-0.75079754754927297</v>
      </c>
      <c r="AG1433">
        <v>-1.109055669647</v>
      </c>
      <c r="AH1433">
        <v>17.050454768383499</v>
      </c>
      <c r="AI1433">
        <v>93.717998306209495</v>
      </c>
      <c r="AJ1433">
        <v>92.521326276874404</v>
      </c>
      <c r="AK1433">
        <v>17.102973695953398</v>
      </c>
    </row>
    <row r="1434" spans="1:37" x14ac:dyDescent="0.2">
      <c r="A1434" t="str">
        <f>"20200111154053813"</f>
        <v>20200111154053813</v>
      </c>
      <c r="B1434" t="str">
        <f>"1578728453807461"</f>
        <v>1578728453807461</v>
      </c>
      <c r="C1434" t="s">
        <v>37</v>
      </c>
      <c r="D1434">
        <v>5.4604400000000002</v>
      </c>
      <c r="E1434">
        <v>0.48885729999999999</v>
      </c>
      <c r="F1434" t="s">
        <v>44</v>
      </c>
      <c r="G1434">
        <v>-337.464</v>
      </c>
      <c r="H1434" s="1">
        <v>2.524372E-6</v>
      </c>
      <c r="I1434">
        <v>282.57619999999997</v>
      </c>
      <c r="J1434">
        <v>-320.57659999999998</v>
      </c>
      <c r="K1434">
        <v>1.1090409999999999</v>
      </c>
      <c r="L1434">
        <v>283.56169999999997</v>
      </c>
      <c r="M1434">
        <v>-0.99987729999999997</v>
      </c>
      <c r="N1434">
        <v>0</v>
      </c>
      <c r="O1434">
        <v>-1.4269270000000001E-2</v>
      </c>
      <c r="P1434">
        <v>-0.99750720000000004</v>
      </c>
      <c r="Q1434">
        <v>6.4387730000000004E-2</v>
      </c>
      <c r="R1434">
        <v>-2.887957E-2</v>
      </c>
      <c r="S1434">
        <v>-3.0151059999999998</v>
      </c>
      <c r="T1434">
        <v>-0.19136139999999999</v>
      </c>
      <c r="U1434">
        <v>-0.1714783</v>
      </c>
      <c r="V1434">
        <v>-1.463187E-2</v>
      </c>
      <c r="W1434">
        <v>7.08371E-2</v>
      </c>
      <c r="X1434">
        <v>0.99738059999999995</v>
      </c>
      <c r="Y1434">
        <v>-4.2472410000000002E-2</v>
      </c>
      <c r="Z1434">
        <v>-4.414698E-4</v>
      </c>
      <c r="AA1434">
        <v>0.99909749999999997</v>
      </c>
      <c r="AB1434">
        <v>47</v>
      </c>
      <c r="AC1434">
        <v>-16.8874</v>
      </c>
      <c r="AD1434">
        <v>-1.1090384756279901</v>
      </c>
      <c r="AE1434">
        <v>-0.98550000000000104</v>
      </c>
      <c r="AF1434">
        <v>-0.74123773623629197</v>
      </c>
      <c r="AG1434">
        <v>-1.1090384756279901</v>
      </c>
      <c r="AH1434">
        <v>16.8274149122369</v>
      </c>
      <c r="AI1434">
        <v>93.767076932613506</v>
      </c>
      <c r="AJ1434">
        <v>92.522214926871797</v>
      </c>
      <c r="AK1434">
        <v>16.880204156070398</v>
      </c>
    </row>
    <row r="1435" spans="1:37" x14ac:dyDescent="0.2">
      <c r="A1435" t="str">
        <f>"20200111154053829"</f>
        <v>20200111154053829</v>
      </c>
      <c r="B1435" t="str">
        <f>"1578728453818196"</f>
        <v>1578728453818196</v>
      </c>
      <c r="C1435" t="s">
        <v>37</v>
      </c>
      <c r="D1435">
        <v>5.4527070000000002</v>
      </c>
      <c r="E1435">
        <v>0.46935829999999901</v>
      </c>
      <c r="F1435" t="s">
        <v>44</v>
      </c>
      <c r="G1435">
        <v>-337.93369999999999</v>
      </c>
      <c r="H1435" s="1">
        <v>2.7747849999999999E-6</v>
      </c>
      <c r="I1435">
        <v>282.5659</v>
      </c>
      <c r="J1435">
        <v>-320.92160000000001</v>
      </c>
      <c r="K1435">
        <v>1.1090340000000001</v>
      </c>
      <c r="L1435">
        <v>283.55680000000001</v>
      </c>
      <c r="M1435">
        <v>-0.99987780000000004</v>
      </c>
      <c r="N1435">
        <v>0</v>
      </c>
      <c r="O1435">
        <v>-1.4237929999999999E-2</v>
      </c>
      <c r="P1435">
        <v>-0.99751719999999899</v>
      </c>
      <c r="Q1435">
        <v>6.4138650000000005E-2</v>
      </c>
      <c r="R1435">
        <v>-2.9081679999999999E-2</v>
      </c>
      <c r="S1435">
        <v>-3.0149539999999999</v>
      </c>
      <c r="T1435">
        <v>-0.19264110000000001</v>
      </c>
      <c r="U1435">
        <v>-0.17297360000000001</v>
      </c>
      <c r="V1435">
        <v>-1.486469E-2</v>
      </c>
      <c r="W1435">
        <v>7.0594500000000004E-2</v>
      </c>
      <c r="X1435">
        <v>0.99739429999999996</v>
      </c>
      <c r="Y1435">
        <v>-4.2998620000000001E-2</v>
      </c>
      <c r="Z1435">
        <v>-4.6321209999999999E-4</v>
      </c>
      <c r="AA1435">
        <v>0.99907500000000005</v>
      </c>
      <c r="AB1435">
        <v>47</v>
      </c>
      <c r="AC1435">
        <v>-17.012099999999901</v>
      </c>
      <c r="AD1435">
        <v>-1.1090312252150001</v>
      </c>
      <c r="AE1435">
        <v>-0.99090000000001</v>
      </c>
      <c r="AF1435">
        <v>-0.74542021967933203</v>
      </c>
      <c r="AG1435">
        <v>-1.1090312252150001</v>
      </c>
      <c r="AH1435">
        <v>16.952681729708299</v>
      </c>
      <c r="AI1435">
        <v>93.739309025350906</v>
      </c>
      <c r="AJ1435">
        <v>92.517710181279398</v>
      </c>
      <c r="AK1435">
        <v>17.005264461077701</v>
      </c>
    </row>
    <row r="1436" spans="1:37" x14ac:dyDescent="0.2">
      <c r="A1436" t="str">
        <f>"20200111154053845"</f>
        <v>20200111154053845</v>
      </c>
      <c r="B1436" t="str">
        <f>"1578728453837717"</f>
        <v>1578728453837717</v>
      </c>
      <c r="C1436" t="s">
        <v>37</v>
      </c>
      <c r="D1436">
        <v>5.3018390000000002</v>
      </c>
      <c r="E1436">
        <v>0.46978500000000001</v>
      </c>
      <c r="F1436" t="s">
        <v>44</v>
      </c>
      <c r="G1436">
        <v>-340.06150000000002</v>
      </c>
      <c r="H1436" s="1">
        <v>-1.504079E-6</v>
      </c>
      <c r="I1436">
        <v>281.46120000000002</v>
      </c>
      <c r="J1436">
        <v>-321.25700000000001</v>
      </c>
      <c r="K1436">
        <v>1.1090359999999999</v>
      </c>
      <c r="L1436">
        <v>283.5521</v>
      </c>
      <c r="M1436">
        <v>-0.99987819999999905</v>
      </c>
      <c r="N1436">
        <v>0</v>
      </c>
      <c r="O1436">
        <v>-1.420718E-2</v>
      </c>
      <c r="P1436">
        <v>-0.99751889999999999</v>
      </c>
      <c r="Q1436">
        <v>6.4074779999999998E-2</v>
      </c>
      <c r="R1436">
        <v>-2.9162899999999999E-2</v>
      </c>
      <c r="S1436">
        <v>-3.009064</v>
      </c>
      <c r="T1436">
        <v>-0.1743566</v>
      </c>
      <c r="U1436">
        <v>-0.32946779999999998</v>
      </c>
      <c r="V1436">
        <v>-1.4976990000000001E-2</v>
      </c>
      <c r="W1436">
        <v>7.0536470000000004E-2</v>
      </c>
      <c r="X1436">
        <v>0.99739679999999997</v>
      </c>
      <c r="Y1436">
        <v>-9.457409E-2</v>
      </c>
      <c r="Z1436">
        <v>-1.909638E-3</v>
      </c>
      <c r="AA1436">
        <v>0.99551599999999996</v>
      </c>
      <c r="AB1436">
        <v>47</v>
      </c>
      <c r="AC1436">
        <v>-18.804500000000001</v>
      </c>
      <c r="AD1436">
        <v>-1.1090375040789999</v>
      </c>
      <c r="AE1436">
        <v>-2.0908999999999698</v>
      </c>
      <c r="AF1436">
        <v>-1.8172805929779901</v>
      </c>
      <c r="AG1436">
        <v>-1.1090375040789999</v>
      </c>
      <c r="AH1436">
        <v>18.7678252861039</v>
      </c>
      <c r="AI1436">
        <v>93.366110516000305</v>
      </c>
      <c r="AJ1436">
        <v>95.530683958749506</v>
      </c>
      <c r="AK1436">
        <v>18.8881904614706</v>
      </c>
    </row>
    <row r="1437" spans="1:37" x14ac:dyDescent="0.2">
      <c r="A1437" t="str">
        <f>"20200111154053863"</f>
        <v>20200111154053863</v>
      </c>
      <c r="B1437" t="str">
        <f>"1578728453858213"</f>
        <v>1578728453858213</v>
      </c>
      <c r="C1437" t="s">
        <v>37</v>
      </c>
      <c r="D1437">
        <v>5.3684890000000003</v>
      </c>
      <c r="E1437">
        <v>0.47032679999999999</v>
      </c>
      <c r="F1437" t="s">
        <v>44</v>
      </c>
      <c r="G1437">
        <v>-340.49939999999998</v>
      </c>
      <c r="H1437" s="1">
        <v>-1.2710209999999999E-6</v>
      </c>
      <c r="I1437">
        <v>281.46510000000001</v>
      </c>
      <c r="J1437">
        <v>-321.63350000000003</v>
      </c>
      <c r="K1437">
        <v>1.1090329999999999</v>
      </c>
      <c r="L1437">
        <v>283.54669999999999</v>
      </c>
      <c r="M1437">
        <v>-0.99987859999999995</v>
      </c>
      <c r="N1437">
        <v>0</v>
      </c>
      <c r="O1437">
        <v>-1.4173099999999999E-2</v>
      </c>
      <c r="P1437">
        <v>-0.99748939999999997</v>
      </c>
      <c r="Q1437">
        <v>6.4578940000000001E-2</v>
      </c>
      <c r="R1437">
        <v>-2.9067429999999998E-2</v>
      </c>
      <c r="S1437">
        <v>-3.0090939999999899</v>
      </c>
      <c r="T1437">
        <v>-0.17342959999999999</v>
      </c>
      <c r="U1437">
        <v>-0.32635500000000001</v>
      </c>
      <c r="V1437">
        <v>-1.491557E-2</v>
      </c>
      <c r="W1437">
        <v>7.1047310000000002E-2</v>
      </c>
      <c r="X1437">
        <v>0.99736139999999995</v>
      </c>
      <c r="Y1437">
        <v>-9.3592120000000001E-2</v>
      </c>
      <c r="Z1437">
        <v>-1.8733510000000001E-3</v>
      </c>
      <c r="AA1437">
        <v>0.99560890000000002</v>
      </c>
      <c r="AB1437">
        <v>47</v>
      </c>
      <c r="AC1437">
        <v>-18.8658999999999</v>
      </c>
      <c r="AD1437">
        <v>-1.1090342710209999</v>
      </c>
      <c r="AE1437">
        <v>-2.0815999999999799</v>
      </c>
      <c r="AF1437">
        <v>-1.8078248747607999</v>
      </c>
      <c r="AG1437">
        <v>-1.1090342710209999</v>
      </c>
      <c r="AH1437">
        <v>18.8292229565517</v>
      </c>
      <c r="AI1437">
        <v>93.355411354085504</v>
      </c>
      <c r="AJ1437">
        <v>95.484252177221094</v>
      </c>
      <c r="AK1437">
        <v>18.948293457186001</v>
      </c>
    </row>
    <row r="1438" spans="1:37" x14ac:dyDescent="0.2">
      <c r="A1438" t="str">
        <f>"20200111154053886"</f>
        <v>20200111154053886</v>
      </c>
      <c r="B1438" t="str">
        <f>"1578728453877735"</f>
        <v>1578728453877735</v>
      </c>
      <c r="C1438" t="s">
        <v>37</v>
      </c>
      <c r="D1438">
        <v>5.3404319999999998</v>
      </c>
      <c r="E1438">
        <v>0.47079739999999998</v>
      </c>
      <c r="F1438" t="s">
        <v>44</v>
      </c>
      <c r="G1438">
        <v>-341.58319999999998</v>
      </c>
      <c r="H1438" s="1">
        <v>-6.9427850000000001E-7</v>
      </c>
      <c r="I1438">
        <v>281.41520000000003</v>
      </c>
      <c r="J1438">
        <v>-322.12299999999999</v>
      </c>
      <c r="K1438">
        <v>1.1090359999999999</v>
      </c>
      <c r="L1438">
        <v>283.53980000000001</v>
      </c>
      <c r="M1438">
        <v>-0.99987929999999903</v>
      </c>
      <c r="N1438">
        <v>0</v>
      </c>
      <c r="O1438">
        <v>-1.412829E-2</v>
      </c>
      <c r="P1438">
        <v>-0.99746659999999998</v>
      </c>
      <c r="Q1438">
        <v>6.4954250000000005E-2</v>
      </c>
      <c r="R1438">
        <v>-2.901101E-2</v>
      </c>
      <c r="S1438">
        <v>-3.0090330000000001</v>
      </c>
      <c r="T1438">
        <v>-0.16727690000000001</v>
      </c>
      <c r="U1438">
        <v>-0.32150269999999997</v>
      </c>
      <c r="V1438">
        <v>-1.490375E-2</v>
      </c>
      <c r="W1438">
        <v>7.1431140000000004E-2</v>
      </c>
      <c r="X1438">
        <v>0.99733419999999895</v>
      </c>
      <c r="Y1438">
        <v>-9.2062989999999997E-2</v>
      </c>
      <c r="Z1438">
        <v>-1.7673139999999901E-3</v>
      </c>
      <c r="AA1438">
        <v>0.99575159999999996</v>
      </c>
      <c r="AB1438">
        <v>47</v>
      </c>
      <c r="AC1438">
        <v>-19.460199999999901</v>
      </c>
      <c r="AD1438">
        <v>-1.1090366942784999</v>
      </c>
      <c r="AE1438">
        <v>-2.1245999999999801</v>
      </c>
      <c r="AF1438">
        <v>-1.84352585889981</v>
      </c>
      <c r="AG1438">
        <v>-1.1090366942784999</v>
      </c>
      <c r="AH1438">
        <v>19.4259257030537</v>
      </c>
      <c r="AI1438">
        <v>93.252916871247905</v>
      </c>
      <c r="AJ1438">
        <v>95.421150219589705</v>
      </c>
      <c r="AK1438">
        <v>19.544695940388799</v>
      </c>
    </row>
    <row r="1439" spans="1:37" x14ac:dyDescent="0.2">
      <c r="A1439" t="str">
        <f>"20200111154053898"</f>
        <v>20200111154053898</v>
      </c>
      <c r="B1439" t="str">
        <f>"1578728453887493"</f>
        <v>1578728453887493</v>
      </c>
      <c r="C1439" t="s">
        <v>37</v>
      </c>
      <c r="D1439">
        <v>5.5750580000000003</v>
      </c>
      <c r="E1439">
        <v>0.47095939999999997</v>
      </c>
      <c r="F1439" t="s">
        <v>44</v>
      </c>
      <c r="G1439">
        <v>-341.88760000000002</v>
      </c>
      <c r="H1439" s="1">
        <v>-5.3228700000000003E-7</v>
      </c>
      <c r="I1439">
        <v>281.45370000000003</v>
      </c>
      <c r="J1439">
        <v>-322.39879999999999</v>
      </c>
      <c r="K1439">
        <v>1.109035</v>
      </c>
      <c r="L1439">
        <v>283.53590000000003</v>
      </c>
      <c r="M1439">
        <v>-0.99987950000000003</v>
      </c>
      <c r="N1439">
        <v>0</v>
      </c>
      <c r="O1439">
        <v>-1.4102669999999999E-2</v>
      </c>
      <c r="P1439">
        <v>-0.99744169999999999</v>
      </c>
      <c r="Q1439">
        <v>6.5373150000000005E-2</v>
      </c>
      <c r="R1439">
        <v>-2.8925070000000001E-2</v>
      </c>
      <c r="S1439">
        <v>-3.0093380000000001</v>
      </c>
      <c r="T1439">
        <v>-0.16886019999999999</v>
      </c>
      <c r="U1439">
        <v>-0.31762699999999999</v>
      </c>
      <c r="V1439">
        <v>-1.484337E-2</v>
      </c>
      <c r="W1439">
        <v>7.1854920000000003E-2</v>
      </c>
      <c r="X1439">
        <v>0.99730459999999999</v>
      </c>
      <c r="Y1439">
        <v>-9.0809269999999997E-2</v>
      </c>
      <c r="Z1439">
        <v>-1.750337E-3</v>
      </c>
      <c r="AA1439">
        <v>0.99586679999999905</v>
      </c>
      <c r="AB1439">
        <v>47</v>
      </c>
      <c r="AC1439">
        <v>-19.488800000000001</v>
      </c>
      <c r="AD1439">
        <v>-1.109035532287</v>
      </c>
      <c r="AE1439">
        <v>-2.0821999999999998</v>
      </c>
      <c r="AF1439">
        <v>-1.8013754148097101</v>
      </c>
      <c r="AG1439">
        <v>-1.109035532287</v>
      </c>
      <c r="AH1439">
        <v>19.453939786465799</v>
      </c>
      <c r="AI1439">
        <v>93.248933124809497</v>
      </c>
      <c r="AJ1439">
        <v>95.290328525357694</v>
      </c>
      <c r="AK1439">
        <v>19.568614831213601</v>
      </c>
    </row>
    <row r="1440" spans="1:37" x14ac:dyDescent="0.2">
      <c r="A1440" t="str">
        <f>"20200111154053911"</f>
        <v>20200111154053911</v>
      </c>
      <c r="B1440" t="str">
        <f>"1578728453907989"</f>
        <v>1578728453907989</v>
      </c>
      <c r="C1440" t="s">
        <v>37</v>
      </c>
      <c r="D1440">
        <v>5.5132789999999998</v>
      </c>
      <c r="E1440">
        <v>0.47103970000000001</v>
      </c>
      <c r="F1440" t="s">
        <v>44</v>
      </c>
      <c r="G1440">
        <v>-342.286</v>
      </c>
      <c r="H1440" s="1">
        <v>-3.2027520000000001E-7</v>
      </c>
      <c r="I1440">
        <v>281.44830000000002</v>
      </c>
      <c r="J1440">
        <v>-322.67160000000001</v>
      </c>
      <c r="K1440">
        <v>1.109035</v>
      </c>
      <c r="L1440">
        <v>283.53210000000001</v>
      </c>
      <c r="M1440">
        <v>-0.99987999999999899</v>
      </c>
      <c r="N1440">
        <v>0</v>
      </c>
      <c r="O1440">
        <v>-1.4077889999999999E-2</v>
      </c>
      <c r="P1440">
        <v>-0.99742869999999995</v>
      </c>
      <c r="Q1440">
        <v>6.5558089999999999E-2</v>
      </c>
      <c r="R1440">
        <v>-2.8954839999999999E-2</v>
      </c>
      <c r="S1440">
        <v>-3.0095209999999999</v>
      </c>
      <c r="T1440">
        <v>-0.1678296</v>
      </c>
      <c r="U1440">
        <v>-0.31591799999999998</v>
      </c>
      <c r="V1440">
        <v>-1.4897860000000001E-2</v>
      </c>
      <c r="W1440">
        <v>7.2044689999999995E-2</v>
      </c>
      <c r="X1440">
        <v>0.99729009999999996</v>
      </c>
      <c r="Y1440">
        <v>-9.0270550000000005E-2</v>
      </c>
      <c r="Z1440">
        <v>-1.726025E-3</v>
      </c>
      <c r="AA1440">
        <v>0.99591580000000002</v>
      </c>
      <c r="AB1440">
        <v>47</v>
      </c>
      <c r="AC1440">
        <v>-19.6143999999999</v>
      </c>
      <c r="AD1440">
        <v>-1.1090353202751999</v>
      </c>
      <c r="AE1440">
        <v>-2.0837999999999899</v>
      </c>
      <c r="AF1440">
        <v>-1.8017624320125101</v>
      </c>
      <c r="AG1440">
        <v>-1.1090353202751999</v>
      </c>
      <c r="AH1440">
        <v>19.579894256923001</v>
      </c>
      <c r="AI1440">
        <v>93.228246761064796</v>
      </c>
      <c r="AJ1440">
        <v>95.257610903206199</v>
      </c>
      <c r="AK1440">
        <v>19.6938712881778</v>
      </c>
    </row>
    <row r="1441" spans="1:37" x14ac:dyDescent="0.2">
      <c r="A1441" t="str">
        <f>"20200111154053929"</f>
        <v>20200111154053929</v>
      </c>
      <c r="B1441" t="str">
        <f>"1578728453917748"</f>
        <v>1578728453917748</v>
      </c>
      <c r="C1441" t="s">
        <v>37</v>
      </c>
      <c r="D1441">
        <v>5.6398219999999997</v>
      </c>
      <c r="E1441">
        <v>0.47116429999999998</v>
      </c>
      <c r="F1441" t="s">
        <v>44</v>
      </c>
      <c r="G1441">
        <v>-342.39729999999997</v>
      </c>
      <c r="H1441" s="1">
        <v>-2.6108110000000003E-7</v>
      </c>
      <c r="I1441">
        <v>281.46390000000002</v>
      </c>
      <c r="J1441">
        <v>-323.02690000000001</v>
      </c>
      <c r="K1441">
        <v>1.109038</v>
      </c>
      <c r="L1441">
        <v>283.52710000000002</v>
      </c>
      <c r="M1441">
        <v>-0.99988029999999894</v>
      </c>
      <c r="N1441">
        <v>0</v>
      </c>
      <c r="O1441">
        <v>-1.4045240000000001E-2</v>
      </c>
      <c r="P1441">
        <v>-0.99740609999999996</v>
      </c>
      <c r="Q1441">
        <v>6.5890480000000001E-2</v>
      </c>
      <c r="R1441">
        <v>-2.8980019999999999E-2</v>
      </c>
      <c r="S1441">
        <v>-3.0097049999999999</v>
      </c>
      <c r="T1441">
        <v>-0.16921420000000001</v>
      </c>
      <c r="U1441">
        <v>-0.31555179999999999</v>
      </c>
      <c r="V1441">
        <v>-1.4955980000000001E-2</v>
      </c>
      <c r="W1441">
        <v>7.2383779999999995E-2</v>
      </c>
      <c r="X1441">
        <v>0.997264699999999</v>
      </c>
      <c r="Y1441">
        <v>-9.0175099999999994E-2</v>
      </c>
      <c r="Z1441">
        <v>-1.7393020000000001E-3</v>
      </c>
      <c r="AA1441">
        <v>0.99592440000000004</v>
      </c>
      <c r="AB1441">
        <v>47</v>
      </c>
      <c r="AC1441">
        <v>-19.370399999999901</v>
      </c>
      <c r="AD1441">
        <v>-1.1090382610811</v>
      </c>
      <c r="AE1441">
        <v>-2.0631999999999899</v>
      </c>
      <c r="AF1441">
        <v>-1.7851426855222099</v>
      </c>
      <c r="AG1441">
        <v>-1.1090382610811</v>
      </c>
      <c r="AH1441">
        <v>19.3347984932667</v>
      </c>
      <c r="AI1441">
        <v>93.268998273236406</v>
      </c>
      <c r="AJ1441">
        <v>95.275047936894893</v>
      </c>
      <c r="AK1441">
        <v>19.448679467959799</v>
      </c>
    </row>
    <row r="1442" spans="1:37" x14ac:dyDescent="0.2">
      <c r="A1442" t="str">
        <f>"20200111154053942"</f>
        <v>20200111154053942</v>
      </c>
      <c r="B1442" t="str">
        <f>"1578728453937269"</f>
        <v>1578728453937269</v>
      </c>
      <c r="C1442" t="s">
        <v>37</v>
      </c>
      <c r="D1442">
        <v>5.3300609999999997</v>
      </c>
      <c r="E1442">
        <v>0.47122829999999899</v>
      </c>
      <c r="F1442" t="s">
        <v>44</v>
      </c>
      <c r="G1442">
        <v>-343.17129999999997</v>
      </c>
      <c r="H1442" s="1">
        <v>1.508311E-7</v>
      </c>
      <c r="I1442">
        <v>281.42230000000001</v>
      </c>
      <c r="J1442">
        <v>-323.30880000000002</v>
      </c>
      <c r="K1442">
        <v>1.1090279999999999</v>
      </c>
      <c r="L1442">
        <v>283.5231</v>
      </c>
      <c r="M1442">
        <v>-0.99988060000000001</v>
      </c>
      <c r="N1442">
        <v>0</v>
      </c>
      <c r="O1442">
        <v>-1.401962E-2</v>
      </c>
      <c r="P1442">
        <v>-0.99739319999999898</v>
      </c>
      <c r="Q1442">
        <v>6.6045129999999994E-2</v>
      </c>
      <c r="R1442">
        <v>-2.906984E-2</v>
      </c>
      <c r="S1442">
        <v>-3.0095830000000001</v>
      </c>
      <c r="T1442">
        <v>-0.165690899999999</v>
      </c>
      <c r="U1442">
        <v>-0.31445309999999999</v>
      </c>
      <c r="V1442">
        <v>-1.5071360000000001E-2</v>
      </c>
      <c r="W1442">
        <v>7.2543579999999996E-2</v>
      </c>
      <c r="X1442">
        <v>0.99725140000000001</v>
      </c>
      <c r="Y1442">
        <v>-8.9850490000000005E-2</v>
      </c>
      <c r="Z1442">
        <v>-1.695743E-3</v>
      </c>
      <c r="AA1442">
        <v>0.9959538</v>
      </c>
      <c r="AB1442">
        <v>47</v>
      </c>
      <c r="AC1442">
        <v>-19.862499999999901</v>
      </c>
      <c r="AD1442">
        <v>-1.1090278491688901</v>
      </c>
      <c r="AE1442">
        <v>-2.1007999999999898</v>
      </c>
      <c r="AF1442">
        <v>-1.8165224460157099</v>
      </c>
      <c r="AG1442">
        <v>-1.1090278491688901</v>
      </c>
      <c r="AH1442">
        <v>19.828866761071598</v>
      </c>
      <c r="AI1442">
        <v>93.187894448057307</v>
      </c>
      <c r="AJ1442">
        <v>95.234256235078107</v>
      </c>
      <c r="AK1442">
        <v>19.942759427808401</v>
      </c>
    </row>
    <row r="1443" spans="1:37" x14ac:dyDescent="0.2">
      <c r="A1443" t="str">
        <f>"20200111154053954"</f>
        <v>20200111154053954</v>
      </c>
      <c r="B1443" t="str">
        <f>"1578728453948004"</f>
        <v>1578728453948004</v>
      </c>
      <c r="C1443" t="s">
        <v>37</v>
      </c>
      <c r="D1443">
        <v>5.3227019999999996</v>
      </c>
      <c r="E1443">
        <v>0.4713022</v>
      </c>
      <c r="F1443" t="s">
        <v>44</v>
      </c>
      <c r="G1443">
        <v>-343.26859999999999</v>
      </c>
      <c r="H1443" s="1">
        <v>2.025835E-7</v>
      </c>
      <c r="I1443">
        <v>281.43900000000002</v>
      </c>
      <c r="J1443">
        <v>-323.56760000000003</v>
      </c>
      <c r="K1443">
        <v>1.1090249999999999</v>
      </c>
      <c r="L1443">
        <v>283.51949999999999</v>
      </c>
      <c r="M1443">
        <v>-0.99988089999999996</v>
      </c>
      <c r="N1443">
        <v>0</v>
      </c>
      <c r="O1443">
        <v>-1.3996389999999999E-2</v>
      </c>
      <c r="P1443">
        <v>-0.997386199999999</v>
      </c>
      <c r="Q1443">
        <v>6.6059770000000004E-2</v>
      </c>
      <c r="R1443">
        <v>-2.9275909999999999E-2</v>
      </c>
      <c r="S1443">
        <v>-3.0097659999999999</v>
      </c>
      <c r="T1443">
        <v>-0.16723199999999999</v>
      </c>
      <c r="U1443">
        <v>-0.31426999999999999</v>
      </c>
      <c r="V1443">
        <v>-1.530054E-2</v>
      </c>
      <c r="W1443">
        <v>7.2562600000000005E-2</v>
      </c>
      <c r="X1443">
        <v>0.99724650000000004</v>
      </c>
      <c r="Y1443">
        <v>-8.9805360000000001E-2</v>
      </c>
      <c r="Z1443">
        <v>-1.7114299999999999E-3</v>
      </c>
      <c r="AA1443">
        <v>0.99595789999999995</v>
      </c>
      <c r="AB1443">
        <v>47</v>
      </c>
      <c r="AC1443">
        <v>-19.700999999999901</v>
      </c>
      <c r="AD1443">
        <v>-1.1090247974165</v>
      </c>
      <c r="AE1443">
        <v>-2.08049999999997</v>
      </c>
      <c r="AF1443">
        <v>-1.7989098281586799</v>
      </c>
      <c r="AG1443">
        <v>-1.1090247974165</v>
      </c>
      <c r="AH1443">
        <v>19.666556591107199</v>
      </c>
      <c r="AI1443">
        <v>93.214181330935801</v>
      </c>
      <c r="AJ1443">
        <v>95.226330185787702</v>
      </c>
      <c r="AK1443">
        <v>19.7797740311246</v>
      </c>
    </row>
    <row r="1444" spans="1:37" x14ac:dyDescent="0.2">
      <c r="A1444" t="str">
        <f>"20200111154053967"</f>
        <v>20200111154053967</v>
      </c>
      <c r="B1444" t="str">
        <f>"1578728453957765"</f>
        <v>1578728453957765</v>
      </c>
      <c r="C1444" t="s">
        <v>37</v>
      </c>
      <c r="D1444">
        <v>5.5791779999999997</v>
      </c>
      <c r="E1444">
        <v>0.47131919999999999</v>
      </c>
      <c r="F1444" t="s">
        <v>44</v>
      </c>
      <c r="G1444">
        <v>-343.4984</v>
      </c>
      <c r="H1444" s="1">
        <v>3.2488149999999902E-7</v>
      </c>
      <c r="I1444">
        <v>281.43729999999999</v>
      </c>
      <c r="J1444">
        <v>-323.85379999999998</v>
      </c>
      <c r="K1444">
        <v>1.10902099999999</v>
      </c>
      <c r="L1444">
        <v>283.51549999999997</v>
      </c>
      <c r="M1444">
        <v>-0.99988120000000003</v>
      </c>
      <c r="N1444">
        <v>0</v>
      </c>
      <c r="O1444">
        <v>-1.3970410000000001E-2</v>
      </c>
      <c r="P1444">
        <v>-0.99738839999999995</v>
      </c>
      <c r="Q1444">
        <v>6.6043370000000004E-2</v>
      </c>
      <c r="R1444">
        <v>-2.9241E-2</v>
      </c>
      <c r="S1444">
        <v>-3.009735</v>
      </c>
      <c r="T1444">
        <v>-0.16747309999999899</v>
      </c>
      <c r="U1444">
        <v>-0.314422599999999</v>
      </c>
      <c r="V1444">
        <v>-1.5291519999999999E-2</v>
      </c>
      <c r="W1444">
        <v>7.2551649999999995E-2</v>
      </c>
      <c r="X1444">
        <v>0.99724740000000001</v>
      </c>
      <c r="Y1444">
        <v>-8.9881740000000002E-2</v>
      </c>
      <c r="Z1444">
        <v>-1.71746299999999E-3</v>
      </c>
      <c r="AA1444">
        <v>0.99595089999999997</v>
      </c>
      <c r="AB1444">
        <v>48</v>
      </c>
      <c r="AC1444">
        <v>-19.644600000000001</v>
      </c>
      <c r="AD1444">
        <v>-1.1090206751184899</v>
      </c>
      <c r="AE1444">
        <v>-2.0781999999999798</v>
      </c>
      <c r="AF1444">
        <v>-1.79788166694245</v>
      </c>
      <c r="AG1444">
        <v>-1.1090206751184899</v>
      </c>
      <c r="AH1444">
        <v>19.609910070905801</v>
      </c>
      <c r="AI1444">
        <v>93.223372656876606</v>
      </c>
      <c r="AJ1444">
        <v>95.238364351355301</v>
      </c>
      <c r="AK1444">
        <v>19.723358698131999</v>
      </c>
    </row>
    <row r="1445" spans="1:37" x14ac:dyDescent="0.2">
      <c r="A1445" t="str">
        <f>"20200111154053980"</f>
        <v>20200111154053980</v>
      </c>
      <c r="B1445" t="str">
        <f>"1578728453967525"</f>
        <v>1578728453967525</v>
      </c>
      <c r="C1445" t="s">
        <v>37</v>
      </c>
      <c r="D1445">
        <v>5.361923</v>
      </c>
      <c r="E1445">
        <v>0.47135349999999998</v>
      </c>
      <c r="F1445" t="s">
        <v>44</v>
      </c>
      <c r="G1445">
        <v>-343.64530000000002</v>
      </c>
      <c r="H1445" s="1">
        <v>4.03050599999999E-7</v>
      </c>
      <c r="I1445">
        <v>281.4504</v>
      </c>
      <c r="J1445">
        <v>-324.12459999999999</v>
      </c>
      <c r="K1445">
        <v>1.1090199999999999</v>
      </c>
      <c r="L1445">
        <v>283.51179999999999</v>
      </c>
      <c r="M1445">
        <v>-0.99988140000000003</v>
      </c>
      <c r="N1445">
        <v>0</v>
      </c>
      <c r="O1445">
        <v>-1.3945870000000001E-2</v>
      </c>
      <c r="P1445">
        <v>-0.99738680000000002</v>
      </c>
      <c r="Q1445">
        <v>6.5927739999999999E-2</v>
      </c>
      <c r="R1445">
        <v>-2.9547739999999999E-2</v>
      </c>
      <c r="S1445">
        <v>-3.0097959999999899</v>
      </c>
      <c r="T1445">
        <v>-0.16865429999999901</v>
      </c>
      <c r="U1445">
        <v>-0.31405640000000001</v>
      </c>
      <c r="V1445">
        <v>-1.562261E-2</v>
      </c>
      <c r="W1445">
        <v>7.2441320000000003E-2</v>
      </c>
      <c r="X1445">
        <v>0.99725030000000003</v>
      </c>
      <c r="Y1445">
        <v>-8.9782699999999993E-2</v>
      </c>
      <c r="Z1445">
        <v>-1.7281389999999901E-3</v>
      </c>
      <c r="AA1445">
        <v>0.99595990000000001</v>
      </c>
      <c r="AB1445">
        <v>48</v>
      </c>
      <c r="AC1445">
        <v>-19.520700000000001</v>
      </c>
      <c r="AD1445">
        <v>-1.1090195969494001</v>
      </c>
      <c r="AE1445">
        <v>-2.0613999999999901</v>
      </c>
      <c r="AF1445">
        <v>-1.7832682626199801</v>
      </c>
      <c r="AG1445">
        <v>-1.1090195969494001</v>
      </c>
      <c r="AH1445">
        <v>19.485351725856901</v>
      </c>
      <c r="AI1445">
        <v>93.243978955037704</v>
      </c>
      <c r="AJ1445">
        <v>95.229051829894601</v>
      </c>
      <c r="AK1445">
        <v>19.598186192687301</v>
      </c>
    </row>
    <row r="1446" spans="1:37" x14ac:dyDescent="0.2">
      <c r="A1446" t="str">
        <f>"20200111154053996"</f>
        <v>20200111154053996</v>
      </c>
      <c r="B1446" t="str">
        <f>"1578728453988023"</f>
        <v>1578728453988023</v>
      </c>
      <c r="C1446" t="s">
        <v>37</v>
      </c>
      <c r="D1446">
        <v>5.6228239999999996</v>
      </c>
      <c r="E1446">
        <v>0.47123759999999998</v>
      </c>
      <c r="F1446" t="s">
        <v>44</v>
      </c>
      <c r="G1446">
        <v>-343.85070000000002</v>
      </c>
      <c r="H1446" s="1">
        <v>5.123879E-7</v>
      </c>
      <c r="I1446">
        <v>281.44920000000002</v>
      </c>
      <c r="J1446">
        <v>-324.4821</v>
      </c>
      <c r="K1446">
        <v>1.1090120000000001</v>
      </c>
      <c r="L1446">
        <v>283.5068</v>
      </c>
      <c r="M1446">
        <v>-0.99988189999999999</v>
      </c>
      <c r="N1446">
        <v>0</v>
      </c>
      <c r="O1446">
        <v>-1.391322E-2</v>
      </c>
      <c r="P1446">
        <v>-0.99739999999999995</v>
      </c>
      <c r="Q1446">
        <v>6.5529530000000002E-2</v>
      </c>
      <c r="R1446">
        <v>-2.9991E-2</v>
      </c>
      <c r="S1446">
        <v>-3.0097049999999999</v>
      </c>
      <c r="T1446">
        <v>-0.16920779999999999</v>
      </c>
      <c r="U1446">
        <v>-0.31469730000000001</v>
      </c>
      <c r="V1446">
        <v>-1.609812E-2</v>
      </c>
      <c r="W1446">
        <v>7.2049429999999998E-2</v>
      </c>
      <c r="X1446">
        <v>0.99727109999999997</v>
      </c>
      <c r="Y1446">
        <v>-9.0026919999999996E-2</v>
      </c>
      <c r="Z1446">
        <v>-1.742504E-3</v>
      </c>
      <c r="AA1446">
        <v>0.99593779999999998</v>
      </c>
      <c r="AB1446">
        <v>48</v>
      </c>
      <c r="AC1446">
        <v>-19.368600000000001</v>
      </c>
      <c r="AD1446">
        <v>-1.1090114876121</v>
      </c>
      <c r="AE1446">
        <v>-2.0575999999999701</v>
      </c>
      <c r="AF1446">
        <v>-1.7821379529621799</v>
      </c>
      <c r="AG1446">
        <v>-1.1090114876121</v>
      </c>
      <c r="AH1446">
        <v>19.332678690295602</v>
      </c>
      <c r="AI1446">
        <v>93.269320541804305</v>
      </c>
      <c r="AJ1446">
        <v>95.266793184156697</v>
      </c>
      <c r="AK1446">
        <v>19.446294955730099</v>
      </c>
    </row>
    <row r="1447" spans="1:37" x14ac:dyDescent="0.2">
      <c r="A1447" t="str">
        <f>"20200111154054009"</f>
        <v>20200111154054009</v>
      </c>
      <c r="B1447" t="str">
        <f>"1578728453997781"</f>
        <v>1578728453997781</v>
      </c>
      <c r="C1447" t="s">
        <v>37</v>
      </c>
      <c r="D1447">
        <v>5.5809870000000004</v>
      </c>
      <c r="E1447">
        <v>0.47112789999999999</v>
      </c>
      <c r="F1447" t="s">
        <v>44</v>
      </c>
      <c r="G1447">
        <v>-343.95310000000001</v>
      </c>
      <c r="H1447" s="1">
        <v>5.6684869999999997E-7</v>
      </c>
      <c r="I1447">
        <v>281.45639999999997</v>
      </c>
      <c r="J1447">
        <v>-324.75099999999998</v>
      </c>
      <c r="K1447">
        <v>1.1090070000000001</v>
      </c>
      <c r="L1447">
        <v>283.50310000000002</v>
      </c>
      <c r="M1447">
        <v>-0.99988220000000005</v>
      </c>
      <c r="N1447">
        <v>0</v>
      </c>
      <c r="O1447">
        <v>-1.38888E-2</v>
      </c>
      <c r="P1447">
        <v>-0.99740629999999997</v>
      </c>
      <c r="Q1447">
        <v>6.536604E-2</v>
      </c>
      <c r="R1447">
        <v>-3.0134560000000001E-2</v>
      </c>
      <c r="S1447">
        <v>-3.0095830000000001</v>
      </c>
      <c r="T1447">
        <v>-0.17141679999999901</v>
      </c>
      <c r="U1447">
        <v>-0.31692500000000001</v>
      </c>
      <c r="V1447">
        <v>-1.6265689999999999E-2</v>
      </c>
      <c r="W1447">
        <v>7.1891049999999998E-2</v>
      </c>
      <c r="X1447">
        <v>0.99727980000000005</v>
      </c>
      <c r="Y1447">
        <v>-9.0780219999999995E-2</v>
      </c>
      <c r="Z1447">
        <v>-1.787982E-3</v>
      </c>
      <c r="AA1447">
        <v>0.99586929999999996</v>
      </c>
      <c r="AB1447">
        <v>48</v>
      </c>
      <c r="AC1447">
        <v>-19.202100000000002</v>
      </c>
      <c r="AD1447">
        <v>-1.1090064331513001</v>
      </c>
      <c r="AE1447">
        <v>-2.0467000000000399</v>
      </c>
      <c r="AF1447">
        <v>-1.77395207917785</v>
      </c>
      <c r="AG1447">
        <v>-1.1090064331513001</v>
      </c>
      <c r="AH1447">
        <v>19.1654648903469</v>
      </c>
      <c r="AI1447">
        <v>93.297653187351003</v>
      </c>
      <c r="AJ1447">
        <v>95.288219722797393</v>
      </c>
      <c r="AK1447">
        <v>19.2793113391301</v>
      </c>
    </row>
    <row r="1448" spans="1:37" x14ac:dyDescent="0.2">
      <c r="A1448" t="str">
        <f>"20200111154054023"</f>
        <v>20200111154054023</v>
      </c>
      <c r="B1448" t="str">
        <f>"1578728454017301"</f>
        <v>1578728454017301</v>
      </c>
      <c r="C1448" t="s">
        <v>37</v>
      </c>
      <c r="D1448">
        <v>5.3449410000000004</v>
      </c>
      <c r="E1448">
        <v>0.47088289999999999</v>
      </c>
      <c r="F1448" t="s">
        <v>44</v>
      </c>
      <c r="G1448">
        <v>-344.21440000000001</v>
      </c>
      <c r="H1448" s="1">
        <v>7.0589090000000001E-7</v>
      </c>
      <c r="I1448">
        <v>281.44510000000002</v>
      </c>
      <c r="J1448">
        <v>-325.03820000000002</v>
      </c>
      <c r="K1448">
        <v>1.109003</v>
      </c>
      <c r="L1448">
        <v>283.4991</v>
      </c>
      <c r="M1448">
        <v>-0.99988259999999995</v>
      </c>
      <c r="N1448">
        <v>0</v>
      </c>
      <c r="O1448">
        <v>-1.386271E-2</v>
      </c>
      <c r="P1448">
        <v>-0.99742629999999999</v>
      </c>
      <c r="Q1448">
        <v>6.5012219999999996E-2</v>
      </c>
      <c r="R1448">
        <v>-3.023692E-2</v>
      </c>
      <c r="S1448">
        <v>-3.0094599999999998</v>
      </c>
      <c r="T1448">
        <v>-0.17147670000000001</v>
      </c>
      <c r="U1448">
        <v>-0.31820679999999901</v>
      </c>
      <c r="V1448">
        <v>-1.6394019999999999E-2</v>
      </c>
      <c r="W1448">
        <v>7.1542910000000001E-2</v>
      </c>
      <c r="X1448">
        <v>0.99730280000000004</v>
      </c>
      <c r="Y1448">
        <v>-9.1229039999999997E-2</v>
      </c>
      <c r="Z1448">
        <v>-1.802861E-3</v>
      </c>
      <c r="AA1448">
        <v>0.9958283</v>
      </c>
      <c r="AB1448">
        <v>48</v>
      </c>
      <c r="AC1448">
        <v>-19.176199999999898</v>
      </c>
      <c r="AD1448">
        <v>-1.1090022941091</v>
      </c>
      <c r="AE1448">
        <v>-2.0539999999999701</v>
      </c>
      <c r="AF1448">
        <v>-1.78207020964422</v>
      </c>
      <c r="AG1448">
        <v>-1.1090022941091</v>
      </c>
      <c r="AH1448">
        <v>19.1395444772186</v>
      </c>
      <c r="AI1448">
        <v>93.301930341662299</v>
      </c>
      <c r="AJ1448">
        <v>95.319435148410605</v>
      </c>
      <c r="AK1448">
        <v>19.254293628068201</v>
      </c>
    </row>
    <row r="1449" spans="1:37" x14ac:dyDescent="0.2">
      <c r="A1449" t="str">
        <f>"20200111154054035"</f>
        <v>20200111154054035</v>
      </c>
      <c r="B1449" t="str">
        <f>"1578728454028037"</f>
        <v>1578728454028037</v>
      </c>
      <c r="C1449" t="s">
        <v>37</v>
      </c>
      <c r="D1449">
        <v>5.3317779999999999</v>
      </c>
      <c r="E1449">
        <v>0.47075270000000002</v>
      </c>
      <c r="F1449" t="s">
        <v>44</v>
      </c>
      <c r="G1449">
        <v>-344.59519999999998</v>
      </c>
      <c r="H1449" s="1">
        <v>9.0857749999999998E-7</v>
      </c>
      <c r="I1449">
        <v>281.41649999999998</v>
      </c>
      <c r="J1449">
        <v>-325.32510000000002</v>
      </c>
      <c r="K1449">
        <v>1.1089990000000001</v>
      </c>
      <c r="L1449">
        <v>283.49509999999998</v>
      </c>
      <c r="M1449">
        <v>-0.99988290000000002</v>
      </c>
      <c r="N1449">
        <v>0</v>
      </c>
      <c r="O1449">
        <v>-1.3836609999999999E-2</v>
      </c>
      <c r="P1449">
        <v>-0.9974324</v>
      </c>
      <c r="Q1449">
        <v>6.4843010000000006E-2</v>
      </c>
      <c r="R1449">
        <v>-3.0399160000000001E-2</v>
      </c>
      <c r="S1449">
        <v>-3.0091549999999998</v>
      </c>
      <c r="T1449">
        <v>-0.1706375</v>
      </c>
      <c r="U1449">
        <v>-0.32043459999999901</v>
      </c>
      <c r="V1449">
        <v>-1.658254E-2</v>
      </c>
      <c r="W1449">
        <v>7.1379300000000007E-2</v>
      </c>
      <c r="X1449">
        <v>0.99731139999999996</v>
      </c>
      <c r="Y1449">
        <v>-9.1994519999999996E-2</v>
      </c>
      <c r="Z1449">
        <v>-1.817262E-3</v>
      </c>
      <c r="AA1449">
        <v>0.99575789999999997</v>
      </c>
      <c r="AB1449">
        <v>48</v>
      </c>
      <c r="AC1449">
        <v>-19.2700999999999</v>
      </c>
      <c r="AD1449">
        <v>-1.1089980914224999</v>
      </c>
      <c r="AE1449">
        <v>-2.07859999999999</v>
      </c>
      <c r="AF1449">
        <v>-1.8058502185730501</v>
      </c>
      <c r="AG1449">
        <v>-1.1089980914224999</v>
      </c>
      <c r="AH1449">
        <v>19.234045609538601</v>
      </c>
      <c r="AI1449">
        <v>93.285493753497406</v>
      </c>
      <c r="AJ1449">
        <v>95.3636751095287</v>
      </c>
      <c r="AK1449">
        <v>19.3504388138489</v>
      </c>
    </row>
    <row r="1450" spans="1:37" x14ac:dyDescent="0.2">
      <c r="A1450" t="str">
        <f>"20200111154054052"</f>
        <v>20200111154054052</v>
      </c>
      <c r="B1450" t="str">
        <f>"1578728454047557"</f>
        <v>1578728454047557</v>
      </c>
      <c r="C1450" t="s">
        <v>37</v>
      </c>
      <c r="D1450">
        <v>5.3056900000000002</v>
      </c>
      <c r="E1450">
        <v>0.47066069999999999</v>
      </c>
      <c r="F1450" t="s">
        <v>44</v>
      </c>
      <c r="G1450">
        <v>-344.76740000000001</v>
      </c>
      <c r="H1450" s="1">
        <v>1.000187E-6</v>
      </c>
      <c r="I1450">
        <v>281.4144</v>
      </c>
      <c r="J1450">
        <v>-325.65780000000001</v>
      </c>
      <c r="K1450">
        <v>1.1089979999999999</v>
      </c>
      <c r="L1450">
        <v>283.4905</v>
      </c>
      <c r="M1450">
        <v>-0.99988319999999997</v>
      </c>
      <c r="N1450">
        <v>0</v>
      </c>
      <c r="O1450">
        <v>-1.3806000000000001E-2</v>
      </c>
      <c r="P1450">
        <v>-0.99745069999999902</v>
      </c>
      <c r="Q1450">
        <v>6.4577090000000004E-2</v>
      </c>
      <c r="R1450">
        <v>-3.03630999999999E-2</v>
      </c>
      <c r="S1450">
        <v>-3.0090330000000001</v>
      </c>
      <c r="T1450">
        <v>-0.17163639999999999</v>
      </c>
      <c r="U1450">
        <v>-0.32202150000000002</v>
      </c>
      <c r="V1450">
        <v>-1.6576190000000001E-2</v>
      </c>
      <c r="W1450">
        <v>7.1119119999999994E-2</v>
      </c>
      <c r="X1450">
        <v>0.9973301</v>
      </c>
      <c r="Y1450">
        <v>-9.2546089999999998E-2</v>
      </c>
      <c r="Z1450">
        <v>-1.8453199999999999E-3</v>
      </c>
      <c r="AA1450">
        <v>0.99570669999999994</v>
      </c>
      <c r="AB1450">
        <v>48</v>
      </c>
      <c r="AC1450">
        <v>-19.1096</v>
      </c>
      <c r="AD1450">
        <v>-1.10899699981299</v>
      </c>
      <c r="AE1450">
        <v>-2.0760999999999901</v>
      </c>
      <c r="AF1450">
        <v>-1.80605767324942</v>
      </c>
      <c r="AG1450">
        <v>-1.10899699981299</v>
      </c>
      <c r="AH1450">
        <v>19.072955653436299</v>
      </c>
      <c r="AI1450">
        <v>93.312929832871504</v>
      </c>
      <c r="AJ1450">
        <v>95.409326771218502</v>
      </c>
      <c r="AK1450">
        <v>19.190345385704902</v>
      </c>
    </row>
    <row r="1451" spans="1:37" x14ac:dyDescent="0.2">
      <c r="A1451" t="str">
        <f>"20200111154054066"</f>
        <v>20200111154054066</v>
      </c>
      <c r="B1451" t="str">
        <f>"1578728454057316"</f>
        <v>1578728454057316</v>
      </c>
      <c r="C1451" t="s">
        <v>37</v>
      </c>
      <c r="D1451">
        <v>5.5641930000000004</v>
      </c>
      <c r="E1451">
        <v>0.47064499999999998</v>
      </c>
      <c r="F1451" t="s">
        <v>44</v>
      </c>
      <c r="G1451">
        <v>-344.98140000000001</v>
      </c>
      <c r="H1451" s="1">
        <v>1.114067E-6</v>
      </c>
      <c r="I1451">
        <v>281.4194</v>
      </c>
      <c r="J1451">
        <v>-325.9597</v>
      </c>
      <c r="K1451">
        <v>1.108995</v>
      </c>
      <c r="L1451">
        <v>283.4864</v>
      </c>
      <c r="M1451">
        <v>-0.99988369999999904</v>
      </c>
      <c r="N1451">
        <v>0</v>
      </c>
      <c r="O1451">
        <v>-1.377836E-2</v>
      </c>
      <c r="P1451">
        <v>-0.99746619999999997</v>
      </c>
      <c r="Q1451">
        <v>6.4491389999999996E-2</v>
      </c>
      <c r="R1451">
        <v>-3.0038559999999999E-2</v>
      </c>
      <c r="S1451">
        <v>-3.0090029999999999</v>
      </c>
      <c r="T1451">
        <v>-0.17268929999999999</v>
      </c>
      <c r="U1451">
        <v>-0.32250980000000001</v>
      </c>
      <c r="V1451">
        <v>-1.627953E-2</v>
      </c>
      <c r="W1451">
        <v>7.1039229999999995E-2</v>
      </c>
      <c r="X1451">
        <v>0.99734069999999997</v>
      </c>
      <c r="Y1451">
        <v>-9.2732540000000002E-2</v>
      </c>
      <c r="Z1451">
        <v>-1.863534E-3</v>
      </c>
      <c r="AA1451">
        <v>0.9956893</v>
      </c>
      <c r="AB1451">
        <v>48</v>
      </c>
      <c r="AC1451">
        <v>-19.021699999999999</v>
      </c>
      <c r="AD1451">
        <v>-1.108993885933</v>
      </c>
      <c r="AE1451">
        <v>-2.0670000000000002</v>
      </c>
      <c r="AF1451">
        <v>-1.7986679060046999</v>
      </c>
      <c r="AG1451">
        <v>-1.108993885933</v>
      </c>
      <c r="AH1451">
        <v>18.984597923896601</v>
      </c>
      <c r="AI1451">
        <v>93.328288852187399</v>
      </c>
      <c r="AJ1451">
        <v>95.4122491801309</v>
      </c>
      <c r="AK1451">
        <v>19.101833210641001</v>
      </c>
    </row>
    <row r="1452" spans="1:37" x14ac:dyDescent="0.2">
      <c r="A1452" t="str">
        <f>"20200111154054077"</f>
        <v>20200111154054077</v>
      </c>
      <c r="B1452" t="str">
        <f>"1578728454068053"</f>
        <v>1578728454068053</v>
      </c>
      <c r="C1452" t="s">
        <v>37</v>
      </c>
      <c r="D1452">
        <v>5.320862</v>
      </c>
      <c r="E1452">
        <v>0.47067730000000002</v>
      </c>
      <c r="F1452" t="s">
        <v>44</v>
      </c>
      <c r="G1452">
        <v>-345.19959999999998</v>
      </c>
      <c r="H1452" s="1">
        <v>1.230172E-6</v>
      </c>
      <c r="I1452">
        <v>281.42860000000002</v>
      </c>
      <c r="J1452">
        <v>-326.2294</v>
      </c>
      <c r="K1452">
        <v>1.108994</v>
      </c>
      <c r="L1452">
        <v>283.48270000000002</v>
      </c>
      <c r="M1452">
        <v>-0.99988379999999999</v>
      </c>
      <c r="N1452">
        <v>0</v>
      </c>
      <c r="O1452">
        <v>-1.3753690000000001E-2</v>
      </c>
      <c r="P1452">
        <v>-0.99745169999999905</v>
      </c>
      <c r="Q1452">
        <v>6.4648319999999995E-2</v>
      </c>
      <c r="R1452">
        <v>-3.0174659999999999E-2</v>
      </c>
      <c r="S1452">
        <v>-3.0091549999999998</v>
      </c>
      <c r="T1452">
        <v>-0.17344860000000001</v>
      </c>
      <c r="U1452">
        <v>-0.32183840000000002</v>
      </c>
      <c r="V1452">
        <v>-1.6440079999999999E-2</v>
      </c>
      <c r="W1452">
        <v>7.1200940000000004E-2</v>
      </c>
      <c r="X1452">
        <v>0.99732649999999901</v>
      </c>
      <c r="Y1452">
        <v>-9.2531269999999999E-2</v>
      </c>
      <c r="Z1452">
        <v>-1.8672789999999999E-3</v>
      </c>
      <c r="AA1452">
        <v>0.99570800000000004</v>
      </c>
      <c r="AB1452">
        <v>48</v>
      </c>
      <c r="AC1452">
        <v>-18.970199999999899</v>
      </c>
      <c r="AD1452">
        <v>-1.108992769828</v>
      </c>
      <c r="AE1452">
        <v>-2.0541</v>
      </c>
      <c r="AF1452">
        <v>-1.78695359965793</v>
      </c>
      <c r="AG1452">
        <v>-1.108992769828</v>
      </c>
      <c r="AH1452">
        <v>18.932704219684599</v>
      </c>
      <c r="AI1452">
        <v>93.3374996581434</v>
      </c>
      <c r="AJ1452">
        <v>95.391859684859696</v>
      </c>
      <c r="AK1452">
        <v>19.0491563382982</v>
      </c>
    </row>
    <row r="1453" spans="1:37" x14ac:dyDescent="0.2">
      <c r="A1453" t="str">
        <f>"20200111154054090"</f>
        <v>20200111154054090</v>
      </c>
      <c r="B1453" t="str">
        <f>"1578728454087572"</f>
        <v>1578728454087572</v>
      </c>
      <c r="C1453" t="s">
        <v>37</v>
      </c>
      <c r="D1453">
        <v>5.4558929999999997</v>
      </c>
      <c r="E1453">
        <v>0.47045579999999998</v>
      </c>
      <c r="F1453" t="s">
        <v>44</v>
      </c>
      <c r="G1453">
        <v>-345.50439999999998</v>
      </c>
      <c r="H1453" s="1">
        <v>1.3923899999999999E-6</v>
      </c>
      <c r="I1453">
        <v>281.41980000000001</v>
      </c>
      <c r="J1453">
        <v>-326.48250000000002</v>
      </c>
      <c r="K1453">
        <v>1.1089910000000001</v>
      </c>
      <c r="L1453">
        <v>283.47919999999999</v>
      </c>
      <c r="M1453">
        <v>-0.99988410000000005</v>
      </c>
      <c r="N1453">
        <v>0</v>
      </c>
      <c r="O1453">
        <v>-1.3730579999999999E-2</v>
      </c>
      <c r="P1453">
        <v>-0.99746380000000001</v>
      </c>
      <c r="Q1453">
        <v>6.453238E-2</v>
      </c>
      <c r="R1453">
        <v>-3.0025030000000001E-2</v>
      </c>
      <c r="S1453">
        <v>-3.0091549999999998</v>
      </c>
      <c r="T1453">
        <v>-0.17313210000000001</v>
      </c>
      <c r="U1453">
        <v>-0.322052</v>
      </c>
      <c r="V1453">
        <v>-1.6313709999999999E-2</v>
      </c>
      <c r="W1453">
        <v>7.1090109999999998E-2</v>
      </c>
      <c r="X1453">
        <v>0.99733649999999996</v>
      </c>
      <c r="Y1453">
        <v>-9.2624449999999997E-2</v>
      </c>
      <c r="Z1453">
        <v>-1.867865E-3</v>
      </c>
      <c r="AA1453">
        <v>0.99569929999999995</v>
      </c>
      <c r="AB1453">
        <v>48</v>
      </c>
      <c r="AC1453">
        <v>-19.021899999999899</v>
      </c>
      <c r="AD1453">
        <v>-1.1089896076100001</v>
      </c>
      <c r="AE1453">
        <v>-2.0593999999999801</v>
      </c>
      <c r="AF1453">
        <v>-1.79199810622738</v>
      </c>
      <c r="AG1453">
        <v>-1.1089896076100001</v>
      </c>
      <c r="AH1453">
        <v>18.984603630861901</v>
      </c>
      <c r="AI1453">
        <v>93.328384406232203</v>
      </c>
      <c r="AJ1453">
        <v>95.392296445320994</v>
      </c>
      <c r="AK1453">
        <v>19.101211746469001</v>
      </c>
    </row>
    <row r="1454" spans="1:37" x14ac:dyDescent="0.2">
      <c r="A1454" t="str">
        <f>"20200111154054103"</f>
        <v>20200111154054103</v>
      </c>
      <c r="B1454" t="str">
        <f>"1578728454097333"</f>
        <v>1578728454097333</v>
      </c>
      <c r="C1454" t="s">
        <v>37</v>
      </c>
      <c r="D1454">
        <v>5.3687449999999997</v>
      </c>
      <c r="E1454">
        <v>0.47045579999999998</v>
      </c>
      <c r="F1454" t="s">
        <v>44</v>
      </c>
      <c r="G1454">
        <v>-345.58589999999998</v>
      </c>
      <c r="H1454" s="1">
        <v>1.435751E-6</v>
      </c>
      <c r="I1454">
        <v>281.42689999999999</v>
      </c>
      <c r="J1454">
        <v>-326.75779999999997</v>
      </c>
      <c r="K1454">
        <v>1.1089879999999901</v>
      </c>
      <c r="L1454">
        <v>283.47539999999998</v>
      </c>
      <c r="M1454">
        <v>-0.99988449999999995</v>
      </c>
      <c r="N1454">
        <v>0</v>
      </c>
      <c r="O1454">
        <v>-1.3705439999999999E-2</v>
      </c>
      <c r="P1454">
        <v>-0.99746299999999899</v>
      </c>
      <c r="Q1454">
        <v>6.4666029999999999E-2</v>
      </c>
      <c r="R1454">
        <v>-2.976386E-2</v>
      </c>
      <c r="S1454">
        <v>-3.0092159999999999</v>
      </c>
      <c r="T1454">
        <v>-0.1746907</v>
      </c>
      <c r="U1454">
        <v>-0.32327270000000002</v>
      </c>
      <c r="V1454">
        <v>-1.6077669999999999E-2</v>
      </c>
      <c r="W1454">
        <v>7.1228050000000001E-2</v>
      </c>
      <c r="X1454">
        <v>0.99733050000000001</v>
      </c>
      <c r="Y1454">
        <v>-9.3043600000000004E-2</v>
      </c>
      <c r="Z1454">
        <v>-1.898149E-3</v>
      </c>
      <c r="AA1454">
        <v>0.995660199999999</v>
      </c>
      <c r="AB1454">
        <v>48</v>
      </c>
      <c r="AC1454">
        <v>-18.828099999999999</v>
      </c>
      <c r="AD1454">
        <v>-1.10898656424899</v>
      </c>
      <c r="AE1454">
        <v>-2.04849999999999</v>
      </c>
      <c r="AF1454">
        <v>-1.7841373640247999</v>
      </c>
      <c r="AG1454">
        <v>-1.10898656424899</v>
      </c>
      <c r="AH1454">
        <v>18.789982599630701</v>
      </c>
      <c r="AI1454">
        <v>93.3625948210328</v>
      </c>
      <c r="AJ1454">
        <v>95.4240594964011</v>
      </c>
      <c r="AK1454">
        <v>18.907047454000299</v>
      </c>
    </row>
    <row r="1455" spans="1:37" x14ac:dyDescent="0.2">
      <c r="A1455" t="str">
        <f>"20200111154054119"</f>
        <v>20200111154054119</v>
      </c>
      <c r="B1455" t="str">
        <f>"1578728454108069"</f>
        <v>1578728454108069</v>
      </c>
      <c r="C1455" t="s">
        <v>37</v>
      </c>
      <c r="D1455">
        <v>5.3283440000000004</v>
      </c>
      <c r="E1455">
        <v>0.48594019999999999</v>
      </c>
      <c r="F1455" t="s">
        <v>44</v>
      </c>
      <c r="G1455">
        <v>-345.90469999999999</v>
      </c>
      <c r="H1455" s="1">
        <v>1.605404E-6</v>
      </c>
      <c r="I1455">
        <v>281.42320000000001</v>
      </c>
      <c r="J1455">
        <v>-327.11689999999999</v>
      </c>
      <c r="K1455">
        <v>1.1089879999999901</v>
      </c>
      <c r="L1455">
        <v>283.47050000000002</v>
      </c>
      <c r="M1455">
        <v>-0.99988500000000002</v>
      </c>
      <c r="N1455">
        <v>0</v>
      </c>
      <c r="O1455">
        <v>-1.367327E-2</v>
      </c>
      <c r="P1455">
        <v>-0.99747469999999905</v>
      </c>
      <c r="Q1455">
        <v>6.4644839999999995E-2</v>
      </c>
      <c r="R1455">
        <v>-2.9417430000000001E-2</v>
      </c>
      <c r="S1455">
        <v>-3.0093079999999999</v>
      </c>
      <c r="T1455">
        <v>-0.17429819999999999</v>
      </c>
      <c r="U1455">
        <v>-0.3225403</v>
      </c>
      <c r="V1455">
        <v>-1.576286E-2</v>
      </c>
      <c r="W1455">
        <v>7.1213780000000004E-2</v>
      </c>
      <c r="X1455">
        <v>0.99733649999999996</v>
      </c>
      <c r="Y1455">
        <v>-9.2833719999999995E-2</v>
      </c>
      <c r="Z1455">
        <v>-1.8896589999999999E-3</v>
      </c>
      <c r="AA1455">
        <v>0.99567989999999995</v>
      </c>
      <c r="AB1455">
        <v>48</v>
      </c>
      <c r="AC1455">
        <v>-18.787800000000001</v>
      </c>
      <c r="AD1455">
        <v>-1.1089863945959999</v>
      </c>
      <c r="AE1455">
        <v>-2.0472999999999999</v>
      </c>
      <c r="AF1455">
        <v>-1.7840693404124801</v>
      </c>
      <c r="AG1455">
        <v>-1.1089863945959999</v>
      </c>
      <c r="AH1455">
        <v>18.749477518218502</v>
      </c>
      <c r="AI1455">
        <v>93.369778086027694</v>
      </c>
      <c r="AJ1455">
        <v>95.435501146881407</v>
      </c>
      <c r="AK1455">
        <v>18.8667872580622</v>
      </c>
    </row>
    <row r="1456" spans="1:37" x14ac:dyDescent="0.2">
      <c r="A1456" t="str">
        <f>"20200111154054135"</f>
        <v>20200111154054135</v>
      </c>
      <c r="B1456" t="str">
        <f>"1578728454127589"</f>
        <v>1578728454127589</v>
      </c>
      <c r="C1456" t="s">
        <v>37</v>
      </c>
      <c r="D1456">
        <v>5.2613490000000001</v>
      </c>
      <c r="E1456">
        <v>0.48782910000000002</v>
      </c>
      <c r="F1456" t="s">
        <v>44</v>
      </c>
      <c r="G1456">
        <v>-343.3152</v>
      </c>
      <c r="H1456" s="1">
        <v>2.273802E-7</v>
      </c>
      <c r="I1456">
        <v>282.40800000000002</v>
      </c>
      <c r="J1456">
        <v>-327.44810000000001</v>
      </c>
      <c r="K1456">
        <v>1.108986</v>
      </c>
      <c r="L1456">
        <v>283.46600000000001</v>
      </c>
      <c r="M1456">
        <v>-0.99988529999999998</v>
      </c>
      <c r="N1456">
        <v>0</v>
      </c>
      <c r="O1456">
        <v>-1.364337E-2</v>
      </c>
      <c r="P1456">
        <v>-0.9974712</v>
      </c>
      <c r="Q1456">
        <v>6.4791689999999999E-2</v>
      </c>
      <c r="R1456">
        <v>-2.9213119999999999E-2</v>
      </c>
      <c r="S1456">
        <v>-3.01513699999999</v>
      </c>
      <c r="T1456">
        <v>-0.2064261</v>
      </c>
      <c r="U1456">
        <v>-0.1977844</v>
      </c>
      <c r="V1456">
        <v>-1.5588629999999999E-2</v>
      </c>
      <c r="W1456">
        <v>7.1366929999999995E-2</v>
      </c>
      <c r="X1456">
        <v>0.99732829999999995</v>
      </c>
      <c r="Y1456">
        <v>-5.17472E-2</v>
      </c>
      <c r="Z1456">
        <v>-8.3555390000000004E-4</v>
      </c>
      <c r="AA1456">
        <v>0.99865979999999999</v>
      </c>
      <c r="AB1456">
        <v>48</v>
      </c>
      <c r="AC1456">
        <v>-15.867099999999899</v>
      </c>
      <c r="AD1456">
        <v>-1.1089857726198</v>
      </c>
      <c r="AE1456">
        <v>-1.0579999999999901</v>
      </c>
      <c r="AF1456">
        <v>-0.83734387862530102</v>
      </c>
      <c r="AG1456">
        <v>-1.1089857726198</v>
      </c>
      <c r="AH1456">
        <v>15.8032025377126</v>
      </c>
      <c r="AI1456">
        <v>94.008531748165296</v>
      </c>
      <c r="AJ1456">
        <v>93.033021190023504</v>
      </c>
      <c r="AK1456">
        <v>15.864179924058799</v>
      </c>
    </row>
    <row r="1457" spans="1:37" x14ac:dyDescent="0.2">
      <c r="A1457" t="str">
        <f>"20200111154054152"</f>
        <v>20200111154054152</v>
      </c>
      <c r="B1457" t="str">
        <f>"1578728454148087"</f>
        <v>1578728454148087</v>
      </c>
      <c r="C1457" t="s">
        <v>37</v>
      </c>
      <c r="D1457">
        <v>5.5440110000000002</v>
      </c>
      <c r="E1457">
        <v>0.48690230000000001</v>
      </c>
      <c r="F1457" t="s">
        <v>44</v>
      </c>
      <c r="G1457">
        <v>-344.89240000000001</v>
      </c>
      <c r="H1457" s="1">
        <v>1.0667069999999899E-6</v>
      </c>
      <c r="I1457">
        <v>282.41109999999998</v>
      </c>
      <c r="J1457">
        <v>-327.83510000000001</v>
      </c>
      <c r="K1457">
        <v>1.108981</v>
      </c>
      <c r="L1457">
        <v>283.46080000000001</v>
      </c>
      <c r="M1457">
        <v>-0.99988559999999904</v>
      </c>
      <c r="N1457">
        <v>0</v>
      </c>
      <c r="O1457">
        <v>-1.3607630000000001E-2</v>
      </c>
      <c r="P1457">
        <v>-0.99746069999999998</v>
      </c>
      <c r="Q1457">
        <v>6.5013329999999994E-2</v>
      </c>
      <c r="R1457">
        <v>-2.9076330000000001E-2</v>
      </c>
      <c r="S1457">
        <v>-3.0147400000000002</v>
      </c>
      <c r="T1457">
        <v>-0.1916552</v>
      </c>
      <c r="U1457">
        <v>-0.182312</v>
      </c>
      <c r="V1457">
        <v>-1.5487559999999999E-2</v>
      </c>
      <c r="W1457">
        <v>7.1595229999999996E-2</v>
      </c>
      <c r="X1457">
        <v>0.99731349999999996</v>
      </c>
      <c r="Y1457">
        <v>-4.6708010000000001E-2</v>
      </c>
      <c r="Z1457">
        <v>-6.1850529999999998E-4</v>
      </c>
      <c r="AA1457">
        <v>0.99890840000000003</v>
      </c>
      <c r="AB1457">
        <v>48</v>
      </c>
      <c r="AC1457">
        <v>-17.057299999999898</v>
      </c>
      <c r="AD1457">
        <v>-1.1089799332929999</v>
      </c>
      <c r="AE1457">
        <v>-1.0497000000000201</v>
      </c>
      <c r="AF1457">
        <v>-0.814060308993802</v>
      </c>
      <c r="AG1457">
        <v>-1.1089799332929999</v>
      </c>
      <c r="AH1457">
        <v>16.998424513908901</v>
      </c>
      <c r="AI1457">
        <v>93.728434984640998</v>
      </c>
      <c r="AJ1457">
        <v>92.7418194661158</v>
      </c>
      <c r="AK1457">
        <v>17.054001484525099</v>
      </c>
    </row>
    <row r="1458" spans="1:37" x14ac:dyDescent="0.2">
      <c r="A1458" t="str">
        <f>"20200111154054166"</f>
        <v>20200111154054166</v>
      </c>
      <c r="B1458" t="str">
        <f>"1578728454157844"</f>
        <v>1578728454157844</v>
      </c>
      <c r="C1458" t="s">
        <v>37</v>
      </c>
      <c r="D1458">
        <v>5.2568849999999996</v>
      </c>
      <c r="E1458">
        <v>0.48658879999999999</v>
      </c>
      <c r="F1458" t="s">
        <v>44</v>
      </c>
      <c r="G1458">
        <v>-346.3766</v>
      </c>
      <c r="H1458" s="1">
        <v>1.856509E-6</v>
      </c>
      <c r="I1458">
        <v>282.29689999999999</v>
      </c>
      <c r="J1458">
        <v>-328.13639999999998</v>
      </c>
      <c r="K1458">
        <v>1.1089799999999901</v>
      </c>
      <c r="L1458">
        <v>283.45670000000001</v>
      </c>
      <c r="M1458">
        <v>-0.99988619999999995</v>
      </c>
      <c r="N1458">
        <v>0</v>
      </c>
      <c r="O1458">
        <v>-1.357939E-2</v>
      </c>
      <c r="P1458">
        <v>-0.99746449999999998</v>
      </c>
      <c r="Q1458">
        <v>6.502616E-2</v>
      </c>
      <c r="R1458">
        <v>-2.8918989999999999E-2</v>
      </c>
      <c r="S1458">
        <v>-3.0138849999999899</v>
      </c>
      <c r="T1458">
        <v>-0.1802628</v>
      </c>
      <c r="U1458">
        <v>-0.1891785</v>
      </c>
      <c r="V1458">
        <v>-1.5358190000000001E-2</v>
      </c>
      <c r="W1458">
        <v>7.1613300000000005E-2</v>
      </c>
      <c r="X1458">
        <v>0.99731419999999904</v>
      </c>
      <c r="Y1458">
        <v>-4.9023820000000003E-2</v>
      </c>
      <c r="Z1458">
        <v>-6.5274549999999999E-4</v>
      </c>
      <c r="AA1458">
        <v>0.99879739999999995</v>
      </c>
      <c r="AB1458">
        <v>49</v>
      </c>
      <c r="AC1458">
        <v>-18.240200000000002</v>
      </c>
      <c r="AD1458">
        <v>-1.10897814349099</v>
      </c>
      <c r="AE1458">
        <v>-1.1598000000000099</v>
      </c>
      <c r="AF1458">
        <v>-0.90865164343413996</v>
      </c>
      <c r="AG1458">
        <v>-1.10897814349099</v>
      </c>
      <c r="AH1458">
        <v>18.187309752715599</v>
      </c>
      <c r="AI1458">
        <v>93.484975913736093</v>
      </c>
      <c r="AJ1458">
        <v>92.860161994720002</v>
      </c>
      <c r="AK1458">
        <v>18.243730878663001</v>
      </c>
    </row>
    <row r="1459" spans="1:37" x14ac:dyDescent="0.2">
      <c r="A1459" t="str">
        <f>"20200111154054180"</f>
        <v>20200111154054180</v>
      </c>
      <c r="B1459" t="str">
        <f>"1578728454167605"</f>
        <v>1578728454167605</v>
      </c>
      <c r="C1459" t="s">
        <v>37</v>
      </c>
      <c r="D1459">
        <v>5.3130649999999999</v>
      </c>
      <c r="E1459">
        <v>0.48655789999999999</v>
      </c>
      <c r="F1459" t="s">
        <v>44</v>
      </c>
      <c r="G1459">
        <v>-347.08940000000001</v>
      </c>
      <c r="H1459" s="1">
        <v>2.2358650000000001E-6</v>
      </c>
      <c r="I1459">
        <v>282.25420000000003</v>
      </c>
      <c r="J1459">
        <v>-328.43549999999999</v>
      </c>
      <c r="K1459">
        <v>1.1089739999999999</v>
      </c>
      <c r="L1459">
        <v>283.45260000000002</v>
      </c>
      <c r="M1459">
        <v>-0.99988639999999995</v>
      </c>
      <c r="N1459">
        <v>0</v>
      </c>
      <c r="O1459">
        <v>-1.355055E-2</v>
      </c>
      <c r="P1459">
        <v>-0.99746369999999895</v>
      </c>
      <c r="Q1459">
        <v>6.5018999999999993E-2</v>
      </c>
      <c r="R1459">
        <v>-2.8961689999999998E-2</v>
      </c>
      <c r="S1459">
        <v>-3.0135800000000001</v>
      </c>
      <c r="T1459">
        <v>-0.1763304</v>
      </c>
      <c r="U1459">
        <v>-0.19119259999999999</v>
      </c>
      <c r="V1459">
        <v>-1.542952E-2</v>
      </c>
      <c r="W1459">
        <v>7.1611869999999994E-2</v>
      </c>
      <c r="X1459">
        <v>0.99731320000000001</v>
      </c>
      <c r="Y1459">
        <v>-4.9725310000000002E-2</v>
      </c>
      <c r="Z1459">
        <v>-6.6075110000000004E-4</v>
      </c>
      <c r="AA1459">
        <v>0.9987627</v>
      </c>
      <c r="AB1459">
        <v>49</v>
      </c>
      <c r="AC1459">
        <v>-18.6539</v>
      </c>
      <c r="AD1459">
        <v>-1.1089717641349901</v>
      </c>
      <c r="AE1459">
        <v>-1.1983999999999899</v>
      </c>
      <c r="AF1459">
        <v>-0.94219754697049396</v>
      </c>
      <c r="AG1459">
        <v>-1.1089717641349901</v>
      </c>
      <c r="AH1459">
        <v>18.6029486942642</v>
      </c>
      <c r="AI1459">
        <v>93.407161164065997</v>
      </c>
      <c r="AJ1459">
        <v>92.899424974670396</v>
      </c>
      <c r="AK1459">
        <v>18.659776384313702</v>
      </c>
    </row>
    <row r="1460" spans="1:37" x14ac:dyDescent="0.2">
      <c r="A1460" t="str">
        <f>"20200111154054197"</f>
        <v>20200111154054197</v>
      </c>
      <c r="B1460" t="str">
        <f>"1578728454188104"</f>
        <v>1578728454188104</v>
      </c>
      <c r="C1460" t="s">
        <v>37</v>
      </c>
      <c r="D1460">
        <v>5.2507159999999997</v>
      </c>
      <c r="E1460">
        <v>0.48644729999999903</v>
      </c>
      <c r="F1460" t="s">
        <v>44</v>
      </c>
      <c r="G1460">
        <v>-347.88380000000001</v>
      </c>
      <c r="H1460" s="1">
        <v>2.6585590000000002E-6</v>
      </c>
      <c r="I1460">
        <v>282.21550000000002</v>
      </c>
      <c r="J1460">
        <v>-328.8082</v>
      </c>
      <c r="K1460">
        <v>1.1089690000000001</v>
      </c>
      <c r="L1460">
        <v>283.44749999999999</v>
      </c>
      <c r="M1460">
        <v>-0.99988690000000002</v>
      </c>
      <c r="N1460">
        <v>0</v>
      </c>
      <c r="O1460">
        <v>-1.3514079999999999E-2</v>
      </c>
      <c r="P1460">
        <v>-0.99743959999999998</v>
      </c>
      <c r="Q1460">
        <v>6.5377099999999994E-2</v>
      </c>
      <c r="R1460">
        <v>-2.8989480000000001E-2</v>
      </c>
      <c r="S1460">
        <v>-3.0132750000000001</v>
      </c>
      <c r="T1460">
        <v>-0.17182149999999999</v>
      </c>
      <c r="U1460">
        <v>-0.19168089999999999</v>
      </c>
      <c r="V1460">
        <v>-1.549331E-2</v>
      </c>
      <c r="W1460">
        <v>7.1976650000000003E-2</v>
      </c>
      <c r="X1460">
        <v>0.99728600000000001</v>
      </c>
      <c r="Y1460">
        <v>-4.9932009999999999E-2</v>
      </c>
      <c r="Z1460">
        <v>-6.5190189999999996E-4</v>
      </c>
      <c r="AA1460">
        <v>0.99875239999999998</v>
      </c>
      <c r="AB1460">
        <v>49</v>
      </c>
      <c r="AC1460">
        <v>-19.075600000000001</v>
      </c>
      <c r="AD1460">
        <v>-1.108966341441</v>
      </c>
      <c r="AE1460">
        <v>-1.23199999999997</v>
      </c>
      <c r="AF1460">
        <v>-0.97082520594734201</v>
      </c>
      <c r="AG1460">
        <v>-1.108966341441</v>
      </c>
      <c r="AH1460">
        <v>19.026470691957002</v>
      </c>
      <c r="AI1460">
        <v>93.331411986437999</v>
      </c>
      <c r="AJ1460">
        <v>92.920982545762797</v>
      </c>
      <c r="AK1460">
        <v>19.083471773208601</v>
      </c>
    </row>
    <row r="1461" spans="1:37" x14ac:dyDescent="0.2">
      <c r="A1461" t="str">
        <f>"20200111154054210"</f>
        <v>20200111154054210</v>
      </c>
      <c r="B1461" t="str">
        <f>"1578728454207620"</f>
        <v>1578728454207620</v>
      </c>
      <c r="C1461" t="s">
        <v>37</v>
      </c>
      <c r="D1461">
        <v>5.2533059999999896</v>
      </c>
      <c r="E1461">
        <v>0.48636679999999999</v>
      </c>
      <c r="F1461" t="s">
        <v>44</v>
      </c>
      <c r="G1461">
        <v>-348.87580000000003</v>
      </c>
      <c r="H1461" s="1">
        <v>3.1864659999999998E-6</v>
      </c>
      <c r="I1461">
        <v>282.16309999999999</v>
      </c>
      <c r="J1461">
        <v>-329.08960000000002</v>
      </c>
      <c r="K1461">
        <v>1.1089639999999901</v>
      </c>
      <c r="L1461">
        <v>283.44380000000001</v>
      </c>
      <c r="M1461">
        <v>-0.99988729999999904</v>
      </c>
      <c r="N1461">
        <v>0</v>
      </c>
      <c r="O1461">
        <v>-1.348572E-2</v>
      </c>
      <c r="P1461">
        <v>-0.99743320000000002</v>
      </c>
      <c r="Q1461">
        <v>6.5463649999999998E-2</v>
      </c>
      <c r="R1461">
        <v>-2.9013110000000002E-2</v>
      </c>
      <c r="S1461">
        <v>-3.0129999999999999</v>
      </c>
      <c r="T1461">
        <v>-0.16650279999999901</v>
      </c>
      <c r="U1461">
        <v>-0.1928406</v>
      </c>
      <c r="V1461">
        <v>-1.554552E-2</v>
      </c>
      <c r="W1461">
        <v>7.2067980000000004E-2</v>
      </c>
      <c r="X1461">
        <v>0.99727860000000002</v>
      </c>
      <c r="Y1461">
        <v>-5.035187E-2</v>
      </c>
      <c r="Z1461">
        <v>-6.4494819999999997E-4</v>
      </c>
      <c r="AA1461">
        <v>0.99873129999999999</v>
      </c>
      <c r="AB1461">
        <v>49</v>
      </c>
      <c r="AC1461">
        <v>-19.786200000000001</v>
      </c>
      <c r="AD1461">
        <v>-1.1089608135339999</v>
      </c>
      <c r="AE1461">
        <v>-1.2807000000000199</v>
      </c>
      <c r="AF1461">
        <v>-1.01058527888229</v>
      </c>
      <c r="AG1461">
        <v>-1.1089608135339999</v>
      </c>
      <c r="AH1461">
        <v>19.739922118875398</v>
      </c>
      <c r="AI1461">
        <v>93.211219164631601</v>
      </c>
      <c r="AJ1461">
        <v>92.930698737228099</v>
      </c>
      <c r="AK1461">
        <v>19.796858385893302</v>
      </c>
    </row>
    <row r="1462" spans="1:37" x14ac:dyDescent="0.2">
      <c r="A1462" t="str">
        <f>"20200111154054225"</f>
        <v>20200111154054225</v>
      </c>
      <c r="B1462" t="str">
        <f>"1578728454217380"</f>
        <v>1578728454217380</v>
      </c>
      <c r="C1462" t="s">
        <v>37</v>
      </c>
      <c r="D1462">
        <v>5.2288430000000004</v>
      </c>
      <c r="E1462">
        <v>0.48615009999999997</v>
      </c>
      <c r="F1462" t="s">
        <v>44</v>
      </c>
      <c r="G1462">
        <v>-349.30779999999999</v>
      </c>
      <c r="H1462" s="1">
        <v>3.4163670000000002E-6</v>
      </c>
      <c r="I1462">
        <v>282.14599999999899</v>
      </c>
      <c r="J1462">
        <v>-329.39190000000002</v>
      </c>
      <c r="K1462">
        <v>1.1089629999999999</v>
      </c>
      <c r="L1462">
        <v>283.43970000000002</v>
      </c>
      <c r="M1462">
        <v>-0.99988770000000005</v>
      </c>
      <c r="N1462">
        <v>0</v>
      </c>
      <c r="O1462">
        <v>-1.345449E-2</v>
      </c>
      <c r="P1462">
        <v>-0.99744630000000001</v>
      </c>
      <c r="Q1462">
        <v>6.5160949999999995E-2</v>
      </c>
      <c r="R1462">
        <v>-2.924728E-2</v>
      </c>
      <c r="S1462">
        <v>-3.0129389999999998</v>
      </c>
      <c r="T1462">
        <v>-0.1652585</v>
      </c>
      <c r="U1462">
        <v>-0.193389899999999</v>
      </c>
      <c r="V1462">
        <v>-1.581026E-2</v>
      </c>
      <c r="W1462">
        <v>7.1771199999999993E-2</v>
      </c>
      <c r="X1462">
        <v>0.99729579999999995</v>
      </c>
      <c r="Y1462">
        <v>-5.0566149999999997E-2</v>
      </c>
      <c r="Z1462">
        <v>-6.4772110000000001E-4</v>
      </c>
      <c r="AA1462">
        <v>0.99872050000000001</v>
      </c>
      <c r="AB1462">
        <v>49</v>
      </c>
      <c r="AC1462">
        <v>-19.915899999999901</v>
      </c>
      <c r="AD1462">
        <v>-1.108959583633</v>
      </c>
      <c r="AE1462">
        <v>-1.29370000000005</v>
      </c>
      <c r="AF1462">
        <v>-1.0224619587750601</v>
      </c>
      <c r="AG1462">
        <v>-1.108959583633</v>
      </c>
      <c r="AH1462">
        <v>19.870155144097499</v>
      </c>
      <c r="AI1462">
        <v>93.190169541918607</v>
      </c>
      <c r="AJ1462">
        <v>92.945680624448599</v>
      </c>
      <c r="AK1462">
        <v>19.927325090583</v>
      </c>
    </row>
    <row r="1463" spans="1:37" x14ac:dyDescent="0.2">
      <c r="A1463" t="str">
        <f>"20200111154054237"</f>
        <v>20200111154054237</v>
      </c>
      <c r="B1463" t="str">
        <f>"1578728454228117"</f>
        <v>1578728454228117</v>
      </c>
      <c r="C1463" t="s">
        <v>37</v>
      </c>
      <c r="D1463">
        <v>5.2834849999999998</v>
      </c>
      <c r="E1463">
        <v>0.48594989999999999</v>
      </c>
      <c r="F1463" t="s">
        <v>44</v>
      </c>
      <c r="G1463">
        <v>-349.55869999999999</v>
      </c>
      <c r="H1463" s="1">
        <v>3.5498840000000001E-6</v>
      </c>
      <c r="I1463">
        <v>282.12909999999999</v>
      </c>
      <c r="J1463">
        <v>-329.7</v>
      </c>
      <c r="K1463">
        <v>1.1089579999999899</v>
      </c>
      <c r="L1463">
        <v>283.43549999999999</v>
      </c>
      <c r="M1463">
        <v>-0.99988809999999995</v>
      </c>
      <c r="N1463">
        <v>0</v>
      </c>
      <c r="O1463">
        <v>-1.3420639999999999E-2</v>
      </c>
      <c r="P1463">
        <v>-0.99742389999999903</v>
      </c>
      <c r="Q1463">
        <v>6.5461370000000005E-2</v>
      </c>
      <c r="R1463">
        <v>-2.933736E-2</v>
      </c>
      <c r="S1463">
        <v>-3.0127869999999999</v>
      </c>
      <c r="T1463">
        <v>-0.16567100000000001</v>
      </c>
      <c r="U1463">
        <v>-0.195800799999999</v>
      </c>
      <c r="V1463">
        <v>-1.5934029999999998E-2</v>
      </c>
      <c r="W1463">
        <v>7.2077020000000006E-2</v>
      </c>
      <c r="X1463">
        <v>0.99727180000000004</v>
      </c>
      <c r="Y1463">
        <v>-5.1397470000000001E-2</v>
      </c>
      <c r="Z1463">
        <v>-6.7402539999999902E-4</v>
      </c>
      <c r="AA1463">
        <v>0.99867799999999995</v>
      </c>
      <c r="AB1463">
        <v>49</v>
      </c>
      <c r="AC1463">
        <v>-19.858699999999999</v>
      </c>
      <c r="AD1463">
        <v>-1.10895445011599</v>
      </c>
      <c r="AE1463">
        <v>-1.30639999999999</v>
      </c>
      <c r="AF1463">
        <v>-1.03654167703717</v>
      </c>
      <c r="AG1463">
        <v>-1.10895445011599</v>
      </c>
      <c r="AH1463">
        <v>19.812926990264401</v>
      </c>
      <c r="AI1463">
        <v>93.199208253558297</v>
      </c>
      <c r="AJ1463">
        <v>92.994780581871595</v>
      </c>
      <c r="AK1463">
        <v>19.870990779078301</v>
      </c>
    </row>
    <row r="1464" spans="1:37" x14ac:dyDescent="0.2">
      <c r="A1464" t="str">
        <f>"20200111154054253"</f>
        <v>20200111154054253</v>
      </c>
      <c r="B1464" t="str">
        <f>"1578728454247637"</f>
        <v>1578728454247637</v>
      </c>
      <c r="C1464" t="s">
        <v>37</v>
      </c>
      <c r="D1464">
        <v>5.2225910000000004</v>
      </c>
      <c r="E1464">
        <v>0.48545659999999902</v>
      </c>
      <c r="F1464" t="s">
        <v>44</v>
      </c>
      <c r="G1464">
        <v>-349.81270000000001</v>
      </c>
      <c r="H1464" s="1">
        <v>3.6850459999999999E-6</v>
      </c>
      <c r="I1464">
        <v>282.11619999999999</v>
      </c>
      <c r="J1464">
        <v>-330.03530000000001</v>
      </c>
      <c r="K1464">
        <v>1.1089560000000001</v>
      </c>
      <c r="L1464">
        <v>283.43110000000001</v>
      </c>
      <c r="M1464">
        <v>-0.99988849999999996</v>
      </c>
      <c r="N1464">
        <v>0</v>
      </c>
      <c r="O1464">
        <v>-1.33818999999999E-2</v>
      </c>
      <c r="P1464">
        <v>-0.99743219999999999</v>
      </c>
      <c r="Q1464">
        <v>6.5120949999999997E-2</v>
      </c>
      <c r="R1464">
        <v>-2.9810010000000001E-2</v>
      </c>
      <c r="S1464">
        <v>-3.0128169999999899</v>
      </c>
      <c r="T1464">
        <v>-0.16611799999999999</v>
      </c>
      <c r="U1464">
        <v>-0.1976318</v>
      </c>
      <c r="V1464">
        <v>-1.6445149999999999E-2</v>
      </c>
      <c r="W1464">
        <v>7.1743630000000003E-2</v>
      </c>
      <c r="X1464">
        <v>0.99728749999999999</v>
      </c>
      <c r="Y1464">
        <v>-5.2038540000000001E-2</v>
      </c>
      <c r="Z1464">
        <v>-6.9559479999999996E-4</v>
      </c>
      <c r="AA1464">
        <v>0.9986448</v>
      </c>
      <c r="AB1464">
        <v>49</v>
      </c>
      <c r="AC1464">
        <v>-19.7774</v>
      </c>
      <c r="AD1464">
        <v>-1.1089523149539999</v>
      </c>
      <c r="AE1464">
        <v>-1.3149000000000199</v>
      </c>
      <c r="AF1464">
        <v>-1.0468404379470799</v>
      </c>
      <c r="AG1464">
        <v>-1.1089523149539999</v>
      </c>
      <c r="AH1464">
        <v>19.7314618745209</v>
      </c>
      <c r="AI1464">
        <v>93.212258733392403</v>
      </c>
      <c r="AJ1464">
        <v>93.036944652557295</v>
      </c>
      <c r="AK1464">
        <v>19.790306663744101</v>
      </c>
    </row>
    <row r="1465" spans="1:37" x14ac:dyDescent="0.2">
      <c r="A1465" t="str">
        <f>"20200111154054266"</f>
        <v>20200111154054266</v>
      </c>
      <c r="B1465" t="str">
        <f>"1578728454257396"</f>
        <v>1578728454257396</v>
      </c>
      <c r="C1465" t="s">
        <v>37</v>
      </c>
      <c r="D1465">
        <v>5.2425519999999999</v>
      </c>
      <c r="E1465">
        <v>0.48536069999999998</v>
      </c>
      <c r="F1465" t="s">
        <v>44</v>
      </c>
      <c r="G1465">
        <v>-349.76310000000001</v>
      </c>
      <c r="H1465" s="1">
        <v>3.6586239999999998E-6</v>
      </c>
      <c r="I1465">
        <v>282.10199999999998</v>
      </c>
      <c r="J1465">
        <v>-330.31540000000001</v>
      </c>
      <c r="K1465">
        <v>1.1089500000000001</v>
      </c>
      <c r="L1465">
        <v>283.42739999999998</v>
      </c>
      <c r="M1465">
        <v>-0.99988880000000002</v>
      </c>
      <c r="N1465">
        <v>0</v>
      </c>
      <c r="O1465">
        <v>-1.334816E-2</v>
      </c>
      <c r="P1465">
        <v>-0.99742109999999995</v>
      </c>
      <c r="Q1465">
        <v>6.5271999999999997E-2</v>
      </c>
      <c r="R1465">
        <v>-2.9843160000000001E-2</v>
      </c>
      <c r="S1465">
        <v>-3.0127259999999998</v>
      </c>
      <c r="T1465">
        <v>-0.16935359999999999</v>
      </c>
      <c r="U1465">
        <v>-0.2029724</v>
      </c>
      <c r="V1465">
        <v>-1.6511540000000002E-2</v>
      </c>
      <c r="W1465">
        <v>7.1899630000000006E-2</v>
      </c>
      <c r="X1465">
        <v>0.99727520000000003</v>
      </c>
      <c r="Y1465">
        <v>-5.3831450000000003E-2</v>
      </c>
      <c r="Z1465">
        <v>-7.6129170000000001E-4</v>
      </c>
      <c r="AA1465">
        <v>0.99854979999999904</v>
      </c>
      <c r="AB1465">
        <v>49</v>
      </c>
      <c r="AC1465">
        <v>-19.447700000000001</v>
      </c>
      <c r="AD1465">
        <v>-1.1089463413759999</v>
      </c>
      <c r="AE1465">
        <v>-1.32539999999994</v>
      </c>
      <c r="AF1465">
        <v>-1.0622472286230999</v>
      </c>
      <c r="AG1465">
        <v>-1.1089463413759999</v>
      </c>
      <c r="AH1465">
        <v>19.400868956255</v>
      </c>
      <c r="AI1465">
        <v>93.266563328757798</v>
      </c>
      <c r="AJ1465">
        <v>93.133961359130794</v>
      </c>
      <c r="AK1465">
        <v>19.461547919437098</v>
      </c>
    </row>
    <row r="1466" spans="1:37" x14ac:dyDescent="0.2">
      <c r="A1466" t="str">
        <f>"20200111154054277"</f>
        <v>20200111154054277</v>
      </c>
      <c r="B1466" t="str">
        <f>"1578728454268133"</f>
        <v>1578728454268133</v>
      </c>
      <c r="C1466" t="s">
        <v>37</v>
      </c>
      <c r="D1466">
        <v>5.2757680000000002</v>
      </c>
      <c r="E1466">
        <v>0.485216799999999</v>
      </c>
      <c r="F1466" t="s">
        <v>44</v>
      </c>
      <c r="G1466">
        <v>-350.0838</v>
      </c>
      <c r="H1466" s="1">
        <v>-1.4921760000000001E-6</v>
      </c>
      <c r="I1466">
        <v>282.09050000000002</v>
      </c>
      <c r="J1466">
        <v>-330.58730000000003</v>
      </c>
      <c r="K1466">
        <v>1.108946</v>
      </c>
      <c r="L1466">
        <v>283.42380000000003</v>
      </c>
      <c r="M1466">
        <v>-0.99988940000000004</v>
      </c>
      <c r="N1466">
        <v>0</v>
      </c>
      <c r="O1466">
        <v>-1.331311E-2</v>
      </c>
      <c r="P1466">
        <v>-0.99743019999999905</v>
      </c>
      <c r="Q1466">
        <v>6.5108540000000006E-2</v>
      </c>
      <c r="R1466">
        <v>-2.9904030000000002E-2</v>
      </c>
      <c r="S1466">
        <v>-3.0127259999999998</v>
      </c>
      <c r="T1466">
        <v>-0.16900499999999999</v>
      </c>
      <c r="U1466">
        <v>-0.20373540000000001</v>
      </c>
      <c r="V1466">
        <v>-1.6606360000000001E-2</v>
      </c>
      <c r="W1466">
        <v>7.1741239999999998E-2</v>
      </c>
      <c r="X1466">
        <v>0.99728499999999998</v>
      </c>
      <c r="Y1466">
        <v>-5.4117930000000002E-2</v>
      </c>
      <c r="Z1466">
        <v>-7.6970309999999998E-4</v>
      </c>
      <c r="AA1466">
        <v>0.99853429999999999</v>
      </c>
      <c r="AB1466">
        <v>49</v>
      </c>
      <c r="AC1466">
        <v>-19.496499999999902</v>
      </c>
      <c r="AD1466">
        <v>-1.1089474921760001</v>
      </c>
      <c r="AE1466">
        <v>-1.3332999999999999</v>
      </c>
      <c r="AF1466">
        <v>-1.07017092011476</v>
      </c>
      <c r="AG1466">
        <v>-1.1089474921760001</v>
      </c>
      <c r="AH1466">
        <v>19.4498903777185</v>
      </c>
      <c r="AI1466">
        <v>93.258303502040405</v>
      </c>
      <c r="AJ1466">
        <v>93.149350018729095</v>
      </c>
      <c r="AK1466">
        <v>19.510849956983598</v>
      </c>
    </row>
    <row r="1467" spans="1:37" x14ac:dyDescent="0.2">
      <c r="A1467" t="str">
        <f>"20200111154054290"</f>
        <v>20200111154054290</v>
      </c>
      <c r="B1467" t="str">
        <f>"1578728454287653"</f>
        <v>1578728454287653</v>
      </c>
      <c r="C1467" t="s">
        <v>37</v>
      </c>
      <c r="D1467">
        <v>5.520111</v>
      </c>
      <c r="E1467">
        <v>0.48513980000000001</v>
      </c>
      <c r="F1467" t="s">
        <v>44</v>
      </c>
      <c r="G1467">
        <v>-350.18310000000002</v>
      </c>
      <c r="H1467" s="1">
        <v>-1.4393689999999999E-6</v>
      </c>
      <c r="I1467">
        <v>282.09010000000001</v>
      </c>
      <c r="J1467">
        <v>-330.84980000000002</v>
      </c>
      <c r="K1467">
        <v>1.1089389999999999</v>
      </c>
      <c r="L1467">
        <v>283.4203</v>
      </c>
      <c r="M1467">
        <v>-0.99988980000000005</v>
      </c>
      <c r="N1467">
        <v>0</v>
      </c>
      <c r="O1467">
        <v>-1.3276990000000001E-2</v>
      </c>
      <c r="P1467">
        <v>-0.99741829999999998</v>
      </c>
      <c r="Q1467">
        <v>6.5286060000000007E-2</v>
      </c>
      <c r="R1467">
        <v>-2.991574E-2</v>
      </c>
      <c r="S1467">
        <v>-3.0127259999999998</v>
      </c>
      <c r="T1467">
        <v>-0.1704937</v>
      </c>
      <c r="U1467">
        <v>-0.2050476</v>
      </c>
      <c r="V1467">
        <v>-1.6654169999999999E-2</v>
      </c>
      <c r="W1467">
        <v>7.1924340000000003E-2</v>
      </c>
      <c r="X1467">
        <v>0.99727109999999997</v>
      </c>
      <c r="Y1467">
        <v>-5.4585010000000003E-2</v>
      </c>
      <c r="Z1467">
        <v>-7.9169169999999999E-4</v>
      </c>
      <c r="AA1467">
        <v>0.99850879999999997</v>
      </c>
      <c r="AB1467">
        <v>49</v>
      </c>
      <c r="AC1467">
        <v>-19.333300000000001</v>
      </c>
      <c r="AD1467">
        <v>-1.1089404393690001</v>
      </c>
      <c r="AE1467">
        <v>-1.3301999999999901</v>
      </c>
      <c r="AF1467">
        <v>-1.06988564642803</v>
      </c>
      <c r="AG1467">
        <v>-1.1089404393690001</v>
      </c>
      <c r="AH1467">
        <v>19.2861037013482</v>
      </c>
      <c r="AI1467">
        <v>93.285811605418203</v>
      </c>
      <c r="AJ1467">
        <v>93.175196357736397</v>
      </c>
      <c r="AK1467">
        <v>19.347563158539</v>
      </c>
    </row>
    <row r="1468" spans="1:37" x14ac:dyDescent="0.2">
      <c r="A1468" t="str">
        <f>"20200111154054304"</f>
        <v>20200111154054304</v>
      </c>
      <c r="B1468" t="str">
        <f>"1578728454297412"</f>
        <v>1578728454297412</v>
      </c>
      <c r="C1468" t="s">
        <v>37</v>
      </c>
      <c r="D1468">
        <v>5.2346659999999998</v>
      </c>
      <c r="E1468">
        <v>0.48515639999999999</v>
      </c>
      <c r="F1468" t="s">
        <v>44</v>
      </c>
      <c r="G1468">
        <v>-350.59039999999999</v>
      </c>
      <c r="H1468" s="1">
        <v>-1.2226059999999999E-6</v>
      </c>
      <c r="I1468">
        <v>282.07369999999997</v>
      </c>
      <c r="J1468">
        <v>-331.1345</v>
      </c>
      <c r="K1468">
        <v>1.108932</v>
      </c>
      <c r="L1468">
        <v>283.41649999999998</v>
      </c>
      <c r="M1468">
        <v>-0.99989030000000001</v>
      </c>
      <c r="N1468">
        <v>0</v>
      </c>
      <c r="O1468">
        <v>-1.3236090000000001E-2</v>
      </c>
      <c r="P1468">
        <v>-0.99741950000000001</v>
      </c>
      <c r="Q1468">
        <v>6.5145960000000003E-2</v>
      </c>
      <c r="R1468">
        <v>-3.0176999999999999E-2</v>
      </c>
      <c r="S1468">
        <v>-3.0126650000000001</v>
      </c>
      <c r="T1468">
        <v>-0.1692379</v>
      </c>
      <c r="U1468">
        <v>-0.2055054</v>
      </c>
      <c r="V1468">
        <v>-1.6955350000000001E-2</v>
      </c>
      <c r="W1468">
        <v>7.1789759999999994E-2</v>
      </c>
      <c r="X1468">
        <v>0.99727569999999999</v>
      </c>
      <c r="Y1468">
        <v>-5.4778830000000001E-2</v>
      </c>
      <c r="Z1468">
        <v>-7.9360689999999996E-4</v>
      </c>
      <c r="AA1468">
        <v>0.9984982</v>
      </c>
      <c r="AB1468">
        <v>49</v>
      </c>
      <c r="AC1468">
        <v>-19.4558999999999</v>
      </c>
      <c r="AD1468">
        <v>-1.108933222606</v>
      </c>
      <c r="AE1468">
        <v>-1.34280000000001</v>
      </c>
      <c r="AF1468">
        <v>-1.08165931482143</v>
      </c>
      <c r="AG1468">
        <v>-1.108933222606</v>
      </c>
      <c r="AH1468">
        <v>19.409213817562598</v>
      </c>
      <c r="AI1468">
        <v>93.264948159657393</v>
      </c>
      <c r="AJ1468">
        <v>93.189746610800398</v>
      </c>
      <c r="AK1468">
        <v>19.470934769070599</v>
      </c>
    </row>
    <row r="1469" spans="1:37" x14ac:dyDescent="0.2">
      <c r="A1469" t="str">
        <f>"20200111154054318"</f>
        <v>20200111154054318</v>
      </c>
      <c r="B1469" t="str">
        <f>"1578728454308149"</f>
        <v>1578728454308149</v>
      </c>
      <c r="C1469" t="s">
        <v>37</v>
      </c>
      <c r="D1469">
        <v>5.2617099999999999</v>
      </c>
      <c r="E1469">
        <v>0.48517159999999898</v>
      </c>
      <c r="F1469" t="s">
        <v>44</v>
      </c>
      <c r="G1469">
        <v>-350.86599999999999</v>
      </c>
      <c r="H1469" s="1">
        <v>-1.0759359999999899E-6</v>
      </c>
      <c r="I1469">
        <v>282.06490000000002</v>
      </c>
      <c r="J1469">
        <v>-331.49590000000001</v>
      </c>
      <c r="K1469">
        <v>1.108927</v>
      </c>
      <c r="L1469">
        <v>283.4117</v>
      </c>
      <c r="M1469">
        <v>-0.99989110000000003</v>
      </c>
      <c r="N1469">
        <v>0</v>
      </c>
      <c r="O1469">
        <v>-1.3178250000000001E-2</v>
      </c>
      <c r="P1469">
        <v>-0.997422899999999</v>
      </c>
      <c r="Q1469">
        <v>6.4960669999999998E-2</v>
      </c>
      <c r="R1469">
        <v>-3.0463750000000001E-2</v>
      </c>
      <c r="S1469">
        <v>-3.0126040000000001</v>
      </c>
      <c r="T1469">
        <v>-0.16931189999999999</v>
      </c>
      <c r="U1469">
        <v>-0.20635990000000001</v>
      </c>
      <c r="V1469">
        <v>-1.729938E-2</v>
      </c>
      <c r="W1469">
        <v>7.1611399999999895E-2</v>
      </c>
      <c r="X1469">
        <v>0.99728259999999902</v>
      </c>
      <c r="Y1469">
        <v>-5.5119170000000002E-2</v>
      </c>
      <c r="Z1469">
        <v>-8.0675050000000002E-4</v>
      </c>
      <c r="AA1469">
        <v>0.99847949999999996</v>
      </c>
      <c r="AB1469">
        <v>49</v>
      </c>
      <c r="AC1469">
        <v>-19.370099999999901</v>
      </c>
      <c r="AD1469">
        <v>-1.1089280759360001</v>
      </c>
      <c r="AE1469">
        <v>-1.34679999999997</v>
      </c>
      <c r="AF1469">
        <v>-1.08786506456814</v>
      </c>
      <c r="AG1469">
        <v>-1.1089280759360001</v>
      </c>
      <c r="AH1469">
        <v>19.323139803097501</v>
      </c>
      <c r="AI1469">
        <v>93.279340817691605</v>
      </c>
      <c r="AJ1469">
        <v>93.222268748463705</v>
      </c>
      <c r="AK1469">
        <v>19.385481776998901</v>
      </c>
    </row>
    <row r="1470" spans="1:37" x14ac:dyDescent="0.2">
      <c r="A1470" t="str">
        <f>"20200111154054333"</f>
        <v>20200111154054333</v>
      </c>
      <c r="B1470" t="str">
        <f>"1578728454327668"</f>
        <v>1578728454327668</v>
      </c>
      <c r="C1470" t="s">
        <v>37</v>
      </c>
      <c r="D1470">
        <v>5.2046190000000001</v>
      </c>
      <c r="E1470">
        <v>0.48525810000000003</v>
      </c>
      <c r="F1470" t="s">
        <v>44</v>
      </c>
      <c r="G1470">
        <v>-351.18169999999998</v>
      </c>
      <c r="H1470" s="1">
        <v>-9.0796399999999999E-7</v>
      </c>
      <c r="I1470">
        <v>282.05799999999999</v>
      </c>
      <c r="J1470">
        <v>-331.78629999999998</v>
      </c>
      <c r="K1470">
        <v>1.1089209999999901</v>
      </c>
      <c r="L1470">
        <v>283.40800000000002</v>
      </c>
      <c r="M1470">
        <v>-0.99989169999999905</v>
      </c>
      <c r="N1470">
        <v>0</v>
      </c>
      <c r="O1470">
        <v>-1.312781E-2</v>
      </c>
      <c r="P1470">
        <v>-0.99742509999999995</v>
      </c>
      <c r="Q1470">
        <v>6.4888599999999894E-2</v>
      </c>
      <c r="R1470">
        <v>-3.054028E-2</v>
      </c>
      <c r="S1470">
        <v>-3.0124819999999999</v>
      </c>
      <c r="T1470">
        <v>-0.16969790000000001</v>
      </c>
      <c r="U1470">
        <v>-0.20715329999999901</v>
      </c>
      <c r="V1470">
        <v>-1.742548E-2</v>
      </c>
      <c r="W1470">
        <v>7.1544799999999895E-2</v>
      </c>
      <c r="X1470">
        <v>0.99728519999999898</v>
      </c>
      <c r="Y1470">
        <v>-5.5433179999999999E-2</v>
      </c>
      <c r="Z1470">
        <v>-8.2027499999999998E-4</v>
      </c>
      <c r="AA1470">
        <v>0.99846209999999902</v>
      </c>
      <c r="AB1470">
        <v>49</v>
      </c>
      <c r="AC1470">
        <v>-19.395399999999899</v>
      </c>
      <c r="AD1470">
        <v>-1.10892190796399</v>
      </c>
      <c r="AE1470">
        <v>-1.3500000000000201</v>
      </c>
      <c r="AF1470">
        <v>-1.09170740183514</v>
      </c>
      <c r="AG1470">
        <v>-1.10892190796399</v>
      </c>
      <c r="AH1470">
        <v>19.348507693819599</v>
      </c>
      <c r="AI1470">
        <v>93.275009544187895</v>
      </c>
      <c r="AJ1470">
        <v>93.229395048168001</v>
      </c>
      <c r="AK1470">
        <v>19.410983561555501</v>
      </c>
    </row>
    <row r="1471" spans="1:37" x14ac:dyDescent="0.2">
      <c r="A1471" t="str">
        <f>"20200111154054354"</f>
        <v>20200111154054354</v>
      </c>
      <c r="B1471" t="str">
        <f>"1578728454348164"</f>
        <v>1578728454348164</v>
      </c>
      <c r="C1471" t="s">
        <v>37</v>
      </c>
      <c r="D1471">
        <v>5.2293900000000004</v>
      </c>
      <c r="E1471">
        <v>0.48540719999999998</v>
      </c>
      <c r="F1471" t="s">
        <v>44</v>
      </c>
      <c r="G1471">
        <v>-351.56</v>
      </c>
      <c r="H1471" s="1">
        <v>-7.0662180000000003E-7</v>
      </c>
      <c r="I1471">
        <v>282.05099999999999</v>
      </c>
      <c r="J1471">
        <v>-332.26310000000001</v>
      </c>
      <c r="K1471">
        <v>1.1089119999999999</v>
      </c>
      <c r="L1471">
        <v>283.40170000000001</v>
      </c>
      <c r="M1471">
        <v>-0.99989280000000003</v>
      </c>
      <c r="N1471">
        <v>0</v>
      </c>
      <c r="O1471">
        <v>-1.3038009999999999E-2</v>
      </c>
      <c r="P1471">
        <v>-0.99740490000000004</v>
      </c>
      <c r="Q1471">
        <v>6.5218730000000003E-2</v>
      </c>
      <c r="R1471">
        <v>-3.0497570000000002E-2</v>
      </c>
      <c r="S1471">
        <v>-3.0123599999999899</v>
      </c>
      <c r="T1471">
        <v>-0.16893449999999999</v>
      </c>
      <c r="U1471">
        <v>-0.2067261</v>
      </c>
      <c r="V1471">
        <v>-1.747071E-2</v>
      </c>
      <c r="W1471">
        <v>7.1884390000000006E-2</v>
      </c>
      <c r="X1471">
        <v>0.99726000000000004</v>
      </c>
      <c r="Y1471">
        <v>-5.5385209999999997E-2</v>
      </c>
      <c r="Z1471">
        <v>-8.2030949999999895E-4</v>
      </c>
      <c r="AA1471">
        <v>0.99846469999999898</v>
      </c>
      <c r="AB1471">
        <v>49</v>
      </c>
      <c r="AC1471">
        <v>-19.296899999999901</v>
      </c>
      <c r="AD1471">
        <v>-1.1089127066218001</v>
      </c>
      <c r="AE1471">
        <v>-1.35070000000001</v>
      </c>
      <c r="AF1471">
        <v>-1.09538674171207</v>
      </c>
      <c r="AG1471">
        <v>-1.1089127066218001</v>
      </c>
      <c r="AH1471">
        <v>19.2496120320383</v>
      </c>
      <c r="AI1471">
        <v>93.291681641935995</v>
      </c>
      <c r="AJ1471">
        <v>93.256867003525301</v>
      </c>
      <c r="AK1471">
        <v>19.312615640788302</v>
      </c>
    </row>
    <row r="1472" spans="1:37" x14ac:dyDescent="0.2">
      <c r="A1472" t="str">
        <f>"20200111154054366"</f>
        <v>20200111154054366</v>
      </c>
      <c r="B1472" t="str">
        <f>"1578728454357925"</f>
        <v>1578728454357925</v>
      </c>
      <c r="C1472" t="s">
        <v>37</v>
      </c>
      <c r="D1472">
        <v>5.2605389999999996</v>
      </c>
      <c r="E1472">
        <v>0.48543639999999999</v>
      </c>
      <c r="F1472" t="s">
        <v>44</v>
      </c>
      <c r="G1472">
        <v>-352.33099999999899</v>
      </c>
      <c r="H1472" s="1">
        <v>-2.9636170000000001E-7</v>
      </c>
      <c r="I1472">
        <v>282.03449999999998</v>
      </c>
      <c r="J1472">
        <v>-332.55059999999997</v>
      </c>
      <c r="K1472">
        <v>1.108905</v>
      </c>
      <c r="L1472">
        <v>283.397999999999</v>
      </c>
      <c r="M1472">
        <v>-0.99989349999999999</v>
      </c>
      <c r="N1472">
        <v>0</v>
      </c>
      <c r="O1472">
        <v>-1.297921E-2</v>
      </c>
      <c r="P1472">
        <v>-0.99739659999999997</v>
      </c>
      <c r="Q1472">
        <v>6.5391409999999997E-2</v>
      </c>
      <c r="R1472">
        <v>-3.0400110000000001E-2</v>
      </c>
      <c r="S1472">
        <v>-3.012451</v>
      </c>
      <c r="T1472">
        <v>-0.1664622</v>
      </c>
      <c r="U1472">
        <v>-0.20523069999999999</v>
      </c>
      <c r="V1472">
        <v>-1.7431019999999998E-2</v>
      </c>
      <c r="W1472">
        <v>7.2062280000000006E-2</v>
      </c>
      <c r="X1472">
        <v>0.99724780000000002</v>
      </c>
      <c r="Y1472">
        <v>-5.4951E-2</v>
      </c>
      <c r="Z1472">
        <v>-7.9958039999999996E-4</v>
      </c>
      <c r="AA1472">
        <v>0.99848869999999901</v>
      </c>
      <c r="AB1472">
        <v>50</v>
      </c>
      <c r="AC1472">
        <v>-19.780399999999901</v>
      </c>
      <c r="AD1472">
        <v>-1.1089052963617001</v>
      </c>
      <c r="AE1472">
        <v>-1.36349999999998</v>
      </c>
      <c r="AF1472">
        <v>-1.1031947207767201</v>
      </c>
      <c r="AG1472">
        <v>-1.1089052963617001</v>
      </c>
      <c r="AH1472">
        <v>19.7347021011966</v>
      </c>
      <c r="AI1472">
        <v>93.211100989402198</v>
      </c>
      <c r="AJ1472">
        <v>93.199576222754501</v>
      </c>
      <c r="AK1472">
        <v>19.796595075194698</v>
      </c>
    </row>
    <row r="1473" spans="1:37" x14ac:dyDescent="0.2">
      <c r="A1473" t="str">
        <f>"20200111154054381"</f>
        <v>20200111154054381</v>
      </c>
      <c r="B1473" t="str">
        <f>"1578728454377445"</f>
        <v>1578728454377445</v>
      </c>
      <c r="C1473" t="s">
        <v>37</v>
      </c>
      <c r="D1473">
        <v>5.2719699999999996</v>
      </c>
      <c r="E1473">
        <v>0.48556859999999902</v>
      </c>
      <c r="F1473" t="s">
        <v>44</v>
      </c>
      <c r="G1473">
        <v>-352.75970000000001</v>
      </c>
      <c r="H1473" s="1">
        <v>-6.8220520000000005E-8</v>
      </c>
      <c r="I1473">
        <v>282.02409999999998</v>
      </c>
      <c r="J1473">
        <v>-332.85629999999998</v>
      </c>
      <c r="K1473">
        <v>1.1088959999999899</v>
      </c>
      <c r="L1473">
        <v>283.39400000000001</v>
      </c>
      <c r="M1473">
        <v>-0.99989430000000001</v>
      </c>
      <c r="N1473">
        <v>0</v>
      </c>
      <c r="O1473">
        <v>-1.2913259999999999E-2</v>
      </c>
      <c r="P1473">
        <v>-0.99739469999999997</v>
      </c>
      <c r="Q1473">
        <v>6.5554950000000001E-2</v>
      </c>
      <c r="R1473">
        <v>-3.0106830000000001E-2</v>
      </c>
      <c r="S1473">
        <v>-3.0124209999999998</v>
      </c>
      <c r="T1473">
        <v>-0.1652961</v>
      </c>
      <c r="U1473">
        <v>-0.204803499999999</v>
      </c>
      <c r="V1473">
        <v>-1.720255E-2</v>
      </c>
      <c r="W1473">
        <v>7.2231589999999998E-2</v>
      </c>
      <c r="X1473">
        <v>0.99723949999999995</v>
      </c>
      <c r="Y1473">
        <v>-5.4877479999999999E-2</v>
      </c>
      <c r="Z1473">
        <v>-7.9559649999999895E-4</v>
      </c>
      <c r="AA1473">
        <v>0.99849279999999996</v>
      </c>
      <c r="AB1473">
        <v>50</v>
      </c>
      <c r="AC1473">
        <v>-19.903400000000001</v>
      </c>
      <c r="AD1473">
        <v>-1.10889606822051</v>
      </c>
      <c r="AE1473">
        <v>-1.3699000000000201</v>
      </c>
      <c r="AF1473">
        <v>-1.1093350738629499</v>
      </c>
      <c r="AG1473">
        <v>-1.10889606822051</v>
      </c>
      <c r="AH1473">
        <v>19.858081029627801</v>
      </c>
      <c r="AI1473">
        <v>93.191171931411105</v>
      </c>
      <c r="AJ1473">
        <v>93.197399785799902</v>
      </c>
      <c r="AK1473">
        <v>19.919931148863899</v>
      </c>
    </row>
    <row r="1474" spans="1:37" x14ac:dyDescent="0.2">
      <c r="A1474" t="str">
        <f>"20200111154054397"</f>
        <v>20200111154054397</v>
      </c>
      <c r="B1474" t="str">
        <f>"1578728454388184"</f>
        <v>1578728454388184</v>
      </c>
      <c r="C1474" t="s">
        <v>37</v>
      </c>
      <c r="D1474">
        <v>5.25305</v>
      </c>
      <c r="E1474">
        <v>0.48561759999999898</v>
      </c>
      <c r="F1474" t="s">
        <v>44</v>
      </c>
      <c r="G1474">
        <v>-353.334</v>
      </c>
      <c r="H1474" s="1">
        <v>2.3741470000000001E-7</v>
      </c>
      <c r="I1474">
        <v>282.01369999999997</v>
      </c>
      <c r="J1474">
        <v>-333.23320000000001</v>
      </c>
      <c r="K1474">
        <v>1.108887</v>
      </c>
      <c r="L1474">
        <v>283.38920000000002</v>
      </c>
      <c r="M1474">
        <v>-0.99989539999999999</v>
      </c>
      <c r="N1474">
        <v>0</v>
      </c>
      <c r="O1474">
        <v>-1.2826789999999999E-2</v>
      </c>
      <c r="P1474">
        <v>-0.99738899999999997</v>
      </c>
      <c r="Q1474">
        <v>6.569622E-2</v>
      </c>
      <c r="R1474">
        <v>-2.99923E-2</v>
      </c>
      <c r="S1474">
        <v>-3.0124209999999998</v>
      </c>
      <c r="T1474">
        <v>-0.16312679999999999</v>
      </c>
      <c r="U1474">
        <v>-0.20306399999999999</v>
      </c>
      <c r="V1474">
        <v>-1.7172409999999999E-2</v>
      </c>
      <c r="W1474">
        <v>7.2380449999999999E-2</v>
      </c>
      <c r="X1474">
        <v>0.99722929999999999</v>
      </c>
      <c r="Y1474">
        <v>-5.4392099999999902E-2</v>
      </c>
      <c r="Z1474">
        <v>-7.7673990000000001E-4</v>
      </c>
      <c r="AA1474">
        <v>0.99851939999999995</v>
      </c>
      <c r="AB1474">
        <v>50</v>
      </c>
      <c r="AC1474">
        <v>-20.1007999999999</v>
      </c>
      <c r="AD1474">
        <v>-1.1088867625853001</v>
      </c>
      <c r="AE1474">
        <v>-1.3755000000000399</v>
      </c>
      <c r="AF1474">
        <v>-1.11417734399664</v>
      </c>
      <c r="AG1474">
        <v>-1.1088867625853001</v>
      </c>
      <c r="AH1474">
        <v>20.0560374755342</v>
      </c>
      <c r="AI1474">
        <v>93.159766486208397</v>
      </c>
      <c r="AJ1474">
        <v>93.1796963774555</v>
      </c>
      <c r="AK1474">
        <v>20.117546078638501</v>
      </c>
    </row>
    <row r="1475" spans="1:37" x14ac:dyDescent="0.2">
      <c r="A1475" t="str">
        <f>"20200111154054411"</f>
        <v>20200111154054411</v>
      </c>
      <c r="B1475" t="str">
        <f>"1578728454407700"</f>
        <v>1578728454407700</v>
      </c>
      <c r="C1475" t="s">
        <v>37</v>
      </c>
      <c r="D1475">
        <v>5.2434229999999999</v>
      </c>
      <c r="E1475">
        <v>0.48564849999999998</v>
      </c>
      <c r="F1475" t="s">
        <v>44</v>
      </c>
      <c r="G1475">
        <v>-353.98910000000001</v>
      </c>
      <c r="H1475" s="1">
        <v>5.8603600000000002E-7</v>
      </c>
      <c r="I1475">
        <v>281.99470000000002</v>
      </c>
      <c r="J1475">
        <v>-333.52820000000003</v>
      </c>
      <c r="K1475">
        <v>1.1088799999999901</v>
      </c>
      <c r="L1475">
        <v>283.38549999999998</v>
      </c>
      <c r="M1475">
        <v>-0.99989629999999996</v>
      </c>
      <c r="N1475">
        <v>0</v>
      </c>
      <c r="O1475">
        <v>-1.2755839999999999E-2</v>
      </c>
      <c r="P1475">
        <v>-0.99738609999999905</v>
      </c>
      <c r="Q1475">
        <v>6.5846189999999999E-2</v>
      </c>
      <c r="R1475">
        <v>-2.9759279999999999E-2</v>
      </c>
      <c r="S1475">
        <v>-3.0123599999999899</v>
      </c>
      <c r="T1475">
        <v>-0.1609352</v>
      </c>
      <c r="U1475">
        <v>-0.20239260000000001</v>
      </c>
      <c r="V1475">
        <v>-1.7009110000000001E-2</v>
      </c>
      <c r="W1475">
        <v>7.253598E-2</v>
      </c>
      <c r="X1475">
        <v>0.99722080000000002</v>
      </c>
      <c r="Y1475">
        <v>-5.4244479999999998E-2</v>
      </c>
      <c r="Z1475">
        <v>-7.6618699999999999E-4</v>
      </c>
      <c r="AA1475">
        <v>0.99852739999999995</v>
      </c>
      <c r="AB1475">
        <v>50</v>
      </c>
      <c r="AC1475">
        <v>-20.460899999999899</v>
      </c>
      <c r="AD1475">
        <v>-1.1088794139639999</v>
      </c>
      <c r="AE1475">
        <v>-1.3907999999999501</v>
      </c>
      <c r="AF1475">
        <v>-1.1263919299833201</v>
      </c>
      <c r="AG1475">
        <v>-1.1088794139639999</v>
      </c>
      <c r="AH1475">
        <v>20.4172845978383</v>
      </c>
      <c r="AI1475">
        <v>93.104015645275595</v>
      </c>
      <c r="AJ1475">
        <v>93.157723931907299</v>
      </c>
      <c r="AK1475">
        <v>20.4783759776934</v>
      </c>
    </row>
    <row r="1476" spans="1:37" x14ac:dyDescent="0.2">
      <c r="A1476" t="str">
        <f>"20200111154054424"</f>
        <v>20200111154054424</v>
      </c>
      <c r="B1476" t="str">
        <f>"1578728454417461"</f>
        <v>1578728454417461</v>
      </c>
      <c r="C1476" t="s">
        <v>37</v>
      </c>
      <c r="D1476">
        <v>5.2632599999999998</v>
      </c>
      <c r="E1476">
        <v>0.48559550000000001</v>
      </c>
      <c r="F1476" t="s">
        <v>44</v>
      </c>
      <c r="G1476">
        <v>-354.5136</v>
      </c>
      <c r="H1476" s="1">
        <v>8.6514700000000001E-7</v>
      </c>
      <c r="I1476">
        <v>281.983</v>
      </c>
      <c r="J1476">
        <v>-333.82499999999999</v>
      </c>
      <c r="K1476">
        <v>1.1088719999999901</v>
      </c>
      <c r="L1476">
        <v>283.38170000000002</v>
      </c>
      <c r="M1476">
        <v>-0.99989709999999998</v>
      </c>
      <c r="N1476">
        <v>0</v>
      </c>
      <c r="O1476">
        <v>-1.268238E-2</v>
      </c>
      <c r="P1476">
        <v>-0.99738059999999995</v>
      </c>
      <c r="Q1476">
        <v>6.5993999999999997E-2</v>
      </c>
      <c r="R1476">
        <v>-2.9617149999999998E-2</v>
      </c>
      <c r="S1476">
        <v>-3.0123599999999899</v>
      </c>
      <c r="T1476">
        <v>-0.15917419999999999</v>
      </c>
      <c r="U1476">
        <v>-0.20132449999999999</v>
      </c>
      <c r="V1476">
        <v>-1.69395E-2</v>
      </c>
      <c r="W1476">
        <v>7.2689580000000004E-2</v>
      </c>
      <c r="X1476">
        <v>0.99721070000000001</v>
      </c>
      <c r="Y1476">
        <v>-5.3966930000000003E-2</v>
      </c>
      <c r="Z1476">
        <v>-7.5437740000000001E-4</v>
      </c>
      <c r="AA1476">
        <v>0.99854240000000005</v>
      </c>
      <c r="AB1476">
        <v>50</v>
      </c>
      <c r="AC1476">
        <v>-20.688600000000001</v>
      </c>
      <c r="AD1476">
        <v>-1.10887113485299</v>
      </c>
      <c r="AE1476">
        <v>-1.39870000000001</v>
      </c>
      <c r="AF1476">
        <v>-1.13296100066494</v>
      </c>
      <c r="AG1476">
        <v>-1.10887113485299</v>
      </c>
      <c r="AH1476">
        <v>20.645635116161699</v>
      </c>
      <c r="AI1476">
        <v>93.069775991723802</v>
      </c>
      <c r="AJ1476">
        <v>93.141043591403999</v>
      </c>
      <c r="AK1476">
        <v>20.706410726449601</v>
      </c>
    </row>
    <row r="1477" spans="1:37" x14ac:dyDescent="0.2">
      <c r="A1477" t="str">
        <f>"20200111154054436"</f>
        <v>20200111154054436</v>
      </c>
      <c r="B1477" t="str">
        <f>"1578728454428197"</f>
        <v>1578728454428197</v>
      </c>
      <c r="C1477" t="s">
        <v>37</v>
      </c>
      <c r="D1477">
        <v>5.3099949999999998</v>
      </c>
      <c r="E1477">
        <v>0.48559750000000002</v>
      </c>
      <c r="F1477" t="s">
        <v>44</v>
      </c>
      <c r="G1477">
        <v>-354.80290000000002</v>
      </c>
      <c r="H1477" s="1">
        <v>1.019088E-6</v>
      </c>
      <c r="I1477">
        <v>281.97930000000002</v>
      </c>
      <c r="J1477">
        <v>-334.11160000000001</v>
      </c>
      <c r="K1477">
        <v>1.1088709999999999</v>
      </c>
      <c r="L1477">
        <v>283.37810000000002</v>
      </c>
      <c r="M1477">
        <v>-0.99989810000000001</v>
      </c>
      <c r="N1477">
        <v>0</v>
      </c>
      <c r="O1477">
        <v>-1.260928E-2</v>
      </c>
      <c r="P1477">
        <v>-0.99738199999999999</v>
      </c>
      <c r="Q1477">
        <v>6.6142779999999998E-2</v>
      </c>
      <c r="R1477">
        <v>-2.9229129999999999E-2</v>
      </c>
      <c r="S1477">
        <v>-3.0123899999999999</v>
      </c>
      <c r="T1477">
        <v>-0.15923180000000001</v>
      </c>
      <c r="U1477">
        <v>-0.2013855</v>
      </c>
      <c r="V1477">
        <v>-1.6623570000000001E-2</v>
      </c>
      <c r="W1477">
        <v>7.2844130000000007E-2</v>
      </c>
      <c r="X1477">
        <v>0.9972048</v>
      </c>
      <c r="Y1477">
        <v>-5.4059129999999997E-2</v>
      </c>
      <c r="Z1477">
        <v>-7.6093020000000001E-4</v>
      </c>
      <c r="AA1477">
        <v>0.99853740000000002</v>
      </c>
      <c r="AB1477">
        <v>50</v>
      </c>
      <c r="AC1477">
        <v>-20.691299999999998</v>
      </c>
      <c r="AD1477">
        <v>-1.108869980912</v>
      </c>
      <c r="AE1477">
        <v>-1.3987999999999901</v>
      </c>
      <c r="AF1477">
        <v>-1.1345369752674499</v>
      </c>
      <c r="AG1477">
        <v>-1.108869980912</v>
      </c>
      <c r="AH1477">
        <v>20.648261032318601</v>
      </c>
      <c r="AI1477">
        <v>93.069371525017601</v>
      </c>
      <c r="AJ1477">
        <v>93.145004877804396</v>
      </c>
      <c r="AK1477">
        <v>20.709115153515899</v>
      </c>
    </row>
    <row r="1478" spans="1:37" x14ac:dyDescent="0.2">
      <c r="A1478" t="str">
        <f>"20200111154054455"</f>
        <v>20200111154054455</v>
      </c>
      <c r="B1478" t="str">
        <f>"1578728454448240"</f>
        <v>1578728454448240</v>
      </c>
      <c r="C1478" t="s">
        <v>37</v>
      </c>
      <c r="D1478">
        <v>5.2782879999999999</v>
      </c>
      <c r="E1478">
        <v>0.48556549999999998</v>
      </c>
      <c r="F1478" t="s">
        <v>44</v>
      </c>
      <c r="G1478">
        <v>-355.10860000000002</v>
      </c>
      <c r="H1478" s="1">
        <v>1.1817719999999999E-6</v>
      </c>
      <c r="I1478">
        <v>281.9821</v>
      </c>
      <c r="J1478">
        <v>-334.49790000000002</v>
      </c>
      <c r="K1478">
        <v>1.108862</v>
      </c>
      <c r="L1478">
        <v>283.37329999999997</v>
      </c>
      <c r="M1478">
        <v>-0.99989910000000004</v>
      </c>
      <c r="N1478">
        <v>0</v>
      </c>
      <c r="O1478">
        <v>-1.250852E-2</v>
      </c>
      <c r="P1478">
        <v>-0.99736170000000002</v>
      </c>
      <c r="Q1478">
        <v>6.655519E-2</v>
      </c>
      <c r="R1478">
        <v>-2.898628E-2</v>
      </c>
      <c r="S1478">
        <v>-3.012543</v>
      </c>
      <c r="T1478">
        <v>-0.15909499999999999</v>
      </c>
      <c r="U1478">
        <v>-0.20028689999999999</v>
      </c>
      <c r="V1478">
        <v>-1.6480410000000001E-2</v>
      </c>
      <c r="W1478">
        <v>7.3264060000000006E-2</v>
      </c>
      <c r="X1478">
        <v>0.99717639999999996</v>
      </c>
      <c r="Y1478">
        <v>-5.3794170000000002E-2</v>
      </c>
      <c r="Z1478">
        <v>-7.5857439999999995E-4</v>
      </c>
      <c r="AA1478">
        <v>0.99855179999999999</v>
      </c>
      <c r="AB1478">
        <v>50</v>
      </c>
      <c r="AC1478">
        <v>-20.610700000000001</v>
      </c>
      <c r="AD1478">
        <v>-1.108860818228</v>
      </c>
      <c r="AE1478">
        <v>-1.39119999999996</v>
      </c>
      <c r="AF1478">
        <v>-1.13001998796188</v>
      </c>
      <c r="AG1478">
        <v>-1.108860818228</v>
      </c>
      <c r="AH1478">
        <v>20.567228541727498</v>
      </c>
      <c r="AI1478">
        <v>93.081416348460905</v>
      </c>
      <c r="AJ1478">
        <v>93.144825498596006</v>
      </c>
      <c r="AK1478">
        <v>20.628073283150901</v>
      </c>
    </row>
    <row r="1479" spans="1:37" x14ac:dyDescent="0.2">
      <c r="A1479" t="str">
        <f>"20200111154054467"</f>
        <v>20200111154054467</v>
      </c>
      <c r="B1479" t="str">
        <f>"1578728454457985"</f>
        <v>1578728454457985</v>
      </c>
      <c r="C1479" t="s">
        <v>37</v>
      </c>
      <c r="D1479">
        <v>5.2614210000000003</v>
      </c>
      <c r="E1479">
        <v>0.48551819999999901</v>
      </c>
      <c r="F1479" t="s">
        <v>44</v>
      </c>
      <c r="G1479">
        <v>-355.548</v>
      </c>
      <c r="H1479" s="1">
        <v>1.4155850000000001E-6</v>
      </c>
      <c r="I1479">
        <v>281.97640000000001</v>
      </c>
      <c r="J1479">
        <v>-334.7921</v>
      </c>
      <c r="K1479">
        <v>1.1088559999999901</v>
      </c>
      <c r="L1479">
        <v>283.36959999999999</v>
      </c>
      <c r="M1479">
        <v>-0.99990020000000002</v>
      </c>
      <c r="N1479">
        <v>0</v>
      </c>
      <c r="O1479">
        <v>-1.243054E-2</v>
      </c>
      <c r="P1479">
        <v>-0.99736530000000001</v>
      </c>
      <c r="Q1479">
        <v>6.6498909999999994E-2</v>
      </c>
      <c r="R1479">
        <v>-2.8999299999999999E-2</v>
      </c>
      <c r="S1479">
        <v>-3.012756</v>
      </c>
      <c r="T1479">
        <v>-0.15870329999999999</v>
      </c>
      <c r="U1479">
        <v>-0.19992070000000001</v>
      </c>
      <c r="V1479">
        <v>-1.6570339999999999E-2</v>
      </c>
      <c r="W1479">
        <v>7.3213639999999996E-2</v>
      </c>
      <c r="X1479">
        <v>0.99717860000000003</v>
      </c>
      <c r="Y1479">
        <v>-5.3746750000000003E-2</v>
      </c>
      <c r="Z1479">
        <v>-7.595112E-4</v>
      </c>
      <c r="AA1479">
        <v>0.99855430000000001</v>
      </c>
      <c r="AB1479">
        <v>50</v>
      </c>
      <c r="AC1479">
        <v>-20.7559</v>
      </c>
      <c r="AD1479">
        <v>-1.10885458441499</v>
      </c>
      <c r="AE1479">
        <v>-1.39319999999997</v>
      </c>
      <c r="AF1479">
        <v>-1.1318635546985101</v>
      </c>
      <c r="AG1479">
        <v>-1.10885458441499</v>
      </c>
      <c r="AH1479">
        <v>20.712764179452599</v>
      </c>
      <c r="AI1479">
        <v>93.059838840048698</v>
      </c>
      <c r="AJ1479">
        <v>93.127857192202399</v>
      </c>
      <c r="AK1479">
        <v>20.773282685927299</v>
      </c>
    </row>
    <row r="1480" spans="1:37" x14ac:dyDescent="0.2">
      <c r="A1480" t="str">
        <f>"20200111154054488"</f>
        <v>20200111154054488</v>
      </c>
      <c r="B1480" t="str">
        <f>"1578728454477504"</f>
        <v>1578728454477504</v>
      </c>
      <c r="C1480" t="s">
        <v>37</v>
      </c>
      <c r="D1480">
        <v>5.2240409999999997</v>
      </c>
      <c r="E1480">
        <v>0.48552799999999902</v>
      </c>
      <c r="F1480" t="s">
        <v>44</v>
      </c>
      <c r="G1480">
        <v>-355.80130000000003</v>
      </c>
      <c r="H1480" s="1">
        <v>1.55037E-6</v>
      </c>
      <c r="I1480">
        <v>281.97190000000001</v>
      </c>
      <c r="J1480">
        <v>-335.25170000000003</v>
      </c>
      <c r="K1480">
        <v>1.1088480000000001</v>
      </c>
      <c r="L1480">
        <v>283.36399999999998</v>
      </c>
      <c r="M1480">
        <v>-0.9999017</v>
      </c>
      <c r="N1480">
        <v>0</v>
      </c>
      <c r="O1480">
        <v>-1.230679E-2</v>
      </c>
      <c r="P1480">
        <v>-0.99738969999999905</v>
      </c>
      <c r="Q1480">
        <v>6.6344100000000003E-2</v>
      </c>
      <c r="R1480">
        <v>-2.8508180000000001E-2</v>
      </c>
      <c r="S1480">
        <v>-3.0126949999999999</v>
      </c>
      <c r="T1480">
        <v>-0.15900880000000001</v>
      </c>
      <c r="U1480">
        <v>-0.20043949999999999</v>
      </c>
      <c r="V1480">
        <v>-1.6201050000000002E-2</v>
      </c>
      <c r="W1480">
        <v>7.3067649999999998E-2</v>
      </c>
      <c r="X1480">
        <v>0.99719539999999995</v>
      </c>
      <c r="Y1480">
        <v>-5.4042079999999999E-2</v>
      </c>
      <c r="Z1480">
        <v>-7.7528079999999999E-4</v>
      </c>
      <c r="AA1480">
        <v>0.99853840000000005</v>
      </c>
      <c r="AB1480">
        <v>50</v>
      </c>
      <c r="AC1480">
        <v>-20.549600000000002</v>
      </c>
      <c r="AD1480">
        <v>-1.1088464496299999</v>
      </c>
      <c r="AE1480">
        <v>-1.3921000000000201</v>
      </c>
      <c r="AF1480">
        <v>-1.13579733687087</v>
      </c>
      <c r="AG1480">
        <v>-1.1088464496299999</v>
      </c>
      <c r="AH1480">
        <v>20.505743969744501</v>
      </c>
      <c r="AI1480">
        <v>93.090522088804903</v>
      </c>
      <c r="AJ1480">
        <v>93.170329512720897</v>
      </c>
      <c r="AK1480">
        <v>20.567088072744099</v>
      </c>
    </row>
    <row r="1481" spans="1:37" x14ac:dyDescent="0.2">
      <c r="A1481" t="str">
        <f>"20200111154054501"</f>
        <v>20200111154054501</v>
      </c>
      <c r="B1481" t="str">
        <f>"1578728454498001"</f>
        <v>1578728454498001</v>
      </c>
      <c r="C1481" t="s">
        <v>37</v>
      </c>
      <c r="D1481">
        <v>5.278289</v>
      </c>
      <c r="E1481">
        <v>0.48543720000000001</v>
      </c>
      <c r="F1481" t="s">
        <v>44</v>
      </c>
      <c r="G1481">
        <v>-356.35239999999999</v>
      </c>
      <c r="H1481" s="1">
        <v>1.843639E-6</v>
      </c>
      <c r="I1481">
        <v>281.97140000000002</v>
      </c>
      <c r="J1481">
        <v>-335.55930000000001</v>
      </c>
      <c r="K1481">
        <v>1.108841</v>
      </c>
      <c r="L1481">
        <v>283.36020000000002</v>
      </c>
      <c r="M1481">
        <v>-0.99990249999999903</v>
      </c>
      <c r="N1481">
        <v>0</v>
      </c>
      <c r="O1481">
        <v>-1.22224999999999E-2</v>
      </c>
      <c r="P1481">
        <v>-0.99740059999999997</v>
      </c>
      <c r="Q1481">
        <v>6.6244799999999895E-2</v>
      </c>
      <c r="R1481">
        <v>-2.834658E-2</v>
      </c>
      <c r="S1481">
        <v>-3.0126339999999998</v>
      </c>
      <c r="T1481">
        <v>-0.15831439999999999</v>
      </c>
      <c r="U1481">
        <v>-0.198822</v>
      </c>
      <c r="V1481">
        <v>-1.6123189999999999E-2</v>
      </c>
      <c r="W1481">
        <v>7.2974440000000002E-2</v>
      </c>
      <c r="X1481">
        <v>0.99720350000000002</v>
      </c>
      <c r="Y1481">
        <v>-5.3594830000000003E-2</v>
      </c>
      <c r="Z1481">
        <v>-7.6461809999999895E-4</v>
      </c>
      <c r="AA1481">
        <v>0.99856250000000002</v>
      </c>
      <c r="AB1481">
        <v>50</v>
      </c>
      <c r="AC1481">
        <v>-20.7930999999999</v>
      </c>
      <c r="AD1481">
        <v>-1.1088391563609901</v>
      </c>
      <c r="AE1481">
        <v>-1.3888</v>
      </c>
      <c r="AF1481">
        <v>-1.13134377248715</v>
      </c>
      <c r="AG1481">
        <v>-1.1088391563609901</v>
      </c>
      <c r="AH1481">
        <v>20.7497756482611</v>
      </c>
      <c r="AI1481">
        <v>93.054369246136702</v>
      </c>
      <c r="AJ1481">
        <v>93.120858063604999</v>
      </c>
      <c r="AK1481">
        <v>20.8101574347575</v>
      </c>
    </row>
    <row r="1482" spans="1:37" x14ac:dyDescent="0.2">
      <c r="A1482" t="str">
        <f>"20200111154054515"</f>
        <v>20200111154054515</v>
      </c>
      <c r="B1482" t="str">
        <f>"1578728454507761"</f>
        <v>1578728454507761</v>
      </c>
      <c r="C1482" t="s">
        <v>37</v>
      </c>
      <c r="D1482">
        <v>5.3793379999999997</v>
      </c>
      <c r="E1482">
        <v>0.48543720000000001</v>
      </c>
      <c r="F1482" t="s">
        <v>44</v>
      </c>
      <c r="G1482">
        <v>-356.64699999999999</v>
      </c>
      <c r="H1482" s="1">
        <v>2.000434E-6</v>
      </c>
      <c r="I1482">
        <v>281.96629999999999</v>
      </c>
      <c r="J1482">
        <v>-335.86</v>
      </c>
      <c r="K1482">
        <v>1.108835</v>
      </c>
      <c r="L1482">
        <v>283.35660000000001</v>
      </c>
      <c r="M1482">
        <v>-0.99990369999999995</v>
      </c>
      <c r="N1482">
        <v>0</v>
      </c>
      <c r="O1482">
        <v>-1.213988E-2</v>
      </c>
      <c r="P1482">
        <v>-0.99742030000000004</v>
      </c>
      <c r="Q1482">
        <v>6.600644E-2</v>
      </c>
      <c r="R1482">
        <v>-2.8215629999999998E-2</v>
      </c>
      <c r="S1482">
        <v>-3.0126650000000001</v>
      </c>
      <c r="T1482">
        <v>-0.15841269999999999</v>
      </c>
      <c r="U1482">
        <v>-0.1991272</v>
      </c>
      <c r="V1482">
        <v>-1.607401E-2</v>
      </c>
      <c r="W1482">
        <v>7.2741879999999995E-2</v>
      </c>
      <c r="X1482">
        <v>0.99722129999999998</v>
      </c>
      <c r="Y1482">
        <v>-5.3776949999999997E-2</v>
      </c>
      <c r="Z1482">
        <v>-7.7419730000000001E-4</v>
      </c>
      <c r="AA1482">
        <v>0.99855269999999996</v>
      </c>
      <c r="AB1482">
        <v>50</v>
      </c>
      <c r="AC1482">
        <v>-20.7869999999999</v>
      </c>
      <c r="AD1482">
        <v>-1.108832999566</v>
      </c>
      <c r="AE1482">
        <v>-1.3903000000000201</v>
      </c>
      <c r="AF1482">
        <v>-1.1346260254654099</v>
      </c>
      <c r="AG1482">
        <v>-1.108832999566</v>
      </c>
      <c r="AH1482">
        <v>20.743584912956599</v>
      </c>
      <c r="AI1482">
        <v>93.055233162280402</v>
      </c>
      <c r="AJ1482">
        <v>93.130826547516804</v>
      </c>
      <c r="AK1482">
        <v>20.8041630901036</v>
      </c>
    </row>
    <row r="1483" spans="1:37" x14ac:dyDescent="0.2">
      <c r="A1483" t="str">
        <f>"20200111154054528"</f>
        <v>20200111154054528</v>
      </c>
      <c r="B1483" t="str">
        <f>"1578728454517521"</f>
        <v>1578728454517521</v>
      </c>
      <c r="C1483" t="s">
        <v>37</v>
      </c>
      <c r="D1483">
        <v>5.3144150000000003</v>
      </c>
      <c r="E1483">
        <v>0.48616959999999998</v>
      </c>
      <c r="F1483" t="s">
        <v>44</v>
      </c>
      <c r="G1483">
        <v>-356.84809999999999</v>
      </c>
      <c r="H1483" s="1">
        <v>2.1074139999999999E-6</v>
      </c>
      <c r="I1483">
        <v>281.97359999999998</v>
      </c>
      <c r="J1483">
        <v>-336.15539999999999</v>
      </c>
      <c r="K1483">
        <v>1.1088290000000001</v>
      </c>
      <c r="L1483">
        <v>283.35300000000001</v>
      </c>
      <c r="M1483">
        <v>-0.99990460000000003</v>
      </c>
      <c r="N1483">
        <v>0</v>
      </c>
      <c r="O1483">
        <v>-1.205822E-2</v>
      </c>
      <c r="P1483">
        <v>-0.99743769999999998</v>
      </c>
      <c r="Q1483">
        <v>6.5743449999999995E-2</v>
      </c>
      <c r="R1483">
        <v>-2.821572E-2</v>
      </c>
      <c r="S1483">
        <v>-3.0126650000000001</v>
      </c>
      <c r="T1483">
        <v>-0.15916349999999899</v>
      </c>
      <c r="U1483">
        <v>-0.19851679999999999</v>
      </c>
      <c r="V1483">
        <v>-1.6154669999999999E-2</v>
      </c>
      <c r="W1483">
        <v>7.2484599999999996E-2</v>
      </c>
      <c r="X1483">
        <v>0.99723869999999903</v>
      </c>
      <c r="Y1483">
        <v>-5.3656589999999997E-2</v>
      </c>
      <c r="Z1483">
        <v>-7.7899869999999995E-4</v>
      </c>
      <c r="AA1483">
        <v>0.99855910000000003</v>
      </c>
      <c r="AB1483">
        <v>50</v>
      </c>
      <c r="AC1483">
        <v>-20.692699999999999</v>
      </c>
      <c r="AD1483">
        <v>-1.1088268925860001</v>
      </c>
      <c r="AE1483">
        <v>-1.3794000000000299</v>
      </c>
      <c r="AF1483">
        <v>-1.1265564375480599</v>
      </c>
      <c r="AG1483">
        <v>-1.1088268925860001</v>
      </c>
      <c r="AH1483">
        <v>20.6488004083932</v>
      </c>
      <c r="AI1483">
        <v>93.069237333465296</v>
      </c>
      <c r="AJ1483">
        <v>93.122844875886202</v>
      </c>
      <c r="AK1483">
        <v>20.7092149728173</v>
      </c>
    </row>
    <row r="1484" spans="1:37" x14ac:dyDescent="0.2">
      <c r="A1484" t="str">
        <f>"20200111154054543"</f>
        <v>20200111154054543</v>
      </c>
      <c r="B1484" t="str">
        <f>"1578728454538018"</f>
        <v>1578728454538018</v>
      </c>
      <c r="C1484" t="s">
        <v>37</v>
      </c>
      <c r="D1484">
        <v>5.2684280000000001</v>
      </c>
      <c r="E1484">
        <v>0.5306843</v>
      </c>
      <c r="F1484" t="s">
        <v>44</v>
      </c>
      <c r="G1484">
        <v>-356.904</v>
      </c>
      <c r="H1484" s="1">
        <v>2.1371510000000002E-6</v>
      </c>
      <c r="I1484">
        <v>282.0256</v>
      </c>
      <c r="J1484">
        <v>-336.50080000000003</v>
      </c>
      <c r="K1484">
        <v>1.108816</v>
      </c>
      <c r="L1484">
        <v>283.34890000000001</v>
      </c>
      <c r="M1484">
        <v>-0.99990559999999995</v>
      </c>
      <c r="N1484">
        <v>0</v>
      </c>
      <c r="O1484">
        <v>-1.19626E-2</v>
      </c>
      <c r="P1484">
        <v>-0.99744080000000002</v>
      </c>
      <c r="Q1484">
        <v>6.570558E-2</v>
      </c>
      <c r="R1484">
        <v>-2.8195439999999999E-2</v>
      </c>
      <c r="S1484">
        <v>-3.01287799999999</v>
      </c>
      <c r="T1484">
        <v>-0.16101170000000001</v>
      </c>
      <c r="U1484">
        <v>-0.192749</v>
      </c>
      <c r="V1484">
        <v>-1.6228889999999999E-2</v>
      </c>
      <c r="W1484">
        <v>7.2453210000000004E-2</v>
      </c>
      <c r="X1484">
        <v>0.99723980000000001</v>
      </c>
      <c r="Y1484">
        <v>-5.184482E-2</v>
      </c>
      <c r="Z1484">
        <v>-7.4479449999999997E-4</v>
      </c>
      <c r="AA1484">
        <v>0.99865490000000001</v>
      </c>
      <c r="AB1484">
        <v>50</v>
      </c>
      <c r="AC1484">
        <v>-20.403199999999899</v>
      </c>
      <c r="AD1484">
        <v>-1.1088138628490001</v>
      </c>
      <c r="AE1484">
        <v>-1.3233000000000099</v>
      </c>
      <c r="AF1484">
        <v>-1.0759599937692099</v>
      </c>
      <c r="AG1484">
        <v>-1.1088138628490001</v>
      </c>
      <c r="AH1484">
        <v>20.357698105131501</v>
      </c>
      <c r="AI1484">
        <v>93.113286997490903</v>
      </c>
      <c r="AJ1484">
        <v>93.025423579627599</v>
      </c>
      <c r="AK1484">
        <v>20.4162442733798</v>
      </c>
    </row>
    <row r="1485" spans="1:37" x14ac:dyDescent="0.2">
      <c r="A1485" t="str">
        <f>"20200111154054555"</f>
        <v>20200111154054555</v>
      </c>
      <c r="B1485" t="str">
        <f>"1578728454547777"</f>
        <v>1578728454547777</v>
      </c>
      <c r="C1485" t="s">
        <v>37</v>
      </c>
      <c r="D1485">
        <v>5.3522119999999997</v>
      </c>
      <c r="E1485">
        <v>0.53337129999999999</v>
      </c>
      <c r="F1485" t="s">
        <v>38</v>
      </c>
      <c r="G1485">
        <v>-337.6737</v>
      </c>
      <c r="H1485">
        <v>1.0454159999999999</v>
      </c>
      <c r="I1485">
        <v>283.41210000000001</v>
      </c>
      <c r="J1485">
        <v>-336.79590000000002</v>
      </c>
      <c r="K1485">
        <v>1.1088119999999999</v>
      </c>
      <c r="L1485">
        <v>283.34539999999998</v>
      </c>
      <c r="M1485">
        <v>-0.99990669999999904</v>
      </c>
      <c r="N1485">
        <v>0</v>
      </c>
      <c r="O1485">
        <v>-1.188082E-2</v>
      </c>
      <c r="P1485">
        <v>-0.99743930000000003</v>
      </c>
      <c r="Q1485">
        <v>6.5679059999999997E-2</v>
      </c>
      <c r="R1485">
        <v>-2.8311260000000001E-2</v>
      </c>
      <c r="S1485">
        <v>-3.0230709999999998</v>
      </c>
      <c r="T1485">
        <v>-0.16349459999999999</v>
      </c>
      <c r="U1485">
        <v>0.162323</v>
      </c>
      <c r="V1485">
        <v>-1.642625E-2</v>
      </c>
      <c r="W1485">
        <v>7.2432759999999999E-2</v>
      </c>
      <c r="X1485">
        <v>0.99723799999999996</v>
      </c>
      <c r="Y1485">
        <v>6.5365140000000002E-2</v>
      </c>
      <c r="Z1485">
        <v>2.4066550000000002E-3</v>
      </c>
      <c r="AA1485">
        <v>0.99785849999999898</v>
      </c>
      <c r="AB1485">
        <v>51</v>
      </c>
      <c r="AC1485">
        <v>-0.87779999999997904</v>
      </c>
      <c r="AD1485">
        <v>-6.3396000000000202E-2</v>
      </c>
      <c r="AE1485">
        <v>6.6700000000025697E-2</v>
      </c>
      <c r="AF1485">
        <v>7.6726608922315198E-2</v>
      </c>
      <c r="AG1485">
        <v>-6.3396000000000202E-2</v>
      </c>
      <c r="AH1485">
        <v>0.87242120025812797</v>
      </c>
      <c r="AI1485">
        <v>94.140266979005105</v>
      </c>
      <c r="AJ1485">
        <v>84.973954004856793</v>
      </c>
      <c r="AK1485">
        <v>0.87808016490098995</v>
      </c>
    </row>
    <row r="1486" spans="1:37" x14ac:dyDescent="0.2">
      <c r="A1486" t="str">
        <f>"20200111154054568"</f>
        <v>20200111154054568</v>
      </c>
      <c r="B1486" t="str">
        <f>"1578728454557537"</f>
        <v>1578728454557537</v>
      </c>
      <c r="C1486" t="s">
        <v>37</v>
      </c>
      <c r="D1486">
        <v>5.2653339999999904</v>
      </c>
      <c r="E1486">
        <v>0.53475680000000003</v>
      </c>
      <c r="F1486" t="s">
        <v>38</v>
      </c>
      <c r="G1486">
        <v>-337.68860000000001</v>
      </c>
      <c r="H1486">
        <v>1.0571709999999901</v>
      </c>
      <c r="I1486">
        <v>283.39980000000003</v>
      </c>
      <c r="J1486">
        <v>-337.06209999999999</v>
      </c>
      <c r="K1486">
        <v>1.108808</v>
      </c>
      <c r="L1486">
        <v>283.34219999999999</v>
      </c>
      <c r="M1486">
        <v>-0.99990759999999901</v>
      </c>
      <c r="N1486">
        <v>0</v>
      </c>
      <c r="O1486">
        <v>-1.180703E-2</v>
      </c>
      <c r="P1486">
        <v>-0.99744699999999997</v>
      </c>
      <c r="Q1486">
        <v>6.552856E-2</v>
      </c>
      <c r="R1486">
        <v>-2.8388759999999999E-2</v>
      </c>
      <c r="S1486">
        <v>-3.0244140000000002</v>
      </c>
      <c r="T1486">
        <v>-0.17512459999999999</v>
      </c>
      <c r="U1486">
        <v>0.18362429999999999</v>
      </c>
      <c r="V1486">
        <v>-1.6577169999999999E-2</v>
      </c>
      <c r="W1486">
        <v>7.2287710000000005E-2</v>
      </c>
      <c r="X1486">
        <v>0.99724599999999997</v>
      </c>
      <c r="Y1486">
        <v>7.2243499999999905E-2</v>
      </c>
      <c r="Z1486">
        <v>2.7704499999999998E-3</v>
      </c>
      <c r="AA1486">
        <v>0.99738320000000003</v>
      </c>
      <c r="AB1486">
        <v>51</v>
      </c>
      <c r="AC1486">
        <v>-0.62650000000002104</v>
      </c>
      <c r="AD1486">
        <v>-5.1637000000000099E-2</v>
      </c>
      <c r="AE1486">
        <v>5.7600000000036199E-2</v>
      </c>
      <c r="AF1486">
        <v>6.4558369559041096E-2</v>
      </c>
      <c r="AG1486">
        <v>-5.1637000000000099E-2</v>
      </c>
      <c r="AH1486">
        <v>0.62158898992468103</v>
      </c>
      <c r="AI1486">
        <v>94.723512330245399</v>
      </c>
      <c r="AJ1486">
        <v>84.070507093337</v>
      </c>
      <c r="AK1486">
        <v>0.62706222597498795</v>
      </c>
    </row>
    <row r="1487" spans="1:37" x14ac:dyDescent="0.2">
      <c r="A1487" t="str">
        <f>"20200111154054581"</f>
        <v>20200111154054581</v>
      </c>
      <c r="B1487" t="str">
        <f>"1578728454578033"</f>
        <v>1578728454578033</v>
      </c>
      <c r="C1487" t="s">
        <v>37</v>
      </c>
      <c r="D1487">
        <v>5.2667219999999997</v>
      </c>
      <c r="E1487">
        <v>0.53508719999999999</v>
      </c>
      <c r="F1487" t="s">
        <v>38</v>
      </c>
      <c r="G1487">
        <v>-338.12790000000001</v>
      </c>
      <c r="H1487">
        <v>1.04698</v>
      </c>
      <c r="I1487">
        <v>283.41059999999999</v>
      </c>
      <c r="J1487">
        <v>-337.37459999999999</v>
      </c>
      <c r="K1487">
        <v>1.108803</v>
      </c>
      <c r="L1487">
        <v>283.33859999999999</v>
      </c>
      <c r="M1487">
        <v>-0.99990840000000003</v>
      </c>
      <c r="N1487">
        <v>0</v>
      </c>
      <c r="O1487">
        <v>-1.172025E-2</v>
      </c>
      <c r="P1487">
        <v>-0.99745019999999995</v>
      </c>
      <c r="Q1487">
        <v>6.5482399999999996E-2</v>
      </c>
      <c r="R1487">
        <v>-2.83750999999999E-2</v>
      </c>
      <c r="S1487">
        <v>-3.0247799999999998</v>
      </c>
      <c r="T1487">
        <v>-0.17552319999999999</v>
      </c>
      <c r="U1487">
        <v>0.19409179999999901</v>
      </c>
      <c r="V1487">
        <v>-1.6649500000000001E-2</v>
      </c>
      <c r="W1487">
        <v>7.2247270000000002E-2</v>
      </c>
      <c r="X1487">
        <v>0.99724780000000002</v>
      </c>
      <c r="Y1487">
        <v>7.5581319999999994E-2</v>
      </c>
      <c r="Z1487">
        <v>2.867751E-3</v>
      </c>
      <c r="AA1487">
        <v>0.99713549999999995</v>
      </c>
      <c r="AB1487">
        <v>51</v>
      </c>
      <c r="AC1487">
        <v>-0.75330000000002395</v>
      </c>
      <c r="AD1487">
        <v>-6.1822999999999899E-2</v>
      </c>
      <c r="AE1487">
        <v>7.2000000000002701E-2</v>
      </c>
      <c r="AF1487">
        <v>8.0288242157271095E-2</v>
      </c>
      <c r="AG1487">
        <v>-6.1822999999999899E-2</v>
      </c>
      <c r="AH1487">
        <v>0.74741579918312595</v>
      </c>
      <c r="AI1487">
        <v>94.701568279142904</v>
      </c>
      <c r="AJ1487">
        <v>83.868734563971699</v>
      </c>
      <c r="AK1487">
        <v>0.75425371197379998</v>
      </c>
    </row>
    <row r="1488" spans="1:37" x14ac:dyDescent="0.2">
      <c r="A1488" t="str">
        <f>"20200111154054598"</f>
        <v>20200111154054598</v>
      </c>
      <c r="B1488" t="str">
        <f>"1578728454587794"</f>
        <v>1578728454587794</v>
      </c>
      <c r="C1488" t="s">
        <v>37</v>
      </c>
      <c r="D1488">
        <v>5.230175</v>
      </c>
      <c r="E1488">
        <v>0.53516129999999995</v>
      </c>
      <c r="F1488" t="s">
        <v>44</v>
      </c>
      <c r="G1488">
        <v>-357.08280000000002</v>
      </c>
      <c r="H1488" s="1">
        <v>2.2323409999999999E-6</v>
      </c>
      <c r="I1488">
        <v>284.62200000000001</v>
      </c>
      <c r="J1488">
        <v>-337.75409999999999</v>
      </c>
      <c r="K1488">
        <v>1.108798</v>
      </c>
      <c r="L1488">
        <v>283.33420000000001</v>
      </c>
      <c r="M1488">
        <v>-0.99990949999999901</v>
      </c>
      <c r="N1488">
        <v>0</v>
      </c>
      <c r="O1488">
        <v>-1.16151E-2</v>
      </c>
      <c r="P1488">
        <v>-0.99742790000000003</v>
      </c>
      <c r="Q1488">
        <v>6.571652E-2</v>
      </c>
      <c r="R1488">
        <v>-2.8615930000000001E-2</v>
      </c>
      <c r="S1488">
        <v>-3.0244140000000002</v>
      </c>
      <c r="T1488">
        <v>-0.17015559999999999</v>
      </c>
      <c r="U1488">
        <v>0.19696040000000001</v>
      </c>
      <c r="V1488">
        <v>-1.69949E-2</v>
      </c>
      <c r="W1488">
        <v>7.248889E-2</v>
      </c>
      <c r="X1488">
        <v>0.99722440000000001</v>
      </c>
      <c r="Y1488">
        <v>7.6433609999999999E-2</v>
      </c>
      <c r="Z1488">
        <v>2.7984720000000002E-3</v>
      </c>
      <c r="AA1488">
        <v>0.99707069999999998</v>
      </c>
      <c r="AB1488">
        <v>51</v>
      </c>
      <c r="AC1488">
        <v>-19.328700000000001</v>
      </c>
      <c r="AD1488">
        <v>-1.1087957676589999</v>
      </c>
      <c r="AE1488">
        <v>1.2878000000000001</v>
      </c>
      <c r="AF1488">
        <v>1.50728487023927</v>
      </c>
      <c r="AG1488">
        <v>-1.1087957676589999</v>
      </c>
      <c r="AH1488">
        <v>19.2493724530032</v>
      </c>
      <c r="AI1488">
        <v>93.286650746644497</v>
      </c>
      <c r="AJ1488">
        <v>85.522700575326795</v>
      </c>
      <c r="AK1488">
        <v>19.3401053660229</v>
      </c>
    </row>
    <row r="1489" spans="1:37" x14ac:dyDescent="0.2">
      <c r="A1489" t="str">
        <f>"20200111154054612"</f>
        <v>20200111154054612</v>
      </c>
      <c r="B1489" t="str">
        <f>"1578728454607313"</f>
        <v>1578728454607313</v>
      </c>
      <c r="C1489" t="s">
        <v>37</v>
      </c>
      <c r="D1489">
        <v>5.2466980000000003</v>
      </c>
      <c r="E1489">
        <v>0.5349083</v>
      </c>
      <c r="F1489" t="s">
        <v>44</v>
      </c>
      <c r="G1489">
        <v>-357.66770000000002</v>
      </c>
      <c r="H1489" s="1">
        <v>2.5435939999999999E-6</v>
      </c>
      <c r="I1489">
        <v>284.6302</v>
      </c>
      <c r="J1489">
        <v>-338.05759999999998</v>
      </c>
      <c r="K1489">
        <v>1.1087940000000001</v>
      </c>
      <c r="L1489">
        <v>283.33069999999998</v>
      </c>
      <c r="M1489">
        <v>-0.99991059999999998</v>
      </c>
      <c r="N1489">
        <v>0</v>
      </c>
      <c r="O1489">
        <v>-1.153118E-2</v>
      </c>
      <c r="P1489">
        <v>-0.997420999999999</v>
      </c>
      <c r="Q1489">
        <v>6.5795930000000002E-2</v>
      </c>
      <c r="R1489">
        <v>-2.868308E-2</v>
      </c>
      <c r="S1489">
        <v>-3.0245060000000001</v>
      </c>
      <c r="T1489">
        <v>-0.16840539999999901</v>
      </c>
      <c r="U1489">
        <v>0.1968384</v>
      </c>
      <c r="V1489">
        <v>-1.714506E-2</v>
      </c>
      <c r="W1489">
        <v>7.2574E-2</v>
      </c>
      <c r="X1489">
        <v>0.99721559999999898</v>
      </c>
      <c r="Y1489">
        <v>7.631106E-2</v>
      </c>
      <c r="Z1489">
        <v>2.76158E-3</v>
      </c>
      <c r="AA1489">
        <v>0.99708019999999997</v>
      </c>
      <c r="AB1489">
        <v>51</v>
      </c>
      <c r="AC1489">
        <v>-19.610099999999999</v>
      </c>
      <c r="AD1489">
        <v>-1.108791456406</v>
      </c>
      <c r="AE1489">
        <v>1.2995000000000201</v>
      </c>
      <c r="AF1489">
        <v>1.52070595811805</v>
      </c>
      <c r="AG1489">
        <v>-1.108791456406</v>
      </c>
      <c r="AH1489">
        <v>19.531641732513702</v>
      </c>
      <c r="AI1489">
        <v>93.239353228247296</v>
      </c>
      <c r="AJ1489">
        <v>85.548013192772999</v>
      </c>
      <c r="AK1489">
        <v>19.6221047258475</v>
      </c>
    </row>
    <row r="1490" spans="1:37" x14ac:dyDescent="0.2">
      <c r="A1490" t="str">
        <f>"20200111154054632"</f>
        <v>20200111154054632</v>
      </c>
      <c r="B1490" t="str">
        <f>"1578728454627810"</f>
        <v>1578728454627810</v>
      </c>
      <c r="C1490" t="s">
        <v>37</v>
      </c>
      <c r="D1490">
        <v>5.2158290000000003</v>
      </c>
      <c r="E1490">
        <v>0.534918</v>
      </c>
      <c r="F1490" t="s">
        <v>38</v>
      </c>
      <c r="G1490">
        <v>-339.04430000000002</v>
      </c>
      <c r="H1490">
        <v>1.055366</v>
      </c>
      <c r="I1490">
        <v>283.39429999999999</v>
      </c>
      <c r="J1490">
        <v>-338.52370000000002</v>
      </c>
      <c r="K1490">
        <v>1.1087879999999899</v>
      </c>
      <c r="L1490">
        <v>283.32530000000003</v>
      </c>
      <c r="M1490">
        <v>-0.99991200000000002</v>
      </c>
      <c r="N1490">
        <v>0</v>
      </c>
      <c r="O1490">
        <v>-1.1401959999999999E-2</v>
      </c>
      <c r="P1490">
        <v>-0.99740209999999996</v>
      </c>
      <c r="Q1490">
        <v>6.5913520000000003E-2</v>
      </c>
      <c r="R1490">
        <v>-2.9062029999999999E-2</v>
      </c>
      <c r="S1490">
        <v>-3.0241699999999998</v>
      </c>
      <c r="T1490">
        <v>-0.16381370000000001</v>
      </c>
      <c r="U1490">
        <v>0.19454959999999999</v>
      </c>
      <c r="V1490">
        <v>-1.765274E-2</v>
      </c>
      <c r="W1490">
        <v>7.2699079999999999E-2</v>
      </c>
      <c r="X1490">
        <v>0.99719769999999897</v>
      </c>
      <c r="Y1490">
        <v>7.5446559999999996E-2</v>
      </c>
      <c r="Z1490">
        <v>2.6563950000000002E-3</v>
      </c>
      <c r="AA1490">
        <v>0.99714629999999904</v>
      </c>
      <c r="AB1490">
        <v>51</v>
      </c>
      <c r="AC1490">
        <v>-0.52060000000000095</v>
      </c>
      <c r="AD1490">
        <v>-5.3421999999999803E-2</v>
      </c>
      <c r="AE1490">
        <v>6.8999999999959899E-2</v>
      </c>
      <c r="AF1490">
        <v>7.4164039505436499E-2</v>
      </c>
      <c r="AG1490">
        <v>-5.3421999999999803E-2</v>
      </c>
      <c r="AH1490">
        <v>0.51445566144384303</v>
      </c>
      <c r="AI1490">
        <v>95.868214860347095</v>
      </c>
      <c r="AJ1490">
        <v>81.796743626435799</v>
      </c>
      <c r="AK1490">
        <v>0.52251205003462398</v>
      </c>
    </row>
    <row r="1491" spans="1:37" x14ac:dyDescent="0.2">
      <c r="A1491" t="str">
        <f>"20200111154054646"</f>
        <v>20200111154054646</v>
      </c>
      <c r="B1491" t="str">
        <f>"1578728454638208"</f>
        <v>1578728454638208</v>
      </c>
      <c r="C1491" t="s">
        <v>37</v>
      </c>
      <c r="D1491">
        <v>5.2148190000000003</v>
      </c>
      <c r="E1491">
        <v>0.5350258</v>
      </c>
      <c r="F1491" t="s">
        <v>38</v>
      </c>
      <c r="G1491">
        <v>-339.50119999999998</v>
      </c>
      <c r="H1491">
        <v>1.0564629999999999</v>
      </c>
      <c r="I1491">
        <v>283.38810000000001</v>
      </c>
      <c r="J1491">
        <v>-338.8279</v>
      </c>
      <c r="K1491">
        <v>1.108786</v>
      </c>
      <c r="L1491">
        <v>283.32190000000003</v>
      </c>
      <c r="M1491">
        <v>-0.99991289999999999</v>
      </c>
      <c r="N1491">
        <v>0</v>
      </c>
      <c r="O1491">
        <v>-1.131768E-2</v>
      </c>
      <c r="P1491">
        <v>-0.99739159999999905</v>
      </c>
      <c r="Q1491">
        <v>6.6189709999999999E-2</v>
      </c>
      <c r="R1491">
        <v>-2.879348E-2</v>
      </c>
      <c r="S1491">
        <v>-3.0241699999999998</v>
      </c>
      <c r="T1491">
        <v>-0.161974799999999</v>
      </c>
      <c r="U1491">
        <v>0.19345090000000001</v>
      </c>
      <c r="V1491">
        <v>-1.746789E-2</v>
      </c>
      <c r="W1491">
        <v>7.2978710000000002E-2</v>
      </c>
      <c r="X1491">
        <v>0.99718050000000003</v>
      </c>
      <c r="Y1491">
        <v>7.5005299999999997E-2</v>
      </c>
      <c r="Z1491">
        <v>2.610345E-3</v>
      </c>
      <c r="AA1491">
        <v>0.997179699999999</v>
      </c>
      <c r="AB1491">
        <v>51</v>
      </c>
      <c r="AC1491">
        <v>-0.67329999999998302</v>
      </c>
      <c r="AD1491">
        <v>-5.2323000000000099E-2</v>
      </c>
      <c r="AE1491">
        <v>6.6199999999980705E-2</v>
      </c>
      <c r="AF1491">
        <v>7.33772440204465E-2</v>
      </c>
      <c r="AG1491">
        <v>-5.2323000000000099E-2</v>
      </c>
      <c r="AH1491">
        <v>0.66850912697002995</v>
      </c>
      <c r="AI1491">
        <v>94.448703322029004</v>
      </c>
      <c r="AJ1491">
        <v>83.736145990467506</v>
      </c>
      <c r="AK1491">
        <v>0.67455642396412496</v>
      </c>
    </row>
    <row r="1492" spans="1:37" x14ac:dyDescent="0.2">
      <c r="A1492" t="str">
        <f>"20200111154054657"</f>
        <v>20200111154054657</v>
      </c>
      <c r="B1492" t="str">
        <f>"1578728454647958"</f>
        <v>1578728454647958</v>
      </c>
      <c r="C1492" t="s">
        <v>37</v>
      </c>
      <c r="D1492">
        <v>5.1974619999999998</v>
      </c>
      <c r="E1492">
        <v>0.53503719999999999</v>
      </c>
      <c r="F1492" t="s">
        <v>38</v>
      </c>
      <c r="G1492">
        <v>-339.9522</v>
      </c>
      <c r="H1492">
        <v>1.049247</v>
      </c>
      <c r="I1492">
        <v>283.39460000000003</v>
      </c>
      <c r="J1492">
        <v>-339.10410000000002</v>
      </c>
      <c r="K1492">
        <v>1.108786</v>
      </c>
      <c r="L1492">
        <v>283.31880000000001</v>
      </c>
      <c r="M1492">
        <v>-0.99991379999999996</v>
      </c>
      <c r="N1492">
        <v>0</v>
      </c>
      <c r="O1492">
        <v>-1.124138E-2</v>
      </c>
      <c r="P1492">
        <v>-0.99738340000000003</v>
      </c>
      <c r="Q1492">
        <v>6.6296259999999996E-2</v>
      </c>
      <c r="R1492">
        <v>-2.8831619999999999E-2</v>
      </c>
      <c r="S1492">
        <v>-3.0241090000000002</v>
      </c>
      <c r="T1492">
        <v>-0.16025719999999999</v>
      </c>
      <c r="U1492">
        <v>0.1950684</v>
      </c>
      <c r="V1492">
        <v>-1.7582339999999998E-2</v>
      </c>
      <c r="W1492">
        <v>7.3087150000000004E-2</v>
      </c>
      <c r="X1492">
        <v>0.99717060000000002</v>
      </c>
      <c r="Y1492">
        <v>7.5463710000000003E-2</v>
      </c>
      <c r="Z1492">
        <v>2.5908010000000002E-3</v>
      </c>
      <c r="AA1492">
        <v>0.99714519999999995</v>
      </c>
      <c r="AB1492">
        <v>51</v>
      </c>
      <c r="AC1492">
        <v>-0.84809999999998797</v>
      </c>
      <c r="AD1492">
        <v>-5.9539000000000002E-2</v>
      </c>
      <c r="AE1492">
        <v>7.5800000000015105E-2</v>
      </c>
      <c r="AF1492">
        <v>8.4914067139148397E-2</v>
      </c>
      <c r="AG1492">
        <v>-5.9539000000000002E-2</v>
      </c>
      <c r="AH1492">
        <v>0.84307219512422504</v>
      </c>
      <c r="AI1492">
        <v>94.019337094647298</v>
      </c>
      <c r="AJ1492">
        <v>84.248576322235294</v>
      </c>
      <c r="AK1492">
        <v>0.84942687590556698</v>
      </c>
    </row>
    <row r="1493" spans="1:37" x14ac:dyDescent="0.2">
      <c r="A1493" t="str">
        <f>"20200111154054670"</f>
        <v>20200111154054670</v>
      </c>
      <c r="B1493" t="str">
        <f>"1578728454657718"</f>
        <v>1578728454657718</v>
      </c>
      <c r="C1493" t="s">
        <v>37</v>
      </c>
      <c r="D1493">
        <v>5.1872360000000004</v>
      </c>
      <c r="E1493">
        <v>0.53513549999999999</v>
      </c>
      <c r="F1493" t="s">
        <v>44</v>
      </c>
      <c r="G1493">
        <v>-360.2226</v>
      </c>
      <c r="H1493" s="1">
        <v>-1.418331E-6</v>
      </c>
      <c r="I1493">
        <v>284.68</v>
      </c>
      <c r="J1493">
        <v>-339.37349999999998</v>
      </c>
      <c r="K1493">
        <v>1.108786</v>
      </c>
      <c r="L1493">
        <v>283.31580000000002</v>
      </c>
      <c r="M1493">
        <v>-0.99991450000000004</v>
      </c>
      <c r="N1493">
        <v>0</v>
      </c>
      <c r="O1493">
        <v>-1.116663E-2</v>
      </c>
      <c r="P1493">
        <v>-0.99737739999999997</v>
      </c>
      <c r="Q1493">
        <v>6.6490560000000004E-2</v>
      </c>
      <c r="R1493">
        <v>-2.8584689999999999E-2</v>
      </c>
      <c r="S1493">
        <v>-3.0240480000000001</v>
      </c>
      <c r="T1493">
        <v>-0.15877169999999999</v>
      </c>
      <c r="U1493">
        <v>0.1949158</v>
      </c>
      <c r="V1493">
        <v>-1.7409009999999999E-2</v>
      </c>
      <c r="W1493">
        <v>7.328308E-2</v>
      </c>
      <c r="X1493">
        <v>0.99715919999999902</v>
      </c>
      <c r="Y1493">
        <v>7.5342850000000003E-2</v>
      </c>
      <c r="Z1493">
        <v>2.5597879999999999E-3</v>
      </c>
      <c r="AA1493">
        <v>0.9971544</v>
      </c>
      <c r="AB1493">
        <v>51</v>
      </c>
      <c r="AC1493">
        <v>-20.8491</v>
      </c>
      <c r="AD1493">
        <v>-1.108787418331</v>
      </c>
      <c r="AE1493">
        <v>1.3641999999999801</v>
      </c>
      <c r="AF1493">
        <v>1.59244982636084</v>
      </c>
      <c r="AG1493">
        <v>-1.108787418331</v>
      </c>
      <c r="AH1493">
        <v>20.7740618300706</v>
      </c>
      <c r="AI1493">
        <v>93.046265639073894</v>
      </c>
      <c r="AJ1493">
        <v>85.616525575662607</v>
      </c>
      <c r="AK1493">
        <v>20.864490190467698</v>
      </c>
    </row>
    <row r="1494" spans="1:37" x14ac:dyDescent="0.2">
      <c r="A1494" t="str">
        <f>"20200111154054683"</f>
        <v>20200111154054683</v>
      </c>
      <c r="B1494" t="str">
        <f>"1578728454678215"</f>
        <v>1578728454678215</v>
      </c>
      <c r="C1494" t="s">
        <v>37</v>
      </c>
      <c r="D1494">
        <v>5.1748620000000001</v>
      </c>
      <c r="E1494">
        <v>0.53509600000000002</v>
      </c>
      <c r="F1494" t="s">
        <v>38</v>
      </c>
      <c r="G1494">
        <v>-340.41460000000001</v>
      </c>
      <c r="H1494">
        <v>1.0548249999999999</v>
      </c>
      <c r="I1494">
        <v>283.38369999999998</v>
      </c>
      <c r="J1494">
        <v>-339.6746</v>
      </c>
      <c r="K1494">
        <v>1.108784</v>
      </c>
      <c r="L1494">
        <v>283.31240000000003</v>
      </c>
      <c r="M1494">
        <v>-0.99991549999999996</v>
      </c>
      <c r="N1494">
        <v>0</v>
      </c>
      <c r="O1494">
        <v>-1.10832999999999E-2</v>
      </c>
      <c r="P1494">
        <v>-0.99734990000000001</v>
      </c>
      <c r="Q1494">
        <v>6.7050180000000001E-2</v>
      </c>
      <c r="R1494">
        <v>-2.8244849999999998E-2</v>
      </c>
      <c r="S1494">
        <v>-3.023987</v>
      </c>
      <c r="T1494">
        <v>-0.156856299999999</v>
      </c>
      <c r="U1494">
        <v>0.19641110000000001</v>
      </c>
      <c r="V1494">
        <v>-1.7152489999999999E-2</v>
      </c>
      <c r="W1494">
        <v>7.3844220000000002E-2</v>
      </c>
      <c r="X1494">
        <v>0.99712230000000002</v>
      </c>
      <c r="Y1494">
        <v>7.5754479999999999E-2</v>
      </c>
      <c r="Z1494">
        <v>2.5353020000000001E-3</v>
      </c>
      <c r="AA1494">
        <v>0.99712330000000005</v>
      </c>
      <c r="AB1494">
        <v>51</v>
      </c>
      <c r="AC1494">
        <v>-0.74000000000000898</v>
      </c>
      <c r="AD1494">
        <v>-5.3959E-2</v>
      </c>
      <c r="AE1494">
        <v>7.1299999999951E-2</v>
      </c>
      <c r="AF1494">
        <v>7.9080848644792104E-2</v>
      </c>
      <c r="AG1494">
        <v>-5.3959E-2</v>
      </c>
      <c r="AH1494">
        <v>0.73529072889311398</v>
      </c>
      <c r="AI1494">
        <v>94.173122873023004</v>
      </c>
      <c r="AJ1494">
        <v>83.861409135513995</v>
      </c>
      <c r="AK1494">
        <v>0.74149700626472304</v>
      </c>
    </row>
    <row r="1495" spans="1:37" x14ac:dyDescent="0.2">
      <c r="A1495" t="str">
        <f>"20200111154054699"</f>
        <v>20200111154054699</v>
      </c>
      <c r="B1495" t="str">
        <f>"1578728454687975"</f>
        <v>1578728454687975</v>
      </c>
      <c r="C1495" t="s">
        <v>37</v>
      </c>
      <c r="D1495">
        <v>5.1483429999999997</v>
      </c>
      <c r="E1495">
        <v>0.53508750000000005</v>
      </c>
      <c r="F1495" t="s">
        <v>44</v>
      </c>
      <c r="G1495">
        <v>-361.4212</v>
      </c>
      <c r="H1495" s="1">
        <v>-7.8048299999999898E-7</v>
      </c>
      <c r="I1495">
        <v>284.73</v>
      </c>
      <c r="J1495">
        <v>-340.04969999999997</v>
      </c>
      <c r="K1495">
        <v>1.1087849999999999</v>
      </c>
      <c r="L1495">
        <v>283.30829999999997</v>
      </c>
      <c r="M1495">
        <v>-0.99991669999999999</v>
      </c>
      <c r="N1495">
        <v>0</v>
      </c>
      <c r="O1495">
        <v>-1.097923E-2</v>
      </c>
      <c r="P1495">
        <v>-0.99732799999999999</v>
      </c>
      <c r="Q1495">
        <v>6.7683460000000001E-2</v>
      </c>
      <c r="R1495">
        <v>-2.749735E-2</v>
      </c>
      <c r="S1495">
        <v>-3.0239259999999999</v>
      </c>
      <c r="T1495">
        <v>-0.15417919999999999</v>
      </c>
      <c r="U1495">
        <v>0.19711300000000001</v>
      </c>
      <c r="V1495">
        <v>-1.6508399999999999E-2</v>
      </c>
      <c r="W1495">
        <v>7.4479999999999894E-2</v>
      </c>
      <c r="X1495">
        <v>0.99708589999999997</v>
      </c>
      <c r="Y1495">
        <v>7.5886389999999998E-2</v>
      </c>
      <c r="Z1495">
        <v>2.490178E-3</v>
      </c>
      <c r="AA1495">
        <v>0.99711329999999998</v>
      </c>
      <c r="AB1495">
        <v>51</v>
      </c>
      <c r="AC1495">
        <v>-21.371500000000001</v>
      </c>
      <c r="AD1495">
        <v>-1.1087857804829999</v>
      </c>
      <c r="AE1495">
        <v>1.4217000000000399</v>
      </c>
      <c r="AF1495">
        <v>1.6518356791430899</v>
      </c>
      <c r="AG1495">
        <v>-1.1087857804829999</v>
      </c>
      <c r="AH1495">
        <v>21.297528467461301</v>
      </c>
      <c r="AI1495">
        <v>92.971318132122093</v>
      </c>
      <c r="AJ1495">
        <v>85.565019758781503</v>
      </c>
      <c r="AK1495">
        <v>21.390247446914099</v>
      </c>
    </row>
    <row r="1496" spans="1:37" x14ac:dyDescent="0.2">
      <c r="A1496" t="str">
        <f>"20200111154054713"</f>
        <v>20200111154054713</v>
      </c>
      <c r="B1496" t="str">
        <f>"1578728454707495"</f>
        <v>1578728454707495</v>
      </c>
      <c r="C1496" t="s">
        <v>37</v>
      </c>
      <c r="D1496">
        <v>5.1669970000000003</v>
      </c>
      <c r="E1496">
        <v>0.53511319999999996</v>
      </c>
      <c r="F1496" t="s">
        <v>44</v>
      </c>
      <c r="G1496">
        <v>-362.21660000000003</v>
      </c>
      <c r="H1496" s="1">
        <v>-3.57246499999999E-7</v>
      </c>
      <c r="I1496">
        <v>284.76850000000002</v>
      </c>
      <c r="J1496">
        <v>-340.3621</v>
      </c>
      <c r="K1496">
        <v>1.1087830000000001</v>
      </c>
      <c r="L1496">
        <v>283.30489999999998</v>
      </c>
      <c r="M1496">
        <v>-0.99991759999999996</v>
      </c>
      <c r="N1496">
        <v>0</v>
      </c>
      <c r="O1496">
        <v>-1.0892560000000001E-2</v>
      </c>
      <c r="P1496">
        <v>-0.99732849999999995</v>
      </c>
      <c r="Q1496">
        <v>6.7796229999999999E-2</v>
      </c>
      <c r="R1496">
        <v>-2.7202870000000001E-2</v>
      </c>
      <c r="S1496">
        <v>-3.0238040000000002</v>
      </c>
      <c r="T1496">
        <v>-0.15125039999999901</v>
      </c>
      <c r="U1496">
        <v>0.19918820000000001</v>
      </c>
      <c r="V1496">
        <v>-1.6300490000000001E-2</v>
      </c>
      <c r="W1496">
        <v>7.4595079999999994E-2</v>
      </c>
      <c r="X1496">
        <v>0.99708069999999904</v>
      </c>
      <c r="Y1496">
        <v>7.64875E-2</v>
      </c>
      <c r="Z1496">
        <v>2.4536580000000001E-3</v>
      </c>
      <c r="AA1496">
        <v>0.997067499999999</v>
      </c>
      <c r="AB1496">
        <v>51</v>
      </c>
      <c r="AC1496">
        <v>-21.854500000000002</v>
      </c>
      <c r="AD1496">
        <v>-1.1087833572465</v>
      </c>
      <c r="AE1496">
        <v>1.46360000000004</v>
      </c>
      <c r="AF1496">
        <v>1.69722094023529</v>
      </c>
      <c r="AG1496">
        <v>-1.1087833572465</v>
      </c>
      <c r="AH1496">
        <v>21.781445180368902</v>
      </c>
      <c r="AI1496">
        <v>92.905331831491097</v>
      </c>
      <c r="AJ1496">
        <v>85.544487444898095</v>
      </c>
      <c r="AK1496">
        <v>21.875587160089999</v>
      </c>
    </row>
    <row r="1497" spans="1:37" x14ac:dyDescent="0.2">
      <c r="A1497" t="str">
        <f>"20200111154054733"</f>
        <v>20200111154054733</v>
      </c>
      <c r="B1497" t="str">
        <f>"1578728454727991"</f>
        <v>1578728454727991</v>
      </c>
      <c r="C1497" t="s">
        <v>37</v>
      </c>
      <c r="D1497">
        <v>5.1385719999999999</v>
      </c>
      <c r="E1497">
        <v>0.53514519999999899</v>
      </c>
      <c r="F1497" t="s">
        <v>44</v>
      </c>
      <c r="G1497">
        <v>-362.67790000000002</v>
      </c>
      <c r="H1497" s="1">
        <v>-1.117435E-7</v>
      </c>
      <c r="I1497">
        <v>284.7851</v>
      </c>
      <c r="J1497">
        <v>-340.84300000000002</v>
      </c>
      <c r="K1497">
        <v>1.108778</v>
      </c>
      <c r="L1497">
        <v>283.29969999999997</v>
      </c>
      <c r="M1497">
        <v>-0.99991890000000005</v>
      </c>
      <c r="N1497">
        <v>0</v>
      </c>
      <c r="O1497">
        <v>-1.0759049999999999E-2</v>
      </c>
      <c r="P1497">
        <v>-0.99735459999999998</v>
      </c>
      <c r="Q1497">
        <v>6.7581890000000006E-2</v>
      </c>
      <c r="R1497">
        <v>-2.6773789999999999E-2</v>
      </c>
      <c r="S1497">
        <v>-3.02371199999999</v>
      </c>
      <c r="T1497">
        <v>-0.15023639999999999</v>
      </c>
      <c r="U1497">
        <v>0.2005615</v>
      </c>
      <c r="V1497">
        <v>-1.6004060000000001E-2</v>
      </c>
      <c r="W1497">
        <v>7.4385370000000006E-2</v>
      </c>
      <c r="X1497">
        <v>0.99710109999999996</v>
      </c>
      <c r="Y1497">
        <v>7.6808440000000006E-2</v>
      </c>
      <c r="Z1497">
        <v>2.4386019999999998E-3</v>
      </c>
      <c r="AA1497">
        <v>0.99704289999999995</v>
      </c>
      <c r="AB1497">
        <v>51</v>
      </c>
      <c r="AC1497">
        <v>-21.834900000000001</v>
      </c>
      <c r="AD1497">
        <v>-1.1087781117434901</v>
      </c>
      <c r="AE1497">
        <v>1.48540000000002</v>
      </c>
      <c r="AF1497">
        <v>1.7158381482310201</v>
      </c>
      <c r="AG1497">
        <v>-1.1087781117434901</v>
      </c>
      <c r="AH1497">
        <v>21.7617974230687</v>
      </c>
      <c r="AI1497">
        <v>92.907727315836098</v>
      </c>
      <c r="AJ1497">
        <v>85.491764053146497</v>
      </c>
      <c r="AK1497">
        <v>21.857477359811799</v>
      </c>
    </row>
    <row r="1498" spans="1:37" x14ac:dyDescent="0.2">
      <c r="A1498" t="str">
        <f>"20200111154054747"</f>
        <v>20200111154054747</v>
      </c>
      <c r="B1498" t="str">
        <f>"1578728454737750"</f>
        <v>1578728454737750</v>
      </c>
      <c r="C1498" t="s">
        <v>37</v>
      </c>
      <c r="D1498">
        <v>5.1476579999999998</v>
      </c>
      <c r="E1498">
        <v>0.53521569999999996</v>
      </c>
      <c r="F1498" t="s">
        <v>44</v>
      </c>
      <c r="G1498">
        <v>-363.12110000000001</v>
      </c>
      <c r="H1498" s="1">
        <v>1.241024E-7</v>
      </c>
      <c r="I1498">
        <v>284.7876</v>
      </c>
      <c r="J1498">
        <v>-341.1429</v>
      </c>
      <c r="K1498">
        <v>1.10877</v>
      </c>
      <c r="L1498">
        <v>283.29649999999998</v>
      </c>
      <c r="M1498">
        <v>-0.99991989999999997</v>
      </c>
      <c r="N1498">
        <v>0</v>
      </c>
      <c r="O1498">
        <v>-1.067573E-2</v>
      </c>
      <c r="P1498">
        <v>-0.99736759999999902</v>
      </c>
      <c r="Q1498">
        <v>6.7411750000000006E-2</v>
      </c>
      <c r="R1498">
        <v>-2.6722530000000001E-2</v>
      </c>
      <c r="S1498">
        <v>-3.0236509999999899</v>
      </c>
      <c r="T1498">
        <v>-0.15048639999999999</v>
      </c>
      <c r="U1498">
        <v>0.2019348</v>
      </c>
      <c r="V1498">
        <v>-1.603564E-2</v>
      </c>
      <c r="W1498">
        <v>7.4217989999999998E-2</v>
      </c>
      <c r="X1498">
        <v>0.99711309999999997</v>
      </c>
      <c r="Y1498">
        <v>7.7176819999999993E-2</v>
      </c>
      <c r="Z1498">
        <v>2.4476789999999999E-3</v>
      </c>
      <c r="AA1498">
        <v>0.99701439999999997</v>
      </c>
      <c r="AB1498">
        <v>51</v>
      </c>
      <c r="AC1498">
        <v>-21.978200000000001</v>
      </c>
      <c r="AD1498">
        <v>-1.1087698758975999</v>
      </c>
      <c r="AE1498">
        <v>1.4911000000000101</v>
      </c>
      <c r="AF1498">
        <v>1.7212930464170999</v>
      </c>
      <c r="AG1498">
        <v>-1.1087698758975999</v>
      </c>
      <c r="AH1498">
        <v>21.905532986739299</v>
      </c>
      <c r="AI1498">
        <v>92.888719479828097</v>
      </c>
      <c r="AJ1498">
        <v>85.507044119330999</v>
      </c>
      <c r="AK1498">
        <v>22.001013518073801</v>
      </c>
    </row>
    <row r="1499" spans="1:37" x14ac:dyDescent="0.2">
      <c r="A1499" t="str">
        <f>"20200111154054759"</f>
        <v>20200111154054759</v>
      </c>
      <c r="B1499" t="str">
        <f>"1578728454748126"</f>
        <v>1578728454748126</v>
      </c>
      <c r="C1499" t="s">
        <v>37</v>
      </c>
      <c r="D1499">
        <v>5.1272869999999999</v>
      </c>
      <c r="E1499">
        <v>0.53526070000000003</v>
      </c>
      <c r="F1499" t="s">
        <v>38</v>
      </c>
      <c r="G1499">
        <v>-342.2534</v>
      </c>
      <c r="H1499">
        <v>1.0531889999999999</v>
      </c>
      <c r="I1499">
        <v>283.37110000000001</v>
      </c>
      <c r="J1499">
        <v>-341.44920000000002</v>
      </c>
      <c r="K1499">
        <v>1.1087659999999999</v>
      </c>
      <c r="L1499">
        <v>283.29329999999999</v>
      </c>
      <c r="M1499">
        <v>-0.9999207</v>
      </c>
      <c r="N1499">
        <v>0</v>
      </c>
      <c r="O1499">
        <v>-1.0590499999999999E-2</v>
      </c>
      <c r="P1499">
        <v>-0.99738649999999995</v>
      </c>
      <c r="Q1499">
        <v>6.726596E-2</v>
      </c>
      <c r="R1499">
        <v>-2.6373779999999999E-2</v>
      </c>
      <c r="S1499">
        <v>-3.02359</v>
      </c>
      <c r="T1499">
        <v>-0.1514567</v>
      </c>
      <c r="U1499">
        <v>0.2025757</v>
      </c>
      <c r="V1499">
        <v>-1.5771449999999999E-2</v>
      </c>
      <c r="W1499">
        <v>7.4075810000000006E-2</v>
      </c>
      <c r="X1499">
        <v>0.99712789999999996</v>
      </c>
      <c r="Y1499">
        <v>7.7302109999999993E-2</v>
      </c>
      <c r="Z1499">
        <v>2.4623430000000001E-3</v>
      </c>
      <c r="AA1499">
        <v>0.99700469999999897</v>
      </c>
      <c r="AB1499">
        <v>51</v>
      </c>
      <c r="AC1499">
        <v>-0.80419999999998004</v>
      </c>
      <c r="AD1499">
        <v>-5.5576999999999897E-2</v>
      </c>
      <c r="AE1499">
        <v>7.7800000000024697E-2</v>
      </c>
      <c r="AF1499">
        <v>8.5906232789292603E-2</v>
      </c>
      <c r="AG1499">
        <v>-5.5576999999999897E-2</v>
      </c>
      <c r="AH1499">
        <v>0.79954772471785995</v>
      </c>
      <c r="AI1499">
        <v>93.953583126185293</v>
      </c>
      <c r="AJ1499">
        <v>83.867465007321698</v>
      </c>
      <c r="AK1499">
        <v>0.806067768777883</v>
      </c>
    </row>
    <row r="1500" spans="1:37" x14ac:dyDescent="0.2">
      <c r="A1500" t="str">
        <f>"20200111154054773"</f>
        <v>20200111154054773</v>
      </c>
      <c r="B1500" t="str">
        <f>"1578728454767646"</f>
        <v>1578728454767646</v>
      </c>
      <c r="C1500" t="s">
        <v>37</v>
      </c>
      <c r="D1500">
        <v>5.0683280000000002</v>
      </c>
      <c r="E1500">
        <v>0.5353173</v>
      </c>
      <c r="F1500" t="s">
        <v>44</v>
      </c>
      <c r="G1500">
        <v>-363.5163</v>
      </c>
      <c r="H1500" s="1">
        <v>3.344126E-7</v>
      </c>
      <c r="I1500">
        <v>284.78179999999998</v>
      </c>
      <c r="J1500">
        <v>-341.74709999999999</v>
      </c>
      <c r="K1500">
        <v>1.1087629999999999</v>
      </c>
      <c r="L1500">
        <v>283.29020000000003</v>
      </c>
      <c r="M1500">
        <v>-0.99992159999999997</v>
      </c>
      <c r="N1500">
        <v>0</v>
      </c>
      <c r="O1500">
        <v>-1.0507890000000001E-2</v>
      </c>
      <c r="P1500">
        <v>-0.99740720000000005</v>
      </c>
      <c r="Q1500">
        <v>6.7009089999999993E-2</v>
      </c>
      <c r="R1500">
        <v>-2.6245899999999999E-2</v>
      </c>
      <c r="S1500">
        <v>-3.0234679999999998</v>
      </c>
      <c r="T1500">
        <v>-0.1519144</v>
      </c>
      <c r="U1500">
        <v>0.20394899999999999</v>
      </c>
      <c r="V1500">
        <v>-1.57261E-2</v>
      </c>
      <c r="W1500">
        <v>7.3821869999999998E-2</v>
      </c>
      <c r="X1500">
        <v>0.99714740000000002</v>
      </c>
      <c r="Y1500">
        <v>7.7672229999999995E-2</v>
      </c>
      <c r="Z1500">
        <v>2.4749749999999999E-3</v>
      </c>
      <c r="AA1500">
        <v>0.99697590000000003</v>
      </c>
      <c r="AB1500">
        <v>51</v>
      </c>
      <c r="AC1500">
        <v>-21.769200000000001</v>
      </c>
      <c r="AD1500">
        <v>-1.1087626655873899</v>
      </c>
      <c r="AE1500">
        <v>1.4915999999999401</v>
      </c>
      <c r="AF1500">
        <v>1.7158409892244999</v>
      </c>
      <c r="AG1500">
        <v>-1.1087626655873899</v>
      </c>
      <c r="AH1500">
        <v>21.696304052675998</v>
      </c>
      <c r="AI1500">
        <v>92.916394604232906</v>
      </c>
      <c r="AJ1500">
        <v>85.478204200046804</v>
      </c>
      <c r="AK1500">
        <v>21.792270980672701</v>
      </c>
    </row>
    <row r="1501" spans="1:37" x14ac:dyDescent="0.2">
      <c r="A1501" t="str">
        <f>"20200111154054790"</f>
        <v>20200111154054790</v>
      </c>
      <c r="B1501" t="str">
        <f>"1578728454777406"</f>
        <v>1578728454777406</v>
      </c>
      <c r="C1501" t="s">
        <v>37</v>
      </c>
      <c r="D1501">
        <v>5.099939</v>
      </c>
      <c r="E1501">
        <v>0.53537729999999994</v>
      </c>
      <c r="F1501" t="s">
        <v>44</v>
      </c>
      <c r="G1501">
        <v>-363.76060000000001</v>
      </c>
      <c r="H1501" s="1">
        <v>4.643953E-7</v>
      </c>
      <c r="I1501">
        <v>284.78089999999997</v>
      </c>
      <c r="J1501">
        <v>-342.13479999999998</v>
      </c>
      <c r="K1501">
        <v>1.1087549999999999</v>
      </c>
      <c r="L1501">
        <v>283.28609999999998</v>
      </c>
      <c r="M1501">
        <v>-0.9999228</v>
      </c>
      <c r="N1501">
        <v>0</v>
      </c>
      <c r="O1501">
        <v>-1.040025E-2</v>
      </c>
      <c r="P1501">
        <v>-0.99743760000000004</v>
      </c>
      <c r="Q1501">
        <v>6.6594299999999995E-2</v>
      </c>
      <c r="R1501">
        <v>-2.6151239999999999E-2</v>
      </c>
      <c r="S1501">
        <v>-3.0234070000000002</v>
      </c>
      <c r="T1501">
        <v>-0.1522811</v>
      </c>
      <c r="U1501">
        <v>0.20474239999999999</v>
      </c>
      <c r="V1501">
        <v>-1.5738470000000001E-2</v>
      </c>
      <c r="W1501">
        <v>7.3411000000000004E-2</v>
      </c>
      <c r="X1501">
        <v>0.9971776</v>
      </c>
      <c r="Y1501">
        <v>7.7826110000000004E-2</v>
      </c>
      <c r="Z1501">
        <v>2.4794270000000002E-3</v>
      </c>
      <c r="AA1501">
        <v>0.99696390000000001</v>
      </c>
      <c r="AB1501">
        <v>52</v>
      </c>
      <c r="AC1501">
        <v>-21.625800000000002</v>
      </c>
      <c r="AD1501">
        <v>-1.1087545356046999</v>
      </c>
      <c r="AE1501">
        <v>1.4947999999999899</v>
      </c>
      <c r="AF1501">
        <v>1.71515104830984</v>
      </c>
      <c r="AG1501">
        <v>-1.1087545356046999</v>
      </c>
      <c r="AH1501">
        <v>21.552699390696102</v>
      </c>
      <c r="AI1501">
        <v>92.935656694493204</v>
      </c>
      <c r="AJ1501">
        <v>85.450024464859794</v>
      </c>
      <c r="AK1501">
        <v>21.649247810592701</v>
      </c>
    </row>
    <row r="1502" spans="1:37" x14ac:dyDescent="0.2">
      <c r="A1502" t="str">
        <f>"20200111154054812"</f>
        <v>20200111154054812</v>
      </c>
      <c r="B1502" t="str">
        <f>"1578728454807660"</f>
        <v>1578728454807660</v>
      </c>
      <c r="C1502" t="s">
        <v>37</v>
      </c>
      <c r="D1502">
        <v>5.0162800000000001</v>
      </c>
      <c r="E1502">
        <v>0.50475340000000002</v>
      </c>
      <c r="F1502" t="s">
        <v>38</v>
      </c>
      <c r="G1502">
        <v>-343.18040000000002</v>
      </c>
      <c r="H1502">
        <v>1.0555729999999901</v>
      </c>
      <c r="I1502">
        <v>283.35730000000001</v>
      </c>
      <c r="J1502">
        <v>-342.64929999999998</v>
      </c>
      <c r="K1502">
        <v>1.108743</v>
      </c>
      <c r="L1502">
        <v>283.2808</v>
      </c>
      <c r="M1502">
        <v>-0.99992420000000004</v>
      </c>
      <c r="N1502">
        <v>0</v>
      </c>
      <c r="O1502">
        <v>-1.025745E-2</v>
      </c>
      <c r="P1502">
        <v>-0.99749869999999996</v>
      </c>
      <c r="Q1502">
        <v>6.5684599999999996E-2</v>
      </c>
      <c r="R1502">
        <v>-2.612066E-2</v>
      </c>
      <c r="S1502">
        <v>-3.0233759999999998</v>
      </c>
      <c r="T1502">
        <v>-0.1539065</v>
      </c>
      <c r="U1502">
        <v>0.2055054</v>
      </c>
      <c r="V1502">
        <v>-1.5849829999999999E-2</v>
      </c>
      <c r="W1502">
        <v>7.2507890000000005E-2</v>
      </c>
      <c r="X1502">
        <v>0.99724190000000001</v>
      </c>
      <c r="Y1502">
        <v>7.7932479999999998E-2</v>
      </c>
      <c r="Z1502">
        <v>2.501306E-3</v>
      </c>
      <c r="AA1502">
        <v>0.99695549999999999</v>
      </c>
      <c r="AB1502">
        <v>52</v>
      </c>
      <c r="AC1502">
        <v>-0.53110000000003699</v>
      </c>
      <c r="AD1502">
        <v>-5.3170000000000099E-2</v>
      </c>
      <c r="AE1502">
        <v>7.6500000000009893E-2</v>
      </c>
      <c r="AF1502">
        <v>8.1147059373644095E-2</v>
      </c>
      <c r="AG1502">
        <v>-5.3170000000000099E-2</v>
      </c>
      <c r="AH1502">
        <v>0.52513114112516002</v>
      </c>
      <c r="AI1502">
        <v>95.714181661713198</v>
      </c>
      <c r="AJ1502">
        <v>81.215721249825904</v>
      </c>
      <c r="AK1502">
        <v>0.53401742436403898</v>
      </c>
    </row>
    <row r="1503" spans="1:37" x14ac:dyDescent="0.2">
      <c r="A1503" t="str">
        <f>"20200111154054827"</f>
        <v>20200111154054827</v>
      </c>
      <c r="B1503" t="str">
        <f>"1578728454817422"</f>
        <v>1578728454817422</v>
      </c>
      <c r="C1503" t="s">
        <v>37</v>
      </c>
      <c r="D1503">
        <v>5.1370889999999996</v>
      </c>
      <c r="E1503">
        <v>0.49839269999999902</v>
      </c>
      <c r="F1503" t="s">
        <v>44</v>
      </c>
      <c r="G1503">
        <v>-361.6764</v>
      </c>
      <c r="H1503" s="1">
        <v>-6.4468919999999899E-7</v>
      </c>
      <c r="I1503">
        <v>283.03919999999999</v>
      </c>
      <c r="J1503">
        <v>-342.9941</v>
      </c>
      <c r="K1503">
        <v>1.1087370000000001</v>
      </c>
      <c r="L1503">
        <v>283.27730000000003</v>
      </c>
      <c r="M1503">
        <v>-0.99992499999999995</v>
      </c>
      <c r="N1503">
        <v>0</v>
      </c>
      <c r="O1503">
        <v>-1.016186E-2</v>
      </c>
      <c r="P1503">
        <v>-0.99750930000000004</v>
      </c>
      <c r="Q1503">
        <v>6.5599489999999996E-2</v>
      </c>
      <c r="R1503">
        <v>-2.5925179999999999E-2</v>
      </c>
      <c r="S1503">
        <v>-3.0180660000000001</v>
      </c>
      <c r="T1503">
        <v>-0.1758681</v>
      </c>
      <c r="U1503">
        <v>-3.8330080000000002E-2</v>
      </c>
      <c r="V1503">
        <v>-1.5750070000000001E-2</v>
      </c>
      <c r="W1503">
        <v>7.2427519999999995E-2</v>
      </c>
      <c r="X1503">
        <v>0.99724930000000001</v>
      </c>
      <c r="Y1503">
        <v>-2.550166E-3</v>
      </c>
      <c r="Z1503">
        <v>5.1738519999999896E-4</v>
      </c>
      <c r="AA1503">
        <v>0.99999660000000001</v>
      </c>
      <c r="AB1503">
        <v>52</v>
      </c>
      <c r="AC1503">
        <v>-18.682300000000001</v>
      </c>
      <c r="AD1503">
        <v>-1.1087376446892001</v>
      </c>
      <c r="AE1503">
        <v>-0.23810000000003101</v>
      </c>
      <c r="AF1503">
        <v>-4.80670847784892E-2</v>
      </c>
      <c r="AG1503">
        <v>-1.1087376446892001</v>
      </c>
      <c r="AH1503">
        <v>18.618191166355299</v>
      </c>
      <c r="AI1503">
        <v>93.408002430520895</v>
      </c>
      <c r="AJ1503">
        <v>90.147921726008306</v>
      </c>
      <c r="AK1503">
        <v>18.6512372757504</v>
      </c>
    </row>
    <row r="1504" spans="1:37" x14ac:dyDescent="0.2">
      <c r="A1504" t="str">
        <f>"20200111154054846"</f>
        <v>20200111154054846</v>
      </c>
      <c r="B1504" t="str">
        <f>"1578728454837916"</f>
        <v>1578728454837916</v>
      </c>
      <c r="C1504" t="s">
        <v>37</v>
      </c>
      <c r="D1504">
        <v>5.0688149999999998</v>
      </c>
      <c r="E1504">
        <v>0.495540799999999</v>
      </c>
      <c r="F1504" t="s">
        <v>44</v>
      </c>
      <c r="G1504">
        <v>-362.58080000000001</v>
      </c>
      <c r="H1504" s="1">
        <v>-1.633881E-7</v>
      </c>
      <c r="I1504">
        <v>282.70280000000002</v>
      </c>
      <c r="J1504">
        <v>-343.43869999999998</v>
      </c>
      <c r="K1504">
        <v>1.1087340000000001</v>
      </c>
      <c r="L1504">
        <v>283.27289999999999</v>
      </c>
      <c r="M1504">
        <v>-0.99992619999999899</v>
      </c>
      <c r="N1504">
        <v>0</v>
      </c>
      <c r="O1504">
        <v>-1.003837E-2</v>
      </c>
      <c r="P1504">
        <v>-0.99752439999999998</v>
      </c>
      <c r="Q1504">
        <v>6.5352750000000001E-2</v>
      </c>
      <c r="R1504">
        <v>-2.5967509999999999E-2</v>
      </c>
      <c r="S1504">
        <v>-3.0164179999999998</v>
      </c>
      <c r="T1504">
        <v>-0.17074890000000001</v>
      </c>
      <c r="U1504">
        <v>-8.8470460000000001E-2</v>
      </c>
      <c r="V1504">
        <v>-1.5914879999999999E-2</v>
      </c>
      <c r="W1504">
        <v>7.218687E-2</v>
      </c>
      <c r="X1504">
        <v>0.99726409999999999</v>
      </c>
      <c r="Y1504">
        <v>-1.9266510000000001E-2</v>
      </c>
      <c r="Z1504" s="1">
        <v>2.2894299999999999E-5</v>
      </c>
      <c r="AA1504">
        <v>0.99981439999999999</v>
      </c>
      <c r="AB1504">
        <v>52</v>
      </c>
      <c r="AC1504">
        <v>-19.142099999999999</v>
      </c>
      <c r="AD1504">
        <v>-1.1087341633881</v>
      </c>
      <c r="AE1504">
        <v>-0.57009999999996797</v>
      </c>
      <c r="AF1504">
        <v>-0.37664880436884501</v>
      </c>
      <c r="AG1504">
        <v>-1.1087341633881</v>
      </c>
      <c r="AH1504">
        <v>19.0828945804267</v>
      </c>
      <c r="AI1504">
        <v>93.324554456804293</v>
      </c>
      <c r="AJ1504">
        <v>91.130729149138403</v>
      </c>
      <c r="AK1504">
        <v>19.1187871303223</v>
      </c>
    </row>
    <row r="1505" spans="1:37" x14ac:dyDescent="0.2">
      <c r="A1505" t="str">
        <f>"20200111154054859"</f>
        <v>20200111154054859</v>
      </c>
      <c r="B1505" t="str">
        <f>"1578728454847619"</f>
        <v>1578728454847619</v>
      </c>
      <c r="C1505" t="s">
        <v>37</v>
      </c>
      <c r="D1505">
        <v>5.0192350000000001</v>
      </c>
      <c r="E1505">
        <v>0.49562309999999998</v>
      </c>
      <c r="F1505" t="s">
        <v>44</v>
      </c>
      <c r="G1505">
        <v>-364.0197</v>
      </c>
      <c r="H1505" s="1">
        <v>6.0232569999999999E-7</v>
      </c>
      <c r="I1505">
        <v>282.51170000000002</v>
      </c>
      <c r="J1505">
        <v>-343.7577</v>
      </c>
      <c r="K1505">
        <v>1.1087309999999999</v>
      </c>
      <c r="L1505">
        <v>283.2697</v>
      </c>
      <c r="M1505">
        <v>-0.99992709999999996</v>
      </c>
      <c r="N1505">
        <v>0</v>
      </c>
      <c r="O1505">
        <v>-9.9499259999999996E-3</v>
      </c>
      <c r="P1505">
        <v>-0.99753329999999996</v>
      </c>
      <c r="Q1505">
        <v>6.5211320000000003E-2</v>
      </c>
      <c r="R1505">
        <v>-2.5982720000000001E-2</v>
      </c>
      <c r="S1505">
        <v>-3.0152589999999999</v>
      </c>
      <c r="T1505">
        <v>-0.16243679999999999</v>
      </c>
      <c r="U1505">
        <v>-0.1115112</v>
      </c>
      <c r="V1505">
        <v>-1.60187E-2</v>
      </c>
      <c r="W1505">
        <v>7.2049429999999998E-2</v>
      </c>
      <c r="X1505">
        <v>0.99727239999999995</v>
      </c>
      <c r="Y1505">
        <v>-2.6987190000000001E-2</v>
      </c>
      <c r="Z1505">
        <v>-1.9071839999999999E-4</v>
      </c>
      <c r="AA1505">
        <v>0.99963579999999996</v>
      </c>
      <c r="AB1505">
        <v>52</v>
      </c>
      <c r="AC1505">
        <v>-20.262</v>
      </c>
      <c r="AD1505">
        <v>-1.1087303976742999</v>
      </c>
      <c r="AE1505">
        <v>-0.75799999999998102</v>
      </c>
      <c r="AF1505">
        <v>-0.55469379045842204</v>
      </c>
      <c r="AG1505">
        <v>-1.1087303976742999</v>
      </c>
      <c r="AH1505">
        <v>20.208115689064599</v>
      </c>
      <c r="AI1505">
        <v>93.139238687600596</v>
      </c>
      <c r="AJ1505">
        <v>91.572320509681603</v>
      </c>
      <c r="AK1505">
        <v>20.246108465542701</v>
      </c>
    </row>
    <row r="1506" spans="1:37" x14ac:dyDescent="0.2">
      <c r="A1506" t="str">
        <f>"20200111154054877"</f>
        <v>20200111154054877</v>
      </c>
      <c r="B1506" t="str">
        <f>"1578728454868118"</f>
        <v>1578728454868118</v>
      </c>
      <c r="C1506" t="s">
        <v>37</v>
      </c>
      <c r="D1506">
        <v>5.0406430000000002</v>
      </c>
      <c r="E1506">
        <v>0.49578990000000001</v>
      </c>
      <c r="F1506" t="s">
        <v>44</v>
      </c>
      <c r="G1506">
        <v>-364.58069999999998</v>
      </c>
      <c r="H1506" s="1">
        <v>9.0081229999999996E-7</v>
      </c>
      <c r="I1506">
        <v>282.5027</v>
      </c>
      <c r="J1506">
        <v>-344.18199999999899</v>
      </c>
      <c r="K1506">
        <v>1.1087290000000001</v>
      </c>
      <c r="L1506">
        <v>283.26549999999997</v>
      </c>
      <c r="M1506">
        <v>-0.99992819999999905</v>
      </c>
      <c r="N1506">
        <v>0</v>
      </c>
      <c r="O1506">
        <v>-9.8325189999999996E-3</v>
      </c>
      <c r="P1506">
        <v>-0.99753029999999998</v>
      </c>
      <c r="Q1506">
        <v>6.5202699999999905E-2</v>
      </c>
      <c r="R1506">
        <v>-2.6116179999999999E-2</v>
      </c>
      <c r="S1506">
        <v>-3.015015</v>
      </c>
      <c r="T1506">
        <v>-0.16053599999999901</v>
      </c>
      <c r="U1506">
        <v>-0.1110535</v>
      </c>
      <c r="V1506">
        <v>-1.6268830000000001E-2</v>
      </c>
      <c r="W1506">
        <v>7.2047050000000001E-2</v>
      </c>
      <c r="X1506">
        <v>0.99726859999999995</v>
      </c>
      <c r="Y1506">
        <v>-2.6956419999999998E-2</v>
      </c>
      <c r="Z1506">
        <v>-1.939315E-4</v>
      </c>
      <c r="AA1506">
        <v>0.99963659999999999</v>
      </c>
      <c r="AB1506">
        <v>52</v>
      </c>
      <c r="AC1506">
        <v>-20.398700000000002</v>
      </c>
      <c r="AD1506">
        <v>-1.1087280991877</v>
      </c>
      <c r="AE1506">
        <v>-0.76279999999996995</v>
      </c>
      <c r="AF1506">
        <v>-0.56053417605894296</v>
      </c>
      <c r="AG1506">
        <v>-1.1087280991877</v>
      </c>
      <c r="AH1506">
        <v>20.345193728533602</v>
      </c>
      <c r="AI1506">
        <v>93.118114406584098</v>
      </c>
      <c r="AJ1506">
        <v>91.578167332975596</v>
      </c>
      <c r="AK1506">
        <v>20.383090649163702</v>
      </c>
    </row>
    <row r="1507" spans="1:37" x14ac:dyDescent="0.2">
      <c r="A1507" t="str">
        <f>"20200111154054891"</f>
        <v>20200111154054891</v>
      </c>
      <c r="B1507" t="str">
        <f>"1578728454887635"</f>
        <v>1578728454887635</v>
      </c>
      <c r="C1507" t="s">
        <v>37</v>
      </c>
      <c r="D1507">
        <v>5.0514919999999996</v>
      </c>
      <c r="E1507">
        <v>0.4959076</v>
      </c>
      <c r="F1507" t="s">
        <v>44</v>
      </c>
      <c r="G1507">
        <v>-365.18349999999998</v>
      </c>
      <c r="H1507" s="1">
        <v>1.2216329999999999E-6</v>
      </c>
      <c r="I1507">
        <v>282.49869999999999</v>
      </c>
      <c r="J1507">
        <v>-344.49090000000001</v>
      </c>
      <c r="K1507">
        <v>1.108727</v>
      </c>
      <c r="L1507">
        <v>283.26249999999999</v>
      </c>
      <c r="M1507">
        <v>-0.99992899999999996</v>
      </c>
      <c r="N1507">
        <v>0</v>
      </c>
      <c r="O1507">
        <v>-9.7472949999999996E-3</v>
      </c>
      <c r="P1507">
        <v>-0.99753199999999997</v>
      </c>
      <c r="Q1507">
        <v>6.5118179999999998E-2</v>
      </c>
      <c r="R1507">
        <v>-2.6260720000000001E-2</v>
      </c>
      <c r="S1507">
        <v>-3.0149539999999999</v>
      </c>
      <c r="T1507">
        <v>-0.15916729999999901</v>
      </c>
      <c r="U1507">
        <v>-0.11007690000000001</v>
      </c>
      <c r="V1507">
        <v>-1.6498140000000001E-2</v>
      </c>
      <c r="W1507">
        <v>7.1967149999999994E-2</v>
      </c>
      <c r="X1507">
        <v>0.99727049999999995</v>
      </c>
      <c r="Y1507">
        <v>-2.6719639999999999E-2</v>
      </c>
      <c r="Z1507">
        <v>-1.9053540000000001E-4</v>
      </c>
      <c r="AA1507">
        <v>0.99964299999999995</v>
      </c>
      <c r="AB1507">
        <v>52</v>
      </c>
      <c r="AC1507">
        <v>-20.692599999999899</v>
      </c>
      <c r="AD1507">
        <v>-1.1087257783669999</v>
      </c>
      <c r="AE1507">
        <v>-0.76380000000000303</v>
      </c>
      <c r="AF1507">
        <v>-0.56045527597484102</v>
      </c>
      <c r="AG1507">
        <v>-1.1087257783669999</v>
      </c>
      <c r="AH1507">
        <v>20.6398876465753</v>
      </c>
      <c r="AI1507">
        <v>93.073707197044698</v>
      </c>
      <c r="AJ1507">
        <v>91.5554267324178</v>
      </c>
      <c r="AK1507">
        <v>20.6772422008167</v>
      </c>
    </row>
    <row r="1508" spans="1:37" x14ac:dyDescent="0.2">
      <c r="A1508" t="str">
        <f>"20200111154054905"</f>
        <v>20200111154054905</v>
      </c>
      <c r="B1508" t="str">
        <f>"1578728454897395"</f>
        <v>1578728454897395</v>
      </c>
      <c r="C1508" t="s">
        <v>37</v>
      </c>
      <c r="D1508">
        <v>5.0371459999999999</v>
      </c>
      <c r="E1508">
        <v>0.49580600000000002</v>
      </c>
      <c r="F1508" t="s">
        <v>44</v>
      </c>
      <c r="G1508">
        <v>-365.61939999999998</v>
      </c>
      <c r="H1508" s="1">
        <v>1.4535839999999999E-6</v>
      </c>
      <c r="I1508">
        <v>282.49489999999997</v>
      </c>
      <c r="J1508">
        <v>-344.796999999999</v>
      </c>
      <c r="K1508">
        <v>1.1087229999999999</v>
      </c>
      <c r="L1508">
        <v>283.2595</v>
      </c>
      <c r="M1508">
        <v>-0.99992979999999998</v>
      </c>
      <c r="N1508">
        <v>0</v>
      </c>
      <c r="O1508">
        <v>-9.6627859999999996E-3</v>
      </c>
      <c r="P1508">
        <v>-0.99752759999999996</v>
      </c>
      <c r="Q1508">
        <v>6.5250779999999994E-2</v>
      </c>
      <c r="R1508">
        <v>-2.6095730000000001E-2</v>
      </c>
      <c r="S1508">
        <v>-3.0148619999999999</v>
      </c>
      <c r="T1508">
        <v>-0.15820609999999999</v>
      </c>
      <c r="U1508">
        <v>-0.1095276</v>
      </c>
      <c r="V1508">
        <v>-1.6417609999999999E-2</v>
      </c>
      <c r="W1508">
        <v>7.2104130000000002E-2</v>
      </c>
      <c r="X1508">
        <v>0.99726199999999998</v>
      </c>
      <c r="Y1508">
        <v>-2.6623629999999999E-2</v>
      </c>
      <c r="Z1508">
        <v>-1.9130589999999999E-4</v>
      </c>
      <c r="AA1508">
        <v>0.99964549999999996</v>
      </c>
      <c r="AB1508">
        <v>52</v>
      </c>
      <c r="AC1508">
        <v>-20.822399999999998</v>
      </c>
      <c r="AD1508">
        <v>-1.1087215464159901</v>
      </c>
      <c r="AE1508">
        <v>-0.76460000000002903</v>
      </c>
      <c r="AF1508">
        <v>-0.56176660123336197</v>
      </c>
      <c r="AG1508">
        <v>-1.1087215464159901</v>
      </c>
      <c r="AH1508">
        <v>20.770008390186899</v>
      </c>
      <c r="AI1508">
        <v>93.054484692809694</v>
      </c>
      <c r="AJ1508">
        <v>91.549301738158206</v>
      </c>
      <c r="AK1508">
        <v>20.807164480298201</v>
      </c>
    </row>
    <row r="1509" spans="1:37" x14ac:dyDescent="0.2">
      <c r="A1509" t="str">
        <f>"20200111154054916"</f>
        <v>20200111154054916</v>
      </c>
      <c r="B1509" t="str">
        <f>"1578728454908131"</f>
        <v>1578728454908131</v>
      </c>
      <c r="C1509" t="s">
        <v>37</v>
      </c>
      <c r="D1509">
        <v>5.083844</v>
      </c>
      <c r="E1509">
        <v>0.49583959999999999</v>
      </c>
      <c r="F1509" t="s">
        <v>44</v>
      </c>
      <c r="G1509">
        <v>-365.95949999999999</v>
      </c>
      <c r="H1509" s="1">
        <v>1.6345669999999999E-6</v>
      </c>
      <c r="I1509">
        <v>282.48869999999999</v>
      </c>
      <c r="J1509">
        <v>-345.10930000000002</v>
      </c>
      <c r="K1509">
        <v>1.1087209999999901</v>
      </c>
      <c r="L1509">
        <v>283.25650000000002</v>
      </c>
      <c r="M1509">
        <v>-0.99993080000000001</v>
      </c>
      <c r="N1509">
        <v>0</v>
      </c>
      <c r="O1509">
        <v>-9.5767290000000008E-3</v>
      </c>
      <c r="P1509">
        <v>-0.99753599999999998</v>
      </c>
      <c r="Q1509">
        <v>6.512693E-2</v>
      </c>
      <c r="R1509">
        <v>-2.6092589999999999E-2</v>
      </c>
      <c r="S1509">
        <v>-3.0148619999999999</v>
      </c>
      <c r="T1509">
        <v>-0.157950799999999</v>
      </c>
      <c r="U1509">
        <v>-0.109802199999999</v>
      </c>
      <c r="V1509">
        <v>-1.6500500000000001E-2</v>
      </c>
      <c r="W1509">
        <v>7.1985220000000003E-2</v>
      </c>
      <c r="X1509">
        <v>0.99726919999999897</v>
      </c>
      <c r="Y1509">
        <v>-2.6800330000000001E-2</v>
      </c>
      <c r="Z1509">
        <v>-2.0012520000000001E-4</v>
      </c>
      <c r="AA1509">
        <v>0.9996408</v>
      </c>
      <c r="AB1509">
        <v>52</v>
      </c>
      <c r="AC1509">
        <v>-20.850199999999901</v>
      </c>
      <c r="AD1509">
        <v>-1.1087193654330001</v>
      </c>
      <c r="AE1509">
        <v>-0.76780000000002202</v>
      </c>
      <c r="AF1509">
        <v>-0.56648377469015498</v>
      </c>
      <c r="AG1509">
        <v>-1.1087193654330001</v>
      </c>
      <c r="AH1509">
        <v>20.7978679251198</v>
      </c>
      <c r="AI1509">
        <v>93.050379100079397</v>
      </c>
      <c r="AJ1509">
        <v>91.560213125733995</v>
      </c>
      <c r="AK1509">
        <v>20.835101937091601</v>
      </c>
    </row>
    <row r="1510" spans="1:37" x14ac:dyDescent="0.2">
      <c r="A1510" t="str">
        <f>"20200111154054930"</f>
        <v>20200111154054930</v>
      </c>
      <c r="B1510" t="str">
        <f>"1578728454927651"</f>
        <v>1578728454927651</v>
      </c>
      <c r="C1510" t="s">
        <v>37</v>
      </c>
      <c r="D1510">
        <v>5.0301749999999998</v>
      </c>
      <c r="E1510">
        <v>0.49570340000000002</v>
      </c>
      <c r="F1510" t="s">
        <v>44</v>
      </c>
      <c r="G1510">
        <v>-366.36239999999998</v>
      </c>
      <c r="H1510" s="1">
        <v>1.84894E-6</v>
      </c>
      <c r="I1510">
        <v>282.48419999999999</v>
      </c>
      <c r="J1510">
        <v>-345.4092</v>
      </c>
      <c r="K1510">
        <v>1.108716</v>
      </c>
      <c r="L1510">
        <v>283.25369999999998</v>
      </c>
      <c r="M1510">
        <v>-0.99993129999999997</v>
      </c>
      <c r="N1510">
        <v>0</v>
      </c>
      <c r="O1510">
        <v>-9.493652E-3</v>
      </c>
      <c r="P1510">
        <v>-0.99753729999999996</v>
      </c>
      <c r="Q1510">
        <v>6.5235879999999996E-2</v>
      </c>
      <c r="R1510">
        <v>-2.576065E-2</v>
      </c>
      <c r="S1510">
        <v>-3.0148320000000002</v>
      </c>
      <c r="T1510">
        <v>-0.15727639999999901</v>
      </c>
      <c r="U1510">
        <v>-0.10955810000000001</v>
      </c>
      <c r="V1510">
        <v>-1.625118E-2</v>
      </c>
      <c r="W1510">
        <v>7.2098419999999996E-2</v>
      </c>
      <c r="X1510">
        <v>0.99726510000000002</v>
      </c>
      <c r="Y1510">
        <v>-2.6802980000000001E-2</v>
      </c>
      <c r="Z1510">
        <v>-2.0367200000000001E-4</v>
      </c>
      <c r="AA1510">
        <v>0.99964069999999905</v>
      </c>
      <c r="AB1510">
        <v>52</v>
      </c>
      <c r="AC1510">
        <v>-20.953199999999899</v>
      </c>
      <c r="AD1510">
        <v>-1.10871415106</v>
      </c>
      <c r="AE1510">
        <v>-0.76949999999999297</v>
      </c>
      <c r="AF1510">
        <v>-0.56894739454342902</v>
      </c>
      <c r="AG1510">
        <v>-1.10871415106</v>
      </c>
      <c r="AH1510">
        <v>20.901119544415799</v>
      </c>
      <c r="AI1510">
        <v>93.035325589038194</v>
      </c>
      <c r="AJ1510">
        <v>91.559257935777097</v>
      </c>
      <c r="AK1510">
        <v>20.938236468635001</v>
      </c>
    </row>
    <row r="1511" spans="1:37" x14ac:dyDescent="0.2">
      <c r="A1511" t="str">
        <f>"20200111154054947"</f>
        <v>20200111154054947</v>
      </c>
      <c r="B1511" t="str">
        <f>"1578728454937411"</f>
        <v>1578728454937411</v>
      </c>
      <c r="C1511" t="s">
        <v>37</v>
      </c>
      <c r="D1511">
        <v>5.0728710000000001</v>
      </c>
      <c r="E1511">
        <v>0.49573790000000001</v>
      </c>
      <c r="F1511" t="s">
        <v>44</v>
      </c>
      <c r="G1511">
        <v>-366.70670000000001</v>
      </c>
      <c r="H1511" s="1">
        <v>2.0321899999999999E-6</v>
      </c>
      <c r="I1511">
        <v>282.47820000000002</v>
      </c>
      <c r="J1511">
        <v>-345.78710000000001</v>
      </c>
      <c r="K1511">
        <v>1.1087100000000001</v>
      </c>
      <c r="L1511">
        <v>283.25009999999997</v>
      </c>
      <c r="M1511">
        <v>-0.9999323</v>
      </c>
      <c r="N1511">
        <v>0</v>
      </c>
      <c r="O1511">
        <v>-9.3892390000000006E-3</v>
      </c>
      <c r="P1511">
        <v>-0.99754050000000005</v>
      </c>
      <c r="Q1511">
        <v>6.5219730000000004E-2</v>
      </c>
      <c r="R1511">
        <v>-2.5679170000000001E-2</v>
      </c>
      <c r="S1511">
        <v>-3.0148320000000002</v>
      </c>
      <c r="T1511">
        <v>-0.15694729999999901</v>
      </c>
      <c r="U1511">
        <v>-0.109771699999999</v>
      </c>
      <c r="V1511">
        <v>-1.627354E-2</v>
      </c>
      <c r="W1511">
        <v>7.2088440000000004E-2</v>
      </c>
      <c r="X1511">
        <v>0.99726550000000003</v>
      </c>
      <c r="Y1511">
        <v>-2.6977830000000001E-2</v>
      </c>
      <c r="Z1511">
        <v>-2.1322229999999999E-4</v>
      </c>
      <c r="AA1511">
        <v>0.99963599999999997</v>
      </c>
      <c r="AB1511">
        <v>52</v>
      </c>
      <c r="AC1511">
        <v>-20.919599999999999</v>
      </c>
      <c r="AD1511">
        <v>-1.10870796781</v>
      </c>
      <c r="AE1511">
        <v>-0.77189999999995895</v>
      </c>
      <c r="AF1511">
        <v>-0.57383259496917105</v>
      </c>
      <c r="AG1511">
        <v>-1.10870796781</v>
      </c>
      <c r="AH1511">
        <v>20.867391996728401</v>
      </c>
      <c r="AI1511">
        <v>93.040182333680207</v>
      </c>
      <c r="AJ1511">
        <v>91.575180173778193</v>
      </c>
      <c r="AK1511">
        <v>20.9047020057704</v>
      </c>
    </row>
    <row r="1512" spans="1:37" x14ac:dyDescent="0.2">
      <c r="A1512" t="str">
        <f>"20200111154054959"</f>
        <v>20200111154054959</v>
      </c>
      <c r="B1512" t="str">
        <f>"1578728454948147"</f>
        <v>1578728454948147</v>
      </c>
      <c r="C1512" t="s">
        <v>37</v>
      </c>
      <c r="D1512">
        <v>5.0874370000000004</v>
      </c>
      <c r="E1512">
        <v>0.49580819999999998</v>
      </c>
      <c r="F1512" t="s">
        <v>44</v>
      </c>
      <c r="G1512">
        <v>-367.16140000000001</v>
      </c>
      <c r="H1512" s="1">
        <v>2.2741590000000001E-6</v>
      </c>
      <c r="I1512">
        <v>282.47449999999998</v>
      </c>
      <c r="J1512">
        <v>-346.10579999999999</v>
      </c>
      <c r="K1512">
        <v>1.1087089999999999</v>
      </c>
      <c r="L1512">
        <v>283.24709999999999</v>
      </c>
      <c r="M1512">
        <v>-0.99993310000000002</v>
      </c>
      <c r="N1512">
        <v>0</v>
      </c>
      <c r="O1512">
        <v>-9.301396E-3</v>
      </c>
      <c r="P1512">
        <v>-0.99757299999999904</v>
      </c>
      <c r="Q1512">
        <v>6.4828709999999998E-2</v>
      </c>
      <c r="R1512">
        <v>-2.5408099999999999E-2</v>
      </c>
      <c r="S1512">
        <v>-3.0148320000000002</v>
      </c>
      <c r="T1512">
        <v>-0.1563822</v>
      </c>
      <c r="U1512">
        <v>-0.1094055</v>
      </c>
      <c r="V1512">
        <v>-1.608996E-2</v>
      </c>
      <c r="W1512">
        <v>7.1702710000000003E-2</v>
      </c>
      <c r="X1512">
        <v>0.99729630000000002</v>
      </c>
      <c r="Y1512">
        <v>-2.694448E-2</v>
      </c>
      <c r="Z1512">
        <v>-2.16143499999999E-4</v>
      </c>
      <c r="AA1512">
        <v>0.99963690000000005</v>
      </c>
      <c r="AB1512">
        <v>52</v>
      </c>
      <c r="AC1512">
        <v>-21.055599999999998</v>
      </c>
      <c r="AD1512">
        <v>-1.1087067258409999</v>
      </c>
      <c r="AE1512">
        <v>-0.77260000000001094</v>
      </c>
      <c r="AF1512">
        <v>-0.57512299111255205</v>
      </c>
      <c r="AG1512">
        <v>-1.1087067258409999</v>
      </c>
      <c r="AH1512">
        <v>21.0037174779123</v>
      </c>
      <c r="AI1512">
        <v>93.020492863522307</v>
      </c>
      <c r="AJ1512">
        <v>91.568478927854002</v>
      </c>
      <c r="AK1512">
        <v>21.040820919127398</v>
      </c>
    </row>
    <row r="1513" spans="1:37" x14ac:dyDescent="0.2">
      <c r="A1513" t="str">
        <f>"20200111154054974"</f>
        <v>20200111154054974</v>
      </c>
      <c r="B1513" t="str">
        <f>"1578728454967668"</f>
        <v>1578728454967668</v>
      </c>
      <c r="C1513" t="s">
        <v>37</v>
      </c>
      <c r="D1513">
        <v>5.0677680000000001</v>
      </c>
      <c r="E1513">
        <v>0.49568289999999998</v>
      </c>
      <c r="F1513" t="s">
        <v>44</v>
      </c>
      <c r="G1513">
        <v>-367.35770000000002</v>
      </c>
      <c r="H1513" s="1">
        <v>2.37859199999999E-6</v>
      </c>
      <c r="I1513">
        <v>282.4871</v>
      </c>
      <c r="J1513">
        <v>-346.43079999999998</v>
      </c>
      <c r="K1513">
        <v>1.1087009999999999</v>
      </c>
      <c r="L1513">
        <v>283.2441</v>
      </c>
      <c r="M1513">
        <v>-0.99993390000000004</v>
      </c>
      <c r="N1513">
        <v>0</v>
      </c>
      <c r="O1513">
        <v>-9.2116449999999992E-3</v>
      </c>
      <c r="P1513">
        <v>-0.99759379999999998</v>
      </c>
      <c r="Q1513">
        <v>6.4504409999999998E-2</v>
      </c>
      <c r="R1513">
        <v>-2.5418759999999999E-2</v>
      </c>
      <c r="S1513">
        <v>-3.0147710000000001</v>
      </c>
      <c r="T1513">
        <v>-0.15728</v>
      </c>
      <c r="U1513">
        <v>-0.1078186</v>
      </c>
      <c r="V1513">
        <v>-1.6190199999999998E-2</v>
      </c>
      <c r="W1513">
        <v>7.1384050000000004E-2</v>
      </c>
      <c r="X1513">
        <v>0.99731749999999997</v>
      </c>
      <c r="Y1513">
        <v>-2.6509620000000001E-2</v>
      </c>
      <c r="Z1513">
        <v>-2.1073399999999999E-4</v>
      </c>
      <c r="AA1513">
        <v>0.99964850000000005</v>
      </c>
      <c r="AB1513">
        <v>52</v>
      </c>
      <c r="AC1513">
        <v>-20.9269</v>
      </c>
      <c r="AD1513">
        <v>-1.1086986214079999</v>
      </c>
      <c r="AE1513">
        <v>-0.757000000000005</v>
      </c>
      <c r="AF1513">
        <v>-0.56261503836859394</v>
      </c>
      <c r="AG1513">
        <v>-1.1086986214079999</v>
      </c>
      <c r="AH1513">
        <v>20.874470777354801</v>
      </c>
      <c r="AI1513">
        <v>93.039172850651198</v>
      </c>
      <c r="AJ1513">
        <v>91.543879381014406</v>
      </c>
      <c r="AK1513">
        <v>20.911462850531301</v>
      </c>
    </row>
    <row r="1514" spans="1:37" x14ac:dyDescent="0.2">
      <c r="A1514" t="str">
        <f>"20200111154054989"</f>
        <v>20200111154054989</v>
      </c>
      <c r="B1514" t="str">
        <f>"1578728454977427"</f>
        <v>1578728454977427</v>
      </c>
      <c r="C1514" t="s">
        <v>37</v>
      </c>
      <c r="D1514">
        <v>5.1124720000000003</v>
      </c>
      <c r="E1514">
        <v>0.495654599999999</v>
      </c>
      <c r="F1514" t="s">
        <v>44</v>
      </c>
      <c r="G1514">
        <v>-367.37380000000002</v>
      </c>
      <c r="H1514" s="1">
        <v>2.3871770000000002E-6</v>
      </c>
      <c r="I1514">
        <v>282.48820000000001</v>
      </c>
      <c r="J1514">
        <v>-346.7774</v>
      </c>
      <c r="K1514">
        <v>1.108697</v>
      </c>
      <c r="L1514">
        <v>283.24099999999999</v>
      </c>
      <c r="M1514">
        <v>-0.99993469999999995</v>
      </c>
      <c r="N1514">
        <v>0</v>
      </c>
      <c r="O1514">
        <v>-9.115817E-3</v>
      </c>
      <c r="P1514">
        <v>-0.99762469999999903</v>
      </c>
      <c r="Q1514">
        <v>6.4127890000000007E-2</v>
      </c>
      <c r="R1514">
        <v>-2.515396E-2</v>
      </c>
      <c r="S1514">
        <v>-3.0148009999999998</v>
      </c>
      <c r="T1514">
        <v>-0.15960050000000001</v>
      </c>
      <c r="U1514">
        <v>-0.1088257</v>
      </c>
      <c r="V1514">
        <v>-1.602085E-2</v>
      </c>
      <c r="W1514">
        <v>7.1013060000000003E-2</v>
      </c>
      <c r="X1514">
        <v>0.99734669999999903</v>
      </c>
      <c r="Y1514">
        <v>-2.693713E-2</v>
      </c>
      <c r="Z1514">
        <v>-2.302072E-4</v>
      </c>
      <c r="AA1514">
        <v>0.99963709999999995</v>
      </c>
      <c r="AB1514">
        <v>53</v>
      </c>
      <c r="AC1514">
        <v>-20.596399999999999</v>
      </c>
      <c r="AD1514">
        <v>-1.108694612823</v>
      </c>
      <c r="AE1514">
        <v>-0.75279999999997904</v>
      </c>
      <c r="AF1514">
        <v>-0.56338096209105504</v>
      </c>
      <c r="AG1514">
        <v>-1.108694612823</v>
      </c>
      <c r="AH1514">
        <v>20.542960478332699</v>
      </c>
      <c r="AI1514">
        <v>93.088072385816204</v>
      </c>
      <c r="AJ1514">
        <v>91.570915866110894</v>
      </c>
      <c r="AK1514">
        <v>20.580569162860598</v>
      </c>
    </row>
    <row r="1515" spans="1:37" x14ac:dyDescent="0.2">
      <c r="A1515" t="str">
        <f>"20200111154055004"</f>
        <v>20200111154055004</v>
      </c>
      <c r="B1515" t="str">
        <f>"1578728454997923"</f>
        <v>1578728454997923</v>
      </c>
      <c r="C1515" t="s">
        <v>37</v>
      </c>
      <c r="D1515">
        <v>5.0558569999999996</v>
      </c>
      <c r="E1515">
        <v>0.49535489999999999</v>
      </c>
      <c r="F1515" t="s">
        <v>44</v>
      </c>
      <c r="G1515">
        <v>-367.65710000000001</v>
      </c>
      <c r="H1515" s="1">
        <v>2.5379490000000002E-6</v>
      </c>
      <c r="I1515">
        <v>282.49079999999998</v>
      </c>
      <c r="J1515">
        <v>-347.13339999999999</v>
      </c>
      <c r="K1515">
        <v>1.1086910000000001</v>
      </c>
      <c r="L1515">
        <v>283.23770000000002</v>
      </c>
      <c r="M1515">
        <v>-0.99993559999999904</v>
      </c>
      <c r="N1515">
        <v>0</v>
      </c>
      <c r="O1515">
        <v>-9.0176040000000002E-3</v>
      </c>
      <c r="P1515">
        <v>-0.99765219999999899</v>
      </c>
      <c r="Q1515">
        <v>6.3867770000000004E-2</v>
      </c>
      <c r="R1515">
        <v>-2.471756E-2</v>
      </c>
      <c r="S1515">
        <v>-3.0146790000000001</v>
      </c>
      <c r="T1515">
        <v>-0.160077</v>
      </c>
      <c r="U1515">
        <v>-0.1083069</v>
      </c>
      <c r="V1515">
        <v>-1.5682049999999999E-2</v>
      </c>
      <c r="W1515">
        <v>7.0759089999999997E-2</v>
      </c>
      <c r="X1515">
        <v>0.99737019999999998</v>
      </c>
      <c r="Y1515">
        <v>-2.686477E-2</v>
      </c>
      <c r="Z1515">
        <v>-2.341938E-4</v>
      </c>
      <c r="AA1515">
        <v>0.99963899999999895</v>
      </c>
      <c r="AB1515">
        <v>53</v>
      </c>
      <c r="AC1515">
        <v>-20.523700000000002</v>
      </c>
      <c r="AD1515">
        <v>-1.108688462051</v>
      </c>
      <c r="AE1515">
        <v>-0.74690000000003898</v>
      </c>
      <c r="AF1515">
        <v>-0.56015817307215099</v>
      </c>
      <c r="AG1515">
        <v>-1.108688462051</v>
      </c>
      <c r="AH1515">
        <v>20.469945504477302</v>
      </c>
      <c r="AI1515">
        <v>93.099053796040593</v>
      </c>
      <c r="AJ1515">
        <v>91.5675025378996</v>
      </c>
      <c r="AK1515">
        <v>20.507599475341198</v>
      </c>
    </row>
    <row r="1516" spans="1:37" x14ac:dyDescent="0.2">
      <c r="A1516" t="str">
        <f>"20200111154055025"</f>
        <v>20200111154055025</v>
      </c>
      <c r="B1516" t="str">
        <f>"1578728455017443"</f>
        <v>1578728455017443</v>
      </c>
      <c r="C1516" t="s">
        <v>37</v>
      </c>
      <c r="D1516">
        <v>5.0968059999999999</v>
      </c>
      <c r="E1516">
        <v>0.49522849999999902</v>
      </c>
      <c r="F1516" t="s">
        <v>44</v>
      </c>
      <c r="G1516">
        <v>-367.85539999999997</v>
      </c>
      <c r="H1516" s="1">
        <v>2.643492E-6</v>
      </c>
      <c r="I1516">
        <v>282.4853</v>
      </c>
      <c r="J1516">
        <v>-347.62630000000001</v>
      </c>
      <c r="K1516">
        <v>1.108687</v>
      </c>
      <c r="L1516">
        <v>283.23329999999999</v>
      </c>
      <c r="M1516">
        <v>-0.99993670000000001</v>
      </c>
      <c r="N1516">
        <v>0</v>
      </c>
      <c r="O1516">
        <v>-8.881491E-3</v>
      </c>
      <c r="P1516">
        <v>-0.99767430000000001</v>
      </c>
      <c r="Q1516">
        <v>6.3760120000000003E-2</v>
      </c>
      <c r="R1516">
        <v>-2.4100259999999998E-2</v>
      </c>
      <c r="S1516">
        <v>-3.0146790000000001</v>
      </c>
      <c r="T1516">
        <v>-0.16129360000000001</v>
      </c>
      <c r="U1516">
        <v>-0.1094666</v>
      </c>
      <c r="V1516">
        <v>-1.5200389999999999E-2</v>
      </c>
      <c r="W1516">
        <v>7.0659200000000005E-2</v>
      </c>
      <c r="X1516">
        <v>0.99738470000000001</v>
      </c>
      <c r="Y1516">
        <v>-2.7383560000000001E-2</v>
      </c>
      <c r="Z1516">
        <v>-2.5710769999999998E-4</v>
      </c>
      <c r="AA1516">
        <v>0.99962499999999999</v>
      </c>
      <c r="AB1516">
        <v>53</v>
      </c>
      <c r="AC1516">
        <v>-20.229099999999899</v>
      </c>
      <c r="AD1516">
        <v>-1.108684356508</v>
      </c>
      <c r="AE1516">
        <v>-0.74799999999999001</v>
      </c>
      <c r="AF1516">
        <v>-0.56660203756600103</v>
      </c>
      <c r="AG1516">
        <v>-1.108684356508</v>
      </c>
      <c r="AH1516">
        <v>20.174429562396298</v>
      </c>
      <c r="AI1516">
        <v>93.144284203610397</v>
      </c>
      <c r="AJ1516">
        <v>91.608738119156399</v>
      </c>
      <c r="AK1516">
        <v>20.212813437011398</v>
      </c>
    </row>
    <row r="1517" spans="1:37" x14ac:dyDescent="0.2">
      <c r="A1517" t="str">
        <f>"20200111154055046"</f>
        <v>20200111154055046</v>
      </c>
      <c r="B1517" t="str">
        <f>"1578728455037942"</f>
        <v>1578728455037942</v>
      </c>
      <c r="C1517" t="s">
        <v>37</v>
      </c>
      <c r="D1517">
        <v>5.0843249999999998</v>
      </c>
      <c r="E1517">
        <v>0.49518990000000002</v>
      </c>
      <c r="F1517" t="s">
        <v>44</v>
      </c>
      <c r="G1517">
        <v>-368.39120000000003</v>
      </c>
      <c r="H1517" s="1">
        <v>2.9285949999999999E-6</v>
      </c>
      <c r="I1517">
        <v>282.48430000000002</v>
      </c>
      <c r="J1517">
        <v>-348.1558</v>
      </c>
      <c r="K1517">
        <v>1.1086750000000001</v>
      </c>
      <c r="L1517">
        <v>283.2287</v>
      </c>
      <c r="M1517">
        <v>-0.99993799999999899</v>
      </c>
      <c r="N1517">
        <v>0</v>
      </c>
      <c r="O1517">
        <v>-8.7353640000000007E-3</v>
      </c>
      <c r="P1517">
        <v>-0.99768869999999898</v>
      </c>
      <c r="Q1517">
        <v>6.3598370000000001E-2</v>
      </c>
      <c r="R1517">
        <v>-2.3929599999999999E-2</v>
      </c>
      <c r="S1517">
        <v>-3.01464799999999</v>
      </c>
      <c r="T1517">
        <v>-0.16095860000000001</v>
      </c>
      <c r="U1517">
        <v>-0.1087341</v>
      </c>
      <c r="V1517">
        <v>-1.517582E-2</v>
      </c>
      <c r="W1517">
        <v>7.0506990000000005E-2</v>
      </c>
      <c r="X1517">
        <v>0.99739580000000005</v>
      </c>
      <c r="Y1517">
        <v>-2.7287499999999999E-2</v>
      </c>
      <c r="Z1517">
        <v>-2.6180950000000001E-4</v>
      </c>
      <c r="AA1517">
        <v>0.99962759999999995</v>
      </c>
      <c r="AB1517">
        <v>53</v>
      </c>
      <c r="AC1517">
        <v>-20.235399999999998</v>
      </c>
      <c r="AD1517">
        <v>-1.108672071405</v>
      </c>
      <c r="AE1517">
        <v>-0.74439999999998396</v>
      </c>
      <c r="AF1517">
        <v>-0.56590734874567294</v>
      </c>
      <c r="AG1517">
        <v>-1.108672071405</v>
      </c>
      <c r="AH1517">
        <v>20.1806341806906</v>
      </c>
      <c r="AI1517">
        <v>93.143288446513594</v>
      </c>
      <c r="AJ1517">
        <v>91.606272994070196</v>
      </c>
      <c r="AK1517">
        <v>20.218986147285801</v>
      </c>
    </row>
    <row r="1518" spans="1:37" x14ac:dyDescent="0.2">
      <c r="A1518" t="str">
        <f>"20200111154055060"</f>
        <v>20200111154055060</v>
      </c>
      <c r="B1518" t="str">
        <f>"1578728455047699"</f>
        <v>1578728455047699</v>
      </c>
      <c r="C1518" t="s">
        <v>37</v>
      </c>
      <c r="D1518">
        <v>5.1060089999999896</v>
      </c>
      <c r="E1518">
        <v>0.49515329999999902</v>
      </c>
      <c r="F1518" t="s">
        <v>44</v>
      </c>
      <c r="G1518">
        <v>-368.92169999999999</v>
      </c>
      <c r="H1518" s="1">
        <v>3.210877E-6</v>
      </c>
      <c r="I1518">
        <v>282.4828</v>
      </c>
      <c r="J1518">
        <v>-348.48079999999999</v>
      </c>
      <c r="K1518">
        <v>1.1086719999999901</v>
      </c>
      <c r="L1518">
        <v>283.22590000000002</v>
      </c>
      <c r="M1518">
        <v>-0.99993869999999896</v>
      </c>
      <c r="N1518">
        <v>0</v>
      </c>
      <c r="O1518">
        <v>-8.6454919999999994E-3</v>
      </c>
      <c r="P1518">
        <v>-0.99770099999999995</v>
      </c>
      <c r="Q1518">
        <v>6.3367870000000007E-2</v>
      </c>
      <c r="R1518">
        <v>-2.4036749999999999E-2</v>
      </c>
      <c r="S1518">
        <v>-3.014618</v>
      </c>
      <c r="T1518">
        <v>-0.16094749999999999</v>
      </c>
      <c r="U1518">
        <v>-0.10827639999999999</v>
      </c>
      <c r="V1518">
        <v>-1.537201E-2</v>
      </c>
      <c r="W1518">
        <v>7.028247E-2</v>
      </c>
      <c r="X1518">
        <v>0.99740869999999904</v>
      </c>
      <c r="Y1518">
        <v>-2.722608E-2</v>
      </c>
      <c r="Z1518">
        <v>-2.6494970000000002E-4</v>
      </c>
      <c r="AA1518">
        <v>0.99962929999999905</v>
      </c>
      <c r="AB1518">
        <v>53</v>
      </c>
      <c r="AC1518">
        <v>-20.440899999999999</v>
      </c>
      <c r="AD1518">
        <v>-1.1086687891229901</v>
      </c>
      <c r="AE1518">
        <v>-0.74310000000002596</v>
      </c>
      <c r="AF1518">
        <v>-0.56468739256701095</v>
      </c>
      <c r="AG1518">
        <v>-1.1086687891229901</v>
      </c>
      <c r="AH1518">
        <v>20.386667615761699</v>
      </c>
      <c r="AI1518">
        <v>93.111604715384601</v>
      </c>
      <c r="AJ1518">
        <v>91.586621924611194</v>
      </c>
      <c r="AK1518">
        <v>20.4245987674384</v>
      </c>
    </row>
    <row r="1519" spans="1:37" x14ac:dyDescent="0.2">
      <c r="A1519" t="str">
        <f>"20200111154055075"</f>
        <v>20200111154055075</v>
      </c>
      <c r="B1519" t="str">
        <f>"1578728455067219"</f>
        <v>1578728455067219</v>
      </c>
      <c r="C1519" t="s">
        <v>37</v>
      </c>
      <c r="D1519">
        <v>5.1251550000000003</v>
      </c>
      <c r="E1519">
        <v>0.49524750000000001</v>
      </c>
      <c r="F1519" t="s">
        <v>44</v>
      </c>
      <c r="G1519">
        <v>-369.13900000000001</v>
      </c>
      <c r="H1519" s="1">
        <v>3.3265310000000001E-6</v>
      </c>
      <c r="I1519">
        <v>282.48009999999999</v>
      </c>
      <c r="J1519">
        <v>-348.8073</v>
      </c>
      <c r="K1519">
        <v>1.1086639999999901</v>
      </c>
      <c r="L1519">
        <v>283.22309999999999</v>
      </c>
      <c r="M1519">
        <v>-0.99993949999999998</v>
      </c>
      <c r="N1519">
        <v>0</v>
      </c>
      <c r="O1519">
        <v>-8.5538309999999996E-3</v>
      </c>
      <c r="P1519">
        <v>-0.99769759999999996</v>
      </c>
      <c r="Q1519">
        <v>6.3429390000000002E-2</v>
      </c>
      <c r="R1519">
        <v>-2.401213E-2</v>
      </c>
      <c r="S1519">
        <v>-3.014526</v>
      </c>
      <c r="T1519">
        <v>-0.1617817</v>
      </c>
      <c r="U1519">
        <v>-0.1088257</v>
      </c>
      <c r="V1519">
        <v>-1.5438999999999901E-2</v>
      </c>
      <c r="W1519">
        <v>7.0349540000000002E-2</v>
      </c>
      <c r="X1519">
        <v>0.99740289999999998</v>
      </c>
      <c r="Y1519">
        <v>-2.7499909999999999E-2</v>
      </c>
      <c r="Z1519">
        <v>-2.7858210000000002E-4</v>
      </c>
      <c r="AA1519">
        <v>0.99962169999999895</v>
      </c>
      <c r="AB1519">
        <v>53</v>
      </c>
      <c r="AC1519">
        <v>-20.331700000000001</v>
      </c>
      <c r="AD1519">
        <v>-1.1086606734690001</v>
      </c>
      <c r="AE1519">
        <v>-0.742999999999994</v>
      </c>
      <c r="AF1519">
        <v>-0.56736997676967704</v>
      </c>
      <c r="AG1519">
        <v>-1.1086606734690001</v>
      </c>
      <c r="AH1519">
        <v>20.2771007393528</v>
      </c>
      <c r="AI1519">
        <v>93.128337552835703</v>
      </c>
      <c r="AJ1519">
        <v>91.602764898471406</v>
      </c>
      <c r="AK1519">
        <v>20.315310767332601</v>
      </c>
    </row>
    <row r="1520" spans="1:37" x14ac:dyDescent="0.2">
      <c r="A1520" t="str">
        <f>"20200111154055090"</f>
        <v>20200111154055090</v>
      </c>
      <c r="B1520" t="str">
        <f>"1578728455077955"</f>
        <v>1578728455077955</v>
      </c>
      <c r="C1520" t="s">
        <v>37</v>
      </c>
      <c r="D1520">
        <v>5.1800899999999999</v>
      </c>
      <c r="E1520">
        <v>0.49514350000000001</v>
      </c>
      <c r="F1520" t="s">
        <v>44</v>
      </c>
      <c r="G1520">
        <v>-369.74470000000002</v>
      </c>
      <c r="H1520" s="1">
        <v>3.648851E-6</v>
      </c>
      <c r="I1520">
        <v>282.47230000000002</v>
      </c>
      <c r="J1520">
        <v>-349.19110000000001</v>
      </c>
      <c r="K1520">
        <v>1.10866</v>
      </c>
      <c r="L1520">
        <v>283.21980000000002</v>
      </c>
      <c r="M1520">
        <v>-0.99994039999999995</v>
      </c>
      <c r="N1520">
        <v>0</v>
      </c>
      <c r="O1520">
        <v>-8.4442860000000005E-3</v>
      </c>
      <c r="P1520">
        <v>-0.99769409999999903</v>
      </c>
      <c r="Q1520">
        <v>6.3417879999999996E-2</v>
      </c>
      <c r="R1520">
        <v>-2.417944E-2</v>
      </c>
      <c r="S1520">
        <v>-3.014465</v>
      </c>
      <c r="T1520">
        <v>-0.1596195</v>
      </c>
      <c r="U1520">
        <v>-0.1080933</v>
      </c>
      <c r="V1520">
        <v>-1.5715320000000001E-2</v>
      </c>
      <c r="W1520">
        <v>7.0345260000000007E-2</v>
      </c>
      <c r="X1520">
        <v>0.99739889999999998</v>
      </c>
      <c r="Y1520">
        <v>-2.736835E-2</v>
      </c>
      <c r="Z1520">
        <v>-2.7718520000000001E-4</v>
      </c>
      <c r="AA1520">
        <v>0.9996254</v>
      </c>
      <c r="AB1520">
        <v>53</v>
      </c>
      <c r="AC1520">
        <v>-20.553599999999999</v>
      </c>
      <c r="AD1520">
        <v>-1.108656351149</v>
      </c>
      <c r="AE1520">
        <v>-0.74750000000000205</v>
      </c>
      <c r="AF1520">
        <v>-0.572245965435496</v>
      </c>
      <c r="AG1520">
        <v>-1.108656351149</v>
      </c>
      <c r="AH1520">
        <v>20.499614600843</v>
      </c>
      <c r="AI1520">
        <v>93.094440885600406</v>
      </c>
      <c r="AJ1520">
        <v>91.598994265917298</v>
      </c>
      <c r="AK1520">
        <v>20.537545693996599</v>
      </c>
    </row>
    <row r="1521" spans="1:37" x14ac:dyDescent="0.2">
      <c r="A1521" t="str">
        <f>"20200111154055105"</f>
        <v>20200111154055105</v>
      </c>
      <c r="B1521" t="str">
        <f>"1578728455097475"</f>
        <v>1578728455097475</v>
      </c>
      <c r="C1521" t="s">
        <v>37</v>
      </c>
      <c r="D1521">
        <v>5.1488009999999997</v>
      </c>
      <c r="E1521">
        <v>0.49494250000000001</v>
      </c>
      <c r="F1521" t="s">
        <v>44</v>
      </c>
      <c r="G1521">
        <v>-370.02249999999998</v>
      </c>
      <c r="H1521" s="1">
        <v>-1.52484E-6</v>
      </c>
      <c r="I1521">
        <v>282.46370000000002</v>
      </c>
      <c r="J1521">
        <v>-349.53070000000002</v>
      </c>
      <c r="K1521">
        <v>1.1086609999999999</v>
      </c>
      <c r="L1521">
        <v>283.21690000000001</v>
      </c>
      <c r="M1521">
        <v>-0.99994110000000003</v>
      </c>
      <c r="N1521">
        <v>0</v>
      </c>
      <c r="O1521">
        <v>-8.3453429999999999E-3</v>
      </c>
      <c r="P1521">
        <v>-0.99768440000000003</v>
      </c>
      <c r="Q1521">
        <v>6.3503509999999999E-2</v>
      </c>
      <c r="R1521">
        <v>-2.4361569999999999E-2</v>
      </c>
      <c r="S1521">
        <v>-3.014465</v>
      </c>
      <c r="T1521">
        <v>-0.1604322</v>
      </c>
      <c r="U1521">
        <v>-0.1094055</v>
      </c>
      <c r="V1521">
        <v>-1.5995820000000001E-2</v>
      </c>
      <c r="W1521">
        <v>7.0436579999999999E-2</v>
      </c>
      <c r="X1521">
        <v>0.99738799999999905</v>
      </c>
      <c r="Y1521">
        <v>-2.7900680000000001E-2</v>
      </c>
      <c r="Z1521">
        <v>-2.980034E-4</v>
      </c>
      <c r="AA1521">
        <v>0.99961069999999996</v>
      </c>
      <c r="AB1521">
        <v>53</v>
      </c>
      <c r="AC1521">
        <v>-20.491799999999898</v>
      </c>
      <c r="AD1521">
        <v>-1.1086625248399999</v>
      </c>
      <c r="AE1521">
        <v>-0.75319999999999199</v>
      </c>
      <c r="AF1521">
        <v>-0.58046177196151005</v>
      </c>
      <c r="AG1521">
        <v>-1.1086625248399999</v>
      </c>
      <c r="AH1521">
        <v>20.4376298383342</v>
      </c>
      <c r="AI1521">
        <v>93.103782447794401</v>
      </c>
      <c r="AJ1521">
        <v>91.626855547564602</v>
      </c>
      <c r="AK1521">
        <v>20.475907351603801</v>
      </c>
    </row>
    <row r="1522" spans="1:37" x14ac:dyDescent="0.2">
      <c r="A1522" t="str">
        <f>"20200111154055118"</f>
        <v>20200111154055118</v>
      </c>
      <c r="B1522" t="str">
        <f>"1578728455107235"</f>
        <v>1578728455107235</v>
      </c>
      <c r="C1522" t="s">
        <v>37</v>
      </c>
      <c r="D1522">
        <v>5.1607430000000001</v>
      </c>
      <c r="E1522">
        <v>0.49492449999999999</v>
      </c>
      <c r="F1522" t="s">
        <v>44</v>
      </c>
      <c r="G1522">
        <v>-370.27390000000003</v>
      </c>
      <c r="H1522" s="1">
        <v>-1.391048E-6</v>
      </c>
      <c r="I1522">
        <v>282.45</v>
      </c>
      <c r="J1522">
        <v>-349.8777</v>
      </c>
      <c r="K1522">
        <v>1.1086559999999901</v>
      </c>
      <c r="L1522">
        <v>283.21409999999997</v>
      </c>
      <c r="M1522">
        <v>-0.999942</v>
      </c>
      <c r="N1522">
        <v>0</v>
      </c>
      <c r="O1522">
        <v>-8.2406730000000004E-3</v>
      </c>
      <c r="P1522">
        <v>-0.99769069999999904</v>
      </c>
      <c r="Q1522">
        <v>6.3320950000000001E-2</v>
      </c>
      <c r="R1522">
        <v>-2.4576560000000001E-2</v>
      </c>
      <c r="S1522">
        <v>-3.0144959999999998</v>
      </c>
      <c r="T1522">
        <v>-0.16111600000000001</v>
      </c>
      <c r="U1522">
        <v>-0.1114502</v>
      </c>
      <c r="V1522">
        <v>-1.6315139999999999E-2</v>
      </c>
      <c r="W1522">
        <v>7.0260589999999998E-2</v>
      </c>
      <c r="X1522">
        <v>0.99739519999999904</v>
      </c>
      <c r="Y1522">
        <v>-2.8680549999999999E-2</v>
      </c>
      <c r="Z1522">
        <v>-3.2567240000000002E-4</v>
      </c>
      <c r="AA1522">
        <v>0.99958849999999999</v>
      </c>
      <c r="AB1522">
        <v>53</v>
      </c>
      <c r="AC1522">
        <v>-20.3962</v>
      </c>
      <c r="AD1522">
        <v>-1.10865739104799</v>
      </c>
      <c r="AE1522">
        <v>-0.76409999999998401</v>
      </c>
      <c r="AF1522">
        <v>-0.59423833193141495</v>
      </c>
      <c r="AG1522">
        <v>-1.10865739104799</v>
      </c>
      <c r="AH1522">
        <v>20.341786999797598</v>
      </c>
      <c r="AI1522">
        <v>93.118290441061504</v>
      </c>
      <c r="AJ1522">
        <v>91.673288009429697</v>
      </c>
      <c r="AK1522">
        <v>20.380641274282699</v>
      </c>
    </row>
    <row r="1523" spans="1:37" x14ac:dyDescent="0.2">
      <c r="A1523" t="str">
        <f>"20200111154055136"</f>
        <v>20200111154055136</v>
      </c>
      <c r="B1523" t="str">
        <f>"1578728455127731"</f>
        <v>1578728455127731</v>
      </c>
      <c r="C1523" t="s">
        <v>37</v>
      </c>
      <c r="D1523">
        <v>5.2426190000000004</v>
      </c>
      <c r="E1523">
        <v>0.49503130000000001</v>
      </c>
      <c r="F1523" t="s">
        <v>44</v>
      </c>
      <c r="G1523">
        <v>-370.46080000000001</v>
      </c>
      <c r="H1523" s="1">
        <v>-1.2915559999999999E-6</v>
      </c>
      <c r="I1523">
        <v>282.44850000000002</v>
      </c>
      <c r="J1523">
        <v>-350.286</v>
      </c>
      <c r="K1523">
        <v>1.108654</v>
      </c>
      <c r="L1523">
        <v>283.21069999999997</v>
      </c>
      <c r="M1523">
        <v>-0.99994300000000003</v>
      </c>
      <c r="N1523">
        <v>0</v>
      </c>
      <c r="O1523">
        <v>-8.1120289999999998E-3</v>
      </c>
      <c r="P1523">
        <v>-0.99765280000000001</v>
      </c>
      <c r="Q1523">
        <v>6.368646E-2</v>
      </c>
      <c r="R1523">
        <v>-2.5169179999999999E-2</v>
      </c>
      <c r="S1523">
        <v>-3.0144959999999998</v>
      </c>
      <c r="T1523">
        <v>-0.16236789999999901</v>
      </c>
      <c r="U1523">
        <v>-0.1121216</v>
      </c>
      <c r="V1523">
        <v>-1.7034270000000001E-2</v>
      </c>
      <c r="W1523">
        <v>7.0634459999999996E-2</v>
      </c>
      <c r="X1523">
        <v>0.99735680000000004</v>
      </c>
      <c r="Y1523">
        <v>-2.9030319999999998E-2</v>
      </c>
      <c r="Z1523">
        <v>-3.445287E-4</v>
      </c>
      <c r="AA1523">
        <v>0.99957850000000004</v>
      </c>
      <c r="AB1523">
        <v>53</v>
      </c>
      <c r="AC1523">
        <v>-20.174800000000001</v>
      </c>
      <c r="AD1523">
        <v>-1.108655291556</v>
      </c>
      <c r="AE1523">
        <v>-0.76219999999995003</v>
      </c>
      <c r="AF1523">
        <v>-0.59671304288991101</v>
      </c>
      <c r="AG1523">
        <v>-1.108655291556</v>
      </c>
      <c r="AH1523">
        <v>20.119649074267802</v>
      </c>
      <c r="AI1523">
        <v>93.152602746477498</v>
      </c>
      <c r="AJ1523">
        <v>91.698793041927303</v>
      </c>
      <c r="AK1523">
        <v>20.159004486400999</v>
      </c>
    </row>
    <row r="1524" spans="1:37" x14ac:dyDescent="0.2">
      <c r="A1524" t="str">
        <f>"20200111154055149"</f>
        <v>20200111154055149</v>
      </c>
      <c r="B1524" t="str">
        <f>"1578728455137492"</f>
        <v>1578728455137492</v>
      </c>
      <c r="C1524" t="s">
        <v>37</v>
      </c>
      <c r="D1524">
        <v>5.1642269999999897</v>
      </c>
      <c r="E1524">
        <v>0.49503130000000001</v>
      </c>
      <c r="F1524" t="s">
        <v>44</v>
      </c>
      <c r="G1524">
        <v>-370.92149999999998</v>
      </c>
      <c r="H1524" s="1">
        <v>-1.0463879999999999E-6</v>
      </c>
      <c r="I1524">
        <v>282.43799999999999</v>
      </c>
      <c r="J1524">
        <v>-350.61079999999998</v>
      </c>
      <c r="K1524">
        <v>1.1086479999999901</v>
      </c>
      <c r="L1524">
        <v>283.2081</v>
      </c>
      <c r="M1524">
        <v>-0.99994369999999999</v>
      </c>
      <c r="N1524">
        <v>0</v>
      </c>
      <c r="O1524">
        <v>-8.0047179999999992E-3</v>
      </c>
      <c r="P1524">
        <v>-0.99762960000000001</v>
      </c>
      <c r="Q1524">
        <v>6.387321E-2</v>
      </c>
      <c r="R1524">
        <v>-2.5603399999999998E-2</v>
      </c>
      <c r="S1524">
        <v>-3.0145569999999999</v>
      </c>
      <c r="T1524">
        <v>-0.16195889999999999</v>
      </c>
      <c r="U1524">
        <v>-0.1128845</v>
      </c>
      <c r="V1524">
        <v>-1.7575230000000001E-2</v>
      </c>
      <c r="W1524">
        <v>7.0827570000000006E-2</v>
      </c>
      <c r="X1524">
        <v>0.99733369999999999</v>
      </c>
      <c r="Y1524">
        <v>-2.938895E-2</v>
      </c>
      <c r="Z1524">
        <v>-3.5903569999999998E-4</v>
      </c>
      <c r="AA1524">
        <v>0.99956800000000001</v>
      </c>
      <c r="AB1524">
        <v>53</v>
      </c>
      <c r="AC1524">
        <v>-20.310700000000001</v>
      </c>
      <c r="AD1524">
        <v>-1.1086490463879899</v>
      </c>
      <c r="AE1524">
        <v>-0.770100000000013</v>
      </c>
      <c r="AF1524">
        <v>-0.60568792002515204</v>
      </c>
      <c r="AG1524">
        <v>-1.1086490463879899</v>
      </c>
      <c r="AH1524">
        <v>20.255948565956601</v>
      </c>
      <c r="AI1524">
        <v>93.131391429959095</v>
      </c>
      <c r="AJ1524">
        <v>91.712732634413001</v>
      </c>
      <c r="AK1524">
        <v>20.295305192856802</v>
      </c>
    </row>
    <row r="1525" spans="1:37" x14ac:dyDescent="0.2">
      <c r="A1525" t="str">
        <f>"20200111154055164"</f>
        <v>20200111154055164</v>
      </c>
      <c r="B1525" t="str">
        <f>"1578728455157605"</f>
        <v>1578728455157605</v>
      </c>
      <c r="C1525" t="s">
        <v>37</v>
      </c>
      <c r="D1525">
        <v>5.1837730000000004</v>
      </c>
      <c r="E1525">
        <v>0.50993089999999996</v>
      </c>
      <c r="F1525" t="s">
        <v>44</v>
      </c>
      <c r="G1525">
        <v>-371.31630000000001</v>
      </c>
      <c r="H1525" s="1">
        <v>-8.3629159999999996E-7</v>
      </c>
      <c r="I1525">
        <v>282.42340000000002</v>
      </c>
      <c r="J1525">
        <v>-350.95949999999999</v>
      </c>
      <c r="K1525">
        <v>1.1086370000000001</v>
      </c>
      <c r="L1525">
        <v>283.2054</v>
      </c>
      <c r="M1525">
        <v>-0.99994459999999996</v>
      </c>
      <c r="N1525">
        <v>0</v>
      </c>
      <c r="O1525">
        <v>-7.884762E-3</v>
      </c>
      <c r="P1525">
        <v>-0.9976119</v>
      </c>
      <c r="Q1525">
        <v>6.4088049999999994E-2</v>
      </c>
      <c r="R1525">
        <v>-2.5756850000000001E-2</v>
      </c>
      <c r="S1525">
        <v>-3.0145869999999899</v>
      </c>
      <c r="T1525">
        <v>-0.16141179999999999</v>
      </c>
      <c r="U1525">
        <v>-0.11425779999999899</v>
      </c>
      <c r="V1525">
        <v>-1.784697E-2</v>
      </c>
      <c r="W1525">
        <v>7.1049210000000002E-2</v>
      </c>
      <c r="X1525">
        <v>0.99731309999999995</v>
      </c>
      <c r="Y1525">
        <v>-2.99624E-2</v>
      </c>
      <c r="Z1525">
        <v>-3.7956939999999998E-4</v>
      </c>
      <c r="AA1525">
        <v>0.99955090000000002</v>
      </c>
      <c r="AB1525">
        <v>53</v>
      </c>
      <c r="AC1525">
        <v>-20.3568</v>
      </c>
      <c r="AD1525">
        <v>-1.1086378362916001</v>
      </c>
      <c r="AE1525">
        <v>-0.78199999999998204</v>
      </c>
      <c r="AF1525">
        <v>-0.61962820071990399</v>
      </c>
      <c r="AG1525">
        <v>-1.1086378362916001</v>
      </c>
      <c r="AH1525">
        <v>20.302207082402699</v>
      </c>
      <c r="AI1525">
        <v>93.124180977245402</v>
      </c>
      <c r="AJ1525">
        <v>91.748138198135095</v>
      </c>
      <c r="AK1525">
        <v>20.341893456016901</v>
      </c>
    </row>
    <row r="1526" spans="1:37" x14ac:dyDescent="0.2">
      <c r="A1526" t="str">
        <f>"20200111154055180"</f>
        <v>20200111154055180</v>
      </c>
      <c r="B1526" t="str">
        <f>"1578728455167365"</f>
        <v>1578728455167365</v>
      </c>
      <c r="C1526" t="s">
        <v>37</v>
      </c>
      <c r="D1526">
        <v>5.1636899999999999</v>
      </c>
      <c r="E1526">
        <v>0.51035520000000001</v>
      </c>
      <c r="F1526" t="s">
        <v>38</v>
      </c>
      <c r="G1526">
        <v>-352.13749999999999</v>
      </c>
      <c r="H1526">
        <v>1.043981</v>
      </c>
      <c r="I1526">
        <v>283.20699999999999</v>
      </c>
      <c r="J1526">
        <v>-351.33120000000002</v>
      </c>
      <c r="K1526">
        <v>1.108627</v>
      </c>
      <c r="L1526">
        <v>283.20249999999999</v>
      </c>
      <c r="M1526">
        <v>-0.99994570000000005</v>
      </c>
      <c r="N1526">
        <v>0</v>
      </c>
      <c r="O1526">
        <v>-7.7482209999999996E-3</v>
      </c>
      <c r="P1526">
        <v>-0.99756469999999897</v>
      </c>
      <c r="Q1526">
        <v>6.4541929999999997E-2</v>
      </c>
      <c r="R1526">
        <v>-2.6442819999999999E-2</v>
      </c>
      <c r="S1526">
        <v>-3.01791399999999</v>
      </c>
      <c r="T1526">
        <v>-0.16561049999999999</v>
      </c>
      <c r="U1526">
        <v>4.0283200000000002E-3</v>
      </c>
      <c r="V1526">
        <v>-1.8667630000000001E-2</v>
      </c>
      <c r="W1526">
        <v>7.1511039999999998E-2</v>
      </c>
      <c r="X1526">
        <v>0.99726510000000002</v>
      </c>
      <c r="Y1526">
        <v>9.0578789999999996E-3</v>
      </c>
      <c r="Z1526">
        <v>6.7322029999999998E-4</v>
      </c>
      <c r="AA1526">
        <v>0.99995879999999904</v>
      </c>
      <c r="AB1526">
        <v>54</v>
      </c>
      <c r="AC1526">
        <v>-0.80629999999996405</v>
      </c>
      <c r="AD1526">
        <v>-6.4645999999999898E-2</v>
      </c>
      <c r="AE1526">
        <v>4.5000000000072699E-3</v>
      </c>
      <c r="AF1526">
        <v>1.0678764013882401E-2</v>
      </c>
      <c r="AG1526">
        <v>-6.4645999999999898E-2</v>
      </c>
      <c r="AH1526">
        <v>0.80109150422537101</v>
      </c>
      <c r="AI1526">
        <v>94.613214825956106</v>
      </c>
      <c r="AJ1526">
        <v>89.236277169268803</v>
      </c>
      <c r="AK1526">
        <v>0.80376659513750104</v>
      </c>
    </row>
    <row r="1527" spans="1:37" x14ac:dyDescent="0.2">
      <c r="A1527" t="str">
        <f>"20200111154055202"</f>
        <v>20200111154055202</v>
      </c>
      <c r="B1527" t="str">
        <f>"1578728455197621"</f>
        <v>1578728455197621</v>
      </c>
      <c r="C1527" t="s">
        <v>37</v>
      </c>
      <c r="D1527">
        <v>5.1608010000000002</v>
      </c>
      <c r="E1527">
        <v>0.50896009999999903</v>
      </c>
      <c r="F1527" t="s">
        <v>44</v>
      </c>
      <c r="G1527">
        <v>-372.27260000000001</v>
      </c>
      <c r="H1527" s="1">
        <v>-3.2745209999999998E-7</v>
      </c>
      <c r="I1527">
        <v>283.24009999999998</v>
      </c>
      <c r="J1527">
        <v>-351.86689999999999</v>
      </c>
      <c r="K1527">
        <v>1.1086069999999999</v>
      </c>
      <c r="L1527">
        <v>283.19839999999999</v>
      </c>
      <c r="M1527">
        <v>-0.99994729999999998</v>
      </c>
      <c r="N1527">
        <v>0</v>
      </c>
      <c r="O1527">
        <v>-7.5373740000000003E-3</v>
      </c>
      <c r="P1527">
        <v>-0.99756279999999997</v>
      </c>
      <c r="Q1527">
        <v>6.447601E-2</v>
      </c>
      <c r="R1527">
        <v>-2.667889E-2</v>
      </c>
      <c r="S1527">
        <v>-3.0177610000000001</v>
      </c>
      <c r="T1527">
        <v>-0.15975919999999999</v>
      </c>
      <c r="U1527">
        <v>5.432129E-3</v>
      </c>
      <c r="V1527">
        <v>-1.9111369999999999E-2</v>
      </c>
      <c r="W1527">
        <v>7.1456339999999993E-2</v>
      </c>
      <c r="X1527">
        <v>0.99726059999999905</v>
      </c>
      <c r="Y1527">
        <v>9.3139480000000007E-3</v>
      </c>
      <c r="Z1527">
        <v>6.4511980000000004E-4</v>
      </c>
      <c r="AA1527">
        <v>0.99995639999999997</v>
      </c>
      <c r="AB1527">
        <v>54</v>
      </c>
      <c r="AC1527">
        <v>-20.4057</v>
      </c>
      <c r="AD1527">
        <v>-1.1086073274521</v>
      </c>
      <c r="AE1527">
        <v>4.1699999999991598E-2</v>
      </c>
      <c r="AF1527">
        <v>0.194932590499338</v>
      </c>
      <c r="AG1527">
        <v>-1.1086073274521</v>
      </c>
      <c r="AH1527">
        <v>20.344757360347</v>
      </c>
      <c r="AI1527">
        <v>93.118880055475898</v>
      </c>
      <c r="AJ1527">
        <v>89.451039264624299</v>
      </c>
      <c r="AK1527">
        <v>20.3758720297491</v>
      </c>
    </row>
    <row r="1528" spans="1:37" x14ac:dyDescent="0.2">
      <c r="A1528" t="str">
        <f>"20200111154055216"</f>
        <v>20200111154055216</v>
      </c>
      <c r="B1528" t="str">
        <f>"1578728455207381"</f>
        <v>1578728455207381</v>
      </c>
      <c r="C1528" t="s">
        <v>37</v>
      </c>
      <c r="D1528">
        <v>5.178712</v>
      </c>
      <c r="E1528">
        <v>0.50863599999999998</v>
      </c>
      <c r="F1528" t="s">
        <v>44</v>
      </c>
      <c r="G1528">
        <v>-372.69799999999998</v>
      </c>
      <c r="H1528" s="1">
        <v>-1.01035E-7</v>
      </c>
      <c r="I1528">
        <v>283.15269999999998</v>
      </c>
      <c r="J1528">
        <v>-352.20389999999998</v>
      </c>
      <c r="K1528">
        <v>1.108592</v>
      </c>
      <c r="L1528">
        <v>283.19589999999999</v>
      </c>
      <c r="M1528">
        <v>-0.99994830000000001</v>
      </c>
      <c r="N1528">
        <v>0</v>
      </c>
      <c r="O1528">
        <v>-7.3906750000000002E-3</v>
      </c>
      <c r="P1528">
        <v>-0.99757479999999998</v>
      </c>
      <c r="Q1528">
        <v>6.4324129999999993E-2</v>
      </c>
      <c r="R1528">
        <v>-2.658986E-2</v>
      </c>
      <c r="S1528">
        <v>-3.0175480000000001</v>
      </c>
      <c r="T1528">
        <v>-0.1605905</v>
      </c>
      <c r="U1528">
        <v>-6.6223139999999998E-3</v>
      </c>
      <c r="V1528">
        <v>-1.9166740000000002E-2</v>
      </c>
      <c r="W1528">
        <v>7.1311280000000005E-2</v>
      </c>
      <c r="X1528">
        <v>0.99726990000000004</v>
      </c>
      <c r="Y1528">
        <v>5.1785149999999999E-3</v>
      </c>
      <c r="Z1528">
        <v>5.3075099999999999E-4</v>
      </c>
      <c r="AA1528">
        <v>0.9999865</v>
      </c>
      <c r="AB1528">
        <v>54</v>
      </c>
      <c r="AC1528">
        <v>-20.4941</v>
      </c>
      <c r="AD1528">
        <v>-1.1085921010349999</v>
      </c>
      <c r="AE1528">
        <v>-4.3200000000012999E-2</v>
      </c>
      <c r="AF1528">
        <v>0.10795422539006699</v>
      </c>
      <c r="AG1528">
        <v>-1.1085921010349999</v>
      </c>
      <c r="AH1528">
        <v>20.434068128991601</v>
      </c>
      <c r="AI1528">
        <v>93.105331603501796</v>
      </c>
      <c r="AJ1528">
        <v>89.697306287129393</v>
      </c>
      <c r="AK1528">
        <v>20.464402528818798</v>
      </c>
    </row>
    <row r="1529" spans="1:37" x14ac:dyDescent="0.2">
      <c r="A1529" t="str">
        <f>"20200111154055228"</f>
        <v>20200111154055228</v>
      </c>
      <c r="B1529" t="str">
        <f>"1578728455218118"</f>
        <v>1578728455218118</v>
      </c>
      <c r="C1529" t="s">
        <v>37</v>
      </c>
      <c r="D1529">
        <v>5.1723800000000004</v>
      </c>
      <c r="E1529">
        <v>0.50833450000000002</v>
      </c>
      <c r="F1529" t="s">
        <v>44</v>
      </c>
      <c r="G1529">
        <v>-373.04899999999998</v>
      </c>
      <c r="H1529" s="1">
        <v>8.5752049999999995E-8</v>
      </c>
      <c r="I1529">
        <v>283.13310000000001</v>
      </c>
      <c r="J1529">
        <v>-352.50880000000001</v>
      </c>
      <c r="K1529">
        <v>1.1085739999999999</v>
      </c>
      <c r="L1529">
        <v>283.19369999999998</v>
      </c>
      <c r="M1529">
        <v>-0.99994930000000004</v>
      </c>
      <c r="N1529">
        <v>0</v>
      </c>
      <c r="O1529">
        <v>-7.2511269999999996E-3</v>
      </c>
      <c r="P1529">
        <v>-0.99757640000000003</v>
      </c>
      <c r="Q1529">
        <v>6.4334390000000005E-2</v>
      </c>
      <c r="R1529">
        <v>-2.6509399999999999E-2</v>
      </c>
      <c r="S1529">
        <v>-3.017395</v>
      </c>
      <c r="T1529">
        <v>-0.16047169999999999</v>
      </c>
      <c r="U1529">
        <v>-9.0942379999999993E-3</v>
      </c>
      <c r="V1529">
        <v>-1.9223779999999999E-2</v>
      </c>
      <c r="W1529">
        <v>7.1327459999999995E-2</v>
      </c>
      <c r="X1529">
        <v>0.99726769999999998</v>
      </c>
      <c r="Y1529">
        <v>4.2212150000000004E-3</v>
      </c>
      <c r="Z1529">
        <v>4.9753089999999905E-4</v>
      </c>
      <c r="AA1529">
        <v>0.99999090000000002</v>
      </c>
      <c r="AB1529">
        <v>54</v>
      </c>
      <c r="AC1529">
        <v>-20.540199999999999</v>
      </c>
      <c r="AD1529">
        <v>-1.10857391424795</v>
      </c>
      <c r="AE1529">
        <v>-6.05999999999653E-2</v>
      </c>
      <c r="AF1529">
        <v>8.8088240992280895E-2</v>
      </c>
      <c r="AG1529">
        <v>-1.10857391424795</v>
      </c>
      <c r="AH1529">
        <v>20.480443211276398</v>
      </c>
      <c r="AI1529">
        <v>93.098277553060797</v>
      </c>
      <c r="AJ1529">
        <v>89.7535671831305</v>
      </c>
      <c r="AK1529">
        <v>20.510613101315801</v>
      </c>
    </row>
    <row r="1530" spans="1:37" x14ac:dyDescent="0.2">
      <c r="A1530" t="str">
        <f>"20200111154055242"</f>
        <v>20200111154055242</v>
      </c>
      <c r="B1530" t="str">
        <f>"1578728455237638"</f>
        <v>1578728455237638</v>
      </c>
      <c r="C1530" t="s">
        <v>37</v>
      </c>
      <c r="D1530">
        <v>5.1293089999999903</v>
      </c>
      <c r="E1530">
        <v>0.50772299999999904</v>
      </c>
      <c r="F1530" t="s">
        <v>44</v>
      </c>
      <c r="G1530">
        <v>-373.48610000000002</v>
      </c>
      <c r="H1530" s="1">
        <v>3.1831959999999999E-7</v>
      </c>
      <c r="I1530">
        <v>283.11579999999998</v>
      </c>
      <c r="J1530">
        <v>-352.84480000000002</v>
      </c>
      <c r="K1530">
        <v>1.108555</v>
      </c>
      <c r="L1530">
        <v>283.19130000000001</v>
      </c>
      <c r="M1530">
        <v>-0.99995029999999996</v>
      </c>
      <c r="N1530">
        <v>0</v>
      </c>
      <c r="O1530">
        <v>-7.0896300000000004E-3</v>
      </c>
      <c r="P1530">
        <v>-0.99759259999999905</v>
      </c>
      <c r="Q1530">
        <v>6.4200300000000002E-2</v>
      </c>
      <c r="R1530">
        <v>-2.6221439999999999E-2</v>
      </c>
      <c r="S1530">
        <v>-3.017242</v>
      </c>
      <c r="T1530">
        <v>-0.1594505</v>
      </c>
      <c r="U1530">
        <v>-1.119995E-2</v>
      </c>
      <c r="V1530">
        <v>-1.9094130000000001E-2</v>
      </c>
      <c r="W1530">
        <v>7.1200470000000002E-2</v>
      </c>
      <c r="X1530">
        <v>0.99727919999999903</v>
      </c>
      <c r="Y1530">
        <v>3.3633059999999999E-3</v>
      </c>
      <c r="Z1530">
        <v>4.632118E-4</v>
      </c>
      <c r="AA1530">
        <v>0.99999419999999895</v>
      </c>
      <c r="AB1530">
        <v>54</v>
      </c>
      <c r="AC1530">
        <v>-20.641300000000001</v>
      </c>
      <c r="AD1530">
        <v>-1.1085546816803999</v>
      </c>
      <c r="AE1530">
        <v>-7.5500000000033596E-2</v>
      </c>
      <c r="AF1530">
        <v>7.0640925790823594E-2</v>
      </c>
      <c r="AG1530">
        <v>-1.1085546816803999</v>
      </c>
      <c r="AH1530">
        <v>20.581952809022201</v>
      </c>
      <c r="AI1530">
        <v>93.082983442905402</v>
      </c>
      <c r="AJ1530">
        <v>89.803351457770205</v>
      </c>
      <c r="AK1530">
        <v>20.611905905458801</v>
      </c>
    </row>
    <row r="1531" spans="1:37" x14ac:dyDescent="0.2">
      <c r="A1531" t="str">
        <f>"20200111154055258"</f>
        <v>20200111154055258</v>
      </c>
      <c r="B1531" t="str">
        <f>"1578728455247596"</f>
        <v>1578728455247596</v>
      </c>
      <c r="C1531" t="s">
        <v>37</v>
      </c>
      <c r="D1531">
        <v>5.1747350000000001</v>
      </c>
      <c r="E1531">
        <v>0.50750569999999995</v>
      </c>
      <c r="F1531" t="s">
        <v>44</v>
      </c>
      <c r="G1531">
        <v>-373.92930000000001</v>
      </c>
      <c r="H1531" s="1">
        <v>5.5418179999999997E-7</v>
      </c>
      <c r="I1531">
        <v>283.0874</v>
      </c>
      <c r="J1531">
        <v>-353.2122</v>
      </c>
      <c r="K1531">
        <v>1.1085290000000001</v>
      </c>
      <c r="L1531">
        <v>283.18869999999998</v>
      </c>
      <c r="M1531">
        <v>-0.9999517</v>
      </c>
      <c r="N1531">
        <v>0</v>
      </c>
      <c r="O1531">
        <v>-6.8968759999999997E-3</v>
      </c>
      <c r="P1531">
        <v>-0.99762850000000003</v>
      </c>
      <c r="Q1531">
        <v>6.3783850000000003E-2</v>
      </c>
      <c r="R1531">
        <v>-2.5865320000000001E-2</v>
      </c>
      <c r="S1531">
        <v>-3.0170590000000002</v>
      </c>
      <c r="T1531">
        <v>-0.15862689999999999</v>
      </c>
      <c r="U1531">
        <v>-1.486206E-2</v>
      </c>
      <c r="V1531">
        <v>-1.8927289999999999E-2</v>
      </c>
      <c r="W1531">
        <v>7.0791889999999996E-2</v>
      </c>
      <c r="X1531">
        <v>0.99731150000000002</v>
      </c>
      <c r="Y1531">
        <v>1.9588979999999902E-3</v>
      </c>
      <c r="Z1531">
        <v>4.1382779999999899E-4</v>
      </c>
      <c r="AA1531">
        <v>0.99999799999999905</v>
      </c>
      <c r="AB1531">
        <v>54</v>
      </c>
      <c r="AC1531">
        <v>-20.717099999999999</v>
      </c>
      <c r="AD1531">
        <v>-1.1085284458182001</v>
      </c>
      <c r="AE1531">
        <v>-0.10129999999998</v>
      </c>
      <c r="AF1531">
        <v>4.1470451154099197E-2</v>
      </c>
      <c r="AG1531">
        <v>-1.1085284458182001</v>
      </c>
      <c r="AH1531">
        <v>20.658161052928801</v>
      </c>
      <c r="AI1531">
        <v>93.071571416090293</v>
      </c>
      <c r="AJ1531">
        <v>89.884981115803896</v>
      </c>
      <c r="AK1531">
        <v>20.687923366115101</v>
      </c>
    </row>
    <row r="1532" spans="1:37" x14ac:dyDescent="0.2">
      <c r="A1532" t="str">
        <f>"20200111154055272"</f>
        <v>20200111154055272</v>
      </c>
      <c r="B1532" t="str">
        <f>"1578728455268093"</f>
        <v>1578728455268093</v>
      </c>
      <c r="C1532" t="s">
        <v>37</v>
      </c>
      <c r="D1532">
        <v>5.222486</v>
      </c>
      <c r="E1532">
        <v>0.50726850000000001</v>
      </c>
      <c r="F1532" t="s">
        <v>44</v>
      </c>
      <c r="G1532">
        <v>-373.923</v>
      </c>
      <c r="H1532" s="1">
        <v>5.5085219999999897E-7</v>
      </c>
      <c r="I1532">
        <v>283.08350000000002</v>
      </c>
      <c r="J1532">
        <v>-353.5702</v>
      </c>
      <c r="K1532">
        <v>1.108509</v>
      </c>
      <c r="L1532">
        <v>283.18630000000002</v>
      </c>
      <c r="M1532">
        <v>-0.99995319999999899</v>
      </c>
      <c r="N1532">
        <v>0</v>
      </c>
      <c r="O1532">
        <v>-6.6964859999999998E-3</v>
      </c>
      <c r="P1532">
        <v>-0.99762199999999901</v>
      </c>
      <c r="Q1532">
        <v>6.3965980000000006E-2</v>
      </c>
      <c r="R1532">
        <v>-2.5677220000000001E-2</v>
      </c>
      <c r="S1532">
        <v>-3.0170590000000002</v>
      </c>
      <c r="T1532">
        <v>-0.16148579999999901</v>
      </c>
      <c r="U1532">
        <v>-1.531982E-2</v>
      </c>
      <c r="V1532">
        <v>-1.8936080000000001E-2</v>
      </c>
      <c r="W1532">
        <v>7.0982149999999994E-2</v>
      </c>
      <c r="X1532">
        <v>0.99729780000000001</v>
      </c>
      <c r="Y1532">
        <v>1.6071239999999999E-3</v>
      </c>
      <c r="Z1532">
        <v>4.0114989999999999E-4</v>
      </c>
      <c r="AA1532">
        <v>0.99999859999999896</v>
      </c>
      <c r="AB1532">
        <v>54</v>
      </c>
      <c r="AC1532">
        <v>-20.352799999999998</v>
      </c>
      <c r="AD1532">
        <v>-1.1085084491477999</v>
      </c>
      <c r="AE1532">
        <v>-0.102800000000002</v>
      </c>
      <c r="AF1532">
        <v>3.3398796247546603E-2</v>
      </c>
      <c r="AG1532">
        <v>-1.1085084491477999</v>
      </c>
      <c r="AH1532">
        <v>20.2928369166235</v>
      </c>
      <c r="AI1532">
        <v>93.126704750543595</v>
      </c>
      <c r="AJ1532">
        <v>89.905700304703103</v>
      </c>
      <c r="AK1532">
        <v>20.3231182790954</v>
      </c>
    </row>
    <row r="1533" spans="1:37" x14ac:dyDescent="0.2">
      <c r="A1533" t="str">
        <f>"20200111154055292"</f>
        <v>20200111154055292</v>
      </c>
      <c r="B1533" t="str">
        <f>"1578728455287613"</f>
        <v>1578728455287613</v>
      </c>
      <c r="C1533" t="s">
        <v>37</v>
      </c>
      <c r="D1533">
        <v>5.1627239999999999</v>
      </c>
      <c r="E1533">
        <v>0.50711790000000001</v>
      </c>
      <c r="F1533" t="s">
        <v>44</v>
      </c>
      <c r="G1533">
        <v>-374.1662</v>
      </c>
      <c r="H1533" s="1">
        <v>6.8027419999999903E-7</v>
      </c>
      <c r="I1533">
        <v>283.07400000000001</v>
      </c>
      <c r="J1533">
        <v>-354.0342</v>
      </c>
      <c r="K1533">
        <v>1.108479</v>
      </c>
      <c r="L1533">
        <v>283.18329999999997</v>
      </c>
      <c r="M1533">
        <v>-0.99995469999999897</v>
      </c>
      <c r="N1533">
        <v>0</v>
      </c>
      <c r="O1533">
        <v>-6.4162990000000003E-3</v>
      </c>
      <c r="P1533">
        <v>-0.99767169999999905</v>
      </c>
      <c r="Q1533">
        <v>6.3312919999999995E-2</v>
      </c>
      <c r="R1533">
        <v>-2.534904E-2</v>
      </c>
      <c r="S1533">
        <v>-3.0171199999999998</v>
      </c>
      <c r="T1533">
        <v>-0.16238569999999999</v>
      </c>
      <c r="U1533">
        <v>-1.644897E-2</v>
      </c>
      <c r="V1533">
        <v>-1.8882719999999999E-2</v>
      </c>
      <c r="W1533">
        <v>7.0339559999999995E-2</v>
      </c>
      <c r="X1533">
        <v>0.99734439999999902</v>
      </c>
      <c r="Y1533">
        <v>9.5400949999999997E-4</v>
      </c>
      <c r="Z1533">
        <v>3.7074159999999999E-4</v>
      </c>
      <c r="AA1533">
        <v>0.99999950000000004</v>
      </c>
      <c r="AB1533">
        <v>54</v>
      </c>
      <c r="AC1533">
        <v>-20.132000000000001</v>
      </c>
      <c r="AD1533">
        <v>-1.1084783197257999</v>
      </c>
      <c r="AE1533">
        <v>-0.109299999999961</v>
      </c>
      <c r="AF1533">
        <v>1.98182934824132E-2</v>
      </c>
      <c r="AG1533">
        <v>-1.1084783197257999</v>
      </c>
      <c r="AH1533">
        <v>20.071438893350301</v>
      </c>
      <c r="AI1533">
        <v>93.161041293239705</v>
      </c>
      <c r="AJ1533">
        <v>89.943426865870705</v>
      </c>
      <c r="AK1533">
        <v>20.1020341308922</v>
      </c>
    </row>
    <row r="1534" spans="1:37" x14ac:dyDescent="0.2">
      <c r="A1534" t="str">
        <f>"20200111154055305"</f>
        <v>20200111154055305</v>
      </c>
      <c r="B1534" t="str">
        <f>"1578728455297372"</f>
        <v>1578728455297372</v>
      </c>
      <c r="C1534" t="s">
        <v>37</v>
      </c>
      <c r="D1534">
        <v>5.1690259999999997</v>
      </c>
      <c r="E1534">
        <v>0.506965</v>
      </c>
      <c r="F1534" t="s">
        <v>44</v>
      </c>
      <c r="G1534">
        <v>-374.39580000000001</v>
      </c>
      <c r="H1534" s="1">
        <v>8.0246219999999898E-7</v>
      </c>
      <c r="I1534">
        <v>283.07170000000002</v>
      </c>
      <c r="J1534">
        <v>-354.36649999999997</v>
      </c>
      <c r="K1534">
        <v>1.1084579999999999</v>
      </c>
      <c r="L1534">
        <v>283.18119999999999</v>
      </c>
      <c r="M1534">
        <v>-0.99995599999999996</v>
      </c>
      <c r="N1534">
        <v>0</v>
      </c>
      <c r="O1534">
        <v>-6.2027890000000002E-3</v>
      </c>
      <c r="P1534">
        <v>-0.99766149999999998</v>
      </c>
      <c r="Q1534">
        <v>6.3513769999999997E-2</v>
      </c>
      <c r="R1534">
        <v>-2.5244699999999998E-2</v>
      </c>
      <c r="S1534">
        <v>-3.0169980000000001</v>
      </c>
      <c r="T1534">
        <v>-0.1642438</v>
      </c>
      <c r="U1534">
        <v>-1.6540530000000001E-2</v>
      </c>
      <c r="V1534">
        <v>-1.898849E-2</v>
      </c>
      <c r="W1534">
        <v>7.0547890000000002E-2</v>
      </c>
      <c r="X1534">
        <v>0.99732759999999998</v>
      </c>
      <c r="Y1534">
        <v>7.1035599999999999E-4</v>
      </c>
      <c r="Z1534">
        <v>3.5675069999999999E-4</v>
      </c>
      <c r="AA1534">
        <v>0.99999969999999905</v>
      </c>
      <c r="AB1534">
        <v>54</v>
      </c>
      <c r="AC1534">
        <v>-20.029299999999999</v>
      </c>
      <c r="AD1534">
        <v>-1.1084571975377999</v>
      </c>
      <c r="AE1534">
        <v>-0.109499999999968</v>
      </c>
      <c r="AF1534">
        <v>1.46976913112398E-2</v>
      </c>
      <c r="AG1534">
        <v>-1.1084571975377999</v>
      </c>
      <c r="AH1534">
        <v>19.9684381211733</v>
      </c>
      <c r="AI1534">
        <v>93.177253453817798</v>
      </c>
      <c r="AJ1534">
        <v>89.957827671671893</v>
      </c>
      <c r="AK1534">
        <v>19.999185342909101</v>
      </c>
    </row>
    <row r="1535" spans="1:37" x14ac:dyDescent="0.2">
      <c r="A1535" t="str">
        <f>"20200111154055318"</f>
        <v>20200111154055318</v>
      </c>
      <c r="B1535" t="str">
        <f>"1578728455308108"</f>
        <v>1578728455308108</v>
      </c>
      <c r="C1535" t="s">
        <v>37</v>
      </c>
      <c r="D1535">
        <v>5.1888360000000002</v>
      </c>
      <c r="E1535">
        <v>0.50693100000000002</v>
      </c>
      <c r="F1535" t="s">
        <v>44</v>
      </c>
      <c r="G1535">
        <v>-374.83769999999998</v>
      </c>
      <c r="H1535" s="1">
        <v>1.0376109999999999E-6</v>
      </c>
      <c r="I1535">
        <v>283.06319999999999</v>
      </c>
      <c r="J1535">
        <v>-354.69490000000002</v>
      </c>
      <c r="K1535">
        <v>1.1084350000000001</v>
      </c>
      <c r="L1535">
        <v>283.17930000000001</v>
      </c>
      <c r="M1535">
        <v>-0.99995750000000005</v>
      </c>
      <c r="N1535">
        <v>0</v>
      </c>
      <c r="O1535">
        <v>-5.9783049999999997E-3</v>
      </c>
      <c r="P1535">
        <v>-0.99769129999999995</v>
      </c>
      <c r="Q1535">
        <v>6.3159320000000005E-2</v>
      </c>
      <c r="R1535">
        <v>-2.496694E-2</v>
      </c>
      <c r="S1535">
        <v>-3.0169980000000001</v>
      </c>
      <c r="T1535">
        <v>-0.1633619</v>
      </c>
      <c r="U1535">
        <v>-1.7395020000000001E-2</v>
      </c>
      <c r="V1535">
        <v>-1.8931409999999999E-2</v>
      </c>
      <c r="W1535">
        <v>7.0201139999999995E-2</v>
      </c>
      <c r="X1535">
        <v>0.99735319999999905</v>
      </c>
      <c r="Y1535">
        <v>2.0382519999999999E-4</v>
      </c>
      <c r="Z1535">
        <v>3.28988E-4</v>
      </c>
      <c r="AA1535">
        <v>0.99999989999999905</v>
      </c>
      <c r="AB1535">
        <v>54</v>
      </c>
      <c r="AC1535">
        <v>-20.142799999999902</v>
      </c>
      <c r="AD1535">
        <v>-1.108433962389</v>
      </c>
      <c r="AE1535">
        <v>-0.116100000000017</v>
      </c>
      <c r="AF1535">
        <v>4.3117863422790304E-3</v>
      </c>
      <c r="AG1535">
        <v>-1.108433962389</v>
      </c>
      <c r="AH1535">
        <v>20.082323494908099</v>
      </c>
      <c r="AI1535">
        <v>93.159206778475294</v>
      </c>
      <c r="AJ1535">
        <v>89.987698278247393</v>
      </c>
      <c r="AK1535">
        <v>20.1128904286434</v>
      </c>
    </row>
    <row r="1536" spans="1:37" x14ac:dyDescent="0.2">
      <c r="A1536" t="str">
        <f>"20200111154055336"</f>
        <v>20200111154055336</v>
      </c>
      <c r="B1536" t="str">
        <f>"1578728455327629"</f>
        <v>1578728455327629</v>
      </c>
      <c r="C1536" t="s">
        <v>37</v>
      </c>
      <c r="D1536">
        <v>5.1318599999999996</v>
      </c>
      <c r="E1536">
        <v>0.50690009999999996</v>
      </c>
      <c r="F1536" t="s">
        <v>44</v>
      </c>
      <c r="G1536">
        <v>-375.02769999999998</v>
      </c>
      <c r="H1536" s="1">
        <v>1.138694E-6</v>
      </c>
      <c r="I1536">
        <v>283.06610000000001</v>
      </c>
      <c r="J1536">
        <v>-355.12009999999998</v>
      </c>
      <c r="K1536">
        <v>1.108398</v>
      </c>
      <c r="L1536">
        <v>283.17680000000001</v>
      </c>
      <c r="M1536">
        <v>-0.99995919999999905</v>
      </c>
      <c r="N1536">
        <v>0</v>
      </c>
      <c r="O1536">
        <v>-5.6681800000000001E-3</v>
      </c>
      <c r="P1536">
        <v>-0.99769969999999997</v>
      </c>
      <c r="Q1536">
        <v>6.2903059999999997E-2</v>
      </c>
      <c r="R1536">
        <v>-2.527006E-2</v>
      </c>
      <c r="S1536">
        <v>-3.0169679999999999</v>
      </c>
      <c r="T1536">
        <v>-0.16446839999999999</v>
      </c>
      <c r="U1536">
        <v>-1.6784670000000002E-2</v>
      </c>
      <c r="V1536">
        <v>-1.953906E-2</v>
      </c>
      <c r="W1536">
        <v>6.9955210000000004E-2</v>
      </c>
      <c r="X1536">
        <v>0.99735869999999904</v>
      </c>
      <c r="Y1536" s="1">
        <v>9.6426159999999999E-5</v>
      </c>
      <c r="Z1536">
        <v>3.1139779999999999E-4</v>
      </c>
      <c r="AA1536">
        <v>0.99999989999999905</v>
      </c>
      <c r="AB1536">
        <v>54</v>
      </c>
      <c r="AC1536">
        <v>-19.907599999999999</v>
      </c>
      <c r="AD1536">
        <v>-1.108396861306</v>
      </c>
      <c r="AE1536">
        <v>-0.110700000000008</v>
      </c>
      <c r="AF1536">
        <v>2.1378029233270102E-3</v>
      </c>
      <c r="AG1536">
        <v>-1.108396861306</v>
      </c>
      <c r="AH1536">
        <v>19.846387034034599</v>
      </c>
      <c r="AI1536">
        <v>93.196579688536602</v>
      </c>
      <c r="AJ1536">
        <v>89.993828242679399</v>
      </c>
      <c r="AK1536">
        <v>19.8773143678177</v>
      </c>
    </row>
    <row r="1537" spans="1:37" x14ac:dyDescent="0.2">
      <c r="A1537" t="str">
        <f>"20200111154055351"</f>
        <v>20200111154055351</v>
      </c>
      <c r="B1537" t="str">
        <f>"1578728455337389"</f>
        <v>1578728455337389</v>
      </c>
      <c r="C1537" t="s">
        <v>37</v>
      </c>
      <c r="D1537">
        <v>5.1383559999999999</v>
      </c>
      <c r="E1537">
        <v>0.506878299999999</v>
      </c>
      <c r="F1537" t="s">
        <v>44</v>
      </c>
      <c r="G1537">
        <v>-375.2484</v>
      </c>
      <c r="H1537" s="1">
        <v>1.2561360000000001E-6</v>
      </c>
      <c r="I1537">
        <v>283.05790000000002</v>
      </c>
      <c r="J1537">
        <v>-355.4511</v>
      </c>
      <c r="K1537">
        <v>1.108371</v>
      </c>
      <c r="L1537">
        <v>283.17500000000001</v>
      </c>
      <c r="M1537">
        <v>-0.99996049999999903</v>
      </c>
      <c r="N1537">
        <v>0</v>
      </c>
      <c r="O1537">
        <v>-5.4110139999999996E-3</v>
      </c>
      <c r="P1537">
        <v>-0.99770650000000005</v>
      </c>
      <c r="Q1537">
        <v>6.2750559999999997E-2</v>
      </c>
      <c r="R1537">
        <v>-2.537242E-2</v>
      </c>
      <c r="S1537">
        <v>-3.016937</v>
      </c>
      <c r="T1537">
        <v>-0.16613249999999999</v>
      </c>
      <c r="U1537">
        <v>-1.7822270000000001E-2</v>
      </c>
      <c r="V1537">
        <v>-1.9894040000000002E-2</v>
      </c>
      <c r="W1537">
        <v>6.9810609999999995E-2</v>
      </c>
      <c r="X1537">
        <v>0.99736190000000002</v>
      </c>
      <c r="Y1537">
        <v>-5.035943E-4</v>
      </c>
      <c r="Z1537">
        <v>2.8388810000000002E-4</v>
      </c>
      <c r="AA1537">
        <v>0.99999979999999999</v>
      </c>
      <c r="AB1537">
        <v>54</v>
      </c>
      <c r="AC1537">
        <v>-19.7973</v>
      </c>
      <c r="AD1537">
        <v>-1.1083697438639999</v>
      </c>
      <c r="AE1537">
        <v>-0.117099999999993</v>
      </c>
      <c r="AF1537">
        <v>-9.9409968116331796E-3</v>
      </c>
      <c r="AG1537">
        <v>-1.1083697438639999</v>
      </c>
      <c r="AH1537">
        <v>19.7357856991737</v>
      </c>
      <c r="AI1537">
        <v>93.214377315351797</v>
      </c>
      <c r="AJ1537">
        <v>90.028860118465502</v>
      </c>
      <c r="AK1537">
        <v>19.766886944489801</v>
      </c>
    </row>
    <row r="1538" spans="1:37" x14ac:dyDescent="0.2">
      <c r="A1538" t="str">
        <f>"20200111154055369"</f>
        <v>20200111154055369</v>
      </c>
      <c r="B1538" t="str">
        <f>"1578728455357884"</f>
        <v>1578728455357884</v>
      </c>
      <c r="C1538" t="s">
        <v>37</v>
      </c>
      <c r="D1538">
        <v>5.126163</v>
      </c>
      <c r="E1538">
        <v>0.50683279999999997</v>
      </c>
      <c r="F1538" t="s">
        <v>44</v>
      </c>
      <c r="G1538">
        <v>-375.43970000000002</v>
      </c>
      <c r="H1538" s="1">
        <v>1.357947E-6</v>
      </c>
      <c r="I1538">
        <v>283.05489999999998</v>
      </c>
      <c r="J1538">
        <v>-355.92169999999999</v>
      </c>
      <c r="K1538">
        <v>1.10833</v>
      </c>
      <c r="L1538">
        <v>283.17259999999999</v>
      </c>
      <c r="M1538">
        <v>-0.99996249999999998</v>
      </c>
      <c r="N1538">
        <v>0</v>
      </c>
      <c r="O1538">
        <v>-5.0200130000000003E-3</v>
      </c>
      <c r="P1538">
        <v>-0.99767919999999999</v>
      </c>
      <c r="Q1538">
        <v>6.3163849999999994E-2</v>
      </c>
      <c r="R1538">
        <v>-2.5432110000000001E-2</v>
      </c>
      <c r="S1538">
        <v>-3.0169679999999999</v>
      </c>
      <c r="T1538">
        <v>-0.1672912</v>
      </c>
      <c r="U1538">
        <v>-1.8127440000000002E-2</v>
      </c>
      <c r="V1538">
        <v>-2.0337149999999998E-2</v>
      </c>
      <c r="W1538">
        <v>7.0235859999999997E-2</v>
      </c>
      <c r="X1538">
        <v>0.99732310000000002</v>
      </c>
      <c r="Y1538">
        <v>-9.9444940000000003E-4</v>
      </c>
      <c r="Z1538">
        <v>2.5059939999999998E-4</v>
      </c>
      <c r="AA1538">
        <v>0.99999950000000004</v>
      </c>
      <c r="AB1538">
        <v>54</v>
      </c>
      <c r="AC1538">
        <v>-19.518000000000001</v>
      </c>
      <c r="AD1538">
        <v>-1.1083286420530001</v>
      </c>
      <c r="AE1538">
        <v>-0.117700000000013</v>
      </c>
      <c r="AF1538">
        <v>-1.9652096936888699E-2</v>
      </c>
      <c r="AG1538">
        <v>-1.1083286420530001</v>
      </c>
      <c r="AH1538">
        <v>19.455611991939101</v>
      </c>
      <c r="AI1538">
        <v>93.260445414474702</v>
      </c>
      <c r="AJ1538">
        <v>90.057874397915896</v>
      </c>
      <c r="AK1538">
        <v>19.487165431755201</v>
      </c>
    </row>
    <row r="1539" spans="1:37" x14ac:dyDescent="0.2">
      <c r="A1539" t="str">
        <f>"20200111154055385"</f>
        <v>20200111154055385</v>
      </c>
      <c r="B1539" t="str">
        <f>"1578728455377405"</f>
        <v>1578728455377405</v>
      </c>
      <c r="C1539" t="s">
        <v>37</v>
      </c>
      <c r="D1539">
        <v>5.0581709999999998</v>
      </c>
      <c r="E1539">
        <v>0.50676350000000003</v>
      </c>
      <c r="F1539" t="s">
        <v>44</v>
      </c>
      <c r="G1539">
        <v>-376.16570000000002</v>
      </c>
      <c r="H1539" s="1">
        <v>1.744317E-6</v>
      </c>
      <c r="I1539">
        <v>283.04730000000001</v>
      </c>
      <c r="J1539">
        <v>-356.2808</v>
      </c>
      <c r="K1539">
        <v>1.108298</v>
      </c>
      <c r="L1539">
        <v>283.17090000000002</v>
      </c>
      <c r="M1539">
        <v>-0.99996399999999996</v>
      </c>
      <c r="N1539">
        <v>0</v>
      </c>
      <c r="O1539">
        <v>-4.702604E-3</v>
      </c>
      <c r="P1539">
        <v>-0.99768299999999999</v>
      </c>
      <c r="Q1539">
        <v>6.3192540000000005E-2</v>
      </c>
      <c r="R1539">
        <v>-2.5211620000000001E-2</v>
      </c>
      <c r="S1539">
        <v>-3.016937</v>
      </c>
      <c r="T1539">
        <v>-0.16517190000000001</v>
      </c>
      <c r="U1539">
        <v>-1.8676760000000001E-2</v>
      </c>
      <c r="V1539">
        <v>-2.0427919999999999E-2</v>
      </c>
      <c r="W1539">
        <v>7.0272950000000001E-2</v>
      </c>
      <c r="X1539">
        <v>0.99731859999999894</v>
      </c>
      <c r="Y1539">
        <v>-1.4926239999999999E-3</v>
      </c>
      <c r="Z1539">
        <v>2.164406E-4</v>
      </c>
      <c r="AA1539">
        <v>0.99999889999999902</v>
      </c>
      <c r="AB1539">
        <v>55</v>
      </c>
      <c r="AC1539">
        <v>-19.884899999999998</v>
      </c>
      <c r="AD1539">
        <v>-1.1082962556829901</v>
      </c>
      <c r="AE1539">
        <v>-0.12360000000000999</v>
      </c>
      <c r="AF1539">
        <v>-2.9992324352747599E-2</v>
      </c>
      <c r="AG1539">
        <v>-1.1082962556829901</v>
      </c>
      <c r="AH1539">
        <v>19.823682396186999</v>
      </c>
      <c r="AI1539">
        <v>93.199939710991302</v>
      </c>
      <c r="AJ1539">
        <v>90.086685826461206</v>
      </c>
      <c r="AK1539">
        <v>19.854662018648799</v>
      </c>
    </row>
    <row r="1540" spans="1:37" x14ac:dyDescent="0.2">
      <c r="A1540" t="str">
        <f>"20200111154055404"</f>
        <v>20200111154055404</v>
      </c>
      <c r="B1540" t="str">
        <f>"1578728455397900"</f>
        <v>1578728455397900</v>
      </c>
      <c r="C1540" t="s">
        <v>37</v>
      </c>
      <c r="D1540">
        <v>5.067863</v>
      </c>
      <c r="E1540">
        <v>0.50671729999999904</v>
      </c>
      <c r="F1540" t="s">
        <v>38</v>
      </c>
      <c r="G1540">
        <v>-357.47239999999999</v>
      </c>
      <c r="H1540">
        <v>1.0428839999999999</v>
      </c>
      <c r="I1540">
        <v>283.16370000000001</v>
      </c>
      <c r="J1540">
        <v>-356.7534</v>
      </c>
      <c r="K1540">
        <v>1.10825</v>
      </c>
      <c r="L1540">
        <v>283.1687</v>
      </c>
      <c r="M1540">
        <v>-0.99996600000000002</v>
      </c>
      <c r="N1540">
        <v>0</v>
      </c>
      <c r="O1540">
        <v>-4.2519569999999998E-3</v>
      </c>
      <c r="P1540">
        <v>-0.99768819999999903</v>
      </c>
      <c r="Q1540">
        <v>6.3191159999999996E-2</v>
      </c>
      <c r="R1540">
        <v>-2.5007540000000002E-2</v>
      </c>
      <c r="S1540">
        <v>-3.017029</v>
      </c>
      <c r="T1540">
        <v>-0.1657151</v>
      </c>
      <c r="U1540">
        <v>-1.8554689999999999E-2</v>
      </c>
      <c r="V1540">
        <v>-2.0666159999999999E-2</v>
      </c>
      <c r="W1540">
        <v>7.0283429999999994E-2</v>
      </c>
      <c r="X1540">
        <v>0.99731299999999901</v>
      </c>
      <c r="Y1540">
        <v>-1.9013750000000001E-3</v>
      </c>
      <c r="Z1540">
        <v>1.8119380000000001E-4</v>
      </c>
      <c r="AA1540">
        <v>0.99999819999999995</v>
      </c>
      <c r="AB1540">
        <v>55</v>
      </c>
      <c r="AC1540">
        <v>-0.71899999999999398</v>
      </c>
      <c r="AD1540">
        <v>-6.5365999999999994E-2</v>
      </c>
      <c r="AE1540">
        <v>-4.9999999999954499E-3</v>
      </c>
      <c r="AF1540">
        <v>-1.9267970832148201E-3</v>
      </c>
      <c r="AG1540">
        <v>-6.5365999999999994E-2</v>
      </c>
      <c r="AH1540">
        <v>0.71312105682940496</v>
      </c>
      <c r="AI1540">
        <v>95.237183752330395</v>
      </c>
      <c r="AJ1540">
        <v>90.154808319208499</v>
      </c>
      <c r="AK1540">
        <v>0.71611316717156304</v>
      </c>
    </row>
    <row r="1541" spans="1:37" x14ac:dyDescent="0.2">
      <c r="A1541" t="str">
        <f>"20200111154055419"</f>
        <v>20200111154055419</v>
      </c>
      <c r="B1541" t="str">
        <f>"1578728455407660"</f>
        <v>1578728455407660</v>
      </c>
      <c r="C1541" t="s">
        <v>37</v>
      </c>
      <c r="D1541">
        <v>5.0832579999999998</v>
      </c>
      <c r="E1541">
        <v>0.50669779999999998</v>
      </c>
      <c r="F1541" t="s">
        <v>38</v>
      </c>
      <c r="G1541">
        <v>-357.96199999999999</v>
      </c>
      <c r="H1541">
        <v>1.042252</v>
      </c>
      <c r="I1541">
        <v>283.16160000000002</v>
      </c>
      <c r="J1541">
        <v>-357.14729999999997</v>
      </c>
      <c r="K1541">
        <v>1.108209</v>
      </c>
      <c r="L1541">
        <v>283.16719999999998</v>
      </c>
      <c r="M1541">
        <v>-0.99996759999999996</v>
      </c>
      <c r="N1541">
        <v>0</v>
      </c>
      <c r="O1541">
        <v>-3.8464009999999902E-3</v>
      </c>
      <c r="P1541">
        <v>-0.99769399999999997</v>
      </c>
      <c r="Q1541">
        <v>6.3244079999999994E-2</v>
      </c>
      <c r="R1541">
        <v>-2.4643209999999999E-2</v>
      </c>
      <c r="S1541">
        <v>-3.0169679999999999</v>
      </c>
      <c r="T1541">
        <v>-0.1647593</v>
      </c>
      <c r="U1541">
        <v>-1.8096919999999999E-2</v>
      </c>
      <c r="V1541">
        <v>-2.069936E-2</v>
      </c>
      <c r="W1541">
        <v>7.0346679999999995E-2</v>
      </c>
      <c r="X1541">
        <v>0.99730779999999997</v>
      </c>
      <c r="Y1541">
        <v>-2.1543230000000001E-3</v>
      </c>
      <c r="Z1541">
        <v>1.511211E-4</v>
      </c>
      <c r="AA1541">
        <v>0.99999769999999899</v>
      </c>
      <c r="AB1541">
        <v>55</v>
      </c>
      <c r="AC1541">
        <v>-0.81470000000001597</v>
      </c>
      <c r="AD1541">
        <v>-6.5957000000000002E-2</v>
      </c>
      <c r="AE1541">
        <v>-5.5999999999585201E-3</v>
      </c>
      <c r="AF1541">
        <v>-2.4501590066649702E-3</v>
      </c>
      <c r="AG1541">
        <v>-6.5957000000000002E-2</v>
      </c>
      <c r="AH1541">
        <v>0.809410643380577</v>
      </c>
      <c r="AI1541">
        <v>94.658585982820398</v>
      </c>
      <c r="AJ1541">
        <v>90.173438961516695</v>
      </c>
      <c r="AK1541">
        <v>0.81209723478529205</v>
      </c>
    </row>
    <row r="1542" spans="1:37" x14ac:dyDescent="0.2">
      <c r="A1542" t="str">
        <f>"20200111154055434"</f>
        <v>20200111154055434</v>
      </c>
      <c r="B1542" t="str">
        <f>"1578728455427179"</f>
        <v>1578728455427179</v>
      </c>
      <c r="C1542" t="s">
        <v>37</v>
      </c>
      <c r="D1542">
        <v>5.069706</v>
      </c>
      <c r="E1542">
        <v>0.5066254</v>
      </c>
      <c r="F1542" t="s">
        <v>44</v>
      </c>
      <c r="G1542">
        <v>-377.50650000000002</v>
      </c>
      <c r="H1542" s="1">
        <v>2.45779699999999E-6</v>
      </c>
      <c r="I1542">
        <v>283.0523</v>
      </c>
      <c r="J1542">
        <v>-357.49939999999998</v>
      </c>
      <c r="K1542">
        <v>1.1081719999999999</v>
      </c>
      <c r="L1542">
        <v>283.166</v>
      </c>
      <c r="M1542">
        <v>-0.99996879999999999</v>
      </c>
      <c r="N1542">
        <v>0</v>
      </c>
      <c r="O1542">
        <v>-3.462082E-3</v>
      </c>
      <c r="P1542">
        <v>-0.99771019999999899</v>
      </c>
      <c r="Q1542">
        <v>6.3164849999999995E-2</v>
      </c>
      <c r="R1542">
        <v>-2.4176050000000001E-2</v>
      </c>
      <c r="S1542">
        <v>-3.0169069999999998</v>
      </c>
      <c r="T1542">
        <v>-0.16421839999999999</v>
      </c>
      <c r="U1542">
        <v>-1.7028809999999998E-2</v>
      </c>
      <c r="V1542">
        <v>-2.0609579999999999E-2</v>
      </c>
      <c r="W1542">
        <v>7.02763E-2</v>
      </c>
      <c r="X1542">
        <v>0.99731460000000005</v>
      </c>
      <c r="Y1542">
        <v>-2.184114E-3</v>
      </c>
      <c r="Z1542">
        <v>1.289145E-4</v>
      </c>
      <c r="AA1542">
        <v>0.99999760000000004</v>
      </c>
      <c r="AB1542">
        <v>55</v>
      </c>
      <c r="AC1542">
        <v>-20.007100000000001</v>
      </c>
      <c r="AD1542">
        <v>-1.108169542203</v>
      </c>
      <c r="AE1542">
        <v>-0.113699999999994</v>
      </c>
      <c r="AF1542">
        <v>-4.4295461176486702E-2</v>
      </c>
      <c r="AG1542">
        <v>-1.108169542203</v>
      </c>
      <c r="AH1542">
        <v>19.946182409421802</v>
      </c>
      <c r="AI1542">
        <v>93.179960602430995</v>
      </c>
      <c r="AJ1542">
        <v>90.127239325940593</v>
      </c>
      <c r="AK1542">
        <v>19.976991628673101</v>
      </c>
    </row>
    <row r="1543" spans="1:37" x14ac:dyDescent="0.2">
      <c r="A1543" t="str">
        <f>"20200111154055448"</f>
        <v>20200111154055448</v>
      </c>
      <c r="B1543" t="str">
        <f>"1578728455437916"</f>
        <v>1578728455437916</v>
      </c>
      <c r="C1543" t="s">
        <v>37</v>
      </c>
      <c r="D1543">
        <v>5.0545980000000004</v>
      </c>
      <c r="E1543">
        <v>0.506629</v>
      </c>
      <c r="F1543" t="s">
        <v>44</v>
      </c>
      <c r="G1543">
        <v>-377.94199999999898</v>
      </c>
      <c r="H1543" s="1">
        <v>2.6895350000000002E-6</v>
      </c>
      <c r="I1543">
        <v>283.0564</v>
      </c>
      <c r="J1543">
        <v>-357.8492</v>
      </c>
      <c r="K1543">
        <v>1.108134</v>
      </c>
      <c r="L1543">
        <v>283.16489999999999</v>
      </c>
      <c r="M1543">
        <v>-0.99997009999999897</v>
      </c>
      <c r="N1543">
        <v>0</v>
      </c>
      <c r="O1543">
        <v>-3.0604679999999898E-3</v>
      </c>
      <c r="P1543">
        <v>-0.99768979999999996</v>
      </c>
      <c r="Q1543">
        <v>6.3561190000000004E-2</v>
      </c>
      <c r="R1543">
        <v>-2.3987979999999999E-2</v>
      </c>
      <c r="S1543">
        <v>-3.0168459999999899</v>
      </c>
      <c r="T1543">
        <v>-0.16353970000000001</v>
      </c>
      <c r="U1543">
        <v>-1.6174319999999999E-2</v>
      </c>
      <c r="V1543">
        <v>-2.081442E-2</v>
      </c>
      <c r="W1543">
        <v>7.0681549999999996E-2</v>
      </c>
      <c r="X1543">
        <v>0.99728169999999905</v>
      </c>
      <c r="Y1543">
        <v>-2.3018449999999998E-3</v>
      </c>
      <c r="Z1543">
        <v>1.034412E-4</v>
      </c>
      <c r="AA1543">
        <v>0.99999729999999998</v>
      </c>
      <c r="AB1543">
        <v>55</v>
      </c>
      <c r="AC1543">
        <v>-20.092799999999901</v>
      </c>
      <c r="AD1543">
        <v>-1.1081313104649999</v>
      </c>
      <c r="AE1543">
        <v>-0.10849999999999201</v>
      </c>
      <c r="AF1543">
        <v>-4.6862038483802201E-2</v>
      </c>
      <c r="AG1543">
        <v>-1.1081313104649999</v>
      </c>
      <c r="AH1543">
        <v>20.032110155280002</v>
      </c>
      <c r="AI1543">
        <v>93.166238103854496</v>
      </c>
      <c r="AJ1543">
        <v>90.134034413039203</v>
      </c>
      <c r="AK1543">
        <v>20.0627911399475</v>
      </c>
    </row>
    <row r="1544" spans="1:37" x14ac:dyDescent="0.2">
      <c r="A1544" t="str">
        <f>"20200111154055463"</f>
        <v>20200111154055463</v>
      </c>
      <c r="B1544" t="str">
        <f>"1578728455457435"</f>
        <v>1578728455457435</v>
      </c>
      <c r="C1544" t="s">
        <v>37</v>
      </c>
      <c r="D1544">
        <v>5.0754710000000003</v>
      </c>
      <c r="E1544">
        <v>0.50664010000000004</v>
      </c>
      <c r="F1544" t="s">
        <v>44</v>
      </c>
      <c r="G1544">
        <v>-378.42680000000001</v>
      </c>
      <c r="H1544" s="1">
        <v>2.9475090000000002E-6</v>
      </c>
      <c r="I1544">
        <v>283.06139999999999</v>
      </c>
      <c r="J1544">
        <v>-358.21269999999998</v>
      </c>
      <c r="K1544">
        <v>1.108087</v>
      </c>
      <c r="L1544">
        <v>283.16379999999998</v>
      </c>
      <c r="M1544">
        <v>-0.99997130000000001</v>
      </c>
      <c r="N1544">
        <v>0</v>
      </c>
      <c r="O1544">
        <v>-2.619129E-3</v>
      </c>
      <c r="P1544">
        <v>-0.9976874</v>
      </c>
      <c r="Q1544">
        <v>6.3719090000000006E-2</v>
      </c>
      <c r="R1544">
        <v>-2.366571E-2</v>
      </c>
      <c r="S1544">
        <v>-3.016937</v>
      </c>
      <c r="T1544">
        <v>-0.16246629999999901</v>
      </c>
      <c r="U1544">
        <v>-1.516724E-2</v>
      </c>
      <c r="V1544">
        <v>-2.0924499999999999E-2</v>
      </c>
      <c r="W1544">
        <v>7.0849449999999994E-2</v>
      </c>
      <c r="X1544">
        <v>0.99726749999999997</v>
      </c>
      <c r="Y1544">
        <v>-2.4084250000000001E-3</v>
      </c>
      <c r="Z1544" s="1">
        <v>7.6142829999999994E-5</v>
      </c>
      <c r="AA1544">
        <v>0.99999709999999997</v>
      </c>
      <c r="AB1544">
        <v>55</v>
      </c>
      <c r="AC1544">
        <v>-20.214099999999998</v>
      </c>
      <c r="AD1544">
        <v>-1.1080840524910001</v>
      </c>
      <c r="AE1544">
        <v>-0.102399999999988</v>
      </c>
      <c r="AF1544">
        <v>-4.93068148419957E-2</v>
      </c>
      <c r="AG1544">
        <v>-1.1080840524910001</v>
      </c>
      <c r="AH1544">
        <v>20.1537395358312</v>
      </c>
      <c r="AI1544">
        <v>93.147033388097</v>
      </c>
      <c r="AJ1544">
        <v>90.140175809564198</v>
      </c>
      <c r="AK1544">
        <v>20.184238868669301</v>
      </c>
    </row>
    <row r="1545" spans="1:37" x14ac:dyDescent="0.2">
      <c r="A1545" t="str">
        <f>"20200111154055480"</f>
        <v>20200111154055480</v>
      </c>
      <c r="B1545" t="str">
        <f>"1578728455467196"</f>
        <v>1578728455467196</v>
      </c>
      <c r="C1545" t="s">
        <v>37</v>
      </c>
      <c r="D1545">
        <v>5.0678179999999999</v>
      </c>
      <c r="E1545">
        <v>0.50665550000000004</v>
      </c>
      <c r="F1545" t="s">
        <v>38</v>
      </c>
      <c r="G1545">
        <v>-359.44229999999999</v>
      </c>
      <c r="H1545">
        <v>1.042632</v>
      </c>
      <c r="I1545">
        <v>283.15839999999997</v>
      </c>
      <c r="J1545">
        <v>-358.6651</v>
      </c>
      <c r="K1545">
        <v>1.1080239999999999</v>
      </c>
      <c r="L1545">
        <v>283.1628</v>
      </c>
      <c r="M1545">
        <v>-0.99997259999999999</v>
      </c>
      <c r="N1545">
        <v>0</v>
      </c>
      <c r="O1545">
        <v>-2.021059E-3</v>
      </c>
      <c r="P1545">
        <v>-0.99767709999999998</v>
      </c>
      <c r="Q1545">
        <v>6.3997219999999994E-2</v>
      </c>
      <c r="R1545">
        <v>-2.3334629999999999E-2</v>
      </c>
      <c r="S1545">
        <v>-3.0168459999999899</v>
      </c>
      <c r="T1545">
        <v>-0.1606476</v>
      </c>
      <c r="U1545">
        <v>-1.3854979999999999E-2</v>
      </c>
      <c r="V1545">
        <v>-2.1179420000000001E-2</v>
      </c>
      <c r="W1545">
        <v>7.1140519999999999E-2</v>
      </c>
      <c r="X1545">
        <v>0.99724139999999994</v>
      </c>
      <c r="Y1545">
        <v>-2.5706150000000001E-3</v>
      </c>
      <c r="Z1545" s="1">
        <v>3.9153509999999998E-5</v>
      </c>
      <c r="AA1545">
        <v>0.99999669999999896</v>
      </c>
      <c r="AB1545">
        <v>55</v>
      </c>
      <c r="AC1545">
        <v>-0.77719999999999301</v>
      </c>
      <c r="AD1545">
        <v>-6.5391999999999895E-2</v>
      </c>
      <c r="AE1545">
        <v>-4.4000000000323702E-3</v>
      </c>
      <c r="AF1545">
        <v>-2.8092972111962702E-3</v>
      </c>
      <c r="AG1545">
        <v>-6.5391999999999895E-2</v>
      </c>
      <c r="AH1545">
        <v>0.77174415597331603</v>
      </c>
      <c r="AI1545">
        <v>94.843227839709201</v>
      </c>
      <c r="AJ1545">
        <v>90.208566739890401</v>
      </c>
      <c r="AK1545">
        <v>0.77451471780321002</v>
      </c>
    </row>
    <row r="1546" spans="1:37" x14ac:dyDescent="0.2">
      <c r="A1546" t="str">
        <f>"20200111154055495"</f>
        <v>20200111154055495</v>
      </c>
      <c r="B1546" t="str">
        <f>"1578728455487693"</f>
        <v>1578728455487693</v>
      </c>
      <c r="C1546" t="s">
        <v>37</v>
      </c>
      <c r="D1546">
        <v>5.0694030000000003</v>
      </c>
      <c r="E1546">
        <v>0.50661719999999999</v>
      </c>
      <c r="F1546" t="s">
        <v>44</v>
      </c>
      <c r="G1546">
        <v>-379.61649999999997</v>
      </c>
      <c r="H1546" s="1">
        <v>3.5806529999999899E-6</v>
      </c>
      <c r="I1546">
        <v>283.07400000000001</v>
      </c>
      <c r="J1546">
        <v>-358.99959999999999</v>
      </c>
      <c r="K1546">
        <v>1.107972</v>
      </c>
      <c r="L1546">
        <v>283.16219999999998</v>
      </c>
      <c r="M1546">
        <v>-0.99997349999999996</v>
      </c>
      <c r="N1546">
        <v>0</v>
      </c>
      <c r="O1546">
        <v>-1.5468089999999999E-3</v>
      </c>
      <c r="P1546">
        <v>-0.99767059999999996</v>
      </c>
      <c r="Q1546">
        <v>6.4178230000000003E-2</v>
      </c>
      <c r="R1546">
        <v>-2.3131490000000001E-2</v>
      </c>
      <c r="S1546">
        <v>-3.0168759999999999</v>
      </c>
      <c r="T1546">
        <v>-0.15954779999999999</v>
      </c>
      <c r="U1546">
        <v>-1.2786870000000001E-2</v>
      </c>
      <c r="V1546">
        <v>-2.1440669999999998E-2</v>
      </c>
      <c r="W1546">
        <v>7.1330790000000005E-2</v>
      </c>
      <c r="X1546">
        <v>0.99722219999999995</v>
      </c>
      <c r="Y1546">
        <v>-2.6899699999999999E-3</v>
      </c>
      <c r="Z1546" s="1">
        <v>1.0667989999999999E-5</v>
      </c>
      <c r="AA1546">
        <v>0.99999640000000001</v>
      </c>
      <c r="AB1546">
        <v>55</v>
      </c>
      <c r="AC1546">
        <v>-20.616899999999902</v>
      </c>
      <c r="AD1546">
        <v>-1.1079684193470001</v>
      </c>
      <c r="AE1546">
        <v>-8.8199999999971995E-2</v>
      </c>
      <c r="AF1546">
        <v>-5.6146528786596699E-2</v>
      </c>
      <c r="AG1546">
        <v>-1.1079684193470001</v>
      </c>
      <c r="AH1546">
        <v>20.557640903515299</v>
      </c>
      <c r="AI1546">
        <v>93.084999835331999</v>
      </c>
      <c r="AJ1546">
        <v>90.156484450241095</v>
      </c>
      <c r="AK1546">
        <v>20.587553180716998</v>
      </c>
    </row>
    <row r="1547" spans="1:37" x14ac:dyDescent="0.2">
      <c r="A1547" t="str">
        <f>"20200111154055515"</f>
        <v>20200111154055515</v>
      </c>
      <c r="B1547" t="str">
        <f>"1578728455507214"</f>
        <v>1578728455507214</v>
      </c>
      <c r="C1547" t="s">
        <v>37</v>
      </c>
      <c r="D1547">
        <v>5.0557040000000004</v>
      </c>
      <c r="E1547">
        <v>0.50667039999999997</v>
      </c>
      <c r="F1547" t="s">
        <v>44</v>
      </c>
      <c r="G1547">
        <v>-380.3571</v>
      </c>
      <c r="H1547" s="1">
        <v>-1.346762E-6</v>
      </c>
      <c r="I1547">
        <v>283.0736</v>
      </c>
      <c r="J1547">
        <v>-359.51319999999998</v>
      </c>
      <c r="K1547">
        <v>1.107891</v>
      </c>
      <c r="L1547">
        <v>283.1617</v>
      </c>
      <c r="M1547">
        <v>-0.99997429999999998</v>
      </c>
      <c r="N1547">
        <v>0</v>
      </c>
      <c r="O1547">
        <v>-7.7139319999999995E-4</v>
      </c>
      <c r="P1547">
        <v>-0.99768169999999901</v>
      </c>
      <c r="Q1547">
        <v>6.3993129999999995E-2</v>
      </c>
      <c r="R1547">
        <v>-2.3160110000000001E-2</v>
      </c>
      <c r="S1547">
        <v>-3.016785</v>
      </c>
      <c r="T1547">
        <v>-0.156503</v>
      </c>
      <c r="U1547">
        <v>-1.2512209999999999E-2</v>
      </c>
      <c r="V1547">
        <v>-2.223027E-2</v>
      </c>
      <c r="W1547">
        <v>7.1162409999999995E-2</v>
      </c>
      <c r="X1547">
        <v>0.99721700000000002</v>
      </c>
      <c r="Y1547">
        <v>-3.37259E-3</v>
      </c>
      <c r="Z1547" s="1">
        <v>-4.7429619999999999E-5</v>
      </c>
      <c r="AA1547">
        <v>0.9999943</v>
      </c>
      <c r="AB1547">
        <v>55</v>
      </c>
      <c r="AC1547">
        <v>-20.843900000000001</v>
      </c>
      <c r="AD1547">
        <v>-1.1078923467620001</v>
      </c>
      <c r="AE1547">
        <v>-8.8099999999997097E-2</v>
      </c>
      <c r="AF1547">
        <v>-7.1817832120453104E-2</v>
      </c>
      <c r="AG1547">
        <v>-1.1078923467620001</v>
      </c>
      <c r="AH1547">
        <v>20.785241970240399</v>
      </c>
      <c r="AI1547">
        <v>93.051066954045794</v>
      </c>
      <c r="AJ1547">
        <v>90.197969420083396</v>
      </c>
      <c r="AK1547">
        <v>20.814871294688899</v>
      </c>
    </row>
    <row r="1548" spans="1:37" x14ac:dyDescent="0.2">
      <c r="A1548" t="str">
        <f>"20200111154055528"</f>
        <v>20200111154055528</v>
      </c>
      <c r="B1548" t="str">
        <f>"1578728455517948"</f>
        <v>1578728455517948</v>
      </c>
      <c r="C1548" t="s">
        <v>37</v>
      </c>
      <c r="D1548">
        <v>5.0326500000000003</v>
      </c>
      <c r="E1548">
        <v>0.50668359999999901</v>
      </c>
      <c r="F1548" t="s">
        <v>44</v>
      </c>
      <c r="G1548">
        <v>-381.1019</v>
      </c>
      <c r="H1548" s="1">
        <v>-9.5039059999999898E-7</v>
      </c>
      <c r="I1548">
        <v>283.07459999999998</v>
      </c>
      <c r="J1548">
        <v>-359.84120000000001</v>
      </c>
      <c r="K1548">
        <v>1.1078349999999999</v>
      </c>
      <c r="L1548">
        <v>283.16160000000002</v>
      </c>
      <c r="M1548">
        <v>-0.99997449999999999</v>
      </c>
      <c r="N1548">
        <v>0</v>
      </c>
      <c r="O1548">
        <v>-2.4050349999999999E-4</v>
      </c>
      <c r="P1548">
        <v>-0.99770619999999999</v>
      </c>
      <c r="Q1548">
        <v>6.3734810000000003E-2</v>
      </c>
      <c r="R1548">
        <v>-2.2809349999999999E-2</v>
      </c>
      <c r="S1548">
        <v>-3.016632</v>
      </c>
      <c r="T1548">
        <v>-0.15480739999999901</v>
      </c>
      <c r="U1548">
        <v>-1.217651E-2</v>
      </c>
      <c r="V1548">
        <v>-2.2400429999999999E-2</v>
      </c>
      <c r="W1548">
        <v>7.0914130000000006E-2</v>
      </c>
      <c r="X1548">
        <v>0.99723090000000003</v>
      </c>
      <c r="Y1548">
        <v>-3.7912470000000002E-3</v>
      </c>
      <c r="Z1548" s="1">
        <v>-8.4880889999999995E-5</v>
      </c>
      <c r="AA1548">
        <v>0.99999280000000002</v>
      </c>
      <c r="AB1548">
        <v>55</v>
      </c>
      <c r="AC1548">
        <v>-21.2606999999999</v>
      </c>
      <c r="AD1548">
        <v>-1.1078359503905999</v>
      </c>
      <c r="AE1548">
        <v>-8.7000000000045902E-2</v>
      </c>
      <c r="AF1548">
        <v>-8.1664864830615302E-2</v>
      </c>
      <c r="AG1548">
        <v>-1.1078359503905999</v>
      </c>
      <c r="AH1548">
        <v>21.203151277084999</v>
      </c>
      <c r="AI1548">
        <v>92.990885103193307</v>
      </c>
      <c r="AJ1548">
        <v>90.220676110423398</v>
      </c>
      <c r="AK1548">
        <v>21.232230069450502</v>
      </c>
    </row>
    <row r="1549" spans="1:37" x14ac:dyDescent="0.2">
      <c r="A1549" t="str">
        <f>"20200111154055548"</f>
        <v>20200111154055548</v>
      </c>
      <c r="B1549" t="str">
        <f>"1578728455537468"</f>
        <v>1578728455537468</v>
      </c>
      <c r="C1549" t="s">
        <v>37</v>
      </c>
      <c r="D1549">
        <v>5.0404109999999998</v>
      </c>
      <c r="E1549">
        <v>0.50672019999999995</v>
      </c>
      <c r="F1549" t="s">
        <v>44</v>
      </c>
      <c r="G1549">
        <v>-381.44479999999999</v>
      </c>
      <c r="H1549" s="1">
        <v>-7.6796350000000005E-7</v>
      </c>
      <c r="I1549">
        <v>283.0822</v>
      </c>
      <c r="J1549">
        <v>-360.31180000000001</v>
      </c>
      <c r="K1549">
        <v>1.107753</v>
      </c>
      <c r="L1549">
        <v>283.1617</v>
      </c>
      <c r="M1549">
        <v>-0.99997429999999998</v>
      </c>
      <c r="N1549">
        <v>0</v>
      </c>
      <c r="O1549">
        <v>5.7143609999999996E-4</v>
      </c>
      <c r="P1549">
        <v>-0.99771849999999995</v>
      </c>
      <c r="Q1549">
        <v>6.3574699999999998E-2</v>
      </c>
      <c r="R1549">
        <v>-2.272209E-2</v>
      </c>
      <c r="S1549">
        <v>-3.0165410000000001</v>
      </c>
      <c r="T1549">
        <v>-0.15468889999999999</v>
      </c>
      <c r="U1549">
        <v>-1.107788E-2</v>
      </c>
      <c r="V1549">
        <v>-2.311013E-2</v>
      </c>
      <c r="W1549">
        <v>7.0770959999999994E-2</v>
      </c>
      <c r="X1549">
        <v>0.99722489999999997</v>
      </c>
      <c r="Y1549">
        <v>-4.2374830000000002E-3</v>
      </c>
      <c r="Z1549">
        <v>-1.378626E-4</v>
      </c>
      <c r="AA1549">
        <v>0.99999099999999996</v>
      </c>
      <c r="AB1549">
        <v>55</v>
      </c>
      <c r="AC1549">
        <v>-21.1329999999999</v>
      </c>
      <c r="AD1549">
        <v>-1.1077537679634999</v>
      </c>
      <c r="AE1549">
        <v>-7.9499999999995893E-2</v>
      </c>
      <c r="AF1549">
        <v>-9.1325525892203094E-2</v>
      </c>
      <c r="AG1549">
        <v>-1.1077537679634999</v>
      </c>
      <c r="AH1549">
        <v>21.075044724618699</v>
      </c>
      <c r="AI1549">
        <v>93.008803427245397</v>
      </c>
      <c r="AJ1549">
        <v>90.248281059990305</v>
      </c>
      <c r="AK1549">
        <v>21.104335310707999</v>
      </c>
    </row>
    <row r="1550" spans="1:37" x14ac:dyDescent="0.2">
      <c r="A1550" t="str">
        <f>"20200111154055561"</f>
        <v>20200111154055561</v>
      </c>
      <c r="B1550" t="str">
        <f>"1578728455557964"</f>
        <v>1578728455557964</v>
      </c>
      <c r="C1550" t="s">
        <v>37</v>
      </c>
      <c r="D1550">
        <v>5.0197149999999997</v>
      </c>
      <c r="E1550">
        <v>0.50677380000000005</v>
      </c>
      <c r="F1550" t="s">
        <v>44</v>
      </c>
      <c r="G1550">
        <v>-382.04349999999999</v>
      </c>
      <c r="H1550" s="1">
        <v>-4.4936949999999999E-7</v>
      </c>
      <c r="I1550">
        <v>283.08780000000002</v>
      </c>
      <c r="J1550">
        <v>-360.67399999999998</v>
      </c>
      <c r="K1550">
        <v>1.107685</v>
      </c>
      <c r="L1550">
        <v>283.16199999999998</v>
      </c>
      <c r="M1550">
        <v>-0.99997369999999997</v>
      </c>
      <c r="N1550">
        <v>0</v>
      </c>
      <c r="O1550">
        <v>1.232838E-3</v>
      </c>
      <c r="P1550">
        <v>-0.99772559999999999</v>
      </c>
      <c r="Q1550">
        <v>6.3538979999999995E-2</v>
      </c>
      <c r="R1550">
        <v>-2.2514220000000001E-2</v>
      </c>
      <c r="S1550">
        <v>-3.0163570000000002</v>
      </c>
      <c r="T1550">
        <v>-0.15375629999999901</v>
      </c>
      <c r="U1550">
        <v>-1.025391E-2</v>
      </c>
      <c r="V1550">
        <v>-2.3550970000000001E-2</v>
      </c>
      <c r="W1550">
        <v>7.0748140000000001E-2</v>
      </c>
      <c r="X1550">
        <v>0.9972162</v>
      </c>
      <c r="Y1550">
        <v>-4.6246689999999997E-3</v>
      </c>
      <c r="Z1550">
        <v>-1.8059599999999999E-4</v>
      </c>
      <c r="AA1550">
        <v>0.99998929999999997</v>
      </c>
      <c r="AB1550">
        <v>55</v>
      </c>
      <c r="AC1550">
        <v>-21.369499999999899</v>
      </c>
      <c r="AD1550">
        <v>-1.1076854493695001</v>
      </c>
      <c r="AE1550">
        <v>-7.4200000000018904E-2</v>
      </c>
      <c r="AF1550">
        <v>-0.100276323460967</v>
      </c>
      <c r="AG1550">
        <v>-1.1076854493695001</v>
      </c>
      <c r="AH1550">
        <v>21.312130373461802</v>
      </c>
      <c r="AI1550">
        <v>92.975204474537506</v>
      </c>
      <c r="AJ1550">
        <v>90.269582046540194</v>
      </c>
      <c r="AK1550">
        <v>21.341132197032699</v>
      </c>
    </row>
    <row r="1551" spans="1:37" x14ac:dyDescent="0.2">
      <c r="A1551" t="str">
        <f>"20200111154055582"</f>
        <v>20200111154055582</v>
      </c>
      <c r="B1551" t="str">
        <f>"1578728455577484"</f>
        <v>1578728455577484</v>
      </c>
      <c r="C1551" t="s">
        <v>37</v>
      </c>
      <c r="D1551">
        <v>5.0475479999999999</v>
      </c>
      <c r="E1551">
        <v>0.50668409999999997</v>
      </c>
      <c r="F1551" t="s">
        <v>44</v>
      </c>
      <c r="G1551">
        <v>-382.57240000000002</v>
      </c>
      <c r="H1551" s="1">
        <v>-1.678782E-7</v>
      </c>
      <c r="I1551">
        <v>283.09640000000002</v>
      </c>
      <c r="J1551">
        <v>-361.15190000000001</v>
      </c>
      <c r="K1551">
        <v>1.107594</v>
      </c>
      <c r="L1551">
        <v>283.1628</v>
      </c>
      <c r="M1551">
        <v>-0.99997190000000002</v>
      </c>
      <c r="N1551">
        <v>0</v>
      </c>
      <c r="O1551">
        <v>2.1647629999999901E-3</v>
      </c>
      <c r="P1551">
        <v>-0.99775630000000004</v>
      </c>
      <c r="Q1551">
        <v>6.3138299999999994E-2</v>
      </c>
      <c r="R1551">
        <v>-2.2272460000000001E-2</v>
      </c>
      <c r="S1551">
        <v>-3.0163570000000002</v>
      </c>
      <c r="T1551">
        <v>-0.15257599999999999</v>
      </c>
      <c r="U1551">
        <v>-9.0332030000000001E-3</v>
      </c>
      <c r="V1551">
        <v>-2.422494E-2</v>
      </c>
      <c r="W1551">
        <v>7.0364769999999993E-2</v>
      </c>
      <c r="X1551">
        <v>0.99722710000000003</v>
      </c>
      <c r="Y1551">
        <v>-5.1501759999999898E-3</v>
      </c>
      <c r="Z1551">
        <v>-2.396043E-4</v>
      </c>
      <c r="AA1551">
        <v>0.99998670000000001</v>
      </c>
      <c r="AB1551">
        <v>55</v>
      </c>
      <c r="AC1551">
        <v>-21.420500000000001</v>
      </c>
      <c r="AD1551">
        <v>-1.1075941678782</v>
      </c>
      <c r="AE1551">
        <v>-6.6399999999987303E-2</v>
      </c>
      <c r="AF1551">
        <v>-0.11247064208261499</v>
      </c>
      <c r="AG1551">
        <v>-1.1075941678782</v>
      </c>
      <c r="AH1551">
        <v>21.363189242083799</v>
      </c>
      <c r="AI1551">
        <v>92.967853927877599</v>
      </c>
      <c r="AJ1551">
        <v>90.301641927216806</v>
      </c>
      <c r="AK1551">
        <v>21.392177754476801</v>
      </c>
    </row>
    <row r="1552" spans="1:37" x14ac:dyDescent="0.2">
      <c r="A1552" t="str">
        <f>"20200111154055605"</f>
        <v>20200111154055605</v>
      </c>
      <c r="B1552" t="str">
        <f>"1578728455597980"</f>
        <v>1578728455597980</v>
      </c>
      <c r="C1552" t="s">
        <v>37</v>
      </c>
      <c r="D1552">
        <v>4.9104989999999997</v>
      </c>
      <c r="E1552">
        <v>0.48661509999999902</v>
      </c>
      <c r="F1552" t="s">
        <v>44</v>
      </c>
      <c r="G1552">
        <v>-383.00900000000001</v>
      </c>
      <c r="H1552" s="1">
        <v>6.446049E-8</v>
      </c>
      <c r="I1552">
        <v>283.0994</v>
      </c>
      <c r="J1552">
        <v>-361.7439</v>
      </c>
      <c r="K1552">
        <v>1.107472</v>
      </c>
      <c r="L1552">
        <v>283.16460000000001</v>
      </c>
      <c r="M1552">
        <v>-0.99996849999999904</v>
      </c>
      <c r="N1552">
        <v>0</v>
      </c>
      <c r="O1552">
        <v>3.4038670000000001E-3</v>
      </c>
      <c r="P1552">
        <v>-0.9978013</v>
      </c>
      <c r="Q1552">
        <v>6.2701179999999995E-2</v>
      </c>
      <c r="R1552">
        <v>-2.1484630000000001E-2</v>
      </c>
      <c r="S1552">
        <v>-3.016235</v>
      </c>
      <c r="T1552">
        <v>-0.15284529999999999</v>
      </c>
      <c r="U1552">
        <v>-8.7585449999999995E-3</v>
      </c>
      <c r="V1552">
        <v>-2.4656009999999999E-2</v>
      </c>
      <c r="W1552">
        <v>6.9949029999999995E-2</v>
      </c>
      <c r="X1552">
        <v>0.99724579999999996</v>
      </c>
      <c r="Y1552">
        <v>-6.2952669999999898E-3</v>
      </c>
      <c r="Z1552">
        <v>-3.3178269999999902E-4</v>
      </c>
      <c r="AA1552">
        <v>0.99998019999999999</v>
      </c>
      <c r="AB1552">
        <v>55</v>
      </c>
      <c r="AC1552">
        <v>-21.2651</v>
      </c>
      <c r="AD1552">
        <v>-1.10747193553951</v>
      </c>
      <c r="AE1552">
        <v>-6.5200000000004296E-2</v>
      </c>
      <c r="AF1552">
        <v>-0.13721290224463201</v>
      </c>
      <c r="AG1552">
        <v>-1.10747193553951</v>
      </c>
      <c r="AH1552">
        <v>21.207235961537499</v>
      </c>
      <c r="AI1552">
        <v>92.9892889780768</v>
      </c>
      <c r="AJ1552">
        <v>90.370704155292799</v>
      </c>
      <c r="AK1552">
        <v>21.236576433052502</v>
      </c>
    </row>
    <row r="1553" spans="1:37" x14ac:dyDescent="0.2">
      <c r="A1553" t="str">
        <f>"20200111154055619"</f>
        <v>20200111154055619</v>
      </c>
      <c r="B1553" t="str">
        <f>"1578728455607740"</f>
        <v>1578728455607740</v>
      </c>
      <c r="C1553" t="s">
        <v>37</v>
      </c>
      <c r="D1553">
        <v>4.9694459999999996</v>
      </c>
      <c r="E1553">
        <v>0.48066819999999999</v>
      </c>
      <c r="F1553" t="s">
        <v>44</v>
      </c>
      <c r="G1553">
        <v>-383.39870000000002</v>
      </c>
      <c r="H1553" s="1">
        <v>2.7183099999999999E-7</v>
      </c>
      <c r="I1553">
        <v>281.96769999999998</v>
      </c>
      <c r="J1553">
        <v>-362.09910000000002</v>
      </c>
      <c r="K1553">
        <v>1.107399</v>
      </c>
      <c r="L1553">
        <v>283.16590000000002</v>
      </c>
      <c r="M1553">
        <v>-0.9999654</v>
      </c>
      <c r="N1553">
        <v>0</v>
      </c>
      <c r="O1553">
        <v>4.1901150000000003E-3</v>
      </c>
      <c r="P1553">
        <v>-0.99781730000000002</v>
      </c>
      <c r="Q1553">
        <v>6.2701610000000005E-2</v>
      </c>
      <c r="R1553">
        <v>-2.0716519999999999E-2</v>
      </c>
      <c r="S1553">
        <v>-3.0126949999999999</v>
      </c>
      <c r="T1553">
        <v>-0.1540754</v>
      </c>
      <c r="U1553">
        <v>-0.16650390000000001</v>
      </c>
      <c r="V1553">
        <v>-2.466074E-2</v>
      </c>
      <c r="W1553">
        <v>6.9960930000000005E-2</v>
      </c>
      <c r="X1553">
        <v>0.99724480000000004</v>
      </c>
      <c r="Y1553">
        <v>-5.9283860000000001E-2</v>
      </c>
      <c r="Z1553">
        <v>-1.7278059999999999E-3</v>
      </c>
      <c r="AA1553">
        <v>0.99823969999999995</v>
      </c>
      <c r="AB1553">
        <v>56</v>
      </c>
      <c r="AC1553">
        <v>-21.299600000000002</v>
      </c>
      <c r="AD1553">
        <v>-1.1073987281690001</v>
      </c>
      <c r="AE1553">
        <v>-1.1982000000000399</v>
      </c>
      <c r="AF1553">
        <v>-1.28397975785816</v>
      </c>
      <c r="AG1553">
        <v>-1.1073987281690001</v>
      </c>
      <c r="AH1553">
        <v>21.237166792897501</v>
      </c>
      <c r="AI1553">
        <v>92.979518291234001</v>
      </c>
      <c r="AJ1553">
        <v>93.459839150837297</v>
      </c>
      <c r="AK1553">
        <v>21.304745700221101</v>
      </c>
    </row>
    <row r="1554" spans="1:37" x14ac:dyDescent="0.2">
      <c r="A1554" t="str">
        <f>"20200111154055634"</f>
        <v>20200111154055634</v>
      </c>
      <c r="B1554" t="str">
        <f>"1578728455627260"</f>
        <v>1578728455627260</v>
      </c>
      <c r="C1554" t="s">
        <v>37</v>
      </c>
      <c r="D1554">
        <v>4.9264060000000001</v>
      </c>
      <c r="E1554">
        <v>0.47689789999999999</v>
      </c>
      <c r="F1554" t="s">
        <v>44</v>
      </c>
      <c r="G1554">
        <v>-384.86709999999999</v>
      </c>
      <c r="H1554" s="1">
        <v>1.053241E-6</v>
      </c>
      <c r="I1554">
        <v>281.56509999999997</v>
      </c>
      <c r="J1554">
        <v>-362.4572</v>
      </c>
      <c r="K1554">
        <v>1.1073280000000001</v>
      </c>
      <c r="L1554">
        <v>283.16759999999999</v>
      </c>
      <c r="M1554">
        <v>-0.99996169999999995</v>
      </c>
      <c r="N1554">
        <v>0</v>
      </c>
      <c r="O1554">
        <v>5.0130620000000004E-3</v>
      </c>
      <c r="P1554">
        <v>-0.99784309999999998</v>
      </c>
      <c r="Q1554">
        <v>6.2547420000000006E-2</v>
      </c>
      <c r="R1554">
        <v>-1.993311E-2</v>
      </c>
      <c r="S1554">
        <v>-3.01135299999999</v>
      </c>
      <c r="T1554">
        <v>-0.14646700000000001</v>
      </c>
      <c r="U1554">
        <v>-0.211731</v>
      </c>
      <c r="V1554">
        <v>-2.468762E-2</v>
      </c>
      <c r="W1554">
        <v>6.9818699999999997E-2</v>
      </c>
      <c r="X1554">
        <v>0.99725419999999998</v>
      </c>
      <c r="Y1554">
        <v>-7.5043540000000006E-2</v>
      </c>
      <c r="Z1554">
        <v>-2.06507E-3</v>
      </c>
      <c r="AA1554">
        <v>0.99717809999999996</v>
      </c>
      <c r="AB1554">
        <v>56</v>
      </c>
      <c r="AC1554">
        <v>-22.4099</v>
      </c>
      <c r="AD1554">
        <v>-1.1073269467589999</v>
      </c>
      <c r="AE1554">
        <v>-1.60250000000002</v>
      </c>
      <c r="AF1554">
        <v>-1.7106694756185099</v>
      </c>
      <c r="AG1554">
        <v>-1.1073269467589999</v>
      </c>
      <c r="AH1554">
        <v>22.3472995044594</v>
      </c>
      <c r="AI1554">
        <v>92.828471016275103</v>
      </c>
      <c r="AJ1554">
        <v>94.377413204723197</v>
      </c>
      <c r="AK1554">
        <v>22.4400168931274</v>
      </c>
    </row>
    <row r="1555" spans="1:37" x14ac:dyDescent="0.2">
      <c r="A1555" t="str">
        <f>"20200111154055648"</f>
        <v>20200111154055648</v>
      </c>
      <c r="B1555" t="str">
        <f>"1578728455637998"</f>
        <v>1578728455637998</v>
      </c>
      <c r="C1555" t="s">
        <v>37</v>
      </c>
      <c r="D1555">
        <v>4.9092409999999997</v>
      </c>
      <c r="E1555">
        <v>0.47657440000000001</v>
      </c>
      <c r="F1555" t="s">
        <v>44</v>
      </c>
      <c r="G1555">
        <v>-384.65039999999999</v>
      </c>
      <c r="H1555" s="1">
        <v>9.3793560000000002E-7</v>
      </c>
      <c r="I1555">
        <v>281.40440000000001</v>
      </c>
      <c r="J1555">
        <v>-362.81610000000001</v>
      </c>
      <c r="K1555">
        <v>1.1072610000000001</v>
      </c>
      <c r="L1555">
        <v>283.16950000000003</v>
      </c>
      <c r="M1555">
        <v>-0.99995699999999998</v>
      </c>
      <c r="N1555">
        <v>0</v>
      </c>
      <c r="O1555">
        <v>5.8605509999999899E-3</v>
      </c>
      <c r="P1555">
        <v>-0.99784709999999999</v>
      </c>
      <c r="Q1555">
        <v>6.2651310000000002E-2</v>
      </c>
      <c r="R1555">
        <v>-1.9400580000000001E-2</v>
      </c>
      <c r="S1555">
        <v>-3.011139</v>
      </c>
      <c r="T1555">
        <v>-0.15024019999999999</v>
      </c>
      <c r="U1555">
        <v>-0.239227299999999</v>
      </c>
      <c r="V1555">
        <v>-2.4988900000000001E-2</v>
      </c>
      <c r="W1555">
        <v>6.9935250000000004E-2</v>
      </c>
      <c r="X1555">
        <v>0.99723850000000003</v>
      </c>
      <c r="Y1555">
        <v>-8.4926580000000002E-2</v>
      </c>
      <c r="Z1555">
        <v>-2.4058500000000002E-3</v>
      </c>
      <c r="AA1555">
        <v>0.9963843</v>
      </c>
      <c r="AB1555">
        <v>56</v>
      </c>
      <c r="AC1555">
        <v>-21.834299999999899</v>
      </c>
      <c r="AD1555">
        <v>-1.1072600620644</v>
      </c>
      <c r="AE1555">
        <v>-1.7651000000000101</v>
      </c>
      <c r="AF1555">
        <v>-1.8882096346103501</v>
      </c>
      <c r="AG1555">
        <v>-1.1072600620644</v>
      </c>
      <c r="AH1555">
        <v>21.767963036814599</v>
      </c>
      <c r="AI1555">
        <v>92.901050991198701</v>
      </c>
      <c r="AJ1555">
        <v>94.957575476182399</v>
      </c>
      <c r="AK1555">
        <v>21.8777415480073</v>
      </c>
    </row>
    <row r="1556" spans="1:37" x14ac:dyDescent="0.2">
      <c r="A1556" t="str">
        <f>"20200111154055662"</f>
        <v>20200111154055662</v>
      </c>
      <c r="B1556" t="str">
        <f>"1578728455657515"</f>
        <v>1578728455657515</v>
      </c>
      <c r="C1556" t="s">
        <v>37</v>
      </c>
      <c r="D1556">
        <v>4.8529929999999997</v>
      </c>
      <c r="E1556">
        <v>0.47647209999999901</v>
      </c>
      <c r="F1556" t="s">
        <v>44</v>
      </c>
      <c r="G1556">
        <v>-385.10570000000001</v>
      </c>
      <c r="H1556" s="1">
        <v>1.1802280000000001E-6</v>
      </c>
      <c r="I1556">
        <v>281.390999999999</v>
      </c>
      <c r="J1556">
        <v>-363.16520000000003</v>
      </c>
      <c r="K1556">
        <v>1.1071949999999999</v>
      </c>
      <c r="L1556">
        <v>283.17160000000001</v>
      </c>
      <c r="M1556">
        <v>-0.99995149999999999</v>
      </c>
      <c r="N1556">
        <v>0</v>
      </c>
      <c r="O1556">
        <v>6.706587E-3</v>
      </c>
      <c r="P1556">
        <v>-0.99786569999999997</v>
      </c>
      <c r="Q1556">
        <v>6.2662449999999995E-2</v>
      </c>
      <c r="R1556">
        <v>-1.8372039999999999E-2</v>
      </c>
      <c r="S1556">
        <v>-3.01116899999999</v>
      </c>
      <c r="T1556">
        <v>-0.14958289999999999</v>
      </c>
      <c r="U1556">
        <v>-0.240264899999999</v>
      </c>
      <c r="V1556">
        <v>-2.4793900000000001E-2</v>
      </c>
      <c r="W1556">
        <v>6.995664E-2</v>
      </c>
      <c r="X1556">
        <v>0.99724190000000001</v>
      </c>
      <c r="Y1556">
        <v>-8.6108420000000005E-2</v>
      </c>
      <c r="Z1556">
        <v>-2.4665120000000001E-3</v>
      </c>
      <c r="AA1556">
        <v>0.99628269999999997</v>
      </c>
      <c r="AB1556">
        <v>56</v>
      </c>
      <c r="AC1556">
        <v>-21.940499999999901</v>
      </c>
      <c r="AD1556">
        <v>-1.1071938197719999</v>
      </c>
      <c r="AE1556">
        <v>-1.7806000000000399</v>
      </c>
      <c r="AF1556">
        <v>-1.9228450480753501</v>
      </c>
      <c r="AG1556">
        <v>-1.1071938197719999</v>
      </c>
      <c r="AH1556">
        <v>21.8727286816708</v>
      </c>
      <c r="AI1556">
        <v>92.886714981715599</v>
      </c>
      <c r="AJ1556">
        <v>95.023991560741806</v>
      </c>
      <c r="AK1556">
        <v>21.984982856837401</v>
      </c>
    </row>
    <row r="1557" spans="1:37" x14ac:dyDescent="0.2">
      <c r="A1557" t="str">
        <f>"20200111154055676"</f>
        <v>20200111154055676</v>
      </c>
      <c r="B1557" t="str">
        <f>"1578728455667276"</f>
        <v>1578728455667276</v>
      </c>
      <c r="C1557" t="s">
        <v>37</v>
      </c>
      <c r="D1557">
        <v>4.8858370000000004</v>
      </c>
      <c r="E1557">
        <v>0.47647250000000002</v>
      </c>
      <c r="F1557" t="s">
        <v>44</v>
      </c>
      <c r="G1557">
        <v>-385.6046</v>
      </c>
      <c r="H1557" s="1">
        <v>1.445677E-6</v>
      </c>
      <c r="I1557">
        <v>281.39769999999999</v>
      </c>
      <c r="J1557">
        <v>-363.50060000000002</v>
      </c>
      <c r="K1557">
        <v>1.1071359999999999</v>
      </c>
      <c r="L1557">
        <v>283.17410000000001</v>
      </c>
      <c r="M1557">
        <v>-0.99994559999999999</v>
      </c>
      <c r="N1557">
        <v>0</v>
      </c>
      <c r="O1557">
        <v>7.5469309999999998E-3</v>
      </c>
      <c r="P1557">
        <v>-0.99790469999999898</v>
      </c>
      <c r="Q1557">
        <v>6.23306E-2</v>
      </c>
      <c r="R1557">
        <v>-1.735486E-2</v>
      </c>
      <c r="S1557">
        <v>-3.0113829999999999</v>
      </c>
      <c r="T1557">
        <v>-0.14858650000000001</v>
      </c>
      <c r="U1557">
        <v>-0.23806759999999999</v>
      </c>
      <c r="V1557">
        <v>-2.4607090000000002E-2</v>
      </c>
      <c r="W1557">
        <v>6.9635559999999999E-2</v>
      </c>
      <c r="X1557">
        <v>0.99726899999999996</v>
      </c>
      <c r="Y1557">
        <v>-8.6218059999999999E-2</v>
      </c>
      <c r="Z1557">
        <v>-2.4940779999999998E-3</v>
      </c>
      <c r="AA1557">
        <v>0.99627319999999997</v>
      </c>
      <c r="AB1557">
        <v>56</v>
      </c>
      <c r="AC1557">
        <v>-22.1039999999999</v>
      </c>
      <c r="AD1557">
        <v>-1.107134554323</v>
      </c>
      <c r="AE1557">
        <v>-1.77640000000002</v>
      </c>
      <c r="AF1557">
        <v>-1.9383394727927099</v>
      </c>
      <c r="AG1557">
        <v>-1.107134554323</v>
      </c>
      <c r="AH1557">
        <v>22.0350378930722</v>
      </c>
      <c r="AI1557">
        <v>92.865320111291595</v>
      </c>
      <c r="AJ1557">
        <v>95.027154240765796</v>
      </c>
      <c r="AK1557">
        <v>22.147817088424102</v>
      </c>
    </row>
    <row r="1558" spans="1:37" x14ac:dyDescent="0.2">
      <c r="A1558" t="str">
        <f>"20200111154055689"</f>
        <v>20200111154055689</v>
      </c>
      <c r="B1558" t="str">
        <f>"1578728455678011"</f>
        <v>1578728455678011</v>
      </c>
      <c r="C1558" t="s">
        <v>37</v>
      </c>
      <c r="D1558">
        <v>4.8798959999999996</v>
      </c>
      <c r="E1558">
        <v>0.47610639999999999</v>
      </c>
      <c r="F1558" t="s">
        <v>44</v>
      </c>
      <c r="G1558">
        <v>-386.04649999999998</v>
      </c>
      <c r="H1558" s="1">
        <v>1.6808629999999999E-6</v>
      </c>
      <c r="I1558">
        <v>281.4135</v>
      </c>
      <c r="J1558">
        <v>-363.83449999999999</v>
      </c>
      <c r="K1558">
        <v>1.107075</v>
      </c>
      <c r="L1558">
        <v>283.17680000000001</v>
      </c>
      <c r="M1558">
        <v>-0.99993860000000001</v>
      </c>
      <c r="N1558">
        <v>0</v>
      </c>
      <c r="O1558">
        <v>8.3957819999999992E-3</v>
      </c>
      <c r="P1558">
        <v>-0.99791469999999904</v>
      </c>
      <c r="Q1558">
        <v>6.241526E-2</v>
      </c>
      <c r="R1558">
        <v>-1.6445850000000001E-2</v>
      </c>
      <c r="S1558">
        <v>-3.011444</v>
      </c>
      <c r="T1558">
        <v>-0.14787910000000001</v>
      </c>
      <c r="U1558">
        <v>-0.2351685</v>
      </c>
      <c r="V1558">
        <v>-2.4534650000000002E-2</v>
      </c>
      <c r="W1558">
        <v>6.9729749999999993E-2</v>
      </c>
      <c r="X1558">
        <v>0.99726409999999999</v>
      </c>
      <c r="Y1558">
        <v>-8.6109130000000006E-2</v>
      </c>
      <c r="Z1558">
        <v>-2.5211949999999999E-3</v>
      </c>
      <c r="AA1558">
        <v>0.99628249999999996</v>
      </c>
      <c r="AB1558">
        <v>56</v>
      </c>
      <c r="AC1558">
        <v>-22.2119999999999</v>
      </c>
      <c r="AD1558">
        <v>-1.1070733191369999</v>
      </c>
      <c r="AE1558">
        <v>-1.7633000000000101</v>
      </c>
      <c r="AF1558">
        <v>-1.94492860324936</v>
      </c>
      <c r="AG1558">
        <v>-1.1070733191369999</v>
      </c>
      <c r="AH1558">
        <v>22.141753493474098</v>
      </c>
      <c r="AI1558">
        <v>92.851407030750295</v>
      </c>
      <c r="AJ1558">
        <v>95.019968812017794</v>
      </c>
      <c r="AK1558">
        <v>22.254563720087901</v>
      </c>
    </row>
    <row r="1559" spans="1:37" x14ac:dyDescent="0.2">
      <c r="A1559" t="str">
        <f>"20200111154055705"</f>
        <v>20200111154055705</v>
      </c>
      <c r="B1559" t="str">
        <f>"1578728455697531"</f>
        <v>1578728455697531</v>
      </c>
      <c r="C1559" t="s">
        <v>37</v>
      </c>
      <c r="D1559">
        <v>4.8593960000000003</v>
      </c>
      <c r="E1559">
        <v>0.47564820000000002</v>
      </c>
      <c r="F1559" t="s">
        <v>44</v>
      </c>
      <c r="G1559">
        <v>-385.95049999999998</v>
      </c>
      <c r="H1559" s="1">
        <v>1.6297559999999899E-6</v>
      </c>
      <c r="I1559">
        <v>281.4513</v>
      </c>
      <c r="J1559">
        <v>-364.24979999999999</v>
      </c>
      <c r="K1559">
        <v>1.107002</v>
      </c>
      <c r="L1559">
        <v>283.18040000000002</v>
      </c>
      <c r="M1559">
        <v>-0.99992899999999996</v>
      </c>
      <c r="N1559">
        <v>0</v>
      </c>
      <c r="O1559">
        <v>9.4702609999999902E-3</v>
      </c>
      <c r="P1559">
        <v>-0.9979517</v>
      </c>
      <c r="Q1559">
        <v>6.2275440000000001E-2</v>
      </c>
      <c r="R1559">
        <v>-1.4627889999999999E-2</v>
      </c>
      <c r="S1559">
        <v>-3.01187099999999</v>
      </c>
      <c r="T1559">
        <v>-0.15076700000000001</v>
      </c>
      <c r="U1559">
        <v>-0.23498539999999901</v>
      </c>
      <c r="V1559">
        <v>-2.377924E-2</v>
      </c>
      <c r="W1559">
        <v>6.9599899999999895E-2</v>
      </c>
      <c r="X1559">
        <v>0.9972915</v>
      </c>
      <c r="Y1559">
        <v>-8.710147E-2</v>
      </c>
      <c r="Z1559">
        <v>-2.6484770000000002E-3</v>
      </c>
      <c r="AA1559">
        <v>0.99619590000000002</v>
      </c>
      <c r="AB1559">
        <v>56</v>
      </c>
      <c r="AC1559">
        <v>-21.700699999999902</v>
      </c>
      <c r="AD1559">
        <v>-1.1070003702440001</v>
      </c>
      <c r="AE1559">
        <v>-1.7291000000000101</v>
      </c>
      <c r="AF1559">
        <v>-1.9295496424342</v>
      </c>
      <c r="AG1559">
        <v>-1.1070003702440001</v>
      </c>
      <c r="AH1559">
        <v>21.627426559168601</v>
      </c>
      <c r="AI1559">
        <v>92.918556427199206</v>
      </c>
      <c r="AJ1559">
        <v>95.098300137488096</v>
      </c>
      <c r="AK1559">
        <v>21.7415314827307</v>
      </c>
    </row>
    <row r="1560" spans="1:37" x14ac:dyDescent="0.2">
      <c r="A1560" t="str">
        <f>"20200111154055719"</f>
        <v>20200111154055719</v>
      </c>
      <c r="B1560" t="str">
        <f>"1578728455707292"</f>
        <v>1578728455707292</v>
      </c>
      <c r="C1560" t="s">
        <v>37</v>
      </c>
      <c r="D1560">
        <v>4.8553600000000001</v>
      </c>
      <c r="E1560">
        <v>0.47540719999999997</v>
      </c>
      <c r="F1560" t="s">
        <v>44</v>
      </c>
      <c r="G1560">
        <v>-385.8648</v>
      </c>
      <c r="H1560" s="1">
        <v>1.584163E-6</v>
      </c>
      <c r="I1560">
        <v>281.5059</v>
      </c>
      <c r="J1560">
        <v>-364.58760000000001</v>
      </c>
      <c r="K1560">
        <v>1.106949</v>
      </c>
      <c r="L1560">
        <v>283.18369999999999</v>
      </c>
      <c r="M1560">
        <v>-0.99992009999999898</v>
      </c>
      <c r="N1560">
        <v>0</v>
      </c>
      <c r="O1560">
        <v>1.035818E-2</v>
      </c>
      <c r="P1560">
        <v>-0.99798639999999905</v>
      </c>
      <c r="Q1560">
        <v>6.2020810000000003E-2</v>
      </c>
      <c r="R1560">
        <v>-1.32917E-2</v>
      </c>
      <c r="S1560">
        <v>-3.0123599999999899</v>
      </c>
      <c r="T1560">
        <v>-0.15427679999999999</v>
      </c>
      <c r="U1560">
        <v>-0.23336789999999999</v>
      </c>
      <c r="V1560">
        <v>-2.3321689999999999E-2</v>
      </c>
      <c r="W1560">
        <v>6.9353010000000007E-2</v>
      </c>
      <c r="X1560">
        <v>0.99731950000000003</v>
      </c>
      <c r="Y1560">
        <v>-8.7434639999999994E-2</v>
      </c>
      <c r="Z1560">
        <v>-2.763569E-3</v>
      </c>
      <c r="AA1560">
        <v>0.99616640000000001</v>
      </c>
      <c r="AB1560">
        <v>56</v>
      </c>
      <c r="AC1560">
        <v>-21.277200000000001</v>
      </c>
      <c r="AD1560">
        <v>-1.1069474158370001</v>
      </c>
      <c r="AE1560">
        <v>-1.67779999999999</v>
      </c>
      <c r="AF1560">
        <v>-1.8930168503172</v>
      </c>
      <c r="AG1560">
        <v>-1.1069474158370001</v>
      </c>
      <c r="AH1560">
        <v>21.201649166296502</v>
      </c>
      <c r="AI1560">
        <v>92.976903085196398</v>
      </c>
      <c r="AJ1560">
        <v>95.102198659469394</v>
      </c>
      <c r="AK1560">
        <v>21.314754813221199</v>
      </c>
    </row>
    <row r="1561" spans="1:37" x14ac:dyDescent="0.2">
      <c r="A1561" t="str">
        <f>"20200111154055737"</f>
        <v>20200111154055737</v>
      </c>
      <c r="B1561" t="str">
        <f>"1578728455727788"</f>
        <v>1578728455727788</v>
      </c>
      <c r="C1561" t="s">
        <v>37</v>
      </c>
      <c r="D1561">
        <v>4.8337580000000004</v>
      </c>
      <c r="E1561">
        <v>0.47494229999999998</v>
      </c>
      <c r="F1561" t="s">
        <v>44</v>
      </c>
      <c r="G1561">
        <v>-385.91730000000001</v>
      </c>
      <c r="H1561" s="1">
        <v>1.6120979999999999E-6</v>
      </c>
      <c r="I1561">
        <v>281.54770000000002</v>
      </c>
      <c r="J1561">
        <v>-365.05630000000002</v>
      </c>
      <c r="K1561">
        <v>1.1068799999999901</v>
      </c>
      <c r="L1561">
        <v>283.18880000000001</v>
      </c>
      <c r="M1561">
        <v>-0.99990630000000003</v>
      </c>
      <c r="N1561">
        <v>0</v>
      </c>
      <c r="O1561">
        <v>1.160423E-2</v>
      </c>
      <c r="P1561">
        <v>-0.99800840000000002</v>
      </c>
      <c r="Q1561">
        <v>6.1989910000000002E-2</v>
      </c>
      <c r="R1561">
        <v>-1.1680080000000001E-2</v>
      </c>
      <c r="S1561">
        <v>-3.0126949999999999</v>
      </c>
      <c r="T1561">
        <v>-0.1563503</v>
      </c>
      <c r="U1561">
        <v>-0.23107910000000001</v>
      </c>
      <c r="V1561">
        <v>-2.2942690000000002E-2</v>
      </c>
      <c r="W1561">
        <v>6.9333969999999995E-2</v>
      </c>
      <c r="X1561">
        <v>0.99732969999999899</v>
      </c>
      <c r="Y1561">
        <v>-8.7909390000000004E-2</v>
      </c>
      <c r="Z1561">
        <v>-2.8772670000000002E-3</v>
      </c>
      <c r="AA1561">
        <v>0.99612429999999996</v>
      </c>
      <c r="AB1561">
        <v>56</v>
      </c>
      <c r="AC1561">
        <v>-20.860999999999901</v>
      </c>
      <c r="AD1561">
        <v>-1.1068783879019899</v>
      </c>
      <c r="AE1561">
        <v>-1.64109999999999</v>
      </c>
      <c r="AF1561">
        <v>-1.8778175588672601</v>
      </c>
      <c r="AG1561">
        <v>-1.1068783879019899</v>
      </c>
      <c r="AH1561">
        <v>20.782401638820001</v>
      </c>
      <c r="AI1561">
        <v>93.036367509138401</v>
      </c>
      <c r="AJ1561">
        <v>95.163005186713804</v>
      </c>
      <c r="AK1561">
        <v>20.896401518616099</v>
      </c>
    </row>
    <row r="1562" spans="1:37" x14ac:dyDescent="0.2">
      <c r="A1562" t="str">
        <f>"20200111154055752"</f>
        <v>20200111154055752</v>
      </c>
      <c r="B1562" t="str">
        <f>"1578728455747308"</f>
        <v>1578728455747308</v>
      </c>
      <c r="C1562" t="s">
        <v>37</v>
      </c>
      <c r="D1562">
        <v>4.8498429999999999</v>
      </c>
      <c r="E1562">
        <v>0.47433789999999998</v>
      </c>
      <c r="F1562" t="s">
        <v>44</v>
      </c>
      <c r="G1562">
        <v>-386.07279999999997</v>
      </c>
      <c r="H1562" s="1">
        <v>1.6948759999999901E-6</v>
      </c>
      <c r="I1562">
        <v>281.58620000000002</v>
      </c>
      <c r="J1562">
        <v>-365.39769999999999</v>
      </c>
      <c r="K1562">
        <v>1.1068340000000001</v>
      </c>
      <c r="L1562">
        <v>283.19279999999998</v>
      </c>
      <c r="M1562">
        <v>-0.99989530000000004</v>
      </c>
      <c r="N1562">
        <v>0</v>
      </c>
      <c r="O1562">
        <v>1.2520130000000001E-2</v>
      </c>
      <c r="P1562">
        <v>-0.9980348</v>
      </c>
      <c r="Q1562">
        <v>6.1780540000000002E-2</v>
      </c>
      <c r="R1562">
        <v>-1.048486E-2</v>
      </c>
      <c r="S1562">
        <v>-3.013153</v>
      </c>
      <c r="T1562">
        <v>-0.15869349999999999</v>
      </c>
      <c r="U1562">
        <v>-0.22976679999999899</v>
      </c>
      <c r="V1562">
        <v>-2.26553E-2</v>
      </c>
      <c r="W1562">
        <v>6.9132760000000001E-2</v>
      </c>
      <c r="X1562">
        <v>0.99735019999999996</v>
      </c>
      <c r="Y1562">
        <v>-8.8373090000000001E-2</v>
      </c>
      <c r="Z1562">
        <v>-2.9802639999999998E-3</v>
      </c>
      <c r="AA1562">
        <v>0.99608299999999905</v>
      </c>
      <c r="AB1562">
        <v>56</v>
      </c>
      <c r="AC1562">
        <v>-20.675099999999901</v>
      </c>
      <c r="AD1562">
        <v>-1.1068323051240001</v>
      </c>
      <c r="AE1562">
        <v>-1.6065999999999501</v>
      </c>
      <c r="AF1562">
        <v>-1.8600370459365301</v>
      </c>
      <c r="AG1562">
        <v>-1.1068323051240001</v>
      </c>
      <c r="AH1562">
        <v>20.5946949585841</v>
      </c>
      <c r="AI1562">
        <v>93.063873036989094</v>
      </c>
      <c r="AJ1562">
        <v>95.160742188028905</v>
      </c>
      <c r="AK1562">
        <v>20.708121015704201</v>
      </c>
    </row>
    <row r="1563" spans="1:37" x14ac:dyDescent="0.2">
      <c r="A1563" t="str">
        <f>"20200111154055765"</f>
        <v>20200111154055765</v>
      </c>
      <c r="B1563" t="str">
        <f>"1578728455758044"</f>
        <v>1578728455758044</v>
      </c>
      <c r="C1563" t="s">
        <v>37</v>
      </c>
      <c r="D1563">
        <v>4.8049309999999998</v>
      </c>
      <c r="E1563">
        <v>0.47409220000000002</v>
      </c>
      <c r="F1563" t="s">
        <v>44</v>
      </c>
      <c r="G1563">
        <v>-386.25199999999899</v>
      </c>
      <c r="H1563" s="1">
        <v>1.7902240000000001E-6</v>
      </c>
      <c r="I1563">
        <v>281.59629999999999</v>
      </c>
      <c r="J1563">
        <v>-365.77</v>
      </c>
      <c r="K1563">
        <v>1.106786</v>
      </c>
      <c r="L1563">
        <v>283.19760000000002</v>
      </c>
      <c r="M1563">
        <v>-0.99988220000000005</v>
      </c>
      <c r="N1563">
        <v>0</v>
      </c>
      <c r="O1563">
        <v>1.352417E-2</v>
      </c>
      <c r="P1563">
        <v>-0.99804629999999905</v>
      </c>
      <c r="Q1563">
        <v>6.1786609999999999E-2</v>
      </c>
      <c r="R1563">
        <v>-9.2837979999999994E-3</v>
      </c>
      <c r="S1563">
        <v>-3.0133669999999899</v>
      </c>
      <c r="T1563">
        <v>-0.15993299999999999</v>
      </c>
      <c r="U1563">
        <v>-0.23068240000000001</v>
      </c>
      <c r="V1563">
        <v>-2.24484E-2</v>
      </c>
      <c r="W1563">
        <v>6.9147979999999998E-2</v>
      </c>
      <c r="X1563">
        <v>0.99735379999999996</v>
      </c>
      <c r="Y1563">
        <v>-8.9663389999999996E-2</v>
      </c>
      <c r="Z1563">
        <v>-3.0906140000000002E-3</v>
      </c>
      <c r="AA1563">
        <v>0.9959673</v>
      </c>
      <c r="AB1563">
        <v>56</v>
      </c>
      <c r="AC1563">
        <v>-20.4819999999999</v>
      </c>
      <c r="AD1563">
        <v>-1.1067842097759999</v>
      </c>
      <c r="AE1563">
        <v>-1.6013000000000299</v>
      </c>
      <c r="AF1563">
        <v>-1.8727277677265599</v>
      </c>
      <c r="AG1563">
        <v>-1.1067842097759999</v>
      </c>
      <c r="AH1563">
        <v>20.399266119599702</v>
      </c>
      <c r="AI1563">
        <v>93.092620007205298</v>
      </c>
      <c r="AJ1563">
        <v>95.245261032201697</v>
      </c>
      <c r="AK1563">
        <v>20.5149247816626</v>
      </c>
    </row>
    <row r="1564" spans="1:37" x14ac:dyDescent="0.2">
      <c r="A1564" t="str">
        <f>"20200111154055779"</f>
        <v>20200111154055779</v>
      </c>
      <c r="B1564" t="str">
        <f>"1578728455777564"</f>
        <v>1578728455777564</v>
      </c>
      <c r="C1564" t="s">
        <v>37</v>
      </c>
      <c r="D1564">
        <v>4.839664</v>
      </c>
      <c r="E1564">
        <v>0.47355150000000001</v>
      </c>
      <c r="F1564" t="s">
        <v>44</v>
      </c>
      <c r="G1564">
        <v>-386.55709999999999</v>
      </c>
      <c r="H1564" s="1">
        <v>1.9525820000000001E-6</v>
      </c>
      <c r="I1564">
        <v>281.61720000000003</v>
      </c>
      <c r="J1564">
        <v>-366.13029999999998</v>
      </c>
      <c r="K1564">
        <v>1.1067389999999999</v>
      </c>
      <c r="L1564">
        <v>283.20249999999999</v>
      </c>
      <c r="M1564">
        <v>-0.99986839999999999</v>
      </c>
      <c r="N1564">
        <v>0</v>
      </c>
      <c r="O1564">
        <v>1.450156E-2</v>
      </c>
      <c r="P1564">
        <v>-0.99807469999999998</v>
      </c>
      <c r="Q1564">
        <v>6.1477549999999999E-2</v>
      </c>
      <c r="R1564">
        <v>-8.2186889999999995E-3</v>
      </c>
      <c r="S1564">
        <v>-3.0136720000000001</v>
      </c>
      <c r="T1564">
        <v>-0.160459299999999</v>
      </c>
      <c r="U1564">
        <v>-0.229126</v>
      </c>
      <c r="V1564">
        <v>-2.235374E-2</v>
      </c>
      <c r="W1564">
        <v>6.8847809999999995E-2</v>
      </c>
      <c r="X1564">
        <v>0.9973767</v>
      </c>
      <c r="Y1564">
        <v>-9.0114910000000006E-2</v>
      </c>
      <c r="Z1564">
        <v>-3.1644519999999999E-3</v>
      </c>
      <c r="AA1564">
        <v>0.99592630000000004</v>
      </c>
      <c r="AB1564">
        <v>56</v>
      </c>
      <c r="AC1564">
        <v>-20.4268</v>
      </c>
      <c r="AD1564">
        <v>-1.1067370474179901</v>
      </c>
      <c r="AE1564">
        <v>-1.58529999999996</v>
      </c>
      <c r="AF1564">
        <v>-1.8758878139537201</v>
      </c>
      <c r="AG1564">
        <v>-1.1067370474179901</v>
      </c>
      <c r="AH1564">
        <v>20.342303857988799</v>
      </c>
      <c r="AI1564">
        <v>93.101014691022797</v>
      </c>
      <c r="AJ1564">
        <v>95.268692083562399</v>
      </c>
      <c r="AK1564">
        <v>20.458571510088699</v>
      </c>
    </row>
    <row r="1565" spans="1:37" x14ac:dyDescent="0.2">
      <c r="A1565" t="str">
        <f>"20200111154055795"</f>
        <v>20200111154055795</v>
      </c>
      <c r="B1565" t="str">
        <f>"1578728455787325"</f>
        <v>1578728455787325</v>
      </c>
      <c r="C1565" t="s">
        <v>37</v>
      </c>
      <c r="D1565">
        <v>4.8253170000000001</v>
      </c>
      <c r="E1565">
        <v>0.47334989999999999</v>
      </c>
      <c r="F1565" t="s">
        <v>44</v>
      </c>
      <c r="G1565">
        <v>-386.70440000000002</v>
      </c>
      <c r="H1565" s="1">
        <v>2.0309849999999999E-6</v>
      </c>
      <c r="I1565">
        <v>281.63240000000002</v>
      </c>
      <c r="J1565">
        <v>-366.49349999999998</v>
      </c>
      <c r="K1565">
        <v>1.1066989999999901</v>
      </c>
      <c r="L1565">
        <v>283.2079</v>
      </c>
      <c r="M1565">
        <v>-0.99985360000000001</v>
      </c>
      <c r="N1565">
        <v>0</v>
      </c>
      <c r="O1565">
        <v>1.5489660000000001E-2</v>
      </c>
      <c r="P1565">
        <v>-0.99806360000000005</v>
      </c>
      <c r="Q1565">
        <v>6.183073E-2</v>
      </c>
      <c r="R1565">
        <v>-6.7801780000000004E-3</v>
      </c>
      <c r="S1565">
        <v>-3.013916</v>
      </c>
      <c r="T1565">
        <v>-0.16212670000000001</v>
      </c>
      <c r="U1565">
        <v>-0.23001099999999999</v>
      </c>
      <c r="V1565">
        <v>-2.1893300000000001E-2</v>
      </c>
      <c r="W1565">
        <v>6.920838E-2</v>
      </c>
      <c r="X1565">
        <v>0.99736199999999997</v>
      </c>
      <c r="Y1565">
        <v>-9.1377420000000001E-2</v>
      </c>
      <c r="Z1565">
        <v>-3.2839279999999898E-3</v>
      </c>
      <c r="AA1565">
        <v>0.99581090000000005</v>
      </c>
      <c r="AB1565">
        <v>56</v>
      </c>
      <c r="AC1565">
        <v>-20.210899999999999</v>
      </c>
      <c r="AD1565">
        <v>-1.1066969690149999</v>
      </c>
      <c r="AE1565">
        <v>-1.5754999999999699</v>
      </c>
      <c r="AF1565">
        <v>-1.8827680662027699</v>
      </c>
      <c r="AG1565">
        <v>-1.1066969690149999</v>
      </c>
      <c r="AH1565">
        <v>20.124095364739901</v>
      </c>
      <c r="AI1565">
        <v>93.134072934606195</v>
      </c>
      <c r="AJ1565">
        <v>95.344914122865205</v>
      </c>
      <c r="AK1565">
        <v>20.242253037186501</v>
      </c>
    </row>
    <row r="1566" spans="1:37" x14ac:dyDescent="0.2">
      <c r="A1566" t="str">
        <f>"20200111154055817"</f>
        <v>20200111154055817</v>
      </c>
      <c r="B1566" t="str">
        <f>"1578728455807819"</f>
        <v>1578728455807819</v>
      </c>
      <c r="C1566" t="s">
        <v>37</v>
      </c>
      <c r="D1566">
        <v>4.7567899999999996</v>
      </c>
      <c r="E1566">
        <v>0.47286889999999998</v>
      </c>
      <c r="F1566" t="s">
        <v>44</v>
      </c>
      <c r="G1566">
        <v>-387.18819999999999</v>
      </c>
      <c r="H1566" s="1">
        <v>2.28841499999999E-6</v>
      </c>
      <c r="I1566">
        <v>281.64859999999999</v>
      </c>
      <c r="J1566">
        <v>-367.06150000000002</v>
      </c>
      <c r="K1566">
        <v>1.1066419999999999</v>
      </c>
      <c r="L1566">
        <v>283.21690000000001</v>
      </c>
      <c r="M1566">
        <v>-0.99982819999999994</v>
      </c>
      <c r="N1566">
        <v>0</v>
      </c>
      <c r="O1566">
        <v>1.703969E-2</v>
      </c>
      <c r="P1566">
        <v>-0.99805029999999995</v>
      </c>
      <c r="Q1566">
        <v>6.2198990000000003E-2</v>
      </c>
      <c r="R1566">
        <v>-5.1891259999999996E-3</v>
      </c>
      <c r="S1566">
        <v>-3.0142519999999999</v>
      </c>
      <c r="T1566">
        <v>-0.1611937</v>
      </c>
      <c r="U1566">
        <v>-0.2271118</v>
      </c>
      <c r="V1566">
        <v>-2.1838030000000001E-2</v>
      </c>
      <c r="W1566">
        <v>6.9590369999999999E-2</v>
      </c>
      <c r="X1566">
        <v>0.99733660000000002</v>
      </c>
      <c r="Y1566">
        <v>-9.195921E-2</v>
      </c>
      <c r="Z1566">
        <v>-3.3630700000000001E-3</v>
      </c>
      <c r="AA1566">
        <v>0.99575709999999995</v>
      </c>
      <c r="AB1566">
        <v>56</v>
      </c>
      <c r="AC1566">
        <v>-20.1266999999999</v>
      </c>
      <c r="AD1566">
        <v>-1.106639711585</v>
      </c>
      <c r="AE1566">
        <v>-1.56830000000002</v>
      </c>
      <c r="AF1566">
        <v>-1.9053087747227799</v>
      </c>
      <c r="AG1566">
        <v>-1.106639711585</v>
      </c>
      <c r="AH1566">
        <v>20.036843797394798</v>
      </c>
      <c r="AI1566">
        <v>93.147080532372399</v>
      </c>
      <c r="AJ1566">
        <v>95.431937967233793</v>
      </c>
      <c r="AK1566">
        <v>20.157627894657999</v>
      </c>
    </row>
    <row r="1567" spans="1:37" x14ac:dyDescent="0.2">
      <c r="A1567" t="str">
        <f>"20200111154055839"</f>
        <v>20200111154055839</v>
      </c>
      <c r="B1567" t="str">
        <f>"1578728455827339"</f>
        <v>1578728455827339</v>
      </c>
      <c r="C1567" t="s">
        <v>37</v>
      </c>
      <c r="D1567">
        <v>4.7940059999999898</v>
      </c>
      <c r="E1567">
        <v>0.47244199999999997</v>
      </c>
      <c r="F1567" t="s">
        <v>44</v>
      </c>
      <c r="G1567">
        <v>-387.9246</v>
      </c>
      <c r="H1567" s="1">
        <v>2.6803039999999899E-6</v>
      </c>
      <c r="I1567">
        <v>281.65109999999999</v>
      </c>
      <c r="J1567">
        <v>-367.61930000000001</v>
      </c>
      <c r="K1567">
        <v>1.1065940000000001</v>
      </c>
      <c r="L1567">
        <v>283.22669999999999</v>
      </c>
      <c r="M1567">
        <v>-0.99980100000000005</v>
      </c>
      <c r="N1567">
        <v>0</v>
      </c>
      <c r="O1567">
        <v>1.8565379999999999E-2</v>
      </c>
      <c r="P1567">
        <v>-0.99801219999999902</v>
      </c>
      <c r="Q1567">
        <v>6.2887369999999998E-2</v>
      </c>
      <c r="R1567">
        <v>-4.1313649999999997E-3</v>
      </c>
      <c r="S1567">
        <v>-3.01464799999999</v>
      </c>
      <c r="T1567">
        <v>-0.159905399999999</v>
      </c>
      <c r="U1567">
        <v>-0.22625729999999999</v>
      </c>
      <c r="V1567">
        <v>-2.229014E-2</v>
      </c>
      <c r="W1567">
        <v>7.0294839999999997E-2</v>
      </c>
      <c r="X1567">
        <v>0.99727719999999898</v>
      </c>
      <c r="Y1567">
        <v>-9.3186770000000002E-2</v>
      </c>
      <c r="Z1567">
        <v>-3.4490909999999901E-3</v>
      </c>
      <c r="AA1567">
        <v>0.99564269999999999</v>
      </c>
      <c r="AB1567">
        <v>57</v>
      </c>
      <c r="AC1567">
        <v>-20.3052999999999</v>
      </c>
      <c r="AD1567">
        <v>-1.106591319696</v>
      </c>
      <c r="AE1567">
        <v>-1.5755999999999999</v>
      </c>
      <c r="AF1567">
        <v>-1.9465673894111899</v>
      </c>
      <c r="AG1567">
        <v>-1.106591319696</v>
      </c>
      <c r="AH1567">
        <v>20.212874931287502</v>
      </c>
      <c r="AI1567">
        <v>93.119233136824406</v>
      </c>
      <c r="AJ1567">
        <v>95.500811399740002</v>
      </c>
      <c r="AK1567">
        <v>20.336518432077199</v>
      </c>
    </row>
    <row r="1568" spans="1:37" x14ac:dyDescent="0.2">
      <c r="A1568" t="str">
        <f>"20200111154055861"</f>
        <v>20200111154055861</v>
      </c>
      <c r="B1568" t="str">
        <f>"1578728455857596"</f>
        <v>1578728455857596</v>
      </c>
      <c r="C1568" t="s">
        <v>37</v>
      </c>
      <c r="D1568">
        <v>5.0541589999999896</v>
      </c>
      <c r="E1568">
        <v>0.47206530000000002</v>
      </c>
      <c r="F1568" t="s">
        <v>44</v>
      </c>
      <c r="G1568">
        <v>-388.87580000000003</v>
      </c>
      <c r="H1568" s="1">
        <v>3.1864830000000001E-6</v>
      </c>
      <c r="I1568">
        <v>281.6302</v>
      </c>
      <c r="J1568">
        <v>-368.18560000000002</v>
      </c>
      <c r="K1568">
        <v>1.106552</v>
      </c>
      <c r="L1568">
        <v>283.23739999999998</v>
      </c>
      <c r="M1568">
        <v>-0.99977079999999996</v>
      </c>
      <c r="N1568">
        <v>0</v>
      </c>
      <c r="O1568">
        <v>2.0114590000000002E-2</v>
      </c>
      <c r="P1568">
        <v>-0.99798569999999998</v>
      </c>
      <c r="Q1568">
        <v>6.3374849999999996E-2</v>
      </c>
      <c r="R1568">
        <v>-2.8769389999999998E-3</v>
      </c>
      <c r="S1568">
        <v>-3.014923</v>
      </c>
      <c r="T1568">
        <v>-0.15695319999999999</v>
      </c>
      <c r="U1568">
        <v>-0.22644039999999999</v>
      </c>
      <c r="V1568">
        <v>-2.25718E-2</v>
      </c>
      <c r="W1568">
        <v>7.0796639999999994E-2</v>
      </c>
      <c r="X1568">
        <v>0.99723539999999899</v>
      </c>
      <c r="Y1568">
        <v>-9.4784289999999993E-2</v>
      </c>
      <c r="Z1568">
        <v>-3.507184E-3</v>
      </c>
      <c r="AA1568">
        <v>0.99549169999999998</v>
      </c>
      <c r="AB1568">
        <v>57</v>
      </c>
      <c r="AC1568">
        <v>-20.690200000000001</v>
      </c>
      <c r="AD1568">
        <v>-1.1065488135170001</v>
      </c>
      <c r="AE1568">
        <v>-1.60719999999997</v>
      </c>
      <c r="AF1568">
        <v>-2.01732534153231</v>
      </c>
      <c r="AG1568">
        <v>-1.1065488135170001</v>
      </c>
      <c r="AH1568">
        <v>20.5951297692657</v>
      </c>
      <c r="AI1568">
        <v>93.060848026048603</v>
      </c>
      <c r="AJ1568">
        <v>95.594365501576604</v>
      </c>
      <c r="AK1568">
        <v>20.723257997312601</v>
      </c>
    </row>
    <row r="1569" spans="1:37" x14ac:dyDescent="0.2">
      <c r="A1569" t="str">
        <f>"20200111154055884"</f>
        <v>20200111154055884</v>
      </c>
      <c r="B1569" t="str">
        <f>"1578728455878092"</f>
        <v>1578728455878092</v>
      </c>
      <c r="C1569" t="s">
        <v>37</v>
      </c>
      <c r="D1569">
        <v>4.7477689999999999</v>
      </c>
      <c r="E1569">
        <v>0.47175640000000002</v>
      </c>
      <c r="F1569" t="s">
        <v>44</v>
      </c>
      <c r="G1569">
        <v>-389.74310000000003</v>
      </c>
      <c r="H1569" s="1">
        <v>3.6479930000000001E-6</v>
      </c>
      <c r="I1569">
        <v>281.62189999999998</v>
      </c>
      <c r="J1569">
        <v>-368.76389999999998</v>
      </c>
      <c r="K1569">
        <v>1.1065100000000001</v>
      </c>
      <c r="L1569">
        <v>283.24919999999997</v>
      </c>
      <c r="M1569">
        <v>-0.99973789999999996</v>
      </c>
      <c r="N1569">
        <v>0</v>
      </c>
      <c r="O1569">
        <v>2.1689880000000002E-2</v>
      </c>
      <c r="P1569">
        <v>-0.99795499999999904</v>
      </c>
      <c r="Q1569">
        <v>6.3905249999999997E-2</v>
      </c>
      <c r="R1569">
        <v>-1.4365839999999901E-3</v>
      </c>
      <c r="S1569">
        <v>-3.0152589999999999</v>
      </c>
      <c r="T1569">
        <v>-0.15477349999999901</v>
      </c>
      <c r="U1569">
        <v>-0.22595209999999999</v>
      </c>
      <c r="V1569">
        <v>-2.2694079999999998E-2</v>
      </c>
      <c r="W1569">
        <v>7.1340769999999998E-2</v>
      </c>
      <c r="X1569">
        <v>0.99719380000000002</v>
      </c>
      <c r="Y1569">
        <v>-9.6184599999999995E-2</v>
      </c>
      <c r="Z1569">
        <v>-3.5747579999999999E-3</v>
      </c>
      <c r="AA1569">
        <v>0.99535709999999999</v>
      </c>
      <c r="AB1569">
        <v>57</v>
      </c>
      <c r="AC1569">
        <v>-20.979199999999999</v>
      </c>
      <c r="AD1569">
        <v>-1.106506352007</v>
      </c>
      <c r="AE1569">
        <v>-1.62729999999999</v>
      </c>
      <c r="AF1569">
        <v>-2.0762245434111102</v>
      </c>
      <c r="AG1569">
        <v>-1.106506352007</v>
      </c>
      <c r="AH1569">
        <v>20.881226888579999</v>
      </c>
      <c r="AI1569">
        <v>93.018437880536396</v>
      </c>
      <c r="AJ1569">
        <v>95.678267360273793</v>
      </c>
      <c r="AK1569">
        <v>21.013345783907202</v>
      </c>
    </row>
    <row r="1570" spans="1:37" x14ac:dyDescent="0.2">
      <c r="A1570" t="str">
        <f>"20200111154055906"</f>
        <v>20200111154055906</v>
      </c>
      <c r="B1570" t="str">
        <f>"1578728455897613"</f>
        <v>1578728455897613</v>
      </c>
      <c r="C1570" t="s">
        <v>37</v>
      </c>
      <c r="D1570">
        <v>4.7179549999999999</v>
      </c>
      <c r="E1570">
        <v>0.47136430000000001</v>
      </c>
      <c r="F1570" t="s">
        <v>44</v>
      </c>
      <c r="G1570">
        <v>-390.87779999999998</v>
      </c>
      <c r="H1570" s="1">
        <v>-1.0696830000000001E-6</v>
      </c>
      <c r="I1570">
        <v>281.60210000000001</v>
      </c>
      <c r="J1570">
        <v>-369.33909999999997</v>
      </c>
      <c r="K1570">
        <v>1.1064829999999899</v>
      </c>
      <c r="L1570">
        <v>283.262</v>
      </c>
      <c r="M1570">
        <v>-0.99970300000000001</v>
      </c>
      <c r="N1570">
        <v>0</v>
      </c>
      <c r="O1570">
        <v>2.324292E-2</v>
      </c>
      <c r="P1570">
        <v>-0.9979304</v>
      </c>
      <c r="Q1570">
        <v>6.4304020000000003E-2</v>
      </c>
      <c r="R1570">
        <v>1.828818E-4</v>
      </c>
      <c r="S1570">
        <v>-3.0154719999999999</v>
      </c>
      <c r="T1570">
        <v>-0.1508852</v>
      </c>
      <c r="U1570">
        <v>-0.22460939999999999</v>
      </c>
      <c r="V1570">
        <v>-2.2618280000000001E-2</v>
      </c>
      <c r="W1570">
        <v>7.1752170000000004E-2</v>
      </c>
      <c r="X1570">
        <v>0.997166</v>
      </c>
      <c r="Y1570">
        <v>-9.7289100000000003E-2</v>
      </c>
      <c r="Z1570">
        <v>-3.5900259999999901E-3</v>
      </c>
      <c r="AA1570">
        <v>0.99524969999999902</v>
      </c>
      <c r="AB1570">
        <v>57</v>
      </c>
      <c r="AC1570">
        <v>-21.538699999999999</v>
      </c>
      <c r="AD1570">
        <v>-1.1064840696829901</v>
      </c>
      <c r="AE1570">
        <v>-1.6598999999999899</v>
      </c>
      <c r="AF1570">
        <v>-2.1544351245699902</v>
      </c>
      <c r="AG1570">
        <v>-1.1064840696829901</v>
      </c>
      <c r="AH1570">
        <v>21.438056425004401</v>
      </c>
      <c r="AI1570">
        <v>92.939808089218701</v>
      </c>
      <c r="AJ1570">
        <v>95.738719048499405</v>
      </c>
      <c r="AK1570">
        <v>21.574433039691201</v>
      </c>
    </row>
    <row r="1571" spans="1:37" x14ac:dyDescent="0.2">
      <c r="A1571" t="str">
        <f>"20200111154055927"</f>
        <v>20200111154055927</v>
      </c>
      <c r="B1571" t="str">
        <f>"1578728455918111"</f>
        <v>1578728455918111</v>
      </c>
      <c r="C1571" t="s">
        <v>37</v>
      </c>
      <c r="D1571">
        <v>4.7518640000000003</v>
      </c>
      <c r="E1571">
        <v>0.47114669999999997</v>
      </c>
      <c r="F1571" t="s">
        <v>44</v>
      </c>
      <c r="G1571">
        <v>-391.61720000000003</v>
      </c>
      <c r="H1571" s="1">
        <v>-6.7621470000000005E-7</v>
      </c>
      <c r="I1571">
        <v>281.61610000000002</v>
      </c>
      <c r="J1571">
        <v>-369.89</v>
      </c>
      <c r="K1571">
        <v>1.1064620000000001</v>
      </c>
      <c r="L1571">
        <v>283.27499999999998</v>
      </c>
      <c r="M1571">
        <v>-0.99966759999999999</v>
      </c>
      <c r="N1571">
        <v>0</v>
      </c>
      <c r="O1571">
        <v>2.4715109999999998E-2</v>
      </c>
      <c r="P1571">
        <v>-0.99792800000000004</v>
      </c>
      <c r="Q1571">
        <v>6.4308489999999996E-2</v>
      </c>
      <c r="R1571">
        <v>2.1107869999999998E-3</v>
      </c>
      <c r="S1571">
        <v>-3.0159609999999999</v>
      </c>
      <c r="T1571">
        <v>-0.14979389999999901</v>
      </c>
      <c r="U1571">
        <v>-0.222808799999999</v>
      </c>
      <c r="V1571">
        <v>-2.2156559999999999E-2</v>
      </c>
      <c r="W1571">
        <v>7.1765480000000006E-2</v>
      </c>
      <c r="X1571">
        <v>0.99717540000000005</v>
      </c>
      <c r="Y1571">
        <v>-9.8151199999999994E-2</v>
      </c>
      <c r="Z1571">
        <v>-3.6579529999999998E-3</v>
      </c>
      <c r="AA1571">
        <v>0.99516479999999996</v>
      </c>
      <c r="AB1571">
        <v>57</v>
      </c>
      <c r="AC1571">
        <v>-21.7272</v>
      </c>
      <c r="AD1571">
        <v>-1.1064626762146901</v>
      </c>
      <c r="AE1571">
        <v>-1.6588999999999601</v>
      </c>
      <c r="AF1571">
        <v>-2.1897518909152498</v>
      </c>
      <c r="AG1571">
        <v>-1.1064626762146901</v>
      </c>
      <c r="AH1571">
        <v>21.623808028483001</v>
      </c>
      <c r="AI1571">
        <v>92.914318483055396</v>
      </c>
      <c r="AJ1571">
        <v>95.782390169519303</v>
      </c>
      <c r="AK1571">
        <v>21.7625445812366</v>
      </c>
    </row>
    <row r="1572" spans="1:37" x14ac:dyDescent="0.2">
      <c r="A1572" t="str">
        <f>"20200111154055950"</f>
        <v>20200111154055950</v>
      </c>
      <c r="B1572" t="str">
        <f>"1578728455947388"</f>
        <v>1578728455947388</v>
      </c>
      <c r="C1572" t="s">
        <v>37</v>
      </c>
      <c r="D1572">
        <v>4.735252</v>
      </c>
      <c r="E1572">
        <v>0.46386270000000002</v>
      </c>
      <c r="F1572" t="s">
        <v>44</v>
      </c>
      <c r="G1572">
        <v>-392.17230000000001</v>
      </c>
      <c r="H1572" s="1">
        <v>-3.808084E-7</v>
      </c>
      <c r="I1572">
        <v>281.65929999999997</v>
      </c>
      <c r="J1572">
        <v>-370.46050000000002</v>
      </c>
      <c r="K1572">
        <v>1.1064529999999999</v>
      </c>
      <c r="L1572">
        <v>283.28930000000003</v>
      </c>
      <c r="M1572">
        <v>-0.99962929999999905</v>
      </c>
      <c r="N1572">
        <v>0</v>
      </c>
      <c r="O1572">
        <v>2.6215479999999999E-2</v>
      </c>
      <c r="P1572">
        <v>-0.99791739999999995</v>
      </c>
      <c r="Q1572">
        <v>6.4368399999999895E-2</v>
      </c>
      <c r="R1572">
        <v>4.2273720000000001E-3</v>
      </c>
      <c r="S1572">
        <v>-3.0163880000000001</v>
      </c>
      <c r="T1572">
        <v>-0.14978350000000001</v>
      </c>
      <c r="U1572">
        <v>-0.21871950000000001</v>
      </c>
      <c r="V1572">
        <v>-2.1536409999999999E-2</v>
      </c>
      <c r="W1572">
        <v>7.1833499999999995E-2</v>
      </c>
      <c r="X1572">
        <v>0.99718410000000002</v>
      </c>
      <c r="Y1572">
        <v>-9.8290509999999998E-2</v>
      </c>
      <c r="Z1572">
        <v>-3.7351889999999999E-3</v>
      </c>
      <c r="AA1572">
        <v>0.99515069999999906</v>
      </c>
      <c r="AB1572">
        <v>57</v>
      </c>
      <c r="AC1572">
        <v>-21.711799999999901</v>
      </c>
      <c r="AD1572">
        <v>-1.1064533808083901</v>
      </c>
      <c r="AE1572">
        <v>-1.6300000000000501</v>
      </c>
      <c r="AF1572">
        <v>-2.1929771171342001</v>
      </c>
      <c r="AG1572">
        <v>-1.1064533808083901</v>
      </c>
      <c r="AH1572">
        <v>21.605809045952899</v>
      </c>
      <c r="AI1572">
        <v>92.916649374177098</v>
      </c>
      <c r="AJ1572">
        <v>95.7956403681072</v>
      </c>
      <c r="AK1572">
        <v>21.744984990805499</v>
      </c>
    </row>
    <row r="1573" spans="1:37" x14ac:dyDescent="0.2">
      <c r="A1573" t="str">
        <f>"20200111154055964"</f>
        <v>20200111154055964</v>
      </c>
      <c r="B1573" t="str">
        <f>"1578728455958124"</f>
        <v>1578728455958124</v>
      </c>
      <c r="C1573" t="s">
        <v>37</v>
      </c>
      <c r="D1573">
        <v>4.7093860000000003</v>
      </c>
      <c r="E1573">
        <v>0.46335850000000001</v>
      </c>
      <c r="F1573" t="s">
        <v>44</v>
      </c>
      <c r="G1573">
        <v>-394.99419999999998</v>
      </c>
      <c r="H1573" s="1">
        <v>1.1208989999999999E-6</v>
      </c>
      <c r="I1573">
        <v>281.0872</v>
      </c>
      <c r="J1573">
        <v>-370.84039999999999</v>
      </c>
      <c r="K1573">
        <v>1.1064529999999999</v>
      </c>
      <c r="L1573">
        <v>283.29919999999998</v>
      </c>
      <c r="M1573">
        <v>-0.99960289999999996</v>
      </c>
      <c r="N1573">
        <v>0</v>
      </c>
      <c r="O1573">
        <v>2.7197209999999999E-2</v>
      </c>
      <c r="P1573">
        <v>-0.99789669999999897</v>
      </c>
      <c r="Q1573">
        <v>6.4593789999999998E-2</v>
      </c>
      <c r="R1573">
        <v>5.4711830000000001E-3</v>
      </c>
      <c r="S1573">
        <v>-3.0161739999999999</v>
      </c>
      <c r="T1573">
        <v>-0.13602690000000001</v>
      </c>
      <c r="U1573">
        <v>-0.2707214</v>
      </c>
      <c r="V1573">
        <v>-2.1271680000000001E-2</v>
      </c>
      <c r="W1573">
        <v>7.206369E-2</v>
      </c>
      <c r="X1573">
        <v>0.99717319999999998</v>
      </c>
      <c r="Y1573">
        <v>-0.11630839999999899</v>
      </c>
      <c r="Z1573">
        <v>-3.8399059999999902E-3</v>
      </c>
      <c r="AA1573">
        <v>0.99320569999999897</v>
      </c>
      <c r="AB1573">
        <v>57</v>
      </c>
      <c r="AC1573">
        <v>-24.153799999999901</v>
      </c>
      <c r="AD1573">
        <v>-1.1064518791010001</v>
      </c>
      <c r="AE1573">
        <v>-2.2119999999999802</v>
      </c>
      <c r="AF1573">
        <v>-2.86215945015732</v>
      </c>
      <c r="AG1573">
        <v>-1.1064518791010001</v>
      </c>
      <c r="AH1573">
        <v>24.034687263681398</v>
      </c>
      <c r="AI1573">
        <v>92.617319206418003</v>
      </c>
      <c r="AJ1573">
        <v>96.791059885905099</v>
      </c>
      <c r="AK1573">
        <v>24.229783002368301</v>
      </c>
    </row>
    <row r="1574" spans="1:37" x14ac:dyDescent="0.2">
      <c r="A1574" t="str">
        <f>"20200111154055978"</f>
        <v>20200111154055978</v>
      </c>
      <c r="B1574" t="str">
        <f>"1578728455967884"</f>
        <v>1578728455967884</v>
      </c>
      <c r="C1574" t="s">
        <v>37</v>
      </c>
      <c r="D1574">
        <v>4.7355450000000001</v>
      </c>
      <c r="E1574">
        <v>0.46289570000000002</v>
      </c>
      <c r="F1574" t="s">
        <v>44</v>
      </c>
      <c r="G1574">
        <v>-394.62709999999998</v>
      </c>
      <c r="H1574" s="1">
        <v>9.2551069999999897E-7</v>
      </c>
      <c r="I1574">
        <v>281.16109999999998</v>
      </c>
      <c r="J1574">
        <v>-371.19260000000003</v>
      </c>
      <c r="K1574">
        <v>1.1064590000000001</v>
      </c>
      <c r="L1574">
        <v>283.30880000000002</v>
      </c>
      <c r="M1574">
        <v>-0.99957850000000004</v>
      </c>
      <c r="N1574">
        <v>0</v>
      </c>
      <c r="O1574">
        <v>2.808594E-2</v>
      </c>
      <c r="P1574">
        <v>-0.99786169999999996</v>
      </c>
      <c r="Q1574">
        <v>6.5027689999999999E-2</v>
      </c>
      <c r="R1574">
        <v>6.6039319999999999E-3</v>
      </c>
      <c r="S1574">
        <v>-3.0169069999999998</v>
      </c>
      <c r="T1574">
        <v>-0.14033309999999999</v>
      </c>
      <c r="U1574">
        <v>-0.27117920000000001</v>
      </c>
      <c r="V1574">
        <v>-2.1024230000000001E-2</v>
      </c>
      <c r="W1574">
        <v>7.2502670000000005E-2</v>
      </c>
      <c r="X1574">
        <v>0.99714659999999999</v>
      </c>
      <c r="Y1574">
        <v>-0.1173081</v>
      </c>
      <c r="Z1574">
        <v>-4.0247959999999998E-3</v>
      </c>
      <c r="AA1574">
        <v>0.99308739999999995</v>
      </c>
      <c r="AB1574">
        <v>57</v>
      </c>
      <c r="AC1574">
        <v>-23.4344999999999</v>
      </c>
      <c r="AD1574">
        <v>-1.1064580744893</v>
      </c>
      <c r="AE1574">
        <v>-2.1477000000000399</v>
      </c>
      <c r="AF1574">
        <v>-2.7988630528145499</v>
      </c>
      <c r="AG1574">
        <v>-1.1064580744893</v>
      </c>
      <c r="AH1574">
        <v>23.313394596649101</v>
      </c>
      <c r="AI1574">
        <v>92.697885759773897</v>
      </c>
      <c r="AJ1574">
        <v>96.845815638288897</v>
      </c>
      <c r="AK1574">
        <v>23.506855414497299</v>
      </c>
    </row>
    <row r="1575" spans="1:37" x14ac:dyDescent="0.2">
      <c r="A1575" t="str">
        <f>"20200111154055996"</f>
        <v>20200111154055996</v>
      </c>
      <c r="B1575" t="str">
        <f>"1578728455987404"</f>
        <v>1578728455987404</v>
      </c>
      <c r="C1575" t="s">
        <v>37</v>
      </c>
      <c r="D1575">
        <v>4.7550989999999898</v>
      </c>
      <c r="E1575">
        <v>0.46383259999999998</v>
      </c>
      <c r="F1575" t="s">
        <v>44</v>
      </c>
      <c r="G1575">
        <v>-394.81380000000001</v>
      </c>
      <c r="H1575" s="1">
        <v>1.0248699999999999E-6</v>
      </c>
      <c r="I1575">
        <v>281.1848</v>
      </c>
      <c r="J1575">
        <v>-371.63760000000002</v>
      </c>
      <c r="K1575">
        <v>1.1064750000000001</v>
      </c>
      <c r="L1575">
        <v>283.32139999999998</v>
      </c>
      <c r="M1575">
        <v>-0.99954709999999902</v>
      </c>
      <c r="N1575">
        <v>0</v>
      </c>
      <c r="O1575">
        <v>2.9178019999999999E-2</v>
      </c>
      <c r="P1575">
        <v>-0.99784709999999999</v>
      </c>
      <c r="Q1575">
        <v>6.5126089999999998E-2</v>
      </c>
      <c r="R1575">
        <v>7.730509E-3</v>
      </c>
      <c r="S1575">
        <v>-3.017395</v>
      </c>
      <c r="T1575">
        <v>-0.1413402</v>
      </c>
      <c r="U1575">
        <v>-0.27133179999999901</v>
      </c>
      <c r="V1575">
        <v>-2.099032E-2</v>
      </c>
      <c r="W1575">
        <v>7.2607770000000002E-2</v>
      </c>
      <c r="X1575">
        <v>0.99713969999999896</v>
      </c>
      <c r="Y1575">
        <v>-0.1184239</v>
      </c>
      <c r="Z1575">
        <v>-4.1300970000000001E-3</v>
      </c>
      <c r="AA1575">
        <v>0.99295460000000002</v>
      </c>
      <c r="AB1575">
        <v>57</v>
      </c>
      <c r="AC1575">
        <v>-23.176199999999898</v>
      </c>
      <c r="AD1575">
        <v>-1.1064739751299999</v>
      </c>
      <c r="AE1575">
        <v>-2.1365999999999801</v>
      </c>
      <c r="AF1575">
        <v>-2.80560334995775</v>
      </c>
      <c r="AG1575">
        <v>-1.1064739751299999</v>
      </c>
      <c r="AH1575">
        <v>23.051889347791999</v>
      </c>
      <c r="AI1575">
        <v>92.727947372612803</v>
      </c>
      <c r="AJ1575">
        <v>96.939235627842606</v>
      </c>
      <c r="AK1575">
        <v>23.248339667980201</v>
      </c>
    </row>
    <row r="1576" spans="1:37" x14ac:dyDescent="0.2">
      <c r="A1576" t="str">
        <f>"20200111154056017"</f>
        <v>20200111154056017</v>
      </c>
      <c r="B1576" t="str">
        <f>"1578728456007900"</f>
        <v>1578728456007900</v>
      </c>
      <c r="C1576" t="s">
        <v>37</v>
      </c>
      <c r="D1576">
        <v>4.7473179999999999</v>
      </c>
      <c r="E1576">
        <v>0.46428000000000003</v>
      </c>
      <c r="F1576" t="s">
        <v>44</v>
      </c>
      <c r="G1576">
        <v>-394.55029999999999</v>
      </c>
      <c r="H1576" s="1">
        <v>8.8467240000000002E-7</v>
      </c>
      <c r="I1576">
        <v>281.34249999999997</v>
      </c>
      <c r="J1576">
        <v>-372.19439999999997</v>
      </c>
      <c r="K1576">
        <v>1.1065049999999901</v>
      </c>
      <c r="L1576">
        <v>283.33769999999998</v>
      </c>
      <c r="M1576">
        <v>-0.99950779999999995</v>
      </c>
      <c r="N1576">
        <v>0</v>
      </c>
      <c r="O1576">
        <v>3.0486880000000001E-2</v>
      </c>
      <c r="P1576">
        <v>-0.99785539999999995</v>
      </c>
      <c r="Q1576">
        <v>6.4857919999999999E-2</v>
      </c>
      <c r="R1576">
        <v>8.8466450000000002E-3</v>
      </c>
      <c r="S1576">
        <v>-3.0179749999999999</v>
      </c>
      <c r="T1576">
        <v>-0.14574019999999999</v>
      </c>
      <c r="U1576">
        <v>-0.26065060000000001</v>
      </c>
      <c r="V1576">
        <v>-2.1188990000000001E-2</v>
      </c>
      <c r="W1576">
        <v>7.2349049999999998E-2</v>
      </c>
      <c r="X1576">
        <v>0.99715429999999905</v>
      </c>
      <c r="Y1576">
        <v>-0.1162106</v>
      </c>
      <c r="Z1576">
        <v>-4.2681120000000001E-3</v>
      </c>
      <c r="AA1576">
        <v>0.99321539999999997</v>
      </c>
      <c r="AB1576">
        <v>57</v>
      </c>
      <c r="AC1576">
        <v>-22.355899999999998</v>
      </c>
      <c r="AD1576">
        <v>-1.1065041153275901</v>
      </c>
      <c r="AE1576">
        <v>-1.9952000000000101</v>
      </c>
      <c r="AF1576">
        <v>-2.66936519621887</v>
      </c>
      <c r="AG1576">
        <v>-1.1065041153275901</v>
      </c>
      <c r="AH1576">
        <v>22.230649399073901</v>
      </c>
      <c r="AI1576">
        <v>92.829188093935102</v>
      </c>
      <c r="AJ1576">
        <v>96.847060294313593</v>
      </c>
      <c r="AK1576">
        <v>22.417663451228901</v>
      </c>
    </row>
    <row r="1577" spans="1:37" x14ac:dyDescent="0.2">
      <c r="A1577" t="str">
        <f>"20200111154056040"</f>
        <v>20200111154056040</v>
      </c>
      <c r="B1577" t="str">
        <f>"1578728456027419"</f>
        <v>1578728456027419</v>
      </c>
      <c r="C1577" t="s">
        <v>37</v>
      </c>
      <c r="D1577">
        <v>4.7901199999999999</v>
      </c>
      <c r="E1577">
        <v>0.4643079</v>
      </c>
      <c r="F1577" t="s">
        <v>44</v>
      </c>
      <c r="G1577">
        <v>-395.09769999999997</v>
      </c>
      <c r="H1577" s="1">
        <v>1.175952E-6</v>
      </c>
      <c r="I1577">
        <v>281.40879999999999</v>
      </c>
      <c r="J1577">
        <v>-372.7629</v>
      </c>
      <c r="K1577">
        <v>1.106552</v>
      </c>
      <c r="L1577">
        <v>283.35509999999999</v>
      </c>
      <c r="M1577">
        <v>-0.99946880000000005</v>
      </c>
      <c r="N1577">
        <v>0</v>
      </c>
      <c r="O1577">
        <v>3.1742769999999997E-2</v>
      </c>
      <c r="P1577">
        <v>-0.99785109999999999</v>
      </c>
      <c r="Q1577">
        <v>6.4575250000000001E-2</v>
      </c>
      <c r="R1577">
        <v>1.1115710000000001E-2</v>
      </c>
      <c r="S1577">
        <v>-3.0181580000000001</v>
      </c>
      <c r="T1577">
        <v>-0.14581340000000001</v>
      </c>
      <c r="U1577">
        <v>-0.25418089999999999</v>
      </c>
      <c r="V1577">
        <v>-2.0185169999999999E-2</v>
      </c>
      <c r="W1577">
        <v>7.2067969999999995E-2</v>
      </c>
      <c r="X1577">
        <v>0.99719539999999995</v>
      </c>
      <c r="Y1577">
        <v>-0.1153391</v>
      </c>
      <c r="Z1577">
        <v>-4.3099189999999997E-3</v>
      </c>
      <c r="AA1577">
        <v>0.9933168</v>
      </c>
      <c r="AB1577">
        <v>58</v>
      </c>
      <c r="AC1577">
        <v>-22.334799999999898</v>
      </c>
      <c r="AD1577">
        <v>-1.106550824048</v>
      </c>
      <c r="AE1577">
        <v>-1.9462999999999999</v>
      </c>
      <c r="AF1577">
        <v>-2.6478564809157499</v>
      </c>
      <c r="AG1577">
        <v>-1.106550824048</v>
      </c>
      <c r="AH1577">
        <v>22.207661763406499</v>
      </c>
      <c r="AI1577">
        <v>92.832512856140497</v>
      </c>
      <c r="AJ1577">
        <v>96.799372028826198</v>
      </c>
      <c r="AK1577">
        <v>22.3923165319624</v>
      </c>
    </row>
    <row r="1578" spans="1:37" x14ac:dyDescent="0.2">
      <c r="A1578" t="str">
        <f>"20200111154056061"</f>
        <v>20200111154056061</v>
      </c>
      <c r="B1578" t="str">
        <f>"1578728456057676"</f>
        <v>1578728456057676</v>
      </c>
      <c r="C1578" t="s">
        <v>37</v>
      </c>
      <c r="D1578">
        <v>4.7842279999999997</v>
      </c>
      <c r="E1578">
        <v>0.46405190000000002</v>
      </c>
      <c r="F1578" t="s">
        <v>44</v>
      </c>
      <c r="G1578">
        <v>-396.18430000000001</v>
      </c>
      <c r="H1578" s="1">
        <v>1.754206E-6</v>
      </c>
      <c r="I1578">
        <v>281.43630000000002</v>
      </c>
      <c r="J1578">
        <v>-373.33600000000001</v>
      </c>
      <c r="K1578">
        <v>1.106614</v>
      </c>
      <c r="L1578">
        <v>283.3732</v>
      </c>
      <c r="M1578">
        <v>-0.99943069999999901</v>
      </c>
      <c r="N1578">
        <v>0</v>
      </c>
      <c r="O1578">
        <v>3.2915859999999998E-2</v>
      </c>
      <c r="P1578">
        <v>-0.99785480000000004</v>
      </c>
      <c r="Q1578">
        <v>6.40429E-2</v>
      </c>
      <c r="R1578">
        <v>1.3585669999999999E-2</v>
      </c>
      <c r="S1578">
        <v>-3.0184630000000001</v>
      </c>
      <c r="T1578">
        <v>-0.14260819999999999</v>
      </c>
      <c r="U1578">
        <v>-0.2472839</v>
      </c>
      <c r="V1578">
        <v>-1.8902510000000001E-2</v>
      </c>
      <c r="W1578">
        <v>7.1536240000000001E-2</v>
      </c>
      <c r="X1578">
        <v>0.99725889999999995</v>
      </c>
      <c r="Y1578">
        <v>-0.1142497</v>
      </c>
      <c r="Z1578">
        <v>-4.244884E-3</v>
      </c>
      <c r="AA1578">
        <v>0.99344299999999996</v>
      </c>
      <c r="AB1578">
        <v>58</v>
      </c>
      <c r="AC1578">
        <v>-22.848299999999899</v>
      </c>
      <c r="AD1578">
        <v>-1.106612245794</v>
      </c>
      <c r="AE1578">
        <v>-1.9368999999999801</v>
      </c>
      <c r="AF1578">
        <v>-2.6816967200975199</v>
      </c>
      <c r="AG1578">
        <v>-1.106612245794</v>
      </c>
      <c r="AH1578">
        <v>22.719248351869801</v>
      </c>
      <c r="AI1578">
        <v>92.769371493488507</v>
      </c>
      <c r="AJ1578">
        <v>96.731834982943795</v>
      </c>
      <c r="AK1578">
        <v>22.903718773052098</v>
      </c>
    </row>
    <row r="1579" spans="1:37" x14ac:dyDescent="0.2">
      <c r="A1579" t="str">
        <f>"20200111154056085"</f>
        <v>20200111154056085</v>
      </c>
      <c r="B1579" t="str">
        <f>"1578728456078174"</f>
        <v>1578728456078174</v>
      </c>
      <c r="C1579" t="s">
        <v>37</v>
      </c>
      <c r="D1579">
        <v>4.7734360000000002</v>
      </c>
      <c r="E1579">
        <v>0.4637541</v>
      </c>
      <c r="F1579" t="s">
        <v>44</v>
      </c>
      <c r="G1579">
        <v>-396.95949999999999</v>
      </c>
      <c r="H1579" s="1">
        <v>2.166727E-6</v>
      </c>
      <c r="I1579">
        <v>281.47820000000002</v>
      </c>
      <c r="J1579">
        <v>-373.94260000000003</v>
      </c>
      <c r="K1579">
        <v>1.1067</v>
      </c>
      <c r="L1579">
        <v>283.39319999999998</v>
      </c>
      <c r="M1579">
        <v>-0.99939310000000003</v>
      </c>
      <c r="N1579">
        <v>0</v>
      </c>
      <c r="O1579">
        <v>3.4035459999999997E-2</v>
      </c>
      <c r="P1579">
        <v>-0.99783719999999998</v>
      </c>
      <c r="Q1579">
        <v>6.3761189999999995E-2</v>
      </c>
      <c r="R1579">
        <v>1.598289E-2</v>
      </c>
      <c r="S1579">
        <v>-3.018799</v>
      </c>
      <c r="T1579">
        <v>-0.1414117</v>
      </c>
      <c r="U1579">
        <v>-0.24215700000000001</v>
      </c>
      <c r="V1579">
        <v>-1.7641270000000001E-2</v>
      </c>
      <c r="W1579">
        <v>7.1254689999999996E-2</v>
      </c>
      <c r="X1579">
        <v>0.99730209999999997</v>
      </c>
      <c r="Y1579">
        <v>-0.1136795</v>
      </c>
      <c r="Z1579">
        <v>-4.2481439999999997E-3</v>
      </c>
      <c r="AA1579">
        <v>0.99350839999999996</v>
      </c>
      <c r="AB1579">
        <v>58</v>
      </c>
      <c r="AC1579">
        <v>-23.0168999999999</v>
      </c>
      <c r="AD1579">
        <v>-1.106697833273</v>
      </c>
      <c r="AE1579">
        <v>-1.9149999999999601</v>
      </c>
      <c r="AF1579">
        <v>-2.69112399525905</v>
      </c>
      <c r="AG1579">
        <v>-1.106697833273</v>
      </c>
      <c r="AH1579">
        <v>22.8858386897275</v>
      </c>
      <c r="AI1579">
        <v>92.749598747693895</v>
      </c>
      <c r="AJ1579">
        <v>96.706558413402703</v>
      </c>
      <c r="AK1579">
        <v>23.0700789115308</v>
      </c>
    </row>
    <row r="1580" spans="1:37" x14ac:dyDescent="0.2">
      <c r="A1580" t="str">
        <f>"20200111154056098"</f>
        <v>20200111154056098</v>
      </c>
      <c r="B1580" t="str">
        <f>"1578728456087932"</f>
        <v>1578728456087932</v>
      </c>
      <c r="C1580" t="s">
        <v>37</v>
      </c>
      <c r="D1580">
        <v>4.8306740000000001</v>
      </c>
      <c r="E1580">
        <v>0.46352690000000002</v>
      </c>
      <c r="F1580" t="s">
        <v>44</v>
      </c>
      <c r="G1580">
        <v>-397.55450000000002</v>
      </c>
      <c r="H1580" s="1">
        <v>2.4833660000000001E-6</v>
      </c>
      <c r="I1580">
        <v>281.53719999999998</v>
      </c>
      <c r="J1580">
        <v>-374.30759999999998</v>
      </c>
      <c r="K1580">
        <v>1.1067579999999999</v>
      </c>
      <c r="L1580">
        <v>283.40559999999999</v>
      </c>
      <c r="M1580">
        <v>-0.99937209999999999</v>
      </c>
      <c r="N1580">
        <v>0</v>
      </c>
      <c r="O1580">
        <v>3.4646719999999999E-2</v>
      </c>
      <c r="P1580">
        <v>-0.99783529999999998</v>
      </c>
      <c r="Q1580">
        <v>6.3636490000000004E-2</v>
      </c>
      <c r="R1580">
        <v>1.6582779999999998E-2</v>
      </c>
      <c r="S1580">
        <v>-3.0193479999999999</v>
      </c>
      <c r="T1580">
        <v>-0.1415177</v>
      </c>
      <c r="U1580">
        <v>-0.2373352</v>
      </c>
      <c r="V1580">
        <v>-1.7663290000000002E-2</v>
      </c>
      <c r="W1580">
        <v>7.1134340000000004E-2</v>
      </c>
      <c r="X1580">
        <v>0.99731029999999998</v>
      </c>
      <c r="Y1580">
        <v>-0.1126963</v>
      </c>
      <c r="Z1580">
        <v>-4.2564129999999997E-3</v>
      </c>
      <c r="AA1580">
        <v>0.99362039999999996</v>
      </c>
      <c r="AB1580">
        <v>58</v>
      </c>
      <c r="AC1580">
        <v>-23.2469</v>
      </c>
      <c r="AD1580">
        <v>-1.106755516634</v>
      </c>
      <c r="AE1580">
        <v>-1.8684000000000001</v>
      </c>
      <c r="AF1580">
        <v>-2.6667236023401402</v>
      </c>
      <c r="AG1580">
        <v>-1.106755516634</v>
      </c>
      <c r="AH1580">
        <v>23.116148007646299</v>
      </c>
      <c r="AI1580">
        <v>92.723082998558894</v>
      </c>
      <c r="AJ1580">
        <v>96.580662329151295</v>
      </c>
      <c r="AK1580">
        <v>23.2957640195871</v>
      </c>
    </row>
    <row r="1581" spans="1:37" x14ac:dyDescent="0.2">
      <c r="A1581" t="str">
        <f>"20200111154056114"</f>
        <v>20200111154056114</v>
      </c>
      <c r="B1581" t="str">
        <f>"1578728456107451"</f>
        <v>1578728456107451</v>
      </c>
      <c r="C1581" t="s">
        <v>37</v>
      </c>
      <c r="D1581">
        <v>4.790775</v>
      </c>
      <c r="E1581">
        <v>0.46322730000000001</v>
      </c>
      <c r="F1581" t="s">
        <v>44</v>
      </c>
      <c r="G1581">
        <v>-397.98050000000001</v>
      </c>
      <c r="H1581" s="1">
        <v>2.7100209999999998E-6</v>
      </c>
      <c r="I1581">
        <v>281.5444</v>
      </c>
      <c r="J1581">
        <v>-374.67559999999997</v>
      </c>
      <c r="K1581">
        <v>1.106819</v>
      </c>
      <c r="L1581">
        <v>283.41820000000001</v>
      </c>
      <c r="M1581">
        <v>-0.99935200000000002</v>
      </c>
      <c r="N1581">
        <v>0</v>
      </c>
      <c r="O1581">
        <v>3.5218670000000001E-2</v>
      </c>
      <c r="P1581">
        <v>-0.99783159999999904</v>
      </c>
      <c r="Q1581">
        <v>6.3490119999999997E-2</v>
      </c>
      <c r="R1581">
        <v>1.7357020000000001E-2</v>
      </c>
      <c r="S1581">
        <v>-3.0194399999999999</v>
      </c>
      <c r="T1581">
        <v>-0.14116529999999899</v>
      </c>
      <c r="U1581">
        <v>-0.2373962</v>
      </c>
      <c r="V1581">
        <v>-1.74723E-2</v>
      </c>
      <c r="W1581">
        <v>7.0990719999999993E-2</v>
      </c>
      <c r="X1581">
        <v>0.99732389999999904</v>
      </c>
      <c r="Y1581">
        <v>-0.1132821</v>
      </c>
      <c r="Z1581">
        <v>-4.2860499999999996E-3</v>
      </c>
      <c r="AA1581">
        <v>0.99355360000000004</v>
      </c>
      <c r="AB1581">
        <v>58</v>
      </c>
      <c r="AC1581">
        <v>-23.3049</v>
      </c>
      <c r="AD1581">
        <v>-1.1068162899789999</v>
      </c>
      <c r="AE1581">
        <v>-1.8738000000000099</v>
      </c>
      <c r="AF1581">
        <v>-2.68740503496928</v>
      </c>
      <c r="AG1581">
        <v>-1.1068162899789999</v>
      </c>
      <c r="AH1581">
        <v>23.1725154386056</v>
      </c>
      <c r="AI1581">
        <v>92.716428501934203</v>
      </c>
      <c r="AJ1581">
        <v>96.615257563379203</v>
      </c>
      <c r="AK1581">
        <v>23.354071590927301</v>
      </c>
    </row>
    <row r="1582" spans="1:37" x14ac:dyDescent="0.2">
      <c r="A1582" t="str">
        <f>"20200111154056128"</f>
        <v>20200111154056128</v>
      </c>
      <c r="B1582" t="str">
        <f>"1578728456118188"</f>
        <v>1578728456118188</v>
      </c>
      <c r="C1582" t="s">
        <v>37</v>
      </c>
      <c r="D1582">
        <v>4.7854749999999999</v>
      </c>
      <c r="E1582">
        <v>0.46319729999999998</v>
      </c>
      <c r="F1582" t="s">
        <v>44</v>
      </c>
      <c r="G1582">
        <v>-398.39760000000001</v>
      </c>
      <c r="H1582" s="1">
        <v>2.9319670000000002E-6</v>
      </c>
      <c r="I1582">
        <v>281.55369999999999</v>
      </c>
      <c r="J1582">
        <v>-375.07299999999998</v>
      </c>
      <c r="K1582">
        <v>1.106889</v>
      </c>
      <c r="L1582">
        <v>283.43209999999999</v>
      </c>
      <c r="M1582">
        <v>-0.99933150000000004</v>
      </c>
      <c r="N1582">
        <v>0</v>
      </c>
      <c r="O1582">
        <v>3.5794039999999999E-2</v>
      </c>
      <c r="P1582">
        <v>-0.99787340000000002</v>
      </c>
      <c r="Q1582">
        <v>6.2739249999999996E-2</v>
      </c>
      <c r="R1582">
        <v>1.7678619999999999E-2</v>
      </c>
      <c r="S1582">
        <v>-3.0196230000000002</v>
      </c>
      <c r="T1582">
        <v>-0.14088899999999999</v>
      </c>
      <c r="U1582">
        <v>-0.2373352</v>
      </c>
      <c r="V1582">
        <v>-1.774336E-2</v>
      </c>
      <c r="W1582">
        <v>7.0245390000000005E-2</v>
      </c>
      <c r="X1582">
        <v>0.99737189999999998</v>
      </c>
      <c r="Y1582">
        <v>-0.1138289</v>
      </c>
      <c r="Z1582">
        <v>-4.3169419999999998E-3</v>
      </c>
      <c r="AA1582">
        <v>0.99349100000000001</v>
      </c>
      <c r="AB1582">
        <v>58</v>
      </c>
      <c r="AC1582">
        <v>-23.324599999999901</v>
      </c>
      <c r="AD1582">
        <v>-1.1068860680329999</v>
      </c>
      <c r="AE1582">
        <v>-1.8783999999999901</v>
      </c>
      <c r="AF1582">
        <v>-2.7060461260439399</v>
      </c>
      <c r="AG1582">
        <v>-1.1068860680329999</v>
      </c>
      <c r="AH1582">
        <v>23.1905254865787</v>
      </c>
      <c r="AI1582">
        <v>92.714270873662002</v>
      </c>
      <c r="AJ1582">
        <v>96.655606779416701</v>
      </c>
      <c r="AK1582">
        <v>23.374095805988699</v>
      </c>
    </row>
    <row r="1583" spans="1:37" x14ac:dyDescent="0.2">
      <c r="A1583" t="str">
        <f>"20200111154056151"</f>
        <v>20200111154056151</v>
      </c>
      <c r="B1583" t="str">
        <f>"1578728456147468"</f>
        <v>1578728456147468</v>
      </c>
      <c r="C1583" t="s">
        <v>37</v>
      </c>
      <c r="D1583">
        <v>4.8244720000000001</v>
      </c>
      <c r="E1583">
        <v>0.46299750000000001</v>
      </c>
      <c r="F1583" t="s">
        <v>44</v>
      </c>
      <c r="G1583">
        <v>-398.44389999999999</v>
      </c>
      <c r="H1583" s="1">
        <v>2.9566330000000001E-6</v>
      </c>
      <c r="I1583">
        <v>281.6037</v>
      </c>
      <c r="J1583">
        <v>-375.65309999999999</v>
      </c>
      <c r="K1583">
        <v>1.1069979999999999</v>
      </c>
      <c r="L1583">
        <v>283.45280000000002</v>
      </c>
      <c r="M1583">
        <v>-0.99930469999999905</v>
      </c>
      <c r="N1583">
        <v>0</v>
      </c>
      <c r="O1583">
        <v>3.6535390000000001E-2</v>
      </c>
      <c r="P1583">
        <v>-0.99785939999999995</v>
      </c>
      <c r="Q1583">
        <v>6.2873219999999994E-2</v>
      </c>
      <c r="R1583">
        <v>1.7996129999999999E-2</v>
      </c>
      <c r="S1583">
        <v>-3.0195620000000001</v>
      </c>
      <c r="T1583">
        <v>-0.14301169999999999</v>
      </c>
      <c r="U1583">
        <v>-0.23623659999999999</v>
      </c>
      <c r="V1583">
        <v>-1.8185E-2</v>
      </c>
      <c r="W1583">
        <v>7.0386169999999998E-2</v>
      </c>
      <c r="X1583">
        <v>0.99735399999999996</v>
      </c>
      <c r="Y1583">
        <v>-0.114202</v>
      </c>
      <c r="Z1583">
        <v>-4.425923E-3</v>
      </c>
      <c r="AA1583">
        <v>0.99344769999999905</v>
      </c>
      <c r="AB1583">
        <v>58</v>
      </c>
      <c r="AC1583">
        <v>-22.790799999999901</v>
      </c>
      <c r="AD1583">
        <v>-1.1069950433669999</v>
      </c>
      <c r="AE1583">
        <v>-1.8491000000000199</v>
      </c>
      <c r="AF1583">
        <v>-2.6742911457451801</v>
      </c>
      <c r="AG1583">
        <v>-1.1069950433669999</v>
      </c>
      <c r="AH1583">
        <v>22.6549247627472</v>
      </c>
      <c r="AI1583">
        <v>92.778178733945296</v>
      </c>
      <c r="AJ1583">
        <v>96.732301284586001</v>
      </c>
      <c r="AK1583">
        <v>22.839064936288199</v>
      </c>
    </row>
    <row r="1584" spans="1:37" x14ac:dyDescent="0.2">
      <c r="A1584" t="str">
        <f>"20200111154056166"</f>
        <v>20200111154056166</v>
      </c>
      <c r="B1584" t="str">
        <f>"1578728456158204"</f>
        <v>1578728456158204</v>
      </c>
      <c r="C1584" t="s">
        <v>37</v>
      </c>
      <c r="D1584">
        <v>4.8170120000000001</v>
      </c>
      <c r="E1584">
        <v>0.46283619999999998</v>
      </c>
      <c r="F1584" t="s">
        <v>44</v>
      </c>
      <c r="G1584">
        <v>-399.06880000000001</v>
      </c>
      <c r="H1584" s="1">
        <v>3.289171E-6</v>
      </c>
      <c r="I1584">
        <v>281.61529999999999</v>
      </c>
      <c r="J1584">
        <v>-376.03550000000001</v>
      </c>
      <c r="K1584">
        <v>1.1070759999999999</v>
      </c>
      <c r="L1584">
        <v>283.46660000000003</v>
      </c>
      <c r="M1584">
        <v>-0.99928850000000002</v>
      </c>
      <c r="N1584">
        <v>0</v>
      </c>
      <c r="O1584">
        <v>3.6970669999999997E-2</v>
      </c>
      <c r="P1584">
        <v>-0.99785489999999999</v>
      </c>
      <c r="Q1584">
        <v>6.2889680000000003E-2</v>
      </c>
      <c r="R1584">
        <v>1.8178329999999999E-2</v>
      </c>
      <c r="S1584">
        <v>-3.0197449999999999</v>
      </c>
      <c r="T1584">
        <v>-0.14276079999999999</v>
      </c>
      <c r="U1584">
        <v>-0.23696900000000001</v>
      </c>
      <c r="V1584">
        <v>-1.845082E-2</v>
      </c>
      <c r="W1584">
        <v>7.0407579999999997E-2</v>
      </c>
      <c r="X1584">
        <v>0.99734769999999995</v>
      </c>
      <c r="Y1584">
        <v>-0.114868899999999</v>
      </c>
      <c r="Z1584">
        <v>-4.4541329999999999E-3</v>
      </c>
      <c r="AA1584">
        <v>0.99337070000000005</v>
      </c>
      <c r="AB1584">
        <v>58</v>
      </c>
      <c r="AC1584">
        <v>-23.033300000000001</v>
      </c>
      <c r="AD1584">
        <v>-1.1070727108289999</v>
      </c>
      <c r="AE1584">
        <v>-1.8513000000000299</v>
      </c>
      <c r="AF1584">
        <v>-2.69542765374459</v>
      </c>
      <c r="AG1584">
        <v>-1.1070727108289999</v>
      </c>
      <c r="AH1584">
        <v>22.8965517953885</v>
      </c>
      <c r="AI1584">
        <v>92.749201379734501</v>
      </c>
      <c r="AJ1584">
        <v>96.714071430551002</v>
      </c>
      <c r="AK1584">
        <v>23.0812266645978</v>
      </c>
    </row>
    <row r="1585" spans="1:37" x14ac:dyDescent="0.2">
      <c r="A1585" t="str">
        <f>"20200111154056178"</f>
        <v>20200111154056178</v>
      </c>
      <c r="B1585" t="str">
        <f>"1578728456167964"</f>
        <v>1578728456167964</v>
      </c>
      <c r="C1585" t="s">
        <v>37</v>
      </c>
      <c r="D1585">
        <v>4.7969650000000001</v>
      </c>
      <c r="E1585">
        <v>0.46275899999999998</v>
      </c>
      <c r="F1585" t="s">
        <v>44</v>
      </c>
      <c r="G1585">
        <v>-399.48149999999998</v>
      </c>
      <c r="H1585" s="1">
        <v>3.5088199999999901E-6</v>
      </c>
      <c r="I1585">
        <v>281.62200000000001</v>
      </c>
      <c r="J1585">
        <v>-376.39120000000003</v>
      </c>
      <c r="K1585">
        <v>1.1071500000000001</v>
      </c>
      <c r="L1585">
        <v>283.4796</v>
      </c>
      <c r="M1585">
        <v>-0.99927520000000003</v>
      </c>
      <c r="N1585">
        <v>0</v>
      </c>
      <c r="O1585">
        <v>3.7329420000000002E-2</v>
      </c>
      <c r="P1585">
        <v>-0.99784930000000005</v>
      </c>
      <c r="Q1585">
        <v>6.3057909999999995E-2</v>
      </c>
      <c r="R1585">
        <v>1.7901070000000002E-2</v>
      </c>
      <c r="S1585">
        <v>-3.0197750000000001</v>
      </c>
      <c r="T1585">
        <v>-0.142587299999999</v>
      </c>
      <c r="U1585">
        <v>-0.23757929999999899</v>
      </c>
      <c r="V1585">
        <v>-1.909831E-2</v>
      </c>
      <c r="W1585">
        <v>7.0580710000000005E-2</v>
      </c>
      <c r="X1585">
        <v>0.99732319999999997</v>
      </c>
      <c r="Y1585">
        <v>-0.1154237</v>
      </c>
      <c r="Z1585">
        <v>-4.478625E-3</v>
      </c>
      <c r="AA1585">
        <v>0.99330629999999998</v>
      </c>
      <c r="AB1585">
        <v>58</v>
      </c>
      <c r="AC1585">
        <v>-23.0902999999999</v>
      </c>
      <c r="AD1585">
        <v>-1.10714649117999</v>
      </c>
      <c r="AE1585">
        <v>-1.8575999999999899</v>
      </c>
      <c r="AF1585">
        <v>-2.7120815196118402</v>
      </c>
      <c r="AG1585">
        <v>-1.10714649117999</v>
      </c>
      <c r="AH1585">
        <v>22.952430666306</v>
      </c>
      <c r="AI1585">
        <v>92.742561198213494</v>
      </c>
      <c r="AJ1585">
        <v>96.738878154858597</v>
      </c>
      <c r="AK1585">
        <v>23.138609141725301</v>
      </c>
    </row>
    <row r="1586" spans="1:37" x14ac:dyDescent="0.2">
      <c r="A1586" t="str">
        <f>"20200111154056194"</f>
        <v>20200111154056194</v>
      </c>
      <c r="B1586" t="str">
        <f>"1578728456187484"</f>
        <v>1578728456187484</v>
      </c>
      <c r="C1586" t="s">
        <v>37</v>
      </c>
      <c r="D1586">
        <v>4.8422070000000001</v>
      </c>
      <c r="E1586">
        <v>0.46243499999999998</v>
      </c>
      <c r="F1586" t="s">
        <v>44</v>
      </c>
      <c r="G1586">
        <v>-399.85410000000002</v>
      </c>
      <c r="H1586" s="1">
        <v>3.7070729999999999E-6</v>
      </c>
      <c r="I1586">
        <v>281.62299999999999</v>
      </c>
      <c r="J1586">
        <v>-376.77099999999899</v>
      </c>
      <c r="K1586">
        <v>1.107232</v>
      </c>
      <c r="L1586">
        <v>283.49369999999999</v>
      </c>
      <c r="M1586">
        <v>-0.9992624</v>
      </c>
      <c r="N1586">
        <v>0</v>
      </c>
      <c r="O1586">
        <v>3.7669059999999997E-2</v>
      </c>
      <c r="P1586">
        <v>-0.99784150000000005</v>
      </c>
      <c r="Q1586">
        <v>6.3176940000000001E-2</v>
      </c>
      <c r="R1586">
        <v>1.7924200000000001E-2</v>
      </c>
      <c r="S1586">
        <v>-3.019714</v>
      </c>
      <c r="T1586">
        <v>-0.14249149999999999</v>
      </c>
      <c r="U1586">
        <v>-0.23895259999999999</v>
      </c>
      <c r="V1586">
        <v>-1.9427219999999999E-2</v>
      </c>
      <c r="W1586">
        <v>7.0703890000000005E-2</v>
      </c>
      <c r="X1586">
        <v>0.99730810000000003</v>
      </c>
      <c r="Y1586">
        <v>-0.116210799999999</v>
      </c>
      <c r="Z1586">
        <v>-4.51016E-3</v>
      </c>
      <c r="AA1586">
        <v>0.99321429999999999</v>
      </c>
      <c r="AB1586">
        <v>58</v>
      </c>
      <c r="AC1586">
        <v>-23.083100000000002</v>
      </c>
      <c r="AD1586">
        <v>-1.1072282929270001</v>
      </c>
      <c r="AE1586">
        <v>-1.8707</v>
      </c>
      <c r="AF1586">
        <v>-2.7326687239797298</v>
      </c>
      <c r="AG1586">
        <v>-1.1072282929270001</v>
      </c>
      <c r="AH1586">
        <v>22.943801301526001</v>
      </c>
      <c r="AI1586">
        <v>92.743491723274602</v>
      </c>
      <c r="AJ1586">
        <v>96.792086459106798</v>
      </c>
      <c r="AK1586">
        <v>23.1324761106886</v>
      </c>
    </row>
    <row r="1587" spans="1:37" x14ac:dyDescent="0.2">
      <c r="A1587" t="str">
        <f>"20200111154056207"</f>
        <v>20200111154056207</v>
      </c>
      <c r="B1587" t="str">
        <f>"1578728456198220"</f>
        <v>1578728456198220</v>
      </c>
      <c r="C1587" t="s">
        <v>37</v>
      </c>
      <c r="D1587">
        <v>4.8009199999999996</v>
      </c>
      <c r="E1587">
        <v>0.46231559999999999</v>
      </c>
      <c r="F1587" t="s">
        <v>45</v>
      </c>
      <c r="G1587">
        <v>-400.3664</v>
      </c>
      <c r="H1587" s="1">
        <v>8.8615270000000003E-6</v>
      </c>
      <c r="I1587">
        <v>281.60739999999998</v>
      </c>
      <c r="J1587">
        <v>-377.12619999999998</v>
      </c>
      <c r="K1587">
        <v>1.1073040000000001</v>
      </c>
      <c r="L1587">
        <v>283.50700000000001</v>
      </c>
      <c r="M1587">
        <v>-0.99925149999999996</v>
      </c>
      <c r="N1587">
        <v>0</v>
      </c>
      <c r="O1587">
        <v>3.7954920000000003E-2</v>
      </c>
      <c r="P1587">
        <v>-0.99783330000000003</v>
      </c>
      <c r="Q1587">
        <v>6.3555159999999999E-2</v>
      </c>
      <c r="R1587">
        <v>1.702323E-2</v>
      </c>
      <c r="S1587">
        <v>-3.0198360000000002</v>
      </c>
      <c r="T1587">
        <v>-0.14170720000000001</v>
      </c>
      <c r="U1587">
        <v>-0.24142459999999999</v>
      </c>
      <c r="V1587">
        <v>-2.0625029999999999E-2</v>
      </c>
      <c r="W1587">
        <v>7.1089169999999993E-2</v>
      </c>
      <c r="X1587">
        <v>0.997256699999999</v>
      </c>
      <c r="Y1587">
        <v>-0.1172999</v>
      </c>
      <c r="Z1587">
        <v>-4.5239349999999998E-3</v>
      </c>
      <c r="AA1587">
        <v>0.99308619999999903</v>
      </c>
      <c r="AB1587">
        <v>58</v>
      </c>
      <c r="AC1587">
        <v>-23.240200000000002</v>
      </c>
      <c r="AD1587">
        <v>-1.1072951384730001</v>
      </c>
      <c r="AE1587">
        <v>-1.8996000000000199</v>
      </c>
      <c r="AF1587">
        <v>-2.7740800675325898</v>
      </c>
      <c r="AG1587">
        <v>-1.1072951384730001</v>
      </c>
      <c r="AH1587">
        <v>23.099262343415301</v>
      </c>
      <c r="AI1587">
        <v>92.724901859709306</v>
      </c>
      <c r="AJ1587">
        <v>96.848075991911998</v>
      </c>
      <c r="AK1587">
        <v>23.2915766652816</v>
      </c>
    </row>
    <row r="1588" spans="1:37" x14ac:dyDescent="0.2">
      <c r="A1588" t="str">
        <f>"20200111154056230"</f>
        <v>20200111154056230</v>
      </c>
      <c r="B1588" t="str">
        <f>"1578728456217740"</f>
        <v>1578728456217740</v>
      </c>
      <c r="C1588" t="s">
        <v>37</v>
      </c>
      <c r="D1588">
        <v>4.8328749999999996</v>
      </c>
      <c r="E1588">
        <v>0.46202719999999903</v>
      </c>
      <c r="F1588" t="s">
        <v>45</v>
      </c>
      <c r="G1588">
        <v>-400.80900000000003</v>
      </c>
      <c r="H1588" s="1">
        <v>8.6694679999999997E-6</v>
      </c>
      <c r="I1588">
        <v>281.58699999999999</v>
      </c>
      <c r="J1588">
        <v>-377.69639999999998</v>
      </c>
      <c r="K1588">
        <v>1.107432</v>
      </c>
      <c r="L1588">
        <v>283.52859999999998</v>
      </c>
      <c r="M1588">
        <v>-0.99923689999999998</v>
      </c>
      <c r="N1588">
        <v>0</v>
      </c>
      <c r="O1588">
        <v>3.8331850000000001E-2</v>
      </c>
      <c r="P1588">
        <v>-0.99785419999999903</v>
      </c>
      <c r="Q1588">
        <v>6.3434790000000005E-2</v>
      </c>
      <c r="R1588">
        <v>1.6215899999999998E-2</v>
      </c>
      <c r="S1588">
        <v>-3.0196529999999999</v>
      </c>
      <c r="T1588">
        <v>-0.1411848</v>
      </c>
      <c r="U1588">
        <v>-0.244812</v>
      </c>
      <c r="V1588">
        <v>-2.1831610000000001E-2</v>
      </c>
      <c r="W1588">
        <v>7.0975949999999996E-2</v>
      </c>
      <c r="X1588">
        <v>0.99723909999999905</v>
      </c>
      <c r="Y1588">
        <v>-0.1187853</v>
      </c>
      <c r="Z1588">
        <v>-4.5595920000000003E-3</v>
      </c>
      <c r="AA1588">
        <v>0.992909499999999</v>
      </c>
      <c r="AB1588">
        <v>58</v>
      </c>
      <c r="AC1588">
        <v>-23.1126</v>
      </c>
      <c r="AD1588">
        <v>-1.107423330532</v>
      </c>
      <c r="AE1588">
        <v>-1.94159999999999</v>
      </c>
      <c r="AF1588">
        <v>-2.8197185378076401</v>
      </c>
      <c r="AG1588">
        <v>-1.107423330532</v>
      </c>
      <c r="AH1588">
        <v>22.9688237778978</v>
      </c>
      <c r="AI1588">
        <v>92.739795817377797</v>
      </c>
      <c r="AJ1588">
        <v>96.998775191631395</v>
      </c>
      <c r="AK1588">
        <v>23.167737584960399</v>
      </c>
    </row>
    <row r="1589" spans="1:37" x14ac:dyDescent="0.2">
      <c r="A1589" t="str">
        <f>"20200111154056252"</f>
        <v>20200111154056252</v>
      </c>
      <c r="B1589" t="str">
        <f>"1578728456247996"</f>
        <v>1578728456247996</v>
      </c>
      <c r="C1589" t="s">
        <v>37</v>
      </c>
      <c r="D1589">
        <v>4.8645250000000004</v>
      </c>
      <c r="E1589">
        <v>0.46155760000000001</v>
      </c>
      <c r="F1589" t="s">
        <v>45</v>
      </c>
      <c r="G1589">
        <v>-401.29109999999997</v>
      </c>
      <c r="H1589" s="1">
        <v>8.457288E-6</v>
      </c>
      <c r="I1589">
        <v>281.57909999999998</v>
      </c>
      <c r="J1589">
        <v>-378.30450000000002</v>
      </c>
      <c r="K1589">
        <v>1.1075729999999999</v>
      </c>
      <c r="L1589">
        <v>283.55180000000001</v>
      </c>
      <c r="M1589">
        <v>-0.99922500000000003</v>
      </c>
      <c r="N1589">
        <v>0</v>
      </c>
      <c r="O1589">
        <v>3.8641259999999997E-2</v>
      </c>
      <c r="P1589">
        <v>-0.99786330000000001</v>
      </c>
      <c r="Q1589">
        <v>6.3428970000000001E-2</v>
      </c>
      <c r="R1589">
        <v>1.5677279999999998E-2</v>
      </c>
      <c r="S1589">
        <v>-3.0194700000000001</v>
      </c>
      <c r="T1589">
        <v>-0.1417194</v>
      </c>
      <c r="U1589">
        <v>-0.24948119999999999</v>
      </c>
      <c r="V1589">
        <v>-2.2703709999999998E-2</v>
      </c>
      <c r="W1589">
        <v>7.0976440000000002E-2</v>
      </c>
      <c r="X1589">
        <v>0.99721959999999998</v>
      </c>
      <c r="Y1589">
        <v>-0.120618899999999</v>
      </c>
      <c r="Z1589">
        <v>-4.63426799999999E-3</v>
      </c>
      <c r="AA1589">
        <v>0.99268809999999996</v>
      </c>
      <c r="AB1589">
        <v>59</v>
      </c>
      <c r="AC1589">
        <v>-22.9865999999999</v>
      </c>
      <c r="AD1589">
        <v>-1.107564542712</v>
      </c>
      <c r="AE1589">
        <v>-1.9727000000000301</v>
      </c>
      <c r="AF1589">
        <v>-2.8529078668511998</v>
      </c>
      <c r="AG1589">
        <v>-1.107564542712</v>
      </c>
      <c r="AH1589">
        <v>22.840562567677701</v>
      </c>
      <c r="AI1589">
        <v>92.754789466479295</v>
      </c>
      <c r="AJ1589">
        <v>97.119675203359805</v>
      </c>
      <c r="AK1589">
        <v>23.044675760813298</v>
      </c>
    </row>
    <row r="1590" spans="1:37" x14ac:dyDescent="0.2">
      <c r="A1590" t="str">
        <f>"20200111154056275"</f>
        <v>20200111154056275</v>
      </c>
      <c r="B1590" t="str">
        <f>"1578728456267515"</f>
        <v>1578728456267515</v>
      </c>
      <c r="C1590" t="s">
        <v>37</v>
      </c>
      <c r="D1590">
        <v>4.8904199999999998</v>
      </c>
      <c r="E1590">
        <v>0.46125500000000003</v>
      </c>
      <c r="F1590" t="s">
        <v>45</v>
      </c>
      <c r="G1590">
        <v>-401.80090000000001</v>
      </c>
      <c r="H1590" s="1">
        <v>8.233277E-6</v>
      </c>
      <c r="I1590">
        <v>281.56909999999999</v>
      </c>
      <c r="J1590">
        <v>-378.9033</v>
      </c>
      <c r="K1590">
        <v>1.107702</v>
      </c>
      <c r="L1590">
        <v>283.57479999999998</v>
      </c>
      <c r="M1590">
        <v>-0.99921599999999999</v>
      </c>
      <c r="N1590">
        <v>0</v>
      </c>
      <c r="O1590">
        <v>3.8870660000000001E-2</v>
      </c>
      <c r="P1590">
        <v>-0.99786900000000001</v>
      </c>
      <c r="Q1590">
        <v>6.3431550000000003E-2</v>
      </c>
      <c r="R1590">
        <v>1.529296E-2</v>
      </c>
      <c r="S1590">
        <v>-3.0194700000000001</v>
      </c>
      <c r="T1590">
        <v>-0.1423306</v>
      </c>
      <c r="U1590">
        <v>-0.2547913</v>
      </c>
      <c r="V1590">
        <v>-2.3339450000000001E-2</v>
      </c>
      <c r="W1590">
        <v>7.0984530000000004E-2</v>
      </c>
      <c r="X1590">
        <v>0.99720429999999904</v>
      </c>
      <c r="Y1590">
        <v>-0.122576399999999</v>
      </c>
      <c r="Z1590">
        <v>-4.710728E-3</v>
      </c>
      <c r="AA1590">
        <v>0.99244789999999905</v>
      </c>
      <c r="AB1590">
        <v>59</v>
      </c>
      <c r="AC1590">
        <v>-22.897600000000001</v>
      </c>
      <c r="AD1590">
        <v>-1.107693766723</v>
      </c>
      <c r="AE1590">
        <v>-2.0056999999999898</v>
      </c>
      <c r="AF1590">
        <v>-2.8875479704512199</v>
      </c>
      <c r="AG1590">
        <v>-1.107693766723</v>
      </c>
      <c r="AH1590">
        <v>22.7494952982054</v>
      </c>
      <c r="AI1590">
        <v>92.7654297808471</v>
      </c>
      <c r="AJ1590">
        <v>97.233757274310506</v>
      </c>
      <c r="AK1590">
        <v>22.9587555212726</v>
      </c>
    </row>
    <row r="1591" spans="1:37" x14ac:dyDescent="0.2">
      <c r="A1591" t="str">
        <f>"20200111154056296"</f>
        <v>20200111154056296</v>
      </c>
      <c r="B1591" t="str">
        <f>"1578728456288015"</f>
        <v>1578728456288015</v>
      </c>
      <c r="C1591" t="s">
        <v>37</v>
      </c>
      <c r="D1591">
        <v>4.9072290000000001</v>
      </c>
      <c r="E1591">
        <v>0.46099639999999997</v>
      </c>
      <c r="F1591" t="s">
        <v>45</v>
      </c>
      <c r="G1591">
        <v>-402.27690000000001</v>
      </c>
      <c r="H1591" s="1">
        <v>8.0208010000000006E-6</v>
      </c>
      <c r="I1591">
        <v>281.57569999999998</v>
      </c>
      <c r="J1591">
        <v>-379.46050000000002</v>
      </c>
      <c r="K1591">
        <v>1.1078110000000001</v>
      </c>
      <c r="L1591">
        <v>283.59629999999999</v>
      </c>
      <c r="M1591">
        <v>-0.99920969999999998</v>
      </c>
      <c r="N1591">
        <v>0</v>
      </c>
      <c r="O1591">
        <v>3.9030210000000003E-2</v>
      </c>
      <c r="P1591">
        <v>-0.99788140000000003</v>
      </c>
      <c r="Q1591">
        <v>6.3328319999999994E-2</v>
      </c>
      <c r="R1591">
        <v>1.490959E-2</v>
      </c>
      <c r="S1591">
        <v>-3.0194700000000001</v>
      </c>
      <c r="T1591">
        <v>-0.14309479999999999</v>
      </c>
      <c r="U1591">
        <v>-0.25823970000000002</v>
      </c>
      <c r="V1591">
        <v>-2.3902130000000001E-2</v>
      </c>
      <c r="W1591">
        <v>7.0886539999999998E-2</v>
      </c>
      <c r="X1591">
        <v>0.99719799999999903</v>
      </c>
      <c r="Y1591">
        <v>-0.1238566</v>
      </c>
      <c r="Z1591">
        <v>-4.7735809999999998E-3</v>
      </c>
      <c r="AA1591">
        <v>0.99228859999999997</v>
      </c>
      <c r="AB1591">
        <v>59</v>
      </c>
      <c r="AC1591">
        <v>-22.816399999999899</v>
      </c>
      <c r="AD1591">
        <v>-1.1078029791990001</v>
      </c>
      <c r="AE1591">
        <v>-2.0206</v>
      </c>
      <c r="AF1591">
        <v>-2.9028245438640701</v>
      </c>
      <c r="AG1591">
        <v>-1.1078029791990001</v>
      </c>
      <c r="AH1591">
        <v>22.667127584618999</v>
      </c>
      <c r="AI1591">
        <v>92.775341658401501</v>
      </c>
      <c r="AJ1591">
        <v>97.297758132809093</v>
      </c>
      <c r="AK1591">
        <v>22.879079761008299</v>
      </c>
    </row>
    <row r="1592" spans="1:37" x14ac:dyDescent="0.2">
      <c r="A1592" t="str">
        <f>"20200111154056318"</f>
        <v>20200111154056318</v>
      </c>
      <c r="B1592" t="str">
        <f>"1578728456307531"</f>
        <v>1578728456307531</v>
      </c>
      <c r="C1592" t="s">
        <v>37</v>
      </c>
      <c r="D1592">
        <v>4.9242939999999997</v>
      </c>
      <c r="E1592">
        <v>0.46073439999999999</v>
      </c>
      <c r="F1592" t="s">
        <v>45</v>
      </c>
      <c r="G1592">
        <v>-402.75259999999997</v>
      </c>
      <c r="H1592" s="1">
        <v>7.8093149999999993E-6</v>
      </c>
      <c r="I1592">
        <v>281.57859999999999</v>
      </c>
      <c r="J1592">
        <v>-380.03840000000002</v>
      </c>
      <c r="K1592">
        <v>1.1079289999999999</v>
      </c>
      <c r="L1592">
        <v>283.6189</v>
      </c>
      <c r="M1592">
        <v>-0.99920529999999996</v>
      </c>
      <c r="N1592">
        <v>0</v>
      </c>
      <c r="O1592">
        <v>3.9142099999999999E-2</v>
      </c>
      <c r="P1592">
        <v>-0.99792029999999998</v>
      </c>
      <c r="Q1592">
        <v>6.2884170000000003E-2</v>
      </c>
      <c r="R1592">
        <v>1.4162930000000001E-2</v>
      </c>
      <c r="S1592">
        <v>-3.0193479999999999</v>
      </c>
      <c r="T1592">
        <v>-0.1436046</v>
      </c>
      <c r="U1592">
        <v>-0.26156620000000003</v>
      </c>
      <c r="V1592">
        <v>-2.4782100000000001E-2</v>
      </c>
      <c r="W1592">
        <v>7.0448949999999996E-2</v>
      </c>
      <c r="X1592">
        <v>0.99720750000000002</v>
      </c>
      <c r="Y1592">
        <v>-0.12505339999999901</v>
      </c>
      <c r="Z1592">
        <v>-4.8242490000000001E-3</v>
      </c>
      <c r="AA1592">
        <v>0.99213830000000003</v>
      </c>
      <c r="AB1592">
        <v>59</v>
      </c>
      <c r="AC1592">
        <v>-22.714199999999899</v>
      </c>
      <c r="AD1592">
        <v>-1.1079211906849999</v>
      </c>
      <c r="AE1592">
        <v>-2.0402999999999998</v>
      </c>
      <c r="AF1592">
        <v>-2.9209492445755698</v>
      </c>
      <c r="AG1592">
        <v>-1.1079211906849999</v>
      </c>
      <c r="AH1592">
        <v>22.5636753717848</v>
      </c>
      <c r="AI1592">
        <v>92.787853095275096</v>
      </c>
      <c r="AJ1592">
        <v>97.376124448050405</v>
      </c>
      <c r="AK1592">
        <v>22.7789130587358</v>
      </c>
    </row>
    <row r="1593" spans="1:37" x14ac:dyDescent="0.2">
      <c r="A1593" t="str">
        <f>"20200111154056333"</f>
        <v>20200111154056333</v>
      </c>
      <c r="B1593" t="str">
        <f>"1578728456328029"</f>
        <v>1578728456328029</v>
      </c>
      <c r="C1593" t="s">
        <v>37</v>
      </c>
      <c r="D1593">
        <v>4.9513850000000001</v>
      </c>
      <c r="E1593">
        <v>0.46047280000000002</v>
      </c>
      <c r="F1593" t="s">
        <v>45</v>
      </c>
      <c r="G1593">
        <v>-403.0104</v>
      </c>
      <c r="H1593" s="1">
        <v>7.691454E-6</v>
      </c>
      <c r="I1593">
        <v>281.59550000000002</v>
      </c>
      <c r="J1593">
        <v>-380.42430000000002</v>
      </c>
      <c r="K1593">
        <v>1.108001</v>
      </c>
      <c r="L1593">
        <v>283.63389999999998</v>
      </c>
      <c r="M1593">
        <v>-0.99920370000000003</v>
      </c>
      <c r="N1593">
        <v>0</v>
      </c>
      <c r="O1593">
        <v>3.9179499999999999E-2</v>
      </c>
      <c r="P1593">
        <v>-0.99792250000000005</v>
      </c>
      <c r="Q1593">
        <v>6.2869120000000001E-2</v>
      </c>
      <c r="R1593">
        <v>1.408301E-2</v>
      </c>
      <c r="S1593">
        <v>-3.019196</v>
      </c>
      <c r="T1593">
        <v>-0.1456131</v>
      </c>
      <c r="U1593">
        <v>-0.26593020000000001</v>
      </c>
      <c r="V1593">
        <v>-2.4912879999999998E-2</v>
      </c>
      <c r="W1593">
        <v>7.0436570000000004E-2</v>
      </c>
      <c r="X1593">
        <v>0.99720509999999996</v>
      </c>
      <c r="Y1593">
        <v>-0.12651099999999901</v>
      </c>
      <c r="Z1593">
        <v>-4.9284580000000001E-3</v>
      </c>
      <c r="AA1593">
        <v>0.99195299999999997</v>
      </c>
      <c r="AB1593">
        <v>59</v>
      </c>
      <c r="AC1593">
        <v>-22.586099999999899</v>
      </c>
      <c r="AD1593">
        <v>-1.1079933085460001</v>
      </c>
      <c r="AE1593">
        <v>-2.0383999999999598</v>
      </c>
      <c r="AF1593">
        <v>-2.9148141774777399</v>
      </c>
      <c r="AG1593">
        <v>-1.1079933085460001</v>
      </c>
      <c r="AH1593">
        <v>22.435336221349498</v>
      </c>
      <c r="AI1593">
        <v>92.803790812926593</v>
      </c>
      <c r="AJ1593">
        <v>97.402443010345607</v>
      </c>
      <c r="AK1593">
        <v>22.651006649286099</v>
      </c>
    </row>
    <row r="1594" spans="1:37" x14ac:dyDescent="0.2">
      <c r="A1594" t="str">
        <f>"20200111154056347"</f>
        <v>20200111154056347</v>
      </c>
      <c r="B1594" t="str">
        <f>"1578728456337789"</f>
        <v>1578728456337789</v>
      </c>
      <c r="C1594" t="s">
        <v>37</v>
      </c>
      <c r="D1594">
        <v>4.9186009999999998</v>
      </c>
      <c r="E1594">
        <v>0.46032279999999998</v>
      </c>
      <c r="F1594" t="s">
        <v>45</v>
      </c>
      <c r="G1594">
        <v>-403.31020000000001</v>
      </c>
      <c r="H1594" s="1">
        <v>7.5577259999999999E-6</v>
      </c>
      <c r="I1594">
        <v>281.5992</v>
      </c>
      <c r="J1594">
        <v>-380.80079999999998</v>
      </c>
      <c r="K1594">
        <v>1.108069</v>
      </c>
      <c r="L1594">
        <v>283.64859999999999</v>
      </c>
      <c r="M1594">
        <v>-0.99920309999999901</v>
      </c>
      <c r="N1594">
        <v>0</v>
      </c>
      <c r="O1594">
        <v>3.9190469999999998E-2</v>
      </c>
      <c r="P1594">
        <v>-0.99793390000000004</v>
      </c>
      <c r="Q1594">
        <v>6.2807089999999996E-2</v>
      </c>
      <c r="R1594">
        <v>1.3529859999999999E-2</v>
      </c>
      <c r="S1594">
        <v>-3.0192570000000001</v>
      </c>
      <c r="T1594">
        <v>-0.1461731</v>
      </c>
      <c r="U1594">
        <v>-0.26843259999999902</v>
      </c>
      <c r="V1594">
        <v>-2.5490249999999999E-2</v>
      </c>
      <c r="W1594">
        <v>7.0378079999999996E-2</v>
      </c>
      <c r="X1594">
        <v>0.99719460000000004</v>
      </c>
      <c r="Y1594">
        <v>-0.12733349999999999</v>
      </c>
      <c r="Z1594">
        <v>-4.9675090000000002E-3</v>
      </c>
      <c r="AA1594">
        <v>0.99184749999999999</v>
      </c>
      <c r="AB1594">
        <v>59</v>
      </c>
      <c r="AC1594">
        <v>-22.509399999999999</v>
      </c>
      <c r="AD1594">
        <v>-1.1080614422740001</v>
      </c>
      <c r="AE1594">
        <v>-2.0493999999999901</v>
      </c>
      <c r="AF1594">
        <v>-2.92297979864991</v>
      </c>
      <c r="AG1594">
        <v>-1.1080614422740001</v>
      </c>
      <c r="AH1594">
        <v>22.358053172546601</v>
      </c>
      <c r="AI1594">
        <v>92.813346478996095</v>
      </c>
      <c r="AJ1594">
        <v>97.448320043997697</v>
      </c>
      <c r="AK1594">
        <v>22.575521095416399</v>
      </c>
    </row>
    <row r="1595" spans="1:37" x14ac:dyDescent="0.2">
      <c r="A1595" t="str">
        <f>"20200111154056365"</f>
        <v>20200111154056365</v>
      </c>
      <c r="B1595" t="str">
        <f>"1578728456358284"</f>
        <v>1578728456358284</v>
      </c>
      <c r="C1595" t="s">
        <v>37</v>
      </c>
      <c r="D1595">
        <v>4.9379429999999997</v>
      </c>
      <c r="E1595">
        <v>0.46021220000000002</v>
      </c>
      <c r="F1595" t="s">
        <v>45</v>
      </c>
      <c r="G1595">
        <v>-403.61939999999998</v>
      </c>
      <c r="H1595" s="1">
        <v>7.4211190000000003E-6</v>
      </c>
      <c r="I1595">
        <v>281.59699999999998</v>
      </c>
      <c r="J1595">
        <v>-381.23480000000001</v>
      </c>
      <c r="K1595">
        <v>1.108158</v>
      </c>
      <c r="L1595">
        <v>283.66559999999998</v>
      </c>
      <c r="M1595">
        <v>-0.99920419999999999</v>
      </c>
      <c r="N1595">
        <v>0</v>
      </c>
      <c r="O1595">
        <v>3.9164839999999999E-2</v>
      </c>
      <c r="P1595">
        <v>-0.99794939999999999</v>
      </c>
      <c r="Q1595">
        <v>6.2755069999999996E-2</v>
      </c>
      <c r="R1595">
        <v>1.259598E-2</v>
      </c>
      <c r="S1595">
        <v>-3.019104</v>
      </c>
      <c r="T1595">
        <v>-0.1466066</v>
      </c>
      <c r="U1595">
        <v>-0.27145390000000003</v>
      </c>
      <c r="V1595">
        <v>-2.641375E-2</v>
      </c>
      <c r="W1595">
        <v>7.0330039999999996E-2</v>
      </c>
      <c r="X1595">
        <v>0.997174</v>
      </c>
      <c r="Y1595">
        <v>-0.12829479999999999</v>
      </c>
      <c r="Z1595">
        <v>-5.0042990000000002E-3</v>
      </c>
      <c r="AA1595">
        <v>0.99172349999999998</v>
      </c>
      <c r="AB1595">
        <v>59</v>
      </c>
      <c r="AC1595">
        <v>-22.384599999999899</v>
      </c>
      <c r="AD1595">
        <v>-1.108150578881</v>
      </c>
      <c r="AE1595">
        <v>-2.0686</v>
      </c>
      <c r="AF1595">
        <v>-2.9365911952018799</v>
      </c>
      <c r="AG1595">
        <v>-1.108150578881</v>
      </c>
      <c r="AH1595">
        <v>22.232381407252099</v>
      </c>
      <c r="AI1595">
        <v>92.828957746157002</v>
      </c>
      <c r="AJ1595">
        <v>97.524425644698994</v>
      </c>
      <c r="AK1595">
        <v>22.452847226816001</v>
      </c>
    </row>
    <row r="1596" spans="1:37" x14ac:dyDescent="0.2">
      <c r="A1596" t="str">
        <f>"20200111154056386"</f>
        <v>20200111154056386</v>
      </c>
      <c r="B1596" t="str">
        <f>"1578728456377806"</f>
        <v>1578728456377806</v>
      </c>
      <c r="C1596" t="s">
        <v>37</v>
      </c>
      <c r="D1596">
        <v>4.9488620000000001</v>
      </c>
      <c r="E1596">
        <v>0.45455909999999899</v>
      </c>
      <c r="F1596" t="s">
        <v>45</v>
      </c>
      <c r="G1596">
        <v>-404.05650000000003</v>
      </c>
      <c r="H1596" s="1">
        <v>7.230151E-6</v>
      </c>
      <c r="I1596">
        <v>281.5831</v>
      </c>
      <c r="J1596">
        <v>-381.8252</v>
      </c>
      <c r="K1596">
        <v>1.1082879999999999</v>
      </c>
      <c r="L1596">
        <v>283.68869999999998</v>
      </c>
      <c r="M1596">
        <v>-0.99920869999999995</v>
      </c>
      <c r="N1596">
        <v>0</v>
      </c>
      <c r="O1596">
        <v>3.9049390000000003E-2</v>
      </c>
      <c r="P1596">
        <v>-0.99793709999999902</v>
      </c>
      <c r="Q1596">
        <v>6.3044000000000003E-2</v>
      </c>
      <c r="R1596">
        <v>1.213641E-2</v>
      </c>
      <c r="S1596">
        <v>-3.0188599999999899</v>
      </c>
      <c r="T1596">
        <v>-0.14658669999999999</v>
      </c>
      <c r="U1596">
        <v>-0.27548220000000001</v>
      </c>
      <c r="V1596">
        <v>-2.6779310000000001E-2</v>
      </c>
      <c r="W1596">
        <v>7.0622089999999998E-2</v>
      </c>
      <c r="X1596">
        <v>0.99714360000000002</v>
      </c>
      <c r="Y1596">
        <v>-0.12949859999999999</v>
      </c>
      <c r="Z1596">
        <v>-5.0272939999999999E-3</v>
      </c>
      <c r="AA1596">
        <v>0.99156679999999997</v>
      </c>
      <c r="AB1596">
        <v>59</v>
      </c>
      <c r="AC1596">
        <v>-22.231300000000001</v>
      </c>
      <c r="AD1596">
        <v>-1.108280769849</v>
      </c>
      <c r="AE1596">
        <v>-2.1055999999999799</v>
      </c>
      <c r="AF1596">
        <v>-2.9648345858534002</v>
      </c>
      <c r="AG1596">
        <v>-1.108280769849</v>
      </c>
      <c r="AH1596">
        <v>22.077737226721101</v>
      </c>
      <c r="AI1596">
        <v>92.848254407582999</v>
      </c>
      <c r="AJ1596">
        <v>97.648531019591701</v>
      </c>
      <c r="AK1596">
        <v>22.3034753219859</v>
      </c>
    </row>
    <row r="1597" spans="1:37" x14ac:dyDescent="0.2">
      <c r="A1597" t="str">
        <f>"20200111154056401"</f>
        <v>20200111154056401</v>
      </c>
      <c r="B1597" t="str">
        <f>"1578728456398299"</f>
        <v>1578728456398299</v>
      </c>
      <c r="C1597" t="s">
        <v>37</v>
      </c>
      <c r="D1597">
        <v>4.9768520000000001</v>
      </c>
      <c r="E1597">
        <v>0.45412939999999902</v>
      </c>
      <c r="F1597" t="s">
        <v>45</v>
      </c>
      <c r="G1597">
        <v>-402.49689999999998</v>
      </c>
      <c r="H1597" s="1">
        <v>7.9422460000000008E-6</v>
      </c>
      <c r="I1597">
        <v>281.48390000000001</v>
      </c>
      <c r="J1597">
        <v>-382.22070000000002</v>
      </c>
      <c r="K1597">
        <v>1.108376</v>
      </c>
      <c r="L1597">
        <v>283.70409999999998</v>
      </c>
      <c r="M1597">
        <v>-0.99921340000000003</v>
      </c>
      <c r="N1597">
        <v>0</v>
      </c>
      <c r="O1597">
        <v>3.8927339999999998E-2</v>
      </c>
      <c r="P1597">
        <v>-0.99794269999999996</v>
      </c>
      <c r="Q1597">
        <v>6.2960680000000005E-2</v>
      </c>
      <c r="R1597">
        <v>1.2110340000000001E-2</v>
      </c>
      <c r="S1597">
        <v>-3.0203549999999999</v>
      </c>
      <c r="T1597">
        <v>-0.16193160000000001</v>
      </c>
      <c r="U1597">
        <v>-0.32214359999999997</v>
      </c>
      <c r="V1597">
        <v>-2.6698639999999999E-2</v>
      </c>
      <c r="W1597">
        <v>7.0540740000000005E-2</v>
      </c>
      <c r="X1597">
        <v>0.99715159999999903</v>
      </c>
      <c r="Y1597">
        <v>-0.14442389999999999</v>
      </c>
      <c r="Z1597">
        <v>-5.9382239999999998E-3</v>
      </c>
      <c r="AA1597">
        <v>0.98949809999999905</v>
      </c>
      <c r="AB1597">
        <v>59</v>
      </c>
      <c r="AC1597">
        <v>-20.2761999999999</v>
      </c>
      <c r="AD1597">
        <v>-1.108368057754</v>
      </c>
      <c r="AE1597">
        <v>-2.22019999999997</v>
      </c>
      <c r="AF1597">
        <v>-2.99898312708173</v>
      </c>
      <c r="AG1597">
        <v>-1.108368057754</v>
      </c>
      <c r="AH1597">
        <v>20.11500818987</v>
      </c>
      <c r="AI1597">
        <v>93.119485943028707</v>
      </c>
      <c r="AJ1597">
        <v>98.479868834793905</v>
      </c>
      <c r="AK1597">
        <v>20.367521548448401</v>
      </c>
    </row>
    <row r="1598" spans="1:37" x14ac:dyDescent="0.2">
      <c r="A1598" t="str">
        <f>"20200111154056419"</f>
        <v>20200111154056419</v>
      </c>
      <c r="B1598" t="str">
        <f>"1578728456408059"</f>
        <v>1578728456408059</v>
      </c>
      <c r="C1598" t="s">
        <v>37</v>
      </c>
      <c r="D1598">
        <v>4.9987940000000002</v>
      </c>
      <c r="E1598">
        <v>0.45393090000000003</v>
      </c>
      <c r="F1598" t="s">
        <v>45</v>
      </c>
      <c r="G1598">
        <v>-403.202</v>
      </c>
      <c r="H1598" s="1">
        <v>7.6390999999999994E-6</v>
      </c>
      <c r="I1598">
        <v>281.43779999999998</v>
      </c>
      <c r="J1598">
        <v>-382.7122</v>
      </c>
      <c r="K1598">
        <v>1.108487</v>
      </c>
      <c r="L1598">
        <v>283.72309999999999</v>
      </c>
      <c r="M1598">
        <v>-0.99922160000000004</v>
      </c>
      <c r="N1598">
        <v>0</v>
      </c>
      <c r="O1598">
        <v>3.8714449999999997E-2</v>
      </c>
      <c r="P1598">
        <v>-0.99791580000000002</v>
      </c>
      <c r="Q1598">
        <v>6.3301209999999997E-2</v>
      </c>
      <c r="R1598">
        <v>1.2532049999999999E-2</v>
      </c>
      <c r="S1598">
        <v>-3.0202330000000002</v>
      </c>
      <c r="T1598">
        <v>-0.15954860000000001</v>
      </c>
      <c r="U1598">
        <v>-0.32623289999999999</v>
      </c>
      <c r="V1598">
        <v>-2.6083200000000001E-2</v>
      </c>
      <c r="W1598">
        <v>7.0883210000000002E-2</v>
      </c>
      <c r="X1598">
        <v>0.99714360000000002</v>
      </c>
      <c r="Y1598">
        <v>-0.14554809999999899</v>
      </c>
      <c r="Z1598">
        <v>-5.8691609999999899E-3</v>
      </c>
      <c r="AA1598">
        <v>0.98933369999999998</v>
      </c>
      <c r="AB1598">
        <v>59</v>
      </c>
      <c r="AC1598">
        <v>-20.489799999999999</v>
      </c>
      <c r="AD1598">
        <v>-1.1084793609000001</v>
      </c>
      <c r="AE1598">
        <v>-2.2852999999999999</v>
      </c>
      <c r="AF1598">
        <v>-3.0679919457417602</v>
      </c>
      <c r="AG1598">
        <v>-1.1084793609000001</v>
      </c>
      <c r="AH1598">
        <v>20.327200679523202</v>
      </c>
      <c r="AI1598">
        <v>93.086463800696293</v>
      </c>
      <c r="AJ1598">
        <v>98.582891828807306</v>
      </c>
      <c r="AK1598">
        <v>20.587287061152299</v>
      </c>
    </row>
    <row r="1599" spans="1:37" x14ac:dyDescent="0.2">
      <c r="A1599" t="str">
        <f>"20200111154056442"</f>
        <v>20200111154056442</v>
      </c>
      <c r="B1599" t="str">
        <f>"1578728456438316"</f>
        <v>1578728456438316</v>
      </c>
      <c r="C1599" t="s">
        <v>37</v>
      </c>
      <c r="D1599">
        <v>4.9974270000000001</v>
      </c>
      <c r="E1599">
        <v>0.45385979999999998</v>
      </c>
      <c r="F1599" t="s">
        <v>45</v>
      </c>
      <c r="G1599">
        <v>-404.04969999999997</v>
      </c>
      <c r="H1599" s="1">
        <v>7.2680469999999999E-6</v>
      </c>
      <c r="I1599">
        <v>281.41410000000002</v>
      </c>
      <c r="J1599">
        <v>-383.30810000000002</v>
      </c>
      <c r="K1599">
        <v>1.1086240000000001</v>
      </c>
      <c r="L1599">
        <v>283.74599999999998</v>
      </c>
      <c r="M1599">
        <v>-0.99923519999999899</v>
      </c>
      <c r="N1599">
        <v>0</v>
      </c>
      <c r="O1599">
        <v>3.835918E-2</v>
      </c>
      <c r="P1599">
        <v>-0.99790290000000004</v>
      </c>
      <c r="Q1599">
        <v>6.3379950000000004E-2</v>
      </c>
      <c r="R1599">
        <v>1.314632E-2</v>
      </c>
      <c r="S1599">
        <v>-3.0203250000000001</v>
      </c>
      <c r="T1599">
        <v>-0.1569053</v>
      </c>
      <c r="U1599">
        <v>-0.3268433</v>
      </c>
      <c r="V1599">
        <v>-2.5139229999999999E-2</v>
      </c>
      <c r="W1599">
        <v>7.0965020000000004E-2</v>
      </c>
      <c r="X1599">
        <v>0.99716199999999999</v>
      </c>
      <c r="Y1599">
        <v>-0.1453998</v>
      </c>
      <c r="Z1599">
        <v>-5.7495819999999996E-3</v>
      </c>
      <c r="AA1599">
        <v>0.98935629999999997</v>
      </c>
      <c r="AB1599">
        <v>59</v>
      </c>
      <c r="AC1599">
        <v>-20.741599999999899</v>
      </c>
      <c r="AD1599">
        <v>-1.108616731953</v>
      </c>
      <c r="AE1599">
        <v>-2.3318999999999601</v>
      </c>
      <c r="AF1599">
        <v>-3.1170437459831501</v>
      </c>
      <c r="AG1599">
        <v>-1.108616731953</v>
      </c>
      <c r="AH1599">
        <v>20.578825698440401</v>
      </c>
      <c r="AI1599">
        <v>93.048931124090799</v>
      </c>
      <c r="AJ1599">
        <v>98.6130349051042</v>
      </c>
      <c r="AK1599">
        <v>20.8430578346732</v>
      </c>
    </row>
    <row r="1600" spans="1:37" x14ac:dyDescent="0.2">
      <c r="A1600" t="str">
        <f>"20200111154056455"</f>
        <v>20200111154056455</v>
      </c>
      <c r="B1600" t="str">
        <f>"1578728456448076"</f>
        <v>1578728456448076</v>
      </c>
      <c r="C1600" t="s">
        <v>37</v>
      </c>
      <c r="D1600">
        <v>5.0089239999999897</v>
      </c>
      <c r="E1600">
        <v>0.45388999999999902</v>
      </c>
      <c r="F1600" t="s">
        <v>45</v>
      </c>
      <c r="G1600">
        <v>-404.67669999999998</v>
      </c>
      <c r="H1600" s="1">
        <v>6.984915E-6</v>
      </c>
      <c r="I1600">
        <v>281.43880000000001</v>
      </c>
      <c r="J1600">
        <v>-383.68470000000002</v>
      </c>
      <c r="K1600">
        <v>1.1087199999999999</v>
      </c>
      <c r="L1600">
        <v>283.7604</v>
      </c>
      <c r="M1600">
        <v>-0.99924659999999998</v>
      </c>
      <c r="N1600">
        <v>0</v>
      </c>
      <c r="O1600">
        <v>3.8057349999999997E-2</v>
      </c>
      <c r="P1600">
        <v>-0.99789319999999904</v>
      </c>
      <c r="Q1600">
        <v>6.3475530000000002E-2</v>
      </c>
      <c r="R1600">
        <v>1.343885E-2</v>
      </c>
      <c r="S1600">
        <v>-3.0205380000000002</v>
      </c>
      <c r="T1600">
        <v>-0.15670719999999999</v>
      </c>
      <c r="U1600">
        <v>-0.32614140000000003</v>
      </c>
      <c r="V1600">
        <v>-2.4561340000000001E-2</v>
      </c>
      <c r="W1600">
        <v>7.1062520000000004E-2</v>
      </c>
      <c r="X1600">
        <v>0.99716939999999998</v>
      </c>
      <c r="Y1600">
        <v>-0.144868</v>
      </c>
      <c r="Z1600">
        <v>-5.7126390000000003E-3</v>
      </c>
      <c r="AA1600">
        <v>0.989434499999999</v>
      </c>
      <c r="AB1600">
        <v>59</v>
      </c>
      <c r="AC1600">
        <v>-20.991999999999901</v>
      </c>
      <c r="AD1600">
        <v>-1.108713015085</v>
      </c>
      <c r="AE1600">
        <v>-2.3215999999999801</v>
      </c>
      <c r="AF1600">
        <v>-3.1102696978599398</v>
      </c>
      <c r="AG1600">
        <v>-1.108713015085</v>
      </c>
      <c r="AH1600">
        <v>20.831028524431701</v>
      </c>
      <c r="AI1600">
        <v>93.013301841259107</v>
      </c>
      <c r="AJ1600">
        <v>98.492067500991794</v>
      </c>
      <c r="AK1600">
        <v>21.0911064557773</v>
      </c>
    </row>
    <row r="1601" spans="1:37" x14ac:dyDescent="0.2">
      <c r="A1601" t="str">
        <f>"20200111154056470"</f>
        <v>20200111154056470</v>
      </c>
      <c r="B1601" t="str">
        <f>"1578728456457836"</f>
        <v>1578728456457836</v>
      </c>
      <c r="C1601" t="s">
        <v>37</v>
      </c>
      <c r="D1601">
        <v>5.0101779999999998</v>
      </c>
      <c r="E1601">
        <v>0.45383620000000002</v>
      </c>
      <c r="F1601" t="s">
        <v>45</v>
      </c>
      <c r="G1601">
        <v>-405.02609999999999</v>
      </c>
      <c r="H1601" s="1">
        <v>6.8252450000000001E-6</v>
      </c>
      <c r="I1601">
        <v>281.46159999999998</v>
      </c>
      <c r="J1601">
        <v>-384.0453</v>
      </c>
      <c r="K1601">
        <v>1.1088129999999901</v>
      </c>
      <c r="L1601">
        <v>283.774</v>
      </c>
      <c r="M1601">
        <v>-0.99925889999999995</v>
      </c>
      <c r="N1601">
        <v>0</v>
      </c>
      <c r="O1601">
        <v>3.7727959999999998E-2</v>
      </c>
      <c r="P1601">
        <v>-0.99789729999999999</v>
      </c>
      <c r="Q1601">
        <v>6.3339530000000005E-2</v>
      </c>
      <c r="R1601">
        <v>1.3748990000000001E-2</v>
      </c>
      <c r="S1601">
        <v>-3.020721</v>
      </c>
      <c r="T1601">
        <v>-0.15692999999999999</v>
      </c>
      <c r="U1601">
        <v>-0.32537840000000001</v>
      </c>
      <c r="V1601">
        <v>-2.393963E-2</v>
      </c>
      <c r="W1601">
        <v>7.0928400000000003E-2</v>
      </c>
      <c r="X1601">
        <v>0.99719409999999897</v>
      </c>
      <c r="Y1601">
        <v>-0.1442889</v>
      </c>
      <c r="Z1601">
        <v>-5.688434E-3</v>
      </c>
      <c r="AA1601">
        <v>0.98951919999999904</v>
      </c>
      <c r="AB1601">
        <v>60</v>
      </c>
      <c r="AC1601">
        <v>-20.980799999999899</v>
      </c>
      <c r="AD1601">
        <v>-1.10880617475499</v>
      </c>
      <c r="AE1601">
        <v>-2.3124000000000202</v>
      </c>
      <c r="AF1601">
        <v>-3.0938022128993099</v>
      </c>
      <c r="AG1601">
        <v>-1.10880617475499</v>
      </c>
      <c r="AH1601">
        <v>20.8211620360353</v>
      </c>
      <c r="AI1601">
        <v>93.015295778539695</v>
      </c>
      <c r="AJ1601">
        <v>98.451701597924298</v>
      </c>
      <c r="AK1601">
        <v>21.078943327324399</v>
      </c>
    </row>
    <row r="1602" spans="1:37" x14ac:dyDescent="0.2">
      <c r="A1602" t="str">
        <f>"20200111154056484"</f>
        <v>20200111154056484</v>
      </c>
      <c r="B1602" t="str">
        <f>"1578728456478331"</f>
        <v>1578728456478331</v>
      </c>
      <c r="C1602" t="s">
        <v>37</v>
      </c>
      <c r="D1602">
        <v>4.9935849999999897</v>
      </c>
      <c r="E1602">
        <v>0.454183</v>
      </c>
      <c r="F1602" t="s">
        <v>45</v>
      </c>
      <c r="G1602">
        <v>-405.18450000000001</v>
      </c>
      <c r="H1602" s="1">
        <v>6.7470830000000003E-6</v>
      </c>
      <c r="I1602">
        <v>281.49990000000003</v>
      </c>
      <c r="J1602">
        <v>-384.4384</v>
      </c>
      <c r="K1602">
        <v>1.1089229999999899</v>
      </c>
      <c r="L1602">
        <v>283.78879999999998</v>
      </c>
      <c r="M1602">
        <v>-0.99927429999999995</v>
      </c>
      <c r="N1602">
        <v>0</v>
      </c>
      <c r="O1602">
        <v>3.7321960000000001E-2</v>
      </c>
      <c r="P1602">
        <v>-0.99791209999999997</v>
      </c>
      <c r="Q1602">
        <v>6.306262E-2</v>
      </c>
      <c r="R1602">
        <v>1.3956110000000001E-2</v>
      </c>
      <c r="S1602">
        <v>-3.020813</v>
      </c>
      <c r="T1602">
        <v>-0.15844949999999999</v>
      </c>
      <c r="U1602">
        <v>-0.32498169999999998</v>
      </c>
      <c r="V1602">
        <v>-2.3347130000000001E-2</v>
      </c>
      <c r="W1602">
        <v>7.0654430000000004E-2</v>
      </c>
      <c r="X1602">
        <v>0.99722759999999999</v>
      </c>
      <c r="Y1602">
        <v>-0.14375179999999901</v>
      </c>
      <c r="Z1602">
        <v>-5.7080380000000003E-3</v>
      </c>
      <c r="AA1602">
        <v>0.98959730000000001</v>
      </c>
      <c r="AB1602">
        <v>60</v>
      </c>
      <c r="AC1602">
        <v>-20.746099999999998</v>
      </c>
      <c r="AD1602">
        <v>-1.10891625291699</v>
      </c>
      <c r="AE1602">
        <v>-2.2888999999999502</v>
      </c>
      <c r="AF1602">
        <v>-3.05299496898617</v>
      </c>
      <c r="AG1602">
        <v>-1.10891625291699</v>
      </c>
      <c r="AH1602">
        <v>20.588101755202199</v>
      </c>
      <c r="AI1602">
        <v>93.049800102685396</v>
      </c>
      <c r="AJ1602">
        <v>98.434881953085494</v>
      </c>
      <c r="AK1602">
        <v>20.842754314610101</v>
      </c>
    </row>
    <row r="1603" spans="1:37" x14ac:dyDescent="0.2">
      <c r="A1603" t="str">
        <f>"20200111154056496"</f>
        <v>20200111154056496</v>
      </c>
      <c r="B1603" t="str">
        <f>"1578728456488092"</f>
        <v>1578728456488092</v>
      </c>
      <c r="C1603" t="s">
        <v>37</v>
      </c>
      <c r="D1603">
        <v>5.057715</v>
      </c>
      <c r="E1603">
        <v>0.4541425</v>
      </c>
      <c r="F1603" t="s">
        <v>45</v>
      </c>
      <c r="G1603">
        <v>-405.48849999999999</v>
      </c>
      <c r="H1603" s="1">
        <v>6.6024989999999996E-6</v>
      </c>
      <c r="I1603">
        <v>281.54719999999998</v>
      </c>
      <c r="J1603">
        <v>-384.79579999999999</v>
      </c>
      <c r="K1603">
        <v>1.109013</v>
      </c>
      <c r="L1603">
        <v>283.80200000000002</v>
      </c>
      <c r="M1603">
        <v>-0.99929009999999996</v>
      </c>
      <c r="N1603">
        <v>0</v>
      </c>
      <c r="O1603">
        <v>3.6891640000000003E-2</v>
      </c>
      <c r="P1603">
        <v>-0.9979169</v>
      </c>
      <c r="Q1603">
        <v>6.2920000000000004E-2</v>
      </c>
      <c r="R1603">
        <v>1.4249329999999999E-2</v>
      </c>
      <c r="S1603">
        <v>-3.020813</v>
      </c>
      <c r="T1603">
        <v>-0.15913529999999901</v>
      </c>
      <c r="U1603">
        <v>-0.32168579999999902</v>
      </c>
      <c r="V1603">
        <v>-2.2641209999999998E-2</v>
      </c>
      <c r="W1603">
        <v>7.0514590000000002E-2</v>
      </c>
      <c r="X1603">
        <v>0.99725379999999997</v>
      </c>
      <c r="Y1603">
        <v>-0.14225850000000001</v>
      </c>
      <c r="Z1603">
        <v>-5.6712350000000002E-3</v>
      </c>
      <c r="AA1603">
        <v>0.98981330000000001</v>
      </c>
      <c r="AB1603">
        <v>60</v>
      </c>
      <c r="AC1603">
        <v>-20.692699999999999</v>
      </c>
      <c r="AD1603">
        <v>-1.1090063975010001</v>
      </c>
      <c r="AE1603">
        <v>-2.2548000000000399</v>
      </c>
      <c r="AF1603">
        <v>-3.00813593826043</v>
      </c>
      <c r="AG1603">
        <v>-1.1090063975010001</v>
      </c>
      <c r="AH1603">
        <v>20.5371302340052</v>
      </c>
      <c r="AI1603">
        <v>93.058402828406699</v>
      </c>
      <c r="AJ1603">
        <v>98.333031019378097</v>
      </c>
      <c r="AK1603">
        <v>20.785872492181799</v>
      </c>
    </row>
    <row r="1604" spans="1:37" x14ac:dyDescent="0.2">
      <c r="A1604" t="str">
        <f>"20200111154056519"</f>
        <v>20200111154056519</v>
      </c>
      <c r="B1604" t="str">
        <f>"1578728456508135"</f>
        <v>1578728456508135</v>
      </c>
      <c r="C1604" t="s">
        <v>37</v>
      </c>
      <c r="D1604">
        <v>5.034027</v>
      </c>
      <c r="E1604">
        <v>0.45411780000000002</v>
      </c>
      <c r="F1604" t="s">
        <v>45</v>
      </c>
      <c r="G1604">
        <v>-405.78280000000001</v>
      </c>
      <c r="H1604" s="1">
        <v>6.4675119999999998E-6</v>
      </c>
      <c r="I1604">
        <v>281.56889999999999</v>
      </c>
      <c r="J1604">
        <v>-385.3734</v>
      </c>
      <c r="K1604">
        <v>1.1091679999999999</v>
      </c>
      <c r="L1604">
        <v>283.82310000000001</v>
      </c>
      <c r="M1604">
        <v>-0.99931809999999999</v>
      </c>
      <c r="N1604">
        <v>0</v>
      </c>
      <c r="O1604">
        <v>3.6119909999999998E-2</v>
      </c>
      <c r="P1604">
        <v>-0.9979538</v>
      </c>
      <c r="Q1604">
        <v>6.2553899999999996E-2</v>
      </c>
      <c r="R1604">
        <v>1.3249240000000001E-2</v>
      </c>
      <c r="S1604">
        <v>-3.020905</v>
      </c>
      <c r="T1604">
        <v>-0.1596322</v>
      </c>
      <c r="U1604">
        <v>-0.3214417</v>
      </c>
      <c r="V1604">
        <v>-2.2898580000000002E-2</v>
      </c>
      <c r="W1604">
        <v>7.0152140000000002E-2</v>
      </c>
      <c r="X1604">
        <v>0.99727339999999998</v>
      </c>
      <c r="Y1604">
        <v>-0.1414125</v>
      </c>
      <c r="Z1604">
        <v>-5.6258409999999899E-3</v>
      </c>
      <c r="AA1604">
        <v>0.9899348</v>
      </c>
      <c r="AB1604">
        <v>60</v>
      </c>
      <c r="AC1604">
        <v>-20.409400000000002</v>
      </c>
      <c r="AD1604">
        <v>-1.109161532488</v>
      </c>
      <c r="AE1604">
        <v>-2.25420000000002</v>
      </c>
      <c r="AF1604">
        <v>-2.9812374799338901</v>
      </c>
      <c r="AG1604">
        <v>-1.109161532488</v>
      </c>
      <c r="AH1604">
        <v>20.255554736947399</v>
      </c>
      <c r="AI1604">
        <v>93.100953624057993</v>
      </c>
      <c r="AJ1604">
        <v>98.372750968334003</v>
      </c>
      <c r="AK1604">
        <v>20.503792671561701</v>
      </c>
    </row>
    <row r="1605" spans="1:37" x14ac:dyDescent="0.2">
      <c r="A1605" t="str">
        <f>"20200111154056542"</f>
        <v>20200111154056542</v>
      </c>
      <c r="B1605" t="str">
        <f>"1578728456537398"</f>
        <v>1578728456537398</v>
      </c>
      <c r="C1605" t="s">
        <v>37</v>
      </c>
      <c r="D1605">
        <v>5.0550519999999999</v>
      </c>
      <c r="E1605">
        <v>0.45382879999999998</v>
      </c>
      <c r="F1605" t="s">
        <v>45</v>
      </c>
      <c r="G1605">
        <v>-405.96899999999999</v>
      </c>
      <c r="H1605" s="1">
        <v>6.37647299999999E-6</v>
      </c>
      <c r="I1605">
        <v>281.61</v>
      </c>
      <c r="J1605">
        <v>-385.97800000000001</v>
      </c>
      <c r="K1605">
        <v>1.1093280000000001</v>
      </c>
      <c r="L1605">
        <v>283.84469999999999</v>
      </c>
      <c r="M1605">
        <v>-0.99935079999999998</v>
      </c>
      <c r="N1605">
        <v>0</v>
      </c>
      <c r="O1605">
        <v>3.5205189999999997E-2</v>
      </c>
      <c r="P1605">
        <v>-0.99798509999999996</v>
      </c>
      <c r="Q1605">
        <v>6.2511830000000004E-2</v>
      </c>
      <c r="R1605">
        <v>1.0876419999999999E-2</v>
      </c>
      <c r="S1605">
        <v>-3.0205989999999998</v>
      </c>
      <c r="T1605">
        <v>-0.1626726</v>
      </c>
      <c r="U1605">
        <v>-0.32458500000000001</v>
      </c>
      <c r="V1605">
        <v>-2.4385629999999998E-2</v>
      </c>
      <c r="W1605">
        <v>7.0110759999999994E-2</v>
      </c>
      <c r="X1605">
        <v>0.99724109999999999</v>
      </c>
      <c r="Y1605">
        <v>-0.14152709999999999</v>
      </c>
      <c r="Z1605">
        <v>-5.687073E-3</v>
      </c>
      <c r="AA1605">
        <v>0.98991810000000002</v>
      </c>
      <c r="AB1605">
        <v>60</v>
      </c>
      <c r="AC1605">
        <v>-19.9909999999999</v>
      </c>
      <c r="AD1605">
        <v>-1.109321623527</v>
      </c>
      <c r="AE1605">
        <v>-2.2346999999999699</v>
      </c>
      <c r="AF1605">
        <v>-2.9282167560676902</v>
      </c>
      <c r="AG1605">
        <v>-1.109321623527</v>
      </c>
      <c r="AH1605">
        <v>19.839594378013299</v>
      </c>
      <c r="AI1605">
        <v>93.166105458625594</v>
      </c>
      <c r="AJ1605">
        <v>98.395931030430205</v>
      </c>
      <c r="AK1605">
        <v>20.085182421851101</v>
      </c>
    </row>
    <row r="1606" spans="1:37" x14ac:dyDescent="0.2">
      <c r="A1606" t="str">
        <f>"20200111154056565"</f>
        <v>20200111154056565</v>
      </c>
      <c r="B1606" t="str">
        <f>"1578728456557895"</f>
        <v>1578728456557895</v>
      </c>
      <c r="C1606" t="s">
        <v>37</v>
      </c>
      <c r="D1606">
        <v>5.0629559999999998</v>
      </c>
      <c r="E1606">
        <v>0.45370100000000002</v>
      </c>
      <c r="F1606" t="s">
        <v>45</v>
      </c>
      <c r="G1606">
        <v>-406.33339999999998</v>
      </c>
      <c r="H1606" s="1">
        <v>6.217347E-6</v>
      </c>
      <c r="I1606">
        <v>281.59789999999998</v>
      </c>
      <c r="J1606">
        <v>-386.6019</v>
      </c>
      <c r="K1606">
        <v>1.1094889999999999</v>
      </c>
      <c r="L1606">
        <v>283.8664</v>
      </c>
      <c r="M1606">
        <v>-0.99938689999999997</v>
      </c>
      <c r="N1606">
        <v>0</v>
      </c>
      <c r="O1606">
        <v>3.4160280000000001E-2</v>
      </c>
      <c r="P1606">
        <v>-0.99799349999999998</v>
      </c>
      <c r="Q1606">
        <v>6.2858049999999999E-2</v>
      </c>
      <c r="R1606">
        <v>7.5999149999999996E-3</v>
      </c>
      <c r="S1606">
        <v>-3.0200200000000001</v>
      </c>
      <c r="T1606">
        <v>-0.1645838</v>
      </c>
      <c r="U1606">
        <v>-0.33334350000000001</v>
      </c>
      <c r="V1606">
        <v>-2.664555E-2</v>
      </c>
      <c r="W1606">
        <v>7.0455610000000002E-2</v>
      </c>
      <c r="X1606">
        <v>0.99715900000000002</v>
      </c>
      <c r="Y1606">
        <v>-0.1433422</v>
      </c>
      <c r="Z1606">
        <v>-5.7465260000000001E-3</v>
      </c>
      <c r="AA1606">
        <v>0.98965650000000005</v>
      </c>
      <c r="AB1606">
        <v>60</v>
      </c>
      <c r="AC1606">
        <v>-19.731499999999901</v>
      </c>
      <c r="AD1606">
        <v>-1.109482782653</v>
      </c>
      <c r="AE1606">
        <v>-2.2685000000000102</v>
      </c>
      <c r="AF1606">
        <v>-2.93207993890926</v>
      </c>
      <c r="AG1606">
        <v>-1.109482782653</v>
      </c>
      <c r="AH1606">
        <v>19.581385632304301</v>
      </c>
      <c r="AI1606">
        <v>93.207235515639596</v>
      </c>
      <c r="AJ1606">
        <v>98.516090795433996</v>
      </c>
      <c r="AK1606">
        <v>19.830751576634</v>
      </c>
    </row>
    <row r="1607" spans="1:37" x14ac:dyDescent="0.2">
      <c r="A1607" t="str">
        <f>"20200111154056579"</f>
        <v>20200111154056579</v>
      </c>
      <c r="B1607" t="str">
        <f>"1578728456567656"</f>
        <v>1578728456567656</v>
      </c>
      <c r="C1607" t="s">
        <v>37</v>
      </c>
      <c r="D1607">
        <v>5.0616209999999997</v>
      </c>
      <c r="E1607">
        <v>0.45366570000000001</v>
      </c>
      <c r="F1607" t="s">
        <v>45</v>
      </c>
      <c r="G1607">
        <v>-407.06849999999997</v>
      </c>
      <c r="H1607" s="1">
        <v>5.9041819999999899E-6</v>
      </c>
      <c r="I1607">
        <v>281.536</v>
      </c>
      <c r="J1607">
        <v>-386.99979999999999</v>
      </c>
      <c r="K1607">
        <v>1.109578</v>
      </c>
      <c r="L1607">
        <v>283.87990000000002</v>
      </c>
      <c r="M1607">
        <v>-0.99941080000000004</v>
      </c>
      <c r="N1607">
        <v>0</v>
      </c>
      <c r="O1607">
        <v>3.3453690000000001E-2</v>
      </c>
      <c r="P1607">
        <v>-0.99797899999999995</v>
      </c>
      <c r="Q1607">
        <v>6.3238329999999995E-2</v>
      </c>
      <c r="R1607">
        <v>6.2349559999999998E-3</v>
      </c>
      <c r="S1607">
        <v>-3.0189509999999999</v>
      </c>
      <c r="T1607">
        <v>-0.16365639999999901</v>
      </c>
      <c r="U1607">
        <v>-0.34375</v>
      </c>
      <c r="V1607">
        <v>-2.7320939999999998E-2</v>
      </c>
      <c r="W1607">
        <v>7.0836120000000002E-2</v>
      </c>
      <c r="X1607">
        <v>0.99711380000000005</v>
      </c>
      <c r="Y1607">
        <v>-0.14604919999999999</v>
      </c>
      <c r="Z1607">
        <v>-5.7500419999999899E-3</v>
      </c>
      <c r="AA1607">
        <v>0.98926059999999905</v>
      </c>
      <c r="AB1607">
        <v>60</v>
      </c>
      <c r="AC1607">
        <v>-20.0686999999999</v>
      </c>
      <c r="AD1607">
        <v>-1.109572095818</v>
      </c>
      <c r="AE1607">
        <v>-2.3439000000000099</v>
      </c>
      <c r="AF1607">
        <v>-3.0049178726466699</v>
      </c>
      <c r="AG1607">
        <v>-1.109572095818</v>
      </c>
      <c r="AH1607">
        <v>19.918982121007499</v>
      </c>
      <c r="AI1607">
        <v>93.152724205411999</v>
      </c>
      <c r="AJ1607">
        <v>98.578781513312805</v>
      </c>
      <c r="AK1607">
        <v>20.174898522525101</v>
      </c>
    </row>
    <row r="1608" spans="1:37" x14ac:dyDescent="0.2">
      <c r="A1608" t="str">
        <f>"20200111154056597"</f>
        <v>20200111154056597</v>
      </c>
      <c r="B1608" t="str">
        <f>"1578728456588154"</f>
        <v>1578728456588154</v>
      </c>
      <c r="C1608" t="s">
        <v>37</v>
      </c>
      <c r="D1608">
        <v>5.0756110000000003</v>
      </c>
      <c r="E1608">
        <v>0.4534955</v>
      </c>
      <c r="F1608" t="s">
        <v>45</v>
      </c>
      <c r="G1608">
        <v>-407.53640000000001</v>
      </c>
      <c r="H1608" s="1">
        <v>5.7017790000000003E-6</v>
      </c>
      <c r="I1608">
        <v>281.51119999999997</v>
      </c>
      <c r="J1608">
        <v>-387.47919999999999</v>
      </c>
      <c r="K1608">
        <v>1.109691</v>
      </c>
      <c r="L1608">
        <v>283.89589999999998</v>
      </c>
      <c r="M1608">
        <v>-0.99944</v>
      </c>
      <c r="N1608">
        <v>0</v>
      </c>
      <c r="O1608">
        <v>3.2570370000000001E-2</v>
      </c>
      <c r="P1608">
        <v>-0.99794039999999995</v>
      </c>
      <c r="Q1608">
        <v>6.3989560000000001E-2</v>
      </c>
      <c r="R1608">
        <v>4.5570790000000003E-3</v>
      </c>
      <c r="S1608">
        <v>-3.0185849999999999</v>
      </c>
      <c r="T1608">
        <v>-0.1630904</v>
      </c>
      <c r="U1608">
        <v>-0.34817500000000001</v>
      </c>
      <c r="V1608">
        <v>-2.813531E-2</v>
      </c>
      <c r="W1608">
        <v>7.1587629999999999E-2</v>
      </c>
      <c r="X1608">
        <v>0.99703739999999996</v>
      </c>
      <c r="Y1608">
        <v>-0.1466219</v>
      </c>
      <c r="Z1608">
        <v>-5.6982600000000001E-3</v>
      </c>
      <c r="AA1608">
        <v>0.98917619999999895</v>
      </c>
      <c r="AB1608">
        <v>60</v>
      </c>
      <c r="AC1608">
        <v>-20.057200000000002</v>
      </c>
      <c r="AD1608">
        <v>-1.1096852982209999</v>
      </c>
      <c r="AE1608">
        <v>-2.3847</v>
      </c>
      <c r="AF1608">
        <v>-3.0275861885481801</v>
      </c>
      <c r="AG1608">
        <v>-1.1096852982209999</v>
      </c>
      <c r="AH1608">
        <v>19.9087942980719</v>
      </c>
      <c r="AI1608">
        <v>93.154088732567303</v>
      </c>
      <c r="AJ1608">
        <v>98.646879742317495</v>
      </c>
      <c r="AK1608">
        <v>20.1682366604797</v>
      </c>
    </row>
    <row r="1609" spans="1:37" x14ac:dyDescent="0.2">
      <c r="A1609" t="str">
        <f>"20200111154056620"</f>
        <v>20200111154056620</v>
      </c>
      <c r="B1609" t="str">
        <f>"1578728456617431"</f>
        <v>1578728456617431</v>
      </c>
      <c r="C1609" t="s">
        <v>37</v>
      </c>
      <c r="D1609">
        <v>5.0702040000000004</v>
      </c>
      <c r="E1609">
        <v>0.4534009</v>
      </c>
      <c r="F1609" t="s">
        <v>45</v>
      </c>
      <c r="G1609">
        <v>-408.21690000000001</v>
      </c>
      <c r="H1609" s="1">
        <v>5.4104559999999998E-6</v>
      </c>
      <c r="I1609">
        <v>281.4606</v>
      </c>
      <c r="J1609">
        <v>-388.07990000000001</v>
      </c>
      <c r="K1609">
        <v>1.109818</v>
      </c>
      <c r="L1609">
        <v>283.9153</v>
      </c>
      <c r="M1609">
        <v>-0.99947629999999998</v>
      </c>
      <c r="N1609">
        <v>0</v>
      </c>
      <c r="O1609">
        <v>3.1429779999999997E-2</v>
      </c>
      <c r="P1609">
        <v>-0.99790249999999903</v>
      </c>
      <c r="Q1609">
        <v>6.4629119999999998E-2</v>
      </c>
      <c r="R1609">
        <v>3.6912999999999998E-3</v>
      </c>
      <c r="S1609">
        <v>-3.0181580000000001</v>
      </c>
      <c r="T1609">
        <v>-0.16150300000000001</v>
      </c>
      <c r="U1609">
        <v>-0.3544312</v>
      </c>
      <c r="V1609">
        <v>-2.7884889999999999E-2</v>
      </c>
      <c r="W1609">
        <v>7.2230639999999999E-2</v>
      </c>
      <c r="X1609">
        <v>0.9969981</v>
      </c>
      <c r="Y1609">
        <v>-0.14753729999999901</v>
      </c>
      <c r="Z1609">
        <v>-5.6065840000000004E-3</v>
      </c>
      <c r="AA1609">
        <v>0.98904059999999905</v>
      </c>
      <c r="AB1609">
        <v>60</v>
      </c>
      <c r="AC1609">
        <v>-20.137</v>
      </c>
      <c r="AD1609">
        <v>-1.1098125895440001</v>
      </c>
      <c r="AE1609">
        <v>-2.4546999999999999</v>
      </c>
      <c r="AF1609">
        <v>-3.07719746868651</v>
      </c>
      <c r="AG1609">
        <v>-1.1098125895440001</v>
      </c>
      <c r="AH1609">
        <v>19.990068136650901</v>
      </c>
      <c r="AI1609">
        <v>93.140777067202293</v>
      </c>
      <c r="AJ1609">
        <v>98.751208726815406</v>
      </c>
      <c r="AK1609">
        <v>20.255953503924399</v>
      </c>
    </row>
    <row r="1610" spans="1:37" x14ac:dyDescent="0.2">
      <c r="A1610" t="str">
        <f>"20200111154056635"</f>
        <v>20200111154056635</v>
      </c>
      <c r="B1610" t="str">
        <f>"1578728456628167"</f>
        <v>1578728456628167</v>
      </c>
      <c r="C1610" t="s">
        <v>37</v>
      </c>
      <c r="D1610">
        <v>5.0157829999999999</v>
      </c>
      <c r="E1610">
        <v>0.45346949999999903</v>
      </c>
      <c r="F1610" t="s">
        <v>45</v>
      </c>
      <c r="G1610">
        <v>-408.98050000000001</v>
      </c>
      <c r="H1610" s="1">
        <v>5.0768509999999998E-6</v>
      </c>
      <c r="I1610">
        <v>281.43639999999999</v>
      </c>
      <c r="J1610">
        <v>-388.51339999999999</v>
      </c>
      <c r="K1610">
        <v>1.1098939999999999</v>
      </c>
      <c r="L1610">
        <v>283.9289</v>
      </c>
      <c r="M1610">
        <v>-0.99950219999999901</v>
      </c>
      <c r="N1610">
        <v>0</v>
      </c>
      <c r="O1610">
        <v>3.0590969999999999E-2</v>
      </c>
      <c r="P1610">
        <v>-0.9978899</v>
      </c>
      <c r="Q1610">
        <v>6.4851720000000002E-2</v>
      </c>
      <c r="R1610">
        <v>3.194747E-3</v>
      </c>
      <c r="S1610">
        <v>-3.018005</v>
      </c>
      <c r="T1610">
        <v>-0.1602547</v>
      </c>
      <c r="U1610">
        <v>-0.3579407</v>
      </c>
      <c r="V1610">
        <v>-2.7557829999999998E-2</v>
      </c>
      <c r="W1610">
        <v>7.2457480000000005E-2</v>
      </c>
      <c r="X1610">
        <v>0.99699069999999901</v>
      </c>
      <c r="Y1610">
        <v>-0.14785200000000001</v>
      </c>
      <c r="Z1610">
        <v>-5.5271610000000001E-3</v>
      </c>
      <c r="AA1610">
        <v>0.98899409999999899</v>
      </c>
      <c r="AB1610">
        <v>60</v>
      </c>
      <c r="AC1610">
        <v>-20.467099999999999</v>
      </c>
      <c r="AD1610">
        <v>-1.1098889231489999</v>
      </c>
      <c r="AE1610">
        <v>-2.4925000000000002</v>
      </c>
      <c r="AF1610">
        <v>-3.1084531378942901</v>
      </c>
      <c r="AG1610">
        <v>-1.1098889231489999</v>
      </c>
      <c r="AH1610">
        <v>20.322382200251699</v>
      </c>
      <c r="AI1610">
        <v>93.090183825078398</v>
      </c>
      <c r="AJ1610">
        <v>98.696395727197597</v>
      </c>
      <c r="AK1610">
        <v>20.588675348970899</v>
      </c>
    </row>
    <row r="1611" spans="1:37" x14ac:dyDescent="0.2">
      <c r="A1611" t="str">
        <f>"20200111154056654"</f>
        <v>20200111154056654</v>
      </c>
      <c r="B1611" t="str">
        <f>"1578728456647687"</f>
        <v>1578728456647687</v>
      </c>
      <c r="C1611" t="s">
        <v>37</v>
      </c>
      <c r="D1611">
        <v>5.0718300000000003</v>
      </c>
      <c r="E1611">
        <v>0.45352749999999997</v>
      </c>
      <c r="F1611" t="s">
        <v>45</v>
      </c>
      <c r="G1611">
        <v>-409.50450000000001</v>
      </c>
      <c r="H1611" s="1">
        <v>4.8454199999999999E-6</v>
      </c>
      <c r="I1611">
        <v>281.43189999999998</v>
      </c>
      <c r="J1611">
        <v>-389.01069999999999</v>
      </c>
      <c r="K1611">
        <v>1.109969</v>
      </c>
      <c r="L1611">
        <v>283.94420000000002</v>
      </c>
      <c r="M1611">
        <v>-0.99953130000000001</v>
      </c>
      <c r="N1611">
        <v>0</v>
      </c>
      <c r="O1611">
        <v>2.9626299999999901E-2</v>
      </c>
      <c r="P1611">
        <v>-0.9979034</v>
      </c>
      <c r="Q1611">
        <v>6.4656089999999999E-2</v>
      </c>
      <c r="R1611">
        <v>2.940977E-3</v>
      </c>
      <c r="S1611">
        <v>-3.0178219999999998</v>
      </c>
      <c r="T1611">
        <v>-0.15956519999999999</v>
      </c>
      <c r="U1611">
        <v>-0.35897829999999997</v>
      </c>
      <c r="V1611">
        <v>-2.6863149999999999E-2</v>
      </c>
      <c r="W1611">
        <v>7.2268669999999993E-2</v>
      </c>
      <c r="X1611">
        <v>0.9970234</v>
      </c>
      <c r="Y1611">
        <v>-0.14724409999999999</v>
      </c>
      <c r="Z1611">
        <v>-5.4368089999999999E-3</v>
      </c>
      <c r="AA1611">
        <v>0.98908529999999995</v>
      </c>
      <c r="AB1611">
        <v>60</v>
      </c>
      <c r="AC1611">
        <v>-20.4938</v>
      </c>
      <c r="AD1611">
        <v>-1.1099641545800001</v>
      </c>
      <c r="AE1611">
        <v>-2.51230000000003</v>
      </c>
      <c r="AF1611">
        <v>-3.10938460508146</v>
      </c>
      <c r="AG1611">
        <v>-1.1099641545800001</v>
      </c>
      <c r="AH1611">
        <v>20.351555635711801</v>
      </c>
      <c r="AI1611">
        <v>93.086051272427596</v>
      </c>
      <c r="AJ1611">
        <v>98.686682402730497</v>
      </c>
      <c r="AK1611">
        <v>20.617616492704599</v>
      </c>
    </row>
    <row r="1612" spans="1:37" x14ac:dyDescent="0.2">
      <c r="A1612" t="str">
        <f>"20200111154056668"</f>
        <v>20200111154056668</v>
      </c>
      <c r="B1612" t="str">
        <f>"1578728456657447"</f>
        <v>1578728456657447</v>
      </c>
      <c r="C1612" t="s">
        <v>37</v>
      </c>
      <c r="D1612">
        <v>5.0378829999999999</v>
      </c>
      <c r="E1612">
        <v>0.4535805</v>
      </c>
      <c r="F1612" t="s">
        <v>45</v>
      </c>
      <c r="G1612">
        <v>-409.77620000000002</v>
      </c>
      <c r="H1612" s="1">
        <v>4.7165380000000003E-6</v>
      </c>
      <c r="I1612">
        <v>281.47239999999999</v>
      </c>
      <c r="J1612">
        <v>-389.37979999999999</v>
      </c>
      <c r="K1612">
        <v>1.11002</v>
      </c>
      <c r="L1612">
        <v>283.95519999999999</v>
      </c>
      <c r="M1612">
        <v>-0.99955210000000005</v>
      </c>
      <c r="N1612">
        <v>0</v>
      </c>
      <c r="O1612">
        <v>2.891328E-2</v>
      </c>
      <c r="P1612">
        <v>-0.99791849999999904</v>
      </c>
      <c r="Q1612">
        <v>6.4442459999999993E-2</v>
      </c>
      <c r="R1612">
        <v>2.4649849999999998E-3</v>
      </c>
      <c r="S1612">
        <v>-3.0178219999999998</v>
      </c>
      <c r="T1612">
        <v>-0.1613088</v>
      </c>
      <c r="U1612">
        <v>-0.3592224</v>
      </c>
      <c r="V1612">
        <v>-2.6636300000000002E-2</v>
      </c>
      <c r="W1612">
        <v>7.2058940000000002E-2</v>
      </c>
      <c r="X1612">
        <v>0.99704459999999995</v>
      </c>
      <c r="Y1612">
        <v>-0.14661399999999999</v>
      </c>
      <c r="Z1612">
        <v>-5.4413680000000002E-3</v>
      </c>
      <c r="AA1612">
        <v>0.98917880000000002</v>
      </c>
      <c r="AB1612">
        <v>60</v>
      </c>
      <c r="AC1612">
        <v>-20.3964</v>
      </c>
      <c r="AD1612">
        <v>-1.1100152834620001</v>
      </c>
      <c r="AE1612">
        <v>-2.4827999999999899</v>
      </c>
      <c r="AF1612">
        <v>-3.0625681722867899</v>
      </c>
      <c r="AG1612">
        <v>-1.1100152834620001</v>
      </c>
      <c r="AH1612">
        <v>20.2569638231368</v>
      </c>
      <c r="AI1612">
        <v>93.1013109177118</v>
      </c>
      <c r="AJ1612">
        <v>98.597208311827103</v>
      </c>
      <c r="AK1612">
        <v>20.517213287171799</v>
      </c>
    </row>
    <row r="1613" spans="1:37" x14ac:dyDescent="0.2">
      <c r="A1613" t="str">
        <f>"20200111154056686"</f>
        <v>20200111154056686</v>
      </c>
      <c r="B1613" t="str">
        <f>"1578728456677946"</f>
        <v>1578728456677946</v>
      </c>
      <c r="C1613" t="s">
        <v>37</v>
      </c>
      <c r="D1613">
        <v>5.0638439999999996</v>
      </c>
      <c r="E1613">
        <v>0.45366210000000001</v>
      </c>
      <c r="F1613" t="s">
        <v>45</v>
      </c>
      <c r="G1613">
        <v>-409.9735</v>
      </c>
      <c r="H1613" s="1">
        <v>2.4737659999999998E-6</v>
      </c>
      <c r="I1613">
        <v>281.49680000000001</v>
      </c>
      <c r="J1613">
        <v>-389.88900000000001</v>
      </c>
      <c r="K1613">
        <v>1.1100719999999999</v>
      </c>
      <c r="L1613">
        <v>283.97000000000003</v>
      </c>
      <c r="M1613">
        <v>-0.99957969999999896</v>
      </c>
      <c r="N1613">
        <v>0</v>
      </c>
      <c r="O1613">
        <v>2.7941319999999999E-2</v>
      </c>
      <c r="P1613">
        <v>-0.99794950000000004</v>
      </c>
      <c r="Q1613">
        <v>6.3971120000000006E-2</v>
      </c>
      <c r="R1613">
        <v>2.1102479999999999E-3</v>
      </c>
      <c r="S1613">
        <v>-3.017639</v>
      </c>
      <c r="T1613">
        <v>-0.16265309999999999</v>
      </c>
      <c r="U1613">
        <v>-0.36022949999999998</v>
      </c>
      <c r="V1613">
        <v>-2.6030999999999999E-2</v>
      </c>
      <c r="W1613">
        <v>7.1595229999999996E-2</v>
      </c>
      <c r="X1613">
        <v>0.99709400000000004</v>
      </c>
      <c r="Y1613">
        <v>-0.1459828</v>
      </c>
      <c r="Z1613">
        <v>-5.4177419999999997E-3</v>
      </c>
      <c r="AA1613">
        <v>0.98927229999999999</v>
      </c>
      <c r="AB1613">
        <v>61</v>
      </c>
      <c r="AC1613">
        <v>-20.084499999999899</v>
      </c>
      <c r="AD1613">
        <v>-1.1100695262339999</v>
      </c>
      <c r="AE1613">
        <v>-2.4732000000000198</v>
      </c>
      <c r="AF1613">
        <v>-3.0243378587713998</v>
      </c>
      <c r="AG1613">
        <v>-1.1100695262339999</v>
      </c>
      <c r="AH1613">
        <v>19.947526410862601</v>
      </c>
      <c r="AI1613">
        <v>93.149278258174704</v>
      </c>
      <c r="AJ1613">
        <v>98.621222759926695</v>
      </c>
      <c r="AK1613">
        <v>20.206006130582299</v>
      </c>
    </row>
    <row r="1614" spans="1:37" x14ac:dyDescent="0.2">
      <c r="A1614" t="str">
        <f>"20200111154056710"</f>
        <v>20200111154056710</v>
      </c>
      <c r="B1614" t="str">
        <f>"1578728456697463"</f>
        <v>1578728456697463</v>
      </c>
      <c r="C1614" t="s">
        <v>37</v>
      </c>
      <c r="D1614">
        <v>5.0737160000000001</v>
      </c>
      <c r="E1614">
        <v>0.45370329999999898</v>
      </c>
      <c r="F1614" t="s">
        <v>45</v>
      </c>
      <c r="G1614">
        <v>-410.14580000000001</v>
      </c>
      <c r="H1614" s="1">
        <v>2.4997110000000001E-6</v>
      </c>
      <c r="I1614">
        <v>281.54969999999997</v>
      </c>
      <c r="J1614">
        <v>-390.49950000000001</v>
      </c>
      <c r="K1614">
        <v>1.1101209999999999</v>
      </c>
      <c r="L1614">
        <v>283.9871</v>
      </c>
      <c r="M1614">
        <v>-0.99961069999999996</v>
      </c>
      <c r="N1614">
        <v>0</v>
      </c>
      <c r="O1614">
        <v>2.680395E-2</v>
      </c>
      <c r="P1614">
        <v>-0.99800339999999998</v>
      </c>
      <c r="Q1614">
        <v>6.3156340000000005E-2</v>
      </c>
      <c r="R1614">
        <v>9.9075389999999991E-4</v>
      </c>
      <c r="S1614">
        <v>-3.0175480000000001</v>
      </c>
      <c r="T1614">
        <v>-0.16536090000000001</v>
      </c>
      <c r="U1614">
        <v>-0.36053469999999999</v>
      </c>
      <c r="V1614">
        <v>-2.6023000000000001E-2</v>
      </c>
      <c r="W1614">
        <v>7.0789050000000006E-2</v>
      </c>
      <c r="X1614">
        <v>0.99715180000000003</v>
      </c>
      <c r="Y1614">
        <v>-0.1449541</v>
      </c>
      <c r="Z1614">
        <v>-5.41777199999999E-3</v>
      </c>
      <c r="AA1614">
        <v>0.98942359999999896</v>
      </c>
      <c r="AB1614">
        <v>61</v>
      </c>
      <c r="AC1614">
        <v>-19.6463</v>
      </c>
      <c r="AD1614">
        <v>-1.1101185002889999</v>
      </c>
      <c r="AE1614">
        <v>-2.4374000000000202</v>
      </c>
      <c r="AF1614">
        <v>-2.95385024595979</v>
      </c>
      <c r="AG1614">
        <v>-1.1101185002889999</v>
      </c>
      <c r="AH1614">
        <v>19.512550877187401</v>
      </c>
      <c r="AI1614">
        <v>93.219588601536302</v>
      </c>
      <c r="AJ1614">
        <v>98.608193868029502</v>
      </c>
      <c r="AK1614">
        <v>19.766062736292898</v>
      </c>
    </row>
    <row r="1615" spans="1:37" x14ac:dyDescent="0.2">
      <c r="A1615" t="str">
        <f>"20200111154056732"</f>
        <v>20200111154056732</v>
      </c>
      <c r="B1615" t="str">
        <f>"1578728456727719"</f>
        <v>1578728456727719</v>
      </c>
      <c r="C1615" t="s">
        <v>37</v>
      </c>
      <c r="D1615">
        <v>5.043615</v>
      </c>
      <c r="E1615">
        <v>0.45369079999999901</v>
      </c>
      <c r="F1615" t="s">
        <v>45</v>
      </c>
      <c r="G1615">
        <v>-410.35019999999997</v>
      </c>
      <c r="H1615" s="1">
        <v>2.5318620000000001E-6</v>
      </c>
      <c r="I1615">
        <v>281.59660000000002</v>
      </c>
      <c r="J1615">
        <v>-391.1155</v>
      </c>
      <c r="K1615">
        <v>1.1101529999999999</v>
      </c>
      <c r="L1615">
        <v>284.00369999999998</v>
      </c>
      <c r="M1615">
        <v>-0.99963969999999902</v>
      </c>
      <c r="N1615">
        <v>0</v>
      </c>
      <c r="O1615">
        <v>2.5696719999999999E-2</v>
      </c>
      <c r="P1615">
        <v>-0.99801859999999998</v>
      </c>
      <c r="Q1615">
        <v>6.2918009999999996E-2</v>
      </c>
      <c r="R1615">
        <v>-4.728782E-4</v>
      </c>
      <c r="S1615">
        <v>-3.017029</v>
      </c>
      <c r="T1615">
        <v>-0.16872290000000001</v>
      </c>
      <c r="U1615">
        <v>-0.36331180000000002</v>
      </c>
      <c r="V1615">
        <v>-2.6388120000000001E-2</v>
      </c>
      <c r="W1615">
        <v>7.0558350000000006E-2</v>
      </c>
      <c r="X1615">
        <v>0.99715849999999995</v>
      </c>
      <c r="Y1615">
        <v>-0.1447676</v>
      </c>
      <c r="Z1615">
        <v>-5.46152099999999E-3</v>
      </c>
      <c r="AA1615">
        <v>0.98945059999999996</v>
      </c>
      <c r="AB1615">
        <v>61</v>
      </c>
      <c r="AC1615">
        <v>-19.234699999999901</v>
      </c>
      <c r="AD1615">
        <v>-1.1101504681379999</v>
      </c>
      <c r="AE1615">
        <v>-2.4070999999999501</v>
      </c>
      <c r="AF1615">
        <v>-2.8911064766638801</v>
      </c>
      <c r="AG1615">
        <v>-1.1101504681379999</v>
      </c>
      <c r="AH1615">
        <v>19.103835301466098</v>
      </c>
      <c r="AI1615">
        <v>93.288436906061193</v>
      </c>
      <c r="AJ1615">
        <v>98.605638444995407</v>
      </c>
      <c r="AK1615">
        <v>19.353228514820401</v>
      </c>
    </row>
    <row r="1616" spans="1:37" x14ac:dyDescent="0.2">
      <c r="A1616" t="str">
        <f>"20200111154056746"</f>
        <v>20200111154056746</v>
      </c>
      <c r="B1616" t="str">
        <f>"1578728456737480"</f>
        <v>1578728456737480</v>
      </c>
      <c r="C1616" t="s">
        <v>37</v>
      </c>
      <c r="D1616">
        <v>5.0638670000000001</v>
      </c>
      <c r="E1616">
        <v>0.45367619999999997</v>
      </c>
      <c r="F1616" t="s">
        <v>45</v>
      </c>
      <c r="G1616">
        <v>-410.755</v>
      </c>
      <c r="H1616" s="1">
        <v>2.6024569999999999E-6</v>
      </c>
      <c r="I1616">
        <v>281.6105</v>
      </c>
      <c r="J1616">
        <v>-391.49119999999999</v>
      </c>
      <c r="K1616">
        <v>1.110166</v>
      </c>
      <c r="L1616">
        <v>284.01350000000002</v>
      </c>
      <c r="M1616">
        <v>-0.99965619999999999</v>
      </c>
      <c r="N1616">
        <v>0</v>
      </c>
      <c r="O1616">
        <v>2.5043200000000002E-2</v>
      </c>
      <c r="P1616">
        <v>-0.9980388</v>
      </c>
      <c r="Q1616">
        <v>6.2584619999999994E-2</v>
      </c>
      <c r="R1616">
        <v>-1.272469E-3</v>
      </c>
      <c r="S1616">
        <v>-3.0165410000000001</v>
      </c>
      <c r="T1616">
        <v>-0.170514</v>
      </c>
      <c r="U1616">
        <v>-0.36758420000000003</v>
      </c>
      <c r="V1616">
        <v>-2.6536609999999999E-2</v>
      </c>
      <c r="W1616">
        <v>7.0230150000000005E-2</v>
      </c>
      <c r="X1616">
        <v>0.9971778</v>
      </c>
      <c r="Y1616">
        <v>-0.14551510000000001</v>
      </c>
      <c r="Z1616">
        <v>-5.504068E-3</v>
      </c>
      <c r="AA1616">
        <v>0.98934069999999996</v>
      </c>
      <c r="AB1616">
        <v>61</v>
      </c>
      <c r="AC1616">
        <v>-19.2638</v>
      </c>
      <c r="AD1616">
        <v>-1.1101633975430001</v>
      </c>
      <c r="AE1616">
        <v>-2.40300000000002</v>
      </c>
      <c r="AF1616">
        <v>-2.8752850793447702</v>
      </c>
      <c r="AG1616">
        <v>-1.1101633975430001</v>
      </c>
      <c r="AH1616">
        <v>19.1350006160636</v>
      </c>
      <c r="AI1616">
        <v>93.283649364356904</v>
      </c>
      <c r="AJ1616">
        <v>98.545509511071899</v>
      </c>
      <c r="AK1616">
        <v>19.381640168817</v>
      </c>
    </row>
    <row r="1617" spans="1:37" x14ac:dyDescent="0.2">
      <c r="A1617" t="str">
        <f>"20200111154056765"</f>
        <v>20200111154056765</v>
      </c>
      <c r="B1617" t="str">
        <f>"1578728456757978"</f>
        <v>1578728456757978</v>
      </c>
      <c r="C1617" t="s">
        <v>37</v>
      </c>
      <c r="D1617">
        <v>5.0646000000000004</v>
      </c>
      <c r="E1617">
        <v>0.45363439999999999</v>
      </c>
      <c r="F1617" t="s">
        <v>45</v>
      </c>
      <c r="G1617">
        <v>-410.91829999999999</v>
      </c>
      <c r="H1617" s="1">
        <v>2.6296159999999998E-6</v>
      </c>
      <c r="I1617">
        <v>281.63119999999998</v>
      </c>
      <c r="J1617">
        <v>-392.03129999999999</v>
      </c>
      <c r="K1617">
        <v>1.1101700000000001</v>
      </c>
      <c r="L1617">
        <v>284.02719999999999</v>
      </c>
      <c r="M1617">
        <v>-0.99967830000000002</v>
      </c>
      <c r="N1617">
        <v>0</v>
      </c>
      <c r="O1617">
        <v>2.4145610000000001E-2</v>
      </c>
      <c r="P1617">
        <v>-0.99804899999999996</v>
      </c>
      <c r="Q1617">
        <v>6.239596E-2</v>
      </c>
      <c r="R1617">
        <v>-2.2737879999999901E-3</v>
      </c>
      <c r="S1617">
        <v>-3.016235</v>
      </c>
      <c r="T1617">
        <v>-0.17236270000000001</v>
      </c>
      <c r="U1617">
        <v>-0.36987300000000001</v>
      </c>
      <c r="V1617">
        <v>-2.6643460000000001E-2</v>
      </c>
      <c r="W1617">
        <v>7.0050360000000006E-2</v>
      </c>
      <c r="X1617">
        <v>0.99718759999999995</v>
      </c>
      <c r="Y1617">
        <v>-0.14537429999999901</v>
      </c>
      <c r="Z1617">
        <v>-5.5088619999999998E-3</v>
      </c>
      <c r="AA1617">
        <v>0.98936139999999995</v>
      </c>
      <c r="AB1617">
        <v>61</v>
      </c>
      <c r="AC1617">
        <v>-18.887</v>
      </c>
      <c r="AD1617">
        <v>-1.110167370384</v>
      </c>
      <c r="AE1617">
        <v>-2.3960000000000101</v>
      </c>
      <c r="AF1617">
        <v>-2.8416906896290501</v>
      </c>
      <c r="AG1617">
        <v>-1.110167370384</v>
      </c>
      <c r="AH1617">
        <v>18.759849450563099</v>
      </c>
      <c r="AI1617">
        <v>93.348579852543594</v>
      </c>
      <c r="AJ1617">
        <v>98.613526158865895</v>
      </c>
      <c r="AK1617">
        <v>19.006304979495098</v>
      </c>
    </row>
    <row r="1618" spans="1:37" x14ac:dyDescent="0.2">
      <c r="A1618" t="str">
        <f>"20200111154056788"</f>
        <v>20200111154056788</v>
      </c>
      <c r="B1618" t="str">
        <f>"1578728456777495"</f>
        <v>1578728456777495</v>
      </c>
      <c r="C1618" t="s">
        <v>37</v>
      </c>
      <c r="D1618">
        <v>5.0903199999999904</v>
      </c>
      <c r="E1618">
        <v>0.45354459999999902</v>
      </c>
      <c r="F1618" t="s">
        <v>45</v>
      </c>
      <c r="G1618">
        <v>-411.3048</v>
      </c>
      <c r="H1618" s="1">
        <v>2.697316E-6</v>
      </c>
      <c r="I1618">
        <v>281.640999999999</v>
      </c>
      <c r="J1618">
        <v>-392.62560000000002</v>
      </c>
      <c r="K1618">
        <v>1.1101589999999999</v>
      </c>
      <c r="L1618">
        <v>284.04169999999999</v>
      </c>
      <c r="M1618">
        <v>-0.99970020000000004</v>
      </c>
      <c r="N1618">
        <v>0</v>
      </c>
      <c r="O1618">
        <v>2.3217669999999999E-2</v>
      </c>
      <c r="P1618">
        <v>-0.99805219999999994</v>
      </c>
      <c r="Q1618">
        <v>6.2285960000000001E-2</v>
      </c>
      <c r="R1618">
        <v>-3.5389900000000001E-3</v>
      </c>
      <c r="S1618">
        <v>-3.0158689999999999</v>
      </c>
      <c r="T1618">
        <v>-0.17371589999999901</v>
      </c>
      <c r="U1618">
        <v>-0.37338259999999901</v>
      </c>
      <c r="V1618">
        <v>-2.6980290000000001E-2</v>
      </c>
      <c r="W1618">
        <v>6.9949979999999995E-2</v>
      </c>
      <c r="X1618">
        <v>0.99718560000000001</v>
      </c>
      <c r="Y1618">
        <v>-0.14560139999999999</v>
      </c>
      <c r="Z1618">
        <v>-5.5056000000000003E-3</v>
      </c>
      <c r="AA1618">
        <v>0.98932799999999999</v>
      </c>
      <c r="AB1618">
        <v>61</v>
      </c>
      <c r="AC1618">
        <v>-18.679199999999899</v>
      </c>
      <c r="AD1618">
        <v>-1.110156302684</v>
      </c>
      <c r="AE1618">
        <v>-2.40070000000002</v>
      </c>
      <c r="AF1618">
        <v>-2.8239406404375398</v>
      </c>
      <c r="AG1618">
        <v>-1.110156302684</v>
      </c>
      <c r="AH1618">
        <v>18.553951784201999</v>
      </c>
      <c r="AI1618">
        <v>93.3852571175713</v>
      </c>
      <c r="AJ1618">
        <v>98.654090695517496</v>
      </c>
      <c r="AK1618">
        <v>18.8004312335541</v>
      </c>
    </row>
    <row r="1619" spans="1:37" x14ac:dyDescent="0.2">
      <c r="A1619" t="str">
        <f>"20200111154056801"</f>
        <v>20200111154056801</v>
      </c>
      <c r="B1619" t="str">
        <f>"1578728456797992"</f>
        <v>1578728456797992</v>
      </c>
      <c r="C1619" t="s">
        <v>37</v>
      </c>
      <c r="D1619">
        <v>5.052562</v>
      </c>
      <c r="E1619">
        <v>0.45349739999999999</v>
      </c>
      <c r="F1619" t="s">
        <v>45</v>
      </c>
      <c r="G1619">
        <v>-411.82080000000002</v>
      </c>
      <c r="H1619" s="1">
        <v>2.78934599999999E-6</v>
      </c>
      <c r="I1619">
        <v>281.63529999999997</v>
      </c>
      <c r="J1619">
        <v>-393.01459999999997</v>
      </c>
      <c r="K1619">
        <v>1.110144</v>
      </c>
      <c r="L1619">
        <v>284.05090000000001</v>
      </c>
      <c r="M1619">
        <v>-0.99971339999999997</v>
      </c>
      <c r="N1619">
        <v>0</v>
      </c>
      <c r="O1619">
        <v>2.2640049999999998E-2</v>
      </c>
      <c r="P1619">
        <v>-0.99806280000000003</v>
      </c>
      <c r="Q1619">
        <v>6.205546E-2</v>
      </c>
      <c r="R1619">
        <v>-4.4928909999999997E-3</v>
      </c>
      <c r="S1619">
        <v>-3.0154109999999998</v>
      </c>
      <c r="T1619">
        <v>-0.1743963</v>
      </c>
      <c r="U1619">
        <v>-0.3780212</v>
      </c>
      <c r="V1619">
        <v>-2.7354940000000001E-2</v>
      </c>
      <c r="W1619">
        <v>6.972594E-2</v>
      </c>
      <c r="X1619">
        <v>0.9971911</v>
      </c>
      <c r="Y1619">
        <v>-0.14654389999999901</v>
      </c>
      <c r="Z1619">
        <v>-5.5213049999999998E-3</v>
      </c>
      <c r="AA1619">
        <v>0.98918869999999903</v>
      </c>
      <c r="AB1619">
        <v>61</v>
      </c>
      <c r="AC1619">
        <v>-18.8062</v>
      </c>
      <c r="AD1619">
        <v>-1.1101412106540001</v>
      </c>
      <c r="AE1619">
        <v>-2.4156000000000399</v>
      </c>
      <c r="AF1619">
        <v>-2.83106196621838</v>
      </c>
      <c r="AG1619">
        <v>-1.1101412106540001</v>
      </c>
      <c r="AH1619">
        <v>18.682643270734498</v>
      </c>
      <c r="AI1619">
        <v>93.362278798573996</v>
      </c>
      <c r="AJ1619">
        <v>98.616722773825401</v>
      </c>
      <c r="AK1619">
        <v>18.928509844826198</v>
      </c>
    </row>
    <row r="1620" spans="1:37" x14ac:dyDescent="0.2">
      <c r="A1620" t="str">
        <f>"20200111154056822"</f>
        <v>20200111154056822</v>
      </c>
      <c r="B1620" t="str">
        <f>"1578728456817512"</f>
        <v>1578728456817512</v>
      </c>
      <c r="C1620" t="s">
        <v>37</v>
      </c>
      <c r="D1620">
        <v>5.0829870000000001</v>
      </c>
      <c r="E1620">
        <v>0.45348480000000002</v>
      </c>
      <c r="F1620" t="s">
        <v>45</v>
      </c>
      <c r="G1620">
        <v>-412.06569999999999</v>
      </c>
      <c r="H1620" s="1">
        <v>2.832148E-6</v>
      </c>
      <c r="I1620">
        <v>281.64249999999998</v>
      </c>
      <c r="J1620">
        <v>-393.54880000000003</v>
      </c>
      <c r="K1620">
        <v>1.110114</v>
      </c>
      <c r="L1620">
        <v>284.06319999999999</v>
      </c>
      <c r="M1620">
        <v>-0.99972989999999995</v>
      </c>
      <c r="N1620">
        <v>0</v>
      </c>
      <c r="O1620">
        <v>2.1895910000000001E-2</v>
      </c>
      <c r="P1620">
        <v>-0.99810429999999895</v>
      </c>
      <c r="Q1620">
        <v>6.129254E-2</v>
      </c>
      <c r="R1620">
        <v>-5.6270000000000001E-3</v>
      </c>
      <c r="S1620">
        <v>-3.0150759999999899</v>
      </c>
      <c r="T1620">
        <v>-0.17569419999999999</v>
      </c>
      <c r="U1620">
        <v>-0.38116459999999902</v>
      </c>
      <c r="V1620">
        <v>-2.7739650000000001E-2</v>
      </c>
      <c r="W1620">
        <v>6.8973409999999999E-2</v>
      </c>
      <c r="X1620">
        <v>0.99723269999999997</v>
      </c>
      <c r="Y1620">
        <v>-0.14683299999999999</v>
      </c>
      <c r="Z1620">
        <v>-5.5277859999999998E-3</v>
      </c>
      <c r="AA1620">
        <v>0.98914590000000002</v>
      </c>
      <c r="AB1620">
        <v>61</v>
      </c>
      <c r="AC1620">
        <v>-18.5168999999999</v>
      </c>
      <c r="AD1620">
        <v>-1.1101111678519999</v>
      </c>
      <c r="AE1620">
        <v>-2.4207000000000098</v>
      </c>
      <c r="AF1620">
        <v>-2.8156265509685401</v>
      </c>
      <c r="AG1620">
        <v>-1.1101111678519999</v>
      </c>
      <c r="AH1620">
        <v>18.394453804910999</v>
      </c>
      <c r="AI1620">
        <v>93.413962108791594</v>
      </c>
      <c r="AJ1620">
        <v>98.702677056534597</v>
      </c>
      <c r="AK1620">
        <v>18.6417818477879</v>
      </c>
    </row>
    <row r="1621" spans="1:37" x14ac:dyDescent="0.2">
      <c r="A1621" t="str">
        <f>"20200111154056845"</f>
        <v>20200111154056845</v>
      </c>
      <c r="B1621" t="str">
        <f>"1578728456838007"</f>
        <v>1578728456838007</v>
      </c>
      <c r="C1621" t="s">
        <v>37</v>
      </c>
      <c r="D1621">
        <v>5.1134199999999996</v>
      </c>
      <c r="E1621">
        <v>0.45809049999999901</v>
      </c>
      <c r="F1621" t="s">
        <v>45</v>
      </c>
      <c r="G1621">
        <v>-412.301999999999</v>
      </c>
      <c r="H1621" s="1">
        <v>2.8717809999999999E-6</v>
      </c>
      <c r="I1621">
        <v>281.66879999999998</v>
      </c>
      <c r="J1621">
        <v>-394.18799999999999</v>
      </c>
      <c r="K1621">
        <v>1.1100620000000001</v>
      </c>
      <c r="L1621">
        <v>284.07740000000001</v>
      </c>
      <c r="M1621">
        <v>-0.99974739999999995</v>
      </c>
      <c r="N1621">
        <v>0</v>
      </c>
      <c r="O1621">
        <v>2.1080339999999999E-2</v>
      </c>
      <c r="P1621">
        <v>-0.99811149999999904</v>
      </c>
      <c r="Q1621">
        <v>6.1057979999999998E-2</v>
      </c>
      <c r="R1621">
        <v>-6.7599039999999997E-3</v>
      </c>
      <c r="S1621">
        <v>-3.014465</v>
      </c>
      <c r="T1621">
        <v>-0.1784434</v>
      </c>
      <c r="U1621">
        <v>-0.3848877</v>
      </c>
      <c r="V1621">
        <v>-2.8049629999999999E-2</v>
      </c>
      <c r="W1621">
        <v>6.8752679999999997E-2</v>
      </c>
      <c r="X1621">
        <v>0.9972394</v>
      </c>
      <c r="Y1621">
        <v>-0.14724509999999999</v>
      </c>
      <c r="Z1621">
        <v>-5.5789009999999998E-3</v>
      </c>
      <c r="AA1621">
        <v>0.98908430000000003</v>
      </c>
      <c r="AB1621">
        <v>61</v>
      </c>
      <c r="AC1621">
        <v>-18.113999999999901</v>
      </c>
      <c r="AD1621">
        <v>-1.110059128219</v>
      </c>
      <c r="AE1621">
        <v>-2.4086000000000301</v>
      </c>
      <c r="AF1621">
        <v>-2.7796680402329601</v>
      </c>
      <c r="AG1621">
        <v>-1.110059128219</v>
      </c>
      <c r="AH1621">
        <v>17.992801555088999</v>
      </c>
      <c r="AI1621">
        <v>93.489080539657493</v>
      </c>
      <c r="AJ1621">
        <v>98.782071490441396</v>
      </c>
      <c r="AK1621">
        <v>18.240057387049202</v>
      </c>
    </row>
    <row r="1622" spans="1:37" x14ac:dyDescent="0.2">
      <c r="A1622" t="str">
        <f>"20200111154056866"</f>
        <v>20200111154056866</v>
      </c>
      <c r="B1622" t="str">
        <f>"1578728456857849"</f>
        <v>1578728456857849</v>
      </c>
      <c r="C1622" t="s">
        <v>37</v>
      </c>
      <c r="D1622">
        <v>5.1186410000000002</v>
      </c>
      <c r="E1622">
        <v>0.45818530000000002</v>
      </c>
      <c r="F1622" t="s">
        <v>45</v>
      </c>
      <c r="G1622">
        <v>-414.97430000000003</v>
      </c>
      <c r="H1622" s="1">
        <v>3.3474619999999999E-6</v>
      </c>
      <c r="I1622">
        <v>281.6497</v>
      </c>
      <c r="J1622">
        <v>-394.79610000000002</v>
      </c>
      <c r="K1622">
        <v>1.109998</v>
      </c>
      <c r="L1622">
        <v>284.09039999999999</v>
      </c>
      <c r="M1622">
        <v>-0.99976180000000003</v>
      </c>
      <c r="N1622">
        <v>0</v>
      </c>
      <c r="O1622">
        <v>2.0381079999999999E-2</v>
      </c>
      <c r="P1622">
        <v>-0.99810959999999904</v>
      </c>
      <c r="Q1622">
        <v>6.1005839999999999E-2</v>
      </c>
      <c r="R1622">
        <v>-7.4720389999999998E-3</v>
      </c>
      <c r="S1622">
        <v>-3.01312299999999</v>
      </c>
      <c r="T1622">
        <v>-0.16091059999999999</v>
      </c>
      <c r="U1622">
        <v>-0.35189819999999999</v>
      </c>
      <c r="V1622">
        <v>-2.805446E-2</v>
      </c>
      <c r="W1622">
        <v>6.8716040000000006E-2</v>
      </c>
      <c r="X1622">
        <v>0.99724169999999901</v>
      </c>
      <c r="Y1622">
        <v>-0.13600009999999901</v>
      </c>
      <c r="Z1622">
        <v>-4.7008400000000004E-3</v>
      </c>
      <c r="AA1622">
        <v>0.99069769999999902</v>
      </c>
      <c r="AB1622">
        <v>61</v>
      </c>
      <c r="AC1622">
        <v>-20.1782</v>
      </c>
      <c r="AD1622">
        <v>-1.109994652538</v>
      </c>
      <c r="AE1622">
        <v>-2.4406999999999899</v>
      </c>
      <c r="AF1622">
        <v>-2.8429800767167999</v>
      </c>
      <c r="AG1622">
        <v>-1.109994652538</v>
      </c>
      <c r="AH1622">
        <v>20.064422241831199</v>
      </c>
      <c r="AI1622">
        <v>93.135210187639004</v>
      </c>
      <c r="AJ1622">
        <v>98.064702578125704</v>
      </c>
      <c r="AK1622">
        <v>20.295212828244999</v>
      </c>
    </row>
    <row r="1623" spans="1:37" x14ac:dyDescent="0.2">
      <c r="A1623" t="str">
        <f>"20200111154056888"</f>
        <v>20200111154056888</v>
      </c>
      <c r="B1623" t="str">
        <f>"1578728456877369"</f>
        <v>1578728456877369</v>
      </c>
      <c r="C1623" t="s">
        <v>37</v>
      </c>
      <c r="D1623">
        <v>5.1237779999999997</v>
      </c>
      <c r="E1623">
        <v>0.45816839999999998</v>
      </c>
      <c r="F1623" t="s">
        <v>45</v>
      </c>
      <c r="G1623">
        <v>-415.5181</v>
      </c>
      <c r="H1623" s="1">
        <v>3.4431429999999998E-6</v>
      </c>
      <c r="I1623">
        <v>281.65859999999998</v>
      </c>
      <c r="J1623">
        <v>-395.3784</v>
      </c>
      <c r="K1623">
        <v>1.109934</v>
      </c>
      <c r="L1623">
        <v>284.10239999999999</v>
      </c>
      <c r="M1623">
        <v>-0.99977399999999905</v>
      </c>
      <c r="N1623">
        <v>0</v>
      </c>
      <c r="O1623">
        <v>1.9768210000000001E-2</v>
      </c>
      <c r="P1623">
        <v>-0.99810330000000003</v>
      </c>
      <c r="Q1623">
        <v>6.1074749999999997E-2</v>
      </c>
      <c r="R1623">
        <v>-7.7554629999999998E-3</v>
      </c>
      <c r="S1623">
        <v>-3.0129090000000001</v>
      </c>
      <c r="T1623">
        <v>-0.161389899999999</v>
      </c>
      <c r="U1623">
        <v>-0.35357670000000002</v>
      </c>
      <c r="V1623">
        <v>-2.7715719999999999E-2</v>
      </c>
      <c r="W1623">
        <v>6.8801189999999998E-2</v>
      </c>
      <c r="X1623">
        <v>0.9972453</v>
      </c>
      <c r="Y1623">
        <v>-0.13594510000000001</v>
      </c>
      <c r="Z1623">
        <v>-4.6808270000000003E-3</v>
      </c>
      <c r="AA1623">
        <v>0.99070530000000001</v>
      </c>
      <c r="AB1623">
        <v>61</v>
      </c>
      <c r="AC1623">
        <v>-20.139700000000001</v>
      </c>
      <c r="AD1623">
        <v>-1.1099305568569999</v>
      </c>
      <c r="AE1623">
        <v>-2.4438</v>
      </c>
      <c r="AF1623">
        <v>-2.8329807068658202</v>
      </c>
      <c r="AG1623">
        <v>-1.1099305568569999</v>
      </c>
      <c r="AH1623">
        <v>20.027506624844801</v>
      </c>
      <c r="AI1623">
        <v>93.140900168907393</v>
      </c>
      <c r="AJ1623">
        <v>98.0513280871631</v>
      </c>
      <c r="AK1623">
        <v>20.257313423421198</v>
      </c>
    </row>
    <row r="1624" spans="1:37" x14ac:dyDescent="0.2">
      <c r="A1624" t="str">
        <f>"20200111154056910"</f>
        <v>20200111154056910</v>
      </c>
      <c r="B1624" t="str">
        <f>"1578728456897865"</f>
        <v>1578728456897865</v>
      </c>
      <c r="C1624" t="s">
        <v>37</v>
      </c>
      <c r="D1624">
        <v>5.0565759999999997</v>
      </c>
      <c r="E1624">
        <v>0.45808769999999999</v>
      </c>
      <c r="F1624" t="s">
        <v>45</v>
      </c>
      <c r="G1624">
        <v>-415.96050000000002</v>
      </c>
      <c r="H1624" s="1">
        <v>3.519794E-6</v>
      </c>
      <c r="I1624">
        <v>281.67950000000002</v>
      </c>
      <c r="J1624">
        <v>-395.9864</v>
      </c>
      <c r="K1624">
        <v>1.1098649999999901</v>
      </c>
      <c r="L1624">
        <v>284.1146</v>
      </c>
      <c r="M1624">
        <v>-0.99978509999999998</v>
      </c>
      <c r="N1624">
        <v>0</v>
      </c>
      <c r="O1624">
        <v>1.9181750000000001E-2</v>
      </c>
      <c r="P1624">
        <v>-0.99811119999999898</v>
      </c>
      <c r="Q1624">
        <v>6.0965619999999998E-2</v>
      </c>
      <c r="R1624">
        <v>-7.5452359999999899E-3</v>
      </c>
      <c r="S1624">
        <v>-3.01287799999999</v>
      </c>
      <c r="T1624">
        <v>-0.1624756</v>
      </c>
      <c r="U1624">
        <v>-0.35467529999999903</v>
      </c>
      <c r="V1624">
        <v>-2.6909869999999999E-2</v>
      </c>
      <c r="W1624">
        <v>6.8710820000000006E-2</v>
      </c>
      <c r="X1624">
        <v>0.99727359999999898</v>
      </c>
      <c r="Y1624">
        <v>-0.1357196</v>
      </c>
      <c r="Z1624">
        <v>-4.6746549999999998E-3</v>
      </c>
      <c r="AA1624">
        <v>0.99073619999999996</v>
      </c>
      <c r="AB1624">
        <v>62</v>
      </c>
      <c r="AC1624">
        <v>-19.9741</v>
      </c>
      <c r="AD1624">
        <v>-1.1098614802059901</v>
      </c>
      <c r="AE1624">
        <v>-2.4350999999999701</v>
      </c>
      <c r="AF1624">
        <v>-2.8092555058503499</v>
      </c>
      <c r="AG1624">
        <v>-1.1098614802059901</v>
      </c>
      <c r="AH1624">
        <v>19.863284677220101</v>
      </c>
      <c r="AI1624">
        <v>93.166629517931298</v>
      </c>
      <c r="AJ1624">
        <v>98.049927499155103</v>
      </c>
      <c r="AK1624">
        <v>20.091634756054098</v>
      </c>
    </row>
    <row r="1625" spans="1:37" x14ac:dyDescent="0.2">
      <c r="A1625" t="str">
        <f>"20200111154056924"</f>
        <v>20200111154056924</v>
      </c>
      <c r="B1625" t="str">
        <f>"1578728456918362"</f>
        <v>1578728456918362</v>
      </c>
      <c r="C1625" t="s">
        <v>37</v>
      </c>
      <c r="D1625">
        <v>5.1070419999999999</v>
      </c>
      <c r="E1625">
        <v>0.45803850000000002</v>
      </c>
      <c r="F1625" t="s">
        <v>45</v>
      </c>
      <c r="G1625">
        <v>-416.64550000000003</v>
      </c>
      <c r="H1625" s="1">
        <v>3.6413440000000001E-6</v>
      </c>
      <c r="I1625">
        <v>281.67910000000001</v>
      </c>
      <c r="J1625">
        <v>-396.3614</v>
      </c>
      <c r="K1625">
        <v>1.109823</v>
      </c>
      <c r="L1625">
        <v>284.12200000000001</v>
      </c>
      <c r="M1625">
        <v>-0.99979169999999995</v>
      </c>
      <c r="N1625">
        <v>0</v>
      </c>
      <c r="O1625">
        <v>1.8839760000000001E-2</v>
      </c>
      <c r="P1625">
        <v>-0.99811119999999898</v>
      </c>
      <c r="Q1625">
        <v>6.1035350000000002E-2</v>
      </c>
      <c r="R1625">
        <v>-6.9996569999999899E-3</v>
      </c>
      <c r="S1625">
        <v>-3.01287799999999</v>
      </c>
      <c r="T1625">
        <v>-0.16185959999999999</v>
      </c>
      <c r="U1625">
        <v>-0.35519409999999901</v>
      </c>
      <c r="V1625">
        <v>-2.6016170000000002E-2</v>
      </c>
      <c r="W1625">
        <v>6.8793099999999996E-2</v>
      </c>
      <c r="X1625">
        <v>0.997291699999999</v>
      </c>
      <c r="Y1625">
        <v>-0.13555139999999999</v>
      </c>
      <c r="Z1625">
        <v>-4.6341059999999998E-3</v>
      </c>
      <c r="AA1625">
        <v>0.99075949999999902</v>
      </c>
      <c r="AB1625">
        <v>62</v>
      </c>
      <c r="AC1625">
        <v>-20.284099999999999</v>
      </c>
      <c r="AD1625">
        <v>-1.1098193586559999</v>
      </c>
      <c r="AE1625">
        <v>-2.4428999999999998</v>
      </c>
      <c r="AF1625">
        <v>-2.8163153760565498</v>
      </c>
      <c r="AG1625">
        <v>-1.1098193586559999</v>
      </c>
      <c r="AH1625">
        <v>20.1749424693378</v>
      </c>
      <c r="AI1625">
        <v>93.118478110302405</v>
      </c>
      <c r="AJ1625">
        <v>97.946834481749804</v>
      </c>
      <c r="AK1625">
        <v>20.400775351621999</v>
      </c>
    </row>
    <row r="1626" spans="1:37" x14ac:dyDescent="0.2">
      <c r="A1626" t="str">
        <f>"20200111154056956"</f>
        <v>20200111154056956</v>
      </c>
      <c r="B1626" t="str">
        <f>"1578728456948207"</f>
        <v>1578728456948207</v>
      </c>
      <c r="C1626" t="s">
        <v>37</v>
      </c>
      <c r="D1626">
        <v>5.1159210000000002</v>
      </c>
      <c r="E1626">
        <v>0.45782829999999902</v>
      </c>
      <c r="F1626" t="s">
        <v>45</v>
      </c>
      <c r="G1626">
        <v>-417.02229999999997</v>
      </c>
      <c r="H1626" s="1">
        <v>3.7068959999999999E-6</v>
      </c>
      <c r="I1626">
        <v>281.69369999999998</v>
      </c>
      <c r="J1626">
        <v>-397.24369999999999</v>
      </c>
      <c r="K1626">
        <v>1.1097399999999999</v>
      </c>
      <c r="L1626">
        <v>284.13869999999997</v>
      </c>
      <c r="M1626">
        <v>-0.99980519999999995</v>
      </c>
      <c r="N1626">
        <v>0</v>
      </c>
      <c r="O1626">
        <v>1.8099629999999998E-2</v>
      </c>
      <c r="P1626">
        <v>-0.99812299999999998</v>
      </c>
      <c r="Q1626">
        <v>6.1103020000000001E-2</v>
      </c>
      <c r="R1626">
        <v>-4.1202640000000002E-3</v>
      </c>
      <c r="S1626">
        <v>-3.0130619999999899</v>
      </c>
      <c r="T1626">
        <v>-0.16184899999999999</v>
      </c>
      <c r="U1626">
        <v>-0.354126</v>
      </c>
      <c r="V1626">
        <v>-2.2384109999999999E-2</v>
      </c>
      <c r="W1626">
        <v>6.8894910000000004E-2</v>
      </c>
      <c r="X1626">
        <v>0.997372699999999</v>
      </c>
      <c r="Y1626">
        <v>-0.13446710000000001</v>
      </c>
      <c r="Z1626">
        <v>-4.5650100000000004E-3</v>
      </c>
      <c r="AA1626">
        <v>0.99090750000000005</v>
      </c>
      <c r="AB1626">
        <v>62</v>
      </c>
      <c r="AC1626">
        <v>-19.778599999999901</v>
      </c>
      <c r="AD1626">
        <v>-1.109736293104</v>
      </c>
      <c r="AE1626">
        <v>-2.4449999999999901</v>
      </c>
      <c r="AF1626">
        <v>-2.7939326972698502</v>
      </c>
      <c r="AG1626">
        <v>-1.109736293104</v>
      </c>
      <c r="AH1626">
        <v>19.6701134291595</v>
      </c>
      <c r="AI1626">
        <v>93.197033010936295</v>
      </c>
      <c r="AJ1626">
        <v>98.084185490274706</v>
      </c>
      <c r="AK1626">
        <v>19.898515946499799</v>
      </c>
    </row>
    <row r="1627" spans="1:37" x14ac:dyDescent="0.2">
      <c r="A1627" t="str">
        <f>"20200111154056977"</f>
        <v>20200111154056977</v>
      </c>
      <c r="B1627" t="str">
        <f>"1578728456967718"</f>
        <v>1578728456967718</v>
      </c>
      <c r="C1627" t="s">
        <v>37</v>
      </c>
      <c r="D1627">
        <v>5.1338019999999904</v>
      </c>
      <c r="E1627">
        <v>0.45778540000000001</v>
      </c>
      <c r="F1627" t="s">
        <v>45</v>
      </c>
      <c r="G1627">
        <v>-417.8963</v>
      </c>
      <c r="H1627" s="1">
        <v>3.8566699999999901E-6</v>
      </c>
      <c r="I1627">
        <v>281.75380000000001</v>
      </c>
      <c r="J1627">
        <v>-397.84160000000003</v>
      </c>
      <c r="K1627">
        <v>1.109694</v>
      </c>
      <c r="L1627">
        <v>284.14960000000002</v>
      </c>
      <c r="M1627">
        <v>-0.99981359999999997</v>
      </c>
      <c r="N1627">
        <v>0</v>
      </c>
      <c r="O1627">
        <v>1.7627710000000001E-2</v>
      </c>
      <c r="P1627">
        <v>-0.99803799999999898</v>
      </c>
      <c r="Q1627">
        <v>6.2541799999999995E-2</v>
      </c>
      <c r="R1627">
        <v>-2.9472929999999902E-3</v>
      </c>
      <c r="S1627">
        <v>-3.01416</v>
      </c>
      <c r="T1627">
        <v>-0.161961299999999</v>
      </c>
      <c r="U1627">
        <v>-0.348053</v>
      </c>
      <c r="V1627">
        <v>-2.0733109999999999E-2</v>
      </c>
      <c r="W1627">
        <v>7.0351919999999998E-2</v>
      </c>
      <c r="X1627">
        <v>0.99730680000000005</v>
      </c>
      <c r="Y1627">
        <v>-0.13199140000000001</v>
      </c>
      <c r="Z1627">
        <v>-4.4755309999999996E-3</v>
      </c>
      <c r="AA1627">
        <v>0.99124069999999997</v>
      </c>
      <c r="AB1627">
        <v>62</v>
      </c>
      <c r="AC1627">
        <v>-20.054699999999901</v>
      </c>
      <c r="AD1627">
        <v>-1.1096901433299999</v>
      </c>
      <c r="AE1627">
        <v>-2.3957999999999999</v>
      </c>
      <c r="AF1627">
        <v>-2.7406838732527898</v>
      </c>
      <c r="AG1627">
        <v>-1.1096901433299999</v>
      </c>
      <c r="AH1627">
        <v>19.949129911014602</v>
      </c>
      <c r="AI1627">
        <v>93.154285818188796</v>
      </c>
      <c r="AJ1627">
        <v>97.8225325899013</v>
      </c>
      <c r="AK1627">
        <v>20.167065837990599</v>
      </c>
    </row>
    <row r="1628" spans="1:37" x14ac:dyDescent="0.2">
      <c r="A1628" t="str">
        <f>"20200111154056999"</f>
        <v>20200111154056999</v>
      </c>
      <c r="B1628" t="str">
        <f>"1578728456987238"</f>
        <v>1578728456987238</v>
      </c>
      <c r="C1628" t="s">
        <v>37</v>
      </c>
      <c r="D1628">
        <v>5.1327259999999999</v>
      </c>
      <c r="E1628">
        <v>0.45786850000000001</v>
      </c>
      <c r="F1628" t="s">
        <v>45</v>
      </c>
      <c r="G1628">
        <v>-419.10669999999999</v>
      </c>
      <c r="H1628" s="1">
        <v>4.0744450000000001E-6</v>
      </c>
      <c r="I1628">
        <v>281.71870000000001</v>
      </c>
      <c r="J1628">
        <v>-398.46</v>
      </c>
      <c r="K1628">
        <v>1.1096539999999999</v>
      </c>
      <c r="L1628">
        <v>284.16059999999999</v>
      </c>
      <c r="M1628">
        <v>-0.99982169999999904</v>
      </c>
      <c r="N1628">
        <v>0</v>
      </c>
      <c r="O1628">
        <v>1.7157229999999999E-2</v>
      </c>
      <c r="P1628">
        <v>-0.99798580000000003</v>
      </c>
      <c r="Q1628">
        <v>6.3401750000000007E-2</v>
      </c>
      <c r="R1628">
        <v>-2.1984079999999998E-3</v>
      </c>
      <c r="S1628">
        <v>-3.0147710000000001</v>
      </c>
      <c r="T1628">
        <v>-0.15732179999999901</v>
      </c>
      <c r="U1628">
        <v>-0.34463499999999903</v>
      </c>
      <c r="V1628">
        <v>-1.9506369999999999E-2</v>
      </c>
      <c r="W1628">
        <v>7.1234229999999996E-2</v>
      </c>
      <c r="X1628">
        <v>0.99726890000000001</v>
      </c>
      <c r="Y1628">
        <v>-0.13040750000000001</v>
      </c>
      <c r="Z1628">
        <v>-4.2812779999999899E-3</v>
      </c>
      <c r="AA1628">
        <v>0.99145119999999898</v>
      </c>
      <c r="AB1628">
        <v>62</v>
      </c>
      <c r="AC1628">
        <v>-20.646699999999999</v>
      </c>
      <c r="AD1628">
        <v>-1.1096499255550001</v>
      </c>
      <c r="AE1628">
        <v>-2.4418999999999702</v>
      </c>
      <c r="AF1628">
        <v>-2.7878501498880701</v>
      </c>
      <c r="AG1628">
        <v>-1.1096499255550001</v>
      </c>
      <c r="AH1628">
        <v>20.543242808684401</v>
      </c>
      <c r="AI1628">
        <v>93.063816441655405</v>
      </c>
      <c r="AJ1628">
        <v>97.728195057463097</v>
      </c>
      <c r="AK1628">
        <v>20.761220015020299</v>
      </c>
    </row>
    <row r="1629" spans="1:37" x14ac:dyDescent="0.2">
      <c r="A1629" t="str">
        <f>"20200111154057022"</f>
        <v>20200111154057022</v>
      </c>
      <c r="B1629" t="str">
        <f>"1578728457017493"</f>
        <v>1578728457017493</v>
      </c>
      <c r="C1629" t="s">
        <v>37</v>
      </c>
      <c r="D1629">
        <v>5.1578970000000002</v>
      </c>
      <c r="E1629">
        <v>0.45772790000000002</v>
      </c>
      <c r="F1629" t="s">
        <v>45</v>
      </c>
      <c r="G1629">
        <v>-419.9914</v>
      </c>
      <c r="H1629" s="1">
        <v>4.2192719999999996E-6</v>
      </c>
      <c r="I1629">
        <v>281.72070000000002</v>
      </c>
      <c r="J1629">
        <v>-399.07819999999998</v>
      </c>
      <c r="K1629">
        <v>1.1096250000000001</v>
      </c>
      <c r="L1629">
        <v>284.17129999999997</v>
      </c>
      <c r="M1629">
        <v>-0.99982919999999997</v>
      </c>
      <c r="N1629">
        <v>0</v>
      </c>
      <c r="O1629">
        <v>1.6699579999999999E-2</v>
      </c>
      <c r="P1629">
        <v>-0.99791569999999996</v>
      </c>
      <c r="Q1629">
        <v>6.4504710000000007E-2</v>
      </c>
      <c r="R1629">
        <v>-1.839219E-3</v>
      </c>
      <c r="S1629">
        <v>-3.0151979999999998</v>
      </c>
      <c r="T1629">
        <v>-0.15539229999999901</v>
      </c>
      <c r="U1629">
        <v>-0.3416748</v>
      </c>
      <c r="V1629">
        <v>-1.8683599999999901E-2</v>
      </c>
      <c r="W1629">
        <v>7.2364280000000003E-2</v>
      </c>
      <c r="X1629">
        <v>0.99720319999999996</v>
      </c>
      <c r="Y1629">
        <v>-0.12898419999999999</v>
      </c>
      <c r="Z1629">
        <v>-4.1684340000000004E-3</v>
      </c>
      <c r="AA1629">
        <v>0.99163789999999996</v>
      </c>
      <c r="AB1629">
        <v>62</v>
      </c>
      <c r="AC1629">
        <v>-20.9132</v>
      </c>
      <c r="AD1629">
        <v>-1.1096207807280001</v>
      </c>
      <c r="AE1629">
        <v>-2.4505999999999499</v>
      </c>
      <c r="AF1629">
        <v>-2.7917579704304099</v>
      </c>
      <c r="AG1629">
        <v>-1.1096207807280001</v>
      </c>
      <c r="AH1629">
        <v>20.811563263436199</v>
      </c>
      <c r="AI1629">
        <v>93.024934465320797</v>
      </c>
      <c r="AJ1629">
        <v>97.640306423433202</v>
      </c>
      <c r="AK1629">
        <v>21.0272760078544</v>
      </c>
    </row>
    <row r="1630" spans="1:37" x14ac:dyDescent="0.2">
      <c r="A1630" t="str">
        <f>"20200111154057045"</f>
        <v>20200111154057045</v>
      </c>
      <c r="B1630" t="str">
        <f>"1578728457037989"</f>
        <v>1578728457037989</v>
      </c>
      <c r="C1630" t="s">
        <v>37</v>
      </c>
      <c r="D1630">
        <v>5.1920820000000001</v>
      </c>
      <c r="E1630">
        <v>0.457688699999999</v>
      </c>
      <c r="F1630" t="s">
        <v>45</v>
      </c>
      <c r="G1630">
        <v>-420.85809999999998</v>
      </c>
      <c r="H1630" s="1">
        <v>4.0669339999999996E-6</v>
      </c>
      <c r="I1630">
        <v>281.7047</v>
      </c>
      <c r="J1630">
        <v>-399.72539999999998</v>
      </c>
      <c r="K1630">
        <v>1.109599</v>
      </c>
      <c r="L1630">
        <v>284.18209999999999</v>
      </c>
      <c r="M1630">
        <v>-0.99983670000000002</v>
      </c>
      <c r="N1630">
        <v>0</v>
      </c>
      <c r="O1630">
        <v>1.622993E-2</v>
      </c>
      <c r="P1630">
        <v>-0.99784399999999995</v>
      </c>
      <c r="Q1630">
        <v>6.5589190000000006E-2</v>
      </c>
      <c r="R1630">
        <v>-2.3579289999999999E-3</v>
      </c>
      <c r="S1630">
        <v>-3.015625</v>
      </c>
      <c r="T1630">
        <v>-0.15363750000000001</v>
      </c>
      <c r="U1630">
        <v>-0.3415222</v>
      </c>
      <c r="V1630">
        <v>-1.872629E-2</v>
      </c>
      <c r="W1630">
        <v>7.3479000000000003E-2</v>
      </c>
      <c r="X1630">
        <v>0.99712089999999998</v>
      </c>
      <c r="Y1630">
        <v>-0.12845870000000001</v>
      </c>
      <c r="Z1630">
        <v>-4.0836759999999996E-3</v>
      </c>
      <c r="AA1630">
        <v>0.99170639999999999</v>
      </c>
      <c r="AB1630">
        <v>62</v>
      </c>
      <c r="AC1630">
        <v>-21.1327</v>
      </c>
      <c r="AD1630">
        <v>-1.109594933066</v>
      </c>
      <c r="AE1630">
        <v>-2.4773999999999798</v>
      </c>
      <c r="AF1630">
        <v>-2.8124183381076402</v>
      </c>
      <c r="AG1630">
        <v>-1.109594933066</v>
      </c>
      <c r="AH1630">
        <v>21.032508880552498</v>
      </c>
      <c r="AI1630">
        <v>92.993313957336596</v>
      </c>
      <c r="AJ1630">
        <v>97.6162791892108</v>
      </c>
      <c r="AK1630">
        <v>21.248701787039298</v>
      </c>
    </row>
    <row r="1631" spans="1:37" x14ac:dyDescent="0.2">
      <c r="A1631" t="str">
        <f>"20200111154057067"</f>
        <v>20200111154057067</v>
      </c>
      <c r="B1631" t="str">
        <f>"1578728457057911"</f>
        <v>1578728457057911</v>
      </c>
      <c r="C1631" t="s">
        <v>37</v>
      </c>
      <c r="D1631">
        <v>5.2360989999999896</v>
      </c>
      <c r="E1631">
        <v>0.45788059999999903</v>
      </c>
      <c r="F1631" t="s">
        <v>45</v>
      </c>
      <c r="G1631">
        <v>-421.89229999999998</v>
      </c>
      <c r="H1631" s="1">
        <v>3.8874549999999999E-6</v>
      </c>
      <c r="I1631">
        <v>281.65929999999997</v>
      </c>
      <c r="J1631">
        <v>-400.33120000000002</v>
      </c>
      <c r="K1631">
        <v>1.109586</v>
      </c>
      <c r="L1631">
        <v>284.19189999999998</v>
      </c>
      <c r="M1631">
        <v>-0.99984329999999999</v>
      </c>
      <c r="N1631">
        <v>0</v>
      </c>
      <c r="O1631">
        <v>1.5796109999999999E-2</v>
      </c>
      <c r="P1631">
        <v>-0.99781359999999997</v>
      </c>
      <c r="Q1631">
        <v>6.5986089999999997E-2</v>
      </c>
      <c r="R1631">
        <v>-3.7044459999999902E-3</v>
      </c>
      <c r="S1631">
        <v>-3.0155939999999899</v>
      </c>
      <c r="T1631">
        <v>-0.15095020000000001</v>
      </c>
      <c r="U1631">
        <v>-0.34320070000000003</v>
      </c>
      <c r="V1631">
        <v>-1.9633319999999999E-2</v>
      </c>
      <c r="W1631">
        <v>7.3907940000000005E-2</v>
      </c>
      <c r="X1631">
        <v>0.99707179999999995</v>
      </c>
      <c r="Y1631">
        <v>-0.12858130000000001</v>
      </c>
      <c r="Z1631">
        <v>-3.9936700000000004E-3</v>
      </c>
      <c r="AA1631">
        <v>0.99169089999999904</v>
      </c>
      <c r="AB1631">
        <v>62</v>
      </c>
      <c r="AC1631">
        <v>-21.5610999999999</v>
      </c>
      <c r="AD1631">
        <v>-1.1095821125450001</v>
      </c>
      <c r="AE1631">
        <v>-2.5326</v>
      </c>
      <c r="AF1631">
        <v>-2.8653910674852101</v>
      </c>
      <c r="AG1631">
        <v>-1.1095821125450001</v>
      </c>
      <c r="AH1631">
        <v>21.462336783634299</v>
      </c>
      <c r="AI1631">
        <v>92.933519210283507</v>
      </c>
      <c r="AJ1631">
        <v>97.604469202032107</v>
      </c>
      <c r="AK1631">
        <v>21.681179364791198</v>
      </c>
    </row>
    <row r="1632" spans="1:37" x14ac:dyDescent="0.2">
      <c r="A1632" t="str">
        <f>"20200111154057089"</f>
        <v>20200111154057089</v>
      </c>
      <c r="B1632" t="str">
        <f>"1578728457077427"</f>
        <v>1578728457077427</v>
      </c>
      <c r="C1632" t="s">
        <v>37</v>
      </c>
      <c r="D1632">
        <v>5.3359719999999999</v>
      </c>
      <c r="E1632">
        <v>0.51232469999999997</v>
      </c>
      <c r="F1632" t="s">
        <v>45</v>
      </c>
      <c r="G1632">
        <v>-422.046999999999</v>
      </c>
      <c r="H1632" s="1">
        <v>3.8561290000000004E-6</v>
      </c>
      <c r="I1632">
        <v>281.70370000000003</v>
      </c>
      <c r="J1632">
        <v>-400.9409</v>
      </c>
      <c r="K1632">
        <v>1.1095919999999999</v>
      </c>
      <c r="L1632">
        <v>284.20150000000001</v>
      </c>
      <c r="M1632">
        <v>-0.99984980000000001</v>
      </c>
      <c r="N1632">
        <v>0</v>
      </c>
      <c r="O1632">
        <v>1.5363170000000001E-2</v>
      </c>
      <c r="P1632">
        <v>-0.99790409999999996</v>
      </c>
      <c r="Q1632">
        <v>6.4540509999999995E-2</v>
      </c>
      <c r="R1632">
        <v>-4.6854970000000003E-3</v>
      </c>
      <c r="S1632">
        <v>-3.0154719999999999</v>
      </c>
      <c r="T1632">
        <v>-0.15407770000000001</v>
      </c>
      <c r="U1632">
        <v>-0.34551999999999999</v>
      </c>
      <c r="V1632">
        <v>-2.01736E-2</v>
      </c>
      <c r="W1632">
        <v>7.2499330000000001E-2</v>
      </c>
      <c r="X1632">
        <v>0.99716439999999995</v>
      </c>
      <c r="Y1632">
        <v>-0.12890199999999999</v>
      </c>
      <c r="Z1632">
        <v>-4.0624140000000003E-3</v>
      </c>
      <c r="AA1632">
        <v>0.991649</v>
      </c>
      <c r="AB1632">
        <v>62</v>
      </c>
      <c r="AC1632">
        <v>-21.106099999999898</v>
      </c>
      <c r="AD1632">
        <v>-1.109588143871</v>
      </c>
      <c r="AE1632">
        <v>-2.4977999999999798</v>
      </c>
      <c r="AF1632">
        <v>-2.8141020172520799</v>
      </c>
      <c r="AG1632">
        <v>-1.109588143871</v>
      </c>
      <c r="AH1632">
        <v>21.007973510246199</v>
      </c>
      <c r="AI1632">
        <v>92.996692258201705</v>
      </c>
      <c r="AJ1632">
        <v>97.629580763251298</v>
      </c>
      <c r="AK1632">
        <v>21.2246391493407</v>
      </c>
    </row>
    <row r="1633" spans="1:37" x14ac:dyDescent="0.2">
      <c r="A1633" t="str">
        <f>"20200111154057111"</f>
        <v>20200111154057111</v>
      </c>
      <c r="B1633" t="str">
        <f>"1578728457107683"</f>
        <v>1578728457107683</v>
      </c>
      <c r="C1633" t="s">
        <v>37</v>
      </c>
      <c r="D1633">
        <v>5.2692600000000001</v>
      </c>
      <c r="E1633">
        <v>0.52087439999999996</v>
      </c>
      <c r="F1633" t="s">
        <v>45</v>
      </c>
      <c r="G1633">
        <v>-422.90899999999999</v>
      </c>
      <c r="H1633" s="1">
        <v>3.43019799999999E-6</v>
      </c>
      <c r="I1633">
        <v>284.82670000000002</v>
      </c>
      <c r="J1633">
        <v>-401.56209999999999</v>
      </c>
      <c r="K1633">
        <v>1.1096090000000001</v>
      </c>
      <c r="L1633">
        <v>284.21109999999999</v>
      </c>
      <c r="M1633">
        <v>-0.99985609999999903</v>
      </c>
      <c r="N1633">
        <v>0</v>
      </c>
      <c r="O1633">
        <v>1.492548E-2</v>
      </c>
      <c r="P1633">
        <v>-0.99783189999999999</v>
      </c>
      <c r="Q1633">
        <v>6.5615049999999994E-2</v>
      </c>
      <c r="R1633">
        <v>-5.115606E-3</v>
      </c>
      <c r="S1633">
        <v>-3.0166019999999998</v>
      </c>
      <c r="T1633">
        <v>-0.15236529999999901</v>
      </c>
      <c r="U1633">
        <v>8.5845950000000004E-2</v>
      </c>
      <c r="V1633">
        <v>-2.0162909999999999E-2</v>
      </c>
      <c r="W1633">
        <v>7.3620720000000001E-2</v>
      </c>
      <c r="X1633">
        <v>0.99708249999999998</v>
      </c>
      <c r="Y1633">
        <v>1.3525010000000001E-2</v>
      </c>
      <c r="Z1633">
        <v>-4.1192079999999997E-4</v>
      </c>
      <c r="AA1633">
        <v>0.99990840000000003</v>
      </c>
      <c r="AB1633">
        <v>62</v>
      </c>
      <c r="AC1633">
        <v>-21.346900000000002</v>
      </c>
      <c r="AD1633">
        <v>-1.109605569802</v>
      </c>
      <c r="AE1633">
        <v>0.61560000000002801</v>
      </c>
      <c r="AF1633">
        <v>0.29610894826999301</v>
      </c>
      <c r="AG1633">
        <v>-1.109605569802</v>
      </c>
      <c r="AH1633">
        <v>21.296218191347499</v>
      </c>
      <c r="AI1633">
        <v>92.982320615753807</v>
      </c>
      <c r="AJ1633">
        <v>89.203393783019095</v>
      </c>
      <c r="AK1633">
        <v>21.3271614211376</v>
      </c>
    </row>
    <row r="1634" spans="1:37" x14ac:dyDescent="0.2">
      <c r="A1634" t="str">
        <f>"20200111154057134"</f>
        <v>20200111154057134</v>
      </c>
      <c r="B1634" t="str">
        <f>"1578728457128179"</f>
        <v>1578728457128179</v>
      </c>
      <c r="C1634" t="s">
        <v>37</v>
      </c>
      <c r="D1634">
        <v>5.2603239999999998</v>
      </c>
      <c r="E1634">
        <v>0.52205619999999997</v>
      </c>
      <c r="F1634" t="s">
        <v>45</v>
      </c>
      <c r="G1634">
        <v>-423.30119999999999</v>
      </c>
      <c r="H1634" s="1">
        <v>3.3183649999999999E-6</v>
      </c>
      <c r="I1634">
        <v>285.31020000000001</v>
      </c>
      <c r="J1634">
        <v>-402.20979999999997</v>
      </c>
      <c r="K1634">
        <v>1.1096250000000001</v>
      </c>
      <c r="L1634">
        <v>284.22070000000002</v>
      </c>
      <c r="M1634">
        <v>-0.99986219999999904</v>
      </c>
      <c r="N1634">
        <v>0</v>
      </c>
      <c r="O1634">
        <v>1.447261E-2</v>
      </c>
      <c r="P1634">
        <v>-0.99759619999999904</v>
      </c>
      <c r="Q1634">
        <v>6.9040299999999999E-2</v>
      </c>
      <c r="R1634">
        <v>-5.9759629999999999E-3</v>
      </c>
      <c r="S1634">
        <v>-3.0174259999999999</v>
      </c>
      <c r="T1634">
        <v>-0.15401529999999899</v>
      </c>
      <c r="U1634">
        <v>0.15255739999999901</v>
      </c>
      <c r="V1634">
        <v>-2.056966E-2</v>
      </c>
      <c r="W1634">
        <v>7.7123579999999997E-2</v>
      </c>
      <c r="X1634">
        <v>0.99680930000000001</v>
      </c>
      <c r="Y1634">
        <v>3.6006419999999997E-2</v>
      </c>
      <c r="Z1634">
        <v>1.8003919999999999E-4</v>
      </c>
      <c r="AA1634">
        <v>0.99935160000000001</v>
      </c>
      <c r="AB1634">
        <v>62</v>
      </c>
      <c r="AC1634">
        <v>-21.0914</v>
      </c>
      <c r="AD1634">
        <v>-1.109621681635</v>
      </c>
      <c r="AE1634">
        <v>1.0894999999999799</v>
      </c>
      <c r="AF1634">
        <v>0.78196958865825705</v>
      </c>
      <c r="AG1634">
        <v>-1.109621681635</v>
      </c>
      <c r="AH1634">
        <v>21.046860249456198</v>
      </c>
      <c r="AI1634">
        <v>93.015847388919497</v>
      </c>
      <c r="AJ1634">
        <v>87.872226163523806</v>
      </c>
      <c r="AK1634">
        <v>21.0905918142209</v>
      </c>
    </row>
    <row r="1635" spans="1:37" x14ac:dyDescent="0.2">
      <c r="A1635" t="str">
        <f>"20200111154057156"</f>
        <v>20200111154057156</v>
      </c>
      <c r="B1635" t="str">
        <f>"1578728457147702"</f>
        <v>1578728457147702</v>
      </c>
      <c r="C1635" t="s">
        <v>37</v>
      </c>
      <c r="D1635">
        <v>5.2855489999999996</v>
      </c>
      <c r="E1635">
        <v>0.52276219999999995</v>
      </c>
      <c r="F1635" t="s">
        <v>45</v>
      </c>
      <c r="G1635">
        <v>-426.27690000000001</v>
      </c>
      <c r="H1635" s="1">
        <v>2.77395999999999E-6</v>
      </c>
      <c r="I1635">
        <v>285.49970000000002</v>
      </c>
      <c r="J1635">
        <v>-402.82810000000001</v>
      </c>
      <c r="K1635">
        <v>1.1096549999999901</v>
      </c>
      <c r="L1635">
        <v>284.22969999999998</v>
      </c>
      <c r="M1635">
        <v>-0.99986699999999995</v>
      </c>
      <c r="N1635">
        <v>0</v>
      </c>
      <c r="O1635">
        <v>1.4044269999999999E-2</v>
      </c>
      <c r="P1635">
        <v>-0.99743139999999997</v>
      </c>
      <c r="Q1635">
        <v>7.1289069999999996E-2</v>
      </c>
      <c r="R1635">
        <v>-6.9722309999999997E-3</v>
      </c>
      <c r="S1635">
        <v>-3.0178219999999998</v>
      </c>
      <c r="T1635">
        <v>-0.13913800000000001</v>
      </c>
      <c r="U1635">
        <v>0.16036989999999901</v>
      </c>
      <c r="V1635">
        <v>-2.1136990000000001E-2</v>
      </c>
      <c r="W1635">
        <v>7.951946E-2</v>
      </c>
      <c r="X1635">
        <v>0.99660919999999897</v>
      </c>
      <c r="Y1635">
        <v>3.9009410000000001E-2</v>
      </c>
      <c r="Z1635">
        <v>2.5149869999999998E-4</v>
      </c>
      <c r="AA1635">
        <v>0.99923879999999998</v>
      </c>
      <c r="AB1635">
        <v>63</v>
      </c>
      <c r="AC1635">
        <v>-23.448799999999999</v>
      </c>
      <c r="AD1635">
        <v>-1.1096522260399999</v>
      </c>
      <c r="AE1635">
        <v>1.27000000000003</v>
      </c>
      <c r="AF1635">
        <v>0.93844672385526595</v>
      </c>
      <c r="AG1635">
        <v>-1.1096522260399999</v>
      </c>
      <c r="AH1635">
        <v>23.412048323529</v>
      </c>
      <c r="AI1635">
        <v>92.711422062203795</v>
      </c>
      <c r="AJ1635">
        <v>87.704589265962596</v>
      </c>
      <c r="AK1635">
        <v>23.457110159172</v>
      </c>
    </row>
    <row r="1636" spans="1:37" x14ac:dyDescent="0.2">
      <c r="A1636" t="str">
        <f>"20200111154057177"</f>
        <v>20200111154057177</v>
      </c>
      <c r="B1636" t="str">
        <f>"1578728457167913"</f>
        <v>1578728457167913</v>
      </c>
      <c r="C1636" t="s">
        <v>37</v>
      </c>
      <c r="D1636">
        <v>5.241174</v>
      </c>
      <c r="E1636">
        <v>0.52328039999999998</v>
      </c>
      <c r="F1636" t="s">
        <v>45</v>
      </c>
      <c r="G1636">
        <v>-428.04020000000003</v>
      </c>
      <c r="H1636" s="1">
        <v>2.4530949999999999E-6</v>
      </c>
      <c r="I1636">
        <v>285.59219999999999</v>
      </c>
      <c r="J1636">
        <v>-403.4359</v>
      </c>
      <c r="K1636">
        <v>1.109715</v>
      </c>
      <c r="L1636">
        <v>284.23820000000001</v>
      </c>
      <c r="M1636">
        <v>-0.9998705</v>
      </c>
      <c r="N1636">
        <v>0</v>
      </c>
      <c r="O1636">
        <v>1.3625369999999999E-2</v>
      </c>
      <c r="P1636">
        <v>-0.99741449999999998</v>
      </c>
      <c r="Q1636">
        <v>7.1448479999999995E-2</v>
      </c>
      <c r="R1636">
        <v>-7.7142449999999998E-3</v>
      </c>
      <c r="S1636">
        <v>-3.0183409999999999</v>
      </c>
      <c r="T1636">
        <v>-0.13284560000000001</v>
      </c>
      <c r="U1636">
        <v>0.1631165</v>
      </c>
      <c r="V1636">
        <v>-2.1458919999999999E-2</v>
      </c>
      <c r="W1636">
        <v>7.995389E-2</v>
      </c>
      <c r="X1636">
        <v>0.99656749999999905</v>
      </c>
      <c r="Y1636">
        <v>4.0326220000000003E-2</v>
      </c>
      <c r="Z1636">
        <v>2.8744280000000001E-4</v>
      </c>
      <c r="AA1636">
        <v>0.99918649999999998</v>
      </c>
      <c r="AB1636">
        <v>63</v>
      </c>
      <c r="AC1636">
        <v>-24.604299999999999</v>
      </c>
      <c r="AD1636">
        <v>-1.109712546905</v>
      </c>
      <c r="AE1636">
        <v>1.3539999999999801</v>
      </c>
      <c r="AF1636">
        <v>1.0165576522411299</v>
      </c>
      <c r="AG1636">
        <v>-1.109712546905</v>
      </c>
      <c r="AH1636">
        <v>24.5706339655272</v>
      </c>
      <c r="AI1636">
        <v>92.583752220907598</v>
      </c>
      <c r="AJ1636">
        <v>87.630860292521305</v>
      </c>
      <c r="AK1636">
        <v>24.616679403709298</v>
      </c>
    </row>
    <row r="1637" spans="1:37" x14ac:dyDescent="0.2">
      <c r="A1637" t="str">
        <f>"20200111154057201"</f>
        <v>20200111154057201</v>
      </c>
      <c r="B1637" t="str">
        <f>"1578728457198170"</f>
        <v>1578728457198170</v>
      </c>
      <c r="C1637" t="s">
        <v>37</v>
      </c>
      <c r="D1637">
        <v>5.3127319999999996</v>
      </c>
      <c r="E1637">
        <v>0.52394439999999998</v>
      </c>
      <c r="F1637" t="s">
        <v>45</v>
      </c>
      <c r="G1637">
        <v>-428.20870000000002</v>
      </c>
      <c r="H1637" s="1">
        <v>2.42313899999999E-6</v>
      </c>
      <c r="I1637">
        <v>285.59280000000001</v>
      </c>
      <c r="J1637">
        <v>-404.07069999999999</v>
      </c>
      <c r="K1637">
        <v>1.1098239999999999</v>
      </c>
      <c r="L1637">
        <v>284.24689999999998</v>
      </c>
      <c r="M1637">
        <v>-0.99987219999999999</v>
      </c>
      <c r="N1637">
        <v>0</v>
      </c>
      <c r="O1637">
        <v>1.3188399999999999E-2</v>
      </c>
      <c r="P1637">
        <v>-0.99746229999999902</v>
      </c>
      <c r="Q1637">
        <v>7.0749880000000001E-2</v>
      </c>
      <c r="R1637">
        <v>-7.9774169999999901E-3</v>
      </c>
      <c r="S1637">
        <v>-3.0187680000000001</v>
      </c>
      <c r="T1637">
        <v>-0.1352276</v>
      </c>
      <c r="U1637">
        <v>0.16506960000000001</v>
      </c>
      <c r="V1637">
        <v>-2.1285399999999999E-2</v>
      </c>
      <c r="W1637">
        <v>7.9714820000000006E-2</v>
      </c>
      <c r="X1637">
        <v>0.99659039999999999</v>
      </c>
      <c r="Y1637">
        <v>4.1397320000000001E-2</v>
      </c>
      <c r="Z1637">
        <v>3.3604940000000002E-4</v>
      </c>
      <c r="AA1637">
        <v>0.99914269999999905</v>
      </c>
      <c r="AB1637">
        <v>63</v>
      </c>
      <c r="AC1637">
        <v>-24.138000000000002</v>
      </c>
      <c r="AD1637">
        <v>-1.109821576861</v>
      </c>
      <c r="AE1637">
        <v>1.3459000000000201</v>
      </c>
      <c r="AF1637">
        <v>1.02526764819339</v>
      </c>
      <c r="AG1637">
        <v>-1.109821576861</v>
      </c>
      <c r="AH1637">
        <v>24.102856150347598</v>
      </c>
      <c r="AI1637">
        <v>92.633956775181403</v>
      </c>
      <c r="AJ1637">
        <v>87.564267207317201</v>
      </c>
      <c r="AK1637">
        <v>24.1501667134463</v>
      </c>
    </row>
    <row r="1638" spans="1:37" x14ac:dyDescent="0.2">
      <c r="A1638" t="str">
        <f>"20200111154057224"</f>
        <v>20200111154057224</v>
      </c>
      <c r="B1638" t="str">
        <f>"1578728457217689"</f>
        <v>1578728457217689</v>
      </c>
      <c r="C1638" t="s">
        <v>37</v>
      </c>
      <c r="D1638">
        <v>5.310867</v>
      </c>
      <c r="E1638">
        <v>0.52416039999999997</v>
      </c>
      <c r="F1638" t="s">
        <v>45</v>
      </c>
      <c r="G1638">
        <v>-427.29930000000002</v>
      </c>
      <c r="H1638" s="1">
        <v>2.588145E-6</v>
      </c>
      <c r="I1638">
        <v>285.55070000000001</v>
      </c>
      <c r="J1638">
        <v>-404.72719999999998</v>
      </c>
      <c r="K1638">
        <v>1.1099669999999999</v>
      </c>
      <c r="L1638">
        <v>284.25540000000001</v>
      </c>
      <c r="M1638">
        <v>-0.99987209999999904</v>
      </c>
      <c r="N1638">
        <v>0</v>
      </c>
      <c r="O1638">
        <v>1.274665E-2</v>
      </c>
      <c r="P1638">
        <v>-0.99756119999999904</v>
      </c>
      <c r="Q1638">
        <v>6.9356749999999995E-2</v>
      </c>
      <c r="R1638">
        <v>-7.842089E-3</v>
      </c>
      <c r="S1638">
        <v>-3.0192570000000001</v>
      </c>
      <c r="T1638">
        <v>-0.14425499999999999</v>
      </c>
      <c r="U1638">
        <v>0.16946410000000001</v>
      </c>
      <c r="V1638">
        <v>-2.0709760000000001E-2</v>
      </c>
      <c r="W1638">
        <v>7.8949060000000001E-2</v>
      </c>
      <c r="X1638">
        <v>0.99666350000000004</v>
      </c>
      <c r="Y1638">
        <v>4.3273079999999998E-2</v>
      </c>
      <c r="Z1638">
        <v>4.2420720000000003E-4</v>
      </c>
      <c r="AA1638">
        <v>0.99906319999999904</v>
      </c>
      <c r="AB1638">
        <v>63</v>
      </c>
      <c r="AC1638">
        <v>-22.572099999999999</v>
      </c>
      <c r="AD1638">
        <v>-1.1099644118549901</v>
      </c>
      <c r="AE1638">
        <v>1.2952999999999899</v>
      </c>
      <c r="AF1638">
        <v>1.0050403642994601</v>
      </c>
      <c r="AG1638">
        <v>-1.1099644118549901</v>
      </c>
      <c r="AH1638">
        <v>22.532470613490201</v>
      </c>
      <c r="AI1638">
        <v>92.817351665675005</v>
      </c>
      <c r="AJ1638">
        <v>87.446066657439502</v>
      </c>
      <c r="AK1638">
        <v>22.582169051649</v>
      </c>
    </row>
    <row r="1639" spans="1:37" x14ac:dyDescent="0.2">
      <c r="A1639" t="str">
        <f>"20200111154057245"</f>
        <v>20200111154057245</v>
      </c>
      <c r="B1639" t="str">
        <f>"1578728457238187"</f>
        <v>1578728457238187</v>
      </c>
      <c r="C1639" t="s">
        <v>37</v>
      </c>
      <c r="D1639">
        <v>5.3110080000000002</v>
      </c>
      <c r="E1639">
        <v>0.5243757</v>
      </c>
      <c r="F1639" t="s">
        <v>38</v>
      </c>
      <c r="G1639">
        <v>-405.9846</v>
      </c>
      <c r="H1639">
        <v>1.046535</v>
      </c>
      <c r="I1639">
        <v>284.32709999999997</v>
      </c>
      <c r="J1639">
        <v>-405.32729999999998</v>
      </c>
      <c r="K1639">
        <v>1.1100809999999901</v>
      </c>
      <c r="L1639">
        <v>284.26299999999998</v>
      </c>
      <c r="M1639">
        <v>-0.99987130000000002</v>
      </c>
      <c r="N1639">
        <v>0</v>
      </c>
      <c r="O1639">
        <v>1.2339620000000001E-2</v>
      </c>
      <c r="P1639">
        <v>-0.99764719999999996</v>
      </c>
      <c r="Q1639">
        <v>6.8034590000000006E-2</v>
      </c>
      <c r="R1639">
        <v>-8.4585189999999994E-3</v>
      </c>
      <c r="S1639">
        <v>-3.0192869999999998</v>
      </c>
      <c r="T1639">
        <v>-0.1524044</v>
      </c>
      <c r="U1639">
        <v>0.17153929999999901</v>
      </c>
      <c r="V1639">
        <v>-2.092053E-2</v>
      </c>
      <c r="W1639">
        <v>7.8232209999999996E-2</v>
      </c>
      <c r="X1639">
        <v>0.99671559999999904</v>
      </c>
      <c r="Y1639">
        <v>4.4357689999999998E-2</v>
      </c>
      <c r="Z1639">
        <v>4.959726E-4</v>
      </c>
      <c r="AA1639">
        <v>0.999015599999999</v>
      </c>
      <c r="AB1639">
        <v>63</v>
      </c>
      <c r="AC1639">
        <v>-0.65730000000001998</v>
      </c>
      <c r="AD1639">
        <v>-6.3545999999999797E-2</v>
      </c>
      <c r="AE1639">
        <v>6.4099999999996202E-2</v>
      </c>
      <c r="AF1639">
        <v>5.5470291477995197E-2</v>
      </c>
      <c r="AG1639">
        <v>-6.3545999999999797E-2</v>
      </c>
      <c r="AH1639">
        <v>0.65200440898711998</v>
      </c>
      <c r="AI1639">
        <v>95.546698738584098</v>
      </c>
      <c r="AJ1639">
        <v>85.1371820746879</v>
      </c>
      <c r="AK1639">
        <v>0.65743805540240596</v>
      </c>
    </row>
    <row r="1640" spans="1:37" x14ac:dyDescent="0.2">
      <c r="A1640" t="str">
        <f>"20200111154057267"</f>
        <v>20200111154057267</v>
      </c>
      <c r="B1640" t="str">
        <f>"1578728457258146"</f>
        <v>1578728457258146</v>
      </c>
      <c r="C1640" t="s">
        <v>37</v>
      </c>
      <c r="D1640">
        <v>5.3178339999999897</v>
      </c>
      <c r="E1640">
        <v>0.52462430000000004</v>
      </c>
      <c r="F1640" t="s">
        <v>38</v>
      </c>
      <c r="G1640">
        <v>-406.54259999999999</v>
      </c>
      <c r="H1640">
        <v>1.0456239999999899</v>
      </c>
      <c r="I1640">
        <v>284.33240000000001</v>
      </c>
      <c r="J1640">
        <v>-405.95400000000001</v>
      </c>
      <c r="K1640">
        <v>1.1101650000000001</v>
      </c>
      <c r="L1640">
        <v>284.2706</v>
      </c>
      <c r="M1640">
        <v>-0.99987029999999999</v>
      </c>
      <c r="N1640">
        <v>0</v>
      </c>
      <c r="O1640">
        <v>1.1901989999999999E-2</v>
      </c>
      <c r="P1640">
        <v>-0.99777660000000001</v>
      </c>
      <c r="Q1640">
        <v>6.6076770000000007E-2</v>
      </c>
      <c r="R1640">
        <v>-8.7148569999999995E-3</v>
      </c>
      <c r="S1640">
        <v>-3.0194700000000001</v>
      </c>
      <c r="T1640">
        <v>-0.16025809999999999</v>
      </c>
      <c r="U1640">
        <v>0.1719666</v>
      </c>
      <c r="V1640">
        <v>-2.0739290000000001E-2</v>
      </c>
      <c r="W1640">
        <v>7.6865900000000001E-2</v>
      </c>
      <c r="X1640">
        <v>0.99682569999999904</v>
      </c>
      <c r="Y1640">
        <v>4.4926639999999997E-2</v>
      </c>
      <c r="Z1640">
        <v>5.5972249999999997E-4</v>
      </c>
      <c r="AA1640">
        <v>0.99899009999999999</v>
      </c>
      <c r="AB1640">
        <v>62</v>
      </c>
      <c r="AC1640">
        <v>-0.58859999999998502</v>
      </c>
      <c r="AD1640">
        <v>-6.4541000000000098E-2</v>
      </c>
      <c r="AE1640">
        <v>6.1800000000005101E-2</v>
      </c>
      <c r="AF1640">
        <v>5.4145775300030598E-2</v>
      </c>
      <c r="AG1640">
        <v>-6.4541000000000098E-2</v>
      </c>
      <c r="AH1640">
        <v>0.58236813655867903</v>
      </c>
      <c r="AI1640">
        <v>96.297064198296894</v>
      </c>
      <c r="AJ1640">
        <v>84.688185936953005</v>
      </c>
      <c r="AK1640">
        <v>0.58843007413172699</v>
      </c>
    </row>
    <row r="1641" spans="1:37" x14ac:dyDescent="0.2">
      <c r="A1641" t="str">
        <f>"20200111154057290"</f>
        <v>20200111154057290</v>
      </c>
      <c r="B1641" t="str">
        <f>"1578728457277665"</f>
        <v>1578728457277665</v>
      </c>
      <c r="C1641" t="s">
        <v>37</v>
      </c>
      <c r="D1641">
        <v>5.3081769999999997</v>
      </c>
      <c r="E1641">
        <v>0.52473369999999997</v>
      </c>
      <c r="F1641" t="s">
        <v>38</v>
      </c>
      <c r="G1641">
        <v>-407.10160000000002</v>
      </c>
      <c r="H1641">
        <v>1.0462279999999999</v>
      </c>
      <c r="I1641">
        <v>284.33690000000001</v>
      </c>
      <c r="J1641">
        <v>-406.56310000000002</v>
      </c>
      <c r="K1641">
        <v>1.11022</v>
      </c>
      <c r="L1641">
        <v>284.27769999999998</v>
      </c>
      <c r="M1641">
        <v>-0.99986960000000003</v>
      </c>
      <c r="N1641">
        <v>0</v>
      </c>
      <c r="O1641">
        <v>1.146145E-2</v>
      </c>
      <c r="P1641">
        <v>-0.99794629999999995</v>
      </c>
      <c r="Q1641">
        <v>6.3517589999999999E-2</v>
      </c>
      <c r="R1641">
        <v>-8.2840350000000004E-3</v>
      </c>
      <c r="S1641">
        <v>-3.0193479999999999</v>
      </c>
      <c r="T1641">
        <v>-0.16844120000000001</v>
      </c>
      <c r="U1641">
        <v>0.17343139999999899</v>
      </c>
      <c r="V1641">
        <v>-1.9868239999999999E-2</v>
      </c>
      <c r="W1641">
        <v>7.4829969999999996E-2</v>
      </c>
      <c r="X1641">
        <v>0.99699839999999995</v>
      </c>
      <c r="Y1641">
        <v>4.5845120000000003E-2</v>
      </c>
      <c r="Z1641">
        <v>6.3838410000000001E-4</v>
      </c>
      <c r="AA1641">
        <v>0.99894830000000001</v>
      </c>
      <c r="AB1641">
        <v>62</v>
      </c>
      <c r="AC1641">
        <v>-0.53849999999999898</v>
      </c>
      <c r="AD1641">
        <v>-6.3991999999999799E-2</v>
      </c>
      <c r="AE1641">
        <v>5.9200000000032497E-2</v>
      </c>
      <c r="AF1641">
        <v>5.22940698531991E-2</v>
      </c>
      <c r="AG1641">
        <v>-6.3991999999999799E-2</v>
      </c>
      <c r="AH1641">
        <v>0.53172412360003896</v>
      </c>
      <c r="AI1641">
        <v>96.829798265902895</v>
      </c>
      <c r="AJ1641">
        <v>84.383130566421499</v>
      </c>
      <c r="AK1641">
        <v>0.53810797190158899</v>
      </c>
    </row>
    <row r="1642" spans="1:37" x14ac:dyDescent="0.2">
      <c r="A1642" t="str">
        <f>"20200111154057312"</f>
        <v>20200111154057312</v>
      </c>
      <c r="B1642" t="str">
        <f>"1578728457307921"</f>
        <v>1578728457307921</v>
      </c>
      <c r="C1642" t="s">
        <v>37</v>
      </c>
      <c r="D1642">
        <v>5.287185</v>
      </c>
      <c r="E1642">
        <v>0.52486849999999996</v>
      </c>
      <c r="F1642" t="s">
        <v>38</v>
      </c>
      <c r="G1642">
        <v>-407.65890000000002</v>
      </c>
      <c r="H1642">
        <v>1.045269</v>
      </c>
      <c r="I1642">
        <v>284.34160000000003</v>
      </c>
      <c r="J1642">
        <v>-407.1893</v>
      </c>
      <c r="K1642">
        <v>1.110263</v>
      </c>
      <c r="L1642">
        <v>284.28469999999999</v>
      </c>
      <c r="M1642">
        <v>-0.99986929999999996</v>
      </c>
      <c r="N1642">
        <v>0</v>
      </c>
      <c r="O1642">
        <v>1.09912999999999E-2</v>
      </c>
      <c r="P1642">
        <v>-0.99809720000000002</v>
      </c>
      <c r="Q1642">
        <v>6.1126800000000002E-2</v>
      </c>
      <c r="R1642">
        <v>-8.1280969999999904E-3</v>
      </c>
      <c r="S1642">
        <v>-3.0190429999999999</v>
      </c>
      <c r="T1642">
        <v>-0.17903820000000001</v>
      </c>
      <c r="U1642">
        <v>0.17581179999999999</v>
      </c>
      <c r="V1642">
        <v>-1.9240569999999999E-2</v>
      </c>
      <c r="W1642">
        <v>7.2924500000000003E-2</v>
      </c>
      <c r="X1642">
        <v>0.99715189999999998</v>
      </c>
      <c r="Y1642">
        <v>4.7095579999999998E-2</v>
      </c>
      <c r="Z1642">
        <v>7.4337139999999997E-4</v>
      </c>
      <c r="AA1642">
        <v>0.9988901</v>
      </c>
      <c r="AB1642">
        <v>62</v>
      </c>
      <c r="AC1642">
        <v>-0.46960000000001401</v>
      </c>
      <c r="AD1642">
        <v>-6.4993999999999996E-2</v>
      </c>
      <c r="AE1642">
        <v>5.6900000000041397E-2</v>
      </c>
      <c r="AF1642">
        <v>5.07761231579201E-2</v>
      </c>
      <c r="AG1642">
        <v>-6.4993999999999996E-2</v>
      </c>
      <c r="AH1642">
        <v>0.46148506955441498</v>
      </c>
      <c r="AI1642">
        <v>97.9691495145304</v>
      </c>
      <c r="AJ1642">
        <v>83.721135558881997</v>
      </c>
      <c r="AK1642">
        <v>0.46879729536399001</v>
      </c>
    </row>
    <row r="1643" spans="1:37" x14ac:dyDescent="0.2">
      <c r="A1643" t="str">
        <f>"20200111154057334"</f>
        <v>20200111154057334</v>
      </c>
      <c r="B1643" t="str">
        <f>"1578728457327440"</f>
        <v>1578728457327440</v>
      </c>
      <c r="C1643" t="s">
        <v>37</v>
      </c>
      <c r="D1643">
        <v>5.300897</v>
      </c>
      <c r="E1643">
        <v>0.52502519999999997</v>
      </c>
      <c r="F1643" t="s">
        <v>38</v>
      </c>
      <c r="G1643">
        <v>-408.2174</v>
      </c>
      <c r="H1643">
        <v>1.045949</v>
      </c>
      <c r="I1643">
        <v>284.3458</v>
      </c>
      <c r="J1643">
        <v>-407.81380000000001</v>
      </c>
      <c r="K1643">
        <v>1.1102920000000001</v>
      </c>
      <c r="L1643">
        <v>284.29140000000001</v>
      </c>
      <c r="M1643">
        <v>-0.99986929999999996</v>
      </c>
      <c r="N1643">
        <v>0</v>
      </c>
      <c r="O1643">
        <v>1.05065E-2</v>
      </c>
      <c r="P1643">
        <v>-0.99817469999999997</v>
      </c>
      <c r="Q1643">
        <v>5.9728990000000003E-2</v>
      </c>
      <c r="R1643">
        <v>-8.9472919999999904E-3</v>
      </c>
      <c r="S1643">
        <v>-3.018707</v>
      </c>
      <c r="T1643">
        <v>-0.18910839999999901</v>
      </c>
      <c r="U1643">
        <v>0.17797850000000001</v>
      </c>
      <c r="V1643">
        <v>-1.9575249999999999E-2</v>
      </c>
      <c r="W1643">
        <v>7.1960490000000002E-2</v>
      </c>
      <c r="X1643">
        <v>0.99721539999999997</v>
      </c>
      <c r="Y1643">
        <v>4.8290199999999998E-2</v>
      </c>
      <c r="Z1643">
        <v>8.5283229999999998E-4</v>
      </c>
      <c r="AA1643">
        <v>0.99883299999999997</v>
      </c>
      <c r="AB1643">
        <v>62</v>
      </c>
      <c r="AC1643">
        <v>-0.40359999999998297</v>
      </c>
      <c r="AD1643">
        <v>-6.4342999999999997E-2</v>
      </c>
      <c r="AE1643">
        <v>5.4399999999986903E-2</v>
      </c>
      <c r="AF1643">
        <v>4.89347396658655E-2</v>
      </c>
      <c r="AG1643">
        <v>-6.4342999999999997E-2</v>
      </c>
      <c r="AH1643">
        <v>0.39430659736184798</v>
      </c>
      <c r="AI1643">
        <v>99.198502577459294</v>
      </c>
      <c r="AJ1643">
        <v>82.925577400536994</v>
      </c>
      <c r="AK1643">
        <v>0.402507544175566</v>
      </c>
    </row>
    <row r="1644" spans="1:37" x14ac:dyDescent="0.2">
      <c r="A1644" t="str">
        <f>"20200111154057357"</f>
        <v>20200111154057357</v>
      </c>
      <c r="B1644" t="str">
        <f>"1578728457347941"</f>
        <v>1578728457347941</v>
      </c>
      <c r="C1644" t="s">
        <v>37</v>
      </c>
      <c r="D1644">
        <v>5.3007970000000002</v>
      </c>
      <c r="E1644">
        <v>0.52518799999999999</v>
      </c>
      <c r="F1644" t="s">
        <v>38</v>
      </c>
      <c r="G1644">
        <v>-408.77699999999999</v>
      </c>
      <c r="H1644">
        <v>1.048141</v>
      </c>
      <c r="I1644">
        <v>284.34780000000001</v>
      </c>
      <c r="J1644">
        <v>-408.43450000000001</v>
      </c>
      <c r="K1644">
        <v>1.1103179999999999</v>
      </c>
      <c r="L1644">
        <v>284.29770000000002</v>
      </c>
      <c r="M1644">
        <v>-0.99986939999999902</v>
      </c>
      <c r="N1644">
        <v>0</v>
      </c>
      <c r="O1644">
        <v>1.0013060000000001E-2</v>
      </c>
      <c r="P1644">
        <v>-0.99817929999999999</v>
      </c>
      <c r="Q1644">
        <v>5.956057E-2</v>
      </c>
      <c r="R1644">
        <v>-9.519741E-3</v>
      </c>
      <c r="S1644">
        <v>-3.0187379999999999</v>
      </c>
      <c r="T1644">
        <v>-0.19484219999999999</v>
      </c>
      <c r="U1644">
        <v>0.1768188</v>
      </c>
      <c r="V1644">
        <v>-1.9656259999999998E-2</v>
      </c>
      <c r="W1644">
        <v>7.2176879999999999E-2</v>
      </c>
      <c r="X1644">
        <v>0.99719820000000003</v>
      </c>
      <c r="Y1644">
        <v>4.8394310000000003E-2</v>
      </c>
      <c r="Z1644">
        <v>9.1377280000000003E-4</v>
      </c>
      <c r="AA1644">
        <v>0.99882789999999999</v>
      </c>
      <c r="AB1644">
        <v>62</v>
      </c>
      <c r="AC1644">
        <v>-0.34249999999997199</v>
      </c>
      <c r="AD1644">
        <v>-6.21770000000001E-2</v>
      </c>
      <c r="AE1644">
        <v>5.0099999999986197E-2</v>
      </c>
      <c r="AF1644">
        <v>4.5209029005807297E-2</v>
      </c>
      <c r="AG1644">
        <v>-6.21770000000001E-2</v>
      </c>
      <c r="AH1644">
        <v>0.33226373368892198</v>
      </c>
      <c r="AI1644">
        <v>100.50464717544899</v>
      </c>
      <c r="AJ1644">
        <v>82.251706695724593</v>
      </c>
      <c r="AK1644">
        <v>0.34104108895784202</v>
      </c>
    </row>
    <row r="1645" spans="1:37" x14ac:dyDescent="0.2">
      <c r="A1645" t="str">
        <f>"20200111154057378"</f>
        <v>20200111154057378</v>
      </c>
      <c r="B1645" t="str">
        <f>"1578728457368096"</f>
        <v>1578728457368096</v>
      </c>
      <c r="C1645" t="s">
        <v>37</v>
      </c>
      <c r="D1645">
        <v>5.2605399999999998</v>
      </c>
      <c r="E1645">
        <v>0.52526930000000005</v>
      </c>
      <c r="F1645" t="s">
        <v>38</v>
      </c>
      <c r="G1645">
        <v>-409.3372</v>
      </c>
      <c r="H1645">
        <v>1.0514479999999999</v>
      </c>
      <c r="I1645">
        <v>284.35059999999999</v>
      </c>
      <c r="J1645">
        <v>-409.04759999999999</v>
      </c>
      <c r="K1645">
        <v>1.1103369999999999</v>
      </c>
      <c r="L1645">
        <v>284.30360000000002</v>
      </c>
      <c r="M1645">
        <v>-0.99986989999999998</v>
      </c>
      <c r="N1645">
        <v>0</v>
      </c>
      <c r="O1645">
        <v>9.5169820000000002E-3</v>
      </c>
      <c r="P1645">
        <v>-0.99812649999999903</v>
      </c>
      <c r="Q1645">
        <v>6.0334699999999998E-2</v>
      </c>
      <c r="R1645">
        <v>-1.0170780000000001E-2</v>
      </c>
      <c r="S1645">
        <v>-3.01892099999999</v>
      </c>
      <c r="T1645">
        <v>-0.19704059999999901</v>
      </c>
      <c r="U1645">
        <v>0.1763306</v>
      </c>
      <c r="V1645">
        <v>-1.9813939999999999E-2</v>
      </c>
      <c r="W1645">
        <v>7.3288779999999998E-2</v>
      </c>
      <c r="X1645">
        <v>0.9971139</v>
      </c>
      <c r="Y1645">
        <v>4.8721750000000001E-2</v>
      </c>
      <c r="Z1645">
        <v>9.6698559999999995E-4</v>
      </c>
      <c r="AA1645">
        <v>0.99881189999999997</v>
      </c>
      <c r="AB1645">
        <v>62</v>
      </c>
      <c r="AC1645">
        <v>-0.28960000000000702</v>
      </c>
      <c r="AD1645">
        <v>-5.8889000000000101E-2</v>
      </c>
      <c r="AE1645">
        <v>4.6999999999968602E-2</v>
      </c>
      <c r="AF1645">
        <v>4.2528127548185503E-2</v>
      </c>
      <c r="AG1645">
        <v>-5.8889000000000101E-2</v>
      </c>
      <c r="AH1645">
        <v>0.27880173231029598</v>
      </c>
      <c r="AI1645">
        <v>101.794268483228</v>
      </c>
      <c r="AJ1645">
        <v>81.327016797122695</v>
      </c>
      <c r="AK1645">
        <v>0.28810928810605302</v>
      </c>
    </row>
    <row r="1646" spans="1:37" x14ac:dyDescent="0.2">
      <c r="A1646" t="str">
        <f>"20200111154057401"</f>
        <v>20200111154057401</v>
      </c>
      <c r="B1646" t="str">
        <f>"1578728457397375"</f>
        <v>1578728457397375</v>
      </c>
      <c r="C1646" t="s">
        <v>37</v>
      </c>
      <c r="D1646">
        <v>5.2857050000000001</v>
      </c>
      <c r="E1646">
        <v>0.52515449999999997</v>
      </c>
      <c r="F1646" t="s">
        <v>45</v>
      </c>
      <c r="G1646">
        <v>-426.22930000000002</v>
      </c>
      <c r="H1646" s="1">
        <v>2.799944E-6</v>
      </c>
      <c r="I1646">
        <v>285.29899999999998</v>
      </c>
      <c r="J1646">
        <v>-409.66090000000003</v>
      </c>
      <c r="K1646">
        <v>1.1103499999999999</v>
      </c>
      <c r="L1646">
        <v>284.30930000000001</v>
      </c>
      <c r="M1646">
        <v>-0.99987060000000005</v>
      </c>
      <c r="N1646">
        <v>0</v>
      </c>
      <c r="O1646">
        <v>9.0159509999999995E-3</v>
      </c>
      <c r="P1646">
        <v>-0.9981101</v>
      </c>
      <c r="Q1646">
        <v>6.0518639999999999E-2</v>
      </c>
      <c r="R1646">
        <v>-1.0681009999999999E-2</v>
      </c>
      <c r="S1646">
        <v>-3.0191650000000001</v>
      </c>
      <c r="T1646">
        <v>-0.19510720000000001</v>
      </c>
      <c r="U1646">
        <v>0.1748962</v>
      </c>
      <c r="V1646">
        <v>-1.9825590000000001E-2</v>
      </c>
      <c r="W1646">
        <v>7.3772889999999994E-2</v>
      </c>
      <c r="X1646">
        <v>0.99707800000000002</v>
      </c>
      <c r="Y1646">
        <v>4.8745139999999999E-2</v>
      </c>
      <c r="Z1646">
        <v>9.9051999999999994E-4</v>
      </c>
      <c r="AA1646">
        <v>0.9988108</v>
      </c>
      <c r="AB1646">
        <v>62</v>
      </c>
      <c r="AC1646">
        <v>-16.568399999999901</v>
      </c>
      <c r="AD1646">
        <v>-1.110347200056</v>
      </c>
      <c r="AE1646">
        <v>0.989700000000027</v>
      </c>
      <c r="AF1646">
        <v>0.83652304231208396</v>
      </c>
      <c r="AG1646">
        <v>-1.110347200056</v>
      </c>
      <c r="AH1646">
        <v>16.502797512804701</v>
      </c>
      <c r="AI1646">
        <v>93.844273216860103</v>
      </c>
      <c r="AJ1646">
        <v>87.098173671414997</v>
      </c>
      <c r="AK1646">
        <v>16.561248970220401</v>
      </c>
    </row>
    <row r="1647" spans="1:37" x14ac:dyDescent="0.2">
      <c r="A1647" t="str">
        <f>"20200111154057424"</f>
        <v>20200111154057424</v>
      </c>
      <c r="B1647" t="str">
        <f>"1578728457417872"</f>
        <v>1578728457417872</v>
      </c>
      <c r="C1647" t="s">
        <v>37</v>
      </c>
      <c r="D1647">
        <v>5.1287690000000001</v>
      </c>
      <c r="E1647">
        <v>0.47857149999999998</v>
      </c>
      <c r="F1647" t="s">
        <v>45</v>
      </c>
      <c r="G1647">
        <v>-426.8159</v>
      </c>
      <c r="H1647" s="1">
        <v>2.6967430000000001E-6</v>
      </c>
      <c r="I1647">
        <v>285.28930000000003</v>
      </c>
      <c r="J1647">
        <v>-410.29660000000001</v>
      </c>
      <c r="K1647">
        <v>1.110363</v>
      </c>
      <c r="L1647">
        <v>284.31479999999999</v>
      </c>
      <c r="M1647">
        <v>-0.99987150000000002</v>
      </c>
      <c r="N1647">
        <v>0</v>
      </c>
      <c r="O1647">
        <v>8.4936249999999994E-3</v>
      </c>
      <c r="P1647">
        <v>-0.99810969999999999</v>
      </c>
      <c r="Q1647">
        <v>6.0404989999999999E-2</v>
      </c>
      <c r="R1647">
        <v>-1.1332160000000001E-2</v>
      </c>
      <c r="S1647">
        <v>-3.019409</v>
      </c>
      <c r="T1647">
        <v>-0.19542950000000001</v>
      </c>
      <c r="U1647">
        <v>0.17248540000000001</v>
      </c>
      <c r="V1647">
        <v>-1.99560999999999E-2</v>
      </c>
      <c r="W1647">
        <v>7.3931230000000001E-2</v>
      </c>
      <c r="X1647">
        <v>0.99706360000000005</v>
      </c>
      <c r="Y1647">
        <v>4.8466549999999997E-2</v>
      </c>
      <c r="Z1647">
        <v>1.0168359999999999E-3</v>
      </c>
      <c r="AA1647">
        <v>0.9988243</v>
      </c>
      <c r="AB1647">
        <v>62</v>
      </c>
      <c r="AC1647">
        <v>-16.519299999999902</v>
      </c>
      <c r="AD1647">
        <v>-1.110360303257</v>
      </c>
      <c r="AE1647">
        <v>0.97450000000003401</v>
      </c>
      <c r="AF1647">
        <v>0.83040439121991605</v>
      </c>
      <c r="AG1647">
        <v>-1.110360303257</v>
      </c>
      <c r="AH1647">
        <v>16.452905657794599</v>
      </c>
      <c r="AI1647">
        <v>93.855983174997505</v>
      </c>
      <c r="AJ1647">
        <v>87.110642388238801</v>
      </c>
      <c r="AK1647">
        <v>16.5112257582621</v>
      </c>
    </row>
    <row r="1648" spans="1:37" x14ac:dyDescent="0.2">
      <c r="A1648" t="str">
        <f>"20200111154057446"</f>
        <v>20200111154057446</v>
      </c>
      <c r="B1648" t="str">
        <f>"1578728457437392"</f>
        <v>1578728457437392</v>
      </c>
      <c r="C1648" t="s">
        <v>37</v>
      </c>
      <c r="D1648">
        <v>5.2454910000000003</v>
      </c>
      <c r="E1648">
        <v>0.46765010000000001</v>
      </c>
      <c r="F1648" t="s">
        <v>45</v>
      </c>
      <c r="G1648">
        <v>-429.19420000000002</v>
      </c>
      <c r="H1648" s="1">
        <v>2.47028899999999E-6</v>
      </c>
      <c r="I1648">
        <v>283.0539</v>
      </c>
      <c r="J1648">
        <v>-410.92250000000001</v>
      </c>
      <c r="K1648">
        <v>1.110384</v>
      </c>
      <c r="L1648">
        <v>284.32</v>
      </c>
      <c r="M1648">
        <v>-0.9998726</v>
      </c>
      <c r="N1648">
        <v>0</v>
      </c>
      <c r="O1648">
        <v>7.9781920000000003E-3</v>
      </c>
      <c r="P1648">
        <v>-0.99813369999999901</v>
      </c>
      <c r="Q1648">
        <v>5.9865130000000003E-2</v>
      </c>
      <c r="R1648">
        <v>-1.205649E-2</v>
      </c>
      <c r="S1648">
        <v>-3.01412999999999</v>
      </c>
      <c r="T1648">
        <v>-0.17710049999999999</v>
      </c>
      <c r="U1648">
        <v>-0.20111080000000001</v>
      </c>
      <c r="V1648">
        <v>-2.016623E-2</v>
      </c>
      <c r="W1648">
        <v>7.3624519999999999E-2</v>
      </c>
      <c r="X1648">
        <v>0.99708209999999997</v>
      </c>
      <c r="Y1648">
        <v>-7.4392360000000005E-2</v>
      </c>
      <c r="Z1648">
        <v>-2.6491470000000001E-3</v>
      </c>
      <c r="AA1648">
        <v>0.99722549999999899</v>
      </c>
      <c r="AB1648">
        <v>62</v>
      </c>
      <c r="AC1648">
        <v>-18.271699999999999</v>
      </c>
      <c r="AD1648">
        <v>-1.110381529711</v>
      </c>
      <c r="AE1648">
        <v>-1.26609999999999</v>
      </c>
      <c r="AF1648">
        <v>-1.4066786346167499</v>
      </c>
      <c r="AG1648">
        <v>-1.110381529711</v>
      </c>
      <c r="AH1648">
        <v>18.194145198175001</v>
      </c>
      <c r="AI1648">
        <v>93.482041317216797</v>
      </c>
      <c r="AJ1648">
        <v>94.421022805604395</v>
      </c>
      <c r="AK1648">
        <v>18.282193834846101</v>
      </c>
    </row>
    <row r="1649" spans="1:37" x14ac:dyDescent="0.2">
      <c r="A1649" t="str">
        <f>"20200111154057468"</f>
        <v>20200111154057468</v>
      </c>
      <c r="B1649" t="str">
        <f>"1578728457457888"</f>
        <v>1578728457457888</v>
      </c>
      <c r="C1649" t="s">
        <v>37</v>
      </c>
      <c r="D1649">
        <v>5.1252110000000002</v>
      </c>
      <c r="E1649">
        <v>0.46385680000000001</v>
      </c>
      <c r="F1649" t="s">
        <v>45</v>
      </c>
      <c r="G1649">
        <v>-429.38010000000003</v>
      </c>
      <c r="H1649" s="1">
        <v>2.481897E-6</v>
      </c>
      <c r="I1649">
        <v>282.54390000000001</v>
      </c>
      <c r="J1649">
        <v>-411.5274</v>
      </c>
      <c r="K1649">
        <v>1.110401</v>
      </c>
      <c r="L1649">
        <v>284.32459999999998</v>
      </c>
      <c r="M1649">
        <v>-0.99987380000000003</v>
      </c>
      <c r="N1649">
        <v>0</v>
      </c>
      <c r="O1649">
        <v>7.4798219999999997E-3</v>
      </c>
      <c r="P1649">
        <v>-0.99809780000000003</v>
      </c>
      <c r="Q1649">
        <v>6.0132379999999999E-2</v>
      </c>
      <c r="R1649">
        <v>-1.3614589999999999E-2</v>
      </c>
      <c r="S1649">
        <v>-3.0129700000000001</v>
      </c>
      <c r="T1649">
        <v>-0.181255</v>
      </c>
      <c r="U1649">
        <v>-0.28991699999999998</v>
      </c>
      <c r="V1649">
        <v>-2.1228110000000001E-2</v>
      </c>
      <c r="W1649">
        <v>7.4086739999999998E-2</v>
      </c>
      <c r="X1649">
        <v>0.99702579999999996</v>
      </c>
      <c r="Y1649">
        <v>-0.1030261</v>
      </c>
      <c r="Z1649">
        <v>-3.5376370000000002E-3</v>
      </c>
      <c r="AA1649">
        <v>0.99467240000000001</v>
      </c>
      <c r="AB1649">
        <v>62</v>
      </c>
      <c r="AC1649">
        <v>-17.852699999999999</v>
      </c>
      <c r="AD1649">
        <v>-1.1103985181029901</v>
      </c>
      <c r="AE1649">
        <v>-1.78069999999996</v>
      </c>
      <c r="AF1649">
        <v>-1.9068940373186001</v>
      </c>
      <c r="AG1649">
        <v>-1.1103985181029901</v>
      </c>
      <c r="AH1649">
        <v>17.770809543715899</v>
      </c>
      <c r="AI1649">
        <v>93.555088645762197</v>
      </c>
      <c r="AJ1649">
        <v>96.124679528825496</v>
      </c>
      <c r="AK1649">
        <v>17.907286270610399</v>
      </c>
    </row>
    <row r="1650" spans="1:37" x14ac:dyDescent="0.2">
      <c r="A1650" t="str">
        <f>"20200111154057491"</f>
        <v>20200111154057491</v>
      </c>
      <c r="B1650" t="str">
        <f>"1578728457488144"</f>
        <v>1578728457488144</v>
      </c>
      <c r="C1650" t="s">
        <v>37</v>
      </c>
      <c r="D1650">
        <v>5.1186989999999897</v>
      </c>
      <c r="E1650">
        <v>0.4622173</v>
      </c>
      <c r="F1650" t="s">
        <v>45</v>
      </c>
      <c r="G1650">
        <v>-429.68979999999999</v>
      </c>
      <c r="H1650" s="1">
        <v>2.4423969999999998E-6</v>
      </c>
      <c r="I1650">
        <v>282.36739999999998</v>
      </c>
      <c r="J1650">
        <v>-412.15559999999999</v>
      </c>
      <c r="K1650">
        <v>1.110419</v>
      </c>
      <c r="L1650">
        <v>284.32909999999998</v>
      </c>
      <c r="M1650">
        <v>-0.99987479999999995</v>
      </c>
      <c r="N1650">
        <v>0</v>
      </c>
      <c r="O1650">
        <v>6.9615060000000001E-3</v>
      </c>
      <c r="P1650">
        <v>-0.99808019999999997</v>
      </c>
      <c r="Q1650">
        <v>5.9959020000000002E-2</v>
      </c>
      <c r="R1650">
        <v>-1.552595E-2</v>
      </c>
      <c r="S1650">
        <v>-3.0123899999999999</v>
      </c>
      <c r="T1650">
        <v>-0.18416920000000001</v>
      </c>
      <c r="U1650">
        <v>-0.3246155</v>
      </c>
      <c r="V1650">
        <v>-2.262202E-2</v>
      </c>
      <c r="W1650">
        <v>7.4089119999999994E-2</v>
      </c>
      <c r="X1650">
        <v>0.99699499999999996</v>
      </c>
      <c r="Y1650">
        <v>-0.1138364</v>
      </c>
      <c r="Z1650">
        <v>-3.8906349999999999E-3</v>
      </c>
      <c r="AA1650">
        <v>0.99349189999999998</v>
      </c>
      <c r="AB1650">
        <v>62</v>
      </c>
      <c r="AC1650">
        <v>-17.534199999999998</v>
      </c>
      <c r="AD1650">
        <v>-1.1104165576030001</v>
      </c>
      <c r="AE1650">
        <v>-1.9617</v>
      </c>
      <c r="AF1650">
        <v>-2.075508266216</v>
      </c>
      <c r="AG1650">
        <v>-1.1104165576030001</v>
      </c>
      <c r="AH1650">
        <v>17.450995011752902</v>
      </c>
      <c r="AI1650">
        <v>93.615441535572302</v>
      </c>
      <c r="AJ1650">
        <v>96.782528456039799</v>
      </c>
      <c r="AK1650">
        <v>17.609031387181901</v>
      </c>
    </row>
    <row r="1651" spans="1:37" x14ac:dyDescent="0.2">
      <c r="A1651" t="str">
        <f>"20200111154057514"</f>
        <v>20200111154057514</v>
      </c>
      <c r="B1651" t="str">
        <f>"1578728457507664"</f>
        <v>1578728457507664</v>
      </c>
      <c r="C1651" t="s">
        <v>37</v>
      </c>
      <c r="D1651">
        <v>5.1055459999999897</v>
      </c>
      <c r="E1651">
        <v>0.46152559999999898</v>
      </c>
      <c r="F1651" t="s">
        <v>45</v>
      </c>
      <c r="G1651">
        <v>-430.25909999999999</v>
      </c>
      <c r="H1651" s="1">
        <v>2.5373950000000001E-6</v>
      </c>
      <c r="I1651">
        <v>282.26580000000001</v>
      </c>
      <c r="J1651">
        <v>-412.79070000000002</v>
      </c>
      <c r="K1651">
        <v>1.1104419999999999</v>
      </c>
      <c r="L1651">
        <v>284.33330000000001</v>
      </c>
      <c r="M1651">
        <v>-0.99987610000000005</v>
      </c>
      <c r="N1651">
        <v>0</v>
      </c>
      <c r="O1651">
        <v>6.4373369999999996E-3</v>
      </c>
      <c r="P1651">
        <v>-0.99804459999999995</v>
      </c>
      <c r="Q1651">
        <v>5.9872979999999999E-2</v>
      </c>
      <c r="R1651">
        <v>-1.795447E-2</v>
      </c>
      <c r="S1651">
        <v>-3.0115050000000001</v>
      </c>
      <c r="T1651">
        <v>-0.18471679999999999</v>
      </c>
      <c r="U1651">
        <v>-0.34323120000000001</v>
      </c>
      <c r="V1651">
        <v>-2.4527750000000001E-2</v>
      </c>
      <c r="W1651">
        <v>7.4155219999999994E-2</v>
      </c>
      <c r="X1651">
        <v>0.99694499999999997</v>
      </c>
      <c r="Y1651">
        <v>-0.1194009</v>
      </c>
      <c r="Z1651">
        <v>-4.0399240000000003E-3</v>
      </c>
      <c r="AA1651">
        <v>0.99283790000000005</v>
      </c>
      <c r="AB1651">
        <v>62</v>
      </c>
      <c r="AC1651">
        <v>-17.4683999999999</v>
      </c>
      <c r="AD1651">
        <v>-1.110439462605</v>
      </c>
      <c r="AE1651">
        <v>-2.0674999999999901</v>
      </c>
      <c r="AF1651">
        <v>-2.1712659663767</v>
      </c>
      <c r="AG1651">
        <v>-1.110439462605</v>
      </c>
      <c r="AH1651">
        <v>17.3854442352301</v>
      </c>
      <c r="AI1651">
        <v>93.626522834254601</v>
      </c>
      <c r="AJ1651">
        <v>97.118803668541503</v>
      </c>
      <c r="AK1651">
        <v>17.555658431205298</v>
      </c>
    </row>
    <row r="1652" spans="1:37" x14ac:dyDescent="0.2">
      <c r="A1652" t="str">
        <f>"20200111154057529"</f>
        <v>20200111154057529</v>
      </c>
      <c r="B1652" t="str">
        <f>"1578728457517426"</f>
        <v>1578728457517426</v>
      </c>
      <c r="C1652" t="s">
        <v>37</v>
      </c>
      <c r="D1652">
        <v>5.1120169999999998</v>
      </c>
      <c r="E1652">
        <v>0.46131869999999903</v>
      </c>
      <c r="F1652" t="s">
        <v>45</v>
      </c>
      <c r="G1652">
        <v>-430.62189999999998</v>
      </c>
      <c r="H1652" s="1">
        <v>2.7018110000000002E-6</v>
      </c>
      <c r="I1652">
        <v>282.22500000000002</v>
      </c>
      <c r="J1652">
        <v>-413.20420000000001</v>
      </c>
      <c r="K1652">
        <v>1.1104529999999999</v>
      </c>
      <c r="L1652">
        <v>284.33589999999998</v>
      </c>
      <c r="M1652">
        <v>-0.99987689999999996</v>
      </c>
      <c r="N1652">
        <v>0</v>
      </c>
      <c r="O1652">
        <v>6.0961100000000001E-3</v>
      </c>
      <c r="P1652">
        <v>-0.99799230000000005</v>
      </c>
      <c r="Q1652">
        <v>6.031193E-2</v>
      </c>
      <c r="R1652">
        <v>-1.9339289999999999E-2</v>
      </c>
      <c r="S1652">
        <v>-3.0106809999999999</v>
      </c>
      <c r="T1652">
        <v>-0.18749109999999999</v>
      </c>
      <c r="U1652">
        <v>-0.35598750000000001</v>
      </c>
      <c r="V1652">
        <v>-2.5573519999999999E-2</v>
      </c>
      <c r="W1652">
        <v>7.4682090000000007E-2</v>
      </c>
      <c r="X1652">
        <v>0.99687939999999997</v>
      </c>
      <c r="Y1652">
        <v>-0.1232288</v>
      </c>
      <c r="Z1652">
        <v>-4.1981020000000004E-3</v>
      </c>
      <c r="AA1652">
        <v>0.99236939999999996</v>
      </c>
      <c r="AB1652">
        <v>62</v>
      </c>
      <c r="AC1652">
        <v>-17.4176999999999</v>
      </c>
      <c r="AD1652">
        <v>-1.1104502981890001</v>
      </c>
      <c r="AE1652">
        <v>-2.1108999999999498</v>
      </c>
      <c r="AF1652">
        <v>-2.2082065505397299</v>
      </c>
      <c r="AG1652">
        <v>-1.1104502981890001</v>
      </c>
      <c r="AH1652">
        <v>17.335066654978</v>
      </c>
      <c r="AI1652">
        <v>93.635946034171596</v>
      </c>
      <c r="AJ1652">
        <v>97.259456712772803</v>
      </c>
      <c r="AK1652">
        <v>17.510391542370598</v>
      </c>
    </row>
    <row r="1653" spans="1:37" x14ac:dyDescent="0.2">
      <c r="A1653" t="str">
        <f>"20200111154057546"</f>
        <v>20200111154057546</v>
      </c>
      <c r="B1653" t="str">
        <f>"1578728457537920"</f>
        <v>1578728457537920</v>
      </c>
      <c r="C1653" t="s">
        <v>37</v>
      </c>
      <c r="D1653">
        <v>5.1358480000000002</v>
      </c>
      <c r="E1653">
        <v>0.46083220000000003</v>
      </c>
      <c r="F1653" t="s">
        <v>45</v>
      </c>
      <c r="G1653">
        <v>-431.24470000000002</v>
      </c>
      <c r="H1653" s="1">
        <v>2.9830759999999899E-6</v>
      </c>
      <c r="I1653">
        <v>282.16730000000001</v>
      </c>
      <c r="J1653">
        <v>-413.69670000000002</v>
      </c>
      <c r="K1653">
        <v>1.1104639999999999</v>
      </c>
      <c r="L1653">
        <v>284.33879999999999</v>
      </c>
      <c r="M1653">
        <v>-0.99987789999999999</v>
      </c>
      <c r="N1653">
        <v>0</v>
      </c>
      <c r="O1653">
        <v>5.689024E-3</v>
      </c>
      <c r="P1653">
        <v>-0.9979517</v>
      </c>
      <c r="Q1653">
        <v>6.0007970000000001E-2</v>
      </c>
      <c r="R1653">
        <v>-2.2163840000000001E-2</v>
      </c>
      <c r="S1653">
        <v>-3.0101930000000001</v>
      </c>
      <c r="T1653">
        <v>-0.18528649999999999</v>
      </c>
      <c r="U1653">
        <v>-0.36184690000000003</v>
      </c>
      <c r="V1653">
        <v>-2.7991510000000001E-2</v>
      </c>
      <c r="W1653">
        <v>7.4469540000000001E-2</v>
      </c>
      <c r="X1653">
        <v>0.99683029999999995</v>
      </c>
      <c r="Y1653">
        <v>-0.12475169999999999</v>
      </c>
      <c r="Z1653">
        <v>-4.1707319999999999E-3</v>
      </c>
      <c r="AA1653">
        <v>0.99217919999999904</v>
      </c>
      <c r="AB1653">
        <v>62</v>
      </c>
      <c r="AC1653">
        <v>-17.547999999999998</v>
      </c>
      <c r="AD1653">
        <v>-1.1104610169239999</v>
      </c>
      <c r="AE1653">
        <v>-2.17149999999998</v>
      </c>
      <c r="AF1653">
        <v>-2.2623832830041799</v>
      </c>
      <c r="AG1653">
        <v>-1.1104610169239999</v>
      </c>
      <c r="AH1653">
        <v>17.466470886863402</v>
      </c>
      <c r="AI1653">
        <v>93.607724528410102</v>
      </c>
      <c r="AJ1653">
        <v>97.380271972908801</v>
      </c>
      <c r="AK1653">
        <v>17.647354108505098</v>
      </c>
    </row>
    <row r="1654" spans="1:37" x14ac:dyDescent="0.2">
      <c r="A1654" t="str">
        <f>"20200111154057561"</f>
        <v>20200111154057561</v>
      </c>
      <c r="B1654" t="str">
        <f>"1578728457557439"</f>
        <v>1578728457557439</v>
      </c>
      <c r="C1654" t="s">
        <v>37</v>
      </c>
      <c r="D1654">
        <v>5.1160899999999998</v>
      </c>
      <c r="E1654">
        <v>0.46052379999999998</v>
      </c>
      <c r="F1654" t="s">
        <v>45</v>
      </c>
      <c r="G1654">
        <v>-431.67869999999999</v>
      </c>
      <c r="H1654" s="1">
        <v>3.18141599999999E-6</v>
      </c>
      <c r="I1654">
        <v>282.10019999999997</v>
      </c>
      <c r="J1654">
        <v>-414.1105</v>
      </c>
      <c r="K1654">
        <v>1.110471</v>
      </c>
      <c r="L1654">
        <v>284.34109999999998</v>
      </c>
      <c r="M1654">
        <v>-0.99987870000000001</v>
      </c>
      <c r="N1654">
        <v>0</v>
      </c>
      <c r="O1654">
        <v>5.346455E-3</v>
      </c>
      <c r="P1654">
        <v>-0.99790239999999997</v>
      </c>
      <c r="Q1654">
        <v>6.0313949999999998E-2</v>
      </c>
      <c r="R1654">
        <v>-2.3520639999999999E-2</v>
      </c>
      <c r="S1654">
        <v>-3.0090029999999999</v>
      </c>
      <c r="T1654">
        <v>-0.1858177</v>
      </c>
      <c r="U1654">
        <v>-0.37460329999999997</v>
      </c>
      <c r="V1654">
        <v>-2.9006919999999999E-2</v>
      </c>
      <c r="W1654">
        <v>7.4846609999999994E-2</v>
      </c>
      <c r="X1654">
        <v>0.99677309999999997</v>
      </c>
      <c r="Y1654">
        <v>-0.1285935</v>
      </c>
      <c r="Z1654">
        <v>-4.2802350000000003E-3</v>
      </c>
      <c r="AA1654">
        <v>0.99168809999999996</v>
      </c>
      <c r="AB1654">
        <v>62</v>
      </c>
      <c r="AC1654">
        <v>-17.568199999999901</v>
      </c>
      <c r="AD1654">
        <v>-1.110467818584</v>
      </c>
      <c r="AE1654">
        <v>-2.2409000000000101</v>
      </c>
      <c r="AF1654">
        <v>-2.32566247668308</v>
      </c>
      <c r="AG1654">
        <v>-1.110467818584</v>
      </c>
      <c r="AH1654">
        <v>17.487217291432799</v>
      </c>
      <c r="AI1654">
        <v>93.601871193109801</v>
      </c>
      <c r="AJ1654">
        <v>97.575435124065507</v>
      </c>
      <c r="AK1654">
        <v>17.6761028886276</v>
      </c>
    </row>
    <row r="1655" spans="1:37" x14ac:dyDescent="0.2">
      <c r="A1655" t="str">
        <f>"20200111154057579"</f>
        <v>20200111154057579</v>
      </c>
      <c r="B1655" t="str">
        <f>"1578728457577936"</f>
        <v>1578728457577936</v>
      </c>
      <c r="C1655" t="s">
        <v>37</v>
      </c>
      <c r="D1655">
        <v>5.0984809999999996</v>
      </c>
      <c r="E1655">
        <v>0.46036169999999998</v>
      </c>
      <c r="F1655" t="s">
        <v>45</v>
      </c>
      <c r="G1655">
        <v>-432.1773</v>
      </c>
      <c r="H1655" s="1">
        <v>3.4068210000000001E-6</v>
      </c>
      <c r="I1655">
        <v>282.05099999999999</v>
      </c>
      <c r="J1655">
        <v>-414.62419999999997</v>
      </c>
      <c r="K1655">
        <v>1.110482</v>
      </c>
      <c r="L1655">
        <v>284.34370000000001</v>
      </c>
      <c r="M1655">
        <v>-0.99987969999999904</v>
      </c>
      <c r="N1655">
        <v>0</v>
      </c>
      <c r="O1655">
        <v>4.9215020000000003E-3</v>
      </c>
      <c r="P1655">
        <v>-0.99784830000000002</v>
      </c>
      <c r="Q1655">
        <v>6.0233670000000003E-2</v>
      </c>
      <c r="R1655">
        <v>-2.5901649999999998E-2</v>
      </c>
      <c r="S1655">
        <v>-3.0084840000000002</v>
      </c>
      <c r="T1655">
        <v>-0.18491459999999901</v>
      </c>
      <c r="U1655">
        <v>-0.38134770000000001</v>
      </c>
      <c r="V1655">
        <v>-3.096368E-2</v>
      </c>
      <c r="W1655">
        <v>7.4842809999999996E-2</v>
      </c>
      <c r="X1655">
        <v>0.99671449999999995</v>
      </c>
      <c r="Y1655">
        <v>-0.13038130000000001</v>
      </c>
      <c r="Z1655">
        <v>-4.2882859999999997E-3</v>
      </c>
      <c r="AA1655">
        <v>0.99145469999999902</v>
      </c>
      <c r="AB1655">
        <v>62</v>
      </c>
      <c r="AC1655">
        <v>-17.553100000000001</v>
      </c>
      <c r="AD1655">
        <v>-1.110478593179</v>
      </c>
      <c r="AE1655">
        <v>-2.2927000000000199</v>
      </c>
      <c r="AF1655">
        <v>-2.3697437928546798</v>
      </c>
      <c r="AG1655">
        <v>-1.110478593179</v>
      </c>
      <c r="AH1655">
        <v>17.472843616077601</v>
      </c>
      <c r="AI1655">
        <v>93.603612935585403</v>
      </c>
      <c r="AJ1655">
        <v>97.723579556601507</v>
      </c>
      <c r="AK1655">
        <v>17.667742141586299</v>
      </c>
    </row>
    <row r="1656" spans="1:37" x14ac:dyDescent="0.2">
      <c r="A1656" t="str">
        <f>"20200111154057594"</f>
        <v>20200111154057594</v>
      </c>
      <c r="B1656" t="str">
        <f>"1578728457587697"</f>
        <v>1578728457587697</v>
      </c>
      <c r="C1656" t="s">
        <v>37</v>
      </c>
      <c r="D1656">
        <v>5.0944070000000004</v>
      </c>
      <c r="E1656">
        <v>0.46036589999999999</v>
      </c>
      <c r="F1656" t="s">
        <v>45</v>
      </c>
      <c r="G1656">
        <v>-432.6859</v>
      </c>
      <c r="H1656" s="1">
        <v>3.6365599999999998E-6</v>
      </c>
      <c r="I1656">
        <v>282.0027</v>
      </c>
      <c r="J1656">
        <v>-415.02690000000001</v>
      </c>
      <c r="K1656">
        <v>1.1104860000000001</v>
      </c>
      <c r="L1656">
        <v>284.34559999999999</v>
      </c>
      <c r="M1656">
        <v>-0.9998804</v>
      </c>
      <c r="N1656">
        <v>0</v>
      </c>
      <c r="O1656">
        <v>4.5875409999999997E-3</v>
      </c>
      <c r="P1656">
        <v>-0.99781160000000002</v>
      </c>
      <c r="Q1656">
        <v>6.0310830000000003E-2</v>
      </c>
      <c r="R1656">
        <v>-2.7105799999999999E-2</v>
      </c>
      <c r="S1656">
        <v>-3.0075069999999999</v>
      </c>
      <c r="T1656">
        <v>-0.1849094</v>
      </c>
      <c r="U1656">
        <v>-0.38980100000000001</v>
      </c>
      <c r="V1656">
        <v>-3.1835000000000002E-2</v>
      </c>
      <c r="W1656">
        <v>7.4974520000000003E-2</v>
      </c>
      <c r="X1656">
        <v>0.99667719999999904</v>
      </c>
      <c r="Y1656">
        <v>-0.13282769999999999</v>
      </c>
      <c r="Z1656">
        <v>-4.3431700000000004E-3</v>
      </c>
      <c r="AA1656">
        <v>0.99112960000000006</v>
      </c>
      <c r="AB1656">
        <v>62</v>
      </c>
      <c r="AC1656">
        <v>-17.658999999999899</v>
      </c>
      <c r="AD1656">
        <v>-1.1104823634400001</v>
      </c>
      <c r="AE1656">
        <v>-2.3428999999999802</v>
      </c>
      <c r="AF1656">
        <v>-2.4145125497395901</v>
      </c>
      <c r="AG1656">
        <v>-1.1104823634400001</v>
      </c>
      <c r="AH1656">
        <v>17.5797483176094</v>
      </c>
      <c r="AI1656">
        <v>93.580944147269904</v>
      </c>
      <c r="AJ1656">
        <v>97.820430699211599</v>
      </c>
      <c r="AK1656">
        <v>17.7794992292486</v>
      </c>
    </row>
    <row r="1657" spans="1:37" x14ac:dyDescent="0.2">
      <c r="A1657" t="str">
        <f>"20200111154057610"</f>
        <v>20200111154057610</v>
      </c>
      <c r="B1657" t="str">
        <f>"1578728457608192"</f>
        <v>1578728457608192</v>
      </c>
      <c r="C1657" t="s">
        <v>37</v>
      </c>
      <c r="D1657">
        <v>5.126525</v>
      </c>
      <c r="E1657">
        <v>0.46040119999999901</v>
      </c>
      <c r="F1657" t="s">
        <v>45</v>
      </c>
      <c r="G1657">
        <v>-433.07940000000002</v>
      </c>
      <c r="H1657" s="1">
        <v>3.812801E-6</v>
      </c>
      <c r="I1657">
        <v>281.983</v>
      </c>
      <c r="J1657">
        <v>-415.45179999999999</v>
      </c>
      <c r="K1657">
        <v>1.110487</v>
      </c>
      <c r="L1657">
        <v>284.34750000000003</v>
      </c>
      <c r="M1657">
        <v>-0.99988129999999997</v>
      </c>
      <c r="N1657">
        <v>0</v>
      </c>
      <c r="O1657">
        <v>4.2350599999999997E-3</v>
      </c>
      <c r="P1657">
        <v>-0.99779240000000002</v>
      </c>
      <c r="Q1657">
        <v>6.0193429999999999E-2</v>
      </c>
      <c r="R1657">
        <v>-2.8062779999999999E-2</v>
      </c>
      <c r="S1657">
        <v>-3.0071110000000001</v>
      </c>
      <c r="T1657">
        <v>-0.1849797</v>
      </c>
      <c r="U1657">
        <v>-0.39355469999999998</v>
      </c>
      <c r="V1657">
        <v>-3.2439669999999997E-2</v>
      </c>
      <c r="W1657">
        <v>7.4909859999999995E-2</v>
      </c>
      <c r="X1657">
        <v>0.99666250000000001</v>
      </c>
      <c r="Y1657">
        <v>-0.1337102</v>
      </c>
      <c r="Z1657">
        <v>-4.3504659999999999E-3</v>
      </c>
      <c r="AA1657">
        <v>0.99101090000000003</v>
      </c>
      <c r="AB1657">
        <v>62</v>
      </c>
      <c r="AC1657">
        <v>-17.627600000000001</v>
      </c>
      <c r="AD1657">
        <v>-1.110483187199</v>
      </c>
      <c r="AE1657">
        <v>-2.36450000000002</v>
      </c>
      <c r="AF1657">
        <v>-2.4296689614765299</v>
      </c>
      <c r="AG1657">
        <v>-1.110483187199</v>
      </c>
      <c r="AH1657">
        <v>17.549012871085701</v>
      </c>
      <c r="AI1657">
        <v>93.586667539563905</v>
      </c>
      <c r="AJ1657">
        <v>97.8825166893144</v>
      </c>
      <c r="AK1657">
        <v>17.751177902351898</v>
      </c>
    </row>
    <row r="1658" spans="1:37" x14ac:dyDescent="0.2">
      <c r="A1658" t="str">
        <f>"20200111154057625"</f>
        <v>20200111154057625</v>
      </c>
      <c r="B1658" t="str">
        <f>"1578728457617952"</f>
        <v>1578728457617952</v>
      </c>
      <c r="C1658" t="s">
        <v>37</v>
      </c>
      <c r="D1658">
        <v>5.1186959999999999</v>
      </c>
      <c r="E1658">
        <v>0.46042070000000002</v>
      </c>
      <c r="F1658" t="s">
        <v>45</v>
      </c>
      <c r="G1658">
        <v>-433.47399999999999</v>
      </c>
      <c r="H1658" s="1">
        <v>3.988691E-6</v>
      </c>
      <c r="I1658">
        <v>281.9726</v>
      </c>
      <c r="J1658">
        <v>-415.88499999999999</v>
      </c>
      <c r="K1658">
        <v>1.110492</v>
      </c>
      <c r="L1658">
        <v>284.34930000000003</v>
      </c>
      <c r="M1658">
        <v>-0.99988189999999999</v>
      </c>
      <c r="N1658">
        <v>0</v>
      </c>
      <c r="O1658">
        <v>3.8755790000000001E-3</v>
      </c>
      <c r="P1658">
        <v>-0.99784089999999903</v>
      </c>
      <c r="Q1658">
        <v>5.865451E-2</v>
      </c>
      <c r="R1658">
        <v>-2.954876E-2</v>
      </c>
      <c r="S1658">
        <v>-3.0066830000000002</v>
      </c>
      <c r="T1658">
        <v>-0.18526419999999999</v>
      </c>
      <c r="U1658">
        <v>-0.3962097</v>
      </c>
      <c r="V1658">
        <v>-3.3564469999999999E-2</v>
      </c>
      <c r="W1658">
        <v>7.3420029999999997E-2</v>
      </c>
      <c r="X1658">
        <v>0.99673609999999901</v>
      </c>
      <c r="Y1658">
        <v>-0.13423119999999999</v>
      </c>
      <c r="Z1658">
        <v>-4.3514369999999997E-3</v>
      </c>
      <c r="AA1658">
        <v>0.9909405</v>
      </c>
      <c r="AB1658">
        <v>62</v>
      </c>
      <c r="AC1658">
        <v>-17.588999999999999</v>
      </c>
      <c r="AD1658">
        <v>-1.1104880113090001</v>
      </c>
      <c r="AE1658">
        <v>-2.37670000000002</v>
      </c>
      <c r="AF1658">
        <v>-2.4353239264420301</v>
      </c>
      <c r="AG1658">
        <v>-1.1104880113090001</v>
      </c>
      <c r="AH1658">
        <v>17.511106791313299</v>
      </c>
      <c r="AI1658">
        <v>93.594122921856794</v>
      </c>
      <c r="AJ1658">
        <v>97.917517283212007</v>
      </c>
      <c r="AK1658">
        <v>17.714481288108399</v>
      </c>
    </row>
    <row r="1659" spans="1:37" x14ac:dyDescent="0.2">
      <c r="A1659" t="str">
        <f>"20200111154057647"</f>
        <v>20200111154057647</v>
      </c>
      <c r="B1659" t="str">
        <f>"1578728457637473"</f>
        <v>1578728457637473</v>
      </c>
      <c r="C1659" t="s">
        <v>37</v>
      </c>
      <c r="D1659">
        <v>5.0841890000000003</v>
      </c>
      <c r="E1659">
        <v>0.46042029999999901</v>
      </c>
      <c r="F1659" t="s">
        <v>45</v>
      </c>
      <c r="G1659">
        <v>-433.47559999999999</v>
      </c>
      <c r="H1659" s="1">
        <v>3.9867110000000004E-6</v>
      </c>
      <c r="I1659">
        <v>282.00310000000002</v>
      </c>
      <c r="J1659">
        <v>-416.4753</v>
      </c>
      <c r="K1659">
        <v>1.1104940000000001</v>
      </c>
      <c r="L1659">
        <v>284.35140000000001</v>
      </c>
      <c r="M1659">
        <v>-0.99988290000000002</v>
      </c>
      <c r="N1659">
        <v>0</v>
      </c>
      <c r="O1659">
        <v>3.3852499999999998E-3</v>
      </c>
      <c r="P1659">
        <v>-0.99785239999999997</v>
      </c>
      <c r="Q1659">
        <v>5.815087E-2</v>
      </c>
      <c r="R1659">
        <v>-3.0162359999999999E-2</v>
      </c>
      <c r="S1659">
        <v>-3.0057680000000002</v>
      </c>
      <c r="T1659">
        <v>-0.18975400000000001</v>
      </c>
      <c r="U1659">
        <v>-0.40090940000000003</v>
      </c>
      <c r="V1659">
        <v>-3.3687729999999999E-2</v>
      </c>
      <c r="W1659">
        <v>7.2976340000000001E-2</v>
      </c>
      <c r="X1659">
        <v>0.99676450000000005</v>
      </c>
      <c r="Y1659">
        <v>-0.1352931</v>
      </c>
      <c r="Z1659">
        <v>-4.4601210000000001E-3</v>
      </c>
      <c r="AA1659">
        <v>0.9907956</v>
      </c>
      <c r="AB1659">
        <v>62</v>
      </c>
      <c r="AC1659">
        <v>-17.0002999999999</v>
      </c>
      <c r="AD1659">
        <v>-1.1104900132890001</v>
      </c>
      <c r="AE1659">
        <v>-2.3482999999999898</v>
      </c>
      <c r="AF1659">
        <v>-2.39581184619583</v>
      </c>
      <c r="AG1659">
        <v>-1.1104900132890001</v>
      </c>
      <c r="AH1659">
        <v>16.921401438735</v>
      </c>
      <c r="AI1659">
        <v>93.717756359149504</v>
      </c>
      <c r="AJ1659">
        <v>98.058643163410693</v>
      </c>
      <c r="AK1659">
        <v>17.126205917330601</v>
      </c>
    </row>
    <row r="1660" spans="1:37" x14ac:dyDescent="0.2">
      <c r="A1660" t="str">
        <f>"20200111154057661"</f>
        <v>20200111154057661</v>
      </c>
      <c r="B1660" t="str">
        <f>"1578728457657568"</f>
        <v>1578728457657568</v>
      </c>
      <c r="C1660" t="s">
        <v>37</v>
      </c>
      <c r="D1660">
        <v>5.0944839999999996</v>
      </c>
      <c r="E1660">
        <v>0.46055119999999999</v>
      </c>
      <c r="F1660" t="s">
        <v>45</v>
      </c>
      <c r="G1660">
        <v>-433.94139999999999</v>
      </c>
      <c r="H1660" s="1">
        <v>4.1926819999999996E-6</v>
      </c>
      <c r="I1660">
        <v>282.01010000000002</v>
      </c>
      <c r="J1660">
        <v>-416.87079999999997</v>
      </c>
      <c r="K1660">
        <v>1.1105020000000001</v>
      </c>
      <c r="L1660">
        <v>284.35270000000003</v>
      </c>
      <c r="M1660">
        <v>-0.99988339999999998</v>
      </c>
      <c r="N1660">
        <v>0</v>
      </c>
      <c r="O1660">
        <v>3.0567120000000001E-3</v>
      </c>
      <c r="P1660">
        <v>-0.99784110000000004</v>
      </c>
      <c r="Q1660">
        <v>5.8175879999999999E-2</v>
      </c>
      <c r="R1660">
        <v>-3.048089E-2</v>
      </c>
      <c r="S1660">
        <v>-3.0054020000000001</v>
      </c>
      <c r="T1660">
        <v>-0.19108269999999999</v>
      </c>
      <c r="U1660">
        <v>-0.40286250000000001</v>
      </c>
      <c r="V1660">
        <v>-3.3678550000000002E-2</v>
      </c>
      <c r="W1660">
        <v>7.3037679999999994E-2</v>
      </c>
      <c r="X1660">
        <v>0.99676039999999999</v>
      </c>
      <c r="Y1660">
        <v>-0.13561210000000001</v>
      </c>
      <c r="Z1660">
        <v>-4.4809439999999997E-3</v>
      </c>
      <c r="AA1660">
        <v>0.99075190000000002</v>
      </c>
      <c r="AB1660">
        <v>62</v>
      </c>
      <c r="AC1660">
        <v>-17.070599999999999</v>
      </c>
      <c r="AD1660">
        <v>-1.1104978073180001</v>
      </c>
      <c r="AE1660">
        <v>-2.3426</v>
      </c>
      <c r="AF1660">
        <v>-2.3848687708531999</v>
      </c>
      <c r="AG1660">
        <v>-1.1104978073180001</v>
      </c>
      <c r="AH1660">
        <v>16.992775869090401</v>
      </c>
      <c r="AI1660">
        <v>93.702842311536997</v>
      </c>
      <c r="AJ1660">
        <v>97.989054866982997</v>
      </c>
      <c r="AK1660">
        <v>17.195209686752602</v>
      </c>
    </row>
    <row r="1661" spans="1:37" x14ac:dyDescent="0.2">
      <c r="A1661" t="str">
        <f>"20200111154057681"</f>
        <v>20200111154057681</v>
      </c>
      <c r="B1661" t="str">
        <f>"1578728457678065"</f>
        <v>1578728457678065</v>
      </c>
      <c r="C1661" t="s">
        <v>37</v>
      </c>
      <c r="D1661">
        <v>5.0872269999999897</v>
      </c>
      <c r="E1661">
        <v>0.46056170000000002</v>
      </c>
      <c r="F1661" t="s">
        <v>45</v>
      </c>
      <c r="G1661">
        <v>-434.3349</v>
      </c>
      <c r="H1661" s="1">
        <v>4.3670370000000002E-6</v>
      </c>
      <c r="I1661">
        <v>282.012</v>
      </c>
      <c r="J1661">
        <v>-417.4092</v>
      </c>
      <c r="K1661">
        <v>1.110525</v>
      </c>
      <c r="L1661">
        <v>284.35419999999999</v>
      </c>
      <c r="M1661">
        <v>-0.999884</v>
      </c>
      <c r="N1661">
        <v>0</v>
      </c>
      <c r="O1661">
        <v>2.608796E-3</v>
      </c>
      <c r="P1661">
        <v>-0.99784640000000002</v>
      </c>
      <c r="Q1661">
        <v>5.8249309999999999E-2</v>
      </c>
      <c r="R1661">
        <v>-3.016684E-2</v>
      </c>
      <c r="S1661">
        <v>-3.005341</v>
      </c>
      <c r="T1661">
        <v>-0.19110099999999999</v>
      </c>
      <c r="U1661">
        <v>-0.40280149999999998</v>
      </c>
      <c r="V1661">
        <v>-3.2918259999999998E-2</v>
      </c>
      <c r="W1661">
        <v>7.3155629999999999E-2</v>
      </c>
      <c r="X1661">
        <v>0.99677709999999997</v>
      </c>
      <c r="Y1661">
        <v>-0.13515289999999999</v>
      </c>
      <c r="Z1661">
        <v>-4.4386149999999999E-3</v>
      </c>
      <c r="AA1661">
        <v>0.9908148</v>
      </c>
      <c r="AB1661">
        <v>62</v>
      </c>
      <c r="AC1661">
        <v>-16.925699999999999</v>
      </c>
      <c r="AD1661">
        <v>-1.110520632963</v>
      </c>
      <c r="AE1661">
        <v>-2.3421999999999898</v>
      </c>
      <c r="AF1661">
        <v>-2.37631518421155</v>
      </c>
      <c r="AG1661">
        <v>-1.110520632963</v>
      </c>
      <c r="AH1661">
        <v>16.848364179569899</v>
      </c>
      <c r="AI1661">
        <v>93.734210251981693</v>
      </c>
      <c r="AJ1661">
        <v>98.028117197544205</v>
      </c>
      <c r="AK1661">
        <v>17.051319757085299</v>
      </c>
    </row>
    <row r="1662" spans="1:37" x14ac:dyDescent="0.2">
      <c r="A1662" t="str">
        <f>"20200111154057696"</f>
        <v>20200111154057696</v>
      </c>
      <c r="B1662" t="str">
        <f>"1578728457687825"</f>
        <v>1578728457687825</v>
      </c>
      <c r="C1662" t="s">
        <v>37</v>
      </c>
      <c r="D1662">
        <v>5.2890239999999897</v>
      </c>
      <c r="E1662">
        <v>0.46069670000000001</v>
      </c>
      <c r="F1662" t="s">
        <v>45</v>
      </c>
      <c r="G1662">
        <v>-434.91109999999998</v>
      </c>
      <c r="H1662" s="1">
        <v>4.6227459999999998E-6</v>
      </c>
      <c r="I1662">
        <v>282.00959999999998</v>
      </c>
      <c r="J1662">
        <v>-417.84739999999999</v>
      </c>
      <c r="K1662">
        <v>1.1105419999999999</v>
      </c>
      <c r="L1662">
        <v>284.3553</v>
      </c>
      <c r="M1662">
        <v>-0.99988429999999995</v>
      </c>
      <c r="N1662">
        <v>0</v>
      </c>
      <c r="O1662">
        <v>2.2448379999999999E-3</v>
      </c>
      <c r="P1662">
        <v>-0.99785619999999997</v>
      </c>
      <c r="Q1662">
        <v>5.8205970000000003E-2</v>
      </c>
      <c r="R1662">
        <v>-2.9917019999999999E-2</v>
      </c>
      <c r="S1662">
        <v>-3.0053709999999998</v>
      </c>
      <c r="T1662">
        <v>-0.19069559999999999</v>
      </c>
      <c r="U1662">
        <v>-0.40261839999999999</v>
      </c>
      <c r="V1662">
        <v>-3.230562E-2</v>
      </c>
      <c r="W1662">
        <v>7.3144210000000001E-2</v>
      </c>
      <c r="X1662">
        <v>0.99679799999999996</v>
      </c>
      <c r="Y1662">
        <v>-0.134734299999999</v>
      </c>
      <c r="Z1662">
        <v>-4.3930150000000001E-3</v>
      </c>
      <c r="AA1662">
        <v>0.99087199999999998</v>
      </c>
      <c r="AB1662">
        <v>62</v>
      </c>
      <c r="AC1662">
        <v>-17.063699999999901</v>
      </c>
      <c r="AD1662">
        <v>-1.1105373772539999</v>
      </c>
      <c r="AE1662">
        <v>-2.3457000000000199</v>
      </c>
      <c r="AF1662">
        <v>-2.3741341739732702</v>
      </c>
      <c r="AG1662">
        <v>-1.1105373772539999</v>
      </c>
      <c r="AH1662">
        <v>16.9877709690819</v>
      </c>
      <c r="AI1662">
        <v>93.704361447349896</v>
      </c>
      <c r="AJ1662">
        <v>97.955869577224803</v>
      </c>
      <c r="AK1662">
        <v>17.188780318576601</v>
      </c>
    </row>
    <row r="1663" spans="1:37" x14ac:dyDescent="0.2">
      <c r="A1663" t="str">
        <f>"20200111154057715"</f>
        <v>20200111154057715</v>
      </c>
      <c r="B1663" t="str">
        <f>"1578728457707347"</f>
        <v>1578728457707347</v>
      </c>
      <c r="C1663" t="s">
        <v>37</v>
      </c>
      <c r="D1663">
        <v>5.1738770000000001</v>
      </c>
      <c r="E1663">
        <v>0.4607887</v>
      </c>
      <c r="F1663" t="s">
        <v>45</v>
      </c>
      <c r="G1663">
        <v>-435.45589999999999</v>
      </c>
      <c r="H1663" s="1">
        <v>4.8645340000000003E-6</v>
      </c>
      <c r="I1663">
        <v>282.00729999999999</v>
      </c>
      <c r="J1663">
        <v>-418.34320000000002</v>
      </c>
      <c r="K1663">
        <v>1.1105689999999999</v>
      </c>
      <c r="L1663">
        <v>284.35629999999998</v>
      </c>
      <c r="M1663">
        <v>-0.99988469999999996</v>
      </c>
      <c r="N1663">
        <v>0</v>
      </c>
      <c r="O1663">
        <v>1.832008E-3</v>
      </c>
      <c r="P1663">
        <v>-0.99787340000000002</v>
      </c>
      <c r="Q1663">
        <v>5.8706090000000002E-2</v>
      </c>
      <c r="R1663">
        <v>-2.8329139999999999E-2</v>
      </c>
      <c r="S1663">
        <v>-3.005493</v>
      </c>
      <c r="T1663">
        <v>-0.18955079999999999</v>
      </c>
      <c r="U1663">
        <v>-0.40075679999999902</v>
      </c>
      <c r="V1663">
        <v>-3.030615E-2</v>
      </c>
      <c r="W1663">
        <v>7.3679679999999997E-2</v>
      </c>
      <c r="X1663">
        <v>0.99682130000000002</v>
      </c>
      <c r="Y1663">
        <v>-0.13372290000000001</v>
      </c>
      <c r="Z1663">
        <v>-4.3090730000000001E-3</v>
      </c>
      <c r="AA1663">
        <v>0.99100940000000004</v>
      </c>
      <c r="AB1663">
        <v>62</v>
      </c>
      <c r="AC1663">
        <v>-17.112699999999901</v>
      </c>
      <c r="AD1663">
        <v>-1.1105641354660001</v>
      </c>
      <c r="AE1663">
        <v>-2.3489999999999802</v>
      </c>
      <c r="AF1663">
        <v>-2.37055097750225</v>
      </c>
      <c r="AG1663">
        <v>-1.1105641354660001</v>
      </c>
      <c r="AH1663">
        <v>17.037936969359102</v>
      </c>
      <c r="AI1663">
        <v>93.693886709461495</v>
      </c>
      <c r="AJ1663">
        <v>97.920922662065394</v>
      </c>
      <c r="AK1663">
        <v>17.237869961447501</v>
      </c>
    </row>
    <row r="1664" spans="1:37" x14ac:dyDescent="0.2">
      <c r="A1664" t="str">
        <f>"20200111154057730"</f>
        <v>20200111154057730</v>
      </c>
      <c r="B1664" t="str">
        <f>"1578728457727841"</f>
        <v>1578728457727841</v>
      </c>
      <c r="C1664" t="s">
        <v>37</v>
      </c>
      <c r="D1664">
        <v>5.2287369999999997</v>
      </c>
      <c r="E1664">
        <v>0.48033559999999997</v>
      </c>
      <c r="F1664" t="s">
        <v>45</v>
      </c>
      <c r="G1664">
        <v>-436.2201</v>
      </c>
      <c r="H1664" s="1">
        <v>5.2037249999999897E-6</v>
      </c>
      <c r="I1664">
        <v>282.00380000000001</v>
      </c>
      <c r="J1664">
        <v>-418.78100000000001</v>
      </c>
      <c r="K1664">
        <v>1.1105830000000001</v>
      </c>
      <c r="L1664">
        <v>284.35700000000003</v>
      </c>
      <c r="M1664">
        <v>-0.99988500000000002</v>
      </c>
      <c r="N1664">
        <v>0</v>
      </c>
      <c r="O1664">
        <v>1.46709799999999E-3</v>
      </c>
      <c r="P1664">
        <v>-0.99786430000000004</v>
      </c>
      <c r="Q1664">
        <v>5.9221860000000001E-2</v>
      </c>
      <c r="R1664">
        <v>-2.756395E-2</v>
      </c>
      <c r="S1664">
        <v>-3.006195</v>
      </c>
      <c r="T1664">
        <v>-0.18675349999999999</v>
      </c>
      <c r="U1664">
        <v>-0.39559939999999999</v>
      </c>
      <c r="V1664">
        <v>-2.917844E-2</v>
      </c>
      <c r="W1664">
        <v>7.4222270000000007E-2</v>
      </c>
      <c r="X1664">
        <v>0.9968148</v>
      </c>
      <c r="Y1664">
        <v>-0.13167209999999999</v>
      </c>
      <c r="Z1664">
        <v>-4.1591750000000002E-3</v>
      </c>
      <c r="AA1664">
        <v>0.99128459999999996</v>
      </c>
      <c r="AB1664">
        <v>62</v>
      </c>
      <c r="AC1664">
        <v>-17.4390999999999</v>
      </c>
      <c r="AD1664">
        <v>-1.1105777962750001</v>
      </c>
      <c r="AE1664">
        <v>-2.35320000000001</v>
      </c>
      <c r="AF1664">
        <v>-2.3693480744365298</v>
      </c>
      <c r="AG1664">
        <v>-1.1105777962750001</v>
      </c>
      <c r="AH1664">
        <v>17.366457398704199</v>
      </c>
      <c r="AI1664">
        <v>93.625562596933307</v>
      </c>
      <c r="AJ1664">
        <v>97.769035906761303</v>
      </c>
      <c r="AK1664">
        <v>17.562489456805999</v>
      </c>
    </row>
    <row r="1665" spans="1:37" x14ac:dyDescent="0.2">
      <c r="A1665" t="str">
        <f>"20200111154057747"</f>
        <v>20200111154057747</v>
      </c>
      <c r="B1665" t="str">
        <f>"1578728457737601"</f>
        <v>1578728457737601</v>
      </c>
      <c r="C1665" t="s">
        <v>37</v>
      </c>
      <c r="D1665">
        <v>5.1680679999999999</v>
      </c>
      <c r="E1665">
        <v>0.48885439999999902</v>
      </c>
      <c r="F1665" t="s">
        <v>45</v>
      </c>
      <c r="G1665">
        <v>-437.75819999999999</v>
      </c>
      <c r="H1665" s="1">
        <v>5.811149E-6</v>
      </c>
      <c r="I1665">
        <v>282.85820000000001</v>
      </c>
      <c r="J1665">
        <v>-419.24400000000003</v>
      </c>
      <c r="K1665">
        <v>1.110589</v>
      </c>
      <c r="L1665">
        <v>284.35759999999999</v>
      </c>
      <c r="M1665">
        <v>-0.99988509999999997</v>
      </c>
      <c r="N1665">
        <v>0</v>
      </c>
      <c r="O1665">
        <v>1.081633E-3</v>
      </c>
      <c r="P1665">
        <v>-0.99789219999999901</v>
      </c>
      <c r="Q1665">
        <v>5.9880040000000002E-2</v>
      </c>
      <c r="R1665">
        <v>-2.5006960000000002E-2</v>
      </c>
      <c r="S1665">
        <v>-3.010345</v>
      </c>
      <c r="T1665">
        <v>-0.17616989999999999</v>
      </c>
      <c r="U1665">
        <v>-0.23776249999999999</v>
      </c>
      <c r="V1665">
        <v>-2.6238549999999999E-2</v>
      </c>
      <c r="W1665">
        <v>7.490985E-2</v>
      </c>
      <c r="X1665">
        <v>0.99684509999999904</v>
      </c>
      <c r="Y1665">
        <v>-7.9677629999999999E-2</v>
      </c>
      <c r="Z1665">
        <v>-2.3889760000000001E-3</v>
      </c>
      <c r="AA1665">
        <v>0.99681779999999998</v>
      </c>
      <c r="AB1665">
        <v>62</v>
      </c>
      <c r="AC1665">
        <v>-18.514199999999899</v>
      </c>
      <c r="AD1665">
        <v>-1.110583188851</v>
      </c>
      <c r="AE1665">
        <v>-1.4993999999999801</v>
      </c>
      <c r="AF1665">
        <v>-1.51401466499687</v>
      </c>
      <c r="AG1665">
        <v>-1.110583188851</v>
      </c>
      <c r="AH1665">
        <v>18.446623979799401</v>
      </c>
      <c r="AI1665">
        <v>93.433828094872496</v>
      </c>
      <c r="AJ1665">
        <v>94.692058991435403</v>
      </c>
      <c r="AK1665">
        <v>18.541940882154002</v>
      </c>
    </row>
    <row r="1666" spans="1:37" x14ac:dyDescent="0.2">
      <c r="A1666" t="str">
        <f>"20200111154057761"</f>
        <v>20200111154057761</v>
      </c>
      <c r="B1666" t="str">
        <f>"1578728457758077"</f>
        <v>1578728457758077</v>
      </c>
      <c r="C1666" t="s">
        <v>37</v>
      </c>
      <c r="D1666">
        <v>5.2362830000000002</v>
      </c>
      <c r="E1666">
        <v>0.50176359999999998</v>
      </c>
      <c r="F1666" t="s">
        <v>44</v>
      </c>
      <c r="G1666">
        <v>-441.34089999999998</v>
      </c>
      <c r="H1666" s="1">
        <v>-7.5969180000000001E-7</v>
      </c>
      <c r="I1666">
        <v>283.16289999999998</v>
      </c>
      <c r="J1666">
        <v>-419.65890000000002</v>
      </c>
      <c r="K1666">
        <v>1.1105940000000001</v>
      </c>
      <c r="L1666">
        <v>284.358</v>
      </c>
      <c r="M1666">
        <v>-0.99988509999999997</v>
      </c>
      <c r="N1666">
        <v>0</v>
      </c>
      <c r="O1666">
        <v>7.3637729999999997E-4</v>
      </c>
      <c r="P1666">
        <v>-0.997944099999999</v>
      </c>
      <c r="Q1666">
        <v>5.954947E-2</v>
      </c>
      <c r="R1666">
        <v>-2.369286E-2</v>
      </c>
      <c r="S1666">
        <v>-3.01135299999999</v>
      </c>
      <c r="T1666">
        <v>-0.1513505</v>
      </c>
      <c r="U1666">
        <v>-0.16281129999999999</v>
      </c>
      <c r="V1666">
        <v>-2.4579219999999999E-2</v>
      </c>
      <c r="W1666">
        <v>7.4602680000000005E-2</v>
      </c>
      <c r="X1666">
        <v>0.99691039999999997</v>
      </c>
      <c r="Y1666">
        <v>-5.4652649999999997E-2</v>
      </c>
      <c r="Z1666">
        <v>-1.408519E-3</v>
      </c>
      <c r="AA1666">
        <v>0.99850450000000002</v>
      </c>
      <c r="AB1666">
        <v>62</v>
      </c>
      <c r="AC1666">
        <v>-21.681999999999899</v>
      </c>
      <c r="AD1666">
        <v>-1.1105947596918</v>
      </c>
      <c r="AE1666">
        <v>-1.19510000000002</v>
      </c>
      <c r="AF1666">
        <v>-1.2079080616023401</v>
      </c>
      <c r="AG1666">
        <v>-1.1105947596918</v>
      </c>
      <c r="AH1666">
        <v>21.624549705671001</v>
      </c>
      <c r="AI1666">
        <v>92.935448646479401</v>
      </c>
      <c r="AJ1666">
        <v>93.197115771426098</v>
      </c>
      <c r="AK1666">
        <v>21.686715117291801</v>
      </c>
    </row>
    <row r="1667" spans="1:37" x14ac:dyDescent="0.2">
      <c r="A1667" t="str">
        <f>"20200111154057781"</f>
        <v>20200111154057781</v>
      </c>
      <c r="B1667" t="str">
        <f>"1578728457777599"</f>
        <v>1578728457777599</v>
      </c>
      <c r="C1667" t="s">
        <v>37</v>
      </c>
      <c r="D1667">
        <v>5.1759849999999998</v>
      </c>
      <c r="E1667">
        <v>0.50608260000000005</v>
      </c>
      <c r="F1667" t="s">
        <v>44</v>
      </c>
      <c r="G1667">
        <v>-444.12639999999999</v>
      </c>
      <c r="H1667" s="1">
        <v>6.9029680000000002E-7</v>
      </c>
      <c r="I1667">
        <v>283.90249999999997</v>
      </c>
      <c r="J1667">
        <v>-420.16969999999998</v>
      </c>
      <c r="K1667">
        <v>1.1105959999999999</v>
      </c>
      <c r="L1667">
        <v>284.35829999999999</v>
      </c>
      <c r="M1667">
        <v>-0.99988509999999997</v>
      </c>
      <c r="N1667">
        <v>0</v>
      </c>
      <c r="O1667">
        <v>3.1018460000000001E-4</v>
      </c>
      <c r="P1667">
        <v>-0.99805710000000003</v>
      </c>
      <c r="Q1667">
        <v>5.8669529999999998E-2</v>
      </c>
      <c r="R1667">
        <v>-2.0984550000000001E-2</v>
      </c>
      <c r="S1667">
        <v>-3.0130309999999998</v>
      </c>
      <c r="T1667">
        <v>-0.13676269999999999</v>
      </c>
      <c r="U1667">
        <v>-5.6091309999999998E-2</v>
      </c>
      <c r="V1667">
        <v>-2.144306E-2</v>
      </c>
      <c r="W1667">
        <v>7.3750529999999995E-2</v>
      </c>
      <c r="X1667">
        <v>0.99704619999999999</v>
      </c>
      <c r="Y1667">
        <v>-1.8903409999999999E-2</v>
      </c>
      <c r="Z1667">
        <v>-4.4283149999999998E-4</v>
      </c>
      <c r="AA1667">
        <v>0.99982119999999997</v>
      </c>
      <c r="AB1667">
        <v>62</v>
      </c>
      <c r="AC1667">
        <v>-23.956700000000001</v>
      </c>
      <c r="AD1667">
        <v>-1.1105953097032</v>
      </c>
      <c r="AE1667">
        <v>-0.45580000000000997</v>
      </c>
      <c r="AF1667">
        <v>-0.46223879070297702</v>
      </c>
      <c r="AG1667">
        <v>-1.1105953097032</v>
      </c>
      <c r="AH1667">
        <v>23.905201246173199</v>
      </c>
      <c r="AI1667">
        <v>92.6594561881315</v>
      </c>
      <c r="AJ1667">
        <v>91.107751887487495</v>
      </c>
      <c r="AK1667">
        <v>23.935449301435899</v>
      </c>
    </row>
    <row r="1668" spans="1:37" x14ac:dyDescent="0.2">
      <c r="A1668" t="str">
        <f>"20200111154057796"</f>
        <v>20200111154057796</v>
      </c>
      <c r="B1668" t="str">
        <f>"1578728457788334"</f>
        <v>1578728457788334</v>
      </c>
      <c r="C1668" t="s">
        <v>37</v>
      </c>
      <c r="D1668">
        <v>5.2079740000000001</v>
      </c>
      <c r="E1668">
        <v>0.50720429999999905</v>
      </c>
      <c r="F1668" t="s">
        <v>44</v>
      </c>
      <c r="G1668">
        <v>-443.91559999999998</v>
      </c>
      <c r="H1668" s="1">
        <v>5.6294819999999998E-7</v>
      </c>
      <c r="I1668">
        <v>284.24979999999999</v>
      </c>
      <c r="J1668">
        <v>-420.56490000000002</v>
      </c>
      <c r="K1668">
        <v>1.1105989999999999</v>
      </c>
      <c r="L1668">
        <v>284.35829999999999</v>
      </c>
      <c r="M1668">
        <v>-0.99988500000000002</v>
      </c>
      <c r="N1668">
        <v>0</v>
      </c>
      <c r="O1668" s="1">
        <v>-1.9463640000000001E-5</v>
      </c>
      <c r="P1668">
        <v>-0.99812069999999997</v>
      </c>
      <c r="Q1668">
        <v>5.7823989999999999E-2</v>
      </c>
      <c r="R1668">
        <v>-2.0296109999999999E-2</v>
      </c>
      <c r="S1668">
        <v>-3.0138240000000001</v>
      </c>
      <c r="T1668">
        <v>-0.14095629999999901</v>
      </c>
      <c r="U1668">
        <v>-1.376343E-2</v>
      </c>
      <c r="V1668">
        <v>-2.042451E-2</v>
      </c>
      <c r="W1668">
        <v>7.2921159999999999E-2</v>
      </c>
      <c r="X1668">
        <v>0.99712849999999997</v>
      </c>
      <c r="Y1668">
        <v>-4.5423080000000001E-3</v>
      </c>
      <c r="Z1668">
        <v>-1.05253199999999E-4</v>
      </c>
      <c r="AA1668">
        <v>0.99998969999999898</v>
      </c>
      <c r="AB1668">
        <v>62</v>
      </c>
      <c r="AC1668">
        <v>-23.3506999999999</v>
      </c>
      <c r="AD1668">
        <v>-1.1105984370517901</v>
      </c>
      <c r="AE1668">
        <v>-0.10849999999999201</v>
      </c>
      <c r="AF1668">
        <v>-0.107801603937211</v>
      </c>
      <c r="AG1668">
        <v>-1.1105984370517901</v>
      </c>
      <c r="AH1668">
        <v>23.298000534148699</v>
      </c>
      <c r="AI1668">
        <v>92.729152245238595</v>
      </c>
      <c r="AJ1668">
        <v>90.265109996973493</v>
      </c>
      <c r="AK1668">
        <v>23.3247053349744</v>
      </c>
    </row>
    <row r="1669" spans="1:37" x14ac:dyDescent="0.2">
      <c r="A1669" t="str">
        <f>"20200111154057815"</f>
        <v>20200111154057815</v>
      </c>
      <c r="B1669" t="str">
        <f>"1578728457807853"</f>
        <v>1578728457807853</v>
      </c>
      <c r="C1669" t="s">
        <v>37</v>
      </c>
      <c r="D1669">
        <v>5.1881579999999996</v>
      </c>
      <c r="E1669">
        <v>0.50815370000000004</v>
      </c>
      <c r="F1669" t="s">
        <v>44</v>
      </c>
      <c r="G1669">
        <v>-443.45010000000002</v>
      </c>
      <c r="H1669" s="1">
        <v>3.114229E-7</v>
      </c>
      <c r="I1669">
        <v>284.3365</v>
      </c>
      <c r="J1669">
        <v>-421.11500000000001</v>
      </c>
      <c r="K1669">
        <v>1.1105969999999901</v>
      </c>
      <c r="L1669">
        <v>284.35820000000001</v>
      </c>
      <c r="M1669">
        <v>-0.99988449999999995</v>
      </c>
      <c r="N1669">
        <v>0</v>
      </c>
      <c r="O1669">
        <v>-4.7829449999999999E-4</v>
      </c>
      <c r="P1669">
        <v>-0.99818949999999995</v>
      </c>
      <c r="Q1669">
        <v>5.7259860000000003E-2</v>
      </c>
      <c r="R1669">
        <v>-1.842359E-2</v>
      </c>
      <c r="S1669">
        <v>-3.0140989999999999</v>
      </c>
      <c r="T1669">
        <v>-0.1462715</v>
      </c>
      <c r="U1669">
        <v>-2.8686520000000002E-3</v>
      </c>
      <c r="V1669">
        <v>-1.8092520000000001E-2</v>
      </c>
      <c r="W1669">
        <v>7.2379490000000005E-2</v>
      </c>
      <c r="X1669">
        <v>0.99721309999999996</v>
      </c>
      <c r="Y1669">
        <v>-4.7340039999999999E-4</v>
      </c>
      <c r="Z1669" s="1">
        <v>1.17201299999999E-5</v>
      </c>
      <c r="AA1669">
        <v>0.99999989999999905</v>
      </c>
      <c r="AB1669">
        <v>62</v>
      </c>
      <c r="AC1669">
        <v>-22.335100000000001</v>
      </c>
      <c r="AD1669">
        <v>-1.1105966885770999</v>
      </c>
      <c r="AE1669">
        <v>-2.1700000000009802E-2</v>
      </c>
      <c r="AF1669">
        <v>-1.09888393319468E-2</v>
      </c>
      <c r="AG1669">
        <v>-1.1105966885770999</v>
      </c>
      <c r="AH1669">
        <v>22.280020444401</v>
      </c>
      <c r="AI1669">
        <v>92.853671987594595</v>
      </c>
      <c r="AJ1669">
        <v>90.028259133154094</v>
      </c>
      <c r="AK1669">
        <v>22.307686046791002</v>
      </c>
    </row>
    <row r="1670" spans="1:37" x14ac:dyDescent="0.2">
      <c r="A1670" t="str">
        <f>"20200111154057838"</f>
        <v>20200111154057838</v>
      </c>
      <c r="B1670" t="str">
        <f>"1578728457827374"</f>
        <v>1578728457827374</v>
      </c>
      <c r="C1670" t="s">
        <v>37</v>
      </c>
      <c r="D1670">
        <v>5.1718909999999996</v>
      </c>
      <c r="E1670">
        <v>0.50901589999999997</v>
      </c>
      <c r="F1670" t="s">
        <v>44</v>
      </c>
      <c r="G1670">
        <v>-443.31740000000002</v>
      </c>
      <c r="H1670" s="1">
        <v>2.3665320000000001E-7</v>
      </c>
      <c r="I1670">
        <v>284.43119999999999</v>
      </c>
      <c r="J1670">
        <v>-421.72269999999997</v>
      </c>
      <c r="K1670">
        <v>1.1105969999999901</v>
      </c>
      <c r="L1670">
        <v>284.35770000000002</v>
      </c>
      <c r="M1670">
        <v>-0.99988390000000005</v>
      </c>
      <c r="N1670">
        <v>0</v>
      </c>
      <c r="O1670">
        <v>-9.851580999999999E-4</v>
      </c>
      <c r="P1670">
        <v>-0.99823530000000005</v>
      </c>
      <c r="Q1670">
        <v>5.6556719999999998E-2</v>
      </c>
      <c r="R1670">
        <v>-1.8100910000000001E-2</v>
      </c>
      <c r="S1670">
        <v>-3.0142820000000001</v>
      </c>
      <c r="T1670">
        <v>-0.150779</v>
      </c>
      <c r="U1670">
        <v>9.9182130000000004E-3</v>
      </c>
      <c r="V1670">
        <v>-1.7262659999999999E-2</v>
      </c>
      <c r="W1670">
        <v>7.1694629999999995E-2</v>
      </c>
      <c r="X1670">
        <v>0.99727730000000003</v>
      </c>
      <c r="Y1670">
        <v>4.2690840000000002E-3</v>
      </c>
      <c r="Z1670">
        <v>1.5595999999999999E-4</v>
      </c>
      <c r="AA1670">
        <v>0.99999090000000002</v>
      </c>
      <c r="AB1670">
        <v>62</v>
      </c>
      <c r="AC1670">
        <v>-21.5947</v>
      </c>
      <c r="AD1670">
        <v>-1.1105967633467999</v>
      </c>
      <c r="AE1670">
        <v>7.3499999999967203E-2</v>
      </c>
      <c r="AF1670">
        <v>9.4526602030202203E-2</v>
      </c>
      <c r="AG1670">
        <v>-1.1105967633467999</v>
      </c>
      <c r="AH1670">
        <v>21.537651619247001</v>
      </c>
      <c r="AI1670">
        <v>92.951834659837004</v>
      </c>
      <c r="AJ1670">
        <v>89.748536160338304</v>
      </c>
      <c r="AK1670">
        <v>21.566473928792799</v>
      </c>
    </row>
    <row r="1671" spans="1:37" x14ac:dyDescent="0.2">
      <c r="A1671" t="str">
        <f>"20200111154057859"</f>
        <v>20200111154057859</v>
      </c>
      <c r="B1671" t="str">
        <f>"1578728457847871"</f>
        <v>1578728457847871</v>
      </c>
      <c r="C1671" t="s">
        <v>37</v>
      </c>
      <c r="D1671">
        <v>5.16</v>
      </c>
      <c r="E1671">
        <v>0.50944719999999999</v>
      </c>
      <c r="F1671" t="s">
        <v>44</v>
      </c>
      <c r="G1671">
        <v>-443.43819999999999</v>
      </c>
      <c r="H1671" s="1">
        <v>2.9854150000000001E-7</v>
      </c>
      <c r="I1671">
        <v>284.48630000000003</v>
      </c>
      <c r="J1671">
        <v>-422.31939999999997</v>
      </c>
      <c r="K1671">
        <v>1.1106049999999901</v>
      </c>
      <c r="L1671">
        <v>284.3569</v>
      </c>
      <c r="M1671">
        <v>-0.99988319999999997</v>
      </c>
      <c r="N1671">
        <v>0</v>
      </c>
      <c r="O1671">
        <v>-1.483764E-3</v>
      </c>
      <c r="P1671">
        <v>-0.998228</v>
      </c>
      <c r="Q1671">
        <v>5.6444960000000002E-2</v>
      </c>
      <c r="R1671">
        <v>-1.8848549999999999E-2</v>
      </c>
      <c r="S1671">
        <v>-3.0143740000000001</v>
      </c>
      <c r="T1671">
        <v>-0.15416379999999999</v>
      </c>
      <c r="U1671">
        <v>1.7852779999999999E-2</v>
      </c>
      <c r="V1671">
        <v>-1.7511970000000002E-2</v>
      </c>
      <c r="W1671">
        <v>7.1595220000000001E-2</v>
      </c>
      <c r="X1671">
        <v>0.99727999999999895</v>
      </c>
      <c r="Y1671">
        <v>7.3947469999999897E-3</v>
      </c>
      <c r="Z1671">
        <v>2.6481189999999998E-4</v>
      </c>
      <c r="AA1671">
        <v>0.99997259999999999</v>
      </c>
      <c r="AB1671">
        <v>62</v>
      </c>
      <c r="AC1671">
        <v>-21.1188</v>
      </c>
      <c r="AD1671">
        <v>-1.1106047014585001</v>
      </c>
      <c r="AE1671">
        <v>0.12940000000003199</v>
      </c>
      <c r="AF1671">
        <v>0.16029551096307801</v>
      </c>
      <c r="AG1671">
        <v>-1.1106047014585001</v>
      </c>
      <c r="AH1671">
        <v>21.060343610151801</v>
      </c>
      <c r="AI1671">
        <v>93.018575457477795</v>
      </c>
      <c r="AJ1671">
        <v>89.563915998813897</v>
      </c>
      <c r="AK1671">
        <v>21.0902159882585</v>
      </c>
    </row>
    <row r="1672" spans="1:37" x14ac:dyDescent="0.2">
      <c r="A1672" t="str">
        <f>"20200111154057875"</f>
        <v>20200111154057875</v>
      </c>
      <c r="B1672" t="str">
        <f>"1578728457868264"</f>
        <v>1578728457868264</v>
      </c>
      <c r="C1672" t="s">
        <v>37</v>
      </c>
      <c r="D1672">
        <v>5.173019</v>
      </c>
      <c r="E1672">
        <v>0.50968349999999996</v>
      </c>
      <c r="F1672" t="s">
        <v>44</v>
      </c>
      <c r="G1672">
        <v>-443.80489999999998</v>
      </c>
      <c r="H1672" s="1">
        <v>4.9331029999999999E-7</v>
      </c>
      <c r="I1672">
        <v>284.49459999999999</v>
      </c>
      <c r="J1672">
        <v>-422.74509999999998</v>
      </c>
      <c r="K1672">
        <v>1.110609</v>
      </c>
      <c r="L1672">
        <v>284.3562</v>
      </c>
      <c r="M1672">
        <v>-0.99988239999999995</v>
      </c>
      <c r="N1672">
        <v>0</v>
      </c>
      <c r="O1672">
        <v>-1.839406E-3</v>
      </c>
      <c r="P1672">
        <v>-0.99821579999999999</v>
      </c>
      <c r="Q1672">
        <v>5.6381090000000002E-2</v>
      </c>
      <c r="R1672">
        <v>-1.965648E-2</v>
      </c>
      <c r="S1672">
        <v>-3.014465</v>
      </c>
      <c r="T1672">
        <v>-0.15582029999999999</v>
      </c>
      <c r="U1672">
        <v>1.9317629999999999E-2</v>
      </c>
      <c r="V1672">
        <v>-1.7964750000000002E-2</v>
      </c>
      <c r="W1672">
        <v>7.1538630000000006E-2</v>
      </c>
      <c r="X1672">
        <v>0.99727600000000005</v>
      </c>
      <c r="Y1672">
        <v>8.2342990000000005E-3</v>
      </c>
      <c r="Z1672">
        <v>3.0770199999999998E-4</v>
      </c>
      <c r="AA1672">
        <v>0.99996600000000002</v>
      </c>
      <c r="AB1672">
        <v>61</v>
      </c>
      <c r="AC1672">
        <v>-21.059799999999999</v>
      </c>
      <c r="AD1672">
        <v>-1.11060850668969</v>
      </c>
      <c r="AE1672">
        <v>0.13839999999999</v>
      </c>
      <c r="AF1672">
        <v>0.17665052076353399</v>
      </c>
      <c r="AG1672">
        <v>-1.11060850668969</v>
      </c>
      <c r="AH1672">
        <v>21.001106523102301</v>
      </c>
      <c r="AI1672">
        <v>93.027065017911497</v>
      </c>
      <c r="AJ1672">
        <v>89.518068698790302</v>
      </c>
      <c r="AK1672">
        <v>21.031194256539699</v>
      </c>
    </row>
    <row r="1673" spans="1:37" x14ac:dyDescent="0.2">
      <c r="A1673" t="str">
        <f>"20200111154057893"</f>
        <v>20200111154057893</v>
      </c>
      <c r="B1673" t="str">
        <f>"1578728457887783"</f>
        <v>1578728457887783</v>
      </c>
      <c r="C1673" t="s">
        <v>37</v>
      </c>
      <c r="D1673">
        <v>5.1942440000000003</v>
      </c>
      <c r="E1673">
        <v>0.50953570000000004</v>
      </c>
      <c r="F1673" t="s">
        <v>44</v>
      </c>
      <c r="G1673">
        <v>-444.423</v>
      </c>
      <c r="H1673" s="1">
        <v>8.2230759999999999E-7</v>
      </c>
      <c r="I1673">
        <v>284.49270000000001</v>
      </c>
      <c r="J1673">
        <v>-423.24669999999998</v>
      </c>
      <c r="K1673">
        <v>1.1106259999999999</v>
      </c>
      <c r="L1673">
        <v>284.35520000000002</v>
      </c>
      <c r="M1673">
        <v>-0.99988149999999998</v>
      </c>
      <c r="N1673">
        <v>0</v>
      </c>
      <c r="O1673">
        <v>-2.2587029999999999E-3</v>
      </c>
      <c r="P1673">
        <v>-0.99816190000000005</v>
      </c>
      <c r="Q1673">
        <v>5.6758360000000001E-2</v>
      </c>
      <c r="R1673">
        <v>-2.1246870000000001E-2</v>
      </c>
      <c r="S1673">
        <v>-3.01443499999999</v>
      </c>
      <c r="T1673">
        <v>-0.154436299999999</v>
      </c>
      <c r="U1673">
        <v>1.8981930000000001E-2</v>
      </c>
      <c r="V1673">
        <v>-1.9137370000000001E-2</v>
      </c>
      <c r="W1673">
        <v>7.1920540000000005E-2</v>
      </c>
      <c r="X1673">
        <v>0.99722679999999997</v>
      </c>
      <c r="Y1673">
        <v>8.5416269999999996E-3</v>
      </c>
      <c r="Z1673">
        <v>3.3431299999999998E-4</v>
      </c>
      <c r="AA1673">
        <v>0.99996350000000001</v>
      </c>
      <c r="AB1673">
        <v>61</v>
      </c>
      <c r="AC1673">
        <v>-21.176300000000001</v>
      </c>
      <c r="AD1673">
        <v>-1.1106251776924001</v>
      </c>
      <c r="AE1673">
        <v>0.13749999999998799</v>
      </c>
      <c r="AF1673">
        <v>0.18482779350915601</v>
      </c>
      <c r="AG1673">
        <v>-1.1106251776924001</v>
      </c>
      <c r="AH1673">
        <v>21.117850058663699</v>
      </c>
      <c r="AI1673">
        <v>93.010398004454601</v>
      </c>
      <c r="AJ1673">
        <v>89.498548285474499</v>
      </c>
      <c r="AK1673">
        <v>21.1478424596643</v>
      </c>
    </row>
    <row r="1674" spans="1:37" x14ac:dyDescent="0.2">
      <c r="A1674" t="str">
        <f>"20200111154057916"</f>
        <v>20200111154057916</v>
      </c>
      <c r="B1674" t="str">
        <f>"1578728457908297"</f>
        <v>1578728457908297</v>
      </c>
      <c r="C1674" t="s">
        <v>37</v>
      </c>
      <c r="D1674">
        <v>5.1780919999999897</v>
      </c>
      <c r="E1674">
        <v>0.50950059999999997</v>
      </c>
      <c r="F1674" t="s">
        <v>44</v>
      </c>
      <c r="G1674">
        <v>-445.38709999999998</v>
      </c>
      <c r="H1674" s="1">
        <v>1.337303E-6</v>
      </c>
      <c r="I1674">
        <v>284.44889999999998</v>
      </c>
      <c r="J1674">
        <v>-423.86799999999999</v>
      </c>
      <c r="K1674">
        <v>1.1106549999999999</v>
      </c>
      <c r="L1674">
        <v>284.3535</v>
      </c>
      <c r="M1674">
        <v>-0.99987999999999899</v>
      </c>
      <c r="N1674">
        <v>0</v>
      </c>
      <c r="O1674">
        <v>-2.7777779999999998E-3</v>
      </c>
      <c r="P1674">
        <v>-0.99800940000000005</v>
      </c>
      <c r="Q1674">
        <v>5.842348E-2</v>
      </c>
      <c r="R1674">
        <v>-2.3752929999999998E-2</v>
      </c>
      <c r="S1674">
        <v>-3.0143740000000001</v>
      </c>
      <c r="T1674">
        <v>-0.15120910000000001</v>
      </c>
      <c r="U1674">
        <v>1.275635E-2</v>
      </c>
      <c r="V1674">
        <v>-2.1129060000000002E-2</v>
      </c>
      <c r="W1674">
        <v>7.3587429999999995E-2</v>
      </c>
      <c r="X1674">
        <v>0.99706489999999903</v>
      </c>
      <c r="Y1674">
        <v>6.9975690000000004E-3</v>
      </c>
      <c r="Z1674">
        <v>3.1466630000000001E-4</v>
      </c>
      <c r="AA1674">
        <v>0.99997539999999996</v>
      </c>
      <c r="AB1674">
        <v>61</v>
      </c>
      <c r="AC1674">
        <v>-21.519099999999899</v>
      </c>
      <c r="AD1674">
        <v>-1.1106536626970001</v>
      </c>
      <c r="AE1674">
        <v>9.5399999999983706E-2</v>
      </c>
      <c r="AF1674">
        <v>0.15476958339815899</v>
      </c>
      <c r="AG1674">
        <v>-1.1106536626970001</v>
      </c>
      <c r="AH1674">
        <v>21.461582702896699</v>
      </c>
      <c r="AI1674">
        <v>92.962381692932397</v>
      </c>
      <c r="AJ1674">
        <v>89.586820304367706</v>
      </c>
      <c r="AK1674">
        <v>21.490859389416801</v>
      </c>
    </row>
    <row r="1675" spans="1:37" x14ac:dyDescent="0.2">
      <c r="A1675" t="str">
        <f>"20200111154057937"</f>
        <v>20200111154057937</v>
      </c>
      <c r="B1675" t="str">
        <f>"1578728457927799"</f>
        <v>1578728457927799</v>
      </c>
      <c r="C1675" t="s">
        <v>37</v>
      </c>
      <c r="D1675">
        <v>5.077426</v>
      </c>
      <c r="E1675">
        <v>0.50940790000000002</v>
      </c>
      <c r="F1675" t="s">
        <v>44</v>
      </c>
      <c r="G1675">
        <v>-447.10050000000001</v>
      </c>
      <c r="H1675" s="1">
        <v>2.2514959999999998E-6</v>
      </c>
      <c r="I1675">
        <v>284.39280000000002</v>
      </c>
      <c r="J1675">
        <v>-424.45609999999999</v>
      </c>
      <c r="K1675">
        <v>1.110671</v>
      </c>
      <c r="L1675">
        <v>284.35169999999999</v>
      </c>
      <c r="M1675">
        <v>-0.9998783</v>
      </c>
      <c r="N1675">
        <v>0</v>
      </c>
      <c r="O1675">
        <v>-3.269774E-3</v>
      </c>
      <c r="P1675">
        <v>-0.99781239999999904</v>
      </c>
      <c r="Q1675">
        <v>6.0562690000000002E-2</v>
      </c>
      <c r="R1675">
        <v>-2.6506419999999999E-2</v>
      </c>
      <c r="S1675">
        <v>-3.014618</v>
      </c>
      <c r="T1675">
        <v>-0.14411679999999999</v>
      </c>
      <c r="U1675">
        <v>5.0964360000000002E-3</v>
      </c>
      <c r="V1675">
        <v>-2.3396879999999998E-2</v>
      </c>
      <c r="W1675">
        <v>7.5725780000000006E-2</v>
      </c>
      <c r="X1675">
        <v>0.99685409999999997</v>
      </c>
      <c r="Y1675">
        <v>4.951324E-3</v>
      </c>
      <c r="Z1675">
        <v>2.7452740000000002E-4</v>
      </c>
      <c r="AA1675">
        <v>0.99998770000000003</v>
      </c>
      <c r="AB1675">
        <v>61</v>
      </c>
      <c r="AC1675">
        <v>-22.644400000000001</v>
      </c>
      <c r="AD1675">
        <v>-1.1106687485040001</v>
      </c>
      <c r="AE1675">
        <v>4.1100000000028503E-2</v>
      </c>
      <c r="AF1675">
        <v>0.114874111116176</v>
      </c>
      <c r="AG1675">
        <v>-1.1106687485040001</v>
      </c>
      <c r="AH1675">
        <v>22.5897996648781</v>
      </c>
      <c r="AI1675">
        <v>92.814748612494199</v>
      </c>
      <c r="AJ1675">
        <v>89.708640842024494</v>
      </c>
      <c r="AK1675">
        <v>22.6173789381006</v>
      </c>
    </row>
    <row r="1676" spans="1:37" x14ac:dyDescent="0.2">
      <c r="A1676" t="str">
        <f>"20200111154057960"</f>
        <v>20200111154057960</v>
      </c>
      <c r="B1676" t="str">
        <f>"1578728457947319"</f>
        <v>1578728457947319</v>
      </c>
      <c r="C1676" t="s">
        <v>37</v>
      </c>
      <c r="D1676">
        <v>5.082052</v>
      </c>
      <c r="E1676">
        <v>0.46800119999999901</v>
      </c>
      <c r="F1676" t="s">
        <v>44</v>
      </c>
      <c r="G1676">
        <v>-448.95940000000002</v>
      </c>
      <c r="H1676" s="1">
        <v>3.2438260000000001E-6</v>
      </c>
      <c r="I1676">
        <v>284.32150000000001</v>
      </c>
      <c r="J1676">
        <v>-425.06439999999998</v>
      </c>
      <c r="K1676">
        <v>1.1106769999999999</v>
      </c>
      <c r="L1676">
        <v>284.34960000000001</v>
      </c>
      <c r="M1676">
        <v>-0.9998766</v>
      </c>
      <c r="N1676">
        <v>0</v>
      </c>
      <c r="O1676">
        <v>-3.7789270000000001E-3</v>
      </c>
      <c r="P1676">
        <v>-0.99770530000000002</v>
      </c>
      <c r="Q1676">
        <v>6.1108460000000003E-2</v>
      </c>
      <c r="R1676">
        <v>-2.915649E-2</v>
      </c>
      <c r="S1676">
        <v>-3.0147400000000002</v>
      </c>
      <c r="T1676">
        <v>-0.1366502</v>
      </c>
      <c r="U1676">
        <v>-3.7231450000000002E-3</v>
      </c>
      <c r="V1676">
        <v>-2.5539530000000001E-2</v>
      </c>
      <c r="W1676">
        <v>7.6271130000000006E-2</v>
      </c>
      <c r="X1676">
        <v>0.99675999999999998</v>
      </c>
      <c r="Y1676">
        <v>2.5379069999999998E-3</v>
      </c>
      <c r="Z1676">
        <v>2.2870909999999999E-4</v>
      </c>
      <c r="AA1676">
        <v>0.99999680000000002</v>
      </c>
      <c r="AB1676">
        <v>61</v>
      </c>
      <c r="AC1676">
        <v>-23.895</v>
      </c>
      <c r="AD1676">
        <v>-1.1106737561740001</v>
      </c>
      <c r="AE1676">
        <v>-2.80999999999949E-2</v>
      </c>
      <c r="AF1676">
        <v>6.2074048222608098E-2</v>
      </c>
      <c r="AG1676">
        <v>-1.1106737561740001</v>
      </c>
      <c r="AH1676">
        <v>23.843421350450999</v>
      </c>
      <c r="AI1676">
        <v>92.667013855892193</v>
      </c>
      <c r="AJ1676">
        <v>89.850836300166506</v>
      </c>
      <c r="AK1676">
        <v>23.869356737776901</v>
      </c>
    </row>
    <row r="1677" spans="1:37" x14ac:dyDescent="0.2">
      <c r="A1677" t="str">
        <f>"20200111154057982"</f>
        <v>20200111154057982</v>
      </c>
      <c r="B1677" t="str">
        <f>"1578728457977575"</f>
        <v>1578728457977575</v>
      </c>
      <c r="C1677" t="s">
        <v>37</v>
      </c>
      <c r="D1677">
        <v>5.012613</v>
      </c>
      <c r="E1677">
        <v>0.45358379999999998</v>
      </c>
      <c r="F1677" t="s">
        <v>44</v>
      </c>
      <c r="G1677">
        <v>-443.01819999999998</v>
      </c>
      <c r="H1677" s="1">
        <v>1.70046399999999E-7</v>
      </c>
      <c r="I1677">
        <v>282.31299999999999</v>
      </c>
      <c r="J1677">
        <v>-425.67739999999998</v>
      </c>
      <c r="K1677">
        <v>1.110679</v>
      </c>
      <c r="L1677">
        <v>284.34710000000001</v>
      </c>
      <c r="M1677">
        <v>-0.99987440000000005</v>
      </c>
      <c r="N1677">
        <v>0</v>
      </c>
      <c r="O1677">
        <v>-4.2916509999999996E-3</v>
      </c>
      <c r="P1677">
        <v>-0.997710399999999</v>
      </c>
      <c r="Q1677">
        <v>6.0084970000000001E-2</v>
      </c>
      <c r="R1677">
        <v>-3.1040290000000002E-2</v>
      </c>
      <c r="S1677">
        <v>-3.0083310000000001</v>
      </c>
      <c r="T1677">
        <v>-0.186104399999999</v>
      </c>
      <c r="U1677">
        <v>-0.34124759999999998</v>
      </c>
      <c r="V1677">
        <v>-2.6909969999999998E-2</v>
      </c>
      <c r="W1677">
        <v>7.5249339999999998E-2</v>
      </c>
      <c r="X1677">
        <v>0.99680159999999995</v>
      </c>
      <c r="Y1677">
        <v>-0.10824929999999899</v>
      </c>
      <c r="Z1677">
        <v>-3.070045E-3</v>
      </c>
      <c r="AA1677">
        <v>0.99411899999999997</v>
      </c>
      <c r="AB1677">
        <v>61</v>
      </c>
      <c r="AC1677">
        <v>-17.340800000000002</v>
      </c>
      <c r="AD1677">
        <v>-1.1106788299535999</v>
      </c>
      <c r="AE1677">
        <v>-2.03410000000002</v>
      </c>
      <c r="AF1677">
        <v>-1.95175372726948</v>
      </c>
      <c r="AG1677">
        <v>-1.1106788299535999</v>
      </c>
      <c r="AH1677">
        <v>17.279445758597099</v>
      </c>
      <c r="AI1677">
        <v>93.654591962111198</v>
      </c>
      <c r="AJ1677">
        <v>96.444378356716797</v>
      </c>
      <c r="AK1677">
        <v>17.424758127432298</v>
      </c>
    </row>
    <row r="1678" spans="1:37" x14ac:dyDescent="0.2">
      <c r="A1678" t="str">
        <f>"20200111154058005"</f>
        <v>20200111154058005</v>
      </c>
      <c r="B1678" t="str">
        <f>"1578728457998074"</f>
        <v>1578728457998074</v>
      </c>
      <c r="C1678" t="s">
        <v>37</v>
      </c>
      <c r="D1678">
        <v>4.9885510000000002</v>
      </c>
      <c r="E1678">
        <v>0.45174219999999998</v>
      </c>
      <c r="F1678" t="s">
        <v>44</v>
      </c>
      <c r="G1678">
        <v>-442.59050000000002</v>
      </c>
      <c r="H1678" s="1">
        <v>-3.2885639999999999E-8</v>
      </c>
      <c r="I1678">
        <v>281.74829999999997</v>
      </c>
      <c r="J1678">
        <v>-426.31349999999998</v>
      </c>
      <c r="K1678">
        <v>1.1106609999999999</v>
      </c>
      <c r="L1678">
        <v>284.3442</v>
      </c>
      <c r="M1678">
        <v>-0.99987199999999998</v>
      </c>
      <c r="N1678">
        <v>0</v>
      </c>
      <c r="O1678">
        <v>-4.8245069999999996E-3</v>
      </c>
      <c r="P1678">
        <v>-0.99782199999999999</v>
      </c>
      <c r="Q1678">
        <v>5.782955E-2</v>
      </c>
      <c r="R1678">
        <v>-3.1732209999999997E-2</v>
      </c>
      <c r="S1678">
        <v>-3.0043950000000001</v>
      </c>
      <c r="T1678">
        <v>-0.197298</v>
      </c>
      <c r="U1678">
        <v>-0.46163939999999998</v>
      </c>
      <c r="V1678">
        <v>-2.7064709999999999E-2</v>
      </c>
      <c r="W1678">
        <v>7.2999640000000005E-2</v>
      </c>
      <c r="X1678">
        <v>0.99696469999999904</v>
      </c>
      <c r="Y1678">
        <v>-0.14680279999999901</v>
      </c>
      <c r="Z1678">
        <v>-4.4724179999999997E-3</v>
      </c>
      <c r="AA1678">
        <v>0.98915569999999897</v>
      </c>
      <c r="AB1678">
        <v>61</v>
      </c>
      <c r="AC1678">
        <v>-16.277000000000001</v>
      </c>
      <c r="AD1678">
        <v>-1.1106610328856401</v>
      </c>
      <c r="AE1678">
        <v>-2.5959000000000199</v>
      </c>
      <c r="AF1678">
        <v>-2.5059537904123599</v>
      </c>
      <c r="AG1678">
        <v>-1.1106610328856401</v>
      </c>
      <c r="AH1678">
        <v>16.215708049463</v>
      </c>
      <c r="AI1678">
        <v>93.8724095000631</v>
      </c>
      <c r="AJ1678">
        <v>98.784918491308204</v>
      </c>
      <c r="AK1678">
        <v>16.445745950703301</v>
      </c>
    </row>
    <row r="1679" spans="1:37" x14ac:dyDescent="0.2">
      <c r="A1679" t="str">
        <f>"20200111154058026"</f>
        <v>20200111154058026</v>
      </c>
      <c r="B1679" t="str">
        <f>"1578728458017592"</f>
        <v>1578728458017592</v>
      </c>
      <c r="C1679" t="s">
        <v>37</v>
      </c>
      <c r="D1679">
        <v>4.9963480000000002</v>
      </c>
      <c r="E1679">
        <v>0.4508122</v>
      </c>
      <c r="F1679" t="s">
        <v>44</v>
      </c>
      <c r="G1679">
        <v>-442.62079999999997</v>
      </c>
      <c r="H1679" s="1">
        <v>-1.6728319999999999E-8</v>
      </c>
      <c r="I1679">
        <v>281.74770000000001</v>
      </c>
      <c r="J1679">
        <v>-426.90339999999998</v>
      </c>
      <c r="K1679">
        <v>1.1106370000000001</v>
      </c>
      <c r="L1679">
        <v>284.34120000000001</v>
      </c>
      <c r="M1679">
        <v>-0.99986939999999902</v>
      </c>
      <c r="N1679">
        <v>0</v>
      </c>
      <c r="O1679">
        <v>-5.3188469999999998E-3</v>
      </c>
      <c r="P1679">
        <v>-0.99799139999999997</v>
      </c>
      <c r="Q1679">
        <v>5.4802030000000002E-2</v>
      </c>
      <c r="R1679">
        <v>-3.1785790000000001E-2</v>
      </c>
      <c r="S1679">
        <v>-3.003174</v>
      </c>
      <c r="T1679">
        <v>-0.2045411</v>
      </c>
      <c r="U1679">
        <v>-0.47817989999999999</v>
      </c>
      <c r="V1679">
        <v>-2.6617439999999999E-2</v>
      </c>
      <c r="W1679">
        <v>6.997805E-2</v>
      </c>
      <c r="X1679">
        <v>0.99719329999999995</v>
      </c>
      <c r="Y1679">
        <v>-0.15165799999999999</v>
      </c>
      <c r="Z1679">
        <v>-4.7668470000000003E-3</v>
      </c>
      <c r="AA1679">
        <v>0.98842160000000001</v>
      </c>
      <c r="AB1679">
        <v>61</v>
      </c>
      <c r="AC1679">
        <v>-15.7173999999999</v>
      </c>
      <c r="AD1679">
        <v>-1.1106370167283199</v>
      </c>
      <c r="AE1679">
        <v>-2.5935000000000001</v>
      </c>
      <c r="AF1679">
        <v>-2.4977140006822598</v>
      </c>
      <c r="AG1679">
        <v>-1.1106370167283199</v>
      </c>
      <c r="AH1679">
        <v>15.654876961725201</v>
      </c>
      <c r="AI1679">
        <v>94.007537690658395</v>
      </c>
      <c r="AJ1679">
        <v>99.065058470289202</v>
      </c>
      <c r="AK1679">
        <v>15.891735666656601</v>
      </c>
    </row>
    <row r="1680" spans="1:37" x14ac:dyDescent="0.2">
      <c r="A1680" t="str">
        <f>"20200111154058048"</f>
        <v>20200111154058048</v>
      </c>
      <c r="B1680" t="str">
        <f>"1578728458038088"</f>
        <v>1578728458038088</v>
      </c>
      <c r="C1680" t="s">
        <v>37</v>
      </c>
      <c r="D1680">
        <v>5.000572</v>
      </c>
      <c r="E1680">
        <v>0.450304599999999</v>
      </c>
      <c r="F1680" t="s">
        <v>44</v>
      </c>
      <c r="G1680">
        <v>-442.62389999999999</v>
      </c>
      <c r="H1680" s="1">
        <v>-1.737513E-8</v>
      </c>
      <c r="I1680">
        <v>281.7996</v>
      </c>
      <c r="J1680">
        <v>-427.510999999999</v>
      </c>
      <c r="K1680">
        <v>1.1106100000000001</v>
      </c>
      <c r="L1680">
        <v>284.33769999999998</v>
      </c>
      <c r="M1680">
        <v>-0.99986649999999999</v>
      </c>
      <c r="N1680">
        <v>0</v>
      </c>
      <c r="O1680">
        <v>-5.8286719999999896E-3</v>
      </c>
      <c r="P1680">
        <v>-0.99815189999999998</v>
      </c>
      <c r="Q1680">
        <v>5.1824250000000002E-2</v>
      </c>
      <c r="R1680">
        <v>-3.1736500000000001E-2</v>
      </c>
      <c r="S1680">
        <v>-3.0021969999999998</v>
      </c>
      <c r="T1680">
        <v>-0.21210319999999999</v>
      </c>
      <c r="U1680">
        <v>-0.48538209999999998</v>
      </c>
      <c r="V1680">
        <v>-2.6052160000000001E-2</v>
      </c>
      <c r="W1680">
        <v>6.7006239999999995E-2</v>
      </c>
      <c r="X1680">
        <v>0.99741239999999998</v>
      </c>
      <c r="Y1680">
        <v>-0.15348719999999999</v>
      </c>
      <c r="Z1680">
        <v>-4.9716969999999997E-3</v>
      </c>
      <c r="AA1680">
        <v>0.98813809999999902</v>
      </c>
      <c r="AB1680">
        <v>61</v>
      </c>
      <c r="AC1680">
        <v>-15.1129</v>
      </c>
      <c r="AD1680">
        <v>-1.1106100173751301</v>
      </c>
      <c r="AE1680">
        <v>-2.53809999999998</v>
      </c>
      <c r="AF1680">
        <v>-2.4371578360771502</v>
      </c>
      <c r="AG1680">
        <v>-1.1106100173751301</v>
      </c>
      <c r="AH1680">
        <v>15.0484002675725</v>
      </c>
      <c r="AI1680">
        <v>94.1668233377668</v>
      </c>
      <c r="AJ1680">
        <v>99.1994391475707</v>
      </c>
      <c r="AK1680">
        <v>15.284879572365799</v>
      </c>
    </row>
    <row r="1681" spans="1:37" x14ac:dyDescent="0.2">
      <c r="A1681" t="str">
        <f>"20200111154058071"</f>
        <v>20200111154058071</v>
      </c>
      <c r="B1681" t="str">
        <f>"1578728458067878"</f>
        <v>1578728458067878</v>
      </c>
      <c r="C1681" t="s">
        <v>37</v>
      </c>
      <c r="D1681">
        <v>4.9813179999999999</v>
      </c>
      <c r="E1681">
        <v>0.4497254</v>
      </c>
      <c r="F1681" t="s">
        <v>44</v>
      </c>
      <c r="G1681">
        <v>-442.73860000000002</v>
      </c>
      <c r="H1681" s="1">
        <v>4.1233999999999997E-8</v>
      </c>
      <c r="I1681">
        <v>281.85610000000003</v>
      </c>
      <c r="J1681">
        <v>-428.12639999999999</v>
      </c>
      <c r="K1681">
        <v>1.1105849999999999</v>
      </c>
      <c r="L1681">
        <v>284.334</v>
      </c>
      <c r="M1681">
        <v>-0.99986350000000002</v>
      </c>
      <c r="N1681">
        <v>0</v>
      </c>
      <c r="O1681">
        <v>-6.344934E-3</v>
      </c>
      <c r="P1681">
        <v>-0.99832359999999898</v>
      </c>
      <c r="Q1681">
        <v>4.8899369999999998E-2</v>
      </c>
      <c r="R1681">
        <v>-3.0978080000000002E-2</v>
      </c>
      <c r="S1681">
        <v>-3.001404</v>
      </c>
      <c r="T1681">
        <v>-0.21890399999999999</v>
      </c>
      <c r="U1681">
        <v>-0.48913570000000001</v>
      </c>
      <c r="V1681">
        <v>-2.4771339999999999E-2</v>
      </c>
      <c r="W1681">
        <v>6.408809E-2</v>
      </c>
      <c r="X1681">
        <v>0.99763670000000004</v>
      </c>
      <c r="Y1681">
        <v>-0.15419829999999901</v>
      </c>
      <c r="Z1681">
        <v>-5.119902E-3</v>
      </c>
      <c r="AA1681">
        <v>0.98802670000000004</v>
      </c>
      <c r="AB1681">
        <v>61</v>
      </c>
      <c r="AC1681">
        <v>-14.6122</v>
      </c>
      <c r="AD1681">
        <v>-1.1105849587659999</v>
      </c>
      <c r="AE1681">
        <v>-2.4778999999999698</v>
      </c>
      <c r="AF1681">
        <v>-2.3718078674924299</v>
      </c>
      <c r="AG1681">
        <v>-1.1105849587659999</v>
      </c>
      <c r="AH1681">
        <v>14.545952337398401</v>
      </c>
      <c r="AI1681">
        <v>94.309375101365902</v>
      </c>
      <c r="AJ1681">
        <v>99.260932147712296</v>
      </c>
      <c r="AK1681">
        <v>14.779837648391201</v>
      </c>
    </row>
    <row r="1682" spans="1:37" x14ac:dyDescent="0.2">
      <c r="A1682" t="str">
        <f>"20200111154058094"</f>
        <v>20200111154058094</v>
      </c>
      <c r="B1682" t="str">
        <f>"1578728458087397"</f>
        <v>1578728458087397</v>
      </c>
      <c r="C1682" t="s">
        <v>37</v>
      </c>
      <c r="D1682">
        <v>4.9707099999999897</v>
      </c>
      <c r="E1682">
        <v>0.44949099999999997</v>
      </c>
      <c r="F1682" t="s">
        <v>44</v>
      </c>
      <c r="G1682">
        <v>-442.87720000000002</v>
      </c>
      <c r="H1682" s="1">
        <v>1.122504E-7</v>
      </c>
      <c r="I1682">
        <v>281.91879999999998</v>
      </c>
      <c r="J1682">
        <v>-428.74650000000003</v>
      </c>
      <c r="K1682">
        <v>1.1105780000000001</v>
      </c>
      <c r="L1682">
        <v>284.32990000000001</v>
      </c>
      <c r="M1682">
        <v>-0.99985990000000002</v>
      </c>
      <c r="N1682">
        <v>0</v>
      </c>
      <c r="O1682">
        <v>-6.8648900000000002E-3</v>
      </c>
      <c r="P1682">
        <v>-0.9983554</v>
      </c>
      <c r="Q1682">
        <v>4.7946900000000001E-2</v>
      </c>
      <c r="R1682">
        <v>-3.1426219999999998E-2</v>
      </c>
      <c r="S1682">
        <v>-3.0008240000000002</v>
      </c>
      <c r="T1682">
        <v>-0.22593049999999901</v>
      </c>
      <c r="U1682">
        <v>-0.49133300000000002</v>
      </c>
      <c r="V1682">
        <v>-2.469816E-2</v>
      </c>
      <c r="W1682">
        <v>6.3137299999999993E-2</v>
      </c>
      <c r="X1682">
        <v>0.99769920000000001</v>
      </c>
      <c r="Y1682">
        <v>-0.15439529999999899</v>
      </c>
      <c r="Z1682">
        <v>-5.2530229999999999E-3</v>
      </c>
      <c r="AA1682">
        <v>0.98799519999999996</v>
      </c>
      <c r="AB1682">
        <v>61</v>
      </c>
      <c r="AC1682">
        <v>-14.1306999999999</v>
      </c>
      <c r="AD1682">
        <v>-1.1105778877496</v>
      </c>
      <c r="AE1682">
        <v>-2.41110000000003</v>
      </c>
      <c r="AF1682">
        <v>-2.3002198904192799</v>
      </c>
      <c r="AG1682">
        <v>-1.1105778877496</v>
      </c>
      <c r="AH1682">
        <v>14.0625154266869</v>
      </c>
      <c r="AI1682">
        <v>94.4565427014157</v>
      </c>
      <c r="AJ1682">
        <v>99.289661879216794</v>
      </c>
      <c r="AK1682">
        <v>14.2926112000168</v>
      </c>
    </row>
    <row r="1683" spans="1:37" x14ac:dyDescent="0.2">
      <c r="A1683" t="str">
        <f>"20200111154058116"</f>
        <v>20200111154058116</v>
      </c>
      <c r="B1683" t="str">
        <f>"1578728458107896"</f>
        <v>1578728458107896</v>
      </c>
      <c r="C1683" t="s">
        <v>37</v>
      </c>
      <c r="D1683">
        <v>5.0663660000000004</v>
      </c>
      <c r="E1683">
        <v>0.44916329999999999</v>
      </c>
      <c r="F1683" t="s">
        <v>44</v>
      </c>
      <c r="G1683">
        <v>-443.46570000000003</v>
      </c>
      <c r="H1683" s="1">
        <v>4.259727E-7</v>
      </c>
      <c r="I1683">
        <v>281.9058</v>
      </c>
      <c r="J1683">
        <v>-429.35489999999999</v>
      </c>
      <c r="K1683">
        <v>1.110574</v>
      </c>
      <c r="L1683">
        <v>284.32549999999998</v>
      </c>
      <c r="M1683">
        <v>-0.99985630000000003</v>
      </c>
      <c r="N1683">
        <v>0</v>
      </c>
      <c r="O1683">
        <v>-7.3753069999999898E-3</v>
      </c>
      <c r="P1683">
        <v>-0.99827049999999995</v>
      </c>
      <c r="Q1683">
        <v>4.9498510000000003E-2</v>
      </c>
      <c r="R1683">
        <v>-3.1714270000000003E-2</v>
      </c>
      <c r="S1683">
        <v>-3.0002749999999998</v>
      </c>
      <c r="T1683">
        <v>-0.22637359999999901</v>
      </c>
      <c r="U1683">
        <v>-0.494110099999999</v>
      </c>
      <c r="V1683">
        <v>-2.4480209999999999E-2</v>
      </c>
      <c r="W1683">
        <v>6.4688140000000005E-2</v>
      </c>
      <c r="X1683">
        <v>0.99760519999999997</v>
      </c>
      <c r="Y1683">
        <v>-0.1548089</v>
      </c>
      <c r="Z1683">
        <v>-5.24114E-3</v>
      </c>
      <c r="AA1683">
        <v>0.98793050000000004</v>
      </c>
      <c r="AB1683">
        <v>61</v>
      </c>
      <c r="AC1683">
        <v>-14.110799999999999</v>
      </c>
      <c r="AD1683">
        <v>-1.1105735740272999</v>
      </c>
      <c r="AE1683">
        <v>-2.41969999999997</v>
      </c>
      <c r="AF1683">
        <v>-2.3017004325138402</v>
      </c>
      <c r="AG1683">
        <v>-1.1105735740272999</v>
      </c>
      <c r="AH1683">
        <v>14.0437580490205</v>
      </c>
      <c r="AI1683">
        <v>94.4622242012057</v>
      </c>
      <c r="AJ1683">
        <v>99.307735187182999</v>
      </c>
      <c r="AK1683">
        <v>14.274394511985101</v>
      </c>
    </row>
    <row r="1684" spans="1:37" x14ac:dyDescent="0.2">
      <c r="A1684" t="str">
        <f>"20200111154058138"</f>
        <v>20200111154058138</v>
      </c>
      <c r="B1684" t="str">
        <f>"1578728458127414"</f>
        <v>1578728458127414</v>
      </c>
      <c r="C1684" t="s">
        <v>37</v>
      </c>
      <c r="D1684">
        <v>5.0808970000000002</v>
      </c>
      <c r="E1684">
        <v>0.44887379999999999</v>
      </c>
      <c r="F1684" t="s">
        <v>44</v>
      </c>
      <c r="G1684">
        <v>-444.5548</v>
      </c>
      <c r="H1684" s="1">
        <v>1.009983E-6</v>
      </c>
      <c r="I1684">
        <v>281.80450000000002</v>
      </c>
      <c r="J1684">
        <v>-429.94529999999997</v>
      </c>
      <c r="K1684">
        <v>1.1106009999999999</v>
      </c>
      <c r="L1684">
        <v>284.320999999999</v>
      </c>
      <c r="M1684">
        <v>-0.99985249999999903</v>
      </c>
      <c r="N1684">
        <v>0</v>
      </c>
      <c r="O1684">
        <v>-7.8705839999999999E-3</v>
      </c>
      <c r="P1684">
        <v>-0.99801640000000003</v>
      </c>
      <c r="Q1684">
        <v>5.3390199999999902E-2</v>
      </c>
      <c r="R1684">
        <v>-3.3361910000000002E-2</v>
      </c>
      <c r="S1684">
        <v>-3.0002439999999999</v>
      </c>
      <c r="T1684">
        <v>-0.21921060000000001</v>
      </c>
      <c r="U1684">
        <v>-0.4976196</v>
      </c>
      <c r="V1684">
        <v>-2.564278E-2</v>
      </c>
      <c r="W1684">
        <v>6.8573339999999997E-2</v>
      </c>
      <c r="X1684">
        <v>0.99731650000000005</v>
      </c>
      <c r="Y1684">
        <v>-0.1554711</v>
      </c>
      <c r="Z1684">
        <v>-5.0634159999999899E-3</v>
      </c>
      <c r="AA1684">
        <v>0.98782749999999997</v>
      </c>
      <c r="AB1684">
        <v>61</v>
      </c>
      <c r="AC1684">
        <v>-14.609500000000001</v>
      </c>
      <c r="AD1684">
        <v>-1.110599990017</v>
      </c>
      <c r="AE1684">
        <v>-2.51649999999995</v>
      </c>
      <c r="AF1684">
        <v>-2.3880208799174101</v>
      </c>
      <c r="AG1684">
        <v>-1.110599990017</v>
      </c>
      <c r="AH1684">
        <v>14.547211664762999</v>
      </c>
      <c r="AI1684">
        <v>94.308308919619293</v>
      </c>
      <c r="AJ1684">
        <v>99.322336487673198</v>
      </c>
      <c r="AK1684">
        <v>14.7836884193412</v>
      </c>
    </row>
    <row r="1685" spans="1:37" x14ac:dyDescent="0.2">
      <c r="A1685" t="str">
        <f>"20200111154058160"</f>
        <v>20200111154058160</v>
      </c>
      <c r="B1685" t="str">
        <f>"1578728458157670"</f>
        <v>1578728458157670</v>
      </c>
      <c r="C1685" t="s">
        <v>37</v>
      </c>
      <c r="D1685">
        <v>5.1130719999999998</v>
      </c>
      <c r="E1685">
        <v>0.44854480000000002</v>
      </c>
      <c r="F1685" t="s">
        <v>44</v>
      </c>
      <c r="G1685">
        <v>-446.05259999999998</v>
      </c>
      <c r="H1685" s="1">
        <v>1.8155429999999999E-6</v>
      </c>
      <c r="I1685">
        <v>281.60989999999998</v>
      </c>
      <c r="J1685">
        <v>-430.56310000000002</v>
      </c>
      <c r="K1685">
        <v>1.110617</v>
      </c>
      <c r="L1685">
        <v>284.3159</v>
      </c>
      <c r="M1685">
        <v>-0.99984830000000002</v>
      </c>
      <c r="N1685">
        <v>0</v>
      </c>
      <c r="O1685">
        <v>-8.389568E-3</v>
      </c>
      <c r="P1685">
        <v>-0.99777090000000002</v>
      </c>
      <c r="Q1685">
        <v>5.6424699999999897E-2</v>
      </c>
      <c r="R1685">
        <v>-3.5631740000000002E-2</v>
      </c>
      <c r="S1685">
        <v>-3.0001530000000001</v>
      </c>
      <c r="T1685">
        <v>-0.20686019999999999</v>
      </c>
      <c r="U1685">
        <v>-0.50497440000000005</v>
      </c>
      <c r="V1685">
        <v>-2.7402650000000001E-2</v>
      </c>
      <c r="W1685">
        <v>7.1599510000000005E-2</v>
      </c>
      <c r="X1685">
        <v>0.99705699999999997</v>
      </c>
      <c r="Y1685">
        <v>-0.15735769999999999</v>
      </c>
      <c r="Z1685">
        <v>-4.8070409999999997E-3</v>
      </c>
      <c r="AA1685">
        <v>0.98752999999999902</v>
      </c>
      <c r="AB1685">
        <v>61</v>
      </c>
      <c r="AC1685">
        <v>-15.4894999999999</v>
      </c>
      <c r="AD1685">
        <v>-1.110615184457</v>
      </c>
      <c r="AE1685">
        <v>-2.7060000000000102</v>
      </c>
      <c r="AF1685">
        <v>-2.5631523359374402</v>
      </c>
      <c r="AG1685">
        <v>-1.110615184457</v>
      </c>
      <c r="AH1685">
        <v>15.434659137494601</v>
      </c>
      <c r="AI1685">
        <v>94.060262072607998</v>
      </c>
      <c r="AJ1685">
        <v>99.428762024251299</v>
      </c>
      <c r="AK1685">
        <v>15.6854046385745</v>
      </c>
    </row>
    <row r="1686" spans="1:37" x14ac:dyDescent="0.2">
      <c r="A1686" t="str">
        <f>"20200111154058184"</f>
        <v>20200111154058184</v>
      </c>
      <c r="B1686" t="str">
        <f>"1578728458178169"</f>
        <v>1578728458178169</v>
      </c>
      <c r="C1686" t="s">
        <v>37</v>
      </c>
      <c r="D1686">
        <v>5.1333919999999997</v>
      </c>
      <c r="E1686">
        <v>0.44827119999999998</v>
      </c>
      <c r="F1686" t="s">
        <v>44</v>
      </c>
      <c r="G1686">
        <v>-447.50830000000002</v>
      </c>
      <c r="H1686" s="1">
        <v>2.598945E-6</v>
      </c>
      <c r="I1686">
        <v>281.40960000000001</v>
      </c>
      <c r="J1686">
        <v>-431.17669999999998</v>
      </c>
      <c r="K1686">
        <v>1.1106259999999999</v>
      </c>
      <c r="L1686">
        <v>284.31060000000002</v>
      </c>
      <c r="M1686">
        <v>-0.99984379999999995</v>
      </c>
      <c r="N1686">
        <v>0</v>
      </c>
      <c r="O1686">
        <v>-8.9049730000000001E-3</v>
      </c>
      <c r="P1686">
        <v>-0.99761270000000002</v>
      </c>
      <c r="Q1686">
        <v>5.785001E-2</v>
      </c>
      <c r="R1686">
        <v>-3.7715400000000003E-2</v>
      </c>
      <c r="S1686">
        <v>-2.9994509999999899</v>
      </c>
      <c r="T1686">
        <v>-0.19658829999999999</v>
      </c>
      <c r="U1686">
        <v>-0.51443479999999997</v>
      </c>
      <c r="V1686">
        <v>-2.8975689999999998E-2</v>
      </c>
      <c r="W1686">
        <v>7.3018680000000002E-2</v>
      </c>
      <c r="X1686">
        <v>0.99690959999999995</v>
      </c>
      <c r="Y1686">
        <v>-0.15994220000000001</v>
      </c>
      <c r="Z1686">
        <v>-4.6192170000000001E-3</v>
      </c>
      <c r="AA1686">
        <v>0.98711559999999898</v>
      </c>
      <c r="AB1686">
        <v>61</v>
      </c>
      <c r="AC1686">
        <v>-16.331600000000002</v>
      </c>
      <c r="AD1686">
        <v>-1.110623401055</v>
      </c>
      <c r="AE1686">
        <v>-2.90100000000001</v>
      </c>
      <c r="AF1686">
        <v>-2.74313760186531</v>
      </c>
      <c r="AG1686">
        <v>-1.110623401055</v>
      </c>
      <c r="AH1686">
        <v>16.283785742473398</v>
      </c>
      <c r="AI1686">
        <v>93.847725584060399</v>
      </c>
      <c r="AJ1686">
        <v>99.562167401897</v>
      </c>
      <c r="AK1686">
        <v>16.550527675833202</v>
      </c>
    </row>
    <row r="1687" spans="1:37" x14ac:dyDescent="0.2">
      <c r="A1687" t="str">
        <f>"20200111154058205"</f>
        <v>20200111154058205</v>
      </c>
      <c r="B1687" t="str">
        <f>"1578728458197685"</f>
        <v>1578728458197685</v>
      </c>
      <c r="C1687" t="s">
        <v>37</v>
      </c>
      <c r="D1687">
        <v>5.1208980000000004</v>
      </c>
      <c r="E1687">
        <v>0.44808419999999999</v>
      </c>
      <c r="F1687" t="s">
        <v>44</v>
      </c>
      <c r="G1687">
        <v>-448.56299999999999</v>
      </c>
      <c r="H1687" s="1">
        <v>3.1659719999999999E-6</v>
      </c>
      <c r="I1687">
        <v>281.27749999999997</v>
      </c>
      <c r="J1687">
        <v>-431.7842</v>
      </c>
      <c r="K1687">
        <v>1.1106320000000001</v>
      </c>
      <c r="L1687">
        <v>284.30500000000001</v>
      </c>
      <c r="M1687">
        <v>-0.99983919999999904</v>
      </c>
      <c r="N1687">
        <v>0</v>
      </c>
      <c r="O1687">
        <v>-9.4160839999999999E-3</v>
      </c>
      <c r="P1687">
        <v>-0.99749259999999995</v>
      </c>
      <c r="Q1687">
        <v>5.9141350000000002E-2</v>
      </c>
      <c r="R1687">
        <v>-3.8875649999999998E-2</v>
      </c>
      <c r="S1687">
        <v>-2.998535</v>
      </c>
      <c r="T1687">
        <v>-0.19154379999999999</v>
      </c>
      <c r="U1687">
        <v>-0.52310179999999995</v>
      </c>
      <c r="V1687">
        <v>-2.962886E-2</v>
      </c>
      <c r="W1687">
        <v>7.4305479999999993E-2</v>
      </c>
      <c r="X1687">
        <v>0.99679530000000005</v>
      </c>
      <c r="Y1687">
        <v>-0.16227</v>
      </c>
      <c r="Z1687">
        <v>-4.5425370000000001E-3</v>
      </c>
      <c r="AA1687">
        <v>0.9867359</v>
      </c>
      <c r="AB1687">
        <v>61</v>
      </c>
      <c r="AC1687">
        <v>-16.7788</v>
      </c>
      <c r="AD1687">
        <v>-1.1106288340279999</v>
      </c>
      <c r="AE1687">
        <v>-3.0275000000000301</v>
      </c>
      <c r="AF1687">
        <v>-2.85723271350223</v>
      </c>
      <c r="AG1687">
        <v>-1.1106288340279999</v>
      </c>
      <c r="AH1687">
        <v>16.735552812797302</v>
      </c>
      <c r="AI1687">
        <v>93.742779200144</v>
      </c>
      <c r="AJ1687">
        <v>99.688597637350298</v>
      </c>
      <c r="AK1687">
        <v>17.013994332196301</v>
      </c>
    </row>
    <row r="1688" spans="1:37" x14ac:dyDescent="0.2">
      <c r="A1688" t="str">
        <f>"20200111154058227"</f>
        <v>20200111154058227</v>
      </c>
      <c r="B1688" t="str">
        <f>"1578728458218181"</f>
        <v>1578728458218181</v>
      </c>
      <c r="C1688" t="s">
        <v>37</v>
      </c>
      <c r="D1688">
        <v>5.1172029999999999</v>
      </c>
      <c r="E1688">
        <v>0.44785119999999901</v>
      </c>
      <c r="F1688" t="s">
        <v>44</v>
      </c>
      <c r="G1688">
        <v>-449.61869999999999</v>
      </c>
      <c r="H1688" s="1">
        <v>3.7327859999999899E-6</v>
      </c>
      <c r="I1688">
        <v>281.16180000000003</v>
      </c>
      <c r="J1688">
        <v>-432.37799999999999</v>
      </c>
      <c r="K1688">
        <v>1.1106320000000001</v>
      </c>
      <c r="L1688">
        <v>284.29919999999998</v>
      </c>
      <c r="M1688">
        <v>-0.99983440000000001</v>
      </c>
      <c r="N1688">
        <v>0</v>
      </c>
      <c r="O1688">
        <v>-9.9159869999999994E-3</v>
      </c>
      <c r="P1688">
        <v>-0.99745459999999997</v>
      </c>
      <c r="Q1688">
        <v>5.9580649999999999E-2</v>
      </c>
      <c r="R1688">
        <v>-3.917259E-2</v>
      </c>
      <c r="S1688">
        <v>-2.9980159999999998</v>
      </c>
      <c r="T1688">
        <v>-0.186699</v>
      </c>
      <c r="U1688">
        <v>-0.52838130000000005</v>
      </c>
      <c r="V1688">
        <v>-2.9428739999999998E-2</v>
      </c>
      <c r="W1688">
        <v>7.4743909999999997E-2</v>
      </c>
      <c r="X1688">
        <v>0.9967684</v>
      </c>
      <c r="Y1688">
        <v>-0.16350499999999901</v>
      </c>
      <c r="Z1688">
        <v>-4.4352200000000001E-3</v>
      </c>
      <c r="AA1688">
        <v>0.98653259999999898</v>
      </c>
      <c r="AB1688">
        <v>61</v>
      </c>
      <c r="AC1688">
        <v>-17.240699999999901</v>
      </c>
      <c r="AD1688">
        <v>-1.110628267214</v>
      </c>
      <c r="AE1688">
        <v>-3.1373999999999498</v>
      </c>
      <c r="AF1688">
        <v>-2.9544000547763898</v>
      </c>
      <c r="AG1688">
        <v>-1.110628267214</v>
      </c>
      <c r="AH1688">
        <v>17.2018699600651</v>
      </c>
      <c r="AI1688">
        <v>93.640976473155504</v>
      </c>
      <c r="AJ1688">
        <v>99.745400024226598</v>
      </c>
      <c r="AK1688">
        <v>17.489033848517401</v>
      </c>
    </row>
    <row r="1689" spans="1:37" x14ac:dyDescent="0.2">
      <c r="A1689" t="str">
        <f>"20200111154058250"</f>
        <v>20200111154058250</v>
      </c>
      <c r="B1689" t="str">
        <f>"1578728458248437"</f>
        <v>1578728458248437</v>
      </c>
      <c r="C1689" t="s">
        <v>37</v>
      </c>
      <c r="D1689">
        <v>5.1036109999999999</v>
      </c>
      <c r="E1689">
        <v>0.447518999999999</v>
      </c>
      <c r="F1689" t="s">
        <v>44</v>
      </c>
      <c r="G1689">
        <v>-450.42079999999999</v>
      </c>
      <c r="H1689" s="1">
        <v>-1.159243E-6</v>
      </c>
      <c r="I1689">
        <v>281.10160000000002</v>
      </c>
      <c r="J1689">
        <v>-432.98809999999997</v>
      </c>
      <c r="K1689">
        <v>1.1106240000000001</v>
      </c>
      <c r="L1689">
        <v>284.29289999999997</v>
      </c>
      <c r="M1689">
        <v>-0.99982919999999997</v>
      </c>
      <c r="N1689">
        <v>0</v>
      </c>
      <c r="O1689">
        <v>-1.042973E-2</v>
      </c>
      <c r="P1689">
        <v>-0.99749929999999998</v>
      </c>
      <c r="Q1689">
        <v>5.8909549999999998E-2</v>
      </c>
      <c r="R1689">
        <v>-3.9051250000000003E-2</v>
      </c>
      <c r="S1689">
        <v>-2.9977719999999999</v>
      </c>
      <c r="T1689">
        <v>-0.18452979999999899</v>
      </c>
      <c r="U1689">
        <v>-0.53128050000000004</v>
      </c>
      <c r="V1689">
        <v>-2.8792330000000001E-2</v>
      </c>
      <c r="W1689">
        <v>7.4073899999999998E-2</v>
      </c>
      <c r="X1689">
        <v>0.99683699999999997</v>
      </c>
      <c r="Y1689">
        <v>-0.1639438</v>
      </c>
      <c r="Z1689">
        <v>-4.3658220000000001E-3</v>
      </c>
      <c r="AA1689">
        <v>0.98646</v>
      </c>
      <c r="AB1689">
        <v>61</v>
      </c>
      <c r="AC1689">
        <v>-17.432700000000001</v>
      </c>
      <c r="AD1689">
        <v>-1.1106251592430001</v>
      </c>
      <c r="AE1689">
        <v>-3.1912999999999498</v>
      </c>
      <c r="AF1689">
        <v>-2.9975148310875701</v>
      </c>
      <c r="AG1689">
        <v>-1.1106251592430001</v>
      </c>
      <c r="AH1689">
        <v>17.396718377349799</v>
      </c>
      <c r="AI1689">
        <v>93.599961495260402</v>
      </c>
      <c r="AJ1689">
        <v>99.776267990472107</v>
      </c>
      <c r="AK1689">
        <v>17.687973137354</v>
      </c>
    </row>
    <row r="1690" spans="1:37" x14ac:dyDescent="0.2">
      <c r="A1690" t="str">
        <f>"20200111154058273"</f>
        <v>20200111154058273</v>
      </c>
      <c r="B1690" t="str">
        <f>"1578728458267960"</f>
        <v>1578728458267960</v>
      </c>
      <c r="C1690" t="s">
        <v>37</v>
      </c>
      <c r="D1690">
        <v>5.1930969999999999</v>
      </c>
      <c r="E1690">
        <v>0.44755719999999999</v>
      </c>
      <c r="F1690" t="s">
        <v>44</v>
      </c>
      <c r="G1690">
        <v>-450.85489999999999</v>
      </c>
      <c r="H1690" s="1">
        <v>-9.2881059999999896E-7</v>
      </c>
      <c r="I1690">
        <v>281.11470000000003</v>
      </c>
      <c r="J1690">
        <v>-433.61279999999999</v>
      </c>
      <c r="K1690">
        <v>1.1106229999999999</v>
      </c>
      <c r="L1690">
        <v>284.28629999999998</v>
      </c>
      <c r="M1690">
        <v>-0.99982329999999997</v>
      </c>
      <c r="N1690">
        <v>0</v>
      </c>
      <c r="O1690">
        <v>-1.09518999999999E-2</v>
      </c>
      <c r="P1690">
        <v>-0.99754949999999998</v>
      </c>
      <c r="Q1690">
        <v>5.7939919999999999E-2</v>
      </c>
      <c r="R1690">
        <v>-3.9220169999999999E-2</v>
      </c>
      <c r="S1690">
        <v>-2.99762</v>
      </c>
      <c r="T1690">
        <v>-0.1863368</v>
      </c>
      <c r="U1690">
        <v>-0.53323359999999997</v>
      </c>
      <c r="V1690">
        <v>-2.8437810000000001E-2</v>
      </c>
      <c r="W1690">
        <v>7.3128520000000002E-2</v>
      </c>
      <c r="X1690">
        <v>0.99691700000000005</v>
      </c>
      <c r="Y1690">
        <v>-0.1640556</v>
      </c>
      <c r="Z1690">
        <v>-4.3797469999999998E-3</v>
      </c>
      <c r="AA1690">
        <v>0.98644140000000002</v>
      </c>
      <c r="AB1690">
        <v>61</v>
      </c>
      <c r="AC1690">
        <v>-17.242099999999901</v>
      </c>
      <c r="AD1690">
        <v>-1.1106239288105999</v>
      </c>
      <c r="AE1690">
        <v>-3.17159999999995</v>
      </c>
      <c r="AF1690">
        <v>-2.9706318926410198</v>
      </c>
      <c r="AG1690">
        <v>-1.1106239288105999</v>
      </c>
      <c r="AH1690">
        <v>17.2067488531167</v>
      </c>
      <c r="AI1690">
        <v>93.6393895933696</v>
      </c>
      <c r="AJ1690">
        <v>99.795183134262302</v>
      </c>
      <c r="AK1690">
        <v>17.4965809644929</v>
      </c>
    </row>
    <row r="1691" spans="1:37" x14ac:dyDescent="0.2">
      <c r="A1691" t="str">
        <f>"20200111154058295"</f>
        <v>20200111154058295</v>
      </c>
      <c r="B1691" t="str">
        <f>"1578728458287478"</f>
        <v>1578728458287478</v>
      </c>
      <c r="C1691" t="s">
        <v>37</v>
      </c>
      <c r="D1691">
        <v>5.1115349999999999</v>
      </c>
      <c r="E1691">
        <v>0.4762923</v>
      </c>
      <c r="F1691" t="s">
        <v>44</v>
      </c>
      <c r="G1691">
        <v>-451.13159999999999</v>
      </c>
      <c r="H1691" s="1">
        <v>-7.8399230000000005E-7</v>
      </c>
      <c r="I1691">
        <v>281.17059999999998</v>
      </c>
      <c r="J1691">
        <v>-434.21269999999998</v>
      </c>
      <c r="K1691">
        <v>1.110636</v>
      </c>
      <c r="L1691">
        <v>284.27949999999998</v>
      </c>
      <c r="M1691">
        <v>-0.9998165</v>
      </c>
      <c r="N1691">
        <v>0</v>
      </c>
      <c r="O1691">
        <v>-1.1445459999999999E-2</v>
      </c>
      <c r="P1691">
        <v>-0.99758899999999995</v>
      </c>
      <c r="Q1691">
        <v>5.6849509999999999E-2</v>
      </c>
      <c r="R1691">
        <v>-3.9802850000000001E-2</v>
      </c>
      <c r="S1691">
        <v>-2.9974369999999899</v>
      </c>
      <c r="T1691">
        <v>-0.190026</v>
      </c>
      <c r="U1691">
        <v>-0.53308109999999997</v>
      </c>
      <c r="V1691">
        <v>-2.852501E-2</v>
      </c>
      <c r="W1691">
        <v>7.2116959999999994E-2</v>
      </c>
      <c r="X1691">
        <v>0.99698819999999999</v>
      </c>
      <c r="Y1691">
        <v>-0.1635209</v>
      </c>
      <c r="Z1691">
        <v>-4.4187749999999998E-3</v>
      </c>
      <c r="AA1691">
        <v>0.98652999999999902</v>
      </c>
      <c r="AB1691">
        <v>61</v>
      </c>
      <c r="AC1691">
        <v>-16.918900000000001</v>
      </c>
      <c r="AD1691">
        <v>-1.1106367839922999</v>
      </c>
      <c r="AE1691">
        <v>-3.1089000000000002</v>
      </c>
      <c r="AF1691">
        <v>-2.9029280663611501</v>
      </c>
      <c r="AG1691">
        <v>-1.1106367839922999</v>
      </c>
      <c r="AH1691">
        <v>16.883002022244298</v>
      </c>
      <c r="AI1691">
        <v>93.7094610005568</v>
      </c>
      <c r="AJ1691">
        <v>99.756255530108405</v>
      </c>
      <c r="AK1691">
        <v>17.166719625704001</v>
      </c>
    </row>
    <row r="1692" spans="1:37" x14ac:dyDescent="0.2">
      <c r="A1692" t="str">
        <f>"20200111154058317"</f>
        <v>20200111154058317</v>
      </c>
      <c r="B1692" t="str">
        <f>"1578728458307974"</f>
        <v>1578728458307974</v>
      </c>
      <c r="C1692" t="s">
        <v>37</v>
      </c>
      <c r="D1692">
        <v>5.0950620000000004</v>
      </c>
      <c r="E1692">
        <v>0.4772691</v>
      </c>
      <c r="F1692" t="s">
        <v>44</v>
      </c>
      <c r="G1692">
        <v>-449.85070000000002</v>
      </c>
      <c r="H1692" s="1">
        <v>3.7893249999999999E-6</v>
      </c>
      <c r="I1692">
        <v>282.69380000000001</v>
      </c>
      <c r="J1692">
        <v>-434.81420000000003</v>
      </c>
      <c r="K1692">
        <v>1.1106559999999901</v>
      </c>
      <c r="L1692">
        <v>284.2724</v>
      </c>
      <c r="M1692">
        <v>-0.99980869999999999</v>
      </c>
      <c r="N1692">
        <v>0</v>
      </c>
      <c r="O1692">
        <v>-1.1932760000000001E-2</v>
      </c>
      <c r="P1692">
        <v>-0.99760769999999999</v>
      </c>
      <c r="Q1692">
        <v>5.6092099999999902E-2</v>
      </c>
      <c r="R1692">
        <v>-4.040788E-2</v>
      </c>
      <c r="S1692">
        <v>-3.007263</v>
      </c>
      <c r="T1692">
        <v>-0.21357979999999999</v>
      </c>
      <c r="U1692">
        <v>-0.30493159999999903</v>
      </c>
      <c r="V1692">
        <v>-2.8642290000000001E-2</v>
      </c>
      <c r="W1692">
        <v>7.1498679999999995E-2</v>
      </c>
      <c r="X1692">
        <v>0.99702939999999995</v>
      </c>
      <c r="Y1692">
        <v>-8.8809009999999994E-2</v>
      </c>
      <c r="Z1692">
        <v>-2.2974580000000001E-3</v>
      </c>
      <c r="AA1692">
        <v>0.99604599999999899</v>
      </c>
      <c r="AB1692">
        <v>61</v>
      </c>
      <c r="AC1692">
        <v>-15.036499999999901</v>
      </c>
      <c r="AD1692">
        <v>-1.1106522106749901</v>
      </c>
      <c r="AE1692">
        <v>-1.57859999999999</v>
      </c>
      <c r="AF1692">
        <v>-1.39152986609356</v>
      </c>
      <c r="AG1692">
        <v>-1.1106522106749901</v>
      </c>
      <c r="AH1692">
        <v>14.9734660489899</v>
      </c>
      <c r="AI1692">
        <v>94.223993344631097</v>
      </c>
      <c r="AJ1692">
        <v>95.309421544128298</v>
      </c>
      <c r="AK1692">
        <v>15.078945229078901</v>
      </c>
    </row>
    <row r="1693" spans="1:37" x14ac:dyDescent="0.2">
      <c r="A1693" t="str">
        <f>"20200111154058339"</f>
        <v>20200111154058339</v>
      </c>
      <c r="B1693" t="str">
        <f>"1578728458327494"</f>
        <v>1578728458327494</v>
      </c>
      <c r="C1693" t="s">
        <v>37</v>
      </c>
      <c r="D1693">
        <v>5.1115159999999999</v>
      </c>
      <c r="E1693">
        <v>0.47662520000000003</v>
      </c>
      <c r="F1693" t="s">
        <v>44</v>
      </c>
      <c r="G1693">
        <v>-450.62860000000001</v>
      </c>
      <c r="H1693" s="1">
        <v>-1.118602E-6</v>
      </c>
      <c r="I1693">
        <v>282.70159999999998</v>
      </c>
      <c r="J1693">
        <v>-435.40839999999997</v>
      </c>
      <c r="K1693">
        <v>1.110689</v>
      </c>
      <c r="L1693">
        <v>284.26510000000002</v>
      </c>
      <c r="M1693">
        <v>-0.99980000000000002</v>
      </c>
      <c r="N1693">
        <v>0</v>
      </c>
      <c r="O1693">
        <v>-1.240692E-2</v>
      </c>
      <c r="P1693">
        <v>-0.99759319999999896</v>
      </c>
      <c r="Q1693">
        <v>5.5492699999999999E-2</v>
      </c>
      <c r="R1693">
        <v>-4.1577509999999998E-2</v>
      </c>
      <c r="S1693">
        <v>-3.006958</v>
      </c>
      <c r="T1693">
        <v>-0.21118139999999999</v>
      </c>
      <c r="U1693">
        <v>-0.29867549999999998</v>
      </c>
      <c r="V1693">
        <v>-2.9337729999999999E-2</v>
      </c>
      <c r="W1693">
        <v>7.1088689999999996E-2</v>
      </c>
      <c r="X1693">
        <v>0.99703850000000005</v>
      </c>
      <c r="Y1693">
        <v>-8.6306270000000004E-2</v>
      </c>
      <c r="Z1693">
        <v>-2.1514479999999998E-3</v>
      </c>
      <c r="AA1693">
        <v>0.99626630000000005</v>
      </c>
      <c r="AB1693">
        <v>61</v>
      </c>
      <c r="AC1693">
        <v>-15.2202</v>
      </c>
      <c r="AD1693">
        <v>-1.110690118602</v>
      </c>
      <c r="AE1693">
        <v>-1.5635000000000301</v>
      </c>
      <c r="AF1693">
        <v>-1.3673152455294599</v>
      </c>
      <c r="AG1693">
        <v>-1.110690118602</v>
      </c>
      <c r="AH1693">
        <v>15.1585477777818</v>
      </c>
      <c r="AI1693">
        <v>94.173776417569201</v>
      </c>
      <c r="AJ1693">
        <v>95.154184811712298</v>
      </c>
      <c r="AK1693">
        <v>15.2605620555571</v>
      </c>
    </row>
    <row r="1694" spans="1:37" x14ac:dyDescent="0.2">
      <c r="A1694" t="str">
        <f>"20200111154058362"</f>
        <v>20200111154058362</v>
      </c>
      <c r="B1694" t="str">
        <f>"1578728458357750"</f>
        <v>1578728458357750</v>
      </c>
      <c r="C1694" t="s">
        <v>37</v>
      </c>
      <c r="D1694">
        <v>5.0939199999999998</v>
      </c>
      <c r="E1694">
        <v>0.4757865</v>
      </c>
      <c r="F1694" t="s">
        <v>44</v>
      </c>
      <c r="G1694">
        <v>-451.32799999999997</v>
      </c>
      <c r="H1694" s="1">
        <v>-7.4359240000000003E-7</v>
      </c>
      <c r="I1694">
        <v>282.63729999999998</v>
      </c>
      <c r="J1694">
        <v>-436.02539999999999</v>
      </c>
      <c r="K1694">
        <v>1.1107389999999999</v>
      </c>
      <c r="L1694">
        <v>284.25720000000001</v>
      </c>
      <c r="M1694">
        <v>-0.999789699999999</v>
      </c>
      <c r="N1694">
        <v>0</v>
      </c>
      <c r="O1694">
        <v>-1.289065E-2</v>
      </c>
      <c r="P1694">
        <v>-0.99759540000000002</v>
      </c>
      <c r="Q1694">
        <v>5.447171E-2</v>
      </c>
      <c r="R1694">
        <v>-4.2854440000000001E-2</v>
      </c>
      <c r="S1694">
        <v>-3.0061339999999999</v>
      </c>
      <c r="T1694">
        <v>-0.2097348</v>
      </c>
      <c r="U1694">
        <v>-0.30737300000000001</v>
      </c>
      <c r="V1694">
        <v>-3.01295E-2</v>
      </c>
      <c r="W1694">
        <v>7.0331450000000004E-2</v>
      </c>
      <c r="X1694">
        <v>0.99706849999999903</v>
      </c>
      <c r="Y1694">
        <v>-8.8702080000000003E-2</v>
      </c>
      <c r="Z1694">
        <v>-2.186665E-3</v>
      </c>
      <c r="AA1694">
        <v>0.99605580000000005</v>
      </c>
      <c r="AB1694">
        <v>61</v>
      </c>
      <c r="AC1694">
        <v>-15.3026</v>
      </c>
      <c r="AD1694">
        <v>-1.1107397435924</v>
      </c>
      <c r="AE1694">
        <v>-1.6199000000000201</v>
      </c>
      <c r="AF1694">
        <v>-1.4151068231753099</v>
      </c>
      <c r="AG1694">
        <v>-1.1107397435924</v>
      </c>
      <c r="AH1694">
        <v>15.242794394160001</v>
      </c>
      <c r="AI1694">
        <v>94.149983896948797</v>
      </c>
      <c r="AJ1694">
        <v>95.304008301741106</v>
      </c>
      <c r="AK1694">
        <v>15.3485846592326</v>
      </c>
    </row>
    <row r="1695" spans="1:37" x14ac:dyDescent="0.2">
      <c r="A1695" t="str">
        <f>"20200111154058385"</f>
        <v>20200111154058385</v>
      </c>
      <c r="B1695" t="str">
        <f>"1578728458378248"</f>
        <v>1578728458378248</v>
      </c>
      <c r="C1695" t="s">
        <v>37</v>
      </c>
      <c r="D1695">
        <v>5.0576819999999998</v>
      </c>
      <c r="E1695">
        <v>0.47560039999999998</v>
      </c>
      <c r="F1695" t="s">
        <v>44</v>
      </c>
      <c r="G1695">
        <v>-451.77839999999998</v>
      </c>
      <c r="H1695" s="1">
        <v>-5.0195829999999995E-7</v>
      </c>
      <c r="I1695">
        <v>282.59230000000002</v>
      </c>
      <c r="J1695">
        <v>-436.63069999999999</v>
      </c>
      <c r="K1695">
        <v>1.1108020000000001</v>
      </c>
      <c r="L1695">
        <v>284.24919999999997</v>
      </c>
      <c r="M1695">
        <v>-0.99977799999999994</v>
      </c>
      <c r="N1695">
        <v>0</v>
      </c>
      <c r="O1695">
        <v>-1.335685E-2</v>
      </c>
      <c r="P1695">
        <v>-0.99758009999999997</v>
      </c>
      <c r="Q1695">
        <v>5.377154E-2</v>
      </c>
      <c r="R1695">
        <v>-4.4074429999999998E-2</v>
      </c>
      <c r="S1695">
        <v>-3.005096</v>
      </c>
      <c r="T1695">
        <v>-0.21188879999999999</v>
      </c>
      <c r="U1695">
        <v>-0.3175964</v>
      </c>
      <c r="V1695">
        <v>-3.0882429999999999E-2</v>
      </c>
      <c r="W1695">
        <v>6.9968539999999996E-2</v>
      </c>
      <c r="X1695">
        <v>0.99707099999999904</v>
      </c>
      <c r="Y1695">
        <v>-9.1614500000000001E-2</v>
      </c>
      <c r="Z1695">
        <v>-2.278974E-3</v>
      </c>
      <c r="AA1695">
        <v>0.99579189999999995</v>
      </c>
      <c r="AB1695">
        <v>60</v>
      </c>
      <c r="AC1695">
        <v>-15.147699999999899</v>
      </c>
      <c r="AD1695">
        <v>-1.1108025019583001</v>
      </c>
      <c r="AE1695">
        <v>-1.6568999999999501</v>
      </c>
      <c r="AF1695">
        <v>-1.44671201748759</v>
      </c>
      <c r="AG1695">
        <v>-1.1108025019583001</v>
      </c>
      <c r="AH1695">
        <v>15.0883042335991</v>
      </c>
      <c r="AI1695">
        <v>94.191371473584397</v>
      </c>
      <c r="AJ1695">
        <v>95.476948517417</v>
      </c>
      <c r="AK1695">
        <v>15.1981506278082</v>
      </c>
    </row>
    <row r="1696" spans="1:37" x14ac:dyDescent="0.2">
      <c r="A1696" t="str">
        <f>"20200111154058406"</f>
        <v>20200111154058406</v>
      </c>
      <c r="B1696" t="str">
        <f>"1578728458397765"</f>
        <v>1578728458397765</v>
      </c>
      <c r="C1696" t="s">
        <v>37</v>
      </c>
      <c r="D1696">
        <v>5.0656929999999996</v>
      </c>
      <c r="E1696">
        <v>0.47545599999999999</v>
      </c>
      <c r="F1696" t="s">
        <v>44</v>
      </c>
      <c r="G1696">
        <v>-452.20749999999998</v>
      </c>
      <c r="H1696" s="1">
        <v>-2.7287409999999998E-7</v>
      </c>
      <c r="I1696">
        <v>282.57569999999998</v>
      </c>
      <c r="J1696">
        <v>-437.20909999999998</v>
      </c>
      <c r="K1696">
        <v>1.1108719999999901</v>
      </c>
      <c r="L1696">
        <v>284.24119999999999</v>
      </c>
      <c r="M1696">
        <v>-0.99976569999999998</v>
      </c>
      <c r="N1696">
        <v>0</v>
      </c>
      <c r="O1696">
        <v>-1.3797169999999999E-2</v>
      </c>
      <c r="P1696">
        <v>-0.99751939999999995</v>
      </c>
      <c r="Q1696">
        <v>5.4247139999999999E-2</v>
      </c>
      <c r="R1696">
        <v>-4.4860549999999999E-2</v>
      </c>
      <c r="S1696">
        <v>-3.004578</v>
      </c>
      <c r="T1696">
        <v>-0.21426010000000001</v>
      </c>
      <c r="U1696">
        <v>-0.32278440000000003</v>
      </c>
      <c r="V1696">
        <v>-3.1228559999999999E-2</v>
      </c>
      <c r="W1696">
        <v>7.0823769999999994E-2</v>
      </c>
      <c r="X1696">
        <v>0.99699989999999905</v>
      </c>
      <c r="Y1696">
        <v>-9.2887479999999994E-2</v>
      </c>
      <c r="Z1696">
        <v>-2.3185369999999999E-3</v>
      </c>
      <c r="AA1696">
        <v>0.9956739</v>
      </c>
      <c r="AB1696">
        <v>60</v>
      </c>
      <c r="AC1696">
        <v>-14.9984</v>
      </c>
      <c r="AD1696">
        <v>-1.1108722728740901</v>
      </c>
      <c r="AE1696">
        <v>-1.6655</v>
      </c>
      <c r="AF1696">
        <v>-1.4505168699436199</v>
      </c>
      <c r="AG1696">
        <v>-1.1108722728740901</v>
      </c>
      <c r="AH1696">
        <v>14.9390005295405</v>
      </c>
      <c r="AI1696">
        <v>94.232885289307703</v>
      </c>
      <c r="AJ1696">
        <v>95.545805426682705</v>
      </c>
      <c r="AK1696">
        <v>15.050308077187101</v>
      </c>
    </row>
    <row r="1697" spans="1:37" x14ac:dyDescent="0.2">
      <c r="A1697" t="str">
        <f>"20200111154058428"</f>
        <v>20200111154058428</v>
      </c>
      <c r="B1697" t="str">
        <f>"1578728458418261"</f>
        <v>1578728458418261</v>
      </c>
      <c r="C1697" t="s">
        <v>37</v>
      </c>
      <c r="D1697">
        <v>5.0420509999999998</v>
      </c>
      <c r="E1697">
        <v>0.47547219999999901</v>
      </c>
      <c r="F1697" t="s">
        <v>44</v>
      </c>
      <c r="G1697">
        <v>-452.90679999999998</v>
      </c>
      <c r="H1697" s="1">
        <v>1.008951E-7</v>
      </c>
      <c r="I1697">
        <v>282.53789999999998</v>
      </c>
      <c r="J1697">
        <v>-437.80950000000001</v>
      </c>
      <c r="K1697">
        <v>1.110935</v>
      </c>
      <c r="L1697">
        <v>284.23259999999999</v>
      </c>
      <c r="M1697">
        <v>-0.99975219999999898</v>
      </c>
      <c r="N1697">
        <v>0</v>
      </c>
      <c r="O1697">
        <v>-1.4249029999999999E-2</v>
      </c>
      <c r="P1697">
        <v>-0.99743899999999996</v>
      </c>
      <c r="Q1697">
        <v>5.5294860000000001E-2</v>
      </c>
      <c r="R1697">
        <v>-4.5369350000000003E-2</v>
      </c>
      <c r="S1697">
        <v>-3.00430299999999</v>
      </c>
      <c r="T1697">
        <v>-0.21260479999999901</v>
      </c>
      <c r="U1697">
        <v>-0.32598879999999902</v>
      </c>
      <c r="V1697">
        <v>-3.1287990000000002E-2</v>
      </c>
      <c r="W1697">
        <v>7.2301500000000005E-2</v>
      </c>
      <c r="X1697">
        <v>0.996892</v>
      </c>
      <c r="Y1697">
        <v>-9.3499390000000002E-2</v>
      </c>
      <c r="Z1697">
        <v>-2.2904700000000002E-3</v>
      </c>
      <c r="AA1697">
        <v>0.99561669999999902</v>
      </c>
      <c r="AB1697">
        <v>60</v>
      </c>
      <c r="AC1697">
        <v>-15.097299999999899</v>
      </c>
      <c r="AD1697">
        <v>-1.1109348991049</v>
      </c>
      <c r="AE1697">
        <v>-1.6947000000000101</v>
      </c>
      <c r="AF1697">
        <v>-1.4715058583796401</v>
      </c>
      <c r="AG1697">
        <v>-1.1109348991049</v>
      </c>
      <c r="AH1697">
        <v>15.039496393491399</v>
      </c>
      <c r="AI1697">
        <v>94.2046364829297</v>
      </c>
      <c r="AJ1697">
        <v>95.588190286127201</v>
      </c>
      <c r="AK1697">
        <v>15.1520941658616</v>
      </c>
    </row>
    <row r="1698" spans="1:37" x14ac:dyDescent="0.2">
      <c r="A1698" t="str">
        <f>"20200111154058451"</f>
        <v>20200111154058451</v>
      </c>
      <c r="B1698" t="str">
        <f>"1578728458447542"</f>
        <v>1578728458447542</v>
      </c>
      <c r="C1698" t="s">
        <v>37</v>
      </c>
      <c r="D1698">
        <v>5.0338820000000002</v>
      </c>
      <c r="E1698">
        <v>0.47535090000000002</v>
      </c>
      <c r="F1698" t="s">
        <v>44</v>
      </c>
      <c r="G1698">
        <v>-453.73790000000002</v>
      </c>
      <c r="H1698" s="1">
        <v>5.4496540000000003E-7</v>
      </c>
      <c r="I1698">
        <v>282.4975</v>
      </c>
      <c r="J1698">
        <v>-438.404</v>
      </c>
      <c r="K1698">
        <v>1.1109849999999999</v>
      </c>
      <c r="L1698">
        <v>284.22390000000001</v>
      </c>
      <c r="M1698">
        <v>-0.99973829999999997</v>
      </c>
      <c r="N1698">
        <v>0</v>
      </c>
      <c r="O1698">
        <v>-1.46876E-2</v>
      </c>
      <c r="P1698">
        <v>-0.99729249999999903</v>
      </c>
      <c r="Q1698">
        <v>5.6801039999999997E-2</v>
      </c>
      <c r="R1698">
        <v>-4.6708300000000001E-2</v>
      </c>
      <c r="S1698">
        <v>-3.0043950000000001</v>
      </c>
      <c r="T1698">
        <v>-0.2095429</v>
      </c>
      <c r="U1698">
        <v>-0.32727050000000002</v>
      </c>
      <c r="V1698">
        <v>-3.2191789999999998E-2</v>
      </c>
      <c r="W1698">
        <v>7.4235570000000001E-2</v>
      </c>
      <c r="X1698">
        <v>0.99672099999999997</v>
      </c>
      <c r="Y1698">
        <v>-9.3485769999999996E-2</v>
      </c>
      <c r="Z1698">
        <v>-2.226511E-3</v>
      </c>
      <c r="AA1698">
        <v>0.99561809999999995</v>
      </c>
      <c r="AB1698">
        <v>60</v>
      </c>
      <c r="AC1698">
        <v>-15.3339</v>
      </c>
      <c r="AD1698">
        <v>-1.1109844550346</v>
      </c>
      <c r="AE1698">
        <v>-1.7264000000000099</v>
      </c>
      <c r="AF1698">
        <v>-1.4932204675312299</v>
      </c>
      <c r="AG1698">
        <v>-1.1109844550346</v>
      </c>
      <c r="AH1698">
        <v>15.278407266644701</v>
      </c>
      <c r="AI1698">
        <v>94.139345668296698</v>
      </c>
      <c r="AJ1698">
        <v>95.582020010234501</v>
      </c>
      <c r="AK1698">
        <v>15.3913521962641</v>
      </c>
    </row>
    <row r="1699" spans="1:37" x14ac:dyDescent="0.2">
      <c r="A1699" t="str">
        <f>"20200111154058470"</f>
        <v>20200111154058470</v>
      </c>
      <c r="B1699" t="str">
        <f>"1578728458468038"</f>
        <v>1578728458468038</v>
      </c>
      <c r="C1699" t="s">
        <v>37</v>
      </c>
      <c r="D1699">
        <v>5.0690599999999897</v>
      </c>
      <c r="E1699">
        <v>0.47525770000000001</v>
      </c>
      <c r="F1699" t="s">
        <v>44</v>
      </c>
      <c r="G1699">
        <v>-454.7004</v>
      </c>
      <c r="H1699" s="1">
        <v>1.060384E-6</v>
      </c>
      <c r="I1699">
        <v>282.42399999999998</v>
      </c>
      <c r="J1699">
        <v>-438.92540000000002</v>
      </c>
      <c r="K1699">
        <v>1.1110249999999999</v>
      </c>
      <c r="L1699">
        <v>284.21600000000001</v>
      </c>
      <c r="M1699">
        <v>-0.99972619999999901</v>
      </c>
      <c r="N1699">
        <v>0</v>
      </c>
      <c r="O1699">
        <v>-1.506062E-2</v>
      </c>
      <c r="P1699">
        <v>-0.99722409999999995</v>
      </c>
      <c r="Q1699">
        <v>5.6916729999999999E-2</v>
      </c>
      <c r="R1699">
        <v>-4.8007260000000003E-2</v>
      </c>
      <c r="S1699">
        <v>-3.0042419999999899</v>
      </c>
      <c r="T1699">
        <v>-0.20480899999999999</v>
      </c>
      <c r="U1699">
        <v>-0.33181759999999999</v>
      </c>
      <c r="V1699">
        <v>-3.3117830000000001E-2</v>
      </c>
      <c r="W1699">
        <v>7.4722990000000003E-2</v>
      </c>
      <c r="X1699">
        <v>0.99665429999999999</v>
      </c>
      <c r="Y1699">
        <v>-9.4615320000000003E-2</v>
      </c>
      <c r="Z1699">
        <v>-2.18928E-3</v>
      </c>
      <c r="AA1699">
        <v>0.99551149999999999</v>
      </c>
      <c r="AB1699">
        <v>60</v>
      </c>
      <c r="AC1699">
        <v>-15.774999999999901</v>
      </c>
      <c r="AD1699">
        <v>-1.111023939616</v>
      </c>
      <c r="AE1699">
        <v>-1.7919999999999701</v>
      </c>
      <c r="AF1699">
        <v>-1.5466034209786901</v>
      </c>
      <c r="AG1699">
        <v>-1.111023939616</v>
      </c>
      <c r="AH1699">
        <v>15.7232049967684</v>
      </c>
      <c r="AI1699">
        <v>94.022533710441806</v>
      </c>
      <c r="AJ1699">
        <v>95.617792326378506</v>
      </c>
      <c r="AK1699">
        <v>15.838103791381901</v>
      </c>
    </row>
    <row r="1700" spans="1:37" x14ac:dyDescent="0.2">
      <c r="A1700" t="str">
        <f>"20200111154058486"</f>
        <v>20200111154058486</v>
      </c>
      <c r="B1700" t="str">
        <f>"1578728458477798"</f>
        <v>1578728458477798</v>
      </c>
      <c r="C1700" t="s">
        <v>37</v>
      </c>
      <c r="D1700">
        <v>5.1054740000000001</v>
      </c>
      <c r="E1700">
        <v>0.4752054</v>
      </c>
      <c r="F1700" t="s">
        <v>44</v>
      </c>
      <c r="G1700">
        <v>-455.2192</v>
      </c>
      <c r="H1700" s="1">
        <v>1.337964E-6</v>
      </c>
      <c r="I1700">
        <v>282.38959999999997</v>
      </c>
      <c r="J1700">
        <v>-439.33420000000001</v>
      </c>
      <c r="K1700">
        <v>1.111057</v>
      </c>
      <c r="L1700">
        <v>284.2097</v>
      </c>
      <c r="M1700">
        <v>-0.99971659999999996</v>
      </c>
      <c r="N1700">
        <v>0</v>
      </c>
      <c r="O1700">
        <v>-1.534517E-2</v>
      </c>
      <c r="P1700">
        <v>-0.997075499999999</v>
      </c>
      <c r="Q1700">
        <v>5.8096460000000003E-2</v>
      </c>
      <c r="R1700">
        <v>-4.9655669999999999E-2</v>
      </c>
      <c r="S1700">
        <v>-3.003876</v>
      </c>
      <c r="T1700">
        <v>-0.20482500000000001</v>
      </c>
      <c r="U1700">
        <v>-0.33670040000000001</v>
      </c>
      <c r="V1700">
        <v>-3.4484559999999997E-2</v>
      </c>
      <c r="W1700">
        <v>7.6187459999999999E-2</v>
      </c>
      <c r="X1700">
        <v>0.99649699999999997</v>
      </c>
      <c r="Y1700">
        <v>-9.5941040000000005E-2</v>
      </c>
      <c r="Z1700">
        <v>-2.2152109999999999E-3</v>
      </c>
      <c r="AA1700">
        <v>0.99538459999999995</v>
      </c>
      <c r="AB1700">
        <v>60</v>
      </c>
      <c r="AC1700">
        <v>-15.8849999999999</v>
      </c>
      <c r="AD1700">
        <v>-1.1110556620359999</v>
      </c>
      <c r="AE1700">
        <v>-1.82010000000002</v>
      </c>
      <c r="AF1700">
        <v>-1.5685132932280801</v>
      </c>
      <c r="AG1700">
        <v>-1.1110556620359999</v>
      </c>
      <c r="AH1700">
        <v>15.8346024149147</v>
      </c>
      <c r="AI1700">
        <v>93.994171330348905</v>
      </c>
      <c r="AJ1700">
        <v>95.657039732262206</v>
      </c>
      <c r="AK1700">
        <v>15.950840487999301</v>
      </c>
    </row>
    <row r="1701" spans="1:37" x14ac:dyDescent="0.2">
      <c r="A1701" t="str">
        <f>"20200111154058508"</f>
        <v>20200111154058508</v>
      </c>
      <c r="B1701" t="str">
        <f>"1578728458498294"</f>
        <v>1578728458498294</v>
      </c>
      <c r="C1701" t="s">
        <v>37</v>
      </c>
      <c r="D1701">
        <v>5.0564879999999999</v>
      </c>
      <c r="E1701">
        <v>0.47510760000000002</v>
      </c>
      <c r="F1701" t="s">
        <v>44</v>
      </c>
      <c r="G1701">
        <v>-455.8784</v>
      </c>
      <c r="H1701" s="1">
        <v>1.691475E-6</v>
      </c>
      <c r="I1701">
        <v>282.32670000000002</v>
      </c>
      <c r="J1701">
        <v>-439.91379999999998</v>
      </c>
      <c r="K1701">
        <v>1.111083</v>
      </c>
      <c r="L1701">
        <v>284.20060000000001</v>
      </c>
      <c r="M1701">
        <v>-0.99970309999999996</v>
      </c>
      <c r="N1701">
        <v>0</v>
      </c>
      <c r="O1701">
        <v>-1.573225E-2</v>
      </c>
      <c r="P1701">
        <v>-0.99697259999999999</v>
      </c>
      <c r="Q1701">
        <v>5.8167990000000003E-2</v>
      </c>
      <c r="R1701">
        <v>-5.1600069999999998E-2</v>
      </c>
      <c r="S1701">
        <v>-3.0035400000000001</v>
      </c>
      <c r="T1701">
        <v>-0.201708</v>
      </c>
      <c r="U1701">
        <v>-0.34185789999999999</v>
      </c>
      <c r="V1701">
        <v>-3.6040320000000001E-2</v>
      </c>
      <c r="W1701">
        <v>7.6660989999999998E-2</v>
      </c>
      <c r="X1701">
        <v>0.99640569999999895</v>
      </c>
      <c r="Y1701">
        <v>-9.7258960000000005E-2</v>
      </c>
      <c r="Z1701">
        <v>-2.1997929999999998E-3</v>
      </c>
      <c r="AA1701">
        <v>0.99525669999999899</v>
      </c>
      <c r="AB1701">
        <v>60</v>
      </c>
      <c r="AC1701">
        <v>-15.964600000000001</v>
      </c>
      <c r="AD1701">
        <v>-1.111081308525</v>
      </c>
      <c r="AE1701">
        <v>-1.8738999999999899</v>
      </c>
      <c r="AF1701">
        <v>-1.61475039894008</v>
      </c>
      <c r="AG1701">
        <v>-1.111081308525</v>
      </c>
      <c r="AH1701">
        <v>15.9160646807518</v>
      </c>
      <c r="AI1701">
        <v>93.972942546518894</v>
      </c>
      <c r="AJ1701">
        <v>95.793071468574496</v>
      </c>
      <c r="AK1701">
        <v>16.036303671572998</v>
      </c>
    </row>
    <row r="1702" spans="1:37" x14ac:dyDescent="0.2">
      <c r="A1702" t="str">
        <f>"20200111154058530"</f>
        <v>20200111154058530</v>
      </c>
      <c r="B1702" t="str">
        <f>"1578728458517813"</f>
        <v>1578728458517813</v>
      </c>
      <c r="C1702" t="s">
        <v>37</v>
      </c>
      <c r="D1702">
        <v>5.0749149999999998</v>
      </c>
      <c r="E1702">
        <v>0.47508349999999999</v>
      </c>
      <c r="F1702" t="s">
        <v>44</v>
      </c>
      <c r="G1702">
        <v>-456.49790000000002</v>
      </c>
      <c r="H1702" s="1">
        <v>2.0233939999999998E-6</v>
      </c>
      <c r="I1702">
        <v>282.2756</v>
      </c>
      <c r="J1702">
        <v>-440.50290000000001</v>
      </c>
      <c r="K1702">
        <v>1.1111070000000001</v>
      </c>
      <c r="L1702">
        <v>284.19099999999997</v>
      </c>
      <c r="M1702">
        <v>-0.99968950000000001</v>
      </c>
      <c r="N1702">
        <v>0</v>
      </c>
      <c r="O1702">
        <v>-1.6107090000000001E-2</v>
      </c>
      <c r="P1702">
        <v>-0.99686679999999905</v>
      </c>
      <c r="Q1702">
        <v>5.8312419999999997E-2</v>
      </c>
      <c r="R1702">
        <v>-5.3446540000000001E-2</v>
      </c>
      <c r="S1702">
        <v>-3.002777</v>
      </c>
      <c r="T1702">
        <v>-0.20117599999999999</v>
      </c>
      <c r="U1702">
        <v>-0.3485413</v>
      </c>
      <c r="V1702">
        <v>-3.751061E-2</v>
      </c>
      <c r="W1702">
        <v>7.7214870000000005E-2</v>
      </c>
      <c r="X1702">
        <v>0.99630859999999899</v>
      </c>
      <c r="Y1702">
        <v>-9.9097850000000001E-2</v>
      </c>
      <c r="Z1702">
        <v>-2.2306100000000001E-3</v>
      </c>
      <c r="AA1702">
        <v>0.99507520000000005</v>
      </c>
      <c r="AB1702">
        <v>59</v>
      </c>
      <c r="AC1702">
        <v>-15.994999999999999</v>
      </c>
      <c r="AD1702">
        <v>-1.1111049766059999</v>
      </c>
      <c r="AE1702">
        <v>-1.91539999999997</v>
      </c>
      <c r="AF1702">
        <v>-1.6496242363040901</v>
      </c>
      <c r="AG1702">
        <v>-1.1111049766059999</v>
      </c>
      <c r="AH1702">
        <v>15.947912770606999</v>
      </c>
      <c r="AI1702">
        <v>93.964323097861197</v>
      </c>
      <c r="AJ1702">
        <v>95.905572927097595</v>
      </c>
      <c r="AK1702">
        <v>16.071457187477801</v>
      </c>
    </row>
    <row r="1703" spans="1:37" x14ac:dyDescent="0.2">
      <c r="A1703" t="str">
        <f>"20200111154058551"</f>
        <v>20200111154058551</v>
      </c>
      <c r="B1703" t="str">
        <f>"1578728458548070"</f>
        <v>1578728458548070</v>
      </c>
      <c r="C1703" t="s">
        <v>37</v>
      </c>
      <c r="D1703">
        <v>5.067094</v>
      </c>
      <c r="E1703">
        <v>0.475192</v>
      </c>
      <c r="F1703" t="s">
        <v>44</v>
      </c>
      <c r="G1703">
        <v>-457.0761</v>
      </c>
      <c r="H1703" s="1">
        <v>2.3327940000000002E-6</v>
      </c>
      <c r="I1703">
        <v>282.23599999999999</v>
      </c>
      <c r="J1703">
        <v>-441.0881</v>
      </c>
      <c r="K1703">
        <v>1.1111219999999999</v>
      </c>
      <c r="L1703">
        <v>284.1814</v>
      </c>
      <c r="M1703">
        <v>-0.99967600000000001</v>
      </c>
      <c r="N1703">
        <v>0</v>
      </c>
      <c r="O1703">
        <v>-1.6461119999999999E-2</v>
      </c>
      <c r="P1703">
        <v>-0.99678650000000002</v>
      </c>
      <c r="Q1703">
        <v>5.8379399999999998E-2</v>
      </c>
      <c r="R1703">
        <v>-5.4854640000000003E-2</v>
      </c>
      <c r="S1703">
        <v>-3.0022279999999899</v>
      </c>
      <c r="T1703">
        <v>-0.20127590000000001</v>
      </c>
      <c r="U1703">
        <v>-0.35415649999999999</v>
      </c>
      <c r="V1703">
        <v>-3.856147E-2</v>
      </c>
      <c r="W1703">
        <v>7.7686469999999994E-2</v>
      </c>
      <c r="X1703">
        <v>0.9962318</v>
      </c>
      <c r="Y1703">
        <v>-0.1005993</v>
      </c>
      <c r="Z1703">
        <v>-2.2583590000000001E-3</v>
      </c>
      <c r="AA1703">
        <v>0.99492449999999999</v>
      </c>
      <c r="AB1703">
        <v>59</v>
      </c>
      <c r="AC1703">
        <v>-15.988</v>
      </c>
      <c r="AD1703">
        <v>-1.111119667206</v>
      </c>
      <c r="AE1703">
        <v>-1.9454</v>
      </c>
      <c r="AF1703">
        <v>-1.67393939572602</v>
      </c>
      <c r="AG1703">
        <v>-1.111119667206</v>
      </c>
      <c r="AH1703">
        <v>15.941988415452</v>
      </c>
      <c r="AI1703">
        <v>93.965206624917798</v>
      </c>
      <c r="AJ1703">
        <v>95.994201769763507</v>
      </c>
      <c r="AK1703">
        <v>16.0680943068499</v>
      </c>
    </row>
    <row r="1704" spans="1:37" x14ac:dyDescent="0.2">
      <c r="A1704" t="str">
        <f>"20200111154058574"</f>
        <v>20200111154058574</v>
      </c>
      <c r="B1704" t="str">
        <f>"1578728458567589"</f>
        <v>1578728458567589</v>
      </c>
      <c r="C1704" t="s">
        <v>37</v>
      </c>
      <c r="D1704">
        <v>5.0661110000000003</v>
      </c>
      <c r="E1704">
        <v>0.47515309999999999</v>
      </c>
      <c r="F1704" t="s">
        <v>44</v>
      </c>
      <c r="G1704">
        <v>-457.7081</v>
      </c>
      <c r="H1704" s="1">
        <v>2.6706529999999999E-6</v>
      </c>
      <c r="I1704">
        <v>282.20049999999998</v>
      </c>
      <c r="J1704">
        <v>-441.67840000000001</v>
      </c>
      <c r="K1704">
        <v>1.111138</v>
      </c>
      <c r="L1704">
        <v>284.17140000000001</v>
      </c>
      <c r="M1704">
        <v>-0.99966239999999995</v>
      </c>
      <c r="N1704">
        <v>0</v>
      </c>
      <c r="O1704">
        <v>-1.679814E-2</v>
      </c>
      <c r="P1704">
        <v>-0.99665380000000003</v>
      </c>
      <c r="Q1704">
        <v>5.8438850000000001E-2</v>
      </c>
      <c r="R1704">
        <v>-5.7153139999999998E-2</v>
      </c>
      <c r="S1704">
        <v>-3.0016780000000001</v>
      </c>
      <c r="T1704">
        <v>-0.2006762</v>
      </c>
      <c r="U1704">
        <v>-0.35775759999999901</v>
      </c>
      <c r="V1704">
        <v>-4.0520430000000003E-2</v>
      </c>
      <c r="W1704">
        <v>7.8143309999999994E-2</v>
      </c>
      <c r="X1704">
        <v>0.99611830000000001</v>
      </c>
      <c r="Y1704">
        <v>-0.10146189999999999</v>
      </c>
      <c r="Z1704">
        <v>-2.2581699999999999E-3</v>
      </c>
      <c r="AA1704">
        <v>0.99483690000000002</v>
      </c>
      <c r="AB1704">
        <v>59</v>
      </c>
      <c r="AC1704">
        <v>-16.029699999999899</v>
      </c>
      <c r="AD1704">
        <v>-1.1111353293469901</v>
      </c>
      <c r="AE1704">
        <v>-1.9709000000000201</v>
      </c>
      <c r="AF1704">
        <v>-1.69328486287382</v>
      </c>
      <c r="AG1704">
        <v>-1.1111353293469901</v>
      </c>
      <c r="AH1704">
        <v>15.984889535370399</v>
      </c>
      <c r="AI1704">
        <v>93.954272228373199</v>
      </c>
      <c r="AJ1704">
        <v>96.046811403811702</v>
      </c>
      <c r="AK1704">
        <v>16.112682234965</v>
      </c>
    </row>
    <row r="1705" spans="1:37" x14ac:dyDescent="0.2">
      <c r="A1705" t="str">
        <f>"20200111154058596"</f>
        <v>20200111154058596</v>
      </c>
      <c r="B1705" t="str">
        <f>"1578728458588085"</f>
        <v>1578728458588085</v>
      </c>
      <c r="C1705" t="s">
        <v>37</v>
      </c>
      <c r="D1705">
        <v>5.0586060000000002</v>
      </c>
      <c r="E1705">
        <v>0.47515180000000001</v>
      </c>
      <c r="F1705" t="s">
        <v>44</v>
      </c>
      <c r="G1705">
        <v>-458.2765</v>
      </c>
      <c r="H1705" s="1">
        <v>2.97529999999999E-6</v>
      </c>
      <c r="I1705">
        <v>282.15129999999999</v>
      </c>
      <c r="J1705">
        <v>-442.25599999999997</v>
      </c>
      <c r="K1705">
        <v>1.111151</v>
      </c>
      <c r="L1705">
        <v>284.16140000000001</v>
      </c>
      <c r="M1705">
        <v>-0.99964940000000002</v>
      </c>
      <c r="N1705">
        <v>0</v>
      </c>
      <c r="O1705">
        <v>-1.7106909999999999E-2</v>
      </c>
      <c r="P1705">
        <v>-0.99654659999999995</v>
      </c>
      <c r="Q1705">
        <v>5.8119799999999999E-2</v>
      </c>
      <c r="R1705">
        <v>-5.9303670000000003E-2</v>
      </c>
      <c r="S1705">
        <v>-3.0008849999999998</v>
      </c>
      <c r="T1705">
        <v>-0.20088989999999901</v>
      </c>
      <c r="U1705">
        <v>-0.36523440000000001</v>
      </c>
      <c r="V1705">
        <v>-4.2358340000000001E-2</v>
      </c>
      <c r="W1705">
        <v>7.8207470000000001E-2</v>
      </c>
      <c r="X1705">
        <v>0.99603680000000006</v>
      </c>
      <c r="Y1705">
        <v>-0.1036239</v>
      </c>
      <c r="Z1705">
        <v>-2.3122809999999998E-3</v>
      </c>
      <c r="AA1705">
        <v>0.99461390000000005</v>
      </c>
      <c r="AB1705">
        <v>59</v>
      </c>
      <c r="AC1705">
        <v>-16.020499999999998</v>
      </c>
      <c r="AD1705">
        <v>-1.1111480247000001</v>
      </c>
      <c r="AE1705">
        <v>-2.01010000000002</v>
      </c>
      <c r="AF1705">
        <v>-1.7275070949698299</v>
      </c>
      <c r="AG1705">
        <v>-1.1111480247000001</v>
      </c>
      <c r="AH1705">
        <v>15.9768824639933</v>
      </c>
      <c r="AI1705">
        <v>93.955376826072794</v>
      </c>
      <c r="AJ1705">
        <v>96.171155420293204</v>
      </c>
      <c r="AK1705">
        <v>16.108373721894601</v>
      </c>
    </row>
    <row r="1706" spans="1:37" x14ac:dyDescent="0.2">
      <c r="A1706" t="str">
        <f>"20200111154058618"</f>
        <v>20200111154058618</v>
      </c>
      <c r="B1706" t="str">
        <f>"1578728458607605"</f>
        <v>1578728458607605</v>
      </c>
      <c r="C1706" t="s">
        <v>37</v>
      </c>
      <c r="D1706">
        <v>5.0926499999999999</v>
      </c>
      <c r="E1706">
        <v>0.47528320000000002</v>
      </c>
      <c r="F1706" t="s">
        <v>44</v>
      </c>
      <c r="G1706">
        <v>-458.71820000000002</v>
      </c>
      <c r="H1706" s="1">
        <v>3.2116069999999999E-6</v>
      </c>
      <c r="I1706">
        <v>282.12299999999999</v>
      </c>
      <c r="J1706">
        <v>-442.83699999999999</v>
      </c>
      <c r="K1706">
        <v>1.111165</v>
      </c>
      <c r="L1706">
        <v>284.15129999999999</v>
      </c>
      <c r="M1706">
        <v>-0.99963639999999998</v>
      </c>
      <c r="N1706">
        <v>0</v>
      </c>
      <c r="O1706">
        <v>-1.739572E-2</v>
      </c>
      <c r="P1706">
        <v>-0.99643740000000003</v>
      </c>
      <c r="Q1706">
        <v>5.8208169999999997E-2</v>
      </c>
      <c r="R1706">
        <v>-6.102759E-2</v>
      </c>
      <c r="S1706">
        <v>-3.000092</v>
      </c>
      <c r="T1706">
        <v>-0.20249629999999999</v>
      </c>
      <c r="U1706">
        <v>-0.3714905</v>
      </c>
      <c r="V1706">
        <v>-4.3790519999999999E-2</v>
      </c>
      <c r="W1706">
        <v>7.8685699999999997E-2</v>
      </c>
      <c r="X1706">
        <v>0.99593719999999997</v>
      </c>
      <c r="Y1706">
        <v>-0.1054046</v>
      </c>
      <c r="Z1706">
        <v>-2.3714550000000002E-3</v>
      </c>
      <c r="AA1706">
        <v>0.99442659999999905</v>
      </c>
      <c r="AB1706">
        <v>59</v>
      </c>
      <c r="AC1706">
        <v>-15.8812</v>
      </c>
      <c r="AD1706">
        <v>-1.1111617883930001</v>
      </c>
      <c r="AE1706">
        <v>-2.0283000000000002</v>
      </c>
      <c r="AF1706">
        <v>-1.7432723533905099</v>
      </c>
      <c r="AG1706">
        <v>-1.1111617883930001</v>
      </c>
      <c r="AH1706">
        <v>15.8377991721889</v>
      </c>
      <c r="AI1706">
        <v>93.989215541654701</v>
      </c>
      <c r="AJ1706">
        <v>96.281281940598603</v>
      </c>
      <c r="AK1706">
        <v>15.972149562180601</v>
      </c>
    </row>
    <row r="1707" spans="1:37" x14ac:dyDescent="0.2">
      <c r="A1707" t="str">
        <f>"20200111154058641"</f>
        <v>20200111154058641</v>
      </c>
      <c r="B1707" t="str">
        <f>"1578728458637862"</f>
        <v>1578728458637862</v>
      </c>
      <c r="C1707" t="s">
        <v>37</v>
      </c>
      <c r="D1707">
        <v>5.0581969999999998</v>
      </c>
      <c r="E1707">
        <v>0.47544529999999902</v>
      </c>
      <c r="F1707" t="s">
        <v>44</v>
      </c>
      <c r="G1707">
        <v>-459.3014</v>
      </c>
      <c r="H1707" s="1">
        <v>3.5233420000000001E-6</v>
      </c>
      <c r="I1707">
        <v>282.09129999999999</v>
      </c>
      <c r="J1707">
        <v>-443.43290000000002</v>
      </c>
      <c r="K1707">
        <v>1.111181</v>
      </c>
      <c r="L1707">
        <v>284.14069999999998</v>
      </c>
      <c r="M1707">
        <v>-0.99962320000000005</v>
      </c>
      <c r="N1707">
        <v>0</v>
      </c>
      <c r="O1707">
        <v>-1.7669520000000001E-2</v>
      </c>
      <c r="P1707">
        <v>-0.99632080000000001</v>
      </c>
      <c r="Q1707">
        <v>5.8576320000000001E-2</v>
      </c>
      <c r="R1707">
        <v>-6.2560030000000003E-2</v>
      </c>
      <c r="S1707">
        <v>-2.999603</v>
      </c>
      <c r="T1707">
        <v>-0.20243939999999999</v>
      </c>
      <c r="U1707">
        <v>-0.37530520000000001</v>
      </c>
      <c r="V1707">
        <v>-4.5045250000000002E-2</v>
      </c>
      <c r="W1707">
        <v>7.9457180000000002E-2</v>
      </c>
      <c r="X1707">
        <v>0.99582000000000004</v>
      </c>
      <c r="Y1707">
        <v>-0.10639560000000001</v>
      </c>
      <c r="Z1707">
        <v>-2.3858759999999999E-3</v>
      </c>
      <c r="AA1707">
        <v>0.99432099999999901</v>
      </c>
      <c r="AB1707">
        <v>59</v>
      </c>
      <c r="AC1707">
        <v>-15.8684999999999</v>
      </c>
      <c r="AD1707">
        <v>-1.111177476658</v>
      </c>
      <c r="AE1707">
        <v>-2.0493999999999901</v>
      </c>
      <c r="AF1707">
        <v>-1.76014021630384</v>
      </c>
      <c r="AG1707">
        <v>-1.111177476658</v>
      </c>
      <c r="AH1707">
        <v>15.8259141571329</v>
      </c>
      <c r="AI1707">
        <v>93.991758350100099</v>
      </c>
      <c r="AJ1707">
        <v>96.346290248082099</v>
      </c>
      <c r="AK1707">
        <v>15.9622168847132</v>
      </c>
    </row>
    <row r="1708" spans="1:37" x14ac:dyDescent="0.2">
      <c r="A1708" t="str">
        <f>"20200111154058665"</f>
        <v>20200111154058665</v>
      </c>
      <c r="B1708" t="str">
        <f>"1578728458658357"</f>
        <v>1578728458658357</v>
      </c>
      <c r="C1708" t="s">
        <v>37</v>
      </c>
      <c r="D1708">
        <v>5.0759989999999897</v>
      </c>
      <c r="E1708">
        <v>0.47554249999999998</v>
      </c>
      <c r="F1708" t="s">
        <v>44</v>
      </c>
      <c r="G1708">
        <v>-459.90449999999998</v>
      </c>
      <c r="H1708" s="1">
        <v>3.8456009999999902E-6</v>
      </c>
      <c r="I1708">
        <v>282.0609</v>
      </c>
      <c r="J1708">
        <v>-444.024</v>
      </c>
      <c r="K1708">
        <v>1.111199</v>
      </c>
      <c r="L1708">
        <v>284.13</v>
      </c>
      <c r="M1708">
        <v>-0.99961039999999901</v>
      </c>
      <c r="N1708">
        <v>0</v>
      </c>
      <c r="O1708">
        <v>-1.7918480000000001E-2</v>
      </c>
      <c r="P1708">
        <v>-0.99620399999999998</v>
      </c>
      <c r="Q1708">
        <v>5.8859889999999998E-2</v>
      </c>
      <c r="R1708">
        <v>-6.4136059999999995E-2</v>
      </c>
      <c r="S1708">
        <v>-2.9991759999999998</v>
      </c>
      <c r="T1708">
        <v>-0.20232429999999901</v>
      </c>
      <c r="U1708">
        <v>-0.37869259999999999</v>
      </c>
      <c r="V1708">
        <v>-4.6368439999999997E-2</v>
      </c>
      <c r="W1708">
        <v>8.0136410000000005E-2</v>
      </c>
      <c r="X1708">
        <v>0.99570479999999995</v>
      </c>
      <c r="Y1708">
        <v>-0.10726960000000001</v>
      </c>
      <c r="Z1708">
        <v>-2.3973129999999999E-3</v>
      </c>
      <c r="AA1708">
        <v>0.99422710000000003</v>
      </c>
      <c r="AB1708">
        <v>58</v>
      </c>
      <c r="AC1708">
        <v>-15.8804999999999</v>
      </c>
      <c r="AD1708">
        <v>-1.111195154399</v>
      </c>
      <c r="AE1708">
        <v>-2.0690999999999899</v>
      </c>
      <c r="AF1708">
        <v>-1.77559961614402</v>
      </c>
      <c r="AG1708">
        <v>-1.111195154399</v>
      </c>
      <c r="AH1708">
        <v>15.838778731779399</v>
      </c>
      <c r="AI1708">
        <v>93.988201542458896</v>
      </c>
      <c r="AJ1708">
        <v>96.396412930330598</v>
      </c>
      <c r="AK1708">
        <v>15.976683647812401</v>
      </c>
    </row>
    <row r="1709" spans="1:37" x14ac:dyDescent="0.2">
      <c r="A1709" t="str">
        <f>"20200111154058685"</f>
        <v>20200111154058685</v>
      </c>
      <c r="B1709" t="str">
        <f>"1578728458677877"</f>
        <v>1578728458677877</v>
      </c>
      <c r="C1709" t="s">
        <v>37</v>
      </c>
      <c r="D1709">
        <v>5.0711259999999996</v>
      </c>
      <c r="E1709">
        <v>0.47567520000000002</v>
      </c>
      <c r="F1709" t="s">
        <v>44</v>
      </c>
      <c r="G1709">
        <v>-460.52640000000002</v>
      </c>
      <c r="H1709" s="1">
        <v>-1.1434200000000001E-6</v>
      </c>
      <c r="I1709">
        <v>282.02609999999999</v>
      </c>
      <c r="J1709">
        <v>-444.58449999999999</v>
      </c>
      <c r="K1709">
        <v>1.111213</v>
      </c>
      <c r="L1709">
        <v>284.1198</v>
      </c>
      <c r="M1709">
        <v>-0.9995984</v>
      </c>
      <c r="N1709">
        <v>0</v>
      </c>
      <c r="O1709">
        <v>-1.813358E-2</v>
      </c>
      <c r="P1709">
        <v>-0.99611329999999998</v>
      </c>
      <c r="Q1709">
        <v>5.9011000000000001E-2</v>
      </c>
      <c r="R1709">
        <v>-6.5389210000000003E-2</v>
      </c>
      <c r="S1709">
        <v>-2.9987490000000001</v>
      </c>
      <c r="T1709">
        <v>-0.20192279999999899</v>
      </c>
      <c r="U1709">
        <v>-0.3823242</v>
      </c>
      <c r="V1709">
        <v>-4.7402899999999998E-2</v>
      </c>
      <c r="W1709">
        <v>8.0653539999999996E-2</v>
      </c>
      <c r="X1709">
        <v>0.99561429999999995</v>
      </c>
      <c r="Y1709">
        <v>-0.10825709999999999</v>
      </c>
      <c r="Z1709">
        <v>-2.4113889999999999E-3</v>
      </c>
      <c r="AA1709">
        <v>0.99412</v>
      </c>
      <c r="AB1709">
        <v>58</v>
      </c>
      <c r="AC1709">
        <v>-15.9419</v>
      </c>
      <c r="AD1709">
        <v>-1.11121414342</v>
      </c>
      <c r="AE1709">
        <v>-2.0937000000000099</v>
      </c>
      <c r="AF1709">
        <v>-1.79562690067202</v>
      </c>
      <c r="AG1709">
        <v>-1.11121414342</v>
      </c>
      <c r="AH1709">
        <v>15.9013039317416</v>
      </c>
      <c r="AI1709">
        <v>93.972277413362605</v>
      </c>
      <c r="AJ1709">
        <v>96.442732891892504</v>
      </c>
      <c r="AK1709">
        <v>16.040902080886099</v>
      </c>
    </row>
    <row r="1710" spans="1:37" x14ac:dyDescent="0.2">
      <c r="A1710" t="str">
        <f>"20200111154058708"</f>
        <v>20200111154058708</v>
      </c>
      <c r="B1710" t="str">
        <f>"1578728458698374"</f>
        <v>1578728458698374</v>
      </c>
      <c r="C1710" t="s">
        <v>37</v>
      </c>
      <c r="D1710">
        <v>5.1481490000000001</v>
      </c>
      <c r="E1710">
        <v>0.47561969999999998</v>
      </c>
      <c r="F1710" t="s">
        <v>44</v>
      </c>
      <c r="G1710">
        <v>-461.09480000000002</v>
      </c>
      <c r="H1710" s="1">
        <v>-8.3995870000000001E-7</v>
      </c>
      <c r="I1710">
        <v>282.00330000000002</v>
      </c>
      <c r="J1710">
        <v>-445.14929999999998</v>
      </c>
      <c r="K1710">
        <v>1.1112229999999901</v>
      </c>
      <c r="L1710">
        <v>284.10930000000002</v>
      </c>
      <c r="M1710">
        <v>-0.99958709999999995</v>
      </c>
      <c r="N1710">
        <v>0</v>
      </c>
      <c r="O1710">
        <v>-1.8333970000000002E-2</v>
      </c>
      <c r="P1710">
        <v>-0.99606340000000004</v>
      </c>
      <c r="Q1710">
        <v>5.8812980000000001E-2</v>
      </c>
      <c r="R1710">
        <v>-6.6324839999999996E-2</v>
      </c>
      <c r="S1710">
        <v>-2.9984130000000002</v>
      </c>
      <c r="T1710">
        <v>-0.20180580000000001</v>
      </c>
      <c r="U1710">
        <v>-0.38436890000000001</v>
      </c>
      <c r="V1710">
        <v>-4.8132420000000002E-2</v>
      </c>
      <c r="W1710">
        <v>8.0813689999999994E-2</v>
      </c>
      <c r="X1710">
        <v>0.99556639999999996</v>
      </c>
      <c r="Y1710">
        <v>-0.10873819999999999</v>
      </c>
      <c r="Z1710">
        <v>-2.4128470000000001E-3</v>
      </c>
      <c r="AA1710">
        <v>0.99406749999999899</v>
      </c>
      <c r="AB1710">
        <v>58</v>
      </c>
      <c r="AC1710">
        <v>-15.945499999999999</v>
      </c>
      <c r="AD1710">
        <v>-1.11122383995869</v>
      </c>
      <c r="AE1710">
        <v>-2.1059999999999901</v>
      </c>
      <c r="AF1710">
        <v>-1.8046160244315499</v>
      </c>
      <c r="AG1710">
        <v>-1.11122383995869</v>
      </c>
      <c r="AH1710">
        <v>15.9055179394206</v>
      </c>
      <c r="AI1710">
        <v>93.971026123077095</v>
      </c>
      <c r="AJ1710">
        <v>96.473011925649701</v>
      </c>
      <c r="AK1710">
        <v>16.0460885682262</v>
      </c>
    </row>
    <row r="1711" spans="1:37" x14ac:dyDescent="0.2">
      <c r="A1711" t="str">
        <f>"20200111154058730"</f>
        <v>20200111154058730</v>
      </c>
      <c r="B1711" t="str">
        <f>"1578728458717894"</f>
        <v>1578728458717894</v>
      </c>
      <c r="C1711" t="s">
        <v>37</v>
      </c>
      <c r="D1711">
        <v>5.145499</v>
      </c>
      <c r="E1711">
        <v>0.4755529</v>
      </c>
      <c r="F1711" t="s">
        <v>44</v>
      </c>
      <c r="G1711">
        <v>-461.50310000000002</v>
      </c>
      <c r="H1711" s="1">
        <v>-6.2241420000000001E-7</v>
      </c>
      <c r="I1711">
        <v>281.99759999999998</v>
      </c>
      <c r="J1711">
        <v>-445.721</v>
      </c>
      <c r="K1711">
        <v>1.111235</v>
      </c>
      <c r="L1711">
        <v>284.09870000000001</v>
      </c>
      <c r="M1711">
        <v>-0.99957600000000002</v>
      </c>
      <c r="N1711">
        <v>0</v>
      </c>
      <c r="O1711">
        <v>-1.8522319999999998E-2</v>
      </c>
      <c r="P1711">
        <v>-0.99601139999999999</v>
      </c>
      <c r="Q1711">
        <v>5.871937E-2</v>
      </c>
      <c r="R1711">
        <v>-6.7184419999999995E-2</v>
      </c>
      <c r="S1711">
        <v>-2.9981080000000002</v>
      </c>
      <c r="T1711">
        <v>-0.20371710000000001</v>
      </c>
      <c r="U1711">
        <v>-0.38714599999999999</v>
      </c>
      <c r="V1711">
        <v>-4.8798399999999999E-2</v>
      </c>
      <c r="W1711">
        <v>8.1065139999999994E-2</v>
      </c>
      <c r="X1711">
        <v>0.99551350000000005</v>
      </c>
      <c r="Y1711">
        <v>-0.1094643</v>
      </c>
      <c r="Z1711">
        <v>-2.447556E-3</v>
      </c>
      <c r="AA1711">
        <v>0.99398770000000003</v>
      </c>
      <c r="AB1711">
        <v>58</v>
      </c>
      <c r="AC1711">
        <v>-15.7821</v>
      </c>
      <c r="AD1711">
        <v>-1.1112356224141999</v>
      </c>
      <c r="AE1711">
        <v>-2.1011000000000299</v>
      </c>
      <c r="AF1711">
        <v>-1.7995780183199599</v>
      </c>
      <c r="AG1711">
        <v>-1.1112356224141999</v>
      </c>
      <c r="AH1711">
        <v>15.7416346379496</v>
      </c>
      <c r="AI1711">
        <v>94.011888649665394</v>
      </c>
      <c r="AJ1711">
        <v>96.521720531971198</v>
      </c>
      <c r="AK1711">
        <v>15.8830849247631</v>
      </c>
    </row>
    <row r="1712" spans="1:37" x14ac:dyDescent="0.2">
      <c r="A1712" t="str">
        <f>"20200111154058754"</f>
        <v>20200111154058754</v>
      </c>
      <c r="B1712" t="str">
        <f>"1578728458748150"</f>
        <v>1578728458748150</v>
      </c>
      <c r="C1712" t="s">
        <v>37</v>
      </c>
      <c r="D1712">
        <v>5.1390159999999998</v>
      </c>
      <c r="E1712">
        <v>0.47544129999999901</v>
      </c>
      <c r="F1712" t="s">
        <v>44</v>
      </c>
      <c r="G1712">
        <v>-461.8922</v>
      </c>
      <c r="H1712" s="1">
        <v>-4.152603E-7</v>
      </c>
      <c r="I1712">
        <v>281.995</v>
      </c>
      <c r="J1712">
        <v>-446.32470000000001</v>
      </c>
      <c r="K1712">
        <v>1.1112389999999901</v>
      </c>
      <c r="L1712">
        <v>284.08730000000003</v>
      </c>
      <c r="M1712">
        <v>-0.99956449999999997</v>
      </c>
      <c r="N1712">
        <v>0</v>
      </c>
      <c r="O1712">
        <v>-1.8706480000000001E-2</v>
      </c>
      <c r="P1712">
        <v>-0.99593290000000001</v>
      </c>
      <c r="Q1712">
        <v>5.8760340000000001E-2</v>
      </c>
      <c r="R1712">
        <v>-6.8301909999999993E-2</v>
      </c>
      <c r="S1712">
        <v>-2.9978639999999999</v>
      </c>
      <c r="T1712">
        <v>-0.2060034</v>
      </c>
      <c r="U1712">
        <v>-0.3899841</v>
      </c>
      <c r="V1712">
        <v>-4.972766E-2</v>
      </c>
      <c r="W1712">
        <v>8.145674E-2</v>
      </c>
      <c r="X1712">
        <v>0.99543549999999903</v>
      </c>
      <c r="Y1712">
        <v>-0.11021069999999999</v>
      </c>
      <c r="Z1712">
        <v>-2.4879329999999999E-3</v>
      </c>
      <c r="AA1712">
        <v>0.99390509999999999</v>
      </c>
      <c r="AB1712">
        <v>57</v>
      </c>
      <c r="AC1712">
        <v>-15.5674999999999</v>
      </c>
      <c r="AD1712">
        <v>-1.11123941526029</v>
      </c>
      <c r="AE1712">
        <v>-2.0923000000000198</v>
      </c>
      <c r="AF1712">
        <v>-1.791677382204</v>
      </c>
      <c r="AG1712">
        <v>-1.11123941526029</v>
      </c>
      <c r="AH1712">
        <v>15.526215891560801</v>
      </c>
      <c r="AI1712">
        <v>94.066884934895</v>
      </c>
      <c r="AJ1712">
        <v>96.582639989919102</v>
      </c>
      <c r="AK1712">
        <v>15.668705779077101</v>
      </c>
    </row>
    <row r="1713" spans="1:37" x14ac:dyDescent="0.2">
      <c r="A1713" t="str">
        <f>"20200111154058775"</f>
        <v>20200111154058775</v>
      </c>
      <c r="B1713" t="str">
        <f>"1578728458767670"</f>
        <v>1578728458767670</v>
      </c>
      <c r="C1713" t="s">
        <v>37</v>
      </c>
      <c r="D1713">
        <v>5.1882109999999999</v>
      </c>
      <c r="E1713">
        <v>0.47533379999999997</v>
      </c>
      <c r="F1713" t="s">
        <v>44</v>
      </c>
      <c r="G1713">
        <v>-462.29730000000001</v>
      </c>
      <c r="H1713" s="1">
        <v>-1.993787E-7</v>
      </c>
      <c r="I1713">
        <v>281.98790000000002</v>
      </c>
      <c r="J1713">
        <v>-446.87959999999998</v>
      </c>
      <c r="K1713">
        <v>1.1112469999999901</v>
      </c>
      <c r="L1713">
        <v>284.07679999999999</v>
      </c>
      <c r="M1713">
        <v>-0.99955439999999995</v>
      </c>
      <c r="N1713">
        <v>0</v>
      </c>
      <c r="O1713">
        <v>-1.8864659999999998E-2</v>
      </c>
      <c r="P1713">
        <v>-0.99585650000000003</v>
      </c>
      <c r="Q1713">
        <v>5.8804639999999998E-2</v>
      </c>
      <c r="R1713">
        <v>-6.9369420000000001E-2</v>
      </c>
      <c r="S1713">
        <v>-2.9975589999999999</v>
      </c>
      <c r="T1713">
        <v>-0.2085447</v>
      </c>
      <c r="U1713">
        <v>-0.3939819</v>
      </c>
      <c r="V1713">
        <v>-5.0633209999999998E-2</v>
      </c>
      <c r="W1713">
        <v>8.1816970000000003E-2</v>
      </c>
      <c r="X1713">
        <v>0.99536039999999903</v>
      </c>
      <c r="Y1713">
        <v>-0.111361899999999</v>
      </c>
      <c r="Z1713">
        <v>-2.5474679999999898E-3</v>
      </c>
      <c r="AA1713">
        <v>0.99377669999999996</v>
      </c>
      <c r="AB1713">
        <v>57</v>
      </c>
      <c r="AC1713">
        <v>-15.4177</v>
      </c>
      <c r="AD1713">
        <v>-1.1112471993786901</v>
      </c>
      <c r="AE1713">
        <v>-2.0888999999999598</v>
      </c>
      <c r="AF1713">
        <v>-1.7884769673427601</v>
      </c>
      <c r="AG1713">
        <v>-1.1112471993786901</v>
      </c>
      <c r="AH1713">
        <v>15.375934333394399</v>
      </c>
      <c r="AI1713">
        <v>94.106096978650797</v>
      </c>
      <c r="AJ1713">
        <v>96.634638316722999</v>
      </c>
      <c r="AK1713">
        <v>15.5194354544777</v>
      </c>
    </row>
    <row r="1714" spans="1:37" x14ac:dyDescent="0.2">
      <c r="A1714" t="str">
        <f>"20200111154058797"</f>
        <v>20200111154058797</v>
      </c>
      <c r="B1714" t="str">
        <f>"1578728458788166"</f>
        <v>1578728458788166</v>
      </c>
      <c r="C1714" t="s">
        <v>37</v>
      </c>
      <c r="D1714">
        <v>5.1837949999999999</v>
      </c>
      <c r="E1714">
        <v>0.4753675</v>
      </c>
      <c r="F1714" t="s">
        <v>44</v>
      </c>
      <c r="G1714">
        <v>-462.714</v>
      </c>
      <c r="H1714" s="1">
        <v>2.290631E-8</v>
      </c>
      <c r="I1714">
        <v>281.97550000000001</v>
      </c>
      <c r="J1714">
        <v>-447.44659999999999</v>
      </c>
      <c r="K1714">
        <v>1.111259</v>
      </c>
      <c r="L1714">
        <v>284.0659</v>
      </c>
      <c r="M1714">
        <v>-0.99954409999999905</v>
      </c>
      <c r="N1714">
        <v>0</v>
      </c>
      <c r="O1714">
        <v>-1.9017269999999999E-2</v>
      </c>
      <c r="P1714">
        <v>-0.99582150000000003</v>
      </c>
      <c r="Q1714">
        <v>5.8230949999999997E-2</v>
      </c>
      <c r="R1714">
        <v>-7.0350330000000003E-2</v>
      </c>
      <c r="S1714">
        <v>-2.997223</v>
      </c>
      <c r="T1714">
        <v>-0.21034339999999899</v>
      </c>
      <c r="U1714">
        <v>-0.39773559999999902</v>
      </c>
      <c r="V1714">
        <v>-5.1456349999999998E-2</v>
      </c>
      <c r="W1714">
        <v>8.1557009999999999E-2</v>
      </c>
      <c r="X1714">
        <v>0.99533950000000004</v>
      </c>
      <c r="Y1714">
        <v>-0.1124415</v>
      </c>
      <c r="Z1714">
        <v>-2.596484E-3</v>
      </c>
      <c r="AA1714">
        <v>0.99365499999999995</v>
      </c>
      <c r="AB1714">
        <v>57</v>
      </c>
      <c r="AC1714">
        <v>-15.2674</v>
      </c>
      <c r="AD1714">
        <v>-1.11125897709368</v>
      </c>
      <c r="AE1714">
        <v>-2.0903999999999798</v>
      </c>
      <c r="AF1714">
        <v>-1.7902874637105299</v>
      </c>
      <c r="AG1714">
        <v>-1.11125897709368</v>
      </c>
      <c r="AH1714">
        <v>15.225225309238001</v>
      </c>
      <c r="AI1714">
        <v>94.146038905407295</v>
      </c>
      <c r="AJ1714">
        <v>96.706438544077898</v>
      </c>
      <c r="AK1714">
        <v>15.3703451956666</v>
      </c>
    </row>
    <row r="1715" spans="1:37" x14ac:dyDescent="0.2">
      <c r="A1715" t="str">
        <f>"20200111154058820"</f>
        <v>20200111154058820</v>
      </c>
      <c r="B1715" t="str">
        <f>"1578728458807686"</f>
        <v>1578728458807686</v>
      </c>
      <c r="C1715" t="s">
        <v>37</v>
      </c>
      <c r="D1715">
        <v>5.0810820000000003</v>
      </c>
      <c r="E1715">
        <v>0.47546289999999902</v>
      </c>
      <c r="F1715" t="s">
        <v>44</v>
      </c>
      <c r="G1715">
        <v>-463.16469999999998</v>
      </c>
      <c r="H1715" s="1">
        <v>2.6305750000000001E-7</v>
      </c>
      <c r="I1715">
        <v>281.96839999999997</v>
      </c>
      <c r="J1715">
        <v>-448.00349999999997</v>
      </c>
      <c r="K1715">
        <v>1.11127</v>
      </c>
      <c r="L1715">
        <v>284.05520000000001</v>
      </c>
      <c r="M1715">
        <v>-0.99953459999999905</v>
      </c>
      <c r="N1715">
        <v>0</v>
      </c>
      <c r="O1715">
        <v>-1.915973E-2</v>
      </c>
      <c r="P1715">
        <v>-0.99578069999999896</v>
      </c>
      <c r="Q1715">
        <v>5.8045649999999997E-2</v>
      </c>
      <c r="R1715">
        <v>-7.1077489999999993E-2</v>
      </c>
      <c r="S1715">
        <v>-2.9967649999999999</v>
      </c>
      <c r="T1715">
        <v>-0.2118689</v>
      </c>
      <c r="U1715">
        <v>-0.39990229999999999</v>
      </c>
      <c r="V1715">
        <v>-5.2037769999999997E-2</v>
      </c>
      <c r="W1715">
        <v>8.1662040000000005E-2</v>
      </c>
      <c r="X1715">
        <v>0.99530069999999904</v>
      </c>
      <c r="Y1715">
        <v>-0.1130211</v>
      </c>
      <c r="Z1715">
        <v>-2.625896E-3</v>
      </c>
      <c r="AA1715">
        <v>0.9935891</v>
      </c>
      <c r="AB1715">
        <v>57</v>
      </c>
      <c r="AC1715">
        <v>-15.161199999999999</v>
      </c>
      <c r="AD1715">
        <v>-1.1112697369425</v>
      </c>
      <c r="AE1715">
        <v>-2.0868000000000402</v>
      </c>
      <c r="AF1715">
        <v>-1.7864312898905901</v>
      </c>
      <c r="AG1715">
        <v>-1.1112697369425</v>
      </c>
      <c r="AH1715">
        <v>15.118695023148501</v>
      </c>
      <c r="AI1715">
        <v>94.174912937219602</v>
      </c>
      <c r="AJ1715">
        <v>96.738846718561902</v>
      </c>
      <c r="AK1715">
        <v>15.2643767113079</v>
      </c>
    </row>
    <row r="1716" spans="1:37" x14ac:dyDescent="0.2">
      <c r="A1716" t="str">
        <f>"20200111154058842"</f>
        <v>20200111154058842</v>
      </c>
      <c r="B1716" t="str">
        <f>"1578728458837942"</f>
        <v>1578728458837942</v>
      </c>
      <c r="C1716" t="s">
        <v>37</v>
      </c>
      <c r="D1716">
        <v>5.1293249999999997</v>
      </c>
      <c r="E1716">
        <v>0.4755144</v>
      </c>
      <c r="F1716" t="s">
        <v>44</v>
      </c>
      <c r="G1716">
        <v>-463.66390000000001</v>
      </c>
      <c r="H1716" s="1">
        <v>5.2914170000000001E-7</v>
      </c>
      <c r="I1716">
        <v>281.959</v>
      </c>
      <c r="J1716">
        <v>-448.56450000000001</v>
      </c>
      <c r="K1716">
        <v>1.1112839999999999</v>
      </c>
      <c r="L1716">
        <v>284.04430000000002</v>
      </c>
      <c r="M1716">
        <v>-0.99952529999999995</v>
      </c>
      <c r="N1716">
        <v>0</v>
      </c>
      <c r="O1716">
        <v>-1.929726E-2</v>
      </c>
      <c r="P1716">
        <v>-0.99576439999999999</v>
      </c>
      <c r="Q1716">
        <v>5.7422340000000002E-2</v>
      </c>
      <c r="R1716">
        <v>-7.1804800000000002E-2</v>
      </c>
      <c r="S1716">
        <v>-2.9964599999999999</v>
      </c>
      <c r="T1716">
        <v>-0.2126296</v>
      </c>
      <c r="U1716">
        <v>-0.40109250000000002</v>
      </c>
      <c r="V1716">
        <v>-5.262348E-2</v>
      </c>
      <c r="W1716">
        <v>8.1317009999999995E-2</v>
      </c>
      <c r="X1716">
        <v>0.99529809999999996</v>
      </c>
      <c r="Y1716">
        <v>-0.1132833</v>
      </c>
      <c r="Z1716">
        <v>-2.63504E-3</v>
      </c>
      <c r="AA1716">
        <v>0.99355919999999898</v>
      </c>
      <c r="AB1716">
        <v>57</v>
      </c>
      <c r="AC1716">
        <v>-15.099399999999999</v>
      </c>
      <c r="AD1716">
        <v>-1.1112834708582999</v>
      </c>
      <c r="AE1716">
        <v>-2.0853000000000099</v>
      </c>
      <c r="AF1716">
        <v>-1.7839680914034699</v>
      </c>
      <c r="AG1716">
        <v>-1.1112834708582999</v>
      </c>
      <c r="AH1716">
        <v>15.056807963054201</v>
      </c>
      <c r="AI1716">
        <v>94.191906415098501</v>
      </c>
      <c r="AJ1716">
        <v>96.757045402727599</v>
      </c>
      <c r="AK1716">
        <v>15.202794451680299</v>
      </c>
    </row>
    <row r="1717" spans="1:37" x14ac:dyDescent="0.2">
      <c r="A1717" t="str">
        <f>"20200111154058866"</f>
        <v>20200111154058866</v>
      </c>
      <c r="B1717" t="str">
        <f>"1578728458858438"</f>
        <v>1578728458858438</v>
      </c>
      <c r="C1717" t="s">
        <v>37</v>
      </c>
      <c r="D1717">
        <v>5.0328419999999996</v>
      </c>
      <c r="E1717">
        <v>0.47543590000000002</v>
      </c>
      <c r="F1717" t="s">
        <v>44</v>
      </c>
      <c r="G1717">
        <v>-464.08550000000002</v>
      </c>
      <c r="H1717" s="1">
        <v>7.5354439999999998E-7</v>
      </c>
      <c r="I1717">
        <v>281.95679999999999</v>
      </c>
      <c r="J1717">
        <v>-449.14690000000002</v>
      </c>
      <c r="K1717">
        <v>1.111297</v>
      </c>
      <c r="L1717">
        <v>284.03289999999998</v>
      </c>
      <c r="M1717">
        <v>-0.99951610000000002</v>
      </c>
      <c r="N1717">
        <v>0</v>
      </c>
      <c r="O1717">
        <v>-1.943549E-2</v>
      </c>
      <c r="P1717">
        <v>-0.99573400000000001</v>
      </c>
      <c r="Q1717">
        <v>5.7182719999999999E-2</v>
      </c>
      <c r="R1717">
        <v>-7.2416330000000001E-2</v>
      </c>
      <c r="S1717">
        <v>-2.9960629999999999</v>
      </c>
      <c r="T1717">
        <v>-0.21451410000000001</v>
      </c>
      <c r="U1717">
        <v>-0.40295409999999998</v>
      </c>
      <c r="V1717">
        <v>-5.3094139999999998E-2</v>
      </c>
      <c r="W1717">
        <v>8.1346470000000004E-2</v>
      </c>
      <c r="X1717">
        <v>0.99527069999999995</v>
      </c>
      <c r="Y1717">
        <v>-0.1137644</v>
      </c>
      <c r="Z1717">
        <v>-2.6658579999999901E-3</v>
      </c>
      <c r="AA1717">
        <v>0.99350419999999995</v>
      </c>
      <c r="AB1717">
        <v>56</v>
      </c>
      <c r="AC1717">
        <v>-14.938599999999999</v>
      </c>
      <c r="AD1717">
        <v>-1.1112962464556</v>
      </c>
      <c r="AE1717">
        <v>-2.0760999999999901</v>
      </c>
      <c r="AF1717">
        <v>-1.7756427162480599</v>
      </c>
      <c r="AG1717">
        <v>-1.1112962464556</v>
      </c>
      <c r="AH1717">
        <v>14.895269902133499</v>
      </c>
      <c r="AI1717">
        <v>94.236891984621707</v>
      </c>
      <c r="AJ1717">
        <v>96.798063140254101</v>
      </c>
      <c r="AK1717">
        <v>15.041840042380301</v>
      </c>
    </row>
    <row r="1718" spans="1:37" x14ac:dyDescent="0.2">
      <c r="A1718" t="str">
        <f>"20200111154058886"</f>
        <v>20200111154058886</v>
      </c>
      <c r="B1718" t="str">
        <f>"1578728458877957"</f>
        <v>1578728458877957</v>
      </c>
      <c r="C1718" t="s">
        <v>37</v>
      </c>
      <c r="D1718">
        <v>5.10785</v>
      </c>
      <c r="E1718">
        <v>0.45415359999999999</v>
      </c>
      <c r="F1718" t="s">
        <v>44</v>
      </c>
      <c r="G1718">
        <v>-464.62130000000002</v>
      </c>
      <c r="H1718" s="1">
        <v>1.039434E-6</v>
      </c>
      <c r="I1718">
        <v>281.94</v>
      </c>
      <c r="J1718">
        <v>-449.67320000000001</v>
      </c>
      <c r="K1718">
        <v>1.111308</v>
      </c>
      <c r="L1718">
        <v>284.02249999999998</v>
      </c>
      <c r="M1718">
        <v>-0.99950810000000001</v>
      </c>
      <c r="N1718">
        <v>0</v>
      </c>
      <c r="O1718">
        <v>-1.955805E-2</v>
      </c>
      <c r="P1718">
        <v>-0.99568860000000003</v>
      </c>
      <c r="Q1718">
        <v>5.6716099999999901E-2</v>
      </c>
      <c r="R1718">
        <v>-7.3401789999999995E-2</v>
      </c>
      <c r="S1718">
        <v>-2.9956969999999998</v>
      </c>
      <c r="T1718">
        <v>-0.2151353</v>
      </c>
      <c r="U1718">
        <v>-0.40515139999999999</v>
      </c>
      <c r="V1718">
        <v>-5.3954149999999999E-2</v>
      </c>
      <c r="W1718">
        <v>8.1111699999999995E-2</v>
      </c>
      <c r="X1718">
        <v>0.99524360000000001</v>
      </c>
      <c r="Y1718">
        <v>-0.1143716</v>
      </c>
      <c r="Z1718">
        <v>-2.6866749999999999E-3</v>
      </c>
      <c r="AA1718">
        <v>0.99343440000000005</v>
      </c>
      <c r="AB1718">
        <v>56</v>
      </c>
      <c r="AC1718">
        <v>-14.9481</v>
      </c>
      <c r="AD1718">
        <v>-1.111306960566</v>
      </c>
      <c r="AE1718">
        <v>-2.08249999999998</v>
      </c>
      <c r="AF1718">
        <v>-1.7800069052618199</v>
      </c>
      <c r="AG1718">
        <v>-1.111306960566</v>
      </c>
      <c r="AH1718">
        <v>14.905167316419901</v>
      </c>
      <c r="AI1718">
        <v>94.234023460451994</v>
      </c>
      <c r="AJ1718">
        <v>96.810131970795595</v>
      </c>
      <c r="AK1718">
        <v>15.0521573362045</v>
      </c>
    </row>
    <row r="1719" spans="1:37" x14ac:dyDescent="0.2">
      <c r="A1719" t="str">
        <f>"20200111154058909"</f>
        <v>20200111154058909</v>
      </c>
      <c r="B1719" t="str">
        <f>"1578728458898454"</f>
        <v>1578728458898454</v>
      </c>
      <c r="C1719" t="s">
        <v>37</v>
      </c>
      <c r="D1719">
        <v>5.0691519999999999</v>
      </c>
      <c r="E1719">
        <v>0.45359529999999998</v>
      </c>
      <c r="F1719" t="s">
        <v>44</v>
      </c>
      <c r="G1719">
        <v>-468.11619999999999</v>
      </c>
      <c r="H1719" s="1">
        <v>2.96454E-6</v>
      </c>
      <c r="I1719">
        <v>280.44639999999998</v>
      </c>
      <c r="J1719">
        <v>-450.2242</v>
      </c>
      <c r="K1719">
        <v>1.111318</v>
      </c>
      <c r="L1719">
        <v>284.01159999999999</v>
      </c>
      <c r="M1719">
        <v>-0.99949979999999905</v>
      </c>
      <c r="N1719">
        <v>0</v>
      </c>
      <c r="O1719">
        <v>-1.9684420000000001E-2</v>
      </c>
      <c r="P1719">
        <v>-0.99568049999999997</v>
      </c>
      <c r="Q1719">
        <v>5.6124050000000002E-2</v>
      </c>
      <c r="R1719">
        <v>-7.3964050000000003E-2</v>
      </c>
      <c r="S1719">
        <v>-2.9806520000000001</v>
      </c>
      <c r="T1719">
        <v>-0.17960229999999999</v>
      </c>
      <c r="U1719">
        <v>-0.57794190000000001</v>
      </c>
      <c r="V1719">
        <v>-5.438805E-2</v>
      </c>
      <c r="W1719">
        <v>8.0756670000000003E-2</v>
      </c>
      <c r="X1719">
        <v>0.99524889999999999</v>
      </c>
      <c r="Y1719">
        <v>-0.1707214</v>
      </c>
      <c r="Z1719">
        <v>-3.9176769999999996E-3</v>
      </c>
      <c r="AA1719">
        <v>0.98531159999999995</v>
      </c>
      <c r="AB1719">
        <v>56</v>
      </c>
      <c r="AC1719">
        <v>-17.8919999999999</v>
      </c>
      <c r="AD1719">
        <v>-1.1113150354600001</v>
      </c>
      <c r="AE1719">
        <v>-3.5651999999999999</v>
      </c>
      <c r="AF1719">
        <v>-3.2003320014926602</v>
      </c>
      <c r="AG1719">
        <v>-1.1113150354600001</v>
      </c>
      <c r="AH1719">
        <v>17.892339932932401</v>
      </c>
      <c r="AI1719">
        <v>93.498758827268404</v>
      </c>
      <c r="AJ1719">
        <v>100.14102921629799</v>
      </c>
      <c r="AK1719">
        <v>18.210243664032198</v>
      </c>
    </row>
    <row r="1720" spans="1:37" x14ac:dyDescent="0.2">
      <c r="A1720" t="str">
        <f>"20200111154058931"</f>
        <v>20200111154058931</v>
      </c>
      <c r="B1720" t="str">
        <f>"1578728458927735"</f>
        <v>1578728458927735</v>
      </c>
      <c r="C1720" t="s">
        <v>37</v>
      </c>
      <c r="D1720">
        <v>5.0507089999999897</v>
      </c>
      <c r="E1720">
        <v>0.45385690000000001</v>
      </c>
      <c r="F1720" t="s">
        <v>44</v>
      </c>
      <c r="G1720">
        <v>-468.15030000000002</v>
      </c>
      <c r="H1720" s="1">
        <v>2.9803570000000002E-6</v>
      </c>
      <c r="I1720">
        <v>280.49939999999998</v>
      </c>
      <c r="J1720">
        <v>-450.77330000000001</v>
      </c>
      <c r="K1720">
        <v>1.1113389999999901</v>
      </c>
      <c r="L1720">
        <v>284.00060000000002</v>
      </c>
      <c r="M1720">
        <v>-0.99949169999999998</v>
      </c>
      <c r="N1720">
        <v>0</v>
      </c>
      <c r="O1720">
        <v>-1.9809810000000001E-2</v>
      </c>
      <c r="P1720">
        <v>-0.99561489999999997</v>
      </c>
      <c r="Q1720">
        <v>5.5846859999999998E-2</v>
      </c>
      <c r="R1720">
        <v>-7.5050249999999999E-2</v>
      </c>
      <c r="S1720">
        <v>-2.9800419999999899</v>
      </c>
      <c r="T1720">
        <v>-0.1847451</v>
      </c>
      <c r="U1720">
        <v>-0.58386229999999995</v>
      </c>
      <c r="V1720">
        <v>-5.5348319999999999E-2</v>
      </c>
      <c r="W1720">
        <v>8.0706769999999997E-2</v>
      </c>
      <c r="X1720">
        <v>0.99519999999999997</v>
      </c>
      <c r="Y1720">
        <v>-0.17250270000000001</v>
      </c>
      <c r="Z1720">
        <v>-4.0766600000000002E-3</v>
      </c>
      <c r="AA1720">
        <v>0.985000599999999</v>
      </c>
      <c r="AB1720">
        <v>56</v>
      </c>
      <c r="AC1720">
        <v>-17.376999999999999</v>
      </c>
      <c r="AD1720">
        <v>-1.11133601964299</v>
      </c>
      <c r="AE1720">
        <v>-3.5012000000000398</v>
      </c>
      <c r="AF1720">
        <v>-3.14381293807137</v>
      </c>
      <c r="AG1720">
        <v>-1.11133601964299</v>
      </c>
      <c r="AH1720">
        <v>17.374674756026799</v>
      </c>
      <c r="AI1720">
        <v>93.601499063050795</v>
      </c>
      <c r="AJ1720">
        <v>100.25625840543699</v>
      </c>
      <c r="AK1720">
        <v>17.691748088186699</v>
      </c>
    </row>
    <row r="1721" spans="1:37" x14ac:dyDescent="0.2">
      <c r="A1721" t="str">
        <f>"20200111154058965"</f>
        <v>20200111154058965</v>
      </c>
      <c r="B1721" t="str">
        <f>"1578728458957992"</f>
        <v>1578728458957992</v>
      </c>
      <c r="C1721" t="s">
        <v>37</v>
      </c>
      <c r="D1721">
        <v>5.0141080000000002</v>
      </c>
      <c r="E1721">
        <v>0.453849</v>
      </c>
      <c r="F1721" t="s">
        <v>44</v>
      </c>
      <c r="G1721">
        <v>-468.04349999999999</v>
      </c>
      <c r="H1721" s="1">
        <v>2.9186209999999998E-6</v>
      </c>
      <c r="I1721">
        <v>280.61180000000002</v>
      </c>
      <c r="J1721">
        <v>-451.62</v>
      </c>
      <c r="K1721">
        <v>1.1113789999999999</v>
      </c>
      <c r="L1721">
        <v>283.98360000000002</v>
      </c>
      <c r="M1721">
        <v>-0.99947909999999995</v>
      </c>
      <c r="N1721">
        <v>0</v>
      </c>
      <c r="O1721">
        <v>-2.0001359999999999E-2</v>
      </c>
      <c r="P1721">
        <v>-0.99559489999999995</v>
      </c>
      <c r="Q1721">
        <v>5.4617539999999999E-2</v>
      </c>
      <c r="R1721">
        <v>-7.6209799999999994E-2</v>
      </c>
      <c r="S1721">
        <v>-2.979889</v>
      </c>
      <c r="T1721">
        <v>-0.19175539999999999</v>
      </c>
      <c r="U1721">
        <v>-0.58471680000000004</v>
      </c>
      <c r="V1721">
        <v>-5.6313259999999997E-2</v>
      </c>
      <c r="W1721">
        <v>7.9826040000000001E-2</v>
      </c>
      <c r="X1721">
        <v>0.99521680000000001</v>
      </c>
      <c r="Y1721">
        <v>-0.1725737</v>
      </c>
      <c r="Z1721">
        <v>-4.2212070000000003E-3</v>
      </c>
      <c r="AA1721">
        <v>0.98498759999999996</v>
      </c>
      <c r="AB1721">
        <v>55</v>
      </c>
      <c r="AC1721">
        <v>-16.423499999999901</v>
      </c>
      <c r="AD1721">
        <v>-1.1113760813789999</v>
      </c>
      <c r="AE1721">
        <v>-3.3717999999999999</v>
      </c>
      <c r="AF1721">
        <v>-3.02921690413651</v>
      </c>
      <c r="AG1721">
        <v>-1.1113760813789999</v>
      </c>
      <c r="AH1721">
        <v>16.415544640352199</v>
      </c>
      <c r="AI1721">
        <v>93.809049335952395</v>
      </c>
      <c r="AJ1721">
        <v>100.45536863319499</v>
      </c>
      <c r="AK1721">
        <v>16.729656831087802</v>
      </c>
    </row>
    <row r="1722" spans="1:37" x14ac:dyDescent="0.2">
      <c r="A1722" t="str">
        <f>"20200111154058987"</f>
        <v>20200111154058987</v>
      </c>
      <c r="B1722" t="str">
        <f>"1578728458977510"</f>
        <v>1578728458977510</v>
      </c>
      <c r="C1722" t="s">
        <v>37</v>
      </c>
      <c r="D1722">
        <v>5.0051829999999997</v>
      </c>
      <c r="E1722">
        <v>0.45396559999999903</v>
      </c>
      <c r="F1722" t="s">
        <v>44</v>
      </c>
      <c r="G1722">
        <v>-468.09620000000001</v>
      </c>
      <c r="H1722" s="1">
        <v>2.9414260000000002E-6</v>
      </c>
      <c r="I1722">
        <v>280.73160000000001</v>
      </c>
      <c r="J1722">
        <v>-452.1345</v>
      </c>
      <c r="K1722">
        <v>1.1114120000000001</v>
      </c>
      <c r="L1722">
        <v>283.97320000000002</v>
      </c>
      <c r="M1722">
        <v>-0.99947140000000001</v>
      </c>
      <c r="N1722">
        <v>0</v>
      </c>
      <c r="O1722">
        <v>-2.0117039999999999E-2</v>
      </c>
      <c r="P1722">
        <v>-0.99556049999999996</v>
      </c>
      <c r="Q1722">
        <v>5.4053009999999999E-2</v>
      </c>
      <c r="R1722">
        <v>-7.7054990000000004E-2</v>
      </c>
      <c r="S1722">
        <v>-2.979279</v>
      </c>
      <c r="T1722">
        <v>-0.20096220000000001</v>
      </c>
      <c r="U1722">
        <v>-0.58804319999999999</v>
      </c>
      <c r="V1722">
        <v>-5.7041880000000003E-2</v>
      </c>
      <c r="W1722">
        <v>7.9470499999999999E-2</v>
      </c>
      <c r="X1722">
        <v>0.99520390000000003</v>
      </c>
      <c r="Y1722">
        <v>-0.1735247</v>
      </c>
      <c r="Z1722">
        <v>-4.4478759999999999E-3</v>
      </c>
      <c r="AA1722">
        <v>0.98481949999999996</v>
      </c>
      <c r="AB1722">
        <v>55</v>
      </c>
      <c r="AC1722">
        <v>-15.9617</v>
      </c>
      <c r="AD1722">
        <v>-1.111409058574</v>
      </c>
      <c r="AE1722">
        <v>-3.2416</v>
      </c>
      <c r="AF1722">
        <v>-2.9062046115881199</v>
      </c>
      <c r="AG1722">
        <v>-1.111409058574</v>
      </c>
      <c r="AH1722">
        <v>15.9494357318162</v>
      </c>
      <c r="AI1722">
        <v>93.921748059323804</v>
      </c>
      <c r="AJ1722">
        <v>100.32677751862499</v>
      </c>
      <c r="AK1722">
        <v>16.250100169021501</v>
      </c>
    </row>
    <row r="1723" spans="1:37" x14ac:dyDescent="0.2">
      <c r="A1723" t="str">
        <f>"20200111154059009"</f>
        <v>20200111154059009</v>
      </c>
      <c r="B1723" t="str">
        <f>"1578728458998006"</f>
        <v>1578728458998006</v>
      </c>
      <c r="C1723" t="s">
        <v>37</v>
      </c>
      <c r="D1723">
        <v>4.9879410000000002</v>
      </c>
      <c r="E1723">
        <v>0.45386189999999998</v>
      </c>
      <c r="F1723" t="s">
        <v>44</v>
      </c>
      <c r="G1723">
        <v>-468.20249999999999</v>
      </c>
      <c r="H1723" s="1">
        <v>2.9952659999999998E-6</v>
      </c>
      <c r="I1723">
        <v>280.79419999999999</v>
      </c>
      <c r="J1723">
        <v>-452.6825</v>
      </c>
      <c r="K1723">
        <v>1.1114549999999901</v>
      </c>
      <c r="L1723">
        <v>283.96210000000002</v>
      </c>
      <c r="M1723">
        <v>-0.99946279999999998</v>
      </c>
      <c r="N1723">
        <v>0</v>
      </c>
      <c r="O1723">
        <v>-2.0239699999999999E-2</v>
      </c>
      <c r="P1723">
        <v>-0.99545419999999996</v>
      </c>
      <c r="Q1723">
        <v>5.4435030000000002E-2</v>
      </c>
      <c r="R1723">
        <v>-7.8154130000000002E-2</v>
      </c>
      <c r="S1723">
        <v>-2.9789430000000001</v>
      </c>
      <c r="T1723">
        <v>-0.20604980000000001</v>
      </c>
      <c r="U1723">
        <v>-0.58938599999999997</v>
      </c>
      <c r="V1723">
        <v>-5.8019870000000001E-2</v>
      </c>
      <c r="W1723">
        <v>8.0089850000000004E-2</v>
      </c>
      <c r="X1723">
        <v>0.99509760000000003</v>
      </c>
      <c r="Y1723">
        <v>-0.1738344</v>
      </c>
      <c r="Z1723">
        <v>-4.56273099999999E-3</v>
      </c>
      <c r="AA1723">
        <v>0.98476430000000004</v>
      </c>
      <c r="AB1723">
        <v>55</v>
      </c>
      <c r="AC1723">
        <v>-15.5199999999999</v>
      </c>
      <c r="AD1723">
        <v>-1.111452004734</v>
      </c>
      <c r="AE1723">
        <v>-3.1679000000000301</v>
      </c>
      <c r="AF1723">
        <v>-2.8390481475468099</v>
      </c>
      <c r="AG1723">
        <v>-1.111452004734</v>
      </c>
      <c r="AH1723">
        <v>15.5046209914616</v>
      </c>
      <c r="AI1723">
        <v>94.033411965798805</v>
      </c>
      <c r="AJ1723">
        <v>100.37646663738801</v>
      </c>
      <c r="AK1723">
        <v>15.8015439762002</v>
      </c>
    </row>
    <row r="1724" spans="1:37" x14ac:dyDescent="0.2">
      <c r="A1724" t="str">
        <f>"20200111154059032"</f>
        <v>20200111154059032</v>
      </c>
      <c r="B1724" t="str">
        <f>"1578728459028261"</f>
        <v>1578728459028261</v>
      </c>
      <c r="C1724" t="s">
        <v>37</v>
      </c>
      <c r="D1724">
        <v>4.9351379999999896</v>
      </c>
      <c r="E1724">
        <v>0.45354119999999998</v>
      </c>
      <c r="F1724" t="s">
        <v>44</v>
      </c>
      <c r="G1724">
        <v>-468.68509999999998</v>
      </c>
      <c r="H1724" s="1">
        <v>3.2529950000000001E-6</v>
      </c>
      <c r="I1724">
        <v>280.77280000000002</v>
      </c>
      <c r="J1724">
        <v>-453.21949999999998</v>
      </c>
      <c r="K1724">
        <v>1.1115010000000001</v>
      </c>
      <c r="L1724">
        <v>283.950999999999</v>
      </c>
      <c r="M1724">
        <v>-0.99945399999999995</v>
      </c>
      <c r="N1724">
        <v>0</v>
      </c>
      <c r="O1724">
        <v>-2.0358790000000002E-2</v>
      </c>
      <c r="P1724">
        <v>-0.99537030000000004</v>
      </c>
      <c r="Q1724">
        <v>5.4761360000000002E-2</v>
      </c>
      <c r="R1724">
        <v>-7.8987840000000004E-2</v>
      </c>
      <c r="S1724">
        <v>-2.978424</v>
      </c>
      <c r="T1724">
        <v>-0.20686469999999901</v>
      </c>
      <c r="U1724">
        <v>-0.59359740000000005</v>
      </c>
      <c r="V1724">
        <v>-5.873507E-2</v>
      </c>
      <c r="W1724">
        <v>8.0658759999999996E-2</v>
      </c>
      <c r="X1724">
        <v>0.9950097</v>
      </c>
      <c r="Y1724">
        <v>-0.17508370000000001</v>
      </c>
      <c r="Z1724">
        <v>-4.6156230000000001E-3</v>
      </c>
      <c r="AA1724">
        <v>0.98454269999999999</v>
      </c>
      <c r="AB1724">
        <v>54</v>
      </c>
      <c r="AC1724">
        <v>-15.465599999999901</v>
      </c>
      <c r="AD1724">
        <v>-1.111497747005</v>
      </c>
      <c r="AE1724">
        <v>-3.17819999999994</v>
      </c>
      <c r="AF1724">
        <v>-2.8484566868450898</v>
      </c>
      <c r="AG1724">
        <v>-1.111497747005</v>
      </c>
      <c r="AH1724">
        <v>15.450547752080499</v>
      </c>
      <c r="AI1724">
        <v>94.046751118419706</v>
      </c>
      <c r="AJ1724">
        <v>100.445735682999</v>
      </c>
      <c r="AK1724">
        <v>15.750192334627201</v>
      </c>
    </row>
    <row r="1725" spans="1:37" x14ac:dyDescent="0.2">
      <c r="A1725" t="str">
        <f>"20200111154059054"</f>
        <v>20200111154059054</v>
      </c>
      <c r="B1725" t="str">
        <f>"1578728459047781"</f>
        <v>1578728459047781</v>
      </c>
      <c r="C1725" t="s">
        <v>37</v>
      </c>
      <c r="D1725">
        <v>4.983168</v>
      </c>
      <c r="E1725">
        <v>0.45326329999999998</v>
      </c>
      <c r="F1725" t="s">
        <v>44</v>
      </c>
      <c r="G1725">
        <v>-469.19170000000003</v>
      </c>
      <c r="H1725" s="1">
        <v>3.5240099999999999E-6</v>
      </c>
      <c r="I1725">
        <v>280.74040000000002</v>
      </c>
      <c r="J1725">
        <v>-453.76639999999998</v>
      </c>
      <c r="K1725">
        <v>1.1115469999999901</v>
      </c>
      <c r="L1725">
        <v>283.93979999999999</v>
      </c>
      <c r="M1725">
        <v>-0.99944489999999997</v>
      </c>
      <c r="N1725">
        <v>0</v>
      </c>
      <c r="O1725">
        <v>-2.047937E-2</v>
      </c>
      <c r="P1725">
        <v>-0.9952725</v>
      </c>
      <c r="Q1725">
        <v>5.512454E-2</v>
      </c>
      <c r="R1725">
        <v>-7.99623E-2</v>
      </c>
      <c r="S1725">
        <v>-2.977814</v>
      </c>
      <c r="T1725">
        <v>-0.20722399999999999</v>
      </c>
      <c r="U1725">
        <v>-0.59857179999999999</v>
      </c>
      <c r="V1725">
        <v>-5.9590820000000003E-2</v>
      </c>
      <c r="W1725">
        <v>8.127471E-2</v>
      </c>
      <c r="X1725">
        <v>0.99490869999999998</v>
      </c>
      <c r="Y1725">
        <v>-0.17658009999999999</v>
      </c>
      <c r="Z1725">
        <v>-4.666997E-3</v>
      </c>
      <c r="AA1725">
        <v>0.98427520000000002</v>
      </c>
      <c r="AB1725">
        <v>54</v>
      </c>
      <c r="AC1725">
        <v>-15.4253</v>
      </c>
      <c r="AD1725">
        <v>-1.11154347598999</v>
      </c>
      <c r="AE1725">
        <v>-3.1993999999999598</v>
      </c>
      <c r="AF1725">
        <v>-2.8684386567520401</v>
      </c>
      <c r="AG1725">
        <v>-1.11154347598999</v>
      </c>
      <c r="AH1725">
        <v>15.4108849065427</v>
      </c>
      <c r="AI1725">
        <v>94.056015343195298</v>
      </c>
      <c r="AJ1725">
        <v>100.54384542238</v>
      </c>
      <c r="AK1725">
        <v>15.714924206920999</v>
      </c>
    </row>
    <row r="1726" spans="1:37" x14ac:dyDescent="0.2">
      <c r="A1726" t="str">
        <f>"20200111154059076"</f>
        <v>20200111154059076</v>
      </c>
      <c r="B1726" t="str">
        <f>"1578728459068281"</f>
        <v>1578728459068281</v>
      </c>
      <c r="C1726" t="s">
        <v>37</v>
      </c>
      <c r="D1726">
        <v>4.9612869999999996</v>
      </c>
      <c r="E1726">
        <v>0.45297549999999998</v>
      </c>
      <c r="F1726" t="s">
        <v>44</v>
      </c>
      <c r="G1726">
        <v>-469.77539999999999</v>
      </c>
      <c r="H1726" s="1">
        <v>3.8366190000000001E-6</v>
      </c>
      <c r="I1726">
        <v>280.69450000000001</v>
      </c>
      <c r="J1726">
        <v>-454.28559999999999</v>
      </c>
      <c r="K1726">
        <v>1.111588</v>
      </c>
      <c r="L1726">
        <v>283.92899999999997</v>
      </c>
      <c r="M1726">
        <v>-0.999436199999999</v>
      </c>
      <c r="N1726">
        <v>0</v>
      </c>
      <c r="O1726">
        <v>-2.0592900000000001E-2</v>
      </c>
      <c r="P1726">
        <v>-0.9951525</v>
      </c>
      <c r="Q1726">
        <v>5.5196160000000001E-2</v>
      </c>
      <c r="R1726">
        <v>-8.1394229999999998E-2</v>
      </c>
      <c r="S1726">
        <v>-2.9772029999999998</v>
      </c>
      <c r="T1726">
        <v>-0.20671390000000001</v>
      </c>
      <c r="U1726">
        <v>-0.60351560000000004</v>
      </c>
      <c r="V1726">
        <v>-6.0910930000000002E-2</v>
      </c>
      <c r="W1726">
        <v>8.1583160000000002E-2</v>
      </c>
      <c r="X1726">
        <v>0.99480349999999995</v>
      </c>
      <c r="Y1726">
        <v>-0.17807600000000001</v>
      </c>
      <c r="Z1726">
        <v>-4.6992709999999997E-3</v>
      </c>
      <c r="AA1726">
        <v>0.98400549999999998</v>
      </c>
      <c r="AB1726">
        <v>54</v>
      </c>
      <c r="AC1726">
        <v>-15.489800000000001</v>
      </c>
      <c r="AD1726">
        <v>-1.111584163381</v>
      </c>
      <c r="AE1726">
        <v>-3.2345000000000201</v>
      </c>
      <c r="AF1726">
        <v>-2.9004089633049301</v>
      </c>
      <c r="AG1726">
        <v>-1.111584163381</v>
      </c>
      <c r="AH1726">
        <v>15.476771495067201</v>
      </c>
      <c r="AI1726">
        <v>94.038028016452699</v>
      </c>
      <c r="AJ1726">
        <v>100.614341873919</v>
      </c>
      <c r="AK1726">
        <v>15.785387148157699</v>
      </c>
    </row>
    <row r="1727" spans="1:37" x14ac:dyDescent="0.2">
      <c r="A1727" t="str">
        <f>"20200111154059098"</f>
        <v>20200111154059098</v>
      </c>
      <c r="B1727" t="str">
        <f>"1578728459087798"</f>
        <v>1578728459087798</v>
      </c>
      <c r="C1727" t="s">
        <v>37</v>
      </c>
      <c r="D1727">
        <v>4.9257419999999996</v>
      </c>
      <c r="E1727">
        <v>0.45271600000000001</v>
      </c>
      <c r="F1727" t="s">
        <v>43</v>
      </c>
      <c r="G1727">
        <v>-470.19779999999997</v>
      </c>
      <c r="H1727" s="1">
        <v>6.1810559999999996E-6</v>
      </c>
      <c r="I1727">
        <v>280.66629999999998</v>
      </c>
      <c r="J1727">
        <v>-454.81470000000002</v>
      </c>
      <c r="K1727">
        <v>1.111631</v>
      </c>
      <c r="L1727">
        <v>283.91800000000001</v>
      </c>
      <c r="M1727">
        <v>-0.99942739999999997</v>
      </c>
      <c r="N1727">
        <v>0</v>
      </c>
      <c r="O1727">
        <v>-2.070833E-2</v>
      </c>
      <c r="P1727">
        <v>-0.99509329999999996</v>
      </c>
      <c r="Q1727">
        <v>5.5141780000000001E-2</v>
      </c>
      <c r="R1727">
        <v>-8.2151249999999995E-2</v>
      </c>
      <c r="S1727">
        <v>-2.9762270000000002</v>
      </c>
      <c r="T1727">
        <v>-0.20791019999999999</v>
      </c>
      <c r="U1727">
        <v>-0.61026000000000002</v>
      </c>
      <c r="V1727">
        <v>-6.155323E-2</v>
      </c>
      <c r="W1727">
        <v>8.1765169999999998E-2</v>
      </c>
      <c r="X1727">
        <v>0.99474910000000005</v>
      </c>
      <c r="Y1727">
        <v>-0.1801566</v>
      </c>
      <c r="Z1727">
        <v>-4.7907389999999996E-3</v>
      </c>
      <c r="AA1727">
        <v>0.98362619999999901</v>
      </c>
      <c r="AB1727">
        <v>54</v>
      </c>
      <c r="AC1727">
        <v>-15.383099999999899</v>
      </c>
      <c r="AD1727">
        <v>-1.1116248189439999</v>
      </c>
      <c r="AE1727">
        <v>-3.25170000000002</v>
      </c>
      <c r="AF1727">
        <v>-2.91774526740521</v>
      </c>
      <c r="AG1727">
        <v>-1.1116248189439999</v>
      </c>
      <c r="AH1727">
        <v>15.3703308077791</v>
      </c>
      <c r="AI1727">
        <v>94.064256410866506</v>
      </c>
      <c r="AJ1727">
        <v>100.748549227428</v>
      </c>
      <c r="AK1727">
        <v>15.684260145895299</v>
      </c>
    </row>
    <row r="1728" spans="1:37" x14ac:dyDescent="0.2">
      <c r="A1728" t="str">
        <f>"20200111154059121"</f>
        <v>20200111154059121</v>
      </c>
      <c r="B1728" t="str">
        <f>"1578728459118054"</f>
        <v>1578728459118054</v>
      </c>
      <c r="C1728" t="s">
        <v>37</v>
      </c>
      <c r="D1728">
        <v>4.9197129999999998</v>
      </c>
      <c r="E1728">
        <v>0.45237909999999998</v>
      </c>
      <c r="F1728" t="s">
        <v>43</v>
      </c>
      <c r="G1728">
        <v>-470.66329999999999</v>
      </c>
      <c r="H1728" s="1">
        <v>5.9726490000000001E-6</v>
      </c>
      <c r="I1728">
        <v>280.64350000000002</v>
      </c>
      <c r="J1728">
        <v>-455.3596</v>
      </c>
      <c r="K1728">
        <v>1.1116649999999999</v>
      </c>
      <c r="L1728">
        <v>283.90660000000003</v>
      </c>
      <c r="M1728">
        <v>-0.99941869999999999</v>
      </c>
      <c r="N1728">
        <v>0</v>
      </c>
      <c r="O1728">
        <v>-2.0828079999999999E-2</v>
      </c>
      <c r="P1728">
        <v>-0.99499219999999899</v>
      </c>
      <c r="Q1728">
        <v>5.5059469999999999E-2</v>
      </c>
      <c r="R1728">
        <v>-8.3420190000000005E-2</v>
      </c>
      <c r="S1728">
        <v>-2.9755549999999999</v>
      </c>
      <c r="T1728">
        <v>-0.2087058</v>
      </c>
      <c r="U1728">
        <v>-0.61477660000000001</v>
      </c>
      <c r="V1728">
        <v>-6.270365E-2</v>
      </c>
      <c r="W1728">
        <v>8.1910120000000003E-2</v>
      </c>
      <c r="X1728">
        <v>0.99466529999999997</v>
      </c>
      <c r="Y1728">
        <v>-0.1815087</v>
      </c>
      <c r="Z1728">
        <v>-4.8479320000000001E-3</v>
      </c>
      <c r="AA1728">
        <v>0.98337739999999996</v>
      </c>
      <c r="AB1728">
        <v>53</v>
      </c>
      <c r="AC1728">
        <v>-15.3036999999999</v>
      </c>
      <c r="AD1728">
        <v>-1.1116590273510001</v>
      </c>
      <c r="AE1728">
        <v>-3.2631000000000001</v>
      </c>
      <c r="AF1728">
        <v>-2.9287471227694399</v>
      </c>
      <c r="AG1728">
        <v>-1.1116590273510001</v>
      </c>
      <c r="AH1728">
        <v>15.2911906093202</v>
      </c>
      <c r="AI1728">
        <v>94.084070617735193</v>
      </c>
      <c r="AJ1728">
        <v>100.84264323465899</v>
      </c>
      <c r="AK1728">
        <v>15.608774960027599</v>
      </c>
    </row>
    <row r="1729" spans="1:37" x14ac:dyDescent="0.2">
      <c r="A1729" t="str">
        <f>"20200111154059144"</f>
        <v>20200111154059144</v>
      </c>
      <c r="B1729" t="str">
        <f>"1578728459137574"</f>
        <v>1578728459137574</v>
      </c>
      <c r="C1729" t="s">
        <v>37</v>
      </c>
      <c r="D1729">
        <v>4.9495110000000002</v>
      </c>
      <c r="E1729">
        <v>0.45201369999999902</v>
      </c>
      <c r="F1729" t="s">
        <v>43</v>
      </c>
      <c r="G1729">
        <v>-471.0677</v>
      </c>
      <c r="H1729" s="1">
        <v>5.7916449999999902E-6</v>
      </c>
      <c r="I1729">
        <v>280.62430000000001</v>
      </c>
      <c r="J1729">
        <v>-455.88139999999999</v>
      </c>
      <c r="K1729">
        <v>1.111699</v>
      </c>
      <c r="L1729">
        <v>283.8956</v>
      </c>
      <c r="M1729">
        <v>-0.99941089999999999</v>
      </c>
      <c r="N1729">
        <v>0</v>
      </c>
      <c r="O1729">
        <v>-2.094319E-2</v>
      </c>
      <c r="P1729">
        <v>-0.99489340000000004</v>
      </c>
      <c r="Q1729">
        <v>5.4970449999999997E-2</v>
      </c>
      <c r="R1729">
        <v>-8.4649989999999994E-2</v>
      </c>
      <c r="S1729">
        <v>-2.97464</v>
      </c>
      <c r="T1729">
        <v>-0.21051429999999999</v>
      </c>
      <c r="U1729">
        <v>-0.62155150000000003</v>
      </c>
      <c r="V1729">
        <v>-6.3819529999999999E-2</v>
      </c>
      <c r="W1729">
        <v>8.2018960000000002E-2</v>
      </c>
      <c r="X1729">
        <v>0.99458530000000001</v>
      </c>
      <c r="Y1729">
        <v>-0.1835907</v>
      </c>
      <c r="Z1729">
        <v>-4.954946E-3</v>
      </c>
      <c r="AA1729">
        <v>0.98299029999999998</v>
      </c>
      <c r="AB1729">
        <v>53</v>
      </c>
      <c r="AC1729">
        <v>-15.186299999999999</v>
      </c>
      <c r="AD1729">
        <v>-1.111693208355</v>
      </c>
      <c r="AE1729">
        <v>-3.2712999999999899</v>
      </c>
      <c r="AF1729">
        <v>-2.93737205869476</v>
      </c>
      <c r="AG1729">
        <v>-1.111693208355</v>
      </c>
      <c r="AH1729">
        <v>15.1737962113351</v>
      </c>
      <c r="AI1729">
        <v>94.114124568343598</v>
      </c>
      <c r="AJ1729">
        <v>100.955912565243</v>
      </c>
      <c r="AK1729">
        <v>15.4954221582966</v>
      </c>
    </row>
    <row r="1730" spans="1:37" x14ac:dyDescent="0.2">
      <c r="A1730" t="str">
        <f>"20200111154059165"</f>
        <v>20200111154059165</v>
      </c>
      <c r="B1730" t="str">
        <f>"1578728459158070"</f>
        <v>1578728459158070</v>
      </c>
      <c r="C1730" t="s">
        <v>37</v>
      </c>
      <c r="D1730">
        <v>4.9456179999999996</v>
      </c>
      <c r="E1730">
        <v>0.45169729999999902</v>
      </c>
      <c r="F1730" t="s">
        <v>43</v>
      </c>
      <c r="G1730">
        <v>-471.48559999999998</v>
      </c>
      <c r="H1730" s="1">
        <v>5.6042539999999999E-6</v>
      </c>
      <c r="I1730">
        <v>280.60070000000002</v>
      </c>
      <c r="J1730">
        <v>-456.40039999999999</v>
      </c>
      <c r="K1730">
        <v>1.1117239999999999</v>
      </c>
      <c r="L1730">
        <v>283.8845</v>
      </c>
      <c r="M1730">
        <v>-0.99940370000000001</v>
      </c>
      <c r="N1730">
        <v>0</v>
      </c>
      <c r="O1730">
        <v>-2.1058750000000001E-2</v>
      </c>
      <c r="P1730">
        <v>-0.99477399999999905</v>
      </c>
      <c r="Q1730">
        <v>5.4792750000000001E-2</v>
      </c>
      <c r="R1730">
        <v>-8.6154739999999994E-2</v>
      </c>
      <c r="S1730">
        <v>-2.9736940000000001</v>
      </c>
      <c r="T1730">
        <v>-0.21185509999999999</v>
      </c>
      <c r="U1730">
        <v>-0.62789919999999899</v>
      </c>
      <c r="V1730">
        <v>-6.521093E-2</v>
      </c>
      <c r="W1730">
        <v>8.2017519999999997E-2</v>
      </c>
      <c r="X1730">
        <v>0.99449519999999902</v>
      </c>
      <c r="Y1730">
        <v>-0.18553929999999999</v>
      </c>
      <c r="Z1730">
        <v>-5.047345E-3</v>
      </c>
      <c r="AA1730">
        <v>0.98262389999999999</v>
      </c>
      <c r="AB1730">
        <v>52</v>
      </c>
      <c r="AC1730">
        <v>-15.085199999999899</v>
      </c>
      <c r="AD1730">
        <v>-1.111718395746</v>
      </c>
      <c r="AE1730">
        <v>-3.2837999999999798</v>
      </c>
      <c r="AF1730">
        <v>-2.9499800142592298</v>
      </c>
      <c r="AG1730">
        <v>-1.111718395746</v>
      </c>
      <c r="AH1730">
        <v>15.0728722496474</v>
      </c>
      <c r="AI1730">
        <v>94.140019214215002</v>
      </c>
      <c r="AJ1730">
        <v>101.073643213163</v>
      </c>
      <c r="AK1730">
        <v>15.3990187262098</v>
      </c>
    </row>
    <row r="1731" spans="1:37" x14ac:dyDescent="0.2">
      <c r="A1731" t="str">
        <f>"20200111154059188"</f>
        <v>20200111154059188</v>
      </c>
      <c r="B1731" t="str">
        <f>"1578728459177590"</f>
        <v>1578728459177590</v>
      </c>
      <c r="C1731" t="s">
        <v>37</v>
      </c>
      <c r="D1731">
        <v>4.8934129999999998</v>
      </c>
      <c r="E1731">
        <v>0.46095770000000003</v>
      </c>
      <c r="F1731" t="s">
        <v>43</v>
      </c>
      <c r="G1731">
        <v>-471.87290000000002</v>
      </c>
      <c r="H1731" s="1">
        <v>5.4307880000000003E-6</v>
      </c>
      <c r="I1731">
        <v>280.58099999999899</v>
      </c>
      <c r="J1731">
        <v>-456.9135</v>
      </c>
      <c r="K1731">
        <v>1.111745</v>
      </c>
      <c r="L1731">
        <v>283.87360000000001</v>
      </c>
      <c r="M1731">
        <v>-0.99939679999999997</v>
      </c>
      <c r="N1731">
        <v>0</v>
      </c>
      <c r="O1731">
        <v>-2.1173089999999999E-2</v>
      </c>
      <c r="P1731">
        <v>-0.99468570000000001</v>
      </c>
      <c r="Q1731">
        <v>5.4687510000000002E-2</v>
      </c>
      <c r="R1731">
        <v>-8.723272E-2</v>
      </c>
      <c r="S1731">
        <v>-2.9725649999999999</v>
      </c>
      <c r="T1731">
        <v>-0.21358260000000001</v>
      </c>
      <c r="U1731">
        <v>-0.63467410000000002</v>
      </c>
      <c r="V1731">
        <v>-6.6175650000000003E-2</v>
      </c>
      <c r="W1731">
        <v>8.2067899999999999E-2</v>
      </c>
      <c r="X1731">
        <v>0.99442730000000001</v>
      </c>
      <c r="Y1731">
        <v>-0.187633299999999</v>
      </c>
      <c r="Z1731">
        <v>-5.1552919999999997E-3</v>
      </c>
      <c r="AA1731">
        <v>0.98222559999999903</v>
      </c>
      <c r="AB1731">
        <v>52</v>
      </c>
      <c r="AC1731">
        <v>-14.9594</v>
      </c>
      <c r="AD1731">
        <v>-1.111739569212</v>
      </c>
      <c r="AE1731">
        <v>-3.2926000000000499</v>
      </c>
      <c r="AF1731">
        <v>-2.9594148228477302</v>
      </c>
      <c r="AG1731">
        <v>-1.111739569212</v>
      </c>
      <c r="AH1731">
        <v>14.947046315775401</v>
      </c>
      <c r="AI1731">
        <v>94.173030755365502</v>
      </c>
      <c r="AJ1731">
        <v>101.199335876723</v>
      </c>
      <c r="AK1731">
        <v>15.2777058005898</v>
      </c>
    </row>
    <row r="1732" spans="1:37" x14ac:dyDescent="0.2">
      <c r="A1732" t="str">
        <f>"20200111154059210"</f>
        <v>20200111154059210</v>
      </c>
      <c r="B1732" t="str">
        <f>"1578728459207846"</f>
        <v>1578728459207846</v>
      </c>
      <c r="C1732" t="s">
        <v>37</v>
      </c>
      <c r="D1732">
        <v>4.846711</v>
      </c>
      <c r="E1732">
        <v>0.46344750000000001</v>
      </c>
      <c r="F1732" t="s">
        <v>43</v>
      </c>
      <c r="G1732">
        <v>-472.14519999999999</v>
      </c>
      <c r="H1732" s="1">
        <v>5.3456359999999901E-6</v>
      </c>
      <c r="I1732">
        <v>280.98849999999999</v>
      </c>
      <c r="J1732">
        <v>-457.4196</v>
      </c>
      <c r="K1732">
        <v>1.1117629999999901</v>
      </c>
      <c r="L1732">
        <v>283.86270000000002</v>
      </c>
      <c r="M1732">
        <v>-0.99939049999999996</v>
      </c>
      <c r="N1732">
        <v>0</v>
      </c>
      <c r="O1732">
        <v>-2.1286469999999998E-2</v>
      </c>
      <c r="P1732">
        <v>-0.99461219999999995</v>
      </c>
      <c r="Q1732">
        <v>5.4310190000000001E-2</v>
      </c>
      <c r="R1732">
        <v>-8.8301870000000005E-2</v>
      </c>
      <c r="S1732">
        <v>-2.9785159999999999</v>
      </c>
      <c r="T1732">
        <v>-0.2173969</v>
      </c>
      <c r="U1732">
        <v>-0.56417850000000003</v>
      </c>
      <c r="V1732">
        <v>-6.7132430000000007E-2</v>
      </c>
      <c r="W1732">
        <v>8.1827899999999995E-2</v>
      </c>
      <c r="X1732">
        <v>0.99438289999999996</v>
      </c>
      <c r="Y1732">
        <v>-0.1647739</v>
      </c>
      <c r="Z1732">
        <v>-4.4148700000000004E-3</v>
      </c>
      <c r="AA1732">
        <v>0.98632149999999996</v>
      </c>
      <c r="AB1732">
        <v>52</v>
      </c>
      <c r="AC1732">
        <v>-14.725599999999901</v>
      </c>
      <c r="AD1732">
        <v>-1.11175765436399</v>
      </c>
      <c r="AE1732">
        <v>-2.8742000000000298</v>
      </c>
      <c r="AF1732">
        <v>-2.5459926062830198</v>
      </c>
      <c r="AG1732">
        <v>-1.11175765436399</v>
      </c>
      <c r="AH1732">
        <v>14.702735951223399</v>
      </c>
      <c r="AI1732">
        <v>94.261056059285494</v>
      </c>
      <c r="AJ1732">
        <v>99.824175013831393</v>
      </c>
      <c r="AK1732">
        <v>14.9629050616744</v>
      </c>
    </row>
    <row r="1733" spans="1:37" x14ac:dyDescent="0.2">
      <c r="A1733" t="str">
        <f>"20200111154059233"</f>
        <v>20200111154059233</v>
      </c>
      <c r="B1733" t="str">
        <f>"1578728459228354"</f>
        <v>1578728459228354</v>
      </c>
      <c r="C1733" t="s">
        <v>37</v>
      </c>
      <c r="D1733">
        <v>4.8555869999999999</v>
      </c>
      <c r="E1733">
        <v>0.46280909999999897</v>
      </c>
      <c r="F1733" t="s">
        <v>43</v>
      </c>
      <c r="G1733">
        <v>-472.17989999999998</v>
      </c>
      <c r="H1733" s="1">
        <v>5.3445019999999999E-6</v>
      </c>
      <c r="I1733">
        <v>281.1515</v>
      </c>
      <c r="J1733">
        <v>-457.94060000000002</v>
      </c>
      <c r="K1733">
        <v>1.111783</v>
      </c>
      <c r="L1733">
        <v>283.85149999999999</v>
      </c>
      <c r="M1733">
        <v>-0.99938459999999996</v>
      </c>
      <c r="N1733">
        <v>0</v>
      </c>
      <c r="O1733">
        <v>-2.140336E-2</v>
      </c>
      <c r="P1733">
        <v>-0.99448159999999897</v>
      </c>
      <c r="Q1733">
        <v>5.4116780000000003E-2</v>
      </c>
      <c r="R1733">
        <v>-8.9876049999999999E-2</v>
      </c>
      <c r="S1733">
        <v>-2.9798580000000001</v>
      </c>
      <c r="T1733">
        <v>-0.22444549999999999</v>
      </c>
      <c r="U1733">
        <v>-0.5473633</v>
      </c>
      <c r="V1733">
        <v>-6.8592210000000001E-2</v>
      </c>
      <c r="W1733">
        <v>8.1756140000000005E-2</v>
      </c>
      <c r="X1733">
        <v>0.99428919999999998</v>
      </c>
      <c r="Y1733">
        <v>-0.1591872</v>
      </c>
      <c r="Z1733">
        <v>-4.3408320000000002E-3</v>
      </c>
      <c r="AA1733">
        <v>0.98723890000000003</v>
      </c>
      <c r="AB1733">
        <v>52</v>
      </c>
      <c r="AC1733">
        <v>-14.239299999999901</v>
      </c>
      <c r="AD1733">
        <v>-1.1117776554979999</v>
      </c>
      <c r="AE1733">
        <v>-2.6999999999999802</v>
      </c>
      <c r="AF1733">
        <v>-2.3804861459161502</v>
      </c>
      <c r="AG1733">
        <v>-1.1117776554979999</v>
      </c>
      <c r="AH1733">
        <v>14.2102252675261</v>
      </c>
      <c r="AI1733">
        <v>94.412351333143505</v>
      </c>
      <c r="AJ1733">
        <v>99.509844276190194</v>
      </c>
      <c r="AK1733">
        <v>14.4510645282623</v>
      </c>
    </row>
    <row r="1734" spans="1:37" x14ac:dyDescent="0.2">
      <c r="A1734" t="str">
        <f>"20200111154059255"</f>
        <v>20200111154059255</v>
      </c>
      <c r="B1734" t="str">
        <f>"1578728459247861"</f>
        <v>1578728459247861</v>
      </c>
      <c r="C1734" t="s">
        <v>37</v>
      </c>
      <c r="D1734">
        <v>4.8714879999999896</v>
      </c>
      <c r="E1734">
        <v>0.46272770000000002</v>
      </c>
      <c r="F1734" t="s">
        <v>43</v>
      </c>
      <c r="G1734">
        <v>-472.83260000000001</v>
      </c>
      <c r="H1734" s="1">
        <v>5.0477540000000002E-6</v>
      </c>
      <c r="I1734">
        <v>281.06799999999998</v>
      </c>
      <c r="J1734">
        <v>-458.46100000000001</v>
      </c>
      <c r="K1734">
        <v>1.1118030000000001</v>
      </c>
      <c r="L1734">
        <v>283.84019999999998</v>
      </c>
      <c r="M1734">
        <v>-0.99937929999999997</v>
      </c>
      <c r="N1734">
        <v>0</v>
      </c>
      <c r="O1734">
        <v>-2.1520919999999999E-2</v>
      </c>
      <c r="P1734">
        <v>-0.99431740000000002</v>
      </c>
      <c r="Q1734">
        <v>5.3947389999999998E-2</v>
      </c>
      <c r="R1734">
        <v>-9.177768E-2</v>
      </c>
      <c r="S1734">
        <v>-2.97839399999999</v>
      </c>
      <c r="T1734">
        <v>-0.22235540000000001</v>
      </c>
      <c r="U1734">
        <v>-0.55670169999999997</v>
      </c>
      <c r="V1734">
        <v>-7.0378499999999997E-2</v>
      </c>
      <c r="W1734">
        <v>8.1685339999999995E-2</v>
      </c>
      <c r="X1734">
        <v>0.994170199999999</v>
      </c>
      <c r="Y1734">
        <v>-0.1621483</v>
      </c>
      <c r="Z1734">
        <v>-4.4021429999999999E-3</v>
      </c>
      <c r="AA1734">
        <v>0.98675659999999898</v>
      </c>
      <c r="AB1734">
        <v>51</v>
      </c>
      <c r="AC1734">
        <v>-14.371600000000001</v>
      </c>
      <c r="AD1734">
        <v>-1.111797952246</v>
      </c>
      <c r="AE1734">
        <v>-2.77219999999999</v>
      </c>
      <c r="AF1734">
        <v>-2.44802195847923</v>
      </c>
      <c r="AG1734">
        <v>-1.111797952246</v>
      </c>
      <c r="AH1734">
        <v>14.345180789035901</v>
      </c>
      <c r="AI1734">
        <v>94.368841130329599</v>
      </c>
      <c r="AJ1734">
        <v>99.684303033551004</v>
      </c>
      <c r="AK1734">
        <v>14.594968929940899</v>
      </c>
    </row>
    <row r="1735" spans="1:37" x14ac:dyDescent="0.2">
      <c r="A1735" t="str">
        <f>"20200111154059278"</f>
        <v>20200111154059278</v>
      </c>
      <c r="B1735" t="str">
        <f>"1578728459267381"</f>
        <v>1578728459267381</v>
      </c>
      <c r="C1735" t="s">
        <v>37</v>
      </c>
      <c r="D1735">
        <v>4.8910489999999998</v>
      </c>
      <c r="E1735">
        <v>0.46214640000000001</v>
      </c>
      <c r="F1735" t="s">
        <v>43</v>
      </c>
      <c r="G1735">
        <v>-473.29770000000002</v>
      </c>
      <c r="H1735" s="1">
        <v>4.8387750000000001E-6</v>
      </c>
      <c r="I1735">
        <v>281.03680000000003</v>
      </c>
      <c r="J1735">
        <v>-458.95519999999999</v>
      </c>
      <c r="K1735">
        <v>1.11182</v>
      </c>
      <c r="L1735">
        <v>283.82940000000002</v>
      </c>
      <c r="M1735">
        <v>-0.99937509999999996</v>
      </c>
      <c r="N1735">
        <v>0</v>
      </c>
      <c r="O1735">
        <v>-2.163352E-2</v>
      </c>
      <c r="P1735">
        <v>-0.9941101</v>
      </c>
      <c r="Q1735">
        <v>5.4509179999999997E-2</v>
      </c>
      <c r="R1735">
        <v>-9.3669039999999995E-2</v>
      </c>
      <c r="S1735">
        <v>-2.977325</v>
      </c>
      <c r="T1735">
        <v>-0.223107</v>
      </c>
      <c r="U1735">
        <v>-0.56256099999999998</v>
      </c>
      <c r="V1735">
        <v>-7.2161899999999904E-2</v>
      </c>
      <c r="W1735">
        <v>8.2304550000000004E-2</v>
      </c>
      <c r="X1735">
        <v>0.99399130000000002</v>
      </c>
      <c r="Y1735">
        <v>-0.16396920000000001</v>
      </c>
      <c r="Z1735">
        <v>-4.4769349999999996E-3</v>
      </c>
      <c r="AA1735">
        <v>0.98645530000000003</v>
      </c>
      <c r="AB1735">
        <v>51</v>
      </c>
      <c r="AC1735">
        <v>-14.342499999999999</v>
      </c>
      <c r="AD1735">
        <v>-1.111815161225</v>
      </c>
      <c r="AE1735">
        <v>-2.79259999999999</v>
      </c>
      <c r="AF1735">
        <v>-2.4672611976641501</v>
      </c>
      <c r="AG1735">
        <v>-1.111815161225</v>
      </c>
      <c r="AH1735">
        <v>14.3166889751916</v>
      </c>
      <c r="AI1735">
        <v>94.376346592642903</v>
      </c>
      <c r="AJ1735">
        <v>99.778001812773994</v>
      </c>
      <c r="AK1735">
        <v>14.5702125579074</v>
      </c>
    </row>
    <row r="1736" spans="1:37" x14ac:dyDescent="0.2">
      <c r="A1736" t="str">
        <f>"20200111154059299"</f>
        <v>20200111154059299</v>
      </c>
      <c r="B1736" t="str">
        <f>"1578728459287878"</f>
        <v>1578728459287878</v>
      </c>
      <c r="C1736" t="s">
        <v>37</v>
      </c>
      <c r="D1736">
        <v>4.8798490000000001</v>
      </c>
      <c r="E1736">
        <v>0.46181620000000001</v>
      </c>
      <c r="F1736" t="s">
        <v>43</v>
      </c>
      <c r="G1736">
        <v>-473.76799999999997</v>
      </c>
      <c r="H1736" s="1">
        <v>4.6252199999999999E-6</v>
      </c>
      <c r="I1736">
        <v>280.9794</v>
      </c>
      <c r="J1736">
        <v>-459.45080000000002</v>
      </c>
      <c r="K1736">
        <v>1.111829</v>
      </c>
      <c r="L1736">
        <v>283.81849999999997</v>
      </c>
      <c r="M1736">
        <v>-0.99937209999999999</v>
      </c>
      <c r="N1736">
        <v>0</v>
      </c>
      <c r="O1736">
        <v>-2.1746979999999999E-2</v>
      </c>
      <c r="P1736">
        <v>-0.99393290000000001</v>
      </c>
      <c r="Q1736">
        <v>5.5036420000000003E-2</v>
      </c>
      <c r="R1736">
        <v>-9.5230209999999996E-2</v>
      </c>
      <c r="S1736">
        <v>-2.976105</v>
      </c>
      <c r="T1736">
        <v>-0.22337989999999999</v>
      </c>
      <c r="U1736">
        <v>-0.57260129999999998</v>
      </c>
      <c r="V1736">
        <v>-7.3613570000000003E-2</v>
      </c>
      <c r="W1736">
        <v>8.2848679999999994E-2</v>
      </c>
      <c r="X1736">
        <v>0.99383960000000005</v>
      </c>
      <c r="Y1736">
        <v>-0.16713210000000001</v>
      </c>
      <c r="Z1736">
        <v>-4.5918540000000002E-3</v>
      </c>
      <c r="AA1736">
        <v>0.98592380000000002</v>
      </c>
      <c r="AB1736">
        <v>51</v>
      </c>
      <c r="AC1736">
        <v>-14.3172</v>
      </c>
      <c r="AD1736">
        <v>-1.1118243747799901</v>
      </c>
      <c r="AE1736">
        <v>-2.83909999999997</v>
      </c>
      <c r="AF1736">
        <v>-2.5123725725649102</v>
      </c>
      <c r="AG1736">
        <v>-1.1118243747799901</v>
      </c>
      <c r="AH1736">
        <v>14.292646165968</v>
      </c>
      <c r="AI1736">
        <v>94.381174428971704</v>
      </c>
      <c r="AJ1736">
        <v>99.969646147735503</v>
      </c>
      <c r="AK1736">
        <v>14.554308771263999</v>
      </c>
    </row>
    <row r="1737" spans="1:37" x14ac:dyDescent="0.2">
      <c r="A1737" t="str">
        <f>"20200111154059323"</f>
        <v>20200111154059323</v>
      </c>
      <c r="B1737" t="str">
        <f>"1578728459318136"</f>
        <v>1578728459318136</v>
      </c>
      <c r="C1737" t="s">
        <v>37</v>
      </c>
      <c r="D1737">
        <v>4.8633600000000001</v>
      </c>
      <c r="E1737">
        <v>0.4612638</v>
      </c>
      <c r="F1737" t="s">
        <v>43</v>
      </c>
      <c r="G1737">
        <v>-474.43619999999999</v>
      </c>
      <c r="H1737" s="1">
        <v>4.3216770000000001E-6</v>
      </c>
      <c r="I1737">
        <v>280.89699999999999</v>
      </c>
      <c r="J1737">
        <v>-459.96289999999999</v>
      </c>
      <c r="K1737">
        <v>1.1118319999999999</v>
      </c>
      <c r="L1737">
        <v>283.80720000000002</v>
      </c>
      <c r="M1737">
        <v>-0.99937009999999904</v>
      </c>
      <c r="N1737">
        <v>0</v>
      </c>
      <c r="O1737">
        <v>-2.186517E-2</v>
      </c>
      <c r="P1737">
        <v>-0.99373539999999905</v>
      </c>
      <c r="Q1737">
        <v>5.578698E-2</v>
      </c>
      <c r="R1737">
        <v>-9.684065E-2</v>
      </c>
      <c r="S1737">
        <v>-2.9749759999999998</v>
      </c>
      <c r="T1737">
        <v>-0.22072420000000001</v>
      </c>
      <c r="U1737">
        <v>-0.57998660000000002</v>
      </c>
      <c r="V1737">
        <v>-7.5110270000000007E-2</v>
      </c>
      <c r="W1737">
        <v>8.3570000000000005E-2</v>
      </c>
      <c r="X1737">
        <v>0.99366719999999897</v>
      </c>
      <c r="Y1737">
        <v>-0.16944690000000001</v>
      </c>
      <c r="Z1737">
        <v>-4.6143399999999998E-3</v>
      </c>
      <c r="AA1737">
        <v>0.98552850000000003</v>
      </c>
      <c r="AB1737">
        <v>51</v>
      </c>
      <c r="AC1737">
        <v>-14.473299999999901</v>
      </c>
      <c r="AD1737">
        <v>-1.1118276783229999</v>
      </c>
      <c r="AE1737">
        <v>-2.9102000000000299</v>
      </c>
      <c r="AF1737">
        <v>-2.5782950753614702</v>
      </c>
      <c r="AG1737">
        <v>-1.1118276783229999</v>
      </c>
      <c r="AH1737">
        <v>14.451526769267399</v>
      </c>
      <c r="AI1737">
        <v>94.331256637694196</v>
      </c>
      <c r="AJ1737">
        <v>100.115701074471</v>
      </c>
      <c r="AK1737">
        <v>14.7217659349947</v>
      </c>
    </row>
    <row r="1738" spans="1:37" x14ac:dyDescent="0.2">
      <c r="A1738" t="str">
        <f>"20200111154059345"</f>
        <v>20200111154059345</v>
      </c>
      <c r="B1738" t="str">
        <f>"1578728459337654"</f>
        <v>1578728459337654</v>
      </c>
      <c r="C1738" t="s">
        <v>37</v>
      </c>
      <c r="D1738">
        <v>4.8288190000000002</v>
      </c>
      <c r="E1738">
        <v>0.46110509999999899</v>
      </c>
      <c r="F1738" t="s">
        <v>43</v>
      </c>
      <c r="G1738">
        <v>-475.09219999999999</v>
      </c>
      <c r="H1738" s="1">
        <v>4.023303E-6</v>
      </c>
      <c r="I1738">
        <v>280.8116</v>
      </c>
      <c r="J1738">
        <v>-460.46159999999998</v>
      </c>
      <c r="K1738">
        <v>1.1118299999999901</v>
      </c>
      <c r="L1738">
        <v>283.79610000000002</v>
      </c>
      <c r="M1738">
        <v>-0.99936939999999996</v>
      </c>
      <c r="N1738">
        <v>0</v>
      </c>
      <c r="O1738">
        <v>-2.1981939999999998E-2</v>
      </c>
      <c r="P1738">
        <v>-0.99352129999999905</v>
      </c>
      <c r="Q1738">
        <v>5.5907619999999998E-2</v>
      </c>
      <c r="R1738">
        <v>-9.8944840000000006E-2</v>
      </c>
      <c r="S1738">
        <v>-2.9737849999999999</v>
      </c>
      <c r="T1738">
        <v>-0.2185377</v>
      </c>
      <c r="U1738">
        <v>-0.58880619999999995</v>
      </c>
      <c r="V1738">
        <v>-7.7101719999999999E-2</v>
      </c>
      <c r="W1738">
        <v>8.3618479999999995E-2</v>
      </c>
      <c r="X1738">
        <v>0.99351060000000002</v>
      </c>
      <c r="Y1738">
        <v>-0.17222009999999999</v>
      </c>
      <c r="Z1738">
        <v>-4.6615759999999997E-3</v>
      </c>
      <c r="AA1738">
        <v>0.98504749999999996</v>
      </c>
      <c r="AB1738">
        <v>50</v>
      </c>
      <c r="AC1738">
        <v>-14.630599999999999</v>
      </c>
      <c r="AD1738">
        <v>-1.11182597669699</v>
      </c>
      <c r="AE1738">
        <v>-2.9845000000000201</v>
      </c>
      <c r="AF1738">
        <v>-2.6473665215289599</v>
      </c>
      <c r="AG1738">
        <v>-1.11182597669699</v>
      </c>
      <c r="AH1738">
        <v>14.6116817265347</v>
      </c>
      <c r="AI1738">
        <v>94.281894233806298</v>
      </c>
      <c r="AJ1738">
        <v>100.269531081653</v>
      </c>
      <c r="AK1738">
        <v>14.8911366046826</v>
      </c>
    </row>
    <row r="1739" spans="1:37" x14ac:dyDescent="0.2">
      <c r="A1739" t="str">
        <f>"20200111154059366"</f>
        <v>20200111154059366</v>
      </c>
      <c r="B1739" t="str">
        <f>"1578728459358138"</f>
        <v>1578728459358138</v>
      </c>
      <c r="C1739" t="s">
        <v>37</v>
      </c>
      <c r="D1739">
        <v>4.8405069999999997</v>
      </c>
      <c r="E1739">
        <v>0.46077699999999999</v>
      </c>
      <c r="F1739" t="s">
        <v>43</v>
      </c>
      <c r="G1739">
        <v>-475.55770000000001</v>
      </c>
      <c r="H1739" s="1">
        <v>3.8132089999999998E-6</v>
      </c>
      <c r="I1739">
        <v>280.76940000000002</v>
      </c>
      <c r="J1739">
        <v>-460.95119999999997</v>
      </c>
      <c r="K1739">
        <v>1.1118269999999999</v>
      </c>
      <c r="L1739">
        <v>283.78519999999997</v>
      </c>
      <c r="M1739">
        <v>-0.99936990000000003</v>
      </c>
      <c r="N1739">
        <v>0</v>
      </c>
      <c r="O1739">
        <v>-2.209852E-2</v>
      </c>
      <c r="P1739">
        <v>-0.99329129999999999</v>
      </c>
      <c r="Q1739">
        <v>5.6090460000000002E-2</v>
      </c>
      <c r="R1739">
        <v>-0.10112649999999999</v>
      </c>
      <c r="S1739">
        <v>-2.9725039999999998</v>
      </c>
      <c r="T1739">
        <v>-0.21892500000000001</v>
      </c>
      <c r="U1739">
        <v>-0.5959778</v>
      </c>
      <c r="V1739">
        <v>-7.9171809999999995E-2</v>
      </c>
      <c r="W1739">
        <v>8.3689739999999999E-2</v>
      </c>
      <c r="X1739">
        <v>0.99334169999999999</v>
      </c>
      <c r="Y1739">
        <v>-0.1744646</v>
      </c>
      <c r="Z1739">
        <v>-4.743962E-3</v>
      </c>
      <c r="AA1739">
        <v>0.98465199999999997</v>
      </c>
      <c r="AB1739">
        <v>50</v>
      </c>
      <c r="AC1739">
        <v>-14.6065</v>
      </c>
      <c r="AD1739">
        <v>-1.111823186791</v>
      </c>
      <c r="AE1739">
        <v>-3.0157999999999499</v>
      </c>
      <c r="AF1739">
        <v>-2.6772784242046699</v>
      </c>
      <c r="AG1739">
        <v>-1.111823186791</v>
      </c>
      <c r="AH1739">
        <v>14.588530672001401</v>
      </c>
      <c r="AI1739">
        <v>94.286890749246396</v>
      </c>
      <c r="AJ1739">
        <v>100.399171747056</v>
      </c>
      <c r="AK1739">
        <v>14.8737755034599</v>
      </c>
    </row>
    <row r="1740" spans="1:37" x14ac:dyDescent="0.2">
      <c r="A1740" t="str">
        <f>"20200111154059389"</f>
        <v>20200111154059389</v>
      </c>
      <c r="B1740" t="str">
        <f>"1578728459377649"</f>
        <v>1578728459377649</v>
      </c>
      <c r="C1740" t="s">
        <v>37</v>
      </c>
      <c r="D1740">
        <v>4.8273159999999997</v>
      </c>
      <c r="E1740">
        <v>0.46060429999999902</v>
      </c>
      <c r="F1740" t="s">
        <v>43</v>
      </c>
      <c r="G1740">
        <v>-476.0505</v>
      </c>
      <c r="H1740" s="1">
        <v>3.589579E-6</v>
      </c>
      <c r="I1740">
        <v>280.71109999999999</v>
      </c>
      <c r="J1740">
        <v>-461.44799999999998</v>
      </c>
      <c r="K1740">
        <v>1.111823</v>
      </c>
      <c r="L1740">
        <v>283.77409999999998</v>
      </c>
      <c r="M1740">
        <v>-0.9993708</v>
      </c>
      <c r="N1740">
        <v>0</v>
      </c>
      <c r="O1740">
        <v>-2.2217689999999998E-2</v>
      </c>
      <c r="P1740">
        <v>-0.9930329</v>
      </c>
      <c r="Q1740">
        <v>5.7043320000000002E-2</v>
      </c>
      <c r="R1740">
        <v>-0.1031098</v>
      </c>
      <c r="S1740">
        <v>-2.97103899999999</v>
      </c>
      <c r="T1740">
        <v>-0.21877070000000001</v>
      </c>
      <c r="U1740">
        <v>-0.60488889999999995</v>
      </c>
      <c r="V1740">
        <v>-8.1041760000000004E-2</v>
      </c>
      <c r="W1740">
        <v>8.4507959999999993E-2</v>
      </c>
      <c r="X1740">
        <v>0.993121699999999</v>
      </c>
      <c r="Y1740">
        <v>-0.17727100000000001</v>
      </c>
      <c r="Z1740">
        <v>-4.8350169999999996E-3</v>
      </c>
      <c r="AA1740">
        <v>0.98415019999999998</v>
      </c>
      <c r="AB1740">
        <v>50</v>
      </c>
      <c r="AC1740">
        <v>-14.6024999999999</v>
      </c>
      <c r="AD1740">
        <v>-1.111819410421</v>
      </c>
      <c r="AE1740">
        <v>-3.0629999999999802</v>
      </c>
      <c r="AF1740">
        <v>-2.7225675101097</v>
      </c>
      <c r="AG1740">
        <v>-1.111819410421</v>
      </c>
      <c r="AH1740">
        <v>14.5859781106728</v>
      </c>
      <c r="AI1740">
        <v>94.285226206279503</v>
      </c>
      <c r="AJ1740">
        <v>100.57296009480901</v>
      </c>
      <c r="AK1740">
        <v>14.8794917148913</v>
      </c>
    </row>
    <row r="1741" spans="1:37" x14ac:dyDescent="0.2">
      <c r="A1741" t="str">
        <f>"20200111154059411"</f>
        <v>20200111154059411</v>
      </c>
      <c r="B1741" t="str">
        <f>"1578728459407905"</f>
        <v>1578728459407905</v>
      </c>
      <c r="C1741" t="s">
        <v>37</v>
      </c>
      <c r="D1741">
        <v>4.8091400000000002</v>
      </c>
      <c r="E1741">
        <v>0.46018310000000001</v>
      </c>
      <c r="F1741" t="s">
        <v>43</v>
      </c>
      <c r="G1741">
        <v>-476.71629999999999</v>
      </c>
      <c r="H1741" s="1">
        <v>3.2869019999999999E-6</v>
      </c>
      <c r="I1741">
        <v>280.62639999999999</v>
      </c>
      <c r="J1741">
        <v>-461.93220000000002</v>
      </c>
      <c r="K1741">
        <v>1.111829</v>
      </c>
      <c r="L1741">
        <v>283.76319999999998</v>
      </c>
      <c r="M1741">
        <v>-0.99937169999999897</v>
      </c>
      <c r="N1741">
        <v>0</v>
      </c>
      <c r="O1741">
        <v>-2.2341840000000002E-2</v>
      </c>
      <c r="P1741">
        <v>-0.99269089999999904</v>
      </c>
      <c r="Q1741">
        <v>5.8420800000000002E-2</v>
      </c>
      <c r="R1741">
        <v>-0.10560360000000001</v>
      </c>
      <c r="S1741">
        <v>-2.96991</v>
      </c>
      <c r="T1741">
        <v>-0.21626479999999901</v>
      </c>
      <c r="U1741">
        <v>-0.61227419999999899</v>
      </c>
      <c r="V1741">
        <v>-8.3419869999999993E-2</v>
      </c>
      <c r="W1741">
        <v>8.5746089999999997E-2</v>
      </c>
      <c r="X1741">
        <v>0.9928186</v>
      </c>
      <c r="Y1741">
        <v>-0.1795737</v>
      </c>
      <c r="Z1741">
        <v>-4.8543299999999996E-3</v>
      </c>
      <c r="AA1741">
        <v>0.98373250000000001</v>
      </c>
      <c r="AB1741">
        <v>49</v>
      </c>
      <c r="AC1741">
        <v>-14.784099999999899</v>
      </c>
      <c r="AD1741">
        <v>-1.111825713098</v>
      </c>
      <c r="AE1741">
        <v>-3.1367999999999898</v>
      </c>
      <c r="AF1741">
        <v>-2.7904851525730399</v>
      </c>
      <c r="AG1741">
        <v>-1.111825713098</v>
      </c>
      <c r="AH1741">
        <v>14.770576607309501</v>
      </c>
      <c r="AI1741">
        <v>94.230158030300302</v>
      </c>
      <c r="AJ1741">
        <v>100.698336049197</v>
      </c>
      <c r="AK1741">
        <v>15.072919329560399</v>
      </c>
    </row>
    <row r="1742" spans="1:37" x14ac:dyDescent="0.2">
      <c r="A1742" t="str">
        <f>"20200111154059434"</f>
        <v>20200111154059434</v>
      </c>
      <c r="B1742" t="str">
        <f>"1578728459427425"</f>
        <v>1578728459427425</v>
      </c>
      <c r="C1742" t="s">
        <v>37</v>
      </c>
      <c r="D1742">
        <v>4.7848069999999998</v>
      </c>
      <c r="E1742">
        <v>0.45990720000000002</v>
      </c>
      <c r="F1742" t="s">
        <v>43</v>
      </c>
      <c r="G1742">
        <v>-477.48840000000001</v>
      </c>
      <c r="H1742" s="1">
        <v>2.933249E-6</v>
      </c>
      <c r="I1742">
        <v>280.49770000000001</v>
      </c>
      <c r="J1742">
        <v>-462.44159999999999</v>
      </c>
      <c r="K1742">
        <v>1.111842</v>
      </c>
      <c r="L1742">
        <v>283.7516</v>
      </c>
      <c r="M1742">
        <v>-0.99937180000000003</v>
      </c>
      <c r="N1742">
        <v>0</v>
      </c>
      <c r="O1742">
        <v>-2.250864E-2</v>
      </c>
      <c r="P1742">
        <v>-0.99228530000000004</v>
      </c>
      <c r="Q1742">
        <v>5.9655819999999998E-2</v>
      </c>
      <c r="R1742">
        <v>-0.108680399999999</v>
      </c>
      <c r="S1742">
        <v>-2.96826199999999</v>
      </c>
      <c r="T1742">
        <v>-0.21214629999999901</v>
      </c>
      <c r="U1742">
        <v>-0.6230774</v>
      </c>
      <c r="V1742">
        <v>-8.6342760000000005E-2</v>
      </c>
      <c r="W1742">
        <v>8.6825879999999994E-2</v>
      </c>
      <c r="X1742">
        <v>0.99247479999999999</v>
      </c>
      <c r="Y1742">
        <v>-0.18295549999999999</v>
      </c>
      <c r="Z1742">
        <v>-4.87061E-3</v>
      </c>
      <c r="AA1742">
        <v>0.98310909999999996</v>
      </c>
      <c r="AB1742">
        <v>49</v>
      </c>
      <c r="AC1742">
        <v>-15.046799999999999</v>
      </c>
      <c r="AD1742">
        <v>-1.1118390667510001</v>
      </c>
      <c r="AE1742">
        <v>-3.2538999999999798</v>
      </c>
      <c r="AF1742">
        <v>-2.8991427905323701</v>
      </c>
      <c r="AG1742">
        <v>-1.1118390667510001</v>
      </c>
      <c r="AH1742">
        <v>15.037814498091</v>
      </c>
      <c r="AI1742">
        <v>94.152350494965305</v>
      </c>
      <c r="AJ1742">
        <v>100.912182643745</v>
      </c>
      <c r="AK1742">
        <v>15.3550343506371</v>
      </c>
    </row>
    <row r="1743" spans="1:37" x14ac:dyDescent="0.2">
      <c r="A1743" t="str">
        <f>"20200111154059456"</f>
        <v>20200111154059456</v>
      </c>
      <c r="B1743" t="str">
        <f>"1578728459447921"</f>
        <v>1578728459447921</v>
      </c>
      <c r="C1743" t="s">
        <v>37</v>
      </c>
      <c r="D1743">
        <v>4.8672610000000001</v>
      </c>
      <c r="E1743">
        <v>0.45951920000000002</v>
      </c>
      <c r="F1743" t="s">
        <v>43</v>
      </c>
      <c r="G1743">
        <v>-478.23349999999999</v>
      </c>
      <c r="H1743" s="1">
        <v>2.5921199999999998E-6</v>
      </c>
      <c r="I1743">
        <v>280.375</v>
      </c>
      <c r="J1743">
        <v>-462.91269999999997</v>
      </c>
      <c r="K1743">
        <v>1.1118699999999999</v>
      </c>
      <c r="L1743">
        <v>283.74079999999998</v>
      </c>
      <c r="M1743">
        <v>-0.9993706</v>
      </c>
      <c r="N1743">
        <v>0</v>
      </c>
      <c r="O1743">
        <v>-2.2736269999999999E-2</v>
      </c>
      <c r="P1743">
        <v>-0.99206949999999905</v>
      </c>
      <c r="Q1743">
        <v>5.9279230000000002E-2</v>
      </c>
      <c r="R1743">
        <v>-0.110833399999999</v>
      </c>
      <c r="S1743">
        <v>-2.9664000000000001</v>
      </c>
      <c r="T1743">
        <v>-0.2088516</v>
      </c>
      <c r="U1743">
        <v>-0.63427730000000004</v>
      </c>
      <c r="V1743">
        <v>-8.8282819999999998E-2</v>
      </c>
      <c r="W1743">
        <v>8.628719E-2</v>
      </c>
      <c r="X1743">
        <v>0.99235110000000004</v>
      </c>
      <c r="Y1743">
        <v>-0.1864112</v>
      </c>
      <c r="Z1743">
        <v>-4.9005969999999996E-3</v>
      </c>
      <c r="AA1743">
        <v>0.98245959999999999</v>
      </c>
      <c r="AB1743">
        <v>49</v>
      </c>
      <c r="AC1743">
        <v>-15.3208</v>
      </c>
      <c r="AD1743">
        <v>-1.1118674078799999</v>
      </c>
      <c r="AE1743">
        <v>-3.3657999999999699</v>
      </c>
      <c r="AF1743">
        <v>-3.0013824764190198</v>
      </c>
      <c r="AG1743">
        <v>-1.1118674078799999</v>
      </c>
      <c r="AH1743">
        <v>15.316436822601601</v>
      </c>
      <c r="AI1743">
        <v>94.074765020771594</v>
      </c>
      <c r="AJ1743">
        <v>101.087093068386</v>
      </c>
      <c r="AK1743">
        <v>15.647293147480999</v>
      </c>
    </row>
    <row r="1744" spans="1:37" x14ac:dyDescent="0.2">
      <c r="A1744" t="str">
        <f>"20200111154059478"</f>
        <v>20200111154059478</v>
      </c>
      <c r="B1744" t="str">
        <f>"1578728459467441"</f>
        <v>1578728459467441</v>
      </c>
      <c r="C1744" t="s">
        <v>37</v>
      </c>
      <c r="D1744">
        <v>4.8612199999999897</v>
      </c>
      <c r="E1744">
        <v>0.45919110000000002</v>
      </c>
      <c r="F1744" t="s">
        <v>43</v>
      </c>
      <c r="G1744">
        <v>-478.55329999999998</v>
      </c>
      <c r="H1744" s="1">
        <v>2.44778E-6</v>
      </c>
      <c r="I1744">
        <v>280.34629999999999</v>
      </c>
      <c r="J1744">
        <v>-463.3888</v>
      </c>
      <c r="K1744">
        <v>1.1119299999999901</v>
      </c>
      <c r="L1744">
        <v>283.72969999999998</v>
      </c>
      <c r="M1744">
        <v>-0.99936769999999997</v>
      </c>
      <c r="N1744">
        <v>0</v>
      </c>
      <c r="O1744">
        <v>-2.3086499999999999E-2</v>
      </c>
      <c r="P1744">
        <v>-0.99174099999999998</v>
      </c>
      <c r="Q1744">
        <v>5.8406960000000001E-2</v>
      </c>
      <c r="R1744">
        <v>-0.11418830000000001</v>
      </c>
      <c r="S1744">
        <v>-2.9646910000000002</v>
      </c>
      <c r="T1744">
        <v>-0.2107551</v>
      </c>
      <c r="U1744">
        <v>-0.64343260000000002</v>
      </c>
      <c r="V1744">
        <v>-9.1312199999999996E-2</v>
      </c>
      <c r="W1744">
        <v>8.5209220000000002E-2</v>
      </c>
      <c r="X1744">
        <v>0.99217009999999894</v>
      </c>
      <c r="Y1744">
        <v>-0.18906870000000001</v>
      </c>
      <c r="Z1744">
        <v>-5.0150730000000001E-3</v>
      </c>
      <c r="AA1744">
        <v>0.98195109999999997</v>
      </c>
      <c r="AB1744">
        <v>49</v>
      </c>
      <c r="AC1744">
        <v>-15.164499999999901</v>
      </c>
      <c r="AD1744">
        <v>-1.1119275522199901</v>
      </c>
      <c r="AE1744">
        <v>-3.3833999999999902</v>
      </c>
      <c r="AF1744">
        <v>-3.01682355369568</v>
      </c>
      <c r="AG1744">
        <v>-1.1119275522199901</v>
      </c>
      <c r="AH1744">
        <v>15.1609476375694</v>
      </c>
      <c r="AI1744">
        <v>94.114273901449195</v>
      </c>
      <c r="AJ1744">
        <v>101.254084483342</v>
      </c>
      <c r="AK1744">
        <v>15.498126999887401</v>
      </c>
    </row>
    <row r="1745" spans="1:37" x14ac:dyDescent="0.2">
      <c r="A1745" t="str">
        <f>"20200111154059500"</f>
        <v>20200111154059500</v>
      </c>
      <c r="B1745" t="str">
        <f>"1578728459487939"</f>
        <v>1578728459487939</v>
      </c>
      <c r="C1745" t="s">
        <v>37</v>
      </c>
      <c r="D1745">
        <v>4.8554279999999999</v>
      </c>
      <c r="E1745">
        <v>0.45892709999999998</v>
      </c>
      <c r="F1745" t="s">
        <v>43</v>
      </c>
      <c r="G1745">
        <v>-478.70909999999998</v>
      </c>
      <c r="H1745" s="1">
        <v>2.378027E-6</v>
      </c>
      <c r="I1745">
        <v>280.33890000000002</v>
      </c>
      <c r="J1745">
        <v>-463.86860000000001</v>
      </c>
      <c r="K1745">
        <v>1.1120379999999901</v>
      </c>
      <c r="L1745">
        <v>283.71809999999999</v>
      </c>
      <c r="M1745">
        <v>-0.99936080000000005</v>
      </c>
      <c r="N1745">
        <v>0</v>
      </c>
      <c r="O1745">
        <v>-2.3621570000000001E-2</v>
      </c>
      <c r="P1745">
        <v>-0.99141109999999899</v>
      </c>
      <c r="Q1745">
        <v>5.7487320000000001E-2</v>
      </c>
      <c r="R1745">
        <v>-0.117471399999999</v>
      </c>
      <c r="S1745">
        <v>-2.9621279999999999</v>
      </c>
      <c r="T1745">
        <v>-0.2149875</v>
      </c>
      <c r="U1745">
        <v>-0.65560909999999994</v>
      </c>
      <c r="V1745">
        <v>-9.4096410000000005E-2</v>
      </c>
      <c r="W1745">
        <v>8.4043259999999995E-2</v>
      </c>
      <c r="X1745">
        <v>0.99200940000000004</v>
      </c>
      <c r="Y1745">
        <v>-0.19254560000000001</v>
      </c>
      <c r="Z1745">
        <v>-5.2038900000000001E-3</v>
      </c>
      <c r="AA1745">
        <v>0.98127419999999999</v>
      </c>
      <c r="AB1745">
        <v>49</v>
      </c>
      <c r="AC1745">
        <v>-14.840499999999899</v>
      </c>
      <c r="AD1745">
        <v>-1.1120356219730001</v>
      </c>
      <c r="AE1745">
        <v>-3.37919999999996</v>
      </c>
      <c r="AF1745">
        <v>-3.0114985417861502</v>
      </c>
      <c r="AG1745">
        <v>-1.1120356219730001</v>
      </c>
      <c r="AH1745">
        <v>14.837005312508101</v>
      </c>
      <c r="AI1745">
        <v>94.200966902929196</v>
      </c>
      <c r="AJ1745">
        <v>101.473579255809</v>
      </c>
      <c r="AK1745">
        <v>15.180331792655601</v>
      </c>
    </row>
    <row r="1746" spans="1:37" x14ac:dyDescent="0.2">
      <c r="A1746" t="str">
        <f>"20200111154059524"</f>
        <v>20200111154059524</v>
      </c>
      <c r="B1746" t="str">
        <f>"1578728459518193"</f>
        <v>1578728459518193</v>
      </c>
      <c r="C1746" t="s">
        <v>37</v>
      </c>
      <c r="D1746">
        <v>4.8501449999999897</v>
      </c>
      <c r="E1746">
        <v>0.45864899999999997</v>
      </c>
      <c r="F1746" t="s">
        <v>43</v>
      </c>
      <c r="G1746">
        <v>-478.88080000000002</v>
      </c>
      <c r="H1746" s="1">
        <v>2.3012789999999999E-6</v>
      </c>
      <c r="I1746">
        <v>280.33190000000002</v>
      </c>
      <c r="J1746">
        <v>-464.36590000000001</v>
      </c>
      <c r="K1746">
        <v>1.1122239999999901</v>
      </c>
      <c r="L1746">
        <v>283.70569999999998</v>
      </c>
      <c r="M1746">
        <v>-0.99934730000000005</v>
      </c>
      <c r="N1746">
        <v>0</v>
      </c>
      <c r="O1746">
        <v>-2.4455109999999999E-2</v>
      </c>
      <c r="P1746">
        <v>-0.99099459999999995</v>
      </c>
      <c r="Q1746">
        <v>5.7790979999999999E-2</v>
      </c>
      <c r="R1746">
        <v>-0.12078999999999999</v>
      </c>
      <c r="S1746">
        <v>-2.9595639999999999</v>
      </c>
      <c r="T1746">
        <v>-0.21923049999999999</v>
      </c>
      <c r="U1746">
        <v>-0.66757200000000005</v>
      </c>
      <c r="V1746">
        <v>-9.6638130000000003E-2</v>
      </c>
      <c r="W1746">
        <v>8.4046590000000004E-2</v>
      </c>
      <c r="X1746">
        <v>0.99176469999999906</v>
      </c>
      <c r="Y1746">
        <v>-0.19566029999999901</v>
      </c>
      <c r="Z1746">
        <v>-5.3614869999999999E-3</v>
      </c>
      <c r="AA1746">
        <v>0.98065709999999995</v>
      </c>
      <c r="AB1746">
        <v>48</v>
      </c>
      <c r="AC1746">
        <v>-14.514900000000001</v>
      </c>
      <c r="AD1746">
        <v>-1.1122216987209901</v>
      </c>
      <c r="AE1746">
        <v>-3.3737999999999602</v>
      </c>
      <c r="AF1746">
        <v>-3.0009839550484898</v>
      </c>
      <c r="AG1746">
        <v>-1.1122216987209901</v>
      </c>
      <c r="AH1746">
        <v>14.5122496605835</v>
      </c>
      <c r="AI1746">
        <v>94.292133335782495</v>
      </c>
      <c r="AJ1746">
        <v>101.68349896919101</v>
      </c>
      <c r="AK1746">
        <v>14.860966725508501</v>
      </c>
    </row>
    <row r="1747" spans="1:37" x14ac:dyDescent="0.2">
      <c r="A1747" t="str">
        <f>"20200111154059546"</f>
        <v>20200111154059546</v>
      </c>
      <c r="B1747" t="str">
        <f>"1578728459537714"</f>
        <v>1578728459537714</v>
      </c>
      <c r="C1747" t="s">
        <v>37</v>
      </c>
      <c r="D1747">
        <v>4.8139459999999996</v>
      </c>
      <c r="E1747">
        <v>0.45841290000000001</v>
      </c>
      <c r="F1747" t="s">
        <v>43</v>
      </c>
      <c r="G1747">
        <v>-479.3295</v>
      </c>
      <c r="H1747" s="1">
        <v>2.0963289999999999E-6</v>
      </c>
      <c r="I1747">
        <v>280.26350000000002</v>
      </c>
      <c r="J1747">
        <v>-464.84059999999999</v>
      </c>
      <c r="K1747">
        <v>1.1124769999999999</v>
      </c>
      <c r="L1747">
        <v>283.69310000000002</v>
      </c>
      <c r="M1747">
        <v>-0.99932480000000001</v>
      </c>
      <c r="N1747">
        <v>0</v>
      </c>
      <c r="O1747">
        <v>-2.5616670000000001E-2</v>
      </c>
      <c r="P1747">
        <v>-0.99049200000000004</v>
      </c>
      <c r="Q1747">
        <v>5.9262509999999997E-2</v>
      </c>
      <c r="R1747">
        <v>-0.1241515</v>
      </c>
      <c r="S1747">
        <v>-2.9571839999999998</v>
      </c>
      <c r="T1747">
        <v>-0.2198032</v>
      </c>
      <c r="U1747">
        <v>-0.68026730000000002</v>
      </c>
      <c r="V1747">
        <v>-9.8914740000000001E-2</v>
      </c>
      <c r="W1747">
        <v>8.5191180000000005E-2</v>
      </c>
      <c r="X1747">
        <v>0.99144259999999995</v>
      </c>
      <c r="Y1747">
        <v>-0.198684</v>
      </c>
      <c r="Z1747">
        <v>-5.4029539999999997E-3</v>
      </c>
      <c r="AA1747">
        <v>0.980048699999999</v>
      </c>
      <c r="AB1747">
        <v>48</v>
      </c>
      <c r="AC1747">
        <v>-14.488899999999999</v>
      </c>
      <c r="AD1747">
        <v>-1.112474903671</v>
      </c>
      <c r="AE1747">
        <v>-3.42959999999999</v>
      </c>
      <c r="AF1747">
        <v>-3.0402153873688098</v>
      </c>
      <c r="AG1747">
        <v>-1.112474903671</v>
      </c>
      <c r="AH1747">
        <v>14.491129793121701</v>
      </c>
      <c r="AI1747">
        <v>94.296768450332905</v>
      </c>
      <c r="AJ1747">
        <v>101.848713987238</v>
      </c>
      <c r="AK1747">
        <v>14.848345116341701</v>
      </c>
    </row>
    <row r="1748" spans="1:37" x14ac:dyDescent="0.2">
      <c r="A1748" t="str">
        <f>"20200111154059567"</f>
        <v>20200111154059567</v>
      </c>
      <c r="B1748" t="str">
        <f>"1578728459558210"</f>
        <v>1578728459558210</v>
      </c>
      <c r="C1748" t="s">
        <v>37</v>
      </c>
      <c r="D1748">
        <v>4.8011010000000001</v>
      </c>
      <c r="E1748">
        <v>0.45821279999999998</v>
      </c>
      <c r="F1748" t="s">
        <v>43</v>
      </c>
      <c r="G1748">
        <v>-480.1123</v>
      </c>
      <c r="H1748" s="1">
        <v>1.8318679999999999E-6</v>
      </c>
      <c r="I1748">
        <v>280.11180000000002</v>
      </c>
      <c r="J1748">
        <v>-465.30180000000001</v>
      </c>
      <c r="K1748">
        <v>1.112768</v>
      </c>
      <c r="L1748">
        <v>283.68</v>
      </c>
      <c r="M1748">
        <v>-0.99929310000000005</v>
      </c>
      <c r="N1748">
        <v>0</v>
      </c>
      <c r="O1748">
        <v>-2.7058229999999999E-2</v>
      </c>
      <c r="P1748">
        <v>-0.98994119999999997</v>
      </c>
      <c r="Q1748">
        <v>6.0868579999999999E-2</v>
      </c>
      <c r="R1748">
        <v>-0.12771730000000001</v>
      </c>
      <c r="S1748">
        <v>-2.954895</v>
      </c>
      <c r="T1748">
        <v>-0.21525169999999999</v>
      </c>
      <c r="U1748">
        <v>-0.69293209999999905</v>
      </c>
      <c r="V1748">
        <v>-0.1011276</v>
      </c>
      <c r="W1748">
        <v>8.6471969999999995E-2</v>
      </c>
      <c r="X1748">
        <v>0.9911084</v>
      </c>
      <c r="Y1748">
        <v>-0.20143610000000001</v>
      </c>
      <c r="Z1748">
        <v>-5.2883050000000001E-3</v>
      </c>
      <c r="AA1748">
        <v>0.97948740000000001</v>
      </c>
      <c r="AB1748">
        <v>48</v>
      </c>
      <c r="AC1748">
        <v>-14.8104999999999</v>
      </c>
      <c r="AD1748">
        <v>-1.112766168132</v>
      </c>
      <c r="AE1748">
        <v>-3.5681999999999898</v>
      </c>
      <c r="AF1748">
        <v>-3.1492079847088301</v>
      </c>
      <c r="AG1748">
        <v>-1.112766168132</v>
      </c>
      <c r="AH1748">
        <v>14.8225717388819</v>
      </c>
      <c r="AI1748">
        <v>94.199881719055398</v>
      </c>
      <c r="AJ1748">
        <v>101.994722725804</v>
      </c>
      <c r="AK1748">
        <v>15.1942223371318</v>
      </c>
    </row>
    <row r="1749" spans="1:37" x14ac:dyDescent="0.2">
      <c r="A1749" t="str">
        <f>"20200111154059590"</f>
        <v>20200111154059590</v>
      </c>
      <c r="B1749" t="str">
        <f>"1578728459587490"</f>
        <v>1578728459587490</v>
      </c>
      <c r="C1749" t="s">
        <v>37</v>
      </c>
      <c r="D1749">
        <v>4.815931</v>
      </c>
      <c r="E1749">
        <v>0.45800099999999999</v>
      </c>
      <c r="F1749" t="s">
        <v>43</v>
      </c>
      <c r="G1749">
        <v>-480.88229999999999</v>
      </c>
      <c r="H1749" s="1">
        <v>1.9549410000000002E-6</v>
      </c>
      <c r="I1749">
        <v>279.9572</v>
      </c>
      <c r="J1749">
        <v>-465.7826</v>
      </c>
      <c r="K1749">
        <v>1.1131</v>
      </c>
      <c r="L1749">
        <v>283.6653</v>
      </c>
      <c r="M1749">
        <v>-0.99924590000000002</v>
      </c>
      <c r="N1749">
        <v>0</v>
      </c>
      <c r="O1749">
        <v>-2.8957650000000001E-2</v>
      </c>
      <c r="P1749">
        <v>-0.98942319999999995</v>
      </c>
      <c r="Q1749">
        <v>6.0258680000000002E-2</v>
      </c>
      <c r="R1749">
        <v>-0.1319485</v>
      </c>
      <c r="S1749">
        <v>-2.952423</v>
      </c>
      <c r="T1749">
        <v>-0.2108642</v>
      </c>
      <c r="U1749">
        <v>-0.70544430000000002</v>
      </c>
      <c r="V1749">
        <v>-0.10355499999999999</v>
      </c>
      <c r="W1749">
        <v>8.5525630000000005E-2</v>
      </c>
      <c r="X1749">
        <v>0.99093980000000004</v>
      </c>
      <c r="Y1749">
        <v>-0.20370350000000001</v>
      </c>
      <c r="Z1749">
        <v>-5.1288929999999998E-3</v>
      </c>
      <c r="AA1749">
        <v>0.97901919999999898</v>
      </c>
      <c r="AB1749">
        <v>48</v>
      </c>
      <c r="AC1749">
        <v>-15.099699999999901</v>
      </c>
      <c r="AD1749">
        <v>-1.113098045059</v>
      </c>
      <c r="AE1749">
        <v>-3.7081</v>
      </c>
      <c r="AF1749">
        <v>-3.25247662017546</v>
      </c>
      <c r="AG1749">
        <v>-1.113098045059</v>
      </c>
      <c r="AH1749">
        <v>15.123269729571801</v>
      </c>
      <c r="AI1749">
        <v>94.115704496525694</v>
      </c>
      <c r="AJ1749">
        <v>102.137405821402</v>
      </c>
      <c r="AK1749">
        <v>15.5090579577254</v>
      </c>
    </row>
    <row r="1750" spans="1:37" x14ac:dyDescent="0.2">
      <c r="A1750" t="str">
        <f>"20200111154059612"</f>
        <v>20200111154059612</v>
      </c>
      <c r="B1750" t="str">
        <f>"1578728459607988"</f>
        <v>1578728459607988</v>
      </c>
      <c r="C1750" t="s">
        <v>37</v>
      </c>
      <c r="D1750">
        <v>4.8614249999999997</v>
      </c>
      <c r="E1750">
        <v>0.4579104</v>
      </c>
      <c r="F1750" t="s">
        <v>43</v>
      </c>
      <c r="G1750">
        <v>-481.16480000000001</v>
      </c>
      <c r="H1750" s="1">
        <v>2.0010130000000001E-6</v>
      </c>
      <c r="I1750">
        <v>279.91109999999998</v>
      </c>
      <c r="J1750">
        <v>-466.25869999999998</v>
      </c>
      <c r="K1750">
        <v>1.1134770000000001</v>
      </c>
      <c r="L1750">
        <v>283.64940000000001</v>
      </c>
      <c r="M1750">
        <v>-0.99918090000000004</v>
      </c>
      <c r="N1750">
        <v>0</v>
      </c>
      <c r="O1750">
        <v>-3.1303940000000002E-2</v>
      </c>
      <c r="P1750">
        <v>-0.98900710000000003</v>
      </c>
      <c r="Q1750">
        <v>5.7643529999999998E-2</v>
      </c>
      <c r="R1750">
        <v>-0.13617029999999999</v>
      </c>
      <c r="S1750">
        <v>-2.9490660000000002</v>
      </c>
      <c r="T1750">
        <v>-0.21340300000000001</v>
      </c>
      <c r="U1750">
        <v>-0.71975710000000004</v>
      </c>
      <c r="V1750">
        <v>-0.1055265</v>
      </c>
      <c r="W1750">
        <v>8.2582559999999999E-2</v>
      </c>
      <c r="X1750">
        <v>0.99098149999999996</v>
      </c>
      <c r="Y1750">
        <v>-0.20613490000000001</v>
      </c>
      <c r="Z1750">
        <v>-5.1131400000000004E-3</v>
      </c>
      <c r="AA1750">
        <v>0.978510199999999</v>
      </c>
      <c r="AB1750">
        <v>47</v>
      </c>
      <c r="AC1750">
        <v>-14.9061</v>
      </c>
      <c r="AD1750">
        <v>-1.1134749989870001</v>
      </c>
      <c r="AE1750">
        <v>-3.7383000000000299</v>
      </c>
      <c r="AF1750">
        <v>-3.2526179634254602</v>
      </c>
      <c r="AG1750">
        <v>-1.1134749989870001</v>
      </c>
      <c r="AH1750">
        <v>14.9374334492631</v>
      </c>
      <c r="AI1750">
        <v>94.165829919836298</v>
      </c>
      <c r="AJ1750">
        <v>102.28436666787699</v>
      </c>
      <c r="AK1750">
        <v>15.3279570798111</v>
      </c>
    </row>
    <row r="1751" spans="1:37" x14ac:dyDescent="0.2">
      <c r="A1751" t="str">
        <f>"20200111154059635"</f>
        <v>20200111154059635</v>
      </c>
      <c r="B1751" t="str">
        <f>"1578728459627505"</f>
        <v>1578728459627505</v>
      </c>
      <c r="C1751" t="s">
        <v>37</v>
      </c>
      <c r="D1751">
        <v>4.8579160000000003</v>
      </c>
      <c r="E1751">
        <v>0.45281629999999901</v>
      </c>
      <c r="F1751" t="s">
        <v>43</v>
      </c>
      <c r="G1751">
        <v>-481.04430000000002</v>
      </c>
      <c r="H1751" s="1">
        <v>1.984607E-6</v>
      </c>
      <c r="I1751">
        <v>279.96769999999998</v>
      </c>
      <c r="J1751">
        <v>-466.72160000000002</v>
      </c>
      <c r="K1751">
        <v>1.1138999999999999</v>
      </c>
      <c r="L1751">
        <v>283.63260000000002</v>
      </c>
      <c r="M1751">
        <v>-0.99909509999999901</v>
      </c>
      <c r="N1751">
        <v>0</v>
      </c>
      <c r="O1751">
        <v>-3.4080180000000002E-2</v>
      </c>
      <c r="P1751">
        <v>-0.98857329999999999</v>
      </c>
      <c r="Q1751">
        <v>5.4340430000000002E-2</v>
      </c>
      <c r="R1751">
        <v>-0.1406068</v>
      </c>
      <c r="S1751">
        <v>-2.9453130000000001</v>
      </c>
      <c r="T1751">
        <v>-0.22180459999999999</v>
      </c>
      <c r="U1751">
        <v>-0.73339840000000001</v>
      </c>
      <c r="V1751">
        <v>-0.10728550000000001</v>
      </c>
      <c r="W1751">
        <v>7.8964259999999994E-2</v>
      </c>
      <c r="X1751">
        <v>0.99108750000000001</v>
      </c>
      <c r="Y1751">
        <v>-0.20794290000000001</v>
      </c>
      <c r="Z1751">
        <v>-5.1793739999999996E-3</v>
      </c>
      <c r="AA1751">
        <v>0.97812719999999898</v>
      </c>
      <c r="AB1751">
        <v>47</v>
      </c>
      <c r="AC1751">
        <v>-14.3226999999999</v>
      </c>
      <c r="AD1751">
        <v>-1.11389801539299</v>
      </c>
      <c r="AE1751">
        <v>-3.6649000000000398</v>
      </c>
      <c r="AF1751">
        <v>-3.1565723876706002</v>
      </c>
      <c r="AG1751">
        <v>-1.11389801539299</v>
      </c>
      <c r="AH1751">
        <v>14.3578101458872</v>
      </c>
      <c r="AI1751">
        <v>94.333121633408894</v>
      </c>
      <c r="AJ1751">
        <v>102.399250460925</v>
      </c>
      <c r="AK1751">
        <v>14.742843355765601</v>
      </c>
    </row>
    <row r="1752" spans="1:37" x14ac:dyDescent="0.2">
      <c r="A1752" t="str">
        <f>"20200111154059656"</f>
        <v>20200111154059656</v>
      </c>
      <c r="B1752" t="str">
        <f>"1578728459648002"</f>
        <v>1578728459648002</v>
      </c>
      <c r="C1752" t="s">
        <v>37</v>
      </c>
      <c r="D1752">
        <v>4.8418409999999996</v>
      </c>
      <c r="E1752">
        <v>0.45243919999999999</v>
      </c>
      <c r="F1752" t="s">
        <v>43</v>
      </c>
      <c r="G1752">
        <v>-478.31240000000003</v>
      </c>
      <c r="H1752" s="1">
        <v>2.5705900000000002E-6</v>
      </c>
      <c r="I1752">
        <v>280.529</v>
      </c>
      <c r="J1752">
        <v>-467.17250000000001</v>
      </c>
      <c r="K1752">
        <v>1.1143609999999999</v>
      </c>
      <c r="L1752">
        <v>283.6146</v>
      </c>
      <c r="M1752">
        <v>-0.99898509999999996</v>
      </c>
      <c r="N1752">
        <v>0</v>
      </c>
      <c r="O1752">
        <v>-3.7285529999999997E-2</v>
      </c>
      <c r="P1752">
        <v>-0.98806349999999998</v>
      </c>
      <c r="Q1752">
        <v>5.1140619999999998E-2</v>
      </c>
      <c r="R1752">
        <v>-0.145311</v>
      </c>
      <c r="S1752">
        <v>-2.9382929999999998</v>
      </c>
      <c r="T1752">
        <v>-0.28237629999999903</v>
      </c>
      <c r="U1752">
        <v>-0.78677369999999902</v>
      </c>
      <c r="V1752">
        <v>-0.10888920000000001</v>
      </c>
      <c r="W1752">
        <v>7.5454279999999999E-2</v>
      </c>
      <c r="X1752">
        <v>0.99118609999999896</v>
      </c>
      <c r="Y1752">
        <v>-0.22165460000000001</v>
      </c>
      <c r="Z1752">
        <v>-6.9338139999999999E-3</v>
      </c>
      <c r="AA1752">
        <v>0.97510059999999998</v>
      </c>
      <c r="AB1752">
        <v>47</v>
      </c>
      <c r="AC1752">
        <v>-11.139900000000001</v>
      </c>
      <c r="AD1752">
        <v>-1.11435842941</v>
      </c>
      <c r="AE1752">
        <v>-3.0855999999999901</v>
      </c>
      <c r="AF1752">
        <v>-2.64339664645563</v>
      </c>
      <c r="AG1752">
        <v>-1.11435842941</v>
      </c>
      <c r="AH1752">
        <v>11.143669155674401</v>
      </c>
      <c r="AI1752">
        <v>95.557342511448397</v>
      </c>
      <c r="AJ1752">
        <v>103.344522352971</v>
      </c>
      <c r="AK1752">
        <v>11.5069849565739</v>
      </c>
    </row>
    <row r="1753" spans="1:37" x14ac:dyDescent="0.2">
      <c r="A1753" t="str">
        <f>"20200111154059679"</f>
        <v>20200111154059679</v>
      </c>
      <c r="B1753" t="str">
        <f>"1578728459667521"</f>
        <v>1578728459667521</v>
      </c>
      <c r="C1753" t="s">
        <v>37</v>
      </c>
      <c r="D1753">
        <v>4.8282389999999999</v>
      </c>
      <c r="E1753">
        <v>0.45275070000000001</v>
      </c>
      <c r="F1753" t="s">
        <v>43</v>
      </c>
      <c r="G1753">
        <v>-478.54239999999999</v>
      </c>
      <c r="H1753" s="1">
        <v>2.4657590000000001E-6</v>
      </c>
      <c r="I1753">
        <v>280.49680000000001</v>
      </c>
      <c r="J1753">
        <v>-467.63380000000001</v>
      </c>
      <c r="K1753">
        <v>1.1148739999999999</v>
      </c>
      <c r="L1753">
        <v>283.5942</v>
      </c>
      <c r="M1753">
        <v>-0.99883999999999995</v>
      </c>
      <c r="N1753">
        <v>0</v>
      </c>
      <c r="O1753">
        <v>-4.1095529999999998E-2</v>
      </c>
      <c r="P1753">
        <v>-0.98737889999999995</v>
      </c>
      <c r="Q1753">
        <v>4.8410729999999999E-2</v>
      </c>
      <c r="R1753">
        <v>-0.1507966</v>
      </c>
      <c r="S1753">
        <v>-2.9328609999999999</v>
      </c>
      <c r="T1753">
        <v>-0.28744730000000002</v>
      </c>
      <c r="U1753">
        <v>-0.80422969999999905</v>
      </c>
      <c r="V1753">
        <v>-0.1106856</v>
      </c>
      <c r="W1753">
        <v>7.2394719999999996E-2</v>
      </c>
      <c r="X1753">
        <v>0.99121530000000002</v>
      </c>
      <c r="Y1753">
        <v>-0.22377059999999999</v>
      </c>
      <c r="Z1753">
        <v>-6.8019140000000001E-3</v>
      </c>
      <c r="AA1753">
        <v>0.97461810000000004</v>
      </c>
      <c r="AB1753">
        <v>47</v>
      </c>
      <c r="AC1753">
        <v>-10.9085999999999</v>
      </c>
      <c r="AD1753">
        <v>-1.1148715342409901</v>
      </c>
      <c r="AE1753">
        <v>-3.0973999999999902</v>
      </c>
      <c r="AF1753">
        <v>-2.62101163677226</v>
      </c>
      <c r="AG1753">
        <v>-1.1148715342409901</v>
      </c>
      <c r="AH1753">
        <v>10.921146673368501</v>
      </c>
      <c r="AI1753">
        <v>95.668898462189802</v>
      </c>
      <c r="AJ1753">
        <v>103.49541796156601</v>
      </c>
      <c r="AK1753">
        <v>11.286455829851301</v>
      </c>
    </row>
    <row r="1754" spans="1:37" x14ac:dyDescent="0.2">
      <c r="A1754" t="str">
        <f>"20200111154059701"</f>
        <v>20200111154059701</v>
      </c>
      <c r="B1754" t="str">
        <f>"1578728459697777"</f>
        <v>1578728459697777</v>
      </c>
      <c r="C1754" t="s">
        <v>37</v>
      </c>
      <c r="D1754">
        <v>4.8739800000000004</v>
      </c>
      <c r="E1754">
        <v>0.45239020000000002</v>
      </c>
      <c r="F1754" t="s">
        <v>43</v>
      </c>
      <c r="G1754">
        <v>-478.74079999999998</v>
      </c>
      <c r="H1754" s="1">
        <v>2.377298E-6</v>
      </c>
      <c r="I1754">
        <v>280.49099999999999</v>
      </c>
      <c r="J1754">
        <v>-468.10160000000002</v>
      </c>
      <c r="K1754">
        <v>1.1154299999999999</v>
      </c>
      <c r="L1754">
        <v>283.57130000000001</v>
      </c>
      <c r="M1754">
        <v>-0.99865249999999905</v>
      </c>
      <c r="N1754">
        <v>0</v>
      </c>
      <c r="O1754">
        <v>-4.5522020000000003E-2</v>
      </c>
      <c r="P1754">
        <v>-0.98649979999999904</v>
      </c>
      <c r="Q1754">
        <v>4.7757609999999999E-2</v>
      </c>
      <c r="R1754">
        <v>-0.15664420000000001</v>
      </c>
      <c r="S1754">
        <v>-2.927826</v>
      </c>
      <c r="T1754">
        <v>-0.29388300000000001</v>
      </c>
      <c r="U1754">
        <v>-0.81802369999999902</v>
      </c>
      <c r="V1754">
        <v>-0.1122585</v>
      </c>
      <c r="W1754">
        <v>7.1394040000000006E-2</v>
      </c>
      <c r="X1754">
        <v>0.99111090000000002</v>
      </c>
      <c r="Y1754">
        <v>-0.22412499999999999</v>
      </c>
      <c r="Z1754">
        <v>-6.5447509999999997E-3</v>
      </c>
      <c r="AA1754">
        <v>0.97453840000000003</v>
      </c>
      <c r="AB1754">
        <v>47</v>
      </c>
      <c r="AC1754">
        <v>-10.639199999999899</v>
      </c>
      <c r="AD1754">
        <v>-1.1154276227019999</v>
      </c>
      <c r="AE1754">
        <v>-3.0803000000000198</v>
      </c>
      <c r="AF1754">
        <v>-2.56660698931202</v>
      </c>
      <c r="AG1754">
        <v>-1.1154276227019999</v>
      </c>
      <c r="AH1754">
        <v>10.660316324286001</v>
      </c>
      <c r="AI1754">
        <v>95.808534019965094</v>
      </c>
      <c r="AJ1754">
        <v>103.537047888909</v>
      </c>
      <c r="AK1754">
        <v>11.0215241392881</v>
      </c>
    </row>
    <row r="1755" spans="1:37" x14ac:dyDescent="0.2">
      <c r="A1755" t="str">
        <f>"20200111154059725"</f>
        <v>20200111154059725</v>
      </c>
      <c r="B1755" t="str">
        <f>"1578728459718274"</f>
        <v>1578728459718274</v>
      </c>
      <c r="C1755" t="s">
        <v>37</v>
      </c>
      <c r="D1755">
        <v>4.8118049999999997</v>
      </c>
      <c r="E1755">
        <v>0.45211269999999998</v>
      </c>
      <c r="F1755" t="s">
        <v>43</v>
      </c>
      <c r="G1755">
        <v>-479.20679999999999</v>
      </c>
      <c r="H1755" s="1">
        <v>2.1614779999999998E-6</v>
      </c>
      <c r="I1755">
        <v>280.38619999999997</v>
      </c>
      <c r="J1755">
        <v>-468.57080000000002</v>
      </c>
      <c r="K1755">
        <v>1.116012</v>
      </c>
      <c r="L1755">
        <v>283.54559999999998</v>
      </c>
      <c r="M1755">
        <v>-0.99841369999999896</v>
      </c>
      <c r="N1755">
        <v>0</v>
      </c>
      <c r="O1755">
        <v>-5.0573960000000001E-2</v>
      </c>
      <c r="P1755">
        <v>-0.98538110000000001</v>
      </c>
      <c r="Q1755">
        <v>4.9481949999999997E-2</v>
      </c>
      <c r="R1755">
        <v>-0.163021</v>
      </c>
      <c r="S1755">
        <v>-2.9221189999999999</v>
      </c>
      <c r="T1755">
        <v>-0.29350379999999998</v>
      </c>
      <c r="U1755">
        <v>-0.83810419999999997</v>
      </c>
      <c r="V1755">
        <v>-0.1137792</v>
      </c>
      <c r="W1755">
        <v>7.2769459999999994E-2</v>
      </c>
      <c r="X1755">
        <v>0.99083750000000004</v>
      </c>
      <c r="Y1755">
        <v>-0.22590389999999899</v>
      </c>
      <c r="Z1755">
        <v>-6.1358949999999997E-3</v>
      </c>
      <c r="AA1755">
        <v>0.9741303</v>
      </c>
      <c r="AB1755">
        <v>46</v>
      </c>
      <c r="AC1755">
        <v>-10.6359999999999</v>
      </c>
      <c r="AD1755">
        <v>-1.1160098385220001</v>
      </c>
      <c r="AE1755">
        <v>-3.1594000000000002</v>
      </c>
      <c r="AF1755">
        <v>-2.5910709792687898</v>
      </c>
      <c r="AG1755">
        <v>-1.1160098385220001</v>
      </c>
      <c r="AH1755">
        <v>10.674221185447699</v>
      </c>
      <c r="AI1755">
        <v>95.801422401325198</v>
      </c>
      <c r="AJ1755">
        <v>103.644134354682</v>
      </c>
      <c r="AK1755">
        <v>11.040748375683</v>
      </c>
    </row>
    <row r="1756" spans="1:37" x14ac:dyDescent="0.2">
      <c r="A1756" t="str">
        <f>"20200111154059746"</f>
        <v>20200111154059746</v>
      </c>
      <c r="B1756" t="str">
        <f>"1578728459737794"</f>
        <v>1578728459737794</v>
      </c>
      <c r="C1756" t="s">
        <v>37</v>
      </c>
      <c r="D1756">
        <v>4.8413430000000002</v>
      </c>
      <c r="E1756">
        <v>0.45190069999999999</v>
      </c>
      <c r="F1756" t="s">
        <v>43</v>
      </c>
      <c r="G1756">
        <v>-479.94220000000001</v>
      </c>
      <c r="H1756" s="1">
        <v>1.8186729999999999E-6</v>
      </c>
      <c r="I1756">
        <v>280.19540000000001</v>
      </c>
      <c r="J1756">
        <v>-469.0145</v>
      </c>
      <c r="K1756">
        <v>1.1165719999999999</v>
      </c>
      <c r="L1756">
        <v>283.51870000000002</v>
      </c>
      <c r="M1756">
        <v>-0.99813339999999995</v>
      </c>
      <c r="N1756">
        <v>0</v>
      </c>
      <c r="O1756">
        <v>-5.589235E-2</v>
      </c>
      <c r="P1756">
        <v>-0.98403639999999903</v>
      </c>
      <c r="Q1756">
        <v>5.3518629999999998E-2</v>
      </c>
      <c r="R1756">
        <v>-0.16972979999999999</v>
      </c>
      <c r="S1756">
        <v>-2.916687</v>
      </c>
      <c r="T1756">
        <v>-0.28624949999999999</v>
      </c>
      <c r="U1756">
        <v>-0.85931399999999902</v>
      </c>
      <c r="V1756">
        <v>-0.115409</v>
      </c>
      <c r="W1756">
        <v>7.6482229999999998E-2</v>
      </c>
      <c r="X1756">
        <v>0.99036930000000001</v>
      </c>
      <c r="Y1756">
        <v>-0.2277805</v>
      </c>
      <c r="Z1756">
        <v>-5.5722660000000002E-3</v>
      </c>
      <c r="AA1756">
        <v>0.97369660000000002</v>
      </c>
      <c r="AB1756">
        <v>46</v>
      </c>
      <c r="AC1756">
        <v>-10.9277</v>
      </c>
      <c r="AD1756">
        <v>-1.1165701813269999</v>
      </c>
      <c r="AE1756">
        <v>-3.3233000000000099</v>
      </c>
      <c r="AF1756">
        <v>-2.6815160921849901</v>
      </c>
      <c r="AG1756">
        <v>-1.1165701813269999</v>
      </c>
      <c r="AH1756">
        <v>10.9913719193103</v>
      </c>
      <c r="AI1756">
        <v>95.636353795259296</v>
      </c>
      <c r="AJ1756">
        <v>103.710373898897</v>
      </c>
      <c r="AK1756">
        <v>11.368707674625099</v>
      </c>
    </row>
    <row r="1757" spans="1:37" x14ac:dyDescent="0.2">
      <c r="A1757" t="str">
        <f>"20200111154059769"</f>
        <v>20200111154059769</v>
      </c>
      <c r="B1757" t="str">
        <f>"1578728459758289"</f>
        <v>1578728459758289</v>
      </c>
      <c r="C1757" t="s">
        <v>37</v>
      </c>
      <c r="D1757">
        <v>4.8364390000000004</v>
      </c>
      <c r="E1757">
        <v>0.45178489999999999</v>
      </c>
      <c r="F1757" t="s">
        <v>43</v>
      </c>
      <c r="G1757">
        <v>-480.94290000000001</v>
      </c>
      <c r="H1757" s="1">
        <v>1.9613199999999999E-6</v>
      </c>
      <c r="I1757">
        <v>279.90719999999999</v>
      </c>
      <c r="J1757">
        <v>-469.4699</v>
      </c>
      <c r="K1757">
        <v>1.117119</v>
      </c>
      <c r="L1757">
        <v>283.48820000000001</v>
      </c>
      <c r="M1757">
        <v>-0.99778650000000002</v>
      </c>
      <c r="N1757">
        <v>0</v>
      </c>
      <c r="O1757">
        <v>-6.1832810000000002E-2</v>
      </c>
      <c r="P1757">
        <v>-0.98246309999999903</v>
      </c>
      <c r="Q1757">
        <v>5.7240779999999998E-2</v>
      </c>
      <c r="R1757">
        <v>-0.17745429999999901</v>
      </c>
      <c r="S1757">
        <v>-2.9114070000000001</v>
      </c>
      <c r="T1757">
        <v>-0.27252480000000001</v>
      </c>
      <c r="U1757">
        <v>-0.88146970000000002</v>
      </c>
      <c r="V1757">
        <v>-0.1174576</v>
      </c>
      <c r="W1757">
        <v>7.9886410000000005E-2</v>
      </c>
      <c r="X1757">
        <v>0.989859499999999</v>
      </c>
      <c r="Y1757">
        <v>-0.22935359999999999</v>
      </c>
      <c r="Z1757">
        <v>-4.8420579999999998E-3</v>
      </c>
      <c r="AA1757">
        <v>0.9733311</v>
      </c>
      <c r="AB1757">
        <v>46</v>
      </c>
      <c r="AC1757">
        <v>-11.473000000000001</v>
      </c>
      <c r="AD1757">
        <v>-1.11711703867999</v>
      </c>
      <c r="AE1757">
        <v>-3.5810000000000102</v>
      </c>
      <c r="AF1757">
        <v>-2.8399883764568599</v>
      </c>
      <c r="AG1757">
        <v>-1.11711703867999</v>
      </c>
      <c r="AH1757">
        <v>11.5725463964799</v>
      </c>
      <c r="AI1757">
        <v>95.355818819612907</v>
      </c>
      <c r="AJ1757">
        <v>103.788318447856</v>
      </c>
      <c r="AK1757">
        <v>11.968179249794</v>
      </c>
    </row>
    <row r="1758" spans="1:37" x14ac:dyDescent="0.2">
      <c r="A1758" t="str">
        <f>"20200111154059791"</f>
        <v>20200111154059791</v>
      </c>
      <c r="B1758" t="str">
        <f>"1578728459787569"</f>
        <v>1578728459787569</v>
      </c>
      <c r="C1758" t="s">
        <v>37</v>
      </c>
      <c r="D1758">
        <v>4.8411629999999999</v>
      </c>
      <c r="E1758">
        <v>0.45154460000000002</v>
      </c>
      <c r="F1758" t="s">
        <v>43</v>
      </c>
      <c r="G1758">
        <v>-481.96859999999998</v>
      </c>
      <c r="H1758" s="1">
        <v>2.1093709999999999E-6</v>
      </c>
      <c r="I1758">
        <v>279.5924</v>
      </c>
      <c r="J1758">
        <v>-469.91180000000003</v>
      </c>
      <c r="K1758">
        <v>1.1176269999999999</v>
      </c>
      <c r="L1758">
        <v>283.45580000000001</v>
      </c>
      <c r="M1758">
        <v>-0.99738499999999997</v>
      </c>
      <c r="N1758">
        <v>0</v>
      </c>
      <c r="O1758">
        <v>-6.8042839999999993E-2</v>
      </c>
      <c r="P1758">
        <v>-0.98071659999999905</v>
      </c>
      <c r="Q1758">
        <v>6.0209369999999998E-2</v>
      </c>
      <c r="R1758">
        <v>-0.18592999999999901</v>
      </c>
      <c r="S1758">
        <v>-2.90509</v>
      </c>
      <c r="T1758">
        <v>-0.25965309999999903</v>
      </c>
      <c r="U1758">
        <v>-0.90551759999999903</v>
      </c>
      <c r="V1758">
        <v>-0.119996399999999</v>
      </c>
      <c r="W1758">
        <v>8.254881E-2</v>
      </c>
      <c r="X1758">
        <v>0.9893364</v>
      </c>
      <c r="Y1758">
        <v>-0.23131929999999901</v>
      </c>
      <c r="Z1758">
        <v>-4.1665209999999899E-3</v>
      </c>
      <c r="AA1758">
        <v>0.97286899999999998</v>
      </c>
      <c r="AB1758">
        <v>46</v>
      </c>
      <c r="AC1758">
        <v>-12.0567999999999</v>
      </c>
      <c r="AD1758">
        <v>-1.1176248906290001</v>
      </c>
      <c r="AE1758">
        <v>-3.8634000000000102</v>
      </c>
      <c r="AF1758">
        <v>-3.01036008591104</v>
      </c>
      <c r="AG1758">
        <v>-1.1176248906290001</v>
      </c>
      <c r="AH1758">
        <v>12.196751508786599</v>
      </c>
      <c r="AI1758">
        <v>95.083838003706504</v>
      </c>
      <c r="AJ1758">
        <v>103.86444616871501</v>
      </c>
      <c r="AK1758">
        <v>12.612378864040201</v>
      </c>
    </row>
    <row r="1759" spans="1:37" x14ac:dyDescent="0.2">
      <c r="A1759" t="str">
        <f>"20200111154059814"</f>
        <v>20200111154059814</v>
      </c>
      <c r="B1759" t="str">
        <f>"1578728459808065"</f>
        <v>1578728459808065</v>
      </c>
      <c r="C1759" t="s">
        <v>37</v>
      </c>
      <c r="D1759">
        <v>4.818028</v>
      </c>
      <c r="E1759">
        <v>0.4515941</v>
      </c>
      <c r="F1759" t="s">
        <v>43</v>
      </c>
      <c r="G1759">
        <v>-482.92259999999999</v>
      </c>
      <c r="H1759" s="1">
        <v>2.1633379999999999E-6</v>
      </c>
      <c r="I1759">
        <v>279.26639999999998</v>
      </c>
      <c r="J1759">
        <v>-470.38130000000001</v>
      </c>
      <c r="K1759">
        <v>1.118158</v>
      </c>
      <c r="L1759">
        <v>283.41789999999997</v>
      </c>
      <c r="M1759">
        <v>-0.9968785</v>
      </c>
      <c r="N1759">
        <v>0</v>
      </c>
      <c r="O1759">
        <v>-7.5134980000000004E-2</v>
      </c>
      <c r="P1759">
        <v>-0.97876039999999997</v>
      </c>
      <c r="Q1759">
        <v>6.2368109999999997E-2</v>
      </c>
      <c r="R1759">
        <v>-0.19529050000000001</v>
      </c>
      <c r="S1759">
        <v>-2.8974000000000002</v>
      </c>
      <c r="T1759">
        <v>-0.24888629999999901</v>
      </c>
      <c r="U1759">
        <v>-0.93295289999999997</v>
      </c>
      <c r="V1759">
        <v>-0.12256359999999999</v>
      </c>
      <c r="W1759">
        <v>8.4394869999999997E-2</v>
      </c>
      <c r="X1759">
        <v>0.98886589999999996</v>
      </c>
      <c r="Y1759">
        <v>-0.23356660000000001</v>
      </c>
      <c r="Z1759">
        <v>-3.5044329999999999E-3</v>
      </c>
      <c r="AA1759">
        <v>0.97233449999999899</v>
      </c>
      <c r="AB1759">
        <v>46</v>
      </c>
      <c r="AC1759">
        <v>-12.5412999999999</v>
      </c>
      <c r="AD1759">
        <v>-1.1181558366619999</v>
      </c>
      <c r="AE1759">
        <v>-4.1514999999999898</v>
      </c>
      <c r="AF1759">
        <v>-3.1744488014668999</v>
      </c>
      <c r="AG1759">
        <v>-1.1181558366619999</v>
      </c>
      <c r="AH1759">
        <v>12.726669030996501</v>
      </c>
      <c r="AI1759">
        <v>94.872534526971194</v>
      </c>
      <c r="AJ1759">
        <v>104.00565334681799</v>
      </c>
      <c r="AK1759">
        <v>13.1641749567803</v>
      </c>
    </row>
    <row r="1760" spans="1:37" x14ac:dyDescent="0.2">
      <c r="A1760" t="str">
        <f>"20200111154059837"</f>
        <v>20200111154059837</v>
      </c>
      <c r="B1760" t="str">
        <f>"1578728459827585"</f>
        <v>1578728459827585</v>
      </c>
      <c r="C1760" t="s">
        <v>37</v>
      </c>
      <c r="D1760">
        <v>4.8089899999999997</v>
      </c>
      <c r="E1760">
        <v>0.45143050000000001</v>
      </c>
      <c r="F1760" t="s">
        <v>43</v>
      </c>
      <c r="G1760">
        <v>-483.65809999999999</v>
      </c>
      <c r="H1760" s="1">
        <v>2.202022E-6</v>
      </c>
      <c r="I1760">
        <v>279.00670000000002</v>
      </c>
      <c r="J1760">
        <v>-470.82479999999998</v>
      </c>
      <c r="K1760">
        <v>1.1186510000000001</v>
      </c>
      <c r="L1760">
        <v>283.37889999999999</v>
      </c>
      <c r="M1760">
        <v>-0.99631360000000002</v>
      </c>
      <c r="N1760">
        <v>0</v>
      </c>
      <c r="O1760">
        <v>-8.2314849999999995E-2</v>
      </c>
      <c r="P1760">
        <v>-0.97680499999999904</v>
      </c>
      <c r="Q1760">
        <v>6.299312E-2</v>
      </c>
      <c r="R1760">
        <v>-0.20465549999999999</v>
      </c>
      <c r="S1760">
        <v>-2.8890689999999899</v>
      </c>
      <c r="T1760">
        <v>-0.2433149</v>
      </c>
      <c r="U1760">
        <v>-0.95989990000000003</v>
      </c>
      <c r="V1760">
        <v>-0.12502859999999999</v>
      </c>
      <c r="W1760">
        <v>8.4727460000000004E-2</v>
      </c>
      <c r="X1760">
        <v>0.98852879999999999</v>
      </c>
      <c r="Y1760">
        <v>-0.23560909999999999</v>
      </c>
      <c r="Z1760">
        <v>-2.9319709999999998E-3</v>
      </c>
      <c r="AA1760">
        <v>0.97184349999999997</v>
      </c>
      <c r="AB1760">
        <v>45</v>
      </c>
      <c r="AC1760">
        <v>-12.833299999999999</v>
      </c>
      <c r="AD1760">
        <v>-1.118648797978</v>
      </c>
      <c r="AE1760">
        <v>-4.3721999999999603</v>
      </c>
      <c r="AF1760">
        <v>-3.2783552135012402</v>
      </c>
      <c r="AG1760">
        <v>-1.118648797978</v>
      </c>
      <c r="AH1760">
        <v>13.060807271118801</v>
      </c>
      <c r="AI1760">
        <v>94.7487877657219</v>
      </c>
      <c r="AJ1760">
        <v>104.090538304433</v>
      </c>
      <c r="AK1760">
        <v>13.512352667556399</v>
      </c>
    </row>
    <row r="1761" spans="1:37" x14ac:dyDescent="0.2">
      <c r="A1761" t="str">
        <f>"20200111154059858"</f>
        <v>20200111154059858</v>
      </c>
      <c r="B1761" t="str">
        <f>"1578728459848082"</f>
        <v>1578728459848082</v>
      </c>
      <c r="C1761" t="s">
        <v>37</v>
      </c>
      <c r="D1761">
        <v>4.8408530000000001</v>
      </c>
      <c r="E1761">
        <v>0.45130490000000001</v>
      </c>
      <c r="F1761" t="s">
        <v>43</v>
      </c>
      <c r="G1761">
        <v>-484.21120000000002</v>
      </c>
      <c r="H1761" s="1">
        <v>2.2204899999999999E-6</v>
      </c>
      <c r="I1761">
        <v>278.78140000000002</v>
      </c>
      <c r="J1761">
        <v>-471.25310000000002</v>
      </c>
      <c r="K1761">
        <v>1.1191260000000001</v>
      </c>
      <c r="L1761">
        <v>283.33780000000002</v>
      </c>
      <c r="M1761">
        <v>-0.99567629999999996</v>
      </c>
      <c r="N1761">
        <v>0</v>
      </c>
      <c r="O1761">
        <v>-8.9718999999999993E-2</v>
      </c>
      <c r="P1761">
        <v>-0.97498479999999998</v>
      </c>
      <c r="Q1761">
        <v>6.1756579999999998E-2</v>
      </c>
      <c r="R1761">
        <v>-0.213519299999999</v>
      </c>
      <c r="S1761">
        <v>-2.8795169999999999</v>
      </c>
      <c r="T1761">
        <v>-0.24063009999999899</v>
      </c>
      <c r="U1761">
        <v>-0.98895259999999996</v>
      </c>
      <c r="V1761">
        <v>-0.12673199999999901</v>
      </c>
      <c r="W1761">
        <v>8.3223130000000006E-2</v>
      </c>
      <c r="X1761">
        <v>0.98843959999999997</v>
      </c>
      <c r="Y1761">
        <v>-0.23817169999999999</v>
      </c>
      <c r="Z1761">
        <v>-2.4141449999999999E-3</v>
      </c>
      <c r="AA1761">
        <v>0.97122009999999903</v>
      </c>
      <c r="AB1761">
        <v>45</v>
      </c>
      <c r="AC1761">
        <v>-12.9581</v>
      </c>
      <c r="AD1761">
        <v>-1.11912377951</v>
      </c>
      <c r="AE1761">
        <v>-4.5563999999999902</v>
      </c>
      <c r="AF1761">
        <v>-3.3528327367327799</v>
      </c>
      <c r="AG1761">
        <v>-1.11912377951</v>
      </c>
      <c r="AH1761">
        <v>13.226923140658499</v>
      </c>
      <c r="AI1761">
        <v>94.688653716627996</v>
      </c>
      <c r="AJ1761">
        <v>104.224043903745</v>
      </c>
      <c r="AK1761">
        <v>13.691070855242099</v>
      </c>
    </row>
    <row r="1762" spans="1:37" x14ac:dyDescent="0.2">
      <c r="A1762" t="str">
        <f>"20200111154059881"</f>
        <v>20200111154059881</v>
      </c>
      <c r="B1762" t="str">
        <f>"1578728459878099"</f>
        <v>1578728459878099</v>
      </c>
      <c r="C1762" t="s">
        <v>37</v>
      </c>
      <c r="D1762">
        <v>4.8612029999999997</v>
      </c>
      <c r="E1762">
        <v>0.44033939999999999</v>
      </c>
      <c r="F1762" t="s">
        <v>43</v>
      </c>
      <c r="G1762">
        <v>-484.38099999999997</v>
      </c>
      <c r="H1762" s="1">
        <v>2.2185079999999998E-6</v>
      </c>
      <c r="I1762">
        <v>278.69060000000002</v>
      </c>
      <c r="J1762">
        <v>-471.69850000000002</v>
      </c>
      <c r="K1762">
        <v>1.1196349999999999</v>
      </c>
      <c r="L1762">
        <v>283.29140000000001</v>
      </c>
      <c r="M1762">
        <v>-0.99490480000000003</v>
      </c>
      <c r="N1762">
        <v>0</v>
      </c>
      <c r="O1762">
        <v>-9.7921359999999999E-2</v>
      </c>
      <c r="P1762">
        <v>-0.97295089999999995</v>
      </c>
      <c r="Q1762">
        <v>6.091382E-2</v>
      </c>
      <c r="R1762">
        <v>-0.2228359</v>
      </c>
      <c r="S1762">
        <v>-2.8699340000000002</v>
      </c>
      <c r="T1762">
        <v>-0.24465419999999999</v>
      </c>
      <c r="U1762">
        <v>-1.01593</v>
      </c>
      <c r="V1762">
        <v>-0.12812750000000001</v>
      </c>
      <c r="W1762">
        <v>8.2113999999999895E-2</v>
      </c>
      <c r="X1762">
        <v>0.98835249999999997</v>
      </c>
      <c r="Y1762">
        <v>-0.23930760000000001</v>
      </c>
      <c r="Z1762">
        <v>-1.836114E-3</v>
      </c>
      <c r="AA1762">
        <v>0.97094210000000003</v>
      </c>
      <c r="AB1762">
        <v>45</v>
      </c>
      <c r="AC1762">
        <v>-12.6824999999999</v>
      </c>
      <c r="AD1762">
        <v>-1.119632781492</v>
      </c>
      <c r="AE1762">
        <v>-4.6007999999999898</v>
      </c>
      <c r="AF1762">
        <v>-3.3136093392474901</v>
      </c>
      <c r="AG1762">
        <v>-1.119632781492</v>
      </c>
      <c r="AH1762">
        <v>12.9827451004439</v>
      </c>
      <c r="AI1762">
        <v>94.7766115111326</v>
      </c>
      <c r="AJ1762">
        <v>104.31802118042999</v>
      </c>
      <c r="AK1762">
        <v>13.445640734514599</v>
      </c>
    </row>
    <row r="1763" spans="1:37" x14ac:dyDescent="0.2">
      <c r="A1763" t="str">
        <f>"20200111154059904"</f>
        <v>20200111154059904</v>
      </c>
      <c r="B1763" t="str">
        <f>"1578728459897618"</f>
        <v>1578728459897618</v>
      </c>
      <c r="C1763" t="s">
        <v>37</v>
      </c>
      <c r="D1763">
        <v>4.8445049999999998</v>
      </c>
      <c r="E1763">
        <v>0.43632969999999999</v>
      </c>
      <c r="F1763" t="s">
        <v>43</v>
      </c>
      <c r="G1763">
        <v>-483.7337</v>
      </c>
      <c r="H1763" s="1">
        <v>2.04109E-6</v>
      </c>
      <c r="I1763">
        <v>278.51350000000002</v>
      </c>
      <c r="J1763">
        <v>-472.14769999999999</v>
      </c>
      <c r="K1763">
        <v>1.120163</v>
      </c>
      <c r="L1763">
        <v>283.24040000000002</v>
      </c>
      <c r="M1763">
        <v>-0.9939983</v>
      </c>
      <c r="N1763">
        <v>0</v>
      </c>
      <c r="O1763">
        <v>-0.1067451</v>
      </c>
      <c r="P1763">
        <v>-0.97071369999999901</v>
      </c>
      <c r="Q1763">
        <v>6.0444779999999997E-2</v>
      </c>
      <c r="R1763">
        <v>-0.23251159999999901</v>
      </c>
      <c r="S1763">
        <v>-2.841583</v>
      </c>
      <c r="T1763">
        <v>-0.264351</v>
      </c>
      <c r="U1763">
        <v>-1.128082</v>
      </c>
      <c r="V1763">
        <v>-0.12929350000000001</v>
      </c>
      <c r="W1763">
        <v>8.1392099999999995E-2</v>
      </c>
      <c r="X1763">
        <v>0.98826029999999998</v>
      </c>
      <c r="Y1763">
        <v>-0.26703470000000001</v>
      </c>
      <c r="Z1763">
        <v>-2.4540439999999998E-3</v>
      </c>
      <c r="AA1763">
        <v>0.96368379999999998</v>
      </c>
      <c r="AB1763">
        <v>45</v>
      </c>
      <c r="AC1763">
        <v>-11.586</v>
      </c>
      <c r="AD1763">
        <v>-1.1201609589099999</v>
      </c>
      <c r="AE1763">
        <v>-4.7268999999999997</v>
      </c>
      <c r="AF1763">
        <v>-3.43524516119487</v>
      </c>
      <c r="AG1763">
        <v>-1.1201609589099999</v>
      </c>
      <c r="AH1763">
        <v>11.9288891126319</v>
      </c>
      <c r="AI1763">
        <v>95.156180465038602</v>
      </c>
      <c r="AJ1763">
        <v>106.06518126725101</v>
      </c>
      <c r="AK1763">
        <v>12.4641110935697</v>
      </c>
    </row>
    <row r="1764" spans="1:37" x14ac:dyDescent="0.2">
      <c r="A1764" t="str">
        <f>"20200111154059925"</f>
        <v>20200111154059925</v>
      </c>
      <c r="B1764" t="str">
        <f>"1578728459918114"</f>
        <v>1578728459918114</v>
      </c>
      <c r="C1764" t="s">
        <v>37</v>
      </c>
      <c r="D1764">
        <v>4.8800049999999997</v>
      </c>
      <c r="E1764">
        <v>0.43563669999999999</v>
      </c>
      <c r="F1764" t="s">
        <v>43</v>
      </c>
      <c r="G1764">
        <v>-485.05619999999999</v>
      </c>
      <c r="H1764" s="1">
        <v>2.0264740000000001E-6</v>
      </c>
      <c r="I1764">
        <v>277.80849999999998</v>
      </c>
      <c r="J1764">
        <v>-472.57369999999997</v>
      </c>
      <c r="K1764">
        <v>1.1206689999999999</v>
      </c>
      <c r="L1764">
        <v>283.18770000000001</v>
      </c>
      <c r="M1764">
        <v>-0.99299899999999997</v>
      </c>
      <c r="N1764">
        <v>0</v>
      </c>
      <c r="O1764">
        <v>-0.11568249999999999</v>
      </c>
      <c r="P1764">
        <v>-0.96806190000000003</v>
      </c>
      <c r="Q1764">
        <v>6.149135E-2</v>
      </c>
      <c r="R1764">
        <v>-0.24305360000000001</v>
      </c>
      <c r="S1764">
        <v>-2.8213810000000001</v>
      </c>
      <c r="T1764">
        <v>-0.24483070000000001</v>
      </c>
      <c r="U1764">
        <v>-1.187225</v>
      </c>
      <c r="V1764">
        <v>-0.13128570000000001</v>
      </c>
      <c r="W1764">
        <v>8.2176719999999995E-2</v>
      </c>
      <c r="X1764">
        <v>0.987932699999999</v>
      </c>
      <c r="Y1764">
        <v>-0.27807959999999998</v>
      </c>
      <c r="Z1764">
        <v>-2.0099789999999998E-3</v>
      </c>
      <c r="AA1764">
        <v>0.96055590000000002</v>
      </c>
      <c r="AB1764">
        <v>44</v>
      </c>
      <c r="AC1764">
        <v>-12.4825</v>
      </c>
      <c r="AD1764">
        <v>-1.120666973526</v>
      </c>
      <c r="AE1764">
        <v>-5.3792000000000204</v>
      </c>
      <c r="AF1764">
        <v>-3.8723222589533202</v>
      </c>
      <c r="AG1764">
        <v>-1.120666973526</v>
      </c>
      <c r="AH1764">
        <v>12.9331864699165</v>
      </c>
      <c r="AI1764">
        <v>94.745220105275394</v>
      </c>
      <c r="AJ1764">
        <v>106.668213276543</v>
      </c>
      <c r="AK1764">
        <v>13.5468847492096</v>
      </c>
    </row>
    <row r="1765" spans="1:37" x14ac:dyDescent="0.2">
      <c r="A1765" t="str">
        <f>"20200111154059947"</f>
        <v>20200111154059947</v>
      </c>
      <c r="B1765" t="str">
        <f>"1578728459937635"</f>
        <v>1578728459937635</v>
      </c>
      <c r="C1765" t="s">
        <v>37</v>
      </c>
      <c r="D1765">
        <v>4.8857419999999996</v>
      </c>
      <c r="E1765">
        <v>0.4359229</v>
      </c>
      <c r="F1765" t="s">
        <v>43</v>
      </c>
      <c r="G1765">
        <v>-486.30590000000001</v>
      </c>
      <c r="H1765" s="1">
        <v>2.034179E-6</v>
      </c>
      <c r="I1765">
        <v>277.20319999999998</v>
      </c>
      <c r="J1765">
        <v>-472.99520000000001</v>
      </c>
      <c r="K1765">
        <v>1.1211500000000001</v>
      </c>
      <c r="L1765">
        <v>283.13139999999999</v>
      </c>
      <c r="M1765">
        <v>-0.99187069999999999</v>
      </c>
      <c r="N1765">
        <v>0</v>
      </c>
      <c r="O1765">
        <v>-0.1249951</v>
      </c>
      <c r="P1765">
        <v>-0.96522149999999995</v>
      </c>
      <c r="Q1765">
        <v>6.3096890000000003E-2</v>
      </c>
      <c r="R1765">
        <v>-0.25370479999999901</v>
      </c>
      <c r="S1765">
        <v>-2.8064879999999999</v>
      </c>
      <c r="T1765">
        <v>-0.229032499999999</v>
      </c>
      <c r="U1765">
        <v>-1.2230529999999999</v>
      </c>
      <c r="V1765">
        <v>-0.133052</v>
      </c>
      <c r="W1765">
        <v>8.3537680000000003E-2</v>
      </c>
      <c r="X1765">
        <v>0.98758219999999997</v>
      </c>
      <c r="Y1765">
        <v>-0.28131970000000001</v>
      </c>
      <c r="Z1765">
        <v>-1.3000919999999899E-3</v>
      </c>
      <c r="AA1765">
        <v>0.95961319999999894</v>
      </c>
      <c r="AB1765">
        <v>44</v>
      </c>
      <c r="AC1765">
        <v>-13.310699999999899</v>
      </c>
      <c r="AD1765">
        <v>-1.121147965821</v>
      </c>
      <c r="AE1765">
        <v>-5.9282000000000004</v>
      </c>
      <c r="AF1765">
        <v>-4.1926138561397002</v>
      </c>
      <c r="AG1765">
        <v>-1.121147965821</v>
      </c>
      <c r="AH1765">
        <v>13.865369920416301</v>
      </c>
      <c r="AI1765">
        <v>94.425786177206007</v>
      </c>
      <c r="AJ1765">
        <v>106.82427917877</v>
      </c>
      <c r="AK1765">
        <v>14.5287118058672</v>
      </c>
    </row>
    <row r="1766" spans="1:37" x14ac:dyDescent="0.2">
      <c r="A1766" t="str">
        <f>"20200111154059970"</f>
        <v>20200111154059970</v>
      </c>
      <c r="B1766" t="str">
        <f>"1578728459958130"</f>
        <v>1578728459958130</v>
      </c>
      <c r="C1766" t="s">
        <v>37</v>
      </c>
      <c r="D1766">
        <v>4.8442970000000001</v>
      </c>
      <c r="E1766">
        <v>0.43623079999999997</v>
      </c>
      <c r="F1766" t="s">
        <v>43</v>
      </c>
      <c r="G1766">
        <v>-487.32709999999997</v>
      </c>
      <c r="H1766" s="1">
        <v>2.0413080000000001E-6</v>
      </c>
      <c r="I1766">
        <v>276.71100000000001</v>
      </c>
      <c r="J1766">
        <v>-473.42399999999998</v>
      </c>
      <c r="K1766">
        <v>1.121631</v>
      </c>
      <c r="L1766">
        <v>283.06979999999999</v>
      </c>
      <c r="M1766">
        <v>-0.99056440000000001</v>
      </c>
      <c r="N1766">
        <v>0</v>
      </c>
      <c r="O1766">
        <v>-0.13496440000000001</v>
      </c>
      <c r="P1766">
        <v>-0.96165159999999905</v>
      </c>
      <c r="Q1766">
        <v>6.5614099999999995E-2</v>
      </c>
      <c r="R1766">
        <v>-0.26631079999999901</v>
      </c>
      <c r="S1766">
        <v>-2.793488</v>
      </c>
      <c r="T1766">
        <v>-0.21852679999999999</v>
      </c>
      <c r="U1766">
        <v>-1.2514339999999999</v>
      </c>
      <c r="V1766">
        <v>-0.1362266</v>
      </c>
      <c r="W1766">
        <v>8.5773150000000006E-2</v>
      </c>
      <c r="X1766">
        <v>0.98695759999999899</v>
      </c>
      <c r="Y1766">
        <v>-0.28151679999999901</v>
      </c>
      <c r="Z1766">
        <v>-5.2376370000000003E-4</v>
      </c>
      <c r="AA1766">
        <v>0.95955619999999997</v>
      </c>
      <c r="AB1766">
        <v>44</v>
      </c>
      <c r="AC1766">
        <v>-13.903099999999901</v>
      </c>
      <c r="AD1766">
        <v>-1.1216289586920001</v>
      </c>
      <c r="AE1766">
        <v>-6.3587999999999703</v>
      </c>
      <c r="AF1766">
        <v>-4.3999484825386999</v>
      </c>
      <c r="AG1766">
        <v>-1.1216289586920001</v>
      </c>
      <c r="AH1766">
        <v>14.555928238439099</v>
      </c>
      <c r="AI1766">
        <v>94.218515876764201</v>
      </c>
      <c r="AJ1766">
        <v>106.818953815272</v>
      </c>
      <c r="AK1766">
        <v>15.2477095018419</v>
      </c>
    </row>
    <row r="1767" spans="1:37" x14ac:dyDescent="0.2">
      <c r="A1767" t="str">
        <f>"20200111154100004"</f>
        <v>20200111154100004</v>
      </c>
      <c r="B1767" t="str">
        <f>"1578728459998147"</f>
        <v>1578728459998147</v>
      </c>
      <c r="C1767" t="s">
        <v>37</v>
      </c>
      <c r="D1767">
        <v>4.8489379999999898</v>
      </c>
      <c r="E1767">
        <v>0.44556200000000001</v>
      </c>
      <c r="F1767" t="s">
        <v>43</v>
      </c>
      <c r="G1767">
        <v>-488.22280000000001</v>
      </c>
      <c r="H1767" s="1">
        <v>2.0282470000000001E-6</v>
      </c>
      <c r="I1767">
        <v>276.22460000000001</v>
      </c>
      <c r="J1767">
        <v>-474.07780000000002</v>
      </c>
      <c r="K1767">
        <v>1.122342</v>
      </c>
      <c r="L1767">
        <v>282.96730000000002</v>
      </c>
      <c r="M1767">
        <v>-0.98823399999999995</v>
      </c>
      <c r="N1767">
        <v>0</v>
      </c>
      <c r="O1767">
        <v>-0.1510909</v>
      </c>
      <c r="P1767">
        <v>-0.95595110000000005</v>
      </c>
      <c r="Q1767">
        <v>6.9097619999999998E-2</v>
      </c>
      <c r="R1767">
        <v>-0.28527779999999903</v>
      </c>
      <c r="S1767">
        <v>-2.7781370000000001</v>
      </c>
      <c r="T1767">
        <v>-0.21055940000000001</v>
      </c>
      <c r="U1767">
        <v>-1.285034</v>
      </c>
      <c r="V1767">
        <v>-0.1399444</v>
      </c>
      <c r="W1767">
        <v>8.8866940000000005E-2</v>
      </c>
      <c r="X1767">
        <v>0.98616340000000002</v>
      </c>
      <c r="Y1767">
        <v>-0.27752850000000001</v>
      </c>
      <c r="Z1767">
        <v>7.7058189999999998E-4</v>
      </c>
      <c r="AA1767">
        <v>0.96071709999999999</v>
      </c>
      <c r="AB1767">
        <v>44</v>
      </c>
      <c r="AC1767">
        <v>-14.1449999999999</v>
      </c>
      <c r="AD1767">
        <v>-1.122339971753</v>
      </c>
      <c r="AE1767">
        <v>-6.7427000000000099</v>
      </c>
      <c r="AF1767">
        <v>-4.5043566613809798</v>
      </c>
      <c r="AG1767">
        <v>-1.122339971753</v>
      </c>
      <c r="AH1767">
        <v>14.925004507896</v>
      </c>
      <c r="AI1767">
        <v>94.117703998081296</v>
      </c>
      <c r="AJ1767">
        <v>106.79378005477901</v>
      </c>
      <c r="AK1767">
        <v>15.630247455041699</v>
      </c>
    </row>
    <row r="1768" spans="1:37" x14ac:dyDescent="0.2">
      <c r="A1768" t="str">
        <f>"20200111154100026"</f>
        <v>20200111154100026</v>
      </c>
      <c r="B1768" t="str">
        <f>"1578728460017667"</f>
        <v>1578728460017667</v>
      </c>
      <c r="C1768" t="s">
        <v>37</v>
      </c>
      <c r="D1768">
        <v>4.8723749999999999</v>
      </c>
      <c r="E1768">
        <v>0.44566879999999998</v>
      </c>
      <c r="F1768" t="s">
        <v>43</v>
      </c>
      <c r="G1768">
        <v>-493.76949999999999</v>
      </c>
      <c r="H1768" s="1">
        <v>1.311842E-6</v>
      </c>
      <c r="I1768">
        <v>273.94869999999997</v>
      </c>
      <c r="J1768">
        <v>-474.49709999999999</v>
      </c>
      <c r="K1768">
        <v>1.1227830000000001</v>
      </c>
      <c r="L1768">
        <v>282.89499999999998</v>
      </c>
      <c r="M1768">
        <v>-0.98648609999999903</v>
      </c>
      <c r="N1768">
        <v>0</v>
      </c>
      <c r="O1768">
        <v>-0.16211420000000001</v>
      </c>
      <c r="P1768">
        <v>-0.95151129999999995</v>
      </c>
      <c r="Q1768">
        <v>7.0130479999999995E-2</v>
      </c>
      <c r="R1768">
        <v>-0.29951349999999999</v>
      </c>
      <c r="S1768">
        <v>-2.770905</v>
      </c>
      <c r="T1768">
        <v>-0.15792919999999999</v>
      </c>
      <c r="U1768">
        <v>-1.2690429999999999</v>
      </c>
      <c r="V1768">
        <v>-0.14379629999999999</v>
      </c>
      <c r="W1768">
        <v>8.9609720000000004E-2</v>
      </c>
      <c r="X1768">
        <v>0.98554179999999902</v>
      </c>
      <c r="Y1768">
        <v>-0.26331670000000001</v>
      </c>
      <c r="Z1768">
        <v>1.548916E-3</v>
      </c>
      <c r="AA1768">
        <v>0.96470820000000002</v>
      </c>
      <c r="AB1768">
        <v>44</v>
      </c>
      <c r="AC1768">
        <v>-19.272400000000001</v>
      </c>
      <c r="AD1768">
        <v>-1.1227816881579999</v>
      </c>
      <c r="AE1768">
        <v>-8.9463000000000008</v>
      </c>
      <c r="AF1768">
        <v>-5.6868001965658097</v>
      </c>
      <c r="AG1768">
        <v>-1.1227816881579999</v>
      </c>
      <c r="AH1768">
        <v>20.411056630797599</v>
      </c>
      <c r="AI1768">
        <v>93.033280094263503</v>
      </c>
      <c r="AJ1768">
        <v>105.568565848628</v>
      </c>
      <c r="AK1768">
        <v>21.218189554732302</v>
      </c>
    </row>
    <row r="1769" spans="1:37" x14ac:dyDescent="0.2">
      <c r="A1769" t="str">
        <f>"20200111154100047"</f>
        <v>20200111154100047</v>
      </c>
      <c r="B1769" t="str">
        <f>"1578728460038163"</f>
        <v>1578728460038163</v>
      </c>
      <c r="C1769" t="s">
        <v>37</v>
      </c>
      <c r="D1769">
        <v>4.8657349999999999</v>
      </c>
      <c r="E1769">
        <v>0.44624510000000001</v>
      </c>
      <c r="F1769" t="s">
        <v>43</v>
      </c>
      <c r="G1769">
        <v>-493.94420000000002</v>
      </c>
      <c r="H1769" s="1">
        <v>1.2423669999999899E-6</v>
      </c>
      <c r="I1769">
        <v>273.6422</v>
      </c>
      <c r="J1769">
        <v>-474.91050000000001</v>
      </c>
      <c r="K1769">
        <v>1.123205</v>
      </c>
      <c r="L1769">
        <v>282.81889999999999</v>
      </c>
      <c r="M1769">
        <v>-0.98455999999999999</v>
      </c>
      <c r="N1769">
        <v>0</v>
      </c>
      <c r="O1769">
        <v>-0.17343059999999999</v>
      </c>
      <c r="P1769">
        <v>-0.946486099999999</v>
      </c>
      <c r="Q1769">
        <v>7.1666980000000005E-2</v>
      </c>
      <c r="R1769">
        <v>-0.31468800000000002</v>
      </c>
      <c r="S1769">
        <v>-2.75238</v>
      </c>
      <c r="T1769">
        <v>-0.1589092</v>
      </c>
      <c r="U1769">
        <v>-1.3095699999999999</v>
      </c>
      <c r="V1769">
        <v>-0.14839949999999999</v>
      </c>
      <c r="W1769">
        <v>9.0835899999999997E-2</v>
      </c>
      <c r="X1769">
        <v>0.98474689999999998</v>
      </c>
      <c r="Y1769">
        <v>-0.26635120000000001</v>
      </c>
      <c r="Z1769">
        <v>2.0793220000000002E-3</v>
      </c>
      <c r="AA1769">
        <v>0.9638738</v>
      </c>
      <c r="AB1769">
        <v>43</v>
      </c>
      <c r="AC1769">
        <v>-19.0337</v>
      </c>
      <c r="AD1769">
        <v>-1.1232037576330001</v>
      </c>
      <c r="AE1769">
        <v>-9.1766999999999808</v>
      </c>
      <c r="AF1769">
        <v>-5.7194412568667099</v>
      </c>
      <c r="AG1769">
        <v>-1.1232037576330001</v>
      </c>
      <c r="AH1769">
        <v>20.279769002183802</v>
      </c>
      <c r="AI1769">
        <v>93.051322560719001</v>
      </c>
      <c r="AJ1769">
        <v>105.749881894867</v>
      </c>
      <c r="AK1769">
        <v>21.100773107965601</v>
      </c>
    </row>
    <row r="1770" spans="1:37" x14ac:dyDescent="0.2">
      <c r="A1770" t="str">
        <f>"20200111154100070"</f>
        <v>20200111154100070</v>
      </c>
      <c r="B1770" t="str">
        <f>"1578728460067443"</f>
        <v>1578728460067443</v>
      </c>
      <c r="C1770" t="s">
        <v>37</v>
      </c>
      <c r="D1770">
        <v>4.5531759999999997</v>
      </c>
      <c r="E1770">
        <v>0.40044879999999999</v>
      </c>
      <c r="F1770" t="s">
        <v>43</v>
      </c>
      <c r="G1770">
        <v>-494.7527</v>
      </c>
      <c r="H1770" s="1">
        <v>1.0621529999999999E-6</v>
      </c>
      <c r="I1770">
        <v>273.02609999999999</v>
      </c>
      <c r="J1770">
        <v>-475.32810000000001</v>
      </c>
      <c r="K1770">
        <v>1.123621</v>
      </c>
      <c r="L1770">
        <v>282.73680000000002</v>
      </c>
      <c r="M1770">
        <v>-0.98238899999999996</v>
      </c>
      <c r="N1770">
        <v>0</v>
      </c>
      <c r="O1770">
        <v>-0.18533329999999901</v>
      </c>
      <c r="P1770">
        <v>-0.94078479999999998</v>
      </c>
      <c r="Q1770">
        <v>7.340062E-2</v>
      </c>
      <c r="R1770">
        <v>-0.3309629</v>
      </c>
      <c r="S1770">
        <v>-2.73291</v>
      </c>
      <c r="T1770">
        <v>-0.15470129999999899</v>
      </c>
      <c r="U1770">
        <v>-1.3487849999999999</v>
      </c>
      <c r="V1770">
        <v>-0.15363949999999901</v>
      </c>
      <c r="W1770">
        <v>9.223286E-2</v>
      </c>
      <c r="X1770">
        <v>0.98381299999999905</v>
      </c>
      <c r="Y1770">
        <v>-0.26854929999999999</v>
      </c>
      <c r="Z1770">
        <v>2.5856099999999999E-3</v>
      </c>
      <c r="AA1770">
        <v>0.96326250000000002</v>
      </c>
      <c r="AB1770">
        <v>43</v>
      </c>
      <c r="AC1770">
        <v>-19.424600000000002</v>
      </c>
      <c r="AD1770">
        <v>-1.123619937847</v>
      </c>
      <c r="AE1770">
        <v>-9.7107000000000294</v>
      </c>
      <c r="AF1770">
        <v>-5.9254709477163701</v>
      </c>
      <c r="AG1770">
        <v>-1.123619937847</v>
      </c>
      <c r="AH1770">
        <v>20.832345847868201</v>
      </c>
      <c r="AI1770">
        <v>92.969758875896602</v>
      </c>
      <c r="AJ1770">
        <v>105.877664901416</v>
      </c>
      <c r="AK1770">
        <v>21.687792908503798</v>
      </c>
    </row>
    <row r="1771" spans="1:37" x14ac:dyDescent="0.2">
      <c r="A1771" t="str">
        <f>"20200111154100092"</f>
        <v>20200111154100092</v>
      </c>
      <c r="B1771" t="str">
        <f>"1578728460087938"</f>
        <v>1578728460087938</v>
      </c>
      <c r="C1771" t="s">
        <v>37</v>
      </c>
      <c r="D1771">
        <v>4.6971569999999998</v>
      </c>
      <c r="E1771">
        <v>0.34893039999999997</v>
      </c>
      <c r="F1771" t="s">
        <v>38</v>
      </c>
      <c r="G1771">
        <v>-476.26710000000003</v>
      </c>
      <c r="H1771">
        <v>1.069491</v>
      </c>
      <c r="I1771">
        <v>282.10579999999999</v>
      </c>
      <c r="J1771">
        <v>-475.74860000000001</v>
      </c>
      <c r="K1771">
        <v>1.1240239999999999</v>
      </c>
      <c r="L1771">
        <v>282.64879999999999</v>
      </c>
      <c r="M1771">
        <v>-0.97995750000000004</v>
      </c>
      <c r="N1771">
        <v>0</v>
      </c>
      <c r="O1771">
        <v>-0.19778770000000001</v>
      </c>
      <c r="P1771">
        <v>-0.93467199999999995</v>
      </c>
      <c r="Q1771">
        <v>7.4893499999999905E-2</v>
      </c>
      <c r="R1771">
        <v>-0.34753249999999902</v>
      </c>
      <c r="S1771">
        <v>-2.5882259999999899</v>
      </c>
      <c r="T1771">
        <v>-0.14918709999999999</v>
      </c>
      <c r="U1771">
        <v>-1.7402949999999999</v>
      </c>
      <c r="V1771">
        <v>-0.15870309999999899</v>
      </c>
      <c r="W1771">
        <v>9.3394169999999999E-2</v>
      </c>
      <c r="X1771">
        <v>0.98289919999999997</v>
      </c>
      <c r="Y1771">
        <v>-0.38256659999999998</v>
      </c>
      <c r="Z1771">
        <v>1.399452E-4</v>
      </c>
      <c r="AA1771">
        <v>0.92392790000000002</v>
      </c>
      <c r="AB1771">
        <v>43</v>
      </c>
      <c r="AC1771">
        <v>-0.51850000000001695</v>
      </c>
      <c r="AD1771">
        <v>-5.4532999999999901E-2</v>
      </c>
      <c r="AE1771">
        <v>-0.54300000000000603</v>
      </c>
      <c r="AF1771">
        <v>-0.42743006376999598</v>
      </c>
      <c r="AG1771">
        <v>-5.4532999999999901E-2</v>
      </c>
      <c r="AH1771">
        <v>0.61244904490524898</v>
      </c>
      <c r="AI1771">
        <v>94.176154075221305</v>
      </c>
      <c r="AJ1771">
        <v>124.91130604182</v>
      </c>
      <c r="AK1771">
        <v>0.74884186588943802</v>
      </c>
    </row>
    <row r="1772" spans="1:37" x14ac:dyDescent="0.2">
      <c r="A1772" t="str">
        <f>"20200111154100116"</f>
        <v>20200111154100116</v>
      </c>
      <c r="B1772" t="str">
        <f>"1578728460107458"</f>
        <v>1578728460107458</v>
      </c>
      <c r="C1772" t="s">
        <v>37</v>
      </c>
      <c r="D1772">
        <v>4.6428469999999997</v>
      </c>
      <c r="E1772">
        <v>0.3478272</v>
      </c>
      <c r="F1772" t="s">
        <v>38</v>
      </c>
      <c r="G1772">
        <v>-476.52330000000001</v>
      </c>
      <c r="H1772">
        <v>1.08202</v>
      </c>
      <c r="I1772">
        <v>281.95119999999997</v>
      </c>
      <c r="J1772">
        <v>-476.16340000000002</v>
      </c>
      <c r="K1772">
        <v>1.124411</v>
      </c>
      <c r="L1772">
        <v>282.5564</v>
      </c>
      <c r="M1772">
        <v>-0.97729750000000004</v>
      </c>
      <c r="N1772">
        <v>0</v>
      </c>
      <c r="O1772">
        <v>-0.210537799999999</v>
      </c>
      <c r="P1772">
        <v>-0.92822539999999998</v>
      </c>
      <c r="Q1772">
        <v>7.5610460000000004E-2</v>
      </c>
      <c r="R1772">
        <v>-0.36425419999999997</v>
      </c>
      <c r="S1772">
        <v>-2.41262799999999</v>
      </c>
      <c r="T1772">
        <v>-0.13082639999999901</v>
      </c>
      <c r="U1772">
        <v>-2.1719059999999999</v>
      </c>
      <c r="V1772">
        <v>-0.16367379999999901</v>
      </c>
      <c r="W1772">
        <v>9.3789159999999996E-2</v>
      </c>
      <c r="X1772">
        <v>0.98204609999999903</v>
      </c>
      <c r="Y1772">
        <v>-0.4973088</v>
      </c>
      <c r="Z1772">
        <v>-2.002925E-3</v>
      </c>
      <c r="AA1772">
        <v>0.86757129999999905</v>
      </c>
      <c r="AB1772">
        <v>43</v>
      </c>
      <c r="AC1772">
        <v>-0.35989999999998101</v>
      </c>
      <c r="AD1772">
        <v>-4.2390999999999998E-2</v>
      </c>
      <c r="AE1772">
        <v>-0.60520000000002405</v>
      </c>
      <c r="AF1772">
        <v>-0.51397035870277197</v>
      </c>
      <c r="AG1772">
        <v>-4.2390999999999998E-2</v>
      </c>
      <c r="AH1772">
        <v>0.47755101520539101</v>
      </c>
      <c r="AI1772">
        <v>93.457711640396795</v>
      </c>
      <c r="AJ1772">
        <v>137.10357242599201</v>
      </c>
      <c r="AK1772">
        <v>0.70286378383706505</v>
      </c>
    </row>
    <row r="1773" spans="1:37" x14ac:dyDescent="0.2">
      <c r="A1773" t="str">
        <f>"20200111154100137"</f>
        <v>20200111154100137</v>
      </c>
      <c r="B1773" t="str">
        <f>"1578728460127955"</f>
        <v>1578728460127955</v>
      </c>
      <c r="C1773" t="s">
        <v>37</v>
      </c>
      <c r="D1773">
        <v>4.6677249999999999</v>
      </c>
      <c r="E1773">
        <v>0.3523579</v>
      </c>
      <c r="F1773" t="s">
        <v>38</v>
      </c>
      <c r="G1773">
        <v>-476.88959999999997</v>
      </c>
      <c r="H1773">
        <v>1.0848180000000001</v>
      </c>
      <c r="I1773">
        <v>281.87549999999999</v>
      </c>
      <c r="J1773">
        <v>-476.55669999999998</v>
      </c>
      <c r="K1773">
        <v>1.12476</v>
      </c>
      <c r="L1773">
        <v>282.46350000000001</v>
      </c>
      <c r="M1773">
        <v>-0.97451840000000001</v>
      </c>
      <c r="N1773">
        <v>0</v>
      </c>
      <c r="O1773">
        <v>-0.2230461</v>
      </c>
      <c r="P1773">
        <v>-0.92190669999999897</v>
      </c>
      <c r="Q1773">
        <v>7.5039430000000004E-2</v>
      </c>
      <c r="R1773">
        <v>-0.38007529999999901</v>
      </c>
      <c r="S1773">
        <v>-2.3700559999999999</v>
      </c>
      <c r="T1773">
        <v>-0.12918070000000001</v>
      </c>
      <c r="U1773">
        <v>-2.2230829999999999</v>
      </c>
      <c r="V1773">
        <v>-0.16794329999999999</v>
      </c>
      <c r="W1773">
        <v>9.2934600000000006E-2</v>
      </c>
      <c r="X1773">
        <v>0.98140629999999995</v>
      </c>
      <c r="Y1773">
        <v>-0.50394539999999999</v>
      </c>
      <c r="Z1773">
        <v>-1.608298E-3</v>
      </c>
      <c r="AA1773">
        <v>0.863734</v>
      </c>
      <c r="AB1773">
        <v>43</v>
      </c>
      <c r="AC1773">
        <v>-0.33289999999999498</v>
      </c>
      <c r="AD1773">
        <v>-3.9941999999999901E-2</v>
      </c>
      <c r="AE1773">
        <v>-0.58800000000002195</v>
      </c>
      <c r="AF1773">
        <v>-0.49716832773618302</v>
      </c>
      <c r="AG1773">
        <v>-3.9941999999999901E-2</v>
      </c>
      <c r="AH1773">
        <v>0.45411010058169599</v>
      </c>
      <c r="AI1773">
        <v>93.394741759478805</v>
      </c>
      <c r="AJ1773">
        <v>137.59164074372001</v>
      </c>
      <c r="AK1773">
        <v>0.674527755484021</v>
      </c>
    </row>
    <row r="1774" spans="1:37" x14ac:dyDescent="0.2">
      <c r="A1774" t="str">
        <f>"20200111154100159"</f>
        <v>20200111154100159</v>
      </c>
      <c r="B1774" t="str">
        <f>"1578728460147475"</f>
        <v>1578728460147475</v>
      </c>
      <c r="C1774" t="s">
        <v>37</v>
      </c>
      <c r="D1774">
        <v>4.7241140000000001</v>
      </c>
      <c r="E1774">
        <v>0.35723919999999998</v>
      </c>
      <c r="F1774" t="s">
        <v>38</v>
      </c>
      <c r="G1774">
        <v>-477.25349999999997</v>
      </c>
      <c r="H1774">
        <v>1.083089</v>
      </c>
      <c r="I1774">
        <v>281.80110000000002</v>
      </c>
      <c r="J1774">
        <v>-476.95940000000002</v>
      </c>
      <c r="K1774">
        <v>1.1251070000000001</v>
      </c>
      <c r="L1774">
        <v>282.36279999999999</v>
      </c>
      <c r="M1774">
        <v>-0.97139540000000002</v>
      </c>
      <c r="N1774">
        <v>0</v>
      </c>
      <c r="O1774">
        <v>-0.2362737</v>
      </c>
      <c r="P1774">
        <v>-0.91492399999999996</v>
      </c>
      <c r="Q1774">
        <v>7.4305880000000005E-2</v>
      </c>
      <c r="R1774">
        <v>-0.39672809999999997</v>
      </c>
      <c r="S1774">
        <v>-2.3461609999999999</v>
      </c>
      <c r="T1774">
        <v>-0.14028489999999999</v>
      </c>
      <c r="U1774">
        <v>-2.2300419999999899</v>
      </c>
      <c r="V1774">
        <v>-0.1724453</v>
      </c>
      <c r="W1774">
        <v>9.1910469999999994E-2</v>
      </c>
      <c r="X1774">
        <v>0.98072169999999903</v>
      </c>
      <c r="Y1774">
        <v>-0.49788519999999897</v>
      </c>
      <c r="Z1774">
        <v>-9.8543239999999998E-4</v>
      </c>
      <c r="AA1774">
        <v>0.86724239999999997</v>
      </c>
      <c r="AB1774">
        <v>43</v>
      </c>
      <c r="AC1774">
        <v>-0.29409999999995701</v>
      </c>
      <c r="AD1774">
        <v>-4.2018000000000097E-2</v>
      </c>
      <c r="AE1774">
        <v>-0.561699999999973</v>
      </c>
      <c r="AF1774">
        <v>-0.474196860156126</v>
      </c>
      <c r="AG1774">
        <v>-4.2018000000000097E-2</v>
      </c>
      <c r="AH1774">
        <v>0.41669069949924298</v>
      </c>
      <c r="AI1774">
        <v>93.808088885410399</v>
      </c>
      <c r="AJ1774">
        <v>138.693278167915</v>
      </c>
      <c r="AK1774">
        <v>0.63266050418458897</v>
      </c>
    </row>
    <row r="1775" spans="1:37" x14ac:dyDescent="0.2">
      <c r="A1775" t="str">
        <f>"20200111154100182"</f>
        <v>20200111154100182</v>
      </c>
      <c r="B1775" t="str">
        <f>"1578728460177730"</f>
        <v>1578728460177730</v>
      </c>
      <c r="C1775" t="s">
        <v>37</v>
      </c>
      <c r="D1775">
        <v>4.6752839999999898</v>
      </c>
      <c r="E1775">
        <v>0.36252659999999998</v>
      </c>
      <c r="F1775" t="s">
        <v>38</v>
      </c>
      <c r="G1775">
        <v>-477.61869999999999</v>
      </c>
      <c r="H1775">
        <v>1.080719</v>
      </c>
      <c r="I1775">
        <v>281.72820000000002</v>
      </c>
      <c r="J1775">
        <v>-477.36619999999999</v>
      </c>
      <c r="K1775">
        <v>1.1254379999999999</v>
      </c>
      <c r="L1775">
        <v>282.25510000000003</v>
      </c>
      <c r="M1775">
        <v>-0.96793759999999995</v>
      </c>
      <c r="N1775">
        <v>0</v>
      </c>
      <c r="O1775">
        <v>-0.25005889999999997</v>
      </c>
      <c r="P1775">
        <v>-0.90688559999999996</v>
      </c>
      <c r="Q1775">
        <v>7.3904520000000001E-2</v>
      </c>
      <c r="R1775">
        <v>-0.41484569999999998</v>
      </c>
      <c r="S1775">
        <v>-2.3221129999999999</v>
      </c>
      <c r="T1775">
        <v>-0.1562907</v>
      </c>
      <c r="U1775">
        <v>-2.2358699999999998</v>
      </c>
      <c r="V1775">
        <v>-0.178072799999999</v>
      </c>
      <c r="W1775">
        <v>9.1177800000000003E-2</v>
      </c>
      <c r="X1775">
        <v>0.97978399999999999</v>
      </c>
      <c r="Y1775">
        <v>-0.49109969999999997</v>
      </c>
      <c r="Z1775">
        <v>-1.9345810000000001E-4</v>
      </c>
      <c r="AA1775">
        <v>0.87110330000000002</v>
      </c>
      <c r="AB1775">
        <v>42</v>
      </c>
      <c r="AC1775">
        <v>-0.252499999999997</v>
      </c>
      <c r="AD1775">
        <v>-4.4718999999999898E-2</v>
      </c>
      <c r="AE1775">
        <v>-0.52690000000001103</v>
      </c>
      <c r="AF1775">
        <v>-0.44439004943205701</v>
      </c>
      <c r="AG1775">
        <v>-4.4718999999999898E-2</v>
      </c>
      <c r="AH1775">
        <v>0.37407571103177101</v>
      </c>
      <c r="AI1775">
        <v>94.402269530950093</v>
      </c>
      <c r="AJ1775">
        <v>139.910220258403</v>
      </c>
      <c r="AK1775">
        <v>0.58259329088065404</v>
      </c>
    </row>
    <row r="1776" spans="1:37" x14ac:dyDescent="0.2">
      <c r="A1776" t="str">
        <f>"20200111154100205"</f>
        <v>20200111154100205</v>
      </c>
      <c r="B1776" t="str">
        <f>"1578728460198230"</f>
        <v>1578728460198230</v>
      </c>
      <c r="C1776" t="s">
        <v>37</v>
      </c>
      <c r="D1776">
        <v>4.4898319999999998</v>
      </c>
      <c r="E1776">
        <v>0.36454940000000002</v>
      </c>
      <c r="F1776" t="s">
        <v>38</v>
      </c>
      <c r="G1776">
        <v>-477.98259999999999</v>
      </c>
      <c r="H1776">
        <v>1.079467</v>
      </c>
      <c r="I1776">
        <v>281.65320000000003</v>
      </c>
      <c r="J1776">
        <v>-477.76400000000001</v>
      </c>
      <c r="K1776">
        <v>1.125748</v>
      </c>
      <c r="L1776">
        <v>282.14339999999999</v>
      </c>
      <c r="M1776">
        <v>-0.96423389999999998</v>
      </c>
      <c r="N1776">
        <v>0</v>
      </c>
      <c r="O1776">
        <v>-0.26397709999999902</v>
      </c>
      <c r="P1776">
        <v>-0.89809229999999995</v>
      </c>
      <c r="Q1776">
        <v>7.2853609999999999E-2</v>
      </c>
      <c r="R1776">
        <v>-0.43373129999999999</v>
      </c>
      <c r="S1776">
        <v>-2.2962950000000002</v>
      </c>
      <c r="T1776">
        <v>-0.17127409999999901</v>
      </c>
      <c r="U1776">
        <v>-2.2422789999999999</v>
      </c>
      <c r="V1776">
        <v>-0.18448129999999999</v>
      </c>
      <c r="W1776">
        <v>8.9762659999999994E-2</v>
      </c>
      <c r="X1776">
        <v>0.97872839999999905</v>
      </c>
      <c r="Y1776">
        <v>-0.48462089999999902</v>
      </c>
      <c r="Z1776">
        <v>7.8523809999999999E-4</v>
      </c>
      <c r="AA1776">
        <v>0.8747239</v>
      </c>
      <c r="AB1776">
        <v>42</v>
      </c>
      <c r="AC1776">
        <v>-0.21859999999998</v>
      </c>
      <c r="AD1776">
        <v>-4.6281000000000003E-2</v>
      </c>
      <c r="AE1776">
        <v>-0.490199999999958</v>
      </c>
      <c r="AF1776">
        <v>-0.41201678293706701</v>
      </c>
      <c r="AG1776">
        <v>-4.6281000000000003E-2</v>
      </c>
      <c r="AH1776">
        <v>0.33776858361138401</v>
      </c>
      <c r="AI1776">
        <v>94.964728971843797</v>
      </c>
      <c r="AJ1776">
        <v>140.65533076206799</v>
      </c>
      <c r="AK1776">
        <v>0.53477787581167902</v>
      </c>
    </row>
    <row r="1777" spans="1:37" x14ac:dyDescent="0.2">
      <c r="A1777" t="str">
        <f>"20200111154100226"</f>
        <v>20200111154100226</v>
      </c>
      <c r="B1777" t="str">
        <f>"1578728460217746"</f>
        <v>1578728460217746</v>
      </c>
      <c r="C1777" t="s">
        <v>37</v>
      </c>
      <c r="D1777">
        <v>4.474259</v>
      </c>
      <c r="E1777">
        <v>0.37901940000000001</v>
      </c>
      <c r="F1777" t="s">
        <v>38</v>
      </c>
      <c r="G1777">
        <v>-478.60120000000001</v>
      </c>
      <c r="H1777">
        <v>1.058208</v>
      </c>
      <c r="I1777">
        <v>281.29930000000002</v>
      </c>
      <c r="J1777">
        <v>-478.1549</v>
      </c>
      <c r="K1777">
        <v>1.1260410000000001</v>
      </c>
      <c r="L1777">
        <v>282.0274</v>
      </c>
      <c r="M1777">
        <v>-0.96026800000000001</v>
      </c>
      <c r="N1777">
        <v>0</v>
      </c>
      <c r="O1777">
        <v>-0.27805669999999999</v>
      </c>
      <c r="P1777">
        <v>-0.88917889999999999</v>
      </c>
      <c r="Q1777">
        <v>7.2535349999999998E-2</v>
      </c>
      <c r="R1777">
        <v>-0.45177460000000003</v>
      </c>
      <c r="S1777">
        <v>-2.2565309999999998</v>
      </c>
      <c r="T1777">
        <v>-0.18202689999999999</v>
      </c>
      <c r="U1777">
        <v>-2.274902</v>
      </c>
      <c r="V1777">
        <v>-0.18997639999999999</v>
      </c>
      <c r="W1777">
        <v>8.9112949999999996E-2</v>
      </c>
      <c r="X1777">
        <v>0.977736099999999</v>
      </c>
      <c r="Y1777">
        <v>-0.4857573</v>
      </c>
      <c r="Z1777">
        <v>1.655676E-3</v>
      </c>
      <c r="AA1777">
        <v>0.87409219999999899</v>
      </c>
      <c r="AB1777">
        <v>42</v>
      </c>
      <c r="AC1777">
        <v>-0.44630000000000702</v>
      </c>
      <c r="AD1777">
        <v>-6.7833000000000004E-2</v>
      </c>
      <c r="AE1777">
        <v>-0.72809999999998298</v>
      </c>
      <c r="AF1777">
        <v>-0.57163185903260905</v>
      </c>
      <c r="AG1777">
        <v>-6.7833000000000004E-2</v>
      </c>
      <c r="AH1777">
        <v>0.62724321412364104</v>
      </c>
      <c r="AI1777">
        <v>94.569994172627304</v>
      </c>
      <c r="AJ1777">
        <v>132.34416566579901</v>
      </c>
      <c r="AK1777">
        <v>0.85135089582042101</v>
      </c>
    </row>
    <row r="1778" spans="1:37" x14ac:dyDescent="0.2">
      <c r="A1778" t="str">
        <f>"20200111154100248"</f>
        <v>20200111154100248</v>
      </c>
      <c r="B1778" t="str">
        <f>"1578728460238244"</f>
        <v>1578728460238244</v>
      </c>
      <c r="C1778" t="s">
        <v>37</v>
      </c>
      <c r="D1778">
        <v>4.550116</v>
      </c>
      <c r="E1778">
        <v>0.38018859999999999</v>
      </c>
      <c r="F1778" t="s">
        <v>38</v>
      </c>
      <c r="G1778">
        <v>-478.96660000000003</v>
      </c>
      <c r="H1778">
        <v>1.037587</v>
      </c>
      <c r="I1778">
        <v>281.2337</v>
      </c>
      <c r="J1778">
        <v>-478.54219999999998</v>
      </c>
      <c r="K1778">
        <v>1.126312</v>
      </c>
      <c r="L1778">
        <v>281.90640000000002</v>
      </c>
      <c r="M1778">
        <v>-0.95601139999999996</v>
      </c>
      <c r="N1778">
        <v>0</v>
      </c>
      <c r="O1778">
        <v>-0.29235259999999902</v>
      </c>
      <c r="P1778">
        <v>-0.87980239999999998</v>
      </c>
      <c r="Q1778">
        <v>7.2974849999999994E-2</v>
      </c>
      <c r="R1778">
        <v>-0.46970469999999998</v>
      </c>
      <c r="S1778">
        <v>-2.267487</v>
      </c>
      <c r="T1778">
        <v>-0.2471207</v>
      </c>
      <c r="U1778">
        <v>-2.217346</v>
      </c>
      <c r="V1778">
        <v>-0.19530220000000001</v>
      </c>
      <c r="W1778">
        <v>8.9232179999999994E-2</v>
      </c>
      <c r="X1778">
        <v>0.97667530000000002</v>
      </c>
      <c r="Y1778">
        <v>-0.45901789999999998</v>
      </c>
      <c r="Z1778">
        <v>4.6676770000000003E-3</v>
      </c>
      <c r="AA1778">
        <v>0.888414699999999</v>
      </c>
      <c r="AB1778">
        <v>42</v>
      </c>
      <c r="AC1778">
        <v>-0.42440000000004802</v>
      </c>
      <c r="AD1778">
        <v>-8.8724999999999901E-2</v>
      </c>
      <c r="AE1778">
        <v>-0.67270000000001995</v>
      </c>
      <c r="AF1778">
        <v>-0.51280203453431294</v>
      </c>
      <c r="AG1778">
        <v>-8.8724999999999901E-2</v>
      </c>
      <c r="AH1778">
        <v>0.59516345363141798</v>
      </c>
      <c r="AI1778">
        <v>96.443539051822896</v>
      </c>
      <c r="AJ1778">
        <v>130.74869573911101</v>
      </c>
      <c r="AK1778">
        <v>0.79060583654941996</v>
      </c>
    </row>
    <row r="1779" spans="1:37" x14ac:dyDescent="0.2">
      <c r="A1779" t="str">
        <f>"20200111154100272"</f>
        <v>20200111154100272</v>
      </c>
      <c r="B1779" t="str">
        <f>"1578728460267522"</f>
        <v>1578728460267522</v>
      </c>
      <c r="C1779" t="s">
        <v>37</v>
      </c>
      <c r="D1779">
        <v>4.6641589999999997</v>
      </c>
      <c r="E1779">
        <v>0.38297720000000002</v>
      </c>
      <c r="F1779" t="s">
        <v>38</v>
      </c>
      <c r="G1779">
        <v>-479.31029999999998</v>
      </c>
      <c r="H1779">
        <v>1.041606</v>
      </c>
      <c r="I1779">
        <v>281.12830000000002</v>
      </c>
      <c r="J1779">
        <v>-478.93110000000001</v>
      </c>
      <c r="K1779">
        <v>1.1265639999999999</v>
      </c>
      <c r="L1779">
        <v>281.77850000000001</v>
      </c>
      <c r="M1779">
        <v>-0.95139030000000002</v>
      </c>
      <c r="N1779">
        <v>0</v>
      </c>
      <c r="O1779">
        <v>-0.30705559999999998</v>
      </c>
      <c r="P1779">
        <v>-0.86972590000000005</v>
      </c>
      <c r="Q1779">
        <v>7.3365260000000002E-2</v>
      </c>
      <c r="R1779">
        <v>-0.48805189999999998</v>
      </c>
      <c r="S1779">
        <v>-2.2261959999999998</v>
      </c>
      <c r="T1779">
        <v>-0.24549560000000001</v>
      </c>
      <c r="U1779">
        <v>-2.2552490000000001</v>
      </c>
      <c r="V1779">
        <v>-0.2008171</v>
      </c>
      <c r="W1779">
        <v>8.9294860000000004E-2</v>
      </c>
      <c r="X1779">
        <v>0.97555059999999905</v>
      </c>
      <c r="Y1779">
        <v>-0.46105159999999901</v>
      </c>
      <c r="Z1779">
        <v>5.7759250000000003E-3</v>
      </c>
      <c r="AA1779">
        <v>0.88735459999999999</v>
      </c>
      <c r="AB1779">
        <v>41</v>
      </c>
      <c r="AC1779">
        <v>-0.37919999999996801</v>
      </c>
      <c r="AD1779">
        <v>-8.4957999999999798E-2</v>
      </c>
      <c r="AE1779">
        <v>-0.65019999999998301</v>
      </c>
      <c r="AF1779">
        <v>-0.49598369386396202</v>
      </c>
      <c r="AG1779">
        <v>-8.4957999999999798E-2</v>
      </c>
      <c r="AH1779">
        <v>0.55352360861983796</v>
      </c>
      <c r="AI1779">
        <v>96.521143347902793</v>
      </c>
      <c r="AJ1779">
        <v>131.86186367507599</v>
      </c>
      <c r="AK1779">
        <v>0.74806822659598904</v>
      </c>
    </row>
    <row r="1780" spans="1:37" x14ac:dyDescent="0.2">
      <c r="A1780" t="str">
        <f>"20200111154100293"</f>
        <v>20200111154100293</v>
      </c>
      <c r="B1780" t="str">
        <f>"1578728460288018"</f>
        <v>1578728460288018</v>
      </c>
      <c r="C1780" t="s">
        <v>37</v>
      </c>
      <c r="D1780">
        <v>4.6715679999999997</v>
      </c>
      <c r="E1780">
        <v>0.38476159999999998</v>
      </c>
      <c r="F1780" t="s">
        <v>38</v>
      </c>
      <c r="G1780">
        <v>-479.65440000000001</v>
      </c>
      <c r="H1780">
        <v>1.0581049999999901</v>
      </c>
      <c r="I1780">
        <v>281.02379999999999</v>
      </c>
      <c r="J1780">
        <v>-479.31420000000003</v>
      </c>
      <c r="K1780">
        <v>1.1268</v>
      </c>
      <c r="L1780">
        <v>281.64609999999999</v>
      </c>
      <c r="M1780">
        <v>-0.94648180000000004</v>
      </c>
      <c r="N1780">
        <v>0</v>
      </c>
      <c r="O1780">
        <v>-0.32186520000000002</v>
      </c>
      <c r="P1780">
        <v>-0.85925059999999998</v>
      </c>
      <c r="Q1780">
        <v>7.3266289999999998E-2</v>
      </c>
      <c r="R1780">
        <v>-0.50628139999999999</v>
      </c>
      <c r="S1780">
        <v>-2.1865839999999999</v>
      </c>
      <c r="T1780">
        <v>-0.20692249999999901</v>
      </c>
      <c r="U1780">
        <v>-2.2814030000000001</v>
      </c>
      <c r="V1780">
        <v>-0.2062165</v>
      </c>
      <c r="W1780">
        <v>8.8875010000000004E-2</v>
      </c>
      <c r="X1780">
        <v>0.97446189999999999</v>
      </c>
      <c r="Y1780">
        <v>-0.46043770000000001</v>
      </c>
      <c r="Z1780">
        <v>5.9541819999999997E-3</v>
      </c>
      <c r="AA1780">
        <v>0.88767199999999902</v>
      </c>
      <c r="AB1780">
        <v>41</v>
      </c>
      <c r="AC1780">
        <v>-0.34019999999998102</v>
      </c>
      <c r="AD1780">
        <v>-6.8695000000000103E-2</v>
      </c>
      <c r="AE1780">
        <v>-0.62229999999999497</v>
      </c>
      <c r="AF1780">
        <v>-0.47517696255002601</v>
      </c>
      <c r="AG1780">
        <v>-6.8695000000000103E-2</v>
      </c>
      <c r="AH1780">
        <v>0.51758415241296096</v>
      </c>
      <c r="AI1780">
        <v>95.5839827568103</v>
      </c>
      <c r="AJ1780">
        <v>132.55401704452399</v>
      </c>
      <c r="AK1780">
        <v>0.70597840164718395</v>
      </c>
    </row>
    <row r="1781" spans="1:37" x14ac:dyDescent="0.2">
      <c r="A1781" t="str">
        <f>"20200111154100317"</f>
        <v>20200111154100317</v>
      </c>
      <c r="B1781" t="str">
        <f>"1578728460307538"</f>
        <v>1578728460307538</v>
      </c>
      <c r="C1781" t="s">
        <v>37</v>
      </c>
      <c r="D1781">
        <v>4.4862339999999996</v>
      </c>
      <c r="E1781">
        <v>0.3844109</v>
      </c>
      <c r="F1781" t="s">
        <v>38</v>
      </c>
      <c r="G1781">
        <v>-479.99400000000003</v>
      </c>
      <c r="H1781">
        <v>1.062522</v>
      </c>
      <c r="I1781">
        <v>280.91269999999997</v>
      </c>
      <c r="J1781">
        <v>-479.68650000000002</v>
      </c>
      <c r="K1781">
        <v>1.1270129999999901</v>
      </c>
      <c r="L1781">
        <v>281.5111</v>
      </c>
      <c r="M1781">
        <v>-0.94135400000000002</v>
      </c>
      <c r="N1781">
        <v>0</v>
      </c>
      <c r="O1781">
        <v>-0.336564799999999</v>
      </c>
      <c r="P1781">
        <v>-0.84870080000000003</v>
      </c>
      <c r="Q1781">
        <v>7.2963710000000001E-2</v>
      </c>
      <c r="R1781">
        <v>-0.52381610000000001</v>
      </c>
      <c r="S1781">
        <v>-2.144806</v>
      </c>
      <c r="T1781">
        <v>-0.202800799999999</v>
      </c>
      <c r="U1781">
        <v>-2.3146969999999998</v>
      </c>
      <c r="V1781">
        <v>-0.2110841</v>
      </c>
      <c r="W1781">
        <v>8.8277990000000001E-2</v>
      </c>
      <c r="X1781">
        <v>0.97347340000000004</v>
      </c>
      <c r="Y1781">
        <v>-0.46161449999999998</v>
      </c>
      <c r="Z1781">
        <v>6.8257129999999997E-3</v>
      </c>
      <c r="AA1781">
        <v>0.88705440000000002</v>
      </c>
      <c r="AB1781">
        <v>41</v>
      </c>
      <c r="AC1781">
        <v>-0.30750000000000399</v>
      </c>
      <c r="AD1781">
        <v>-6.4490999999999798E-2</v>
      </c>
      <c r="AE1781">
        <v>-0.59840000000002602</v>
      </c>
      <c r="AF1781">
        <v>-0.455757475752952</v>
      </c>
      <c r="AG1781">
        <v>-6.4490999999999798E-2</v>
      </c>
      <c r="AH1781">
        <v>0.48653778305923401</v>
      </c>
      <c r="AI1781">
        <v>95.525465696856799</v>
      </c>
      <c r="AJ1781">
        <v>133.12908445889499</v>
      </c>
      <c r="AK1781">
        <v>0.66977084150468702</v>
      </c>
    </row>
    <row r="1782" spans="1:37" x14ac:dyDescent="0.2">
      <c r="A1782" t="str">
        <f>"20200111154100338"</f>
        <v>20200111154100338</v>
      </c>
      <c r="B1782" t="str">
        <f>"1578728460328034"</f>
        <v>1578728460328034</v>
      </c>
      <c r="C1782" t="s">
        <v>37</v>
      </c>
      <c r="D1782">
        <v>4.6983540000000001</v>
      </c>
      <c r="E1782">
        <v>0.34833740000000002</v>
      </c>
      <c r="F1782" t="s">
        <v>38</v>
      </c>
      <c r="G1782">
        <v>-480.32619999999997</v>
      </c>
      <c r="H1782">
        <v>1.064457</v>
      </c>
      <c r="I1782">
        <v>280.79070000000002</v>
      </c>
      <c r="J1782">
        <v>-480.05399999999997</v>
      </c>
      <c r="K1782">
        <v>1.1272149999999901</v>
      </c>
      <c r="L1782">
        <v>281.37150000000003</v>
      </c>
      <c r="M1782">
        <v>-0.93592960000000003</v>
      </c>
      <c r="N1782">
        <v>0</v>
      </c>
      <c r="O1782">
        <v>-0.35136459999999903</v>
      </c>
      <c r="P1782">
        <v>-0.83740590000000004</v>
      </c>
      <c r="Q1782">
        <v>7.2836620000000005E-2</v>
      </c>
      <c r="R1782">
        <v>-0.54170649999999998</v>
      </c>
      <c r="S1782">
        <v>-2.0951840000000002</v>
      </c>
      <c r="T1782">
        <v>-0.204851899999999</v>
      </c>
      <c r="U1782">
        <v>-2.3610229999999999</v>
      </c>
      <c r="V1782">
        <v>-0.21643399999999999</v>
      </c>
      <c r="W1782">
        <v>8.7839089999999995E-2</v>
      </c>
      <c r="X1782">
        <v>0.97233769999999997</v>
      </c>
      <c r="Y1782">
        <v>-0.46670990000000001</v>
      </c>
      <c r="Z1782">
        <v>7.752948E-3</v>
      </c>
      <c r="AA1782">
        <v>0.88437649999999901</v>
      </c>
      <c r="AB1782">
        <v>41</v>
      </c>
      <c r="AC1782">
        <v>-0.27219999999994099</v>
      </c>
      <c r="AD1782">
        <v>-6.27579999999998E-2</v>
      </c>
      <c r="AE1782">
        <v>-0.58080000000000997</v>
      </c>
      <c r="AF1782">
        <v>-0.44382734734099699</v>
      </c>
      <c r="AG1782">
        <v>-6.27579999999998E-2</v>
      </c>
      <c r="AH1782">
        <v>0.45461337248744299</v>
      </c>
      <c r="AI1782">
        <v>95.641303119573806</v>
      </c>
      <c r="AJ1782">
        <v>134.31218163004601</v>
      </c>
      <c r="AK1782">
        <v>0.63843135829637399</v>
      </c>
    </row>
    <row r="1783" spans="1:37" x14ac:dyDescent="0.2">
      <c r="A1783" t="str">
        <f>"20200111154100361"</f>
        <v>20200111154100361</v>
      </c>
      <c r="B1783" t="str">
        <f>"1578728460358291"</f>
        <v>1578728460358291</v>
      </c>
      <c r="C1783" t="s">
        <v>37</v>
      </c>
      <c r="D1783">
        <v>4.6580309999999896</v>
      </c>
      <c r="E1783">
        <v>0.33065319999999998</v>
      </c>
      <c r="F1783" t="s">
        <v>38</v>
      </c>
      <c r="G1783">
        <v>-480.60980000000001</v>
      </c>
      <c r="H1783">
        <v>1.044273</v>
      </c>
      <c r="I1783">
        <v>280.59480000000002</v>
      </c>
      <c r="J1783">
        <v>-480.42419999999998</v>
      </c>
      <c r="K1783">
        <v>1.127399</v>
      </c>
      <c r="L1783">
        <v>281.2242</v>
      </c>
      <c r="M1783">
        <v>-0.93008219999999997</v>
      </c>
      <c r="N1783">
        <v>0</v>
      </c>
      <c r="O1783">
        <v>-0.36656030000000001</v>
      </c>
      <c r="P1783">
        <v>-0.82510749999999999</v>
      </c>
      <c r="Q1783">
        <v>7.2352899999999998E-2</v>
      </c>
      <c r="R1783">
        <v>-0.56032349999999997</v>
      </c>
      <c r="S1783">
        <v>-1.8946529999999999</v>
      </c>
      <c r="T1783">
        <v>-0.28268090000000001</v>
      </c>
      <c r="U1783">
        <v>-2.6472470000000001</v>
      </c>
      <c r="V1783">
        <v>-0.22238759999999999</v>
      </c>
      <c r="W1783">
        <v>8.701921E-2</v>
      </c>
      <c r="X1783">
        <v>0.97106709999999996</v>
      </c>
      <c r="Y1783">
        <v>-0.54250259999999995</v>
      </c>
      <c r="Z1783">
        <v>8.0057889999999993E-3</v>
      </c>
      <c r="AA1783">
        <v>0.84001589999999904</v>
      </c>
      <c r="AB1783">
        <v>41</v>
      </c>
      <c r="AC1783">
        <v>-0.185600000000022</v>
      </c>
      <c r="AD1783">
        <v>-8.3126000000000005E-2</v>
      </c>
      <c r="AE1783">
        <v>-0.62939999999997498</v>
      </c>
      <c r="AF1783">
        <v>-0.50933681656309904</v>
      </c>
      <c r="AG1783">
        <v>-8.3126000000000005E-2</v>
      </c>
      <c r="AH1783">
        <v>0.397081285999902</v>
      </c>
      <c r="AI1783">
        <v>97.334313487316606</v>
      </c>
      <c r="AJ1783">
        <v>142.05985983643001</v>
      </c>
      <c r="AK1783">
        <v>0.65115856154547203</v>
      </c>
    </row>
    <row r="1784" spans="1:37" x14ac:dyDescent="0.2">
      <c r="A1784" t="str">
        <f>"20200111154100384"</f>
        <v>20200111154100384</v>
      </c>
      <c r="B1784" t="str">
        <f>"1578728460377810"</f>
        <v>1578728460377810</v>
      </c>
      <c r="C1784" t="s">
        <v>37</v>
      </c>
      <c r="D1784">
        <v>4.5790430000000004</v>
      </c>
      <c r="E1784">
        <v>0.32789889999999999</v>
      </c>
      <c r="F1784" t="s">
        <v>38</v>
      </c>
      <c r="G1784">
        <v>-480.91669999999999</v>
      </c>
      <c r="H1784">
        <v>1.0408389999999901</v>
      </c>
      <c r="I1784">
        <v>280.43869999999998</v>
      </c>
      <c r="J1784">
        <v>-480.80270000000002</v>
      </c>
      <c r="K1784">
        <v>1.1275790000000001</v>
      </c>
      <c r="L1784">
        <v>281.06630000000001</v>
      </c>
      <c r="M1784">
        <v>-0.92368629999999996</v>
      </c>
      <c r="N1784">
        <v>0</v>
      </c>
      <c r="O1784">
        <v>-0.38238879999999997</v>
      </c>
      <c r="P1784">
        <v>-0.81247780000000003</v>
      </c>
      <c r="Q1784">
        <v>7.1340280000000006E-2</v>
      </c>
      <c r="R1784">
        <v>-0.57861119999999899</v>
      </c>
      <c r="S1784">
        <v>-1.758087</v>
      </c>
      <c r="T1784">
        <v>-0.30895909999999999</v>
      </c>
      <c r="U1784">
        <v>-2.8050229999999998</v>
      </c>
      <c r="V1784">
        <v>-0.22746540000000001</v>
      </c>
      <c r="W1784">
        <v>8.571281E-2</v>
      </c>
      <c r="X1784">
        <v>0.97000659999999905</v>
      </c>
      <c r="Y1784">
        <v>-0.578932</v>
      </c>
      <c r="Z1784">
        <v>8.1808379999999993E-3</v>
      </c>
      <c r="AA1784">
        <v>0.81533480000000003</v>
      </c>
      <c r="AB1784">
        <v>40</v>
      </c>
      <c r="AC1784">
        <v>-0.113999999999975</v>
      </c>
      <c r="AD1784">
        <v>-8.6740000000000206E-2</v>
      </c>
      <c r="AE1784">
        <v>-0.62760000000002902</v>
      </c>
      <c r="AF1784">
        <v>-0.52653294431898601</v>
      </c>
      <c r="AG1784">
        <v>-8.6740000000000206E-2</v>
      </c>
      <c r="AH1784">
        <v>0.33911721936356098</v>
      </c>
      <c r="AI1784">
        <v>97.885214174329704</v>
      </c>
      <c r="AJ1784">
        <v>147.21615706834399</v>
      </c>
      <c r="AK1784">
        <v>0.63226676136113202</v>
      </c>
    </row>
    <row r="1785" spans="1:37" x14ac:dyDescent="0.2">
      <c r="A1785" t="str">
        <f>"20200111154100405"</f>
        <v>20200111154100405</v>
      </c>
      <c r="B1785" t="str">
        <f>"1578728460398306"</f>
        <v>1578728460398306</v>
      </c>
      <c r="C1785" t="s">
        <v>37</v>
      </c>
      <c r="D1785">
        <v>4.6204049999999999</v>
      </c>
      <c r="E1785">
        <v>0.32809479999999902</v>
      </c>
      <c r="F1785" t="s">
        <v>43</v>
      </c>
      <c r="G1785">
        <v>-486.91160000000002</v>
      </c>
      <c r="H1785" s="1">
        <v>1.8713810000000001E-7</v>
      </c>
      <c r="I1785">
        <v>270.6789</v>
      </c>
      <c r="J1785">
        <v>-481.15280000000001</v>
      </c>
      <c r="K1785">
        <v>1.127726</v>
      </c>
      <c r="L1785">
        <v>280.91309999999999</v>
      </c>
      <c r="M1785">
        <v>-0.91736600000000001</v>
      </c>
      <c r="N1785">
        <v>0</v>
      </c>
      <c r="O1785">
        <v>-0.39730949999999998</v>
      </c>
      <c r="P1785">
        <v>-0.80068119999999998</v>
      </c>
      <c r="Q1785">
        <v>6.8912539999999994E-2</v>
      </c>
      <c r="R1785">
        <v>-0.59511389999999997</v>
      </c>
      <c r="S1785">
        <v>-1.682404</v>
      </c>
      <c r="T1785">
        <v>-0.31053700000000001</v>
      </c>
      <c r="U1785">
        <v>-2.860687</v>
      </c>
      <c r="V1785">
        <v>-0.23144789999999901</v>
      </c>
      <c r="W1785">
        <v>8.3052529999999999E-2</v>
      </c>
      <c r="X1785">
        <v>0.96929569999999998</v>
      </c>
      <c r="Y1785">
        <v>-0.58870239999999996</v>
      </c>
      <c r="Z1785">
        <v>9.2144529999999992E-3</v>
      </c>
      <c r="AA1785">
        <v>0.80829740000000005</v>
      </c>
      <c r="AB1785">
        <v>40</v>
      </c>
      <c r="AC1785">
        <v>-5.7587999999999999</v>
      </c>
      <c r="AD1785">
        <v>-1.1277258128619001</v>
      </c>
      <c r="AE1785">
        <v>-10.2341999999999</v>
      </c>
      <c r="AF1785">
        <v>-7.0376555389586102</v>
      </c>
      <c r="AG1785">
        <v>-1.1277258128619001</v>
      </c>
      <c r="AH1785">
        <v>9.2663508613377097</v>
      </c>
      <c r="AI1785">
        <v>95.535698061779897</v>
      </c>
      <c r="AJ1785">
        <v>127.21612954369699</v>
      </c>
      <c r="AK1785">
        <v>11.6904071477191</v>
      </c>
    </row>
    <row r="1786" spans="1:37" x14ac:dyDescent="0.2">
      <c r="A1786" t="str">
        <f>"20200111154100427"</f>
        <v>20200111154100427</v>
      </c>
      <c r="B1786" t="str">
        <f>"1578728460417826"</f>
        <v>1578728460417826</v>
      </c>
      <c r="C1786" t="s">
        <v>37</v>
      </c>
      <c r="D1786">
        <v>4.7237200000000001</v>
      </c>
      <c r="E1786">
        <v>0.32805380000000001</v>
      </c>
      <c r="F1786" t="s">
        <v>43</v>
      </c>
      <c r="G1786">
        <v>-486.96859999999998</v>
      </c>
      <c r="H1786" s="1">
        <v>1.6384799999999899E-7</v>
      </c>
      <c r="I1786">
        <v>270.54669999999999</v>
      </c>
      <c r="J1786">
        <v>-481.50369999999998</v>
      </c>
      <c r="K1786">
        <v>1.1278589999999999</v>
      </c>
      <c r="L1786">
        <v>280.75279999999998</v>
      </c>
      <c r="M1786">
        <v>-0.91063629999999995</v>
      </c>
      <c r="N1786">
        <v>0</v>
      </c>
      <c r="O1786">
        <v>-0.41249799999999998</v>
      </c>
      <c r="P1786">
        <v>-0.78910369999999996</v>
      </c>
      <c r="Q1786">
        <v>6.5514849999999999E-2</v>
      </c>
      <c r="R1786">
        <v>-0.61075649999999904</v>
      </c>
      <c r="S1786">
        <v>-1.6232599999999999</v>
      </c>
      <c r="T1786">
        <v>-0.31476579999999998</v>
      </c>
      <c r="U1786">
        <v>-2.8934329999999999</v>
      </c>
      <c r="V1786">
        <v>-0.23419599999999999</v>
      </c>
      <c r="W1786">
        <v>7.9488069999999994E-2</v>
      </c>
      <c r="X1786">
        <v>0.96893439999999997</v>
      </c>
      <c r="Y1786">
        <v>-0.59175149999999999</v>
      </c>
      <c r="Z1786">
        <v>1.080732E-2</v>
      </c>
      <c r="AA1786">
        <v>0.80604799999999999</v>
      </c>
      <c r="AB1786">
        <v>40</v>
      </c>
      <c r="AC1786">
        <v>-5.4649000000000001</v>
      </c>
      <c r="AD1786">
        <v>-1.1278588361519899</v>
      </c>
      <c r="AE1786">
        <v>-10.2060999999999</v>
      </c>
      <c r="AF1786">
        <v>-6.9756462921856901</v>
      </c>
      <c r="AG1786">
        <v>-1.1278588361519899</v>
      </c>
      <c r="AH1786">
        <v>9.10283489951847</v>
      </c>
      <c r="AI1786">
        <v>95.616750092752795</v>
      </c>
      <c r="AJ1786">
        <v>127.463516544337</v>
      </c>
      <c r="AK1786">
        <v>11.523597960526899</v>
      </c>
    </row>
    <row r="1787" spans="1:37" x14ac:dyDescent="0.2">
      <c r="A1787" t="str">
        <f>"20200111154100450"</f>
        <v>20200111154100450</v>
      </c>
      <c r="B1787" t="str">
        <f>"1578728460438323"</f>
        <v>1578728460438323</v>
      </c>
      <c r="C1787" t="s">
        <v>37</v>
      </c>
      <c r="D1787">
        <v>4.6346749999999997</v>
      </c>
      <c r="E1787">
        <v>0.34634530000000002</v>
      </c>
      <c r="F1787" t="s">
        <v>43</v>
      </c>
      <c r="G1787">
        <v>-486.99419999999998</v>
      </c>
      <c r="H1787" s="1">
        <v>1.5397009999999999E-7</v>
      </c>
      <c r="I1787">
        <v>270.49059999999997</v>
      </c>
      <c r="J1787">
        <v>-481.851</v>
      </c>
      <c r="K1787">
        <v>1.1279760000000001</v>
      </c>
      <c r="L1787">
        <v>280.58730000000003</v>
      </c>
      <c r="M1787">
        <v>-0.90356639999999999</v>
      </c>
      <c r="N1787">
        <v>0</v>
      </c>
      <c r="O1787">
        <v>-0.42775959999999902</v>
      </c>
      <c r="P1787">
        <v>-0.77721879999999999</v>
      </c>
      <c r="Q1787">
        <v>6.183491E-2</v>
      </c>
      <c r="R1787">
        <v>-0.62618479999999999</v>
      </c>
      <c r="S1787">
        <v>-1.564789</v>
      </c>
      <c r="T1787">
        <v>-0.3214378</v>
      </c>
      <c r="U1787">
        <v>-2.9247130000000001</v>
      </c>
      <c r="V1787">
        <v>-0.236736</v>
      </c>
      <c r="W1787">
        <v>7.5656360000000006E-2</v>
      </c>
      <c r="X1787">
        <v>0.96862389999999998</v>
      </c>
      <c r="Y1787">
        <v>-0.59430989999999995</v>
      </c>
      <c r="Z1787">
        <v>1.2582940000000001E-2</v>
      </c>
      <c r="AA1787">
        <v>0.80413760000000001</v>
      </c>
      <c r="AB1787">
        <v>40</v>
      </c>
      <c r="AC1787">
        <v>-5.14319999999997</v>
      </c>
      <c r="AD1787">
        <v>-1.1279758460299001</v>
      </c>
      <c r="AE1787">
        <v>-10.0967</v>
      </c>
      <c r="AF1787">
        <v>-6.8570773832093899</v>
      </c>
      <c r="AG1787">
        <v>-1.1279758460299001</v>
      </c>
      <c r="AH1787">
        <v>8.8808230704399307</v>
      </c>
      <c r="AI1787">
        <v>95.740802598278293</v>
      </c>
      <c r="AJ1787">
        <v>127.672514105613</v>
      </c>
      <c r="AK1787">
        <v>11.276562337743099</v>
      </c>
    </row>
    <row r="1788" spans="1:37" x14ac:dyDescent="0.2">
      <c r="A1788" t="str">
        <f>"20200111154100473"</f>
        <v>20200111154100473</v>
      </c>
      <c r="B1788" t="str">
        <f>"1578728460467602"</f>
        <v>1578728460467602</v>
      </c>
      <c r="C1788" t="s">
        <v>37</v>
      </c>
      <c r="D1788">
        <v>4.6128130000000001</v>
      </c>
      <c r="E1788">
        <v>0.342918099999999</v>
      </c>
      <c r="F1788" t="s">
        <v>43</v>
      </c>
      <c r="G1788">
        <v>-487.04169999999999</v>
      </c>
      <c r="H1788" s="1">
        <v>3.5925749999999999E-7</v>
      </c>
      <c r="I1788">
        <v>271.36430000000001</v>
      </c>
      <c r="J1788">
        <v>-482.20249999999999</v>
      </c>
      <c r="K1788">
        <v>1.128088</v>
      </c>
      <c r="L1788">
        <v>280.41239999999999</v>
      </c>
      <c r="M1788">
        <v>-0.8959743</v>
      </c>
      <c r="N1788">
        <v>0</v>
      </c>
      <c r="O1788">
        <v>-0.44343939999999998</v>
      </c>
      <c r="P1788">
        <v>-0.76577139999999999</v>
      </c>
      <c r="Q1788">
        <v>5.8490420000000001E-2</v>
      </c>
      <c r="R1788">
        <v>-0.64044799999999902</v>
      </c>
      <c r="S1788">
        <v>-1.598816</v>
      </c>
      <c r="T1788">
        <v>-0.34742699999999999</v>
      </c>
      <c r="U1788">
        <v>-2.8407900000000001</v>
      </c>
      <c r="V1788">
        <v>-0.2375389</v>
      </c>
      <c r="W1788">
        <v>7.2243479999999999E-2</v>
      </c>
      <c r="X1788">
        <v>0.96868779999999999</v>
      </c>
      <c r="Y1788">
        <v>-0.5627605</v>
      </c>
      <c r="Z1788">
        <v>1.7791330000000001E-2</v>
      </c>
      <c r="AA1788">
        <v>0.82642859999999996</v>
      </c>
      <c r="AB1788">
        <v>40</v>
      </c>
      <c r="AC1788">
        <v>-4.8391999999999999</v>
      </c>
      <c r="AD1788">
        <v>-1.1280876407425</v>
      </c>
      <c r="AE1788">
        <v>-9.0480999999999696</v>
      </c>
      <c r="AF1788">
        <v>-5.8915266807836097</v>
      </c>
      <c r="AG1788">
        <v>-1.1280876407425</v>
      </c>
      <c r="AH1788">
        <v>8.2508261593721599</v>
      </c>
      <c r="AI1788">
        <v>96.349145194655193</v>
      </c>
      <c r="AJ1788">
        <v>125.52884559296</v>
      </c>
      <c r="AK1788">
        <v>10.2009215597298</v>
      </c>
    </row>
    <row r="1789" spans="1:37" x14ac:dyDescent="0.2">
      <c r="A1789" t="str">
        <f>"20200111154100494"</f>
        <v>20200111154100494</v>
      </c>
      <c r="B1789" t="str">
        <f>"1578728460488102"</f>
        <v>1578728460488102</v>
      </c>
      <c r="C1789" t="s">
        <v>37</v>
      </c>
      <c r="D1789">
        <v>4.5760620000000003</v>
      </c>
      <c r="E1789">
        <v>0.34285900000000002</v>
      </c>
      <c r="F1789" t="s">
        <v>43</v>
      </c>
      <c r="G1789">
        <v>-487.36720000000003</v>
      </c>
      <c r="H1789" s="1">
        <v>1.7931939999999999E-7</v>
      </c>
      <c r="I1789">
        <v>270.6345</v>
      </c>
      <c r="J1789">
        <v>-482.54430000000002</v>
      </c>
      <c r="K1789">
        <v>1.128199</v>
      </c>
      <c r="L1789">
        <v>280.23520000000002</v>
      </c>
      <c r="M1789">
        <v>-0.88815549999999999</v>
      </c>
      <c r="N1789">
        <v>0</v>
      </c>
      <c r="O1789">
        <v>-0.45889619999999998</v>
      </c>
      <c r="P1789">
        <v>-0.75525339999999996</v>
      </c>
      <c r="Q1789">
        <v>5.6738749999999998E-2</v>
      </c>
      <c r="R1789">
        <v>-0.65297260000000001</v>
      </c>
      <c r="S1789">
        <v>-1.5263370000000001</v>
      </c>
      <c r="T1789">
        <v>-0.33338959999999901</v>
      </c>
      <c r="U1789">
        <v>-2.8897089999999999</v>
      </c>
      <c r="V1789">
        <v>-0.23659729999999901</v>
      </c>
      <c r="W1789">
        <v>7.051077E-2</v>
      </c>
      <c r="X1789">
        <v>0.96904590000000002</v>
      </c>
      <c r="Y1789">
        <v>-0.57054110000000002</v>
      </c>
      <c r="Z1789">
        <v>1.838306E-2</v>
      </c>
      <c r="AA1789">
        <v>0.82106329999999905</v>
      </c>
      <c r="AB1789">
        <v>39</v>
      </c>
      <c r="AC1789">
        <v>-4.8228999999999997</v>
      </c>
      <c r="AD1789">
        <v>-1.1281988206806</v>
      </c>
      <c r="AE1789">
        <v>-9.6007000000000104</v>
      </c>
      <c r="AF1789">
        <v>-6.2467009600319798</v>
      </c>
      <c r="AG1789">
        <v>-1.1281988206806</v>
      </c>
      <c r="AH1789">
        <v>8.5969972069691902</v>
      </c>
      <c r="AI1789">
        <v>96.060111021266906</v>
      </c>
      <c r="AJ1789">
        <v>126.002690755329</v>
      </c>
      <c r="AK1789">
        <v>10.686555405727599</v>
      </c>
    </row>
    <row r="1790" spans="1:37" x14ac:dyDescent="0.2">
      <c r="A1790" t="str">
        <f>"20200111154100517"</f>
        <v>20200111154100517</v>
      </c>
      <c r="B1790" t="str">
        <f>"1578728460507619"</f>
        <v>1578728460507619</v>
      </c>
      <c r="C1790" t="s">
        <v>37</v>
      </c>
      <c r="D1790">
        <v>4.5894589999999997</v>
      </c>
      <c r="E1790">
        <v>0.34397100000000003</v>
      </c>
      <c r="F1790" t="s">
        <v>38</v>
      </c>
      <c r="G1790">
        <v>-483.00580000000002</v>
      </c>
      <c r="H1790">
        <v>1.0247729999999999</v>
      </c>
      <c r="I1790">
        <v>279.32479999999998</v>
      </c>
      <c r="J1790">
        <v>-482.87479999999999</v>
      </c>
      <c r="K1790">
        <v>1.12829</v>
      </c>
      <c r="L1790">
        <v>280.05669999999998</v>
      </c>
      <c r="M1790">
        <v>-0.88016620000000001</v>
      </c>
      <c r="N1790">
        <v>0</v>
      </c>
      <c r="O1790">
        <v>-0.47403689999999998</v>
      </c>
      <c r="P1790">
        <v>-0.74371809999999905</v>
      </c>
      <c r="Q1790">
        <v>5.5702740000000001E-2</v>
      </c>
      <c r="R1790">
        <v>-0.6661686</v>
      </c>
      <c r="S1790">
        <v>-1.477112</v>
      </c>
      <c r="T1790">
        <v>-0.33105250000000003</v>
      </c>
      <c r="U1790">
        <v>-2.914612</v>
      </c>
      <c r="V1790">
        <v>-0.2370061</v>
      </c>
      <c r="W1790">
        <v>6.9435780000000002E-2</v>
      </c>
      <c r="X1790">
        <v>0.96902359999999899</v>
      </c>
      <c r="Y1790">
        <v>-0.57040459999999904</v>
      </c>
      <c r="Z1790">
        <v>2.0047700000000002E-2</v>
      </c>
      <c r="AA1790">
        <v>0.82111909999999899</v>
      </c>
      <c r="AB1790">
        <v>39</v>
      </c>
      <c r="AC1790">
        <v>-0.13100000000002801</v>
      </c>
      <c r="AD1790">
        <v>-0.103517</v>
      </c>
      <c r="AE1790">
        <v>-0.731899999999996</v>
      </c>
      <c r="AF1790">
        <v>-0.57119687803178798</v>
      </c>
      <c r="AG1790">
        <v>-0.103517</v>
      </c>
      <c r="AH1790">
        <v>0.45359518545723898</v>
      </c>
      <c r="AI1790">
        <v>98.077591644970894</v>
      </c>
      <c r="AJ1790">
        <v>141.546434442318</v>
      </c>
      <c r="AK1790">
        <v>0.736702270277653</v>
      </c>
    </row>
    <row r="1791" spans="1:37" x14ac:dyDescent="0.2">
      <c r="A1791" t="str">
        <f>"20200111154100530"</f>
        <v>20200111154100530</v>
      </c>
      <c r="B1791" t="str">
        <f>"1578728460518355"</f>
        <v>1578728460518355</v>
      </c>
      <c r="C1791" t="s">
        <v>37</v>
      </c>
      <c r="D1791">
        <v>4.5875009999999996</v>
      </c>
      <c r="E1791">
        <v>0.34457909999999897</v>
      </c>
      <c r="F1791" t="s">
        <v>38</v>
      </c>
      <c r="G1791">
        <v>-483.30590000000001</v>
      </c>
      <c r="H1791">
        <v>1.029682</v>
      </c>
      <c r="I1791">
        <v>279.1728</v>
      </c>
      <c r="J1791">
        <v>-483.06240000000003</v>
      </c>
      <c r="K1791">
        <v>1.1283449999999999</v>
      </c>
      <c r="L1791">
        <v>279.95190000000002</v>
      </c>
      <c r="M1791">
        <v>-0.87542849999999905</v>
      </c>
      <c r="N1791">
        <v>0</v>
      </c>
      <c r="O1791">
        <v>-0.48272890000000002</v>
      </c>
      <c r="P1791">
        <v>-0.73719109999999999</v>
      </c>
      <c r="Q1791">
        <v>5.5422289999999999E-2</v>
      </c>
      <c r="R1791">
        <v>-0.6734076</v>
      </c>
      <c r="S1791">
        <v>-1.430267</v>
      </c>
      <c r="T1791">
        <v>-0.3271425</v>
      </c>
      <c r="U1791">
        <v>-2.9339900000000001</v>
      </c>
      <c r="V1791">
        <v>-0.23687359999999999</v>
      </c>
      <c r="W1791">
        <v>6.9152270000000002E-2</v>
      </c>
      <c r="X1791">
        <v>0.9690763</v>
      </c>
      <c r="Y1791">
        <v>-0.57500269999999898</v>
      </c>
      <c r="Z1791">
        <v>2.058039E-2</v>
      </c>
      <c r="AA1791">
        <v>0.81789259999999997</v>
      </c>
      <c r="AB1791">
        <v>39</v>
      </c>
      <c r="AC1791">
        <v>-0.24349999999998301</v>
      </c>
      <c r="AD1791">
        <v>-9.8663000000000098E-2</v>
      </c>
      <c r="AE1791">
        <v>-0.77910000000002799</v>
      </c>
      <c r="AF1791">
        <v>-0.55653968358061101</v>
      </c>
      <c r="AG1791">
        <v>-9.8663000000000098E-2</v>
      </c>
      <c r="AH1791">
        <v>0.58094953094467605</v>
      </c>
      <c r="AI1791">
        <v>96.991679321380801</v>
      </c>
      <c r="AJ1791">
        <v>133.77065506308301</v>
      </c>
      <c r="AK1791">
        <v>0.81053881120760995</v>
      </c>
    </row>
    <row r="1792" spans="1:37" x14ac:dyDescent="0.2">
      <c r="A1792" t="str">
        <f>"20200111154100544"</f>
        <v>20200111154100544</v>
      </c>
      <c r="B1792" t="str">
        <f>"1578728460537876"</f>
        <v>1578728460537876</v>
      </c>
      <c r="C1792" t="s">
        <v>37</v>
      </c>
      <c r="D1792">
        <v>4.5377269999999896</v>
      </c>
      <c r="E1792">
        <v>0.3461381</v>
      </c>
      <c r="F1792" t="s">
        <v>43</v>
      </c>
      <c r="G1792">
        <v>-487.90559999999999</v>
      </c>
      <c r="H1792" s="1">
        <v>3.2464039999999998E-8</v>
      </c>
      <c r="I1792">
        <v>269.80070000000001</v>
      </c>
      <c r="J1792">
        <v>-483.26889999999997</v>
      </c>
      <c r="K1792">
        <v>1.1284110000000001</v>
      </c>
      <c r="L1792">
        <v>279.83449999999999</v>
      </c>
      <c r="M1792">
        <v>-0.87005969999999999</v>
      </c>
      <c r="N1792">
        <v>0</v>
      </c>
      <c r="O1792">
        <v>-0.49233859999999902</v>
      </c>
      <c r="P1792">
        <v>-0.73007449999999996</v>
      </c>
      <c r="Q1792">
        <v>5.5519770000000003E-2</v>
      </c>
      <c r="R1792">
        <v>-0.68110879999999996</v>
      </c>
      <c r="S1792">
        <v>-1.404663</v>
      </c>
      <c r="T1792">
        <v>-0.3272526</v>
      </c>
      <c r="U1792">
        <v>-2.944153</v>
      </c>
      <c r="V1792">
        <v>-0.2363952</v>
      </c>
      <c r="W1792">
        <v>6.9264530000000005E-2</v>
      </c>
      <c r="X1792">
        <v>0.96918510000000002</v>
      </c>
      <c r="Y1792">
        <v>-0.57292180000000004</v>
      </c>
      <c r="Z1792">
        <v>2.1851849999999999E-2</v>
      </c>
      <c r="AA1792">
        <v>0.81931880000000001</v>
      </c>
      <c r="AB1792">
        <v>39</v>
      </c>
      <c r="AC1792">
        <v>-4.63670000000001</v>
      </c>
      <c r="AD1792">
        <v>-1.1284109675359599</v>
      </c>
      <c r="AE1792">
        <v>-10.0337999999999</v>
      </c>
      <c r="AF1792">
        <v>-6.3825909242638899</v>
      </c>
      <c r="AG1792">
        <v>-1.1284109675359599</v>
      </c>
      <c r="AH1792">
        <v>8.8843291698610507</v>
      </c>
      <c r="AI1792">
        <v>95.889334606249903</v>
      </c>
      <c r="AJ1792">
        <v>125.693844473507</v>
      </c>
      <c r="AK1792">
        <v>10.9973670947456</v>
      </c>
    </row>
    <row r="1793" spans="1:37" x14ac:dyDescent="0.2">
      <c r="A1793" t="str">
        <f>"20200111154100557"</f>
        <v>20200111154100557</v>
      </c>
      <c r="B1793" t="str">
        <f>"1578728460547635"</f>
        <v>1578728460547635</v>
      </c>
      <c r="C1793" t="s">
        <v>37</v>
      </c>
      <c r="D1793">
        <v>4.5606949999999999</v>
      </c>
      <c r="E1793">
        <v>0.34670619999999902</v>
      </c>
      <c r="F1793" t="s">
        <v>39</v>
      </c>
      <c r="G1793">
        <v>-488.07130000000001</v>
      </c>
      <c r="H1793" s="1">
        <v>-4.6095020000000001E-6</v>
      </c>
      <c r="I1793">
        <v>269.58010000000002</v>
      </c>
      <c r="J1793">
        <v>-483.4753</v>
      </c>
      <c r="K1793">
        <v>1.128471</v>
      </c>
      <c r="L1793">
        <v>279.71289999999999</v>
      </c>
      <c r="M1793">
        <v>-0.86447989999999997</v>
      </c>
      <c r="N1793">
        <v>0</v>
      </c>
      <c r="O1793">
        <v>-0.50206980000000001</v>
      </c>
      <c r="P1793">
        <v>-0.72290840000000001</v>
      </c>
      <c r="Q1793">
        <v>5.6083359999999999E-2</v>
      </c>
      <c r="R1793">
        <v>-0.6886641</v>
      </c>
      <c r="S1793">
        <v>-1.3816219999999999</v>
      </c>
      <c r="T1793">
        <v>-0.32464140000000002</v>
      </c>
      <c r="U1793">
        <v>-2.9501339999999998</v>
      </c>
      <c r="V1793">
        <v>-0.2356557</v>
      </c>
      <c r="W1793">
        <v>6.9858660000000003E-2</v>
      </c>
      <c r="X1793">
        <v>0.96932260000000003</v>
      </c>
      <c r="Y1793">
        <v>-0.56965250000000001</v>
      </c>
      <c r="Z1793">
        <v>2.303678E-2</v>
      </c>
      <c r="AA1793">
        <v>0.82156280000000004</v>
      </c>
      <c r="AB1793">
        <v>39</v>
      </c>
      <c r="AC1793">
        <v>-4.5960000000000001</v>
      </c>
      <c r="AD1793">
        <v>-1.1284756095020001</v>
      </c>
      <c r="AE1793">
        <v>-10.1327999999999</v>
      </c>
      <c r="AF1793">
        <v>-6.3883125246902797</v>
      </c>
      <c r="AG1793">
        <v>-1.1284756095020001</v>
      </c>
      <c r="AH1793">
        <v>8.9709624489952908</v>
      </c>
      <c r="AI1793">
        <v>95.850480823539996</v>
      </c>
      <c r="AJ1793">
        <v>125.455050111783</v>
      </c>
      <c r="AK1793">
        <v>11.0707796191433</v>
      </c>
    </row>
    <row r="1794" spans="1:37" x14ac:dyDescent="0.2">
      <c r="A1794" t="str">
        <f>"20200111154100570"</f>
        <v>20200111154100570</v>
      </c>
      <c r="B1794" t="str">
        <f>"1578728460568131"</f>
        <v>1578728460568131</v>
      </c>
      <c r="C1794" t="s">
        <v>37</v>
      </c>
      <c r="D1794">
        <v>4.5402659999999999</v>
      </c>
      <c r="E1794">
        <v>0.34695169999999997</v>
      </c>
      <c r="F1794" t="s">
        <v>38</v>
      </c>
      <c r="G1794">
        <v>-483.87599999999998</v>
      </c>
      <c r="H1794">
        <v>1.0336209999999999</v>
      </c>
      <c r="I1794">
        <v>278.83629999999999</v>
      </c>
      <c r="J1794">
        <v>-483.64819999999997</v>
      </c>
      <c r="K1794">
        <v>1.1285179999999999</v>
      </c>
      <c r="L1794">
        <v>279.60910000000001</v>
      </c>
      <c r="M1794">
        <v>-0.85967169999999904</v>
      </c>
      <c r="N1794">
        <v>0</v>
      </c>
      <c r="O1794">
        <v>-0.51025739999999997</v>
      </c>
      <c r="P1794">
        <v>-0.71691899999999997</v>
      </c>
      <c r="Q1794">
        <v>5.6435939999999997E-2</v>
      </c>
      <c r="R1794">
        <v>-0.69486829999999999</v>
      </c>
      <c r="S1794">
        <v>-1.3535459999999999</v>
      </c>
      <c r="T1794">
        <v>-0.32036389999999998</v>
      </c>
      <c r="U1794">
        <v>-2.9614560000000001</v>
      </c>
      <c r="V1794">
        <v>-0.23484070000000001</v>
      </c>
      <c r="W1794">
        <v>7.0248229999999995E-2</v>
      </c>
      <c r="X1794">
        <v>0.96949209999999997</v>
      </c>
      <c r="Y1794">
        <v>-0.56951309999999999</v>
      </c>
      <c r="Z1794">
        <v>2.3703660000000001E-2</v>
      </c>
      <c r="AA1794">
        <v>0.82164040000000005</v>
      </c>
      <c r="AB1794">
        <v>39</v>
      </c>
      <c r="AC1794">
        <v>-0.227800000000002</v>
      </c>
      <c r="AD1794">
        <v>-9.4897000000000203E-2</v>
      </c>
      <c r="AE1794">
        <v>-0.77280000000001703</v>
      </c>
      <c r="AF1794">
        <v>-0.54078020530051196</v>
      </c>
      <c r="AG1794">
        <v>-9.4897000000000203E-2</v>
      </c>
      <c r="AH1794">
        <v>0.58225987610504604</v>
      </c>
      <c r="AI1794">
        <v>96.809997779038099</v>
      </c>
      <c r="AJ1794">
        <v>132.88473246248299</v>
      </c>
      <c r="AK1794">
        <v>0.80029696636669001</v>
      </c>
    </row>
    <row r="1795" spans="1:37" x14ac:dyDescent="0.2">
      <c r="A1795" t="str">
        <f>"20200111154100584"</f>
        <v>20200111154100584</v>
      </c>
      <c r="B1795" t="str">
        <f>"1578728460577891"</f>
        <v>1578728460577891</v>
      </c>
      <c r="C1795" t="s">
        <v>37</v>
      </c>
      <c r="D1795">
        <v>4.5465220000000004</v>
      </c>
      <c r="E1795">
        <v>0.34728829999999999</v>
      </c>
      <c r="F1795" t="s">
        <v>39</v>
      </c>
      <c r="G1795">
        <v>-488.50990000000002</v>
      </c>
      <c r="H1795" s="1">
        <v>-4.1655780000000002E-6</v>
      </c>
      <c r="I1795">
        <v>268.72669999999999</v>
      </c>
      <c r="J1795">
        <v>-483.85489999999999</v>
      </c>
      <c r="K1795">
        <v>1.1285769999999999</v>
      </c>
      <c r="L1795">
        <v>279.48259999999999</v>
      </c>
      <c r="M1795">
        <v>-0.85375460000000003</v>
      </c>
      <c r="N1795">
        <v>0</v>
      </c>
      <c r="O1795">
        <v>-0.5200958</v>
      </c>
      <c r="P1795">
        <v>-0.70963109999999996</v>
      </c>
      <c r="Q1795">
        <v>5.6951759999999997E-2</v>
      </c>
      <c r="R1795">
        <v>-0.70226789999999994</v>
      </c>
      <c r="S1795">
        <v>-1.3279110000000001</v>
      </c>
      <c r="T1795">
        <v>-0.30823809999999902</v>
      </c>
      <c r="U1795">
        <v>-2.97235099999999</v>
      </c>
      <c r="V1795">
        <v>-0.23381750000000001</v>
      </c>
      <c r="W1795">
        <v>7.0811869999999999E-2</v>
      </c>
      <c r="X1795">
        <v>0.96969839999999996</v>
      </c>
      <c r="Y1795">
        <v>-0.56716849999999996</v>
      </c>
      <c r="Z1795">
        <v>2.4044920000000001E-2</v>
      </c>
      <c r="AA1795">
        <v>0.8232507</v>
      </c>
      <c r="AB1795">
        <v>38</v>
      </c>
      <c r="AC1795">
        <v>-4.6550000000000296</v>
      </c>
      <c r="AD1795">
        <v>-1.128581165578</v>
      </c>
      <c r="AE1795">
        <v>-10.755899999999899</v>
      </c>
      <c r="AF1795">
        <v>-6.7017503574713801</v>
      </c>
      <c r="AG1795">
        <v>-1.128581165578</v>
      </c>
      <c r="AH1795">
        <v>9.4832779214284493</v>
      </c>
      <c r="AI1795">
        <v>95.551042444259394</v>
      </c>
      <c r="AJ1795">
        <v>125.24851779201801</v>
      </c>
      <c r="AK1795">
        <v>11.667035331917701</v>
      </c>
    </row>
    <row r="1796" spans="1:37" x14ac:dyDescent="0.2">
      <c r="A1796" t="str">
        <f>"20200111154100595"</f>
        <v>20200111154100595</v>
      </c>
      <c r="B1796" t="str">
        <f>"1578728460587651"</f>
        <v>1578728460587651</v>
      </c>
      <c r="C1796" t="s">
        <v>37</v>
      </c>
      <c r="D1796">
        <v>4.5434469999999996</v>
      </c>
      <c r="E1796">
        <v>0.34771380000000002</v>
      </c>
      <c r="F1796" t="s">
        <v>39</v>
      </c>
      <c r="G1796">
        <v>-488.71480000000003</v>
      </c>
      <c r="H1796" s="1">
        <v>-3.9501770000000003E-6</v>
      </c>
      <c r="I1796">
        <v>268.30930000000001</v>
      </c>
      <c r="J1796">
        <v>-484.02269999999999</v>
      </c>
      <c r="K1796">
        <v>1.12862</v>
      </c>
      <c r="L1796">
        <v>279.37650000000002</v>
      </c>
      <c r="M1796">
        <v>-0.84877789999999997</v>
      </c>
      <c r="N1796">
        <v>0</v>
      </c>
      <c r="O1796">
        <v>-0.52817729999999996</v>
      </c>
      <c r="P1796">
        <v>-0.70409809999999995</v>
      </c>
      <c r="Q1796">
        <v>5.8251329999999997E-2</v>
      </c>
      <c r="R1796">
        <v>-0.70770929999999999</v>
      </c>
      <c r="S1796">
        <v>-1.298157</v>
      </c>
      <c r="T1796">
        <v>-0.30146289999999998</v>
      </c>
      <c r="U1796">
        <v>-2.9845579999999998</v>
      </c>
      <c r="V1796">
        <v>-0.2321947</v>
      </c>
      <c r="W1796">
        <v>7.2191630000000007E-2</v>
      </c>
      <c r="X1796">
        <v>0.96998660000000003</v>
      </c>
      <c r="Y1796">
        <v>-0.56751799999999997</v>
      </c>
      <c r="Z1796">
        <v>2.4396109999999999E-2</v>
      </c>
      <c r="AA1796">
        <v>0.82299949999999999</v>
      </c>
      <c r="AB1796">
        <v>38</v>
      </c>
      <c r="AC1796">
        <v>-4.6921000000000301</v>
      </c>
      <c r="AD1796">
        <v>-1.1286239501769999</v>
      </c>
      <c r="AE1796">
        <v>-11.0672</v>
      </c>
      <c r="AF1796">
        <v>-6.8569802868140499</v>
      </c>
      <c r="AG1796">
        <v>-1.1286239501769999</v>
      </c>
      <c r="AH1796">
        <v>9.7450628684743208</v>
      </c>
      <c r="AI1796">
        <v>95.410754387909094</v>
      </c>
      <c r="AJ1796">
        <v>125.13161128236</v>
      </c>
      <c r="AK1796">
        <v>11.969052635241701</v>
      </c>
    </row>
    <row r="1797" spans="1:37" x14ac:dyDescent="0.2">
      <c r="A1797" t="str">
        <f>"20200111154100609"</f>
        <v>20200111154100609</v>
      </c>
      <c r="B1797" t="str">
        <f>"1578728460598387"</f>
        <v>1578728460598387</v>
      </c>
      <c r="C1797" t="s">
        <v>37</v>
      </c>
      <c r="D1797">
        <v>4.6095360000000003</v>
      </c>
      <c r="E1797">
        <v>0.34795529999999902</v>
      </c>
      <c r="F1797" t="s">
        <v>38</v>
      </c>
      <c r="G1797">
        <v>-484.41109999999998</v>
      </c>
      <c r="H1797">
        <v>1.0394540000000001</v>
      </c>
      <c r="I1797">
        <v>278.46660000000003</v>
      </c>
      <c r="J1797">
        <v>-484.19279999999998</v>
      </c>
      <c r="K1797">
        <v>1.1286609999999999</v>
      </c>
      <c r="L1797">
        <v>279.26729999999998</v>
      </c>
      <c r="M1797">
        <v>-0.84360709999999905</v>
      </c>
      <c r="N1797">
        <v>0</v>
      </c>
      <c r="O1797">
        <v>-0.5363964</v>
      </c>
      <c r="P1797">
        <v>-0.69714189999999998</v>
      </c>
      <c r="Q1797">
        <v>5.9023119999999998E-2</v>
      </c>
      <c r="R1797">
        <v>-0.71449929999999995</v>
      </c>
      <c r="S1797">
        <v>-1.276794</v>
      </c>
      <c r="T1797">
        <v>-0.29311589999999998</v>
      </c>
      <c r="U1797">
        <v>-2.9929809999999999</v>
      </c>
      <c r="V1797">
        <v>-0.23224919999999999</v>
      </c>
      <c r="W1797">
        <v>7.2962550000000001E-2</v>
      </c>
      <c r="X1797">
        <v>0.96991589999999905</v>
      </c>
      <c r="Y1797">
        <v>-0.56536919999999902</v>
      </c>
      <c r="Z1797">
        <v>2.4720309999999999E-2</v>
      </c>
      <c r="AA1797">
        <v>0.82446749999999902</v>
      </c>
      <c r="AB1797">
        <v>38</v>
      </c>
      <c r="AC1797">
        <v>-0.21829999999999899</v>
      </c>
      <c r="AD1797">
        <v>-8.9206999999999995E-2</v>
      </c>
      <c r="AE1797">
        <v>-0.80069999999994901</v>
      </c>
      <c r="AF1797">
        <v>-0.55217052644218401</v>
      </c>
      <c r="AG1797">
        <v>-8.9206999999999995E-2</v>
      </c>
      <c r="AH1797">
        <v>0.60682695399557696</v>
      </c>
      <c r="AI1797">
        <v>96.205388255014199</v>
      </c>
      <c r="AJ1797">
        <v>132.30002496691901</v>
      </c>
      <c r="AK1797">
        <v>0.82528124370785805</v>
      </c>
    </row>
    <row r="1798" spans="1:37" x14ac:dyDescent="0.2">
      <c r="A1798" t="str">
        <f>"20200111154100621"</f>
        <v>20200111154100621</v>
      </c>
      <c r="B1798" t="str">
        <f>"1578728460617907"</f>
        <v>1578728460617907</v>
      </c>
      <c r="C1798" t="s">
        <v>37</v>
      </c>
      <c r="D1798">
        <v>4.5777989999999997</v>
      </c>
      <c r="E1798">
        <v>0.34850609999999999</v>
      </c>
      <c r="F1798" t="s">
        <v>39</v>
      </c>
      <c r="G1798">
        <v>-489.11900000000003</v>
      </c>
      <c r="H1798" s="1">
        <v>-3.49468399999999E-6</v>
      </c>
      <c r="I1798">
        <v>267.41469999999998</v>
      </c>
      <c r="J1798">
        <v>-484.37880000000001</v>
      </c>
      <c r="K1798">
        <v>1.128706</v>
      </c>
      <c r="L1798">
        <v>279.1454</v>
      </c>
      <c r="M1798">
        <v>-0.83779709999999996</v>
      </c>
      <c r="N1798">
        <v>0</v>
      </c>
      <c r="O1798">
        <v>-0.54542550000000001</v>
      </c>
      <c r="P1798">
        <v>-0.6892045</v>
      </c>
      <c r="Q1798">
        <v>5.9378569999999999E-2</v>
      </c>
      <c r="R1798">
        <v>-0.72212989999999999</v>
      </c>
      <c r="S1798">
        <v>-1.24859599999999</v>
      </c>
      <c r="T1798">
        <v>-0.28606870000000001</v>
      </c>
      <c r="U1798">
        <v>-3.0041199999999999</v>
      </c>
      <c r="V1798">
        <v>-0.232549899999999</v>
      </c>
      <c r="W1798">
        <v>7.3306860000000001E-2</v>
      </c>
      <c r="X1798">
        <v>0.96981779999999995</v>
      </c>
      <c r="Y1798">
        <v>-0.5642298</v>
      </c>
      <c r="Z1798">
        <v>2.5138979999999998E-2</v>
      </c>
      <c r="AA1798">
        <v>0.82523489999999999</v>
      </c>
      <c r="AB1798">
        <v>38</v>
      </c>
      <c r="AC1798">
        <v>-4.7402000000000104</v>
      </c>
      <c r="AD1798">
        <v>-1.1287094946839999</v>
      </c>
      <c r="AE1798">
        <v>-11.730700000000001</v>
      </c>
      <c r="AF1798">
        <v>-7.1875179833827803</v>
      </c>
      <c r="AG1798">
        <v>-1.1287094946839999</v>
      </c>
      <c r="AH1798">
        <v>10.2907983615702</v>
      </c>
      <c r="AI1798">
        <v>95.138236411837198</v>
      </c>
      <c r="AJ1798">
        <v>124.932036505653</v>
      </c>
      <c r="AK1798">
        <v>12.602973093811499</v>
      </c>
    </row>
    <row r="1799" spans="1:37" x14ac:dyDescent="0.2">
      <c r="A1799" t="str">
        <f>"20200111154100634"</f>
        <v>20200111154100634</v>
      </c>
      <c r="B1799" t="str">
        <f>"1578728460627669"</f>
        <v>1578728460627669</v>
      </c>
      <c r="C1799" t="s">
        <v>37</v>
      </c>
      <c r="D1799">
        <v>4.6018429999999997</v>
      </c>
      <c r="E1799">
        <v>0.34893010000000002</v>
      </c>
      <c r="F1799" t="s">
        <v>38</v>
      </c>
      <c r="G1799">
        <v>-484.71300000000002</v>
      </c>
      <c r="H1799">
        <v>1.0528200000000001</v>
      </c>
      <c r="I1799">
        <v>278.3177</v>
      </c>
      <c r="J1799">
        <v>-484.54410000000001</v>
      </c>
      <c r="K1799">
        <v>1.1287419999999999</v>
      </c>
      <c r="L1799">
        <v>279.03379999999999</v>
      </c>
      <c r="M1799">
        <v>-0.83245559999999996</v>
      </c>
      <c r="N1799">
        <v>0</v>
      </c>
      <c r="O1799">
        <v>-0.55354230000000004</v>
      </c>
      <c r="P1799">
        <v>-0.68192790000000003</v>
      </c>
      <c r="Q1799">
        <v>5.9684550000000003E-2</v>
      </c>
      <c r="R1799">
        <v>-0.72898019999999997</v>
      </c>
      <c r="S1799">
        <v>-1.217773</v>
      </c>
      <c r="T1799">
        <v>-0.27648289999999998</v>
      </c>
      <c r="U1799">
        <v>-3.0148929999999998</v>
      </c>
      <c r="V1799">
        <v>-0.23284959999999999</v>
      </c>
      <c r="W1799">
        <v>7.3604550000000005E-2</v>
      </c>
      <c r="X1799">
        <v>0.96972340000000001</v>
      </c>
      <c r="Y1799">
        <v>-0.56451229999999997</v>
      </c>
      <c r="Z1799">
        <v>2.5128359999999999E-2</v>
      </c>
      <c r="AA1799">
        <v>0.8250421</v>
      </c>
      <c r="AB1799">
        <v>38</v>
      </c>
      <c r="AC1799">
        <v>-0.16890000000000699</v>
      </c>
      <c r="AD1799">
        <v>-7.5921999999999795E-2</v>
      </c>
      <c r="AE1799">
        <v>-0.71609999999998297</v>
      </c>
      <c r="AF1799">
        <v>-0.49748387328542198</v>
      </c>
      <c r="AG1799">
        <v>-7.5921999999999795E-2</v>
      </c>
      <c r="AH1799">
        <v>0.53149738396957202</v>
      </c>
      <c r="AI1799">
        <v>95.953790520557703</v>
      </c>
      <c r="AJ1799">
        <v>133.10674757000899</v>
      </c>
      <c r="AK1799">
        <v>0.73194523253421395</v>
      </c>
    </row>
    <row r="1800" spans="1:37" x14ac:dyDescent="0.2">
      <c r="A1800" t="str">
        <f>"20200111154100646"</f>
        <v>20200111154100646</v>
      </c>
      <c r="B1800" t="str">
        <f>"1578728460638403"</f>
        <v>1578728460638403</v>
      </c>
      <c r="C1800" t="s">
        <v>37</v>
      </c>
      <c r="D1800">
        <v>4.667071</v>
      </c>
      <c r="E1800">
        <v>0.34968559999999999</v>
      </c>
      <c r="F1800" t="s">
        <v>38</v>
      </c>
      <c r="G1800">
        <v>-484.92039999999997</v>
      </c>
      <c r="H1800">
        <v>1.0429010000000001</v>
      </c>
      <c r="I1800">
        <v>278.077</v>
      </c>
      <c r="J1800">
        <v>-484.71620000000001</v>
      </c>
      <c r="K1800">
        <v>1.128779</v>
      </c>
      <c r="L1800">
        <v>278.916</v>
      </c>
      <c r="M1800">
        <v>-0.82676510000000003</v>
      </c>
      <c r="N1800">
        <v>0</v>
      </c>
      <c r="O1800">
        <v>-0.56200469999999902</v>
      </c>
      <c r="P1800">
        <v>-0.67444349999999997</v>
      </c>
      <c r="Q1800">
        <v>5.9400469999999997E-2</v>
      </c>
      <c r="R1800">
        <v>-0.73593310000000001</v>
      </c>
      <c r="S1800">
        <v>-1.189514</v>
      </c>
      <c r="T1800">
        <v>-0.27131559999999999</v>
      </c>
      <c r="U1800">
        <v>-3.0248110000000001</v>
      </c>
      <c r="V1800">
        <v>-0.23288020000000001</v>
      </c>
      <c r="W1800">
        <v>7.3325399999999902E-2</v>
      </c>
      <c r="X1800">
        <v>0.96973719999999997</v>
      </c>
      <c r="Y1800">
        <v>-0.56371439999999995</v>
      </c>
      <c r="Z1800">
        <v>2.5557750000000001E-2</v>
      </c>
      <c r="AA1800">
        <v>0.82557429999999998</v>
      </c>
      <c r="AB1800">
        <v>38</v>
      </c>
      <c r="AC1800">
        <v>-0.204199999999957</v>
      </c>
      <c r="AD1800">
        <v>-8.5877999999999899E-2</v>
      </c>
      <c r="AE1800">
        <v>-0.83899999999999797</v>
      </c>
      <c r="AF1800">
        <v>-0.57339967082413801</v>
      </c>
      <c r="AG1800">
        <v>-8.5877999999999899E-2</v>
      </c>
      <c r="AH1800">
        <v>0.63426917599139099</v>
      </c>
      <c r="AI1800">
        <v>95.735439880808698</v>
      </c>
      <c r="AJ1800">
        <v>132.11459232604699</v>
      </c>
      <c r="AK1800">
        <v>0.85933672154634999</v>
      </c>
    </row>
    <row r="1801" spans="1:37" x14ac:dyDescent="0.2">
      <c r="A1801" t="str">
        <f>"20200111154100657"</f>
        <v>20200111154100657</v>
      </c>
      <c r="B1801" t="str">
        <f>"1578728460648163"</f>
        <v>1578728460648163</v>
      </c>
      <c r="C1801" t="s">
        <v>37</v>
      </c>
      <c r="D1801">
        <v>4.4926180000000002</v>
      </c>
      <c r="E1801">
        <v>0.35026560000000001</v>
      </c>
      <c r="F1801" t="s">
        <v>39</v>
      </c>
      <c r="G1801">
        <v>-489.58280000000002</v>
      </c>
      <c r="H1801" s="1">
        <v>-2.8982489999999999E-6</v>
      </c>
      <c r="I1801">
        <v>266.21620000000001</v>
      </c>
      <c r="J1801">
        <v>-484.87509999999997</v>
      </c>
      <c r="K1801">
        <v>1.1288069999999999</v>
      </c>
      <c r="L1801">
        <v>278.80439999999999</v>
      </c>
      <c r="M1801">
        <v>-0.82135329999999995</v>
      </c>
      <c r="N1801">
        <v>0</v>
      </c>
      <c r="O1801">
        <v>-0.56988369999999999</v>
      </c>
      <c r="P1801">
        <v>-0.66752389999999995</v>
      </c>
      <c r="Q1801">
        <v>5.9245449999999998E-2</v>
      </c>
      <c r="R1801">
        <v>-0.74222779999999999</v>
      </c>
      <c r="S1801">
        <v>-1.1622619999999999</v>
      </c>
      <c r="T1801">
        <v>-0.2695825</v>
      </c>
      <c r="U1801">
        <v>-3.0330509999999999</v>
      </c>
      <c r="V1801">
        <v>-0.2326976</v>
      </c>
      <c r="W1801">
        <v>7.3187950000000002E-2</v>
      </c>
      <c r="X1801">
        <v>0.96979139999999997</v>
      </c>
      <c r="Y1801">
        <v>-0.56304980000000004</v>
      </c>
      <c r="Z1801">
        <v>2.6232660000000001E-2</v>
      </c>
      <c r="AA1801">
        <v>0.82600649999999998</v>
      </c>
      <c r="AB1801">
        <v>38</v>
      </c>
      <c r="AC1801">
        <v>-4.70770000000004</v>
      </c>
      <c r="AD1801">
        <v>-1.12880989824899</v>
      </c>
      <c r="AE1801">
        <v>-12.588199999999899</v>
      </c>
      <c r="AF1801">
        <v>-7.6052089257116204</v>
      </c>
      <c r="AG1801">
        <v>-1.12880989824899</v>
      </c>
      <c r="AH1801">
        <v>10.966508437961799</v>
      </c>
      <c r="AI1801">
        <v>94.834757581678303</v>
      </c>
      <c r="AJ1801">
        <v>124.741079994174</v>
      </c>
      <c r="AK1801">
        <v>13.3931968517601</v>
      </c>
    </row>
    <row r="1802" spans="1:37" x14ac:dyDescent="0.2">
      <c r="A1802" t="str">
        <f>"20200111154100669"</f>
        <v>20200111154100669</v>
      </c>
      <c r="B1802" t="str">
        <f>"1578728460657924"</f>
        <v>1578728460657924</v>
      </c>
      <c r="C1802" t="s">
        <v>37</v>
      </c>
      <c r="D1802">
        <v>4.6462399999999997</v>
      </c>
      <c r="E1802">
        <v>0.35026560000000001</v>
      </c>
      <c r="F1802" t="s">
        <v>38</v>
      </c>
      <c r="G1802">
        <v>-485.20769999999999</v>
      </c>
      <c r="H1802">
        <v>1.050357</v>
      </c>
      <c r="I1802">
        <v>277.91489999999999</v>
      </c>
      <c r="J1802">
        <v>-485.02229999999997</v>
      </c>
      <c r="K1802">
        <v>1.128836</v>
      </c>
      <c r="L1802">
        <v>278.69889999999998</v>
      </c>
      <c r="M1802">
        <v>-0.81620869999999901</v>
      </c>
      <c r="N1802">
        <v>0</v>
      </c>
      <c r="O1802">
        <v>-0.57722689999999999</v>
      </c>
      <c r="P1802">
        <v>-0.66114039999999996</v>
      </c>
      <c r="Q1802">
        <v>5.8675650000000003E-2</v>
      </c>
      <c r="R1802">
        <v>-0.74796459999999998</v>
      </c>
      <c r="S1802">
        <v>-1.137024</v>
      </c>
      <c r="T1802">
        <v>-0.26817479999999999</v>
      </c>
      <c r="U1802">
        <v>-3.0407099999999998</v>
      </c>
      <c r="V1802">
        <v>-0.23232529999999901</v>
      </c>
      <c r="W1802">
        <v>7.2645810000000005E-2</v>
      </c>
      <c r="X1802">
        <v>0.96992140000000004</v>
      </c>
      <c r="Y1802">
        <v>-0.56235000000000002</v>
      </c>
      <c r="Z1802">
        <v>2.6877299999999899E-2</v>
      </c>
      <c r="AA1802">
        <v>0.82646239999999904</v>
      </c>
      <c r="AB1802">
        <v>38</v>
      </c>
      <c r="AC1802">
        <v>-0.185400000000015</v>
      </c>
      <c r="AD1802">
        <v>-7.8478999999999896E-2</v>
      </c>
      <c r="AE1802">
        <v>-0.78399999999999104</v>
      </c>
      <c r="AF1802">
        <v>-0.528042167412618</v>
      </c>
      <c r="AG1802">
        <v>-7.8478999999999896E-2</v>
      </c>
      <c r="AH1802">
        <v>0.59837769512528105</v>
      </c>
      <c r="AI1802">
        <v>95.616317879304603</v>
      </c>
      <c r="AJ1802">
        <v>131.42699518346799</v>
      </c>
      <c r="AK1802">
        <v>0.80189983790387398</v>
      </c>
    </row>
    <row r="1803" spans="1:37" x14ac:dyDescent="0.2">
      <c r="A1803" t="str">
        <f>"20200111154100682"</f>
        <v>20200111154100682</v>
      </c>
      <c r="B1803" t="str">
        <f>"1578728460678418"</f>
        <v>1578728460678418</v>
      </c>
      <c r="C1803" t="s">
        <v>37</v>
      </c>
      <c r="D1803">
        <v>4.477042</v>
      </c>
      <c r="E1803">
        <v>0.36641509999999999</v>
      </c>
      <c r="F1803" t="s">
        <v>39</v>
      </c>
      <c r="G1803">
        <v>-489.714</v>
      </c>
      <c r="H1803" s="1">
        <v>-2.6949140000000002E-6</v>
      </c>
      <c r="I1803">
        <v>265.79640000000001</v>
      </c>
      <c r="J1803">
        <v>-485.19349999999997</v>
      </c>
      <c r="K1803">
        <v>1.1288670000000001</v>
      </c>
      <c r="L1803">
        <v>278.57459999999998</v>
      </c>
      <c r="M1803">
        <v>-0.81009529999999996</v>
      </c>
      <c r="N1803">
        <v>0</v>
      </c>
      <c r="O1803">
        <v>-0.58577449999999998</v>
      </c>
      <c r="P1803">
        <v>-0.6536111</v>
      </c>
      <c r="Q1803">
        <v>5.8580729999999998E-2</v>
      </c>
      <c r="R1803">
        <v>-0.75456000000000001</v>
      </c>
      <c r="S1803">
        <v>-1.109467</v>
      </c>
      <c r="T1803">
        <v>-0.26694269999999998</v>
      </c>
      <c r="U1803">
        <v>-3.0511169999999899</v>
      </c>
      <c r="V1803">
        <v>-0.2318578</v>
      </c>
      <c r="W1803">
        <v>7.2585419999999998E-2</v>
      </c>
      <c r="X1803">
        <v>0.97003779999999995</v>
      </c>
      <c r="Y1803">
        <v>-0.56117700000000004</v>
      </c>
      <c r="Z1803">
        <v>2.7659300000000001E-2</v>
      </c>
      <c r="AA1803">
        <v>0.82723359999999901</v>
      </c>
      <c r="AB1803">
        <v>37</v>
      </c>
      <c r="AC1803">
        <v>-4.5205000000000197</v>
      </c>
      <c r="AD1803">
        <v>-1.128869694914</v>
      </c>
      <c r="AE1803">
        <v>-12.778199999999901</v>
      </c>
      <c r="AF1803">
        <v>-7.6528479717928004</v>
      </c>
      <c r="AG1803">
        <v>-1.128869694914</v>
      </c>
      <c r="AH1803">
        <v>11.073789551502699</v>
      </c>
      <c r="AI1803">
        <v>94.793783557889995</v>
      </c>
      <c r="AJ1803">
        <v>124.647482458485</v>
      </c>
      <c r="AK1803">
        <v>13.5081177037528</v>
      </c>
    </row>
    <row r="1804" spans="1:37" x14ac:dyDescent="0.2">
      <c r="A1804" t="str">
        <f>"20200111154100696"</f>
        <v>20200111154100696</v>
      </c>
      <c r="B1804" t="str">
        <f>"1578728460688179"</f>
        <v>1578728460688179</v>
      </c>
      <c r="C1804" t="s">
        <v>37</v>
      </c>
      <c r="D1804">
        <v>4.495412</v>
      </c>
      <c r="E1804">
        <v>0.36660959999999998</v>
      </c>
      <c r="F1804" t="s">
        <v>38</v>
      </c>
      <c r="G1804">
        <v>-485.51220000000001</v>
      </c>
      <c r="H1804">
        <v>1.0551200000000001</v>
      </c>
      <c r="I1804">
        <v>277.76749999999998</v>
      </c>
      <c r="J1804">
        <v>-485.37759999999997</v>
      </c>
      <c r="K1804">
        <v>1.128898</v>
      </c>
      <c r="L1804">
        <v>278.43630000000002</v>
      </c>
      <c r="M1804">
        <v>-0.80328109999999997</v>
      </c>
      <c r="N1804">
        <v>0</v>
      </c>
      <c r="O1804">
        <v>-0.59508319999999904</v>
      </c>
      <c r="P1804">
        <v>-0.64602729999999997</v>
      </c>
      <c r="Q1804">
        <v>5.9360540000000003E-2</v>
      </c>
      <c r="R1804">
        <v>-0.76100269999999903</v>
      </c>
      <c r="S1804">
        <v>-1.175781</v>
      </c>
      <c r="T1804">
        <v>-0.27205849999999998</v>
      </c>
      <c r="U1804">
        <v>-2.978485</v>
      </c>
      <c r="V1804">
        <v>-0.23036219999999999</v>
      </c>
      <c r="W1804">
        <v>7.3455220000000002E-2</v>
      </c>
      <c r="X1804">
        <v>0.97032859999999999</v>
      </c>
      <c r="Y1804">
        <v>-0.52878749999999997</v>
      </c>
      <c r="Z1804">
        <v>3.097258E-2</v>
      </c>
      <c r="AA1804">
        <v>0.84818890000000002</v>
      </c>
      <c r="AB1804">
        <v>37</v>
      </c>
      <c r="AC1804">
        <v>-0.134600000000034</v>
      </c>
      <c r="AD1804">
        <v>-7.3777999999999899E-2</v>
      </c>
      <c r="AE1804">
        <v>-0.66880000000003204</v>
      </c>
      <c r="AF1804">
        <v>-0.45199069902301803</v>
      </c>
      <c r="AG1804">
        <v>-7.3777999999999899E-2</v>
      </c>
      <c r="AH1804">
        <v>0.50041649475821204</v>
      </c>
      <c r="AI1804">
        <v>96.2439177803099</v>
      </c>
      <c r="AJ1804">
        <v>132.089263501874</v>
      </c>
      <c r="AK1804">
        <v>0.67834759048249904</v>
      </c>
    </row>
    <row r="1805" spans="1:37" x14ac:dyDescent="0.2">
      <c r="A1805" t="str">
        <f>"20200111154100709"</f>
        <v>20200111154100709</v>
      </c>
      <c r="B1805" t="str">
        <f>"1578728460697939"</f>
        <v>1578728460697939</v>
      </c>
      <c r="C1805" t="s">
        <v>37</v>
      </c>
      <c r="D1805">
        <v>4.4605239999999897</v>
      </c>
      <c r="E1805">
        <v>0.36663770000000001</v>
      </c>
      <c r="F1805" t="s">
        <v>38</v>
      </c>
      <c r="G1805">
        <v>-485.72250000000003</v>
      </c>
      <c r="H1805">
        <v>1.0472699999999999</v>
      </c>
      <c r="I1805">
        <v>277.53620000000001</v>
      </c>
      <c r="J1805">
        <v>-485.54059999999998</v>
      </c>
      <c r="K1805">
        <v>1.1289260000000001</v>
      </c>
      <c r="L1805">
        <v>278.31150000000002</v>
      </c>
      <c r="M1805">
        <v>-0.79708179999999995</v>
      </c>
      <c r="N1805">
        <v>0</v>
      </c>
      <c r="O1805">
        <v>-0.60336049999999997</v>
      </c>
      <c r="P1805">
        <v>-0.63894399999999996</v>
      </c>
      <c r="Q1805">
        <v>5.9263459999999997E-2</v>
      </c>
      <c r="R1805">
        <v>-0.76696739999999997</v>
      </c>
      <c r="S1805">
        <v>-1.14621</v>
      </c>
      <c r="T1805">
        <v>-0.2712176</v>
      </c>
      <c r="U1805">
        <v>-2.990326</v>
      </c>
      <c r="V1805">
        <v>-0.22932710000000001</v>
      </c>
      <c r="W1805">
        <v>7.3424790000000004E-2</v>
      </c>
      <c r="X1805">
        <v>0.97057599999999999</v>
      </c>
      <c r="Y1805">
        <v>-0.52846219999999999</v>
      </c>
      <c r="Z1805">
        <v>3.173687E-2</v>
      </c>
      <c r="AA1805">
        <v>0.84836339999999999</v>
      </c>
      <c r="AB1805">
        <v>37</v>
      </c>
      <c r="AC1805">
        <v>-0.181900000000041</v>
      </c>
      <c r="AD1805">
        <v>-8.1655999999999895E-2</v>
      </c>
      <c r="AE1805">
        <v>-0.77530000000001498</v>
      </c>
      <c r="AF1805">
        <v>-0.50309353935566503</v>
      </c>
      <c r="AG1805">
        <v>-8.1655999999999895E-2</v>
      </c>
      <c r="AH1805">
        <v>0.60658600983477196</v>
      </c>
      <c r="AI1805">
        <v>95.915623414489104</v>
      </c>
      <c r="AJ1805">
        <v>129.67181430575101</v>
      </c>
      <c r="AK1805">
        <v>0.79228618503964898</v>
      </c>
    </row>
    <row r="1806" spans="1:37" x14ac:dyDescent="0.2">
      <c r="A1806" t="str">
        <f>"20200111154100723"</f>
        <v>20200111154100723</v>
      </c>
      <c r="B1806" t="str">
        <f>"1578728460718435"</f>
        <v>1578728460718435</v>
      </c>
      <c r="C1806" t="s">
        <v>37</v>
      </c>
      <c r="D1806">
        <v>4.4848489999999996</v>
      </c>
      <c r="E1806">
        <v>0.36607099999999998</v>
      </c>
      <c r="F1806" t="s">
        <v>38</v>
      </c>
      <c r="G1806">
        <v>-485.91899999999998</v>
      </c>
      <c r="H1806">
        <v>1.0368740000000001</v>
      </c>
      <c r="I1806">
        <v>277.29629999999997</v>
      </c>
      <c r="J1806">
        <v>-485.70530000000002</v>
      </c>
      <c r="K1806">
        <v>1.128951</v>
      </c>
      <c r="L1806">
        <v>278.18329999999997</v>
      </c>
      <c r="M1806">
        <v>-0.79066879999999995</v>
      </c>
      <c r="N1806">
        <v>0</v>
      </c>
      <c r="O1806">
        <v>-0.61173919999999904</v>
      </c>
      <c r="P1806">
        <v>-0.63204419999999994</v>
      </c>
      <c r="Q1806">
        <v>5.9574750000000003E-2</v>
      </c>
      <c r="R1806">
        <v>-0.77263950000000003</v>
      </c>
      <c r="S1806">
        <v>-1.117737</v>
      </c>
      <c r="T1806">
        <v>-0.27200400000000002</v>
      </c>
      <c r="U1806">
        <v>-3.0013429999999999</v>
      </c>
      <c r="V1806">
        <v>-0.22778119999999999</v>
      </c>
      <c r="W1806">
        <v>7.382901E-2</v>
      </c>
      <c r="X1806">
        <v>0.97090940000000003</v>
      </c>
      <c r="Y1806">
        <v>-0.52760739999999995</v>
      </c>
      <c r="Z1806">
        <v>3.2727109999999997E-2</v>
      </c>
      <c r="AA1806">
        <v>0.84885759999999899</v>
      </c>
      <c r="AB1806">
        <v>37</v>
      </c>
      <c r="AC1806">
        <v>-0.21370000000001699</v>
      </c>
      <c r="AD1806">
        <v>-9.2076999999999895E-2</v>
      </c>
      <c r="AE1806">
        <v>-0.88700000000000001</v>
      </c>
      <c r="AF1806">
        <v>-0.56501639355598099</v>
      </c>
      <c r="AG1806">
        <v>-9.2076999999999895E-2</v>
      </c>
      <c r="AH1806">
        <v>0.70462215998093203</v>
      </c>
      <c r="AI1806">
        <v>95.821047639317896</v>
      </c>
      <c r="AJ1806">
        <v>128.72513043536</v>
      </c>
      <c r="AK1806">
        <v>0.90786237241787004</v>
      </c>
    </row>
    <row r="1807" spans="1:37" x14ac:dyDescent="0.2">
      <c r="A1807" t="str">
        <f>"20200111154100736"</f>
        <v>20200111154100736</v>
      </c>
      <c r="B1807" t="str">
        <f>"1578728460728195"</f>
        <v>1578728460728195</v>
      </c>
      <c r="C1807" t="s">
        <v>37</v>
      </c>
      <c r="D1807">
        <v>4.4935289999999997</v>
      </c>
      <c r="E1807">
        <v>0.3644674</v>
      </c>
      <c r="F1807" t="s">
        <v>38</v>
      </c>
      <c r="G1807">
        <v>-486.00069999999999</v>
      </c>
      <c r="H1807">
        <v>1.058208</v>
      </c>
      <c r="I1807">
        <v>277.36500000000001</v>
      </c>
      <c r="J1807">
        <v>-485.8766</v>
      </c>
      <c r="K1807">
        <v>1.1289719999999901</v>
      </c>
      <c r="L1807">
        <v>278.04559999999998</v>
      </c>
      <c r="M1807">
        <v>-0.78375980000000001</v>
      </c>
      <c r="N1807">
        <v>0</v>
      </c>
      <c r="O1807">
        <v>-0.62056460000000002</v>
      </c>
      <c r="P1807">
        <v>-0.62449889999999997</v>
      </c>
      <c r="Q1807">
        <v>5.9773430000000002E-2</v>
      </c>
      <c r="R1807">
        <v>-0.77873530000000002</v>
      </c>
      <c r="S1807">
        <v>-1.0868229999999901</v>
      </c>
      <c r="T1807">
        <v>-0.26036629999999999</v>
      </c>
      <c r="U1807">
        <v>-3.013855</v>
      </c>
      <c r="V1807">
        <v>-0.22633989999999901</v>
      </c>
      <c r="W1807">
        <v>7.4119080000000004E-2</v>
      </c>
      <c r="X1807">
        <v>0.97122430000000004</v>
      </c>
      <c r="Y1807">
        <v>-0.52693540000000005</v>
      </c>
      <c r="Z1807">
        <v>3.2224669999999997E-2</v>
      </c>
      <c r="AA1807">
        <v>0.849294199999999</v>
      </c>
      <c r="AB1807">
        <v>37</v>
      </c>
      <c r="AC1807">
        <v>-0.124099999999998</v>
      </c>
      <c r="AD1807">
        <v>-7.0763999999999799E-2</v>
      </c>
      <c r="AE1807">
        <v>-0.68059999999996901</v>
      </c>
      <c r="AF1807">
        <v>-0.45182916884158097</v>
      </c>
      <c r="AG1807">
        <v>-7.0763999999999799E-2</v>
      </c>
      <c r="AH1807">
        <v>0.51440013137673701</v>
      </c>
      <c r="AI1807">
        <v>95.900947188344801</v>
      </c>
      <c r="AJ1807">
        <v>131.29482024651</v>
      </c>
      <c r="AK1807">
        <v>0.688305627372374</v>
      </c>
    </row>
    <row r="1808" spans="1:37" x14ac:dyDescent="0.2">
      <c r="A1808" t="str">
        <f>"20200111154100748"</f>
        <v>20200111154100748</v>
      </c>
      <c r="B1808" t="str">
        <f>"1578728460737955"</f>
        <v>1578728460737955</v>
      </c>
      <c r="C1808" t="s">
        <v>37</v>
      </c>
      <c r="D1808">
        <v>4.5595989999999897</v>
      </c>
      <c r="E1808">
        <v>0.36427039999999999</v>
      </c>
      <c r="F1808" t="s">
        <v>38</v>
      </c>
      <c r="G1808">
        <v>-486.19470000000001</v>
      </c>
      <c r="H1808">
        <v>1.052786</v>
      </c>
      <c r="I1808">
        <v>277.12430000000001</v>
      </c>
      <c r="J1808">
        <v>-486.03609999999998</v>
      </c>
      <c r="K1808">
        <v>1.128989</v>
      </c>
      <c r="L1808">
        <v>277.91520000000003</v>
      </c>
      <c r="M1808">
        <v>-0.77716929999999995</v>
      </c>
      <c r="N1808">
        <v>0</v>
      </c>
      <c r="O1808">
        <v>-0.62879790000000002</v>
      </c>
      <c r="P1808">
        <v>-0.61777360000000003</v>
      </c>
      <c r="Q1808">
        <v>5.9754599999999901E-2</v>
      </c>
      <c r="R1808">
        <v>-0.78408290000000003</v>
      </c>
      <c r="S1808">
        <v>-1.0468440000000001</v>
      </c>
      <c r="T1808">
        <v>-0.25074610000000003</v>
      </c>
      <c r="U1808">
        <v>-3.0322269999999998</v>
      </c>
      <c r="V1808">
        <v>-0.22445580000000001</v>
      </c>
      <c r="W1808">
        <v>7.4213230000000005E-2</v>
      </c>
      <c r="X1808">
        <v>0.97165419999999902</v>
      </c>
      <c r="Y1808">
        <v>-0.52958329999999998</v>
      </c>
      <c r="Z1808">
        <v>3.1686409999999998E-2</v>
      </c>
      <c r="AA1808">
        <v>0.84766589999999997</v>
      </c>
      <c r="AB1808">
        <v>37</v>
      </c>
      <c r="AC1808">
        <v>-0.15860000000003499</v>
      </c>
      <c r="AD1808">
        <v>-7.6203000000000007E-2</v>
      </c>
      <c r="AE1808">
        <v>-0.79090000000002103</v>
      </c>
      <c r="AF1808">
        <v>-0.51053957775770498</v>
      </c>
      <c r="AG1808">
        <v>-7.6203000000000007E-2</v>
      </c>
      <c r="AH1808">
        <v>0.61527713653090199</v>
      </c>
      <c r="AI1808">
        <v>95.4445340889107</v>
      </c>
      <c r="AJ1808">
        <v>129.68492844956199</v>
      </c>
      <c r="AK1808">
        <v>0.80313355826019495</v>
      </c>
    </row>
    <row r="1809" spans="1:37" x14ac:dyDescent="0.2">
      <c r="A1809" t="str">
        <f>"20200111154100764"</f>
        <v>20200111154100764</v>
      </c>
      <c r="B1809" t="str">
        <f>"1578728460758450"</f>
        <v>1578728460758450</v>
      </c>
      <c r="C1809" t="s">
        <v>37</v>
      </c>
      <c r="D1809">
        <v>4.5700209999999997</v>
      </c>
      <c r="E1809">
        <v>0.36389829999999901</v>
      </c>
      <c r="F1809" t="s">
        <v>38</v>
      </c>
      <c r="G1809">
        <v>-486.38249999999999</v>
      </c>
      <c r="H1809">
        <v>1.044554</v>
      </c>
      <c r="I1809">
        <v>276.88209999999998</v>
      </c>
      <c r="J1809">
        <v>-486.21980000000002</v>
      </c>
      <c r="K1809">
        <v>1.129003</v>
      </c>
      <c r="L1809">
        <v>277.76179999999999</v>
      </c>
      <c r="M1809">
        <v>-0.76936400000000005</v>
      </c>
      <c r="N1809">
        <v>0</v>
      </c>
      <c r="O1809">
        <v>-0.63832279999999997</v>
      </c>
      <c r="P1809">
        <v>-0.61062720000000004</v>
      </c>
      <c r="Q1809">
        <v>5.9040660000000002E-2</v>
      </c>
      <c r="R1809">
        <v>-0.78971420000000003</v>
      </c>
      <c r="S1809">
        <v>-1.0195920000000001</v>
      </c>
      <c r="T1809">
        <v>-0.2485667</v>
      </c>
      <c r="U1809">
        <v>-3.0418090000000002</v>
      </c>
      <c r="V1809">
        <v>-0.22132209999999999</v>
      </c>
      <c r="W1809">
        <v>7.3679209999999995E-2</v>
      </c>
      <c r="X1809">
        <v>0.97241339999999998</v>
      </c>
      <c r="Y1809">
        <v>-0.52678429999999998</v>
      </c>
      <c r="Z1809">
        <v>3.24242E-2</v>
      </c>
      <c r="AA1809">
        <v>0.84938040000000004</v>
      </c>
      <c r="AB1809">
        <v>37</v>
      </c>
      <c r="AC1809">
        <v>-0.16269999999997201</v>
      </c>
      <c r="AD1809">
        <v>-8.4448999999999996E-2</v>
      </c>
      <c r="AE1809">
        <v>-0.87970000000001303</v>
      </c>
      <c r="AF1809">
        <v>-0.56807104056170099</v>
      </c>
      <c r="AG1809">
        <v>-8.4448999999999996E-2</v>
      </c>
      <c r="AH1809">
        <v>0.68085520451536996</v>
      </c>
      <c r="AI1809">
        <v>95.440311700140498</v>
      </c>
      <c r="AJ1809">
        <v>129.83990660204401</v>
      </c>
      <c r="AK1809">
        <v>0.89073012200190105</v>
      </c>
    </row>
    <row r="1810" spans="1:37" x14ac:dyDescent="0.2">
      <c r="A1810" t="str">
        <f>"20200111154100775"</f>
        <v>20200111154100775</v>
      </c>
      <c r="B1810" t="str">
        <f>"1578728460768212"</f>
        <v>1578728460768212</v>
      </c>
      <c r="C1810" t="s">
        <v>37</v>
      </c>
      <c r="D1810">
        <v>4.442704</v>
      </c>
      <c r="E1810">
        <v>0.36288930000000003</v>
      </c>
      <c r="F1810" t="s">
        <v>38</v>
      </c>
      <c r="G1810">
        <v>-486.58</v>
      </c>
      <c r="H1810">
        <v>1.0412920000000001</v>
      </c>
      <c r="I1810">
        <v>276.64940000000001</v>
      </c>
      <c r="J1810">
        <v>-486.36579999999998</v>
      </c>
      <c r="K1810">
        <v>1.1290069999999901</v>
      </c>
      <c r="L1810">
        <v>277.63589999999999</v>
      </c>
      <c r="M1810">
        <v>-0.76294090000000003</v>
      </c>
      <c r="N1810">
        <v>0</v>
      </c>
      <c r="O1810">
        <v>-0.64598529999999998</v>
      </c>
      <c r="P1810">
        <v>-0.60384530000000003</v>
      </c>
      <c r="Q1810">
        <v>5.8587350000000003E-2</v>
      </c>
      <c r="R1810">
        <v>-0.79494540000000002</v>
      </c>
      <c r="S1810">
        <v>-0.98812869999999997</v>
      </c>
      <c r="T1810">
        <v>-0.24066219999999999</v>
      </c>
      <c r="U1810">
        <v>-3.0528559999999998</v>
      </c>
      <c r="V1810">
        <v>-0.21992790000000001</v>
      </c>
      <c r="W1810">
        <v>7.3316350000000002E-2</v>
      </c>
      <c r="X1810">
        <v>0.97275710000000004</v>
      </c>
      <c r="Y1810">
        <v>-0.52711929999999996</v>
      </c>
      <c r="Z1810">
        <v>3.2088890000000002E-2</v>
      </c>
      <c r="AA1810">
        <v>0.84918530000000003</v>
      </c>
      <c r="AB1810">
        <v>36</v>
      </c>
      <c r="AC1810">
        <v>-0.214200000000005</v>
      </c>
      <c r="AD1810">
        <v>-8.7714999999999696E-2</v>
      </c>
      <c r="AE1810">
        <v>-0.98649999999997795</v>
      </c>
      <c r="AF1810">
        <v>-0.60985851767732802</v>
      </c>
      <c r="AG1810">
        <v>-8.7714999999999696E-2</v>
      </c>
      <c r="AH1810">
        <v>0.79493469238117898</v>
      </c>
      <c r="AI1810">
        <v>95.003299781013794</v>
      </c>
      <c r="AJ1810">
        <v>127.494722478752</v>
      </c>
      <c r="AK1810">
        <v>1.00575469074707</v>
      </c>
    </row>
    <row r="1811" spans="1:37" x14ac:dyDescent="0.2">
      <c r="A1811" t="str">
        <f>"20200111154100786"</f>
        <v>20200111154100786</v>
      </c>
      <c r="B1811" t="str">
        <f>"1578728460777971"</f>
        <v>1578728460777971</v>
      </c>
      <c r="C1811" t="s">
        <v>37</v>
      </c>
      <c r="D1811">
        <v>4.473312</v>
      </c>
      <c r="E1811">
        <v>0.3623171</v>
      </c>
      <c r="F1811" t="s">
        <v>38</v>
      </c>
      <c r="G1811">
        <v>-486.65499999999997</v>
      </c>
      <c r="H1811">
        <v>1.0595779999999999</v>
      </c>
      <c r="I1811">
        <v>276.70760000000001</v>
      </c>
      <c r="J1811">
        <v>-486.49619999999999</v>
      </c>
      <c r="K1811">
        <v>1.129016</v>
      </c>
      <c r="L1811">
        <v>277.52210000000002</v>
      </c>
      <c r="M1811">
        <v>-0.75709689999999996</v>
      </c>
      <c r="N1811">
        <v>0</v>
      </c>
      <c r="O1811">
        <v>-0.65282359999999995</v>
      </c>
      <c r="P1811">
        <v>-0.59716769999999997</v>
      </c>
      <c r="Q1811">
        <v>5.8096009999999997E-2</v>
      </c>
      <c r="R1811">
        <v>-0.80001</v>
      </c>
      <c r="S1811">
        <v>-0.95468140000000001</v>
      </c>
      <c r="T1811">
        <v>-0.22925139999999999</v>
      </c>
      <c r="U1811">
        <v>-3.065582</v>
      </c>
      <c r="V1811">
        <v>-0.2193283</v>
      </c>
      <c r="W1811">
        <v>7.287457E-2</v>
      </c>
      <c r="X1811">
        <v>0.9729257</v>
      </c>
      <c r="Y1811">
        <v>-0.52892969999999995</v>
      </c>
      <c r="Z1811">
        <v>3.1097670000000001E-2</v>
      </c>
      <c r="AA1811">
        <v>0.84809570000000001</v>
      </c>
      <c r="AB1811">
        <v>36</v>
      </c>
      <c r="AC1811">
        <v>-0.15879999999998501</v>
      </c>
      <c r="AD1811">
        <v>-6.9437999999999805E-2</v>
      </c>
      <c r="AE1811">
        <v>-0.81450000000000899</v>
      </c>
      <c r="AF1811">
        <v>-0.50957960674881797</v>
      </c>
      <c r="AG1811">
        <v>-6.9437999999999805E-2</v>
      </c>
      <c r="AH1811">
        <v>0.64762132903288205</v>
      </c>
      <c r="AI1811">
        <v>94.816517397371996</v>
      </c>
      <c r="AJ1811">
        <v>128.19737042461699</v>
      </c>
      <c r="AK1811">
        <v>0.82698633439531299</v>
      </c>
    </row>
    <row r="1812" spans="1:37" x14ac:dyDescent="0.2">
      <c r="A1812" t="str">
        <f>"20200111154100798"</f>
        <v>20200111154100798</v>
      </c>
      <c r="B1812" t="str">
        <f>"1578728460787731"</f>
        <v>1578728460787731</v>
      </c>
      <c r="C1812" t="s">
        <v>37</v>
      </c>
      <c r="D1812">
        <v>4.492146</v>
      </c>
      <c r="E1812">
        <v>0.36176399999999997</v>
      </c>
      <c r="F1812" t="s">
        <v>38</v>
      </c>
      <c r="G1812">
        <v>-486.81810000000002</v>
      </c>
      <c r="H1812">
        <v>1.05159</v>
      </c>
      <c r="I1812">
        <v>276.45150000000001</v>
      </c>
      <c r="J1812">
        <v>-486.63839999999999</v>
      </c>
      <c r="K1812">
        <v>1.129027</v>
      </c>
      <c r="L1812">
        <v>277.39510000000001</v>
      </c>
      <c r="M1812">
        <v>-0.75054809999999905</v>
      </c>
      <c r="N1812">
        <v>0</v>
      </c>
      <c r="O1812">
        <v>-0.66034130000000002</v>
      </c>
      <c r="P1812">
        <v>-0.58964810000000001</v>
      </c>
      <c r="Q1812">
        <v>5.8480049999999999E-2</v>
      </c>
      <c r="R1812">
        <v>-0.80554049999999999</v>
      </c>
      <c r="S1812">
        <v>-0.92398069999999899</v>
      </c>
      <c r="T1812">
        <v>-0.2223474</v>
      </c>
      <c r="U1812">
        <v>-3.076355</v>
      </c>
      <c r="V1812">
        <v>-0.21873670000000001</v>
      </c>
      <c r="W1812">
        <v>7.331066E-2</v>
      </c>
      <c r="X1812">
        <v>0.9730261</v>
      </c>
      <c r="Y1812">
        <v>-0.5290589</v>
      </c>
      <c r="Z1812">
        <v>3.07964999999999E-2</v>
      </c>
      <c r="AA1812">
        <v>0.8480261</v>
      </c>
      <c r="AB1812">
        <v>36</v>
      </c>
      <c r="AC1812">
        <v>-0.17970000000002501</v>
      </c>
      <c r="AD1812">
        <v>-7.7436999999999895E-2</v>
      </c>
      <c r="AE1812">
        <v>-0.94360000000000299</v>
      </c>
      <c r="AF1812">
        <v>-0.58593075582111698</v>
      </c>
      <c r="AG1812">
        <v>-7.7436999999999895E-2</v>
      </c>
      <c r="AH1812">
        <v>0.75331343461235201</v>
      </c>
      <c r="AI1812">
        <v>94.638848682130003</v>
      </c>
      <c r="AJ1812">
        <v>127.875945976165</v>
      </c>
      <c r="AK1812">
        <v>0.95749280433513695</v>
      </c>
    </row>
    <row r="1813" spans="1:37" x14ac:dyDescent="0.2">
      <c r="A1813" t="str">
        <f>"20200111154100811"</f>
        <v>20200111154100811</v>
      </c>
      <c r="B1813" t="str">
        <f>"1578728460808227"</f>
        <v>1578728460808227</v>
      </c>
      <c r="C1813" t="s">
        <v>37</v>
      </c>
      <c r="D1813">
        <v>4.5457450000000001</v>
      </c>
      <c r="E1813">
        <v>0.36105589999999999</v>
      </c>
      <c r="F1813" t="s">
        <v>38</v>
      </c>
      <c r="G1813">
        <v>-486.89510000000001</v>
      </c>
      <c r="H1813">
        <v>1.0669439999999999</v>
      </c>
      <c r="I1813">
        <v>276.50810000000001</v>
      </c>
      <c r="J1813">
        <v>-486.77609999999999</v>
      </c>
      <c r="K1813">
        <v>1.129032</v>
      </c>
      <c r="L1813">
        <v>277.26940000000002</v>
      </c>
      <c r="M1813">
        <v>-0.74404029999999999</v>
      </c>
      <c r="N1813">
        <v>0</v>
      </c>
      <c r="O1813">
        <v>-0.66766429999999999</v>
      </c>
      <c r="P1813">
        <v>-0.58162650000000005</v>
      </c>
      <c r="Q1813">
        <v>5.9204350000000003E-2</v>
      </c>
      <c r="R1813">
        <v>-0.81129869999999904</v>
      </c>
      <c r="S1813">
        <v>-0.89193729999999904</v>
      </c>
      <c r="T1813">
        <v>-0.21588479999999999</v>
      </c>
      <c r="U1813">
        <v>-3.0869749999999998</v>
      </c>
      <c r="V1813">
        <v>-0.2188504</v>
      </c>
      <c r="W1813">
        <v>7.4052019999999996E-2</v>
      </c>
      <c r="X1813">
        <v>0.97294439999999904</v>
      </c>
      <c r="Y1813">
        <v>-0.52965499999999999</v>
      </c>
      <c r="Z1813">
        <v>3.0490819999999998E-2</v>
      </c>
      <c r="AA1813">
        <v>0.847665</v>
      </c>
      <c r="AB1813">
        <v>36</v>
      </c>
      <c r="AC1813">
        <v>-0.119000000000028</v>
      </c>
      <c r="AD1813">
        <v>-6.20879999999999E-2</v>
      </c>
      <c r="AE1813">
        <v>-0.76130000000000497</v>
      </c>
      <c r="AF1813">
        <v>-0.48399650985762899</v>
      </c>
      <c r="AG1813">
        <v>-6.20879999999999E-2</v>
      </c>
      <c r="AH1813">
        <v>0.59317001759805299</v>
      </c>
      <c r="AI1813">
        <v>94.636537514766104</v>
      </c>
      <c r="AJ1813">
        <v>129.21269256284199</v>
      </c>
      <c r="AK1813">
        <v>0.76808737203240096</v>
      </c>
    </row>
    <row r="1814" spans="1:37" x14ac:dyDescent="0.2">
      <c r="A1814" t="str">
        <f>"20200111154100823"</f>
        <v>20200111154100823</v>
      </c>
      <c r="B1814" t="str">
        <f>"1578728460817987"</f>
        <v>1578728460817987</v>
      </c>
      <c r="C1814" t="s">
        <v>37</v>
      </c>
      <c r="D1814">
        <v>4.556457</v>
      </c>
      <c r="E1814">
        <v>0.36097760000000001</v>
      </c>
      <c r="F1814" t="s">
        <v>38</v>
      </c>
      <c r="G1814">
        <v>-487.05699999999899</v>
      </c>
      <c r="H1814">
        <v>1.061801</v>
      </c>
      <c r="I1814">
        <v>276.25310000000002</v>
      </c>
      <c r="J1814">
        <v>-486.92399999999998</v>
      </c>
      <c r="K1814">
        <v>1.129046</v>
      </c>
      <c r="L1814">
        <v>277.1327</v>
      </c>
      <c r="M1814">
        <v>-0.73690610000000001</v>
      </c>
      <c r="N1814">
        <v>0</v>
      </c>
      <c r="O1814">
        <v>-0.67552909999999999</v>
      </c>
      <c r="P1814">
        <v>-0.57273169999999995</v>
      </c>
      <c r="Q1814">
        <v>5.9430209999999997E-2</v>
      </c>
      <c r="R1814">
        <v>-0.81758589999999998</v>
      </c>
      <c r="S1814">
        <v>-0.85696410000000001</v>
      </c>
      <c r="T1814">
        <v>-0.2050332</v>
      </c>
      <c r="U1814">
        <v>-3.0983890000000001</v>
      </c>
      <c r="V1814">
        <v>-0.21914249999999999</v>
      </c>
      <c r="W1814">
        <v>7.4288850000000003E-2</v>
      </c>
      <c r="X1814">
        <v>0.97286059999999996</v>
      </c>
      <c r="Y1814">
        <v>-0.53034599999999998</v>
      </c>
      <c r="Z1814">
        <v>2.9559869999999999E-2</v>
      </c>
      <c r="AA1814">
        <v>0.84726579999999996</v>
      </c>
      <c r="AB1814">
        <v>36</v>
      </c>
      <c r="AC1814">
        <v>-0.13299999999992401</v>
      </c>
      <c r="AD1814">
        <v>-6.7244999999999999E-2</v>
      </c>
      <c r="AE1814">
        <v>-0.87959999999998195</v>
      </c>
      <c r="AF1814">
        <v>-0.55533999524156596</v>
      </c>
      <c r="AG1814">
        <v>-6.7244999999999999E-2</v>
      </c>
      <c r="AH1814">
        <v>0.68848805078713304</v>
      </c>
      <c r="AI1814">
        <v>94.347389641094694</v>
      </c>
      <c r="AJ1814">
        <v>128.889926607051</v>
      </c>
      <c r="AK1814">
        <v>0.88709649780425104</v>
      </c>
    </row>
    <row r="1815" spans="1:37" x14ac:dyDescent="0.2">
      <c r="A1815" t="str">
        <f>"20200111154100836"</f>
        <v>20200111154100836</v>
      </c>
      <c r="B1815" t="str">
        <f>"1578728460827748"</f>
        <v>1578728460827748</v>
      </c>
      <c r="C1815" t="s">
        <v>37</v>
      </c>
      <c r="D1815">
        <v>4.6294899999999997</v>
      </c>
      <c r="E1815">
        <v>0.36152119999999999</v>
      </c>
      <c r="F1815" t="s">
        <v>39</v>
      </c>
      <c r="G1815">
        <v>-491.53030000000001</v>
      </c>
      <c r="H1815" s="1">
        <v>-4.7259890000000002E-7</v>
      </c>
      <c r="I1815">
        <v>259.74160000000001</v>
      </c>
      <c r="J1815">
        <v>-487.07130000000001</v>
      </c>
      <c r="K1815">
        <v>1.1290560000000001</v>
      </c>
      <c r="L1815">
        <v>276.99189999999999</v>
      </c>
      <c r="M1815">
        <v>-0.72955059999999905</v>
      </c>
      <c r="N1815">
        <v>0</v>
      </c>
      <c r="O1815">
        <v>-0.68346509999999905</v>
      </c>
      <c r="P1815">
        <v>-0.56359579999999998</v>
      </c>
      <c r="Q1815">
        <v>5.9554870000000003E-2</v>
      </c>
      <c r="R1815">
        <v>-0.82390140000000001</v>
      </c>
      <c r="S1815">
        <v>-0.82305910000000004</v>
      </c>
      <c r="T1815">
        <v>-0.20173940000000001</v>
      </c>
      <c r="U1815">
        <v>-3.1074519999999999</v>
      </c>
      <c r="V1815">
        <v>-0.21944229999999901</v>
      </c>
      <c r="W1815">
        <v>7.4425320000000003E-2</v>
      </c>
      <c r="X1815">
        <v>0.97278259999999905</v>
      </c>
      <c r="Y1815">
        <v>-0.53042609999999901</v>
      </c>
      <c r="Z1815">
        <v>2.9714480000000001E-2</v>
      </c>
      <c r="AA1815">
        <v>0.84721019999999903</v>
      </c>
      <c r="AB1815">
        <v>36</v>
      </c>
      <c r="AC1815">
        <v>-4.4589999999999996</v>
      </c>
      <c r="AD1815">
        <v>-1.1290564725989001</v>
      </c>
      <c r="AE1815">
        <v>-17.2502999999999</v>
      </c>
      <c r="AF1815">
        <v>-9.5022510547123407</v>
      </c>
      <c r="AG1815">
        <v>-1.1290564725989001</v>
      </c>
      <c r="AH1815">
        <v>14.987611348892401</v>
      </c>
      <c r="AI1815">
        <v>93.640427053783597</v>
      </c>
      <c r="AJ1815">
        <v>122.37498492022701</v>
      </c>
      <c r="AK1815">
        <v>17.781901967184101</v>
      </c>
    </row>
    <row r="1816" spans="1:37" x14ac:dyDescent="0.2">
      <c r="A1816" t="str">
        <f>"20200111154100849"</f>
        <v>20200111154100849</v>
      </c>
      <c r="B1816" t="str">
        <f>"1578728460838484"</f>
        <v>1578728460838484</v>
      </c>
      <c r="C1816" t="s">
        <v>37</v>
      </c>
      <c r="D1816">
        <v>4.570646</v>
      </c>
      <c r="E1816">
        <v>0.36221909999999902</v>
      </c>
      <c r="F1816" t="s">
        <v>38</v>
      </c>
      <c r="G1816">
        <v>-487.30770000000001</v>
      </c>
      <c r="H1816">
        <v>1.0699809999999901</v>
      </c>
      <c r="I1816">
        <v>276.06279999999998</v>
      </c>
      <c r="J1816">
        <v>-487.20940000000002</v>
      </c>
      <c r="K1816">
        <v>1.1290659999999999</v>
      </c>
      <c r="L1816">
        <v>276.85770000000002</v>
      </c>
      <c r="M1816">
        <v>-0.72249339999999995</v>
      </c>
      <c r="N1816">
        <v>0</v>
      </c>
      <c r="O1816">
        <v>-0.69091990000000003</v>
      </c>
      <c r="P1816">
        <v>-0.55530139999999995</v>
      </c>
      <c r="Q1816">
        <v>5.9469799999999899E-2</v>
      </c>
      <c r="R1816">
        <v>-0.82952009999999898</v>
      </c>
      <c r="S1816">
        <v>-0.79205319999999901</v>
      </c>
      <c r="T1816">
        <v>-0.19794049999999999</v>
      </c>
      <c r="U1816">
        <v>-3.11367799999999</v>
      </c>
      <c r="V1816">
        <v>-0.219215299999999</v>
      </c>
      <c r="W1816">
        <v>7.4376810000000002E-2</v>
      </c>
      <c r="X1816">
        <v>0.97283739999999996</v>
      </c>
      <c r="Y1816">
        <v>-0.53005119999999994</v>
      </c>
      <c r="Z1816">
        <v>2.9766259999999999E-2</v>
      </c>
      <c r="AA1816">
        <v>0.84744299999999995</v>
      </c>
      <c r="AB1816">
        <v>36</v>
      </c>
      <c r="AC1816">
        <v>-9.8299999999994697E-2</v>
      </c>
      <c r="AD1816">
        <v>-5.9084999999999999E-2</v>
      </c>
      <c r="AE1816">
        <v>-0.79490000000004002</v>
      </c>
      <c r="AF1816">
        <v>-0.50381130838944499</v>
      </c>
      <c r="AG1816">
        <v>-5.9084999999999999E-2</v>
      </c>
      <c r="AH1816">
        <v>0.61707177247118306</v>
      </c>
      <c r="AI1816">
        <v>94.241839131652497</v>
      </c>
      <c r="AJ1816">
        <v>129.23008958102599</v>
      </c>
      <c r="AK1816">
        <v>0.79880813970991404</v>
      </c>
    </row>
    <row r="1817" spans="1:37" x14ac:dyDescent="0.2">
      <c r="A1817" t="str">
        <f>"20200111154100861"</f>
        <v>20200111154100861</v>
      </c>
      <c r="B1817" t="str">
        <f>"1578728460858003"</f>
        <v>1578728460858003</v>
      </c>
      <c r="C1817" t="s">
        <v>37</v>
      </c>
      <c r="D1817">
        <v>4.5662449999999897</v>
      </c>
      <c r="E1817">
        <v>0.36344189999999998</v>
      </c>
      <c r="F1817" t="s">
        <v>38</v>
      </c>
      <c r="G1817">
        <v>-487.46609999999998</v>
      </c>
      <c r="H1817">
        <v>1.0638889999999901</v>
      </c>
      <c r="I1817">
        <v>275.81060000000002</v>
      </c>
      <c r="J1817">
        <v>-487.34660000000002</v>
      </c>
      <c r="K1817">
        <v>1.1290719999999901</v>
      </c>
      <c r="L1817">
        <v>276.72190000000001</v>
      </c>
      <c r="M1817">
        <v>-0.71531119999999904</v>
      </c>
      <c r="N1817">
        <v>0</v>
      </c>
      <c r="O1817">
        <v>-0.69835219999999998</v>
      </c>
      <c r="P1817">
        <v>-0.54727650000000005</v>
      </c>
      <c r="Q1817">
        <v>5.8932669999999999E-2</v>
      </c>
      <c r="R1817">
        <v>-0.83487440000000002</v>
      </c>
      <c r="S1817">
        <v>-0.76498409999999994</v>
      </c>
      <c r="T1817">
        <v>-0.19414989999999999</v>
      </c>
      <c r="U1817">
        <v>-3.1183779999999999</v>
      </c>
      <c r="V1817">
        <v>-0.21854290000000001</v>
      </c>
      <c r="W1817">
        <v>7.3899859999999998E-2</v>
      </c>
      <c r="X1817">
        <v>0.97302509999999998</v>
      </c>
      <c r="Y1817">
        <v>-0.52851990000000004</v>
      </c>
      <c r="Z1817">
        <v>2.9831159999999999E-2</v>
      </c>
      <c r="AA1817">
        <v>0.848396699999999</v>
      </c>
      <c r="AB1817">
        <v>36</v>
      </c>
      <c r="AC1817">
        <v>-0.119499999999959</v>
      </c>
      <c r="AD1817">
        <v>-6.5182999999999894E-2</v>
      </c>
      <c r="AE1817">
        <v>-0.91129999999998201</v>
      </c>
      <c r="AF1817">
        <v>-0.565744783464323</v>
      </c>
      <c r="AG1817">
        <v>-6.5182999999999894E-2</v>
      </c>
      <c r="AH1817">
        <v>0.71850317785764595</v>
      </c>
      <c r="AI1817">
        <v>94.076978752824004</v>
      </c>
      <c r="AJ1817">
        <v>128.21666809072201</v>
      </c>
      <c r="AK1817">
        <v>0.91682212020524001</v>
      </c>
    </row>
    <row r="1818" spans="1:37" x14ac:dyDescent="0.2">
      <c r="A1818" t="str">
        <f>"20200111154100876"</f>
        <v>20200111154100876</v>
      </c>
      <c r="B1818" t="str">
        <f>"1578728460867763"</f>
        <v>1578728460867763</v>
      </c>
      <c r="C1818" t="s">
        <v>37</v>
      </c>
      <c r="D1818">
        <v>4.6101409999999996</v>
      </c>
      <c r="E1818">
        <v>0.3638574</v>
      </c>
      <c r="F1818" t="s">
        <v>38</v>
      </c>
      <c r="G1818">
        <v>-487.55029999999999</v>
      </c>
      <c r="H1818">
        <v>1.0766690000000001</v>
      </c>
      <c r="I1818">
        <v>275.86630000000002</v>
      </c>
      <c r="J1818">
        <v>-487.50779999999997</v>
      </c>
      <c r="K1818">
        <v>1.129073</v>
      </c>
      <c r="L1818">
        <v>276.5575</v>
      </c>
      <c r="M1818">
        <v>-0.70658639999999995</v>
      </c>
      <c r="N1818">
        <v>0</v>
      </c>
      <c r="O1818">
        <v>-0.70717730000000001</v>
      </c>
      <c r="P1818">
        <v>-0.53841919999999899</v>
      </c>
      <c r="Q1818">
        <v>5.7548170000000003E-2</v>
      </c>
      <c r="R1818">
        <v>-0.84071010000000002</v>
      </c>
      <c r="S1818">
        <v>-0.742981</v>
      </c>
      <c r="T1818">
        <v>-0.19112299999999999</v>
      </c>
      <c r="U1818">
        <v>-3.1198730000000001</v>
      </c>
      <c r="V1818">
        <v>-0.21675839999999999</v>
      </c>
      <c r="W1818">
        <v>7.2635839999999993E-2</v>
      </c>
      <c r="X1818">
        <v>0.97351929999999998</v>
      </c>
      <c r="Y1818">
        <v>-0.52373049999999999</v>
      </c>
      <c r="Z1818">
        <v>3.020275E-2</v>
      </c>
      <c r="AA1818">
        <v>0.85134849999999995</v>
      </c>
      <c r="AB1818">
        <v>36</v>
      </c>
      <c r="AC1818">
        <v>-4.25000000000181E-2</v>
      </c>
      <c r="AD1818">
        <v>-5.2403999999999798E-2</v>
      </c>
      <c r="AE1818">
        <v>-0.69119999999998005</v>
      </c>
      <c r="AF1818">
        <v>-0.45587277299949402</v>
      </c>
      <c r="AG1818">
        <v>-5.2403999999999798E-2</v>
      </c>
      <c r="AH1818">
        <v>0.51604085692692703</v>
      </c>
      <c r="AI1818">
        <v>94.352185242733398</v>
      </c>
      <c r="AJ1818">
        <v>131.457521233048</v>
      </c>
      <c r="AK1818">
        <v>0.690553640491545</v>
      </c>
    </row>
    <row r="1819" spans="1:37" x14ac:dyDescent="0.2">
      <c r="A1819" t="str">
        <f>"20200111154100888"</f>
        <v>20200111154100888</v>
      </c>
      <c r="B1819" t="str">
        <f>"1578728460878499"</f>
        <v>1578728460878499</v>
      </c>
      <c r="C1819" t="s">
        <v>37</v>
      </c>
      <c r="D1819">
        <v>4.5730599999999999</v>
      </c>
      <c r="E1819">
        <v>0.36438219999999999</v>
      </c>
      <c r="F1819" t="s">
        <v>38</v>
      </c>
      <c r="G1819">
        <v>-487.72059999999999</v>
      </c>
      <c r="H1819">
        <v>1.0714030000000001</v>
      </c>
      <c r="I1819">
        <v>275.62299999999999</v>
      </c>
      <c r="J1819">
        <v>-487.62860000000001</v>
      </c>
      <c r="K1819">
        <v>1.1290770000000001</v>
      </c>
      <c r="L1819">
        <v>276.43189999999998</v>
      </c>
      <c r="M1819">
        <v>-0.69987929999999998</v>
      </c>
      <c r="N1819">
        <v>0</v>
      </c>
      <c r="O1819">
        <v>-0.71381499999999998</v>
      </c>
      <c r="P1819">
        <v>-0.53067580000000003</v>
      </c>
      <c r="Q1819">
        <v>5.7182169999999997E-2</v>
      </c>
      <c r="R1819">
        <v>-0.84564409999999901</v>
      </c>
      <c r="S1819">
        <v>-0.71127320000000005</v>
      </c>
      <c r="T1819">
        <v>-0.1928569</v>
      </c>
      <c r="U1819">
        <v>-3.126099</v>
      </c>
      <c r="V1819">
        <v>-0.216511499999999</v>
      </c>
      <c r="W1819">
        <v>7.2306250000000002E-2</v>
      </c>
      <c r="X1819">
        <v>0.97359879999999999</v>
      </c>
      <c r="Y1819">
        <v>-0.52426809999999902</v>
      </c>
      <c r="Z1819">
        <v>3.0984870000000001E-2</v>
      </c>
      <c r="AA1819">
        <v>0.85098940000000001</v>
      </c>
      <c r="AB1819">
        <v>35</v>
      </c>
      <c r="AC1819">
        <v>-9.1999999999984497E-2</v>
      </c>
      <c r="AD1819">
        <v>-5.7674000000000003E-2</v>
      </c>
      <c r="AE1819">
        <v>-0.80889999999999396</v>
      </c>
      <c r="AF1819">
        <v>-0.498120981891717</v>
      </c>
      <c r="AG1819">
        <v>-5.7674000000000003E-2</v>
      </c>
      <c r="AH1819">
        <v>0.63879250502788498</v>
      </c>
      <c r="AI1819">
        <v>94.072479018597804</v>
      </c>
      <c r="AJ1819">
        <v>127.94658055607201</v>
      </c>
      <c r="AK1819">
        <v>0.81210015845126404</v>
      </c>
    </row>
    <row r="1820" spans="1:37" x14ac:dyDescent="0.2">
      <c r="A1820" t="str">
        <f>"20200111154100898"</f>
        <v>20200111154100898</v>
      </c>
      <c r="B1820" t="str">
        <f>"1578728460888259"</f>
        <v>1578728460888259</v>
      </c>
      <c r="C1820" t="s">
        <v>37</v>
      </c>
      <c r="D1820">
        <v>4.5695730000000001</v>
      </c>
      <c r="E1820">
        <v>0.36494140000000003</v>
      </c>
      <c r="F1820" t="s">
        <v>38</v>
      </c>
      <c r="G1820">
        <v>-487.86250000000001</v>
      </c>
      <c r="H1820">
        <v>1.0633950000000001</v>
      </c>
      <c r="I1820">
        <v>275.36470000000003</v>
      </c>
      <c r="J1820">
        <v>-487.75229999999999</v>
      </c>
      <c r="K1820">
        <v>1.1290819999999999</v>
      </c>
      <c r="L1820">
        <v>276.30070000000001</v>
      </c>
      <c r="M1820">
        <v>-0.69284730000000005</v>
      </c>
      <c r="N1820">
        <v>0</v>
      </c>
      <c r="O1820">
        <v>-0.72064159999999999</v>
      </c>
      <c r="P1820">
        <v>-0.52310369999999995</v>
      </c>
      <c r="Q1820">
        <v>5.7115190000000003E-2</v>
      </c>
      <c r="R1820">
        <v>-0.85035319999999903</v>
      </c>
      <c r="S1820">
        <v>-0.68603519999999996</v>
      </c>
      <c r="T1820">
        <v>-0.1926832</v>
      </c>
      <c r="U1820">
        <v>-3.130096</v>
      </c>
      <c r="V1820">
        <v>-0.2156605</v>
      </c>
      <c r="W1820">
        <v>7.2306259999999997E-2</v>
      </c>
      <c r="X1820">
        <v>0.97378770000000003</v>
      </c>
      <c r="Y1820">
        <v>-0.522696099999999</v>
      </c>
      <c r="Z1820">
        <v>3.1543219999999997E-2</v>
      </c>
      <c r="AA1820">
        <v>0.85193539999999901</v>
      </c>
      <c r="AB1820">
        <v>35</v>
      </c>
      <c r="AC1820">
        <v>-0.11020000000002</v>
      </c>
      <c r="AD1820">
        <v>-6.5686999999999801E-2</v>
      </c>
      <c r="AE1820">
        <v>-0.93599999999997796</v>
      </c>
      <c r="AF1820">
        <v>-0.56652011066809804</v>
      </c>
      <c r="AG1820">
        <v>-6.5686999999999801E-2</v>
      </c>
      <c r="AH1820">
        <v>0.74748104651462199</v>
      </c>
      <c r="AI1820">
        <v>94.006202305698196</v>
      </c>
      <c r="AJ1820">
        <v>127.158694044207</v>
      </c>
      <c r="AK1820">
        <v>0.94020621815588401</v>
      </c>
    </row>
    <row r="1821" spans="1:37" x14ac:dyDescent="0.2">
      <c r="A1821" t="str">
        <f>"20200111154100911"</f>
        <v>20200111154100911</v>
      </c>
      <c r="B1821" t="str">
        <f>"1578728460907779"</f>
        <v>1578728460907779</v>
      </c>
      <c r="C1821" t="s">
        <v>37</v>
      </c>
      <c r="D1821">
        <v>4.5628799999999998</v>
      </c>
      <c r="E1821">
        <v>0.38036500000000001</v>
      </c>
      <c r="F1821" t="s">
        <v>38</v>
      </c>
      <c r="G1821">
        <v>-487.93979999999999</v>
      </c>
      <c r="H1821">
        <v>1.0751299999999999</v>
      </c>
      <c r="I1821">
        <v>275.41230000000002</v>
      </c>
      <c r="J1821">
        <v>-487.87689999999998</v>
      </c>
      <c r="K1821">
        <v>1.129086</v>
      </c>
      <c r="L1821">
        <v>276.16520000000003</v>
      </c>
      <c r="M1821">
        <v>-0.68555390000000005</v>
      </c>
      <c r="N1821">
        <v>0</v>
      </c>
      <c r="O1821">
        <v>-0.72758239999999996</v>
      </c>
      <c r="P1821">
        <v>-0.51540350000000001</v>
      </c>
      <c r="Q1821">
        <v>5.7427099999999898E-2</v>
      </c>
      <c r="R1821">
        <v>-0.85502129999999998</v>
      </c>
      <c r="S1821">
        <v>-0.66137699999999999</v>
      </c>
      <c r="T1821">
        <v>-0.1903378</v>
      </c>
      <c r="U1821">
        <v>-3.1338499999999998</v>
      </c>
      <c r="V1821">
        <v>-0.21464620000000001</v>
      </c>
      <c r="W1821">
        <v>7.2692430000000002E-2</v>
      </c>
      <c r="X1821">
        <v>0.97398300000000004</v>
      </c>
      <c r="Y1821">
        <v>-0.52073479999999905</v>
      </c>
      <c r="Z1821">
        <v>3.1759379999999997E-2</v>
      </c>
      <c r="AA1821">
        <v>0.85312749999999904</v>
      </c>
      <c r="AB1821">
        <v>35</v>
      </c>
      <c r="AC1821">
        <v>-6.2900000000013195E-2</v>
      </c>
      <c r="AD1821">
        <v>-5.3956000000000101E-2</v>
      </c>
      <c r="AE1821">
        <v>-0.752900000000011</v>
      </c>
      <c r="AF1821">
        <v>-0.468151474790936</v>
      </c>
      <c r="AG1821">
        <v>-5.3956000000000101E-2</v>
      </c>
      <c r="AH1821">
        <v>0.58810777869369801</v>
      </c>
      <c r="AI1821">
        <v>94.105630754279005</v>
      </c>
      <c r="AJ1821">
        <v>128.520844063851</v>
      </c>
      <c r="AK1821">
        <v>0.75362312374618901</v>
      </c>
    </row>
    <row r="1822" spans="1:37" x14ac:dyDescent="0.2">
      <c r="A1822" t="str">
        <f>"20200111154100923"</f>
        <v>20200111154100923</v>
      </c>
      <c r="B1822" t="str">
        <f>"1578728460918515"</f>
        <v>1578728460918515</v>
      </c>
      <c r="C1822" t="s">
        <v>37</v>
      </c>
      <c r="D1822">
        <v>4.6195599999999999</v>
      </c>
      <c r="E1822">
        <v>0.37988290000000002</v>
      </c>
      <c r="F1822" t="s">
        <v>38</v>
      </c>
      <c r="G1822">
        <v>-488.11470000000003</v>
      </c>
      <c r="H1822">
        <v>1.0710629999999901</v>
      </c>
      <c r="I1822">
        <v>275.17540000000002</v>
      </c>
      <c r="J1822">
        <v>-487.99310000000003</v>
      </c>
      <c r="K1822">
        <v>1.129092</v>
      </c>
      <c r="L1822">
        <v>276.03769999999997</v>
      </c>
      <c r="M1822">
        <v>-0.67864169999999902</v>
      </c>
      <c r="N1822">
        <v>0</v>
      </c>
      <c r="O1822">
        <v>-0.73403339999999995</v>
      </c>
      <c r="P1822">
        <v>-0.50823909999999906</v>
      </c>
      <c r="Q1822">
        <v>5.7379579999999999E-2</v>
      </c>
      <c r="R1822">
        <v>-0.85930229999999996</v>
      </c>
      <c r="S1822">
        <v>-0.73800659999999996</v>
      </c>
      <c r="T1822">
        <v>-0.18019640000000001</v>
      </c>
      <c r="U1822">
        <v>-3.07592799999999</v>
      </c>
      <c r="V1822">
        <v>-0.2135746</v>
      </c>
      <c r="W1822">
        <v>7.2720480000000004E-2</v>
      </c>
      <c r="X1822">
        <v>0.97421639999999998</v>
      </c>
      <c r="Y1822">
        <v>-0.48888409999999899</v>
      </c>
      <c r="Z1822">
        <v>3.1689879999999997E-2</v>
      </c>
      <c r="AA1822">
        <v>0.87177289999999996</v>
      </c>
      <c r="AB1822">
        <v>35</v>
      </c>
      <c r="AC1822">
        <v>-0.1216</v>
      </c>
      <c r="AD1822">
        <v>-5.8029000000000101E-2</v>
      </c>
      <c r="AE1822">
        <v>-0.862299999999947</v>
      </c>
      <c r="AF1822">
        <v>-0.49390004177114699</v>
      </c>
      <c r="AG1822">
        <v>-5.8029000000000101E-2</v>
      </c>
      <c r="AH1822">
        <v>0.71254505979967897</v>
      </c>
      <c r="AI1822">
        <v>93.829220547693296</v>
      </c>
      <c r="AJ1822">
        <v>124.72773412393801</v>
      </c>
      <c r="AK1822">
        <v>0.86892179069664799</v>
      </c>
    </row>
    <row r="1823" spans="1:37" x14ac:dyDescent="0.2">
      <c r="A1823" t="str">
        <f>"20200111154100934"</f>
        <v>20200111154100934</v>
      </c>
      <c r="B1823" t="str">
        <f>"1578728460928275"</f>
        <v>1578728460928275</v>
      </c>
      <c r="C1823" t="s">
        <v>37</v>
      </c>
      <c r="D1823">
        <v>4.5774189999999999</v>
      </c>
      <c r="E1823">
        <v>0.38080609999999998</v>
      </c>
      <c r="F1823" t="s">
        <v>38</v>
      </c>
      <c r="G1823">
        <v>-488.25049999999999</v>
      </c>
      <c r="H1823">
        <v>1.063601</v>
      </c>
      <c r="I1823">
        <v>274.9178</v>
      </c>
      <c r="J1823">
        <v>-488.1044</v>
      </c>
      <c r="K1823">
        <v>1.1290959999999901</v>
      </c>
      <c r="L1823">
        <v>275.911</v>
      </c>
      <c r="M1823">
        <v>-0.67176780000000003</v>
      </c>
      <c r="N1823">
        <v>0</v>
      </c>
      <c r="O1823">
        <v>-0.74032849999999994</v>
      </c>
      <c r="P1823">
        <v>-0.50148149999999903</v>
      </c>
      <c r="Q1823">
        <v>5.7581790000000001E-2</v>
      </c>
      <c r="R1823">
        <v>-0.86325010000000002</v>
      </c>
      <c r="S1823">
        <v>-0.7087097</v>
      </c>
      <c r="T1823">
        <v>-0.18033640000000001</v>
      </c>
      <c r="U1823">
        <v>-3.084076</v>
      </c>
      <c r="V1823">
        <v>-0.2121335</v>
      </c>
      <c r="W1823">
        <v>7.301581E-2</v>
      </c>
      <c r="X1823">
        <v>0.97450910000000002</v>
      </c>
      <c r="Y1823">
        <v>-0.48912630000000001</v>
      </c>
      <c r="Z1823">
        <v>3.2156740000000003E-2</v>
      </c>
      <c r="AA1823">
        <v>0.87161999999999995</v>
      </c>
      <c r="AB1823">
        <v>35</v>
      </c>
      <c r="AC1823">
        <v>-0.14609999999998899</v>
      </c>
      <c r="AD1823">
        <v>-6.5494999999999803E-2</v>
      </c>
      <c r="AE1823">
        <v>-0.99320000000000097</v>
      </c>
      <c r="AF1823">
        <v>-0.55684706727828104</v>
      </c>
      <c r="AG1823">
        <v>-6.5494999999999803E-2</v>
      </c>
      <c r="AH1823">
        <v>0.83017351770349102</v>
      </c>
      <c r="AI1823">
        <v>93.7486058668064</v>
      </c>
      <c r="AJ1823">
        <v>123.852122565722</v>
      </c>
      <c r="AK1823">
        <v>1.0017765823064599</v>
      </c>
    </row>
    <row r="1824" spans="1:37" x14ac:dyDescent="0.2">
      <c r="A1824" t="str">
        <f>"20200111154100945"</f>
        <v>20200111154100945</v>
      </c>
      <c r="B1824" t="str">
        <f>"1578728460938035"</f>
        <v>1578728460938035</v>
      </c>
      <c r="C1824" t="s">
        <v>37</v>
      </c>
      <c r="D1824">
        <v>4.6038879999999898</v>
      </c>
      <c r="E1824">
        <v>0.38092350000000003</v>
      </c>
      <c r="F1824" t="s">
        <v>38</v>
      </c>
      <c r="G1824">
        <v>-488.31810000000002</v>
      </c>
      <c r="H1824">
        <v>1.0728930000000001</v>
      </c>
      <c r="I1824">
        <v>274.9563</v>
      </c>
      <c r="J1824">
        <v>-488.21949999999998</v>
      </c>
      <c r="K1824">
        <v>1.1290959999999901</v>
      </c>
      <c r="L1824">
        <v>275.77890000000002</v>
      </c>
      <c r="M1824">
        <v>-0.66455109999999995</v>
      </c>
      <c r="N1824">
        <v>0</v>
      </c>
      <c r="O1824">
        <v>-0.74681280000000005</v>
      </c>
      <c r="P1824">
        <v>-0.49422199999999999</v>
      </c>
      <c r="Q1824">
        <v>5.7499969999999997E-2</v>
      </c>
      <c r="R1824">
        <v>-0.86743239999999999</v>
      </c>
      <c r="S1824">
        <v>-0.69039919999999899</v>
      </c>
      <c r="T1824">
        <v>-0.18166570000000001</v>
      </c>
      <c r="U1824">
        <v>-3.0863040000000002</v>
      </c>
      <c r="V1824">
        <v>-0.2108507</v>
      </c>
      <c r="W1824">
        <v>7.3019630000000002E-2</v>
      </c>
      <c r="X1824">
        <v>0.97478719999999996</v>
      </c>
      <c r="Y1824">
        <v>-0.48572079999999901</v>
      </c>
      <c r="Z1824">
        <v>3.2971720000000003E-2</v>
      </c>
      <c r="AA1824">
        <v>0.87349189999999999</v>
      </c>
      <c r="AB1824">
        <v>35</v>
      </c>
      <c r="AC1824">
        <v>-9.8600000000033106E-2</v>
      </c>
      <c r="AD1824">
        <v>-5.6202999999999698E-2</v>
      </c>
      <c r="AE1824">
        <v>-0.82260000000002198</v>
      </c>
      <c r="AF1824">
        <v>-0.47100844020636401</v>
      </c>
      <c r="AG1824">
        <v>-5.6202999999999698E-2</v>
      </c>
      <c r="AH1824">
        <v>0.67695609815223701</v>
      </c>
      <c r="AI1824">
        <v>93.898691123679299</v>
      </c>
      <c r="AJ1824">
        <v>124.829192003321</v>
      </c>
      <c r="AK1824">
        <v>0.82660588358669096</v>
      </c>
    </row>
    <row r="1825" spans="1:37" x14ac:dyDescent="0.2">
      <c r="A1825" t="str">
        <f>"20200111154100956"</f>
        <v>20200111154100956</v>
      </c>
      <c r="B1825" t="str">
        <f>"1578728460947795"</f>
        <v>1578728460947795</v>
      </c>
      <c r="C1825" t="s">
        <v>37</v>
      </c>
      <c r="D1825">
        <v>4.5544890000000002</v>
      </c>
      <c r="E1825">
        <v>0.38136320000000001</v>
      </c>
      <c r="F1825" t="s">
        <v>38</v>
      </c>
      <c r="G1825">
        <v>-488.452</v>
      </c>
      <c r="H1825">
        <v>1.066173</v>
      </c>
      <c r="I1825">
        <v>274.6995</v>
      </c>
      <c r="J1825">
        <v>-488.33049999999997</v>
      </c>
      <c r="K1825">
        <v>1.129092</v>
      </c>
      <c r="L1825">
        <v>275.6481</v>
      </c>
      <c r="M1825">
        <v>-0.6573852</v>
      </c>
      <c r="N1825">
        <v>0</v>
      </c>
      <c r="O1825">
        <v>-0.7531274</v>
      </c>
      <c r="P1825">
        <v>-0.48750359999999998</v>
      </c>
      <c r="Q1825">
        <v>5.7068510000000003E-2</v>
      </c>
      <c r="R1825">
        <v>-0.87125370000000002</v>
      </c>
      <c r="S1825">
        <v>-0.66546629999999996</v>
      </c>
      <c r="T1825">
        <v>-0.180176</v>
      </c>
      <c r="U1825">
        <v>-3.091278</v>
      </c>
      <c r="V1825">
        <v>-0.20906849999999999</v>
      </c>
      <c r="W1825">
        <v>7.2697650000000003E-2</v>
      </c>
      <c r="X1825">
        <v>0.97519509999999898</v>
      </c>
      <c r="Y1825">
        <v>-0.48439359999999998</v>
      </c>
      <c r="Z1825">
        <v>3.3202269999999999E-2</v>
      </c>
      <c r="AA1825">
        <v>0.87421990000000005</v>
      </c>
      <c r="AB1825">
        <v>35</v>
      </c>
      <c r="AC1825">
        <v>-0.121500000000025</v>
      </c>
      <c r="AD1825">
        <v>-6.2918999999999906E-2</v>
      </c>
      <c r="AE1825">
        <v>-0.948599999999999</v>
      </c>
      <c r="AF1825">
        <v>-0.52996805938398595</v>
      </c>
      <c r="AG1825">
        <v>-6.2918999999999906E-2</v>
      </c>
      <c r="AH1825">
        <v>0.79112045606657</v>
      </c>
      <c r="AI1825">
        <v>93.780356477961504</v>
      </c>
      <c r="AJ1825">
        <v>123.817953930428</v>
      </c>
      <c r="AK1825">
        <v>0.95430420754348899</v>
      </c>
    </row>
    <row r="1826" spans="1:37" x14ac:dyDescent="0.2">
      <c r="A1826" t="str">
        <f>"20200111154100968"</f>
        <v>20200111154100968</v>
      </c>
      <c r="B1826" t="str">
        <f>"1578728460958531"</f>
        <v>1578728460958531</v>
      </c>
      <c r="C1826" t="s">
        <v>37</v>
      </c>
      <c r="D1826">
        <v>4.5881809999999996</v>
      </c>
      <c r="E1826">
        <v>0.38176729999999998</v>
      </c>
      <c r="F1826" t="s">
        <v>38</v>
      </c>
      <c r="G1826">
        <v>-488.52019999999999</v>
      </c>
      <c r="H1826">
        <v>1.0762879999999999</v>
      </c>
      <c r="I1826">
        <v>274.73689999999999</v>
      </c>
      <c r="J1826">
        <v>-488.43439999999998</v>
      </c>
      <c r="K1826">
        <v>1.1290929999999999</v>
      </c>
      <c r="L1826">
        <v>275.52339999999998</v>
      </c>
      <c r="M1826">
        <v>-0.65051539999999997</v>
      </c>
      <c r="N1826">
        <v>0</v>
      </c>
      <c r="O1826">
        <v>-0.75906859999999998</v>
      </c>
      <c r="P1826">
        <v>-0.48120219999999903</v>
      </c>
      <c r="Q1826">
        <v>5.6452780000000001E-2</v>
      </c>
      <c r="R1826">
        <v>-0.87478989999999901</v>
      </c>
      <c r="S1826">
        <v>-0.64422609999999902</v>
      </c>
      <c r="T1826">
        <v>-0.1792907</v>
      </c>
      <c r="U1826">
        <v>-3.0946349999999998</v>
      </c>
      <c r="V1826">
        <v>-0.20724509999999999</v>
      </c>
      <c r="W1826">
        <v>7.2192119999999999E-2</v>
      </c>
      <c r="X1826">
        <v>0.97562179999999998</v>
      </c>
      <c r="Y1826">
        <v>-0.48238609999999998</v>
      </c>
      <c r="Z1826">
        <v>3.3533220000000002E-2</v>
      </c>
      <c r="AA1826">
        <v>0.875316599999999</v>
      </c>
      <c r="AB1826">
        <v>35</v>
      </c>
      <c r="AC1826">
        <v>-8.5800000000006094E-2</v>
      </c>
      <c r="AD1826">
        <v>-5.2805000000000199E-2</v>
      </c>
      <c r="AE1826">
        <v>-0.78649999999998899</v>
      </c>
      <c r="AF1826">
        <v>-0.44466541408136301</v>
      </c>
      <c r="AG1826">
        <v>-5.2805000000000199E-2</v>
      </c>
      <c r="AH1826">
        <v>0.65013603735799497</v>
      </c>
      <c r="AI1826">
        <v>93.835402462967394</v>
      </c>
      <c r="AJ1826">
        <v>124.37046867452</v>
      </c>
      <c r="AK1826">
        <v>0.78942546549798298</v>
      </c>
    </row>
    <row r="1827" spans="1:37" x14ac:dyDescent="0.2">
      <c r="A1827" t="str">
        <f>"20200111154100980"</f>
        <v>20200111154100980</v>
      </c>
      <c r="B1827" t="str">
        <f>"1578728460968291"</f>
        <v>1578728460968291</v>
      </c>
      <c r="C1827" t="s">
        <v>37</v>
      </c>
      <c r="D1827">
        <v>4.5727580000000003</v>
      </c>
      <c r="E1827">
        <v>0.38209179999999998</v>
      </c>
      <c r="F1827" t="s">
        <v>38</v>
      </c>
      <c r="G1827">
        <v>-488.64519999999999</v>
      </c>
      <c r="H1827">
        <v>1.0677490000000001</v>
      </c>
      <c r="I1827">
        <v>274.47699999999998</v>
      </c>
      <c r="J1827">
        <v>-488.54719999999998</v>
      </c>
      <c r="K1827">
        <v>1.129092</v>
      </c>
      <c r="L1827">
        <v>275.38560000000001</v>
      </c>
      <c r="M1827">
        <v>-0.64288599999999996</v>
      </c>
      <c r="N1827">
        <v>0</v>
      </c>
      <c r="O1827">
        <v>-0.765540199999999</v>
      </c>
      <c r="P1827">
        <v>-0.4746573</v>
      </c>
      <c r="Q1827">
        <v>5.570808E-2</v>
      </c>
      <c r="R1827">
        <v>-0.87840629999999997</v>
      </c>
      <c r="S1827">
        <v>-0.62411499999999998</v>
      </c>
      <c r="T1827">
        <v>-0.181609299999999</v>
      </c>
      <c r="U1827">
        <v>-3.0977779999999999</v>
      </c>
      <c r="V1827">
        <v>-0.2047611</v>
      </c>
      <c r="W1827">
        <v>7.1591420000000003E-2</v>
      </c>
      <c r="X1827">
        <v>0.97619029999999996</v>
      </c>
      <c r="Y1827">
        <v>-0.4792553</v>
      </c>
      <c r="Z1827">
        <v>3.4530039999999998E-2</v>
      </c>
      <c r="AA1827">
        <v>0.876995999999999</v>
      </c>
      <c r="AB1827">
        <v>34</v>
      </c>
      <c r="AC1827">
        <v>-9.8000000000013202E-2</v>
      </c>
      <c r="AD1827">
        <v>-6.1342999999999898E-2</v>
      </c>
      <c r="AE1827">
        <v>-0.90859999999997798</v>
      </c>
      <c r="AF1827">
        <v>-0.50698343670374701</v>
      </c>
      <c r="AG1827">
        <v>-6.1342999999999898E-2</v>
      </c>
      <c r="AH1827">
        <v>0.75541405070590195</v>
      </c>
      <c r="AI1827">
        <v>93.857437245098396</v>
      </c>
      <c r="AJ1827">
        <v>123.86687272115201</v>
      </c>
      <c r="AK1827">
        <v>0.91183636511429</v>
      </c>
    </row>
    <row r="1828" spans="1:37" x14ac:dyDescent="0.2">
      <c r="A1828" t="str">
        <f>"20200111154100991"</f>
        <v>20200111154100991</v>
      </c>
      <c r="B1828" t="str">
        <f>"1578728460987812"</f>
        <v>1578728460987812</v>
      </c>
      <c r="C1828" t="s">
        <v>37</v>
      </c>
      <c r="D1828">
        <v>4.592085</v>
      </c>
      <c r="E1828">
        <v>0.38292690000000001</v>
      </c>
      <c r="F1828" t="s">
        <v>38</v>
      </c>
      <c r="G1828">
        <v>-488.71660000000003</v>
      </c>
      <c r="H1828">
        <v>1.0780730000000001</v>
      </c>
      <c r="I1828">
        <v>274.51440000000002</v>
      </c>
      <c r="J1828">
        <v>-488.6558</v>
      </c>
      <c r="K1828">
        <v>1.1290929999999999</v>
      </c>
      <c r="L1828">
        <v>275.24930000000001</v>
      </c>
      <c r="M1828">
        <v>-0.6353164</v>
      </c>
      <c r="N1828">
        <v>0</v>
      </c>
      <c r="O1828">
        <v>-0.77183349999999995</v>
      </c>
      <c r="P1828">
        <v>-0.46843509999999999</v>
      </c>
      <c r="Q1828">
        <v>5.5376179999999997E-2</v>
      </c>
      <c r="R1828">
        <v>-0.88176109999999897</v>
      </c>
      <c r="S1828">
        <v>-0.60305790000000004</v>
      </c>
      <c r="T1828">
        <v>-0.18161669999999999</v>
      </c>
      <c r="U1828">
        <v>-3.1009220000000002</v>
      </c>
      <c r="V1828">
        <v>-0.202045899999999</v>
      </c>
      <c r="W1828">
        <v>7.141451E-2</v>
      </c>
      <c r="X1828">
        <v>0.97676890000000005</v>
      </c>
      <c r="Y1828">
        <v>-0.47651850000000001</v>
      </c>
      <c r="Z1828">
        <v>3.5075009999999997E-2</v>
      </c>
      <c r="AA1828">
        <v>0.87846449999999998</v>
      </c>
      <c r="AB1828">
        <v>34</v>
      </c>
      <c r="AC1828">
        <v>-6.0800000000028803E-2</v>
      </c>
      <c r="AD1828">
        <v>-5.1020000000000003E-2</v>
      </c>
      <c r="AE1828">
        <v>-0.73489999999998101</v>
      </c>
      <c r="AF1828">
        <v>-0.418100843834388</v>
      </c>
      <c r="AG1828">
        <v>-5.1020000000000003E-2</v>
      </c>
      <c r="AH1828">
        <v>0.603156197467693</v>
      </c>
      <c r="AI1828">
        <v>93.976760458473095</v>
      </c>
      <c r="AJ1828">
        <v>124.729248710186</v>
      </c>
      <c r="AK1828">
        <v>0.73566891640106302</v>
      </c>
    </row>
    <row r="1829" spans="1:37" x14ac:dyDescent="0.2">
      <c r="A1829" t="str">
        <f>"20200111154101004"</f>
        <v>20200111154101004</v>
      </c>
      <c r="B1829" t="str">
        <f>"1578728460998548"</f>
        <v>1578728460998548</v>
      </c>
      <c r="C1829" t="s">
        <v>37</v>
      </c>
      <c r="D1829">
        <v>4.5918479999999997</v>
      </c>
      <c r="E1829">
        <v>0.38292690000000001</v>
      </c>
      <c r="F1829" t="s">
        <v>38</v>
      </c>
      <c r="G1829">
        <v>-488.8433</v>
      </c>
      <c r="H1829">
        <v>1.0717019999999999</v>
      </c>
      <c r="I1829">
        <v>274.25700000000001</v>
      </c>
      <c r="J1829">
        <v>-488.76519999999999</v>
      </c>
      <c r="K1829">
        <v>1.129092</v>
      </c>
      <c r="L1829">
        <v>275.11020000000002</v>
      </c>
      <c r="M1829">
        <v>-0.62753930000000002</v>
      </c>
      <c r="N1829">
        <v>0</v>
      </c>
      <c r="O1829">
        <v>-0.77816929999999995</v>
      </c>
      <c r="P1829">
        <v>-0.46180779999999899</v>
      </c>
      <c r="Q1829">
        <v>5.569371E-2</v>
      </c>
      <c r="R1829">
        <v>-0.88522990000000001</v>
      </c>
      <c r="S1829">
        <v>-0.58596800000000004</v>
      </c>
      <c r="T1829">
        <v>-0.17940120000000001</v>
      </c>
      <c r="U1829">
        <v>-3.1022029999999998</v>
      </c>
      <c r="V1829">
        <v>-0.1995701</v>
      </c>
      <c r="W1829">
        <v>7.1874880000000002E-2</v>
      </c>
      <c r="X1829">
        <v>0.977244</v>
      </c>
      <c r="Y1829">
        <v>-0.47243149999999901</v>
      </c>
      <c r="Z1829">
        <v>3.5229030000000001E-2</v>
      </c>
      <c r="AA1829">
        <v>0.88066309999999903</v>
      </c>
      <c r="AB1829">
        <v>34</v>
      </c>
      <c r="AC1829">
        <v>-7.8100000000006206E-2</v>
      </c>
      <c r="AD1829">
        <v>-5.7389999999999802E-2</v>
      </c>
      <c r="AE1829">
        <v>-0.85320000000001495</v>
      </c>
      <c r="AF1829">
        <v>-0.47267427710563598</v>
      </c>
      <c r="AG1829">
        <v>-5.7389999999999802E-2</v>
      </c>
      <c r="AH1829">
        <v>0.70998994653871295</v>
      </c>
      <c r="AI1829">
        <v>93.849339832212607</v>
      </c>
      <c r="AJ1829">
        <v>123.6536058171</v>
      </c>
      <c r="AK1829">
        <v>0.85486859137728299</v>
      </c>
    </row>
    <row r="1830" spans="1:37" x14ac:dyDescent="0.2">
      <c r="A1830" t="str">
        <f>"20200111154101016"</f>
        <v>20200111154101016</v>
      </c>
      <c r="B1830" t="str">
        <f>"1578728461008307"</f>
        <v>1578728461008307</v>
      </c>
      <c r="C1830" t="s">
        <v>37</v>
      </c>
      <c r="D1830">
        <v>4.6076569999999997</v>
      </c>
      <c r="E1830">
        <v>0.39254359999999999</v>
      </c>
      <c r="F1830" t="s">
        <v>38</v>
      </c>
      <c r="G1830">
        <v>-488.96620000000001</v>
      </c>
      <c r="H1830">
        <v>1.065817</v>
      </c>
      <c r="I1830">
        <v>274.00060000000002</v>
      </c>
      <c r="J1830">
        <v>-488.88310000000001</v>
      </c>
      <c r="K1830">
        <v>1.1290899999999999</v>
      </c>
      <c r="L1830">
        <v>274.95499999999998</v>
      </c>
      <c r="M1830">
        <v>-0.61883369999999904</v>
      </c>
      <c r="N1830">
        <v>0</v>
      </c>
      <c r="O1830">
        <v>-0.78510939999999996</v>
      </c>
      <c r="P1830">
        <v>-0.45432990000000001</v>
      </c>
      <c r="Q1830">
        <v>5.6501179999999998E-2</v>
      </c>
      <c r="R1830">
        <v>-0.88903989999999999</v>
      </c>
      <c r="S1830">
        <v>-0.56265259999999995</v>
      </c>
      <c r="T1830">
        <v>-0.1771537</v>
      </c>
      <c r="U1830">
        <v>-3.106598</v>
      </c>
      <c r="V1830">
        <v>-0.19692419999999999</v>
      </c>
      <c r="W1830">
        <v>7.2834620000000003E-2</v>
      </c>
      <c r="X1830">
        <v>0.97770949999999901</v>
      </c>
      <c r="Y1830">
        <v>-0.46923409999999899</v>
      </c>
      <c r="Z1830">
        <v>3.536603E-2</v>
      </c>
      <c r="AA1830">
        <v>0.88236530000000002</v>
      </c>
      <c r="AB1830">
        <v>34</v>
      </c>
      <c r="AC1830">
        <v>-8.31000000000017E-2</v>
      </c>
      <c r="AD1830">
        <v>-6.3272999999999899E-2</v>
      </c>
      <c r="AE1830">
        <v>-0.95439999999996405</v>
      </c>
      <c r="AF1830">
        <v>-0.52326010259747702</v>
      </c>
      <c r="AG1830">
        <v>-6.3272999999999899E-2</v>
      </c>
      <c r="AH1830">
        <v>0.79751424914611702</v>
      </c>
      <c r="AI1830">
        <v>93.795116539526305</v>
      </c>
      <c r="AJ1830">
        <v>123.269432955921</v>
      </c>
      <c r="AK1830">
        <v>0.95594643421606995</v>
      </c>
    </row>
    <row r="1831" spans="1:37" x14ac:dyDescent="0.2">
      <c r="A1831" t="str">
        <f>"20200111154101032"</f>
        <v>20200111154101032</v>
      </c>
      <c r="B1831" t="str">
        <f>"1578728461027826"</f>
        <v>1578728461027826</v>
      </c>
      <c r="C1831" t="s">
        <v>37</v>
      </c>
      <c r="D1831">
        <v>4.6668779999999996</v>
      </c>
      <c r="E1831">
        <v>0.3937542</v>
      </c>
      <c r="F1831" t="s">
        <v>38</v>
      </c>
      <c r="G1831">
        <v>-489.06639999999999</v>
      </c>
      <c r="H1831">
        <v>1.0797669999999999</v>
      </c>
      <c r="I1831">
        <v>274.02280000000002</v>
      </c>
      <c r="J1831">
        <v>-489.01569999999998</v>
      </c>
      <c r="K1831">
        <v>1.1290819999999999</v>
      </c>
      <c r="L1831">
        <v>274.77659999999997</v>
      </c>
      <c r="M1831">
        <v>-0.60876019999999997</v>
      </c>
      <c r="N1831">
        <v>0</v>
      </c>
      <c r="O1831">
        <v>-0.79294500000000001</v>
      </c>
      <c r="P1831">
        <v>-0.44651220000000003</v>
      </c>
      <c r="Q1831">
        <v>5.8034750000000003E-2</v>
      </c>
      <c r="R1831">
        <v>-0.89289349999999901</v>
      </c>
      <c r="S1831">
        <v>-0.60464479999999998</v>
      </c>
      <c r="T1831">
        <v>-0.16273950000000001</v>
      </c>
      <c r="U1831">
        <v>-3.075745</v>
      </c>
      <c r="V1831">
        <v>-0.19302249999999899</v>
      </c>
      <c r="W1831">
        <v>7.4584129999999998E-2</v>
      </c>
      <c r="X1831">
        <v>0.97835550000000004</v>
      </c>
      <c r="Y1831">
        <v>-0.4446059</v>
      </c>
      <c r="Z1831">
        <v>3.3727390000000003E-2</v>
      </c>
      <c r="AA1831">
        <v>0.89509110000000003</v>
      </c>
      <c r="AB1831">
        <v>34</v>
      </c>
      <c r="AC1831">
        <v>-5.0700000000006101E-2</v>
      </c>
      <c r="AD1831">
        <v>-4.9314999999999998E-2</v>
      </c>
      <c r="AE1831">
        <v>-0.75379999999995495</v>
      </c>
      <c r="AF1831">
        <v>-0.41704020486795002</v>
      </c>
      <c r="AG1831">
        <v>-4.9314999999999998E-2</v>
      </c>
      <c r="AH1831">
        <v>0.62612248754901001</v>
      </c>
      <c r="AI1831">
        <v>93.750515718670997</v>
      </c>
      <c r="AJ1831">
        <v>123.66631735259</v>
      </c>
      <c r="AK1831">
        <v>0.75391237628510999</v>
      </c>
    </row>
    <row r="1832" spans="1:37" x14ac:dyDescent="0.2">
      <c r="A1832" t="str">
        <f>"20200111154101044"</f>
        <v>20200111154101044</v>
      </c>
      <c r="B1832" t="str">
        <f>"1578728461038562"</f>
        <v>1578728461038562</v>
      </c>
      <c r="C1832" t="s">
        <v>37</v>
      </c>
      <c r="D1832">
        <v>4.6215190000000002</v>
      </c>
      <c r="E1832">
        <v>0.39398169999999999</v>
      </c>
      <c r="F1832" t="s">
        <v>38</v>
      </c>
      <c r="G1832">
        <v>-489.20260000000002</v>
      </c>
      <c r="H1832">
        <v>1.0769799999999901</v>
      </c>
      <c r="I1832">
        <v>273.79939999999999</v>
      </c>
      <c r="J1832">
        <v>-489.12079999999997</v>
      </c>
      <c r="K1832">
        <v>1.12907</v>
      </c>
      <c r="L1832">
        <v>274.63249999999999</v>
      </c>
      <c r="M1832">
        <v>-0.60056899999999902</v>
      </c>
      <c r="N1832">
        <v>0</v>
      </c>
      <c r="O1832">
        <v>-0.79916640000000005</v>
      </c>
      <c r="P1832">
        <v>-0.4388282</v>
      </c>
      <c r="Q1832">
        <v>5.8096189999999999E-2</v>
      </c>
      <c r="R1832">
        <v>-0.89669100000000002</v>
      </c>
      <c r="S1832">
        <v>-0.58724980000000004</v>
      </c>
      <c r="T1832">
        <v>-0.16394879999999901</v>
      </c>
      <c r="U1832">
        <v>-3.0768740000000001</v>
      </c>
      <c r="V1832">
        <v>-0.19135489999999999</v>
      </c>
      <c r="W1832">
        <v>7.47477E-2</v>
      </c>
      <c r="X1832">
        <v>0.97867059999999995</v>
      </c>
      <c r="Y1832">
        <v>-0.44032969999999999</v>
      </c>
      <c r="Z1832">
        <v>3.4505760000000003E-2</v>
      </c>
      <c r="AA1832">
        <v>0.89717279999999999</v>
      </c>
      <c r="AB1832">
        <v>34</v>
      </c>
      <c r="AC1832">
        <v>-8.1800000000043796E-2</v>
      </c>
      <c r="AD1832">
        <v>-5.2090000000000101E-2</v>
      </c>
      <c r="AE1832">
        <v>-0.83310000000000095</v>
      </c>
      <c r="AF1832">
        <v>-0.43342537105843898</v>
      </c>
      <c r="AG1832">
        <v>-5.2090000000000101E-2</v>
      </c>
      <c r="AH1832">
        <v>0.712386074364463</v>
      </c>
      <c r="AI1832">
        <v>93.574463438779603</v>
      </c>
      <c r="AJ1832">
        <v>121.316899576238</v>
      </c>
      <c r="AK1832">
        <v>0.83550274645003697</v>
      </c>
    </row>
    <row r="1833" spans="1:37" x14ac:dyDescent="0.2">
      <c r="A1833" t="str">
        <f>"20200111154101056"</f>
        <v>20200111154101056</v>
      </c>
      <c r="B1833" t="str">
        <f>"1578728461048323"</f>
        <v>1578728461048323</v>
      </c>
      <c r="C1833" t="s">
        <v>37</v>
      </c>
      <c r="D1833">
        <v>4.580578</v>
      </c>
      <c r="E1833">
        <v>0.39442749999999999</v>
      </c>
      <c r="F1833" t="s">
        <v>38</v>
      </c>
      <c r="G1833">
        <v>-489.32</v>
      </c>
      <c r="H1833">
        <v>1.070201</v>
      </c>
      <c r="I1833">
        <v>273.54340000000002</v>
      </c>
      <c r="J1833">
        <v>-489.2242</v>
      </c>
      <c r="K1833">
        <v>1.129059</v>
      </c>
      <c r="L1833">
        <v>274.48579999999998</v>
      </c>
      <c r="M1833">
        <v>-0.59219869999999997</v>
      </c>
      <c r="N1833">
        <v>0</v>
      </c>
      <c r="O1833">
        <v>-0.80538799999999999</v>
      </c>
      <c r="P1833">
        <v>-0.43077129999999902</v>
      </c>
      <c r="Q1833">
        <v>5.7582220000000003E-2</v>
      </c>
      <c r="R1833">
        <v>-0.90062240000000005</v>
      </c>
      <c r="S1833">
        <v>-0.56304929999999997</v>
      </c>
      <c r="T1833">
        <v>-0.16650279999999901</v>
      </c>
      <c r="U1833">
        <v>-3.0808409999999999</v>
      </c>
      <c r="V1833">
        <v>-0.1899131</v>
      </c>
      <c r="W1833">
        <v>7.4324509999999996E-2</v>
      </c>
      <c r="X1833">
        <v>0.97898359999999995</v>
      </c>
      <c r="Y1833">
        <v>-0.43799049999999901</v>
      </c>
      <c r="Z1833">
        <v>3.552462E-2</v>
      </c>
      <c r="AA1833">
        <v>0.898277399999999</v>
      </c>
      <c r="AB1833">
        <v>34</v>
      </c>
      <c r="AC1833">
        <v>-9.5799999999996999E-2</v>
      </c>
      <c r="AD1833">
        <v>-5.8858000000000001E-2</v>
      </c>
      <c r="AE1833">
        <v>-0.94239999999996305</v>
      </c>
      <c r="AF1833">
        <v>-0.47923823723854603</v>
      </c>
      <c r="AG1833">
        <v>-5.8858000000000001E-2</v>
      </c>
      <c r="AH1833">
        <v>0.81285761509391097</v>
      </c>
      <c r="AI1833">
        <v>93.569206037384404</v>
      </c>
      <c r="AJ1833">
        <v>120.522418666155</v>
      </c>
      <c r="AK1833">
        <v>0.94544754196712</v>
      </c>
    </row>
    <row r="1834" spans="1:37" x14ac:dyDescent="0.2">
      <c r="A1834" t="str">
        <f>"20200111154101066"</f>
        <v>20200111154101066</v>
      </c>
      <c r="B1834" t="str">
        <f>"1578728461058083"</f>
        <v>1578728461058083</v>
      </c>
      <c r="C1834" t="s">
        <v>37</v>
      </c>
      <c r="D1834">
        <v>4.6547339999999897</v>
      </c>
      <c r="E1834">
        <v>0.39492519999999998</v>
      </c>
      <c r="F1834" t="s">
        <v>38</v>
      </c>
      <c r="G1834">
        <v>-489.39569999999998</v>
      </c>
      <c r="H1834">
        <v>1.074163</v>
      </c>
      <c r="I1834">
        <v>273.50439999999998</v>
      </c>
      <c r="J1834">
        <v>-489.31310000000002</v>
      </c>
      <c r="K1834">
        <v>1.1290469999999999</v>
      </c>
      <c r="L1834">
        <v>274.35770000000002</v>
      </c>
      <c r="M1834">
        <v>-0.58484879999999995</v>
      </c>
      <c r="N1834">
        <v>0</v>
      </c>
      <c r="O1834">
        <v>-0.81074069999999898</v>
      </c>
      <c r="P1834">
        <v>-0.42391669999999998</v>
      </c>
      <c r="Q1834">
        <v>5.6844230000000003E-2</v>
      </c>
      <c r="R1834">
        <v>-0.90391580000000005</v>
      </c>
      <c r="S1834">
        <v>-0.53897090000000003</v>
      </c>
      <c r="T1834">
        <v>-0.1724995</v>
      </c>
      <c r="U1834">
        <v>-3.0842589999999999</v>
      </c>
      <c r="V1834">
        <v>-0.18843840000000001</v>
      </c>
      <c r="W1834">
        <v>7.3676839999999993E-2</v>
      </c>
      <c r="X1834">
        <v>0.97931749999999995</v>
      </c>
      <c r="Y1834">
        <v>-0.43679469999999998</v>
      </c>
      <c r="Z1834">
        <v>3.7221230000000001E-2</v>
      </c>
      <c r="AA1834">
        <v>0.8987908</v>
      </c>
      <c r="AB1834">
        <v>34</v>
      </c>
      <c r="AC1834">
        <v>-8.2599999999956694E-2</v>
      </c>
      <c r="AD1834">
        <v>-5.4883999999999898E-2</v>
      </c>
      <c r="AE1834">
        <v>-0.85330000000004602</v>
      </c>
      <c r="AF1834">
        <v>-0.43046080304040701</v>
      </c>
      <c r="AG1834">
        <v>-5.4883999999999898E-2</v>
      </c>
      <c r="AH1834">
        <v>0.737332677283005</v>
      </c>
      <c r="AI1834">
        <v>93.6780751259044</v>
      </c>
      <c r="AJ1834">
        <v>120.276729647621</v>
      </c>
      <c r="AK1834">
        <v>0.85555142066360701</v>
      </c>
    </row>
    <row r="1835" spans="1:37" x14ac:dyDescent="0.2">
      <c r="A1835" t="str">
        <f>"20200111154101078"</f>
        <v>20200111154101078</v>
      </c>
      <c r="B1835" t="str">
        <f>"1578728461067843"</f>
        <v>1578728461067843</v>
      </c>
      <c r="C1835" t="s">
        <v>37</v>
      </c>
      <c r="D1835">
        <v>4.6315280000000003</v>
      </c>
      <c r="E1835">
        <v>0.3952176</v>
      </c>
      <c r="F1835" t="s">
        <v>38</v>
      </c>
      <c r="G1835">
        <v>-489.48930000000001</v>
      </c>
      <c r="H1835">
        <v>1.069205</v>
      </c>
      <c r="I1835">
        <v>273.31189999999998</v>
      </c>
      <c r="J1835">
        <v>-489.40809999999999</v>
      </c>
      <c r="K1835">
        <v>1.1290370000000001</v>
      </c>
      <c r="L1835">
        <v>274.2174</v>
      </c>
      <c r="M1835">
        <v>-0.57676000000000005</v>
      </c>
      <c r="N1835">
        <v>0</v>
      </c>
      <c r="O1835">
        <v>-0.81651470000000004</v>
      </c>
      <c r="P1835">
        <v>-0.41626949999999902</v>
      </c>
      <c r="Q1835">
        <v>5.6374800000000003E-2</v>
      </c>
      <c r="R1835">
        <v>-0.90749230000000003</v>
      </c>
      <c r="S1835">
        <v>-0.51913450000000005</v>
      </c>
      <c r="T1835">
        <v>-0.1765187</v>
      </c>
      <c r="U1835">
        <v>-3.0864560000000001</v>
      </c>
      <c r="V1835">
        <v>-0.18696499999999999</v>
      </c>
      <c r="W1835">
        <v>7.3297810000000005E-2</v>
      </c>
      <c r="X1835">
        <v>0.97962830000000001</v>
      </c>
      <c r="Y1835">
        <v>-0.4335773</v>
      </c>
      <c r="Z1835">
        <v>3.8591430000000003E-2</v>
      </c>
      <c r="AA1835">
        <v>0.90028969999999897</v>
      </c>
      <c r="AB1835">
        <v>33</v>
      </c>
      <c r="AC1835">
        <v>-8.1200000000023906E-2</v>
      </c>
      <c r="AD1835">
        <v>-5.98320000000001E-2</v>
      </c>
      <c r="AE1835">
        <v>-0.90550000000001696</v>
      </c>
      <c r="AF1835">
        <v>-0.45413684659613301</v>
      </c>
      <c r="AG1835">
        <v>-5.98320000000001E-2</v>
      </c>
      <c r="AH1835">
        <v>0.78305167561616495</v>
      </c>
      <c r="AI1835">
        <v>93.781587986776103</v>
      </c>
      <c r="AJ1835">
        <v>120.111919461111</v>
      </c>
      <c r="AK1835">
        <v>0.90718800165432201</v>
      </c>
    </row>
    <row r="1836" spans="1:37" x14ac:dyDescent="0.2">
      <c r="A1836" t="str">
        <f>"20200111154101091"</f>
        <v>20200111154101091</v>
      </c>
      <c r="B1836" t="str">
        <f>"1578728461088339"</f>
        <v>1578728461088339</v>
      </c>
      <c r="C1836" t="s">
        <v>37</v>
      </c>
      <c r="D1836">
        <v>4.661257</v>
      </c>
      <c r="E1836">
        <v>0.39604440000000002</v>
      </c>
      <c r="F1836" t="s">
        <v>39</v>
      </c>
      <c r="G1836">
        <v>-492.54770000000002</v>
      </c>
      <c r="H1836" s="1">
        <v>-2.8595509999999998E-6</v>
      </c>
      <c r="I1836">
        <v>254.6746</v>
      </c>
      <c r="J1836">
        <v>-489.50020000000001</v>
      </c>
      <c r="K1836">
        <v>1.1290229999999899</v>
      </c>
      <c r="L1836">
        <v>274.07799999999997</v>
      </c>
      <c r="M1836">
        <v>-0.56868269999999999</v>
      </c>
      <c r="N1836">
        <v>0</v>
      </c>
      <c r="O1836">
        <v>-0.82216039999999901</v>
      </c>
      <c r="P1836">
        <v>-0.4085355</v>
      </c>
      <c r="Q1836">
        <v>5.578661E-2</v>
      </c>
      <c r="R1836">
        <v>-0.91103630000000002</v>
      </c>
      <c r="S1836">
        <v>-0.49630740000000001</v>
      </c>
      <c r="T1836">
        <v>-0.1784751</v>
      </c>
      <c r="U1836">
        <v>-3.089264</v>
      </c>
      <c r="V1836">
        <v>-0.18563199999999999</v>
      </c>
      <c r="W1836">
        <v>7.2792770000000007E-2</v>
      </c>
      <c r="X1836">
        <v>0.9799194</v>
      </c>
      <c r="Y1836">
        <v>-0.43130969999999902</v>
      </c>
      <c r="Z1836">
        <v>3.9498770000000002E-2</v>
      </c>
      <c r="AA1836">
        <v>0.90133890000000005</v>
      </c>
      <c r="AB1836">
        <v>33</v>
      </c>
      <c r="AC1836">
        <v>-3.0475000000000101</v>
      </c>
      <c r="AD1836">
        <v>-1.1290258595510001</v>
      </c>
      <c r="AE1836">
        <v>-19.403399999999898</v>
      </c>
      <c r="AF1836">
        <v>-8.5035294361476605</v>
      </c>
      <c r="AG1836">
        <v>-1.1290258595510001</v>
      </c>
      <c r="AH1836">
        <v>17.633274125328999</v>
      </c>
      <c r="AI1836">
        <v>93.300722053703893</v>
      </c>
      <c r="AJ1836">
        <v>115.745380634393</v>
      </c>
      <c r="AK1836">
        <v>19.609106778279401</v>
      </c>
    </row>
    <row r="1837" spans="1:37" x14ac:dyDescent="0.2">
      <c r="A1837" t="str">
        <f>"20200111154101102"</f>
        <v>20200111154101102</v>
      </c>
      <c r="B1837" t="str">
        <f>"1578728461098099"</f>
        <v>1578728461098099</v>
      </c>
      <c r="C1837" t="s">
        <v>37</v>
      </c>
      <c r="D1837">
        <v>4.7229799999999997</v>
      </c>
      <c r="E1837">
        <v>0.39604440000000002</v>
      </c>
      <c r="F1837" t="s">
        <v>38</v>
      </c>
      <c r="G1837">
        <v>-489.65410000000003</v>
      </c>
      <c r="H1837">
        <v>1.070791</v>
      </c>
      <c r="I1837">
        <v>273.07859999999999</v>
      </c>
      <c r="J1837">
        <v>-489.59989999999999</v>
      </c>
      <c r="K1837">
        <v>1.1290020000000001</v>
      </c>
      <c r="L1837">
        <v>273.92489999999998</v>
      </c>
      <c r="M1837">
        <v>-0.55976510000000002</v>
      </c>
      <c r="N1837">
        <v>0</v>
      </c>
      <c r="O1837">
        <v>-0.82825729999999997</v>
      </c>
      <c r="P1837">
        <v>-0.39993079999999998</v>
      </c>
      <c r="Q1837">
        <v>5.5365650000000002E-2</v>
      </c>
      <c r="R1837">
        <v>-0.91487209999999997</v>
      </c>
      <c r="S1837">
        <v>-0.47555540000000002</v>
      </c>
      <c r="T1837">
        <v>-0.18006549999999999</v>
      </c>
      <c r="U1837">
        <v>-3.0907589999999998</v>
      </c>
      <c r="V1837">
        <v>-0.1842705</v>
      </c>
      <c r="W1837">
        <v>7.2457480000000005E-2</v>
      </c>
      <c r="X1837">
        <v>0.98020110000000005</v>
      </c>
      <c r="Y1837">
        <v>-0.42753669999999999</v>
      </c>
      <c r="Z1837">
        <v>4.0409250000000001E-2</v>
      </c>
      <c r="AA1837">
        <v>0.90309439999999996</v>
      </c>
      <c r="AB1837">
        <v>33</v>
      </c>
      <c r="AC1837">
        <v>-5.42000000000371E-2</v>
      </c>
      <c r="AD1837">
        <v>-5.8210999999999999E-2</v>
      </c>
      <c r="AE1837">
        <v>-0.84629999999998495</v>
      </c>
      <c r="AF1837">
        <v>-0.42696595232760798</v>
      </c>
      <c r="AG1837">
        <v>-5.8210999999999999E-2</v>
      </c>
      <c r="AH1837">
        <v>0.72810161592912104</v>
      </c>
      <c r="AI1837">
        <v>93.945198792799602</v>
      </c>
      <c r="AJ1837">
        <v>120.38777922513199</v>
      </c>
      <c r="AK1837">
        <v>0.84606170465671005</v>
      </c>
    </row>
    <row r="1838" spans="1:37" x14ac:dyDescent="0.2">
      <c r="A1838" t="str">
        <f>"20200111154101115"</f>
        <v>20200111154101115</v>
      </c>
      <c r="B1838" t="str">
        <f>"1578728461107860"</f>
        <v>1578728461107860</v>
      </c>
      <c r="C1838" t="s">
        <v>37</v>
      </c>
      <c r="D1838">
        <v>4.740329</v>
      </c>
      <c r="E1838">
        <v>0.40171380000000001</v>
      </c>
      <c r="F1838" t="s">
        <v>39</v>
      </c>
      <c r="G1838">
        <v>-492.37389999999999</v>
      </c>
      <c r="H1838" s="1">
        <v>-2.8374990000000001E-6</v>
      </c>
      <c r="I1838">
        <v>254.73099999999999</v>
      </c>
      <c r="J1838">
        <v>-489.69310000000002</v>
      </c>
      <c r="K1838">
        <v>1.1289849999999999</v>
      </c>
      <c r="L1838">
        <v>273.7758</v>
      </c>
      <c r="M1838">
        <v>-0.55104779999999998</v>
      </c>
      <c r="N1838">
        <v>0</v>
      </c>
      <c r="O1838">
        <v>-0.83408209999999905</v>
      </c>
      <c r="P1838">
        <v>-0.39131199999999999</v>
      </c>
      <c r="Q1838">
        <v>5.576337E-2</v>
      </c>
      <c r="R1838">
        <v>-0.91856689999999996</v>
      </c>
      <c r="S1838">
        <v>-0.44726559999999999</v>
      </c>
      <c r="T1838">
        <v>-0.18203349999999999</v>
      </c>
      <c r="U1838">
        <v>-3.0946959999999999</v>
      </c>
      <c r="V1838">
        <v>-0.18320600000000001</v>
      </c>
      <c r="W1838">
        <v>7.2923550000000004E-2</v>
      </c>
      <c r="X1838">
        <v>0.98036610000000002</v>
      </c>
      <c r="Y1838">
        <v>-0.42630899999999999</v>
      </c>
      <c r="Z1838">
        <v>4.1328280000000002E-2</v>
      </c>
      <c r="AA1838">
        <v>0.90363300000000002</v>
      </c>
      <c r="AB1838">
        <v>33</v>
      </c>
      <c r="AC1838">
        <v>-2.6807999999999699</v>
      </c>
      <c r="AD1838">
        <v>-1.1289878374989999</v>
      </c>
      <c r="AE1838">
        <v>-19.044799999999999</v>
      </c>
      <c r="AF1838">
        <v>-8.2329171992588801</v>
      </c>
      <c r="AG1838">
        <v>-1.1289878374989999</v>
      </c>
      <c r="AH1838">
        <v>17.308207860638898</v>
      </c>
      <c r="AI1838">
        <v>93.371067039416502</v>
      </c>
      <c r="AJ1838">
        <v>115.438820623621</v>
      </c>
      <c r="AK1838">
        <v>19.1997291255412</v>
      </c>
    </row>
    <row r="1839" spans="1:37" x14ac:dyDescent="0.2">
      <c r="A1839" t="str">
        <f>"20200111154101131"</f>
        <v>20200111154101131</v>
      </c>
      <c r="B1839" t="str">
        <f>"1578728461128355"</f>
        <v>1578728461128355</v>
      </c>
      <c r="C1839" t="s">
        <v>37</v>
      </c>
      <c r="D1839">
        <v>4.8021969999999996</v>
      </c>
      <c r="E1839">
        <v>0.41493959999999902</v>
      </c>
      <c r="F1839" t="s">
        <v>39</v>
      </c>
      <c r="G1839">
        <v>-492.51429999999999</v>
      </c>
      <c r="H1839" s="1">
        <v>-2.92732E-6</v>
      </c>
      <c r="I1839">
        <v>254.85329999999999</v>
      </c>
      <c r="J1839">
        <v>-489.80779999999999</v>
      </c>
      <c r="K1839">
        <v>1.128968</v>
      </c>
      <c r="L1839">
        <v>273.58859999999999</v>
      </c>
      <c r="M1839">
        <v>-0.54002469999999902</v>
      </c>
      <c r="N1839">
        <v>0</v>
      </c>
      <c r="O1839">
        <v>-0.84126049999999997</v>
      </c>
      <c r="P1839">
        <v>-0.38005679999999997</v>
      </c>
      <c r="Q1839">
        <v>5.6530919999999998E-2</v>
      </c>
      <c r="R1839">
        <v>-0.92323389999999905</v>
      </c>
      <c r="S1839">
        <v>-0.45941159999999998</v>
      </c>
      <c r="T1839">
        <v>-0.18384529999999999</v>
      </c>
      <c r="U1839">
        <v>-3.0813599999999899</v>
      </c>
      <c r="V1839">
        <v>-0.18229020000000001</v>
      </c>
      <c r="W1839">
        <v>7.3754819999999999E-2</v>
      </c>
      <c r="X1839">
        <v>0.98047469999999903</v>
      </c>
      <c r="Y1839">
        <v>-0.41031299999999998</v>
      </c>
      <c r="Z1839">
        <v>4.2752930000000001E-2</v>
      </c>
      <c r="AA1839">
        <v>0.91094209999999998</v>
      </c>
      <c r="AB1839">
        <v>33</v>
      </c>
      <c r="AC1839">
        <v>-2.7065000000000001</v>
      </c>
      <c r="AD1839">
        <v>-1.1289709273199999</v>
      </c>
      <c r="AE1839">
        <v>-18.735299999999899</v>
      </c>
      <c r="AF1839">
        <v>-7.8154199027350302</v>
      </c>
      <c r="AG1839">
        <v>-1.1289709273199999</v>
      </c>
      <c r="AH1839">
        <v>17.1674169825611</v>
      </c>
      <c r="AI1839">
        <v>93.425184962346407</v>
      </c>
      <c r="AJ1839">
        <v>114.477272096774</v>
      </c>
      <c r="AK1839">
        <v>18.896443301952999</v>
      </c>
    </row>
    <row r="1840" spans="1:37" x14ac:dyDescent="0.2">
      <c r="A1840" t="str">
        <f>"20200111154101145"</f>
        <v>20200111154101145</v>
      </c>
      <c r="B1840" t="str">
        <f>"1578728461138115"</f>
        <v>1578728461138115</v>
      </c>
      <c r="C1840" t="s">
        <v>37</v>
      </c>
      <c r="D1840">
        <v>4.8665789999999998</v>
      </c>
      <c r="E1840">
        <v>0.41633769999999998</v>
      </c>
      <c r="F1840" t="s">
        <v>39</v>
      </c>
      <c r="G1840">
        <v>-492.56259999999997</v>
      </c>
      <c r="H1840" s="1">
        <v>-4.0099130000000001E-6</v>
      </c>
      <c r="I1840">
        <v>257.43430000000001</v>
      </c>
      <c r="J1840">
        <v>-489.91579999999999</v>
      </c>
      <c r="K1840">
        <v>1.1289579999999999</v>
      </c>
      <c r="L1840">
        <v>273.40730000000002</v>
      </c>
      <c r="M1840">
        <v>-0.52928900000000001</v>
      </c>
      <c r="N1840">
        <v>0</v>
      </c>
      <c r="O1840">
        <v>-0.84805599999999903</v>
      </c>
      <c r="P1840">
        <v>-0.36964709999999901</v>
      </c>
      <c r="Q1840">
        <v>5.8525720000000003E-2</v>
      </c>
      <c r="R1840">
        <v>-0.92732719999999902</v>
      </c>
      <c r="S1840">
        <v>-0.51986690000000002</v>
      </c>
      <c r="T1840">
        <v>-0.21305199999999999</v>
      </c>
      <c r="U1840">
        <v>-3.0485229999999999</v>
      </c>
      <c r="V1840">
        <v>-0.18087320000000001</v>
      </c>
      <c r="W1840">
        <v>7.5834189999999996E-2</v>
      </c>
      <c r="X1840">
        <v>0.98057839999999996</v>
      </c>
      <c r="Y1840">
        <v>-0.37952570000000002</v>
      </c>
      <c r="Z1840">
        <v>5.1144809999999999E-2</v>
      </c>
      <c r="AA1840">
        <v>0.92376639999999999</v>
      </c>
      <c r="AB1840">
        <v>33</v>
      </c>
      <c r="AC1840">
        <v>-2.6467999999999798</v>
      </c>
      <c r="AD1840">
        <v>-1.128962009913</v>
      </c>
      <c r="AE1840">
        <v>-15.973000000000001</v>
      </c>
      <c r="AF1840">
        <v>-6.18167492677685</v>
      </c>
      <c r="AG1840">
        <v>-1.128962009913</v>
      </c>
      <c r="AH1840">
        <v>14.8794668941377</v>
      </c>
      <c r="AI1840">
        <v>94.008027283055796</v>
      </c>
      <c r="AJ1840">
        <v>112.560442878346</v>
      </c>
      <c r="AK1840">
        <v>16.151971866428799</v>
      </c>
    </row>
    <row r="1841" spans="1:37" x14ac:dyDescent="0.2">
      <c r="A1841" t="str">
        <f>"20200111154101157"</f>
        <v>20200111154101157</v>
      </c>
      <c r="B1841" t="str">
        <f>"1578728461147875"</f>
        <v>1578728461147875</v>
      </c>
      <c r="C1841" t="s">
        <v>37</v>
      </c>
      <c r="D1841">
        <v>4.861529</v>
      </c>
      <c r="E1841">
        <v>0.41766170000000002</v>
      </c>
      <c r="F1841" t="s">
        <v>39</v>
      </c>
      <c r="G1841">
        <v>-492.6035</v>
      </c>
      <c r="H1841" s="1">
        <v>-3.79607799999999E-6</v>
      </c>
      <c r="I1841">
        <v>256.82310000000001</v>
      </c>
      <c r="J1841">
        <v>-490.00240000000002</v>
      </c>
      <c r="K1841">
        <v>1.1289419999999999</v>
      </c>
      <c r="L1841">
        <v>273.25670000000002</v>
      </c>
      <c r="M1841">
        <v>-0.52032349999999905</v>
      </c>
      <c r="N1841">
        <v>0</v>
      </c>
      <c r="O1841">
        <v>-0.85358630000000002</v>
      </c>
      <c r="P1841">
        <v>-0.36038709999999902</v>
      </c>
      <c r="Q1841">
        <v>5.8981869999999999E-2</v>
      </c>
      <c r="R1841">
        <v>-0.93093630000000005</v>
      </c>
      <c r="S1841">
        <v>-0.49447629999999998</v>
      </c>
      <c r="T1841">
        <v>-0.20770059999999901</v>
      </c>
      <c r="U1841">
        <v>-3.0510860000000002</v>
      </c>
      <c r="V1841">
        <v>-0.18031220000000001</v>
      </c>
      <c r="W1841">
        <v>7.6328190000000004E-2</v>
      </c>
      <c r="X1841">
        <v>0.98064340000000005</v>
      </c>
      <c r="Y1841">
        <v>-0.37737959999999998</v>
      </c>
      <c r="Z1841">
        <v>5.0422729999999999E-2</v>
      </c>
      <c r="AA1841">
        <v>0.92468490000000003</v>
      </c>
      <c r="AB1841">
        <v>33</v>
      </c>
      <c r="AC1841">
        <v>-2.60109999999997</v>
      </c>
      <c r="AD1841">
        <v>-1.1289457960780001</v>
      </c>
      <c r="AE1841">
        <v>-16.433599999999998</v>
      </c>
      <c r="AF1841">
        <v>-6.3035740597435304</v>
      </c>
      <c r="AG1841">
        <v>-1.1289457960780001</v>
      </c>
      <c r="AH1841">
        <v>15.3154282736269</v>
      </c>
      <c r="AI1841">
        <v>93.899541882274704</v>
      </c>
      <c r="AJ1841">
        <v>112.37124604551801</v>
      </c>
      <c r="AK1841">
        <v>16.600358663045899</v>
      </c>
    </row>
    <row r="1842" spans="1:37" x14ac:dyDescent="0.2">
      <c r="A1842" t="str">
        <f>"20200111154101169"</f>
        <v>20200111154101169</v>
      </c>
      <c r="B1842" t="str">
        <f>"1578728461157636"</f>
        <v>1578728461157636</v>
      </c>
      <c r="C1842" t="s">
        <v>37</v>
      </c>
      <c r="D1842">
        <v>4.8525070000000001</v>
      </c>
      <c r="E1842">
        <v>0.4192825</v>
      </c>
      <c r="F1842" t="s">
        <v>39</v>
      </c>
      <c r="G1842">
        <v>-492.5419</v>
      </c>
      <c r="H1842" s="1">
        <v>-3.8096759999999999E-6</v>
      </c>
      <c r="I1842">
        <v>256.89299999999997</v>
      </c>
      <c r="J1842">
        <v>-490.08300000000003</v>
      </c>
      <c r="K1842">
        <v>1.128922</v>
      </c>
      <c r="L1842">
        <v>273.11340000000001</v>
      </c>
      <c r="M1842">
        <v>-0.51175590000000004</v>
      </c>
      <c r="N1842">
        <v>0</v>
      </c>
      <c r="O1842">
        <v>-0.85875029999999997</v>
      </c>
      <c r="P1842">
        <v>-0.35125440000000002</v>
      </c>
      <c r="Q1842">
        <v>5.9007410000000003E-2</v>
      </c>
      <c r="R1842">
        <v>-0.934419</v>
      </c>
      <c r="S1842">
        <v>-0.47372439999999999</v>
      </c>
      <c r="T1842">
        <v>-0.21060010000000001</v>
      </c>
      <c r="U1842">
        <v>-3.0525820000000001</v>
      </c>
      <c r="V1842">
        <v>-0.18009559999999999</v>
      </c>
      <c r="W1842">
        <v>7.6372410000000002E-2</v>
      </c>
      <c r="X1842">
        <v>0.98067979999999999</v>
      </c>
      <c r="Y1842">
        <v>-0.37432379999999998</v>
      </c>
      <c r="Z1842">
        <v>5.1677760000000003E-2</v>
      </c>
      <c r="AA1842">
        <v>0.92585689999999998</v>
      </c>
      <c r="AB1842">
        <v>33</v>
      </c>
      <c r="AC1842">
        <v>-2.4588999999999701</v>
      </c>
      <c r="AD1842">
        <v>-1.128925809676</v>
      </c>
      <c r="AE1842">
        <v>-16.220400000000001</v>
      </c>
      <c r="AF1842">
        <v>-6.1621494831219303</v>
      </c>
      <c r="AG1842">
        <v>-1.128925809676</v>
      </c>
      <c r="AH1842">
        <v>15.1209961067735</v>
      </c>
      <c r="AI1842">
        <v>93.955067156324105</v>
      </c>
      <c r="AJ1842">
        <v>112.17201207033099</v>
      </c>
      <c r="AK1842">
        <v>16.367378623260102</v>
      </c>
    </row>
    <row r="1843" spans="1:37" x14ac:dyDescent="0.2">
      <c r="A1843" t="str">
        <f>"20200111154101182"</f>
        <v>20200111154101182</v>
      </c>
      <c r="B1843" t="str">
        <f>"1578728461178131"</f>
        <v>1578728461178131</v>
      </c>
      <c r="C1843" t="s">
        <v>37</v>
      </c>
      <c r="D1843">
        <v>4.8953389999999999</v>
      </c>
      <c r="E1843">
        <v>0.42187799999999998</v>
      </c>
      <c r="F1843" t="s">
        <v>39</v>
      </c>
      <c r="G1843">
        <v>-492.50049999999999</v>
      </c>
      <c r="H1843" s="1">
        <v>-3.8103300000000002E-6</v>
      </c>
      <c r="I1843">
        <v>256.92020000000002</v>
      </c>
      <c r="J1843">
        <v>-490.16950000000003</v>
      </c>
      <c r="K1843">
        <v>1.128889</v>
      </c>
      <c r="L1843">
        <v>272.95639999999997</v>
      </c>
      <c r="M1843">
        <v>-0.50232169999999998</v>
      </c>
      <c r="N1843">
        <v>0</v>
      </c>
      <c r="O1843">
        <v>-0.86430300000000004</v>
      </c>
      <c r="P1843">
        <v>-0.34075539999999999</v>
      </c>
      <c r="Q1843">
        <v>5.8599239999999997E-2</v>
      </c>
      <c r="R1843">
        <v>-0.9383243</v>
      </c>
      <c r="S1843">
        <v>-0.45574949999999997</v>
      </c>
      <c r="T1843">
        <v>-0.212819799999999</v>
      </c>
      <c r="U1843">
        <v>-3.052673</v>
      </c>
      <c r="V1843">
        <v>-0.18034169999999999</v>
      </c>
      <c r="W1843">
        <v>7.5960189999999997E-2</v>
      </c>
      <c r="X1843">
        <v>0.98066659999999894</v>
      </c>
      <c r="Y1843">
        <v>-0.369506099999999</v>
      </c>
      <c r="Z1843">
        <v>5.2864960000000003E-2</v>
      </c>
      <c r="AA1843">
        <v>0.92772330000000003</v>
      </c>
      <c r="AB1843">
        <v>32</v>
      </c>
      <c r="AC1843">
        <v>-2.33099999999996</v>
      </c>
      <c r="AD1843">
        <v>-1.12889281033</v>
      </c>
      <c r="AE1843">
        <v>-16.036199999999901</v>
      </c>
      <c r="AF1843">
        <v>-6.0134309403146204</v>
      </c>
      <c r="AG1843">
        <v>-1.12889281033</v>
      </c>
      <c r="AH1843">
        <v>14.963340433876199</v>
      </c>
      <c r="AI1843">
        <v>94.004315014031604</v>
      </c>
      <c r="AJ1843">
        <v>111.89408821134801</v>
      </c>
      <c r="AK1843">
        <v>16.165930458566901</v>
      </c>
    </row>
    <row r="1844" spans="1:37" x14ac:dyDescent="0.2">
      <c r="A1844" t="str">
        <f>"20200111154101195"</f>
        <v>20200111154101195</v>
      </c>
      <c r="B1844" t="str">
        <f>"1578728461187892"</f>
        <v>1578728461187892</v>
      </c>
      <c r="C1844" t="s">
        <v>37</v>
      </c>
      <c r="D1844">
        <v>4.8827970000000001</v>
      </c>
      <c r="E1844">
        <v>0.42187799999999998</v>
      </c>
      <c r="F1844" t="s">
        <v>39</v>
      </c>
      <c r="G1844">
        <v>-492.44240000000002</v>
      </c>
      <c r="H1844" s="1">
        <v>-3.9222710000000004E-6</v>
      </c>
      <c r="I1844">
        <v>257.23950000000002</v>
      </c>
      <c r="J1844">
        <v>-490.25659999999999</v>
      </c>
      <c r="K1844">
        <v>1.1288450000000001</v>
      </c>
      <c r="L1844">
        <v>272.79160000000002</v>
      </c>
      <c r="M1844">
        <v>-0.49239559999999999</v>
      </c>
      <c r="N1844">
        <v>0</v>
      </c>
      <c r="O1844">
        <v>-0.86999609999999905</v>
      </c>
      <c r="P1844">
        <v>-0.33004659999999902</v>
      </c>
      <c r="Q1844">
        <v>5.7703299999999999E-2</v>
      </c>
      <c r="R1844">
        <v>-0.94219929999999996</v>
      </c>
      <c r="S1844">
        <v>-0.4411621</v>
      </c>
      <c r="T1844">
        <v>-0.21911900000000001</v>
      </c>
      <c r="U1844">
        <v>-3.050659</v>
      </c>
      <c r="V1844">
        <v>-0.18026489999999901</v>
      </c>
      <c r="W1844">
        <v>7.5075320000000001E-2</v>
      </c>
      <c r="X1844">
        <v>0.98074879999999998</v>
      </c>
      <c r="Y1844">
        <v>-0.36313179999999901</v>
      </c>
      <c r="Z1844">
        <v>5.5157150000000002E-2</v>
      </c>
      <c r="AA1844">
        <v>0.93010380000000004</v>
      </c>
      <c r="AB1844">
        <v>32</v>
      </c>
      <c r="AC1844">
        <v>-2.1858000000000199</v>
      </c>
      <c r="AD1844">
        <v>-1.1288489222710001</v>
      </c>
      <c r="AE1844">
        <v>-15.5520999999999</v>
      </c>
      <c r="AF1844">
        <v>-5.7284333890393402</v>
      </c>
      <c r="AG1844">
        <v>-1.1288489222710001</v>
      </c>
      <c r="AH1844">
        <v>14.5362169457029</v>
      </c>
      <c r="AI1844">
        <v>94.132433428717206</v>
      </c>
      <c r="AJ1844">
        <v>111.508411323856</v>
      </c>
      <c r="AK1844">
        <v>15.664956178505999</v>
      </c>
    </row>
    <row r="1845" spans="1:37" x14ac:dyDescent="0.2">
      <c r="A1845" t="str">
        <f>"20200111154101211"</f>
        <v>20200111154101211</v>
      </c>
      <c r="B1845" t="str">
        <f>"1578728461208387"</f>
        <v>1578728461208387</v>
      </c>
      <c r="C1845" t="s">
        <v>37</v>
      </c>
      <c r="D1845">
        <v>4.8812709999999999</v>
      </c>
      <c r="E1845">
        <v>0.43186259999999999</v>
      </c>
      <c r="F1845" t="s">
        <v>39</v>
      </c>
      <c r="G1845">
        <v>-492.31880000000001</v>
      </c>
      <c r="H1845" s="1">
        <v>-3.9160960000000004E-6</v>
      </c>
      <c r="I1845">
        <v>257.28570000000002</v>
      </c>
      <c r="J1845">
        <v>-490.3578</v>
      </c>
      <c r="K1845">
        <v>1.128782</v>
      </c>
      <c r="L1845">
        <v>272.5949</v>
      </c>
      <c r="M1845">
        <v>-0.48049429999999999</v>
      </c>
      <c r="N1845">
        <v>0</v>
      </c>
      <c r="O1845">
        <v>-0.87662600000000002</v>
      </c>
      <c r="P1845">
        <v>-0.31751430000000003</v>
      </c>
      <c r="Q1845">
        <v>5.6002330000000003E-2</v>
      </c>
      <c r="R1845">
        <v>-0.94659839999999995</v>
      </c>
      <c r="S1845">
        <v>-0.40634159999999903</v>
      </c>
      <c r="T1845">
        <v>-0.2224324</v>
      </c>
      <c r="U1845">
        <v>-3.0553279999999998</v>
      </c>
      <c r="V1845">
        <v>-0.17987919999999999</v>
      </c>
      <c r="W1845">
        <v>7.3398160000000004E-2</v>
      </c>
      <c r="X1845">
        <v>0.9809466</v>
      </c>
      <c r="Y1845">
        <v>-0.3610447</v>
      </c>
      <c r="Z1845">
        <v>5.6668099999999999E-2</v>
      </c>
      <c r="AA1845">
        <v>0.93082509999999996</v>
      </c>
      <c r="AB1845">
        <v>32</v>
      </c>
      <c r="AC1845">
        <v>-1.9610000000000101</v>
      </c>
      <c r="AD1845">
        <v>-1.1287859160959901</v>
      </c>
      <c r="AE1845">
        <v>-15.309199999999899</v>
      </c>
      <c r="AF1845">
        <v>-5.6087588202734704</v>
      </c>
      <c r="AG1845">
        <v>-1.1287859160959901</v>
      </c>
      <c r="AH1845">
        <v>14.290938925055899</v>
      </c>
      <c r="AI1845">
        <v>94.205171093858198</v>
      </c>
      <c r="AJ1845">
        <v>111.428497093536</v>
      </c>
      <c r="AK1845">
        <v>15.393611288714901</v>
      </c>
    </row>
    <row r="1846" spans="1:37" x14ac:dyDescent="0.2">
      <c r="A1846" t="str">
        <f>"20200111154101224"</f>
        <v>20200111154101224</v>
      </c>
      <c r="B1846" t="str">
        <f>"1578728461218147"</f>
        <v>1578728461218147</v>
      </c>
      <c r="C1846" t="s">
        <v>37</v>
      </c>
      <c r="D1846">
        <v>4.9380870000000003</v>
      </c>
      <c r="E1846">
        <v>0.43235829999999997</v>
      </c>
      <c r="F1846" t="s">
        <v>39</v>
      </c>
      <c r="G1846">
        <v>-492.36259999999999</v>
      </c>
      <c r="H1846" s="1">
        <v>-4.4385949999999998E-6</v>
      </c>
      <c r="I1846">
        <v>258.79829999999998</v>
      </c>
      <c r="J1846">
        <v>-490.43889999999999</v>
      </c>
      <c r="K1846">
        <v>1.1287320000000001</v>
      </c>
      <c r="L1846">
        <v>272.4332</v>
      </c>
      <c r="M1846">
        <v>-0.47066779999999903</v>
      </c>
      <c r="N1846">
        <v>0</v>
      </c>
      <c r="O1846">
        <v>-0.88194169999999905</v>
      </c>
      <c r="P1846">
        <v>-0.30759350000000002</v>
      </c>
      <c r="Q1846">
        <v>5.545245E-2</v>
      </c>
      <c r="R1846">
        <v>-0.94990079999999999</v>
      </c>
      <c r="S1846">
        <v>-0.4411621</v>
      </c>
      <c r="T1846">
        <v>-0.24838879999999999</v>
      </c>
      <c r="U1846">
        <v>-3.0359500000000001</v>
      </c>
      <c r="V1846">
        <v>-0.1791595</v>
      </c>
      <c r="W1846">
        <v>7.2882180000000005E-2</v>
      </c>
      <c r="X1846">
        <v>0.98111680000000001</v>
      </c>
      <c r="Y1846">
        <v>-0.33935100000000001</v>
      </c>
      <c r="Z1846">
        <v>6.4570210000000003E-2</v>
      </c>
      <c r="AA1846">
        <v>0.93844099999999997</v>
      </c>
      <c r="AB1846">
        <v>32</v>
      </c>
      <c r="AC1846">
        <v>-1.92369999999999</v>
      </c>
      <c r="AD1846">
        <v>-1.1287364385950001</v>
      </c>
      <c r="AE1846">
        <v>-13.6349</v>
      </c>
      <c r="AF1846">
        <v>-4.6909341487307303</v>
      </c>
      <c r="AG1846">
        <v>-1.1287364385950001</v>
      </c>
      <c r="AH1846">
        <v>12.848487007332499</v>
      </c>
      <c r="AI1846">
        <v>94.717465382177096</v>
      </c>
      <c r="AJ1846">
        <v>110.05694730342201</v>
      </c>
      <c r="AK1846">
        <v>13.7245228519294</v>
      </c>
    </row>
    <row r="1847" spans="1:37" x14ac:dyDescent="0.2">
      <c r="A1847" t="str">
        <f>"20200111154101236"</f>
        <v>20200111154101236</v>
      </c>
      <c r="B1847" t="str">
        <f>"1578728461227907"</f>
        <v>1578728461227907</v>
      </c>
      <c r="C1847" t="s">
        <v>37</v>
      </c>
      <c r="D1847">
        <v>4.951098</v>
      </c>
      <c r="E1847">
        <v>0.43281499999999901</v>
      </c>
      <c r="F1847" t="s">
        <v>39</v>
      </c>
      <c r="G1847">
        <v>-492.28030000000001</v>
      </c>
      <c r="H1847" s="1">
        <v>-4.454435E-6</v>
      </c>
      <c r="I1847">
        <v>258.8877</v>
      </c>
      <c r="J1847">
        <v>-490.51780000000002</v>
      </c>
      <c r="K1847">
        <v>1.1286700000000001</v>
      </c>
      <c r="L1847">
        <v>272.26940000000002</v>
      </c>
      <c r="M1847">
        <v>-0.46069539999999998</v>
      </c>
      <c r="N1847">
        <v>0</v>
      </c>
      <c r="O1847">
        <v>-0.88719300000000001</v>
      </c>
      <c r="P1847">
        <v>-0.2976202</v>
      </c>
      <c r="Q1847">
        <v>5.5851089999999999E-2</v>
      </c>
      <c r="R1847">
        <v>-0.95304949999999999</v>
      </c>
      <c r="S1847">
        <v>-0.41314699999999999</v>
      </c>
      <c r="T1847">
        <v>-0.25325310000000001</v>
      </c>
      <c r="U1847">
        <v>-3.0391849999999998</v>
      </c>
      <c r="V1847">
        <v>-0.1783749</v>
      </c>
      <c r="W1847">
        <v>7.3309239999999998E-2</v>
      </c>
      <c r="X1847">
        <v>0.98122790000000004</v>
      </c>
      <c r="Y1847">
        <v>-0.33738570000000001</v>
      </c>
      <c r="Z1847">
        <v>6.6457539999999996E-2</v>
      </c>
      <c r="AA1847">
        <v>0.93901769999999996</v>
      </c>
      <c r="AB1847">
        <v>32</v>
      </c>
      <c r="AC1847">
        <v>-1.76249999999998</v>
      </c>
      <c r="AD1847">
        <v>-1.128674454435</v>
      </c>
      <c r="AE1847">
        <v>-13.3817</v>
      </c>
      <c r="AF1847">
        <v>-4.5707403851233597</v>
      </c>
      <c r="AG1847">
        <v>-1.128674454435</v>
      </c>
      <c r="AH1847">
        <v>12.600130895487601</v>
      </c>
      <c r="AI1847">
        <v>94.8133600568719</v>
      </c>
      <c r="AJ1847">
        <v>109.93841234887999</v>
      </c>
      <c r="AK1847">
        <v>13.450980346268899</v>
      </c>
    </row>
    <row r="1848" spans="1:37" x14ac:dyDescent="0.2">
      <c r="A1848" t="str">
        <f>"20200111154101250"</f>
        <v>20200111154101250</v>
      </c>
      <c r="B1848" t="str">
        <f>"1578728461237668"</f>
        <v>1578728461237668</v>
      </c>
      <c r="C1848" t="s">
        <v>37</v>
      </c>
      <c r="D1848">
        <v>4.9559629999999997</v>
      </c>
      <c r="E1848">
        <v>0.43339509999999998</v>
      </c>
      <c r="F1848" t="s">
        <v>39</v>
      </c>
      <c r="G1848">
        <v>-492.24020000000002</v>
      </c>
      <c r="H1848" s="1">
        <v>-4.3683360000000003E-6</v>
      </c>
      <c r="I1848">
        <v>258.65559999999999</v>
      </c>
      <c r="J1848">
        <v>-490.58940000000001</v>
      </c>
      <c r="K1848">
        <v>1.128606</v>
      </c>
      <c r="L1848">
        <v>272.11669999999998</v>
      </c>
      <c r="M1848">
        <v>-0.45138889999999998</v>
      </c>
      <c r="N1848">
        <v>0</v>
      </c>
      <c r="O1848">
        <v>-0.89196500000000001</v>
      </c>
      <c r="P1848">
        <v>-0.2883616</v>
      </c>
      <c r="Q1848">
        <v>5.6019970000000002E-2</v>
      </c>
      <c r="R1848">
        <v>-0.9558818</v>
      </c>
      <c r="S1848">
        <v>-0.38491819999999999</v>
      </c>
      <c r="T1848">
        <v>-0.25223309999999999</v>
      </c>
      <c r="U1848">
        <v>-3.0423580000000001</v>
      </c>
      <c r="V1848">
        <v>-0.1776152</v>
      </c>
      <c r="W1848">
        <v>7.3504219999999995E-2</v>
      </c>
      <c r="X1848">
        <v>0.98135110000000003</v>
      </c>
      <c r="Y1848">
        <v>-0.3362348</v>
      </c>
      <c r="Z1848">
        <v>6.6749260000000005E-2</v>
      </c>
      <c r="AA1848">
        <v>0.93940979999999996</v>
      </c>
      <c r="AB1848">
        <v>32</v>
      </c>
      <c r="AC1848">
        <v>-1.6508</v>
      </c>
      <c r="AD1848">
        <v>-1.128610368336</v>
      </c>
      <c r="AE1848">
        <v>-13.461099999999901</v>
      </c>
      <c r="AF1848">
        <v>-4.5735505663652498</v>
      </c>
      <c r="AG1848">
        <v>-1.128610368336</v>
      </c>
      <c r="AH1848">
        <v>12.668373532120301</v>
      </c>
      <c r="AI1848">
        <v>94.7899234327801</v>
      </c>
      <c r="AJ1848">
        <v>109.850653588927</v>
      </c>
      <c r="AK1848">
        <v>13.5158726723783</v>
      </c>
    </row>
    <row r="1849" spans="1:37" x14ac:dyDescent="0.2">
      <c r="A1849" t="str">
        <f>"20200111154101264"</f>
        <v>20200111154101264</v>
      </c>
      <c r="B1849" t="str">
        <f>"1578728461258163"</f>
        <v>1578728461258163</v>
      </c>
      <c r="C1849" t="s">
        <v>37</v>
      </c>
      <c r="D1849">
        <v>4.9556879999999897</v>
      </c>
      <c r="E1849">
        <v>0.43905919999999998</v>
      </c>
      <c r="F1849" t="s">
        <v>39</v>
      </c>
      <c r="G1849">
        <v>-492.21359999999999</v>
      </c>
      <c r="H1849" s="1">
        <v>-4.276031E-6</v>
      </c>
      <c r="I1849">
        <v>258.39830000000001</v>
      </c>
      <c r="J1849">
        <v>-490.66969999999998</v>
      </c>
      <c r="K1849">
        <v>1.128522</v>
      </c>
      <c r="L1849">
        <v>271.94110000000001</v>
      </c>
      <c r="M1849">
        <v>-0.44066090000000002</v>
      </c>
      <c r="N1849">
        <v>0</v>
      </c>
      <c r="O1849">
        <v>-0.89731479999999997</v>
      </c>
      <c r="P1849">
        <v>-0.27784829999999999</v>
      </c>
      <c r="Q1849">
        <v>5.681576E-2</v>
      </c>
      <c r="R1849">
        <v>-0.95894349999999995</v>
      </c>
      <c r="S1849">
        <v>-0.36044309999999902</v>
      </c>
      <c r="T1849">
        <v>-0.2504596</v>
      </c>
      <c r="U1849">
        <v>-3.04437299999999</v>
      </c>
      <c r="V1849">
        <v>-0.17661830000000001</v>
      </c>
      <c r="W1849">
        <v>7.4334490000000003E-2</v>
      </c>
      <c r="X1849">
        <v>0.98146849999999997</v>
      </c>
      <c r="Y1849">
        <v>-0.33245849999999999</v>
      </c>
      <c r="Z1849">
        <v>6.6964049999999997E-2</v>
      </c>
      <c r="AA1849">
        <v>0.9407375</v>
      </c>
      <c r="AB1849">
        <v>32</v>
      </c>
      <c r="AC1849">
        <v>-1.5439000000000001</v>
      </c>
      <c r="AD1849">
        <v>-1.128526276031</v>
      </c>
      <c r="AE1849">
        <v>-13.5428</v>
      </c>
      <c r="AF1849">
        <v>-4.5526866199135601</v>
      </c>
      <c r="AG1849">
        <v>-1.128526276031</v>
      </c>
      <c r="AH1849">
        <v>12.7492318827113</v>
      </c>
      <c r="AI1849">
        <v>94.765251159340707</v>
      </c>
      <c r="AJ1849">
        <v>109.651390839117</v>
      </c>
      <c r="AK1849">
        <v>13.584676684189899</v>
      </c>
    </row>
    <row r="1850" spans="1:37" x14ac:dyDescent="0.2">
      <c r="A1850" t="str">
        <f>"20200111154101279"</f>
        <v>20200111154101279</v>
      </c>
      <c r="B1850" t="str">
        <f>"1578728461267923"</f>
        <v>1578728461267923</v>
      </c>
      <c r="C1850" t="s">
        <v>37</v>
      </c>
      <c r="D1850">
        <v>4.9165539999999996</v>
      </c>
      <c r="E1850">
        <v>0.43975249999999999</v>
      </c>
      <c r="F1850" t="s">
        <v>39</v>
      </c>
      <c r="G1850">
        <v>-492.42680000000001</v>
      </c>
      <c r="H1850" s="1">
        <v>-4.0235239999999902E-6</v>
      </c>
      <c r="I1850">
        <v>257.54520000000002</v>
      </c>
      <c r="J1850">
        <v>-490.75479999999999</v>
      </c>
      <c r="K1850">
        <v>1.128417</v>
      </c>
      <c r="L1850">
        <v>271.74639999999999</v>
      </c>
      <c r="M1850">
        <v>-0.42879790000000001</v>
      </c>
      <c r="N1850">
        <v>0</v>
      </c>
      <c r="O1850">
        <v>-0.90304549999999995</v>
      </c>
      <c r="P1850">
        <v>-0.2664764</v>
      </c>
      <c r="Q1850">
        <v>5.8383749999999998E-2</v>
      </c>
      <c r="R1850">
        <v>-0.96207169999999897</v>
      </c>
      <c r="S1850">
        <v>-0.37045289999999997</v>
      </c>
      <c r="T1850">
        <v>-0.23793409999999901</v>
      </c>
      <c r="U1850">
        <v>-3.0351870000000001</v>
      </c>
      <c r="V1850">
        <v>-0.17530370000000001</v>
      </c>
      <c r="W1850">
        <v>7.5950669999999998E-2</v>
      </c>
      <c r="X1850">
        <v>0.98158040000000002</v>
      </c>
      <c r="Y1850">
        <v>-0.31657859999999999</v>
      </c>
      <c r="Z1850">
        <v>6.4687069999999999E-2</v>
      </c>
      <c r="AA1850">
        <v>0.94635809999999998</v>
      </c>
      <c r="AB1850">
        <v>31</v>
      </c>
      <c r="AC1850">
        <v>-1.6720000000000199</v>
      </c>
      <c r="AD1850">
        <v>-1.128421023524</v>
      </c>
      <c r="AE1850">
        <v>-14.201199999999901</v>
      </c>
      <c r="AF1850">
        <v>-4.5526698075197203</v>
      </c>
      <c r="AG1850">
        <v>-1.128421023524</v>
      </c>
      <c r="AH1850">
        <v>13.461789929128001</v>
      </c>
      <c r="AI1850">
        <v>94.540098103284393</v>
      </c>
      <c r="AJ1850">
        <v>108.685126122252</v>
      </c>
      <c r="AK1850">
        <v>14.2555225957734</v>
      </c>
    </row>
    <row r="1851" spans="1:37" x14ac:dyDescent="0.2">
      <c r="A1851" t="str">
        <f>"20200111154101293"</f>
        <v>20200111154101293</v>
      </c>
      <c r="B1851" t="str">
        <f>"1578728461288419"</f>
        <v>1578728461288419</v>
      </c>
      <c r="C1851" t="s">
        <v>37</v>
      </c>
      <c r="D1851">
        <v>4.9476639999999996</v>
      </c>
      <c r="E1851">
        <v>0.440964999999999</v>
      </c>
      <c r="F1851" t="s">
        <v>39</v>
      </c>
      <c r="G1851">
        <v>-492.37740000000002</v>
      </c>
      <c r="H1851" s="1">
        <v>-3.9255260000000002E-6</v>
      </c>
      <c r="I1851">
        <v>257.28289999999998</v>
      </c>
      <c r="J1851">
        <v>-490.82749999999999</v>
      </c>
      <c r="K1851">
        <v>1.1283049999999999</v>
      </c>
      <c r="L1851">
        <v>271.57420000000002</v>
      </c>
      <c r="M1851">
        <v>-0.41831419999999903</v>
      </c>
      <c r="N1851">
        <v>0</v>
      </c>
      <c r="O1851">
        <v>-0.90795139999999996</v>
      </c>
      <c r="P1851">
        <v>-0.25606269999999998</v>
      </c>
      <c r="Q1851">
        <v>5.9768969999999998E-2</v>
      </c>
      <c r="R1851">
        <v>-0.96481090000000003</v>
      </c>
      <c r="S1851">
        <v>-0.34085079999999901</v>
      </c>
      <c r="T1851">
        <v>-0.2370411</v>
      </c>
      <c r="U1851">
        <v>-3.0382689999999899</v>
      </c>
      <c r="V1851">
        <v>-0.17454520000000001</v>
      </c>
      <c r="W1851">
        <v>7.7353690000000003E-2</v>
      </c>
      <c r="X1851">
        <v>0.98160599999999998</v>
      </c>
      <c r="Y1851">
        <v>-0.31480789999999997</v>
      </c>
      <c r="Z1851">
        <v>6.499489E-2</v>
      </c>
      <c r="AA1851">
        <v>0.94692749999999903</v>
      </c>
      <c r="AB1851">
        <v>31</v>
      </c>
      <c r="AC1851">
        <v>-1.54990000000003</v>
      </c>
      <c r="AD1851">
        <v>-1.1283089255259999</v>
      </c>
      <c r="AE1851">
        <v>-14.2913</v>
      </c>
      <c r="AF1851">
        <v>-4.5444800687136402</v>
      </c>
      <c r="AG1851">
        <v>-1.1283089255259999</v>
      </c>
      <c r="AH1851">
        <v>13.5450478842758</v>
      </c>
      <c r="AI1851">
        <v>94.515509513972702</v>
      </c>
      <c r="AJ1851">
        <v>108.547045828279</v>
      </c>
      <c r="AK1851">
        <v>14.3315631496945</v>
      </c>
    </row>
    <row r="1852" spans="1:37" x14ac:dyDescent="0.2">
      <c r="A1852" t="str">
        <f>"20200111154101312"</f>
        <v>20200111154101312</v>
      </c>
      <c r="B1852" t="str">
        <f>"1578728461307939"</f>
        <v>1578728461307939</v>
      </c>
      <c r="C1852" t="s">
        <v>37</v>
      </c>
      <c r="D1852">
        <v>4.9732570000000003</v>
      </c>
      <c r="E1852">
        <v>0.43716459999999902</v>
      </c>
      <c r="F1852" t="s">
        <v>39</v>
      </c>
      <c r="G1852">
        <v>-492.30399999999997</v>
      </c>
      <c r="H1852" s="1">
        <v>-3.9656279999999997E-6</v>
      </c>
      <c r="I1852">
        <v>257.43900000000002</v>
      </c>
      <c r="J1852">
        <v>-490.92680000000001</v>
      </c>
      <c r="K1852">
        <v>1.128126</v>
      </c>
      <c r="L1852">
        <v>271.32940000000002</v>
      </c>
      <c r="M1852">
        <v>-0.40345690000000001</v>
      </c>
      <c r="N1852">
        <v>0</v>
      </c>
      <c r="O1852">
        <v>-0.914653099999999</v>
      </c>
      <c r="P1852">
        <v>-0.24096020000000001</v>
      </c>
      <c r="Q1852">
        <v>6.2342910000000001E-2</v>
      </c>
      <c r="R1852">
        <v>-0.96853069999999897</v>
      </c>
      <c r="S1852">
        <v>-0.31756590000000001</v>
      </c>
      <c r="T1852">
        <v>-0.24267369999999999</v>
      </c>
      <c r="U1852">
        <v>-3.0401609999999999</v>
      </c>
      <c r="V1852">
        <v>-0.173875</v>
      </c>
      <c r="W1852">
        <v>7.9931569999999993E-2</v>
      </c>
      <c r="X1852">
        <v>0.98151840000000001</v>
      </c>
      <c r="Y1852">
        <v>-0.30657139999999999</v>
      </c>
      <c r="Z1852">
        <v>6.7405240000000005E-2</v>
      </c>
      <c r="AA1852">
        <v>0.94945800000000002</v>
      </c>
      <c r="AB1852">
        <v>31</v>
      </c>
      <c r="AC1852">
        <v>-1.37720000000001</v>
      </c>
      <c r="AD1852">
        <v>-1.1281299656279999</v>
      </c>
      <c r="AE1852">
        <v>-13.8904</v>
      </c>
      <c r="AF1852">
        <v>-4.3176887401563997</v>
      </c>
      <c r="AG1852">
        <v>-1.1281299656279999</v>
      </c>
      <c r="AH1852">
        <v>13.1786503525579</v>
      </c>
      <c r="AI1852">
        <v>94.650665758239995</v>
      </c>
      <c r="AJ1852">
        <v>108.14022061444599</v>
      </c>
      <c r="AK1852">
        <v>13.9137320080271</v>
      </c>
    </row>
    <row r="1853" spans="1:37" x14ac:dyDescent="0.2">
      <c r="A1853" t="str">
        <f>"20200111154101325"</f>
        <v>20200111154101325</v>
      </c>
      <c r="B1853" t="str">
        <f>"1578728461317698"</f>
        <v>1578728461317698</v>
      </c>
      <c r="C1853" t="s">
        <v>37</v>
      </c>
      <c r="D1853">
        <v>5.0379360000000002</v>
      </c>
      <c r="E1853">
        <v>0.43519540000000001</v>
      </c>
      <c r="F1853" t="s">
        <v>39</v>
      </c>
      <c r="G1853">
        <v>-492.0668</v>
      </c>
      <c r="H1853" s="1">
        <v>-3.7122580000000001E-6</v>
      </c>
      <c r="I1853">
        <v>256.9606</v>
      </c>
      <c r="J1853">
        <v>-490.9905</v>
      </c>
      <c r="K1853">
        <v>1.127985</v>
      </c>
      <c r="L1853">
        <v>271.1671</v>
      </c>
      <c r="M1853">
        <v>-0.39364270000000001</v>
      </c>
      <c r="N1853">
        <v>0</v>
      </c>
      <c r="O1853">
        <v>-0.91892189999999996</v>
      </c>
      <c r="P1853">
        <v>-0.23063629999999999</v>
      </c>
      <c r="Q1853">
        <v>6.3442750000000006E-2</v>
      </c>
      <c r="R1853">
        <v>-0.97097</v>
      </c>
      <c r="S1853">
        <v>-0.2421875</v>
      </c>
      <c r="T1853">
        <v>-0.2396672</v>
      </c>
      <c r="U1853">
        <v>-3.0526119999999999</v>
      </c>
      <c r="V1853">
        <v>-0.1738007</v>
      </c>
      <c r="W1853">
        <v>8.1017110000000003E-2</v>
      </c>
      <c r="X1853">
        <v>0.98144259999999905</v>
      </c>
      <c r="Y1853">
        <v>-0.31999139999999998</v>
      </c>
      <c r="Z1853">
        <v>6.6685809999999998E-2</v>
      </c>
      <c r="AA1853">
        <v>0.94507059999999998</v>
      </c>
      <c r="AB1853">
        <v>31</v>
      </c>
      <c r="AC1853">
        <v>-1.0763</v>
      </c>
      <c r="AD1853">
        <v>-1.1279887122579999</v>
      </c>
      <c r="AE1853">
        <v>-14.2065</v>
      </c>
      <c r="AF1853">
        <v>-4.5760115918653996</v>
      </c>
      <c r="AG1853">
        <v>-1.1279887122579999</v>
      </c>
      <c r="AH1853">
        <v>13.3985892143762</v>
      </c>
      <c r="AI1853">
        <v>94.555068913770498</v>
      </c>
      <c r="AJ1853">
        <v>108.85654251191799</v>
      </c>
      <c r="AK1853">
        <v>14.2033247361126</v>
      </c>
    </row>
    <row r="1854" spans="1:37" x14ac:dyDescent="0.2">
      <c r="A1854" t="str">
        <f>"20200111154101338"</f>
        <v>20200111154101338</v>
      </c>
      <c r="B1854" t="str">
        <f>"1578728461328435"</f>
        <v>1578728461328435</v>
      </c>
      <c r="C1854" t="s">
        <v>37</v>
      </c>
      <c r="D1854">
        <v>5.0438010000000002</v>
      </c>
      <c r="E1854">
        <v>0.4336835</v>
      </c>
      <c r="F1854" t="s">
        <v>39</v>
      </c>
      <c r="G1854">
        <v>-491.92930000000001</v>
      </c>
      <c r="H1854" s="1">
        <v>-3.453082E-6</v>
      </c>
      <c r="I1854">
        <v>256.44170000000003</v>
      </c>
      <c r="J1854">
        <v>-491.05340000000001</v>
      </c>
      <c r="K1854">
        <v>1.127818</v>
      </c>
      <c r="L1854">
        <v>270.99970000000002</v>
      </c>
      <c r="M1854">
        <v>-0.38359280000000001</v>
      </c>
      <c r="N1854">
        <v>0</v>
      </c>
      <c r="O1854">
        <v>-0.92316469999999995</v>
      </c>
      <c r="P1854">
        <v>-0.2201922</v>
      </c>
      <c r="Q1854">
        <v>6.402062E-2</v>
      </c>
      <c r="R1854">
        <v>-0.97335349999999998</v>
      </c>
      <c r="S1854">
        <v>-0.19500729999999999</v>
      </c>
      <c r="T1854">
        <v>-0.23430010000000001</v>
      </c>
      <c r="U1854">
        <v>-3.0586849999999899</v>
      </c>
      <c r="V1854">
        <v>-0.17360639999999999</v>
      </c>
      <c r="W1854">
        <v>8.1580299999999994E-2</v>
      </c>
      <c r="X1854">
        <v>0.98143029999999998</v>
      </c>
      <c r="Y1854">
        <v>-0.32429559999999902</v>
      </c>
      <c r="Z1854">
        <v>6.552413E-2</v>
      </c>
      <c r="AA1854">
        <v>0.94368369999999901</v>
      </c>
      <c r="AB1854">
        <v>31</v>
      </c>
      <c r="AC1854">
        <v>-0.87590000000000101</v>
      </c>
      <c r="AD1854">
        <v>-1.1278214530820001</v>
      </c>
      <c r="AE1854">
        <v>-14.5579999999999</v>
      </c>
      <c r="AF1854">
        <v>-4.7488350796539498</v>
      </c>
      <c r="AG1854">
        <v>-1.1278214530820001</v>
      </c>
      <c r="AH1854">
        <v>13.6978029929921</v>
      </c>
      <c r="AI1854">
        <v>94.448280898904699</v>
      </c>
      <c r="AJ1854">
        <v>109.120709791549</v>
      </c>
      <c r="AK1854">
        <v>14.5414312458784</v>
      </c>
    </row>
    <row r="1855" spans="1:37" x14ac:dyDescent="0.2">
      <c r="A1855" t="str">
        <f>"20200111154101351"</f>
        <v>20200111154101351</v>
      </c>
      <c r="B1855" t="str">
        <f>"1578728461347955"</f>
        <v>1578728461347955</v>
      </c>
      <c r="C1855" t="s">
        <v>37</v>
      </c>
      <c r="D1855">
        <v>5.0359239999999996</v>
      </c>
      <c r="E1855">
        <v>0.43233379999999999</v>
      </c>
      <c r="F1855" t="s">
        <v>39</v>
      </c>
      <c r="G1855">
        <v>-491.78870000000001</v>
      </c>
      <c r="H1855" s="1">
        <v>-3.25136199999999E-6</v>
      </c>
      <c r="I1855">
        <v>256.05869999999999</v>
      </c>
      <c r="J1855">
        <v>-491.11040000000003</v>
      </c>
      <c r="K1855">
        <v>1.127643</v>
      </c>
      <c r="L1855">
        <v>270.84280000000001</v>
      </c>
      <c r="M1855">
        <v>-0.374258799999999</v>
      </c>
      <c r="N1855">
        <v>0</v>
      </c>
      <c r="O1855">
        <v>-0.926990599999999</v>
      </c>
      <c r="P1855">
        <v>-0.21039040000000001</v>
      </c>
      <c r="Q1855">
        <v>6.358743E-2</v>
      </c>
      <c r="R1855">
        <v>-0.97554769999999902</v>
      </c>
      <c r="S1855">
        <v>-0.1507568</v>
      </c>
      <c r="T1855">
        <v>-0.2312332</v>
      </c>
      <c r="U1855">
        <v>-3.0632929999999998</v>
      </c>
      <c r="V1855">
        <v>-0.17352999999999999</v>
      </c>
      <c r="W1855">
        <v>8.1129770000000004E-2</v>
      </c>
      <c r="X1855">
        <v>0.98148119999999905</v>
      </c>
      <c r="Y1855">
        <v>-0.32842349999999998</v>
      </c>
      <c r="Z1855">
        <v>6.4967709999999998E-2</v>
      </c>
      <c r="AA1855">
        <v>0.94229359999999995</v>
      </c>
      <c r="AB1855">
        <v>31</v>
      </c>
      <c r="AC1855">
        <v>-0.67829999999997803</v>
      </c>
      <c r="AD1855">
        <v>-1.127646251362</v>
      </c>
      <c r="AE1855">
        <v>-14.7841</v>
      </c>
      <c r="AF1855">
        <v>-4.8775032944521097</v>
      </c>
      <c r="AG1855">
        <v>-1.127646251362</v>
      </c>
      <c r="AH1855">
        <v>13.8823077950879</v>
      </c>
      <c r="AI1855">
        <v>94.382379267713702</v>
      </c>
      <c r="AJ1855">
        <v>109.35875792015599</v>
      </c>
      <c r="AK1855">
        <v>14.757374230301201</v>
      </c>
    </row>
    <row r="1856" spans="1:37" x14ac:dyDescent="0.2">
      <c r="A1856" t="str">
        <f>"20200111154101368"</f>
        <v>20200111154101368</v>
      </c>
      <c r="B1856" t="str">
        <f>"1578728461357715"</f>
        <v>1578728461357715</v>
      </c>
      <c r="C1856" t="s">
        <v>37</v>
      </c>
      <c r="D1856">
        <v>5.0303050000000002</v>
      </c>
      <c r="E1856">
        <v>0.43199690000000002</v>
      </c>
      <c r="F1856" t="s">
        <v>39</v>
      </c>
      <c r="G1856">
        <v>-491.65050000000002</v>
      </c>
      <c r="H1856" s="1">
        <v>-3.0978120000000001E-6</v>
      </c>
      <c r="I1856">
        <v>255.78649999999999</v>
      </c>
      <c r="J1856">
        <v>-491.18819999999999</v>
      </c>
      <c r="K1856">
        <v>1.127365</v>
      </c>
      <c r="L1856">
        <v>270.6216</v>
      </c>
      <c r="M1856">
        <v>-0.361214799999999</v>
      </c>
      <c r="N1856">
        <v>0</v>
      </c>
      <c r="O1856">
        <v>-0.93215439999999905</v>
      </c>
      <c r="P1856">
        <v>-0.19752529999999999</v>
      </c>
      <c r="Q1856">
        <v>6.1044380000000002E-2</v>
      </c>
      <c r="R1856">
        <v>-0.97839519999999902</v>
      </c>
      <c r="S1856">
        <v>-0.1099854</v>
      </c>
      <c r="T1856">
        <v>-0.22966410000000001</v>
      </c>
      <c r="U1856">
        <v>-3.0664669999999998</v>
      </c>
      <c r="V1856">
        <v>-0.17257979999999901</v>
      </c>
      <c r="W1856">
        <v>7.8602519999999995E-2</v>
      </c>
      <c r="X1856">
        <v>0.98185429999999996</v>
      </c>
      <c r="Y1856">
        <v>-0.32772319999999999</v>
      </c>
      <c r="Z1856">
        <v>6.5058500000000005E-2</v>
      </c>
      <c r="AA1856">
        <v>0.94253109999999996</v>
      </c>
      <c r="AB1856">
        <v>31</v>
      </c>
      <c r="AC1856">
        <v>-0.46230000000002702</v>
      </c>
      <c r="AD1856">
        <v>-1.127368097812</v>
      </c>
      <c r="AE1856">
        <v>-14.835100000000001</v>
      </c>
      <c r="AF1856">
        <v>-4.9009559149906599</v>
      </c>
      <c r="AG1856">
        <v>-1.127368097812</v>
      </c>
      <c r="AH1856">
        <v>13.9195709948775</v>
      </c>
      <c r="AI1856">
        <v>94.368605159357799</v>
      </c>
      <c r="AJ1856">
        <v>109.396708382993</v>
      </c>
      <c r="AK1856">
        <v>14.8001616339174</v>
      </c>
    </row>
    <row r="1857" spans="1:37" x14ac:dyDescent="0.2">
      <c r="A1857" t="str">
        <f>"20200111154101382"</f>
        <v>20200111154101382</v>
      </c>
      <c r="B1857" t="str">
        <f>"1578728461377625"</f>
        <v>1578728461377625</v>
      </c>
      <c r="C1857" t="s">
        <v>37</v>
      </c>
      <c r="D1857">
        <v>4.9966839999999904</v>
      </c>
      <c r="E1857">
        <v>0.43214659999999899</v>
      </c>
      <c r="F1857" t="s">
        <v>39</v>
      </c>
      <c r="G1857">
        <v>-491.505</v>
      </c>
      <c r="H1857" s="1">
        <v>-3.13260999999999E-6</v>
      </c>
      <c r="I1857">
        <v>255.95779999999999</v>
      </c>
      <c r="J1857">
        <v>-491.24619999999999</v>
      </c>
      <c r="K1857">
        <v>1.1271279999999999</v>
      </c>
      <c r="L1857">
        <v>270.45030000000003</v>
      </c>
      <c r="M1857">
        <v>-0.35123209999999999</v>
      </c>
      <c r="N1857">
        <v>0</v>
      </c>
      <c r="O1857">
        <v>-0.93596469999999898</v>
      </c>
      <c r="P1857">
        <v>-0.18757449999999901</v>
      </c>
      <c r="Q1857">
        <v>5.9879269999999998E-2</v>
      </c>
      <c r="R1857">
        <v>-0.98042389999999902</v>
      </c>
      <c r="S1857">
        <v>-6.6284179999999998E-2</v>
      </c>
      <c r="T1857">
        <v>-0.23584150000000001</v>
      </c>
      <c r="U1857">
        <v>-3.067596</v>
      </c>
      <c r="V1857">
        <v>-0.17199200000000001</v>
      </c>
      <c r="W1857">
        <v>7.7442590000000006E-2</v>
      </c>
      <c r="X1857">
        <v>0.98204959999999997</v>
      </c>
      <c r="Y1857">
        <v>-0.33105289999999998</v>
      </c>
      <c r="Z1857">
        <v>6.7172809999999999E-2</v>
      </c>
      <c r="AA1857">
        <v>0.94121829999999995</v>
      </c>
      <c r="AB1857">
        <v>31</v>
      </c>
      <c r="AC1857">
        <v>-0.25880000000000702</v>
      </c>
      <c r="AD1857">
        <v>-1.12713113261</v>
      </c>
      <c r="AE1857">
        <v>-14.4925</v>
      </c>
      <c r="AF1857">
        <v>-4.8203259557614704</v>
      </c>
      <c r="AG1857">
        <v>-1.12713113261</v>
      </c>
      <c r="AH1857">
        <v>13.5774078414959</v>
      </c>
      <c r="AI1857">
        <v>94.473207756827406</v>
      </c>
      <c r="AJ1857">
        <v>109.546159643961</v>
      </c>
      <c r="AK1857">
        <v>14.4517116842331</v>
      </c>
    </row>
    <row r="1858" spans="1:37" x14ac:dyDescent="0.2">
      <c r="A1858" t="str">
        <f>"20200111154101395"</f>
        <v>20200111154101395</v>
      </c>
      <c r="B1858" t="str">
        <f>"1578728461388362"</f>
        <v>1578728461388362</v>
      </c>
      <c r="C1858" t="s">
        <v>37</v>
      </c>
      <c r="D1858">
        <v>5.0087120000000001</v>
      </c>
      <c r="E1858">
        <v>0.43243530000000002</v>
      </c>
      <c r="F1858" t="s">
        <v>39</v>
      </c>
      <c r="G1858">
        <v>-491.41930000000002</v>
      </c>
      <c r="H1858" s="1">
        <v>-3.117078E-6</v>
      </c>
      <c r="I1858">
        <v>255.97479999999999</v>
      </c>
      <c r="J1858">
        <v>-491.2978</v>
      </c>
      <c r="K1858">
        <v>1.126887</v>
      </c>
      <c r="L1858">
        <v>270.29020000000003</v>
      </c>
      <c r="M1858">
        <v>-0.34208679999999902</v>
      </c>
      <c r="N1858">
        <v>0</v>
      </c>
      <c r="O1858">
        <v>-0.9393492</v>
      </c>
      <c r="P1858">
        <v>-0.17830499999999999</v>
      </c>
      <c r="Q1858">
        <v>5.8947880000000001E-2</v>
      </c>
      <c r="R1858">
        <v>-0.98220790000000002</v>
      </c>
      <c r="S1858">
        <v>-3.668213E-2</v>
      </c>
      <c r="T1858">
        <v>-0.23884829999999899</v>
      </c>
      <c r="U1858">
        <v>-3.0674739999999998</v>
      </c>
      <c r="V1858">
        <v>-0.17162189999999999</v>
      </c>
      <c r="W1858">
        <v>7.6498380000000005E-2</v>
      </c>
      <c r="X1858">
        <v>0.98218830000000001</v>
      </c>
      <c r="Y1858">
        <v>-0.33092899999999997</v>
      </c>
      <c r="Z1858">
        <v>6.8422750000000004E-2</v>
      </c>
      <c r="AA1858">
        <v>0.9411718</v>
      </c>
      <c r="AB1858">
        <v>31</v>
      </c>
      <c r="AC1858">
        <v>-0.121500000000025</v>
      </c>
      <c r="AD1858">
        <v>-1.1268901170779999</v>
      </c>
      <c r="AE1858">
        <v>-14.3154</v>
      </c>
      <c r="AF1858">
        <v>-4.7549506860971302</v>
      </c>
      <c r="AG1858">
        <v>-1.1268901170779999</v>
      </c>
      <c r="AH1858">
        <v>13.409680550986399</v>
      </c>
      <c r="AI1858">
        <v>94.528580174772301</v>
      </c>
      <c r="AJ1858">
        <v>109.524043281583</v>
      </c>
      <c r="AK1858">
        <v>14.272314803236601</v>
      </c>
    </row>
    <row r="1859" spans="1:37" x14ac:dyDescent="0.2">
      <c r="A1859" t="str">
        <f>"20200111154101407"</f>
        <v>20200111154101407</v>
      </c>
      <c r="B1859" t="str">
        <f>"1578728461398122"</f>
        <v>1578728461398122</v>
      </c>
      <c r="C1859" t="s">
        <v>37</v>
      </c>
      <c r="D1859">
        <v>5.0582669999999998</v>
      </c>
      <c r="E1859">
        <v>0.43282609999999899</v>
      </c>
      <c r="F1859" t="s">
        <v>39</v>
      </c>
      <c r="G1859">
        <v>-491.346</v>
      </c>
      <c r="H1859" s="1">
        <v>-3.1048189999999998E-6</v>
      </c>
      <c r="I1859">
        <v>255.99170000000001</v>
      </c>
      <c r="J1859">
        <v>-491.34780000000001</v>
      </c>
      <c r="K1859">
        <v>1.1266320000000001</v>
      </c>
      <c r="L1859">
        <v>270.13159999999999</v>
      </c>
      <c r="M1859">
        <v>-0.3331192</v>
      </c>
      <c r="N1859">
        <v>0</v>
      </c>
      <c r="O1859">
        <v>-0.94257019999999903</v>
      </c>
      <c r="P1859">
        <v>-0.1692517</v>
      </c>
      <c r="Q1859">
        <v>5.8627619999999998E-2</v>
      </c>
      <c r="R1859">
        <v>-0.98382809999999898</v>
      </c>
      <c r="S1859">
        <v>-1.0345460000000001E-2</v>
      </c>
      <c r="T1859">
        <v>-0.24170929999999999</v>
      </c>
      <c r="U1859">
        <v>-3.0669249999999999</v>
      </c>
      <c r="V1859">
        <v>-0.17124779999999901</v>
      </c>
      <c r="W1859">
        <v>7.6169860000000006E-2</v>
      </c>
      <c r="X1859">
        <v>0.98227919999999902</v>
      </c>
      <c r="Y1859">
        <v>-0.33001459999999999</v>
      </c>
      <c r="Z1859">
        <v>6.963975E-2</v>
      </c>
      <c r="AA1859">
        <v>0.94140360000000001</v>
      </c>
      <c r="AB1859">
        <v>31</v>
      </c>
      <c r="AC1859">
        <v>1.8000000000029099E-3</v>
      </c>
      <c r="AD1859">
        <v>-1.126635104819</v>
      </c>
      <c r="AE1859">
        <v>-14.1398999999999</v>
      </c>
      <c r="AF1859">
        <v>-4.6836323338963002</v>
      </c>
      <c r="AG1859">
        <v>-1.126635104819</v>
      </c>
      <c r="AH1859">
        <v>13.2471023927673</v>
      </c>
      <c r="AI1859">
        <v>94.584371695606706</v>
      </c>
      <c r="AJ1859">
        <v>109.47150654559999</v>
      </c>
      <c r="AK1859">
        <v>14.095795128441299</v>
      </c>
    </row>
    <row r="1860" spans="1:37" x14ac:dyDescent="0.2">
      <c r="A1860" t="str">
        <f>"20200111154101426"</f>
        <v>20200111154101426</v>
      </c>
      <c r="B1860" t="str">
        <f>"1578728461417642"</f>
        <v>1578728461417642</v>
      </c>
      <c r="C1860" t="s">
        <v>37</v>
      </c>
      <c r="D1860">
        <v>5.0477400000000001</v>
      </c>
      <c r="E1860">
        <v>0.43384780000000001</v>
      </c>
      <c r="F1860" t="s">
        <v>39</v>
      </c>
      <c r="G1860">
        <v>-491.28109999999998</v>
      </c>
      <c r="H1860" s="1">
        <v>-3.0369469999999999E-6</v>
      </c>
      <c r="I1860">
        <v>255.87370000000001</v>
      </c>
      <c r="J1860">
        <v>-491.41750000000002</v>
      </c>
      <c r="K1860">
        <v>1.1262350000000001</v>
      </c>
      <c r="L1860">
        <v>269.90159999999997</v>
      </c>
      <c r="M1860">
        <v>-0.32039990000000002</v>
      </c>
      <c r="N1860">
        <v>0</v>
      </c>
      <c r="O1860">
        <v>-0.94697419999999999</v>
      </c>
      <c r="P1860">
        <v>-0.15697259999999999</v>
      </c>
      <c r="Q1860">
        <v>5.7015299999999998E-2</v>
      </c>
      <c r="R1860">
        <v>-0.98595580000000005</v>
      </c>
      <c r="S1860">
        <v>1.434326E-2</v>
      </c>
      <c r="T1860">
        <v>-0.242285</v>
      </c>
      <c r="U1860">
        <v>-3.0661930000000002</v>
      </c>
      <c r="V1860">
        <v>-0.1701577</v>
      </c>
      <c r="W1860">
        <v>7.4573189999999998E-2</v>
      </c>
      <c r="X1860">
        <v>0.98259099999999999</v>
      </c>
      <c r="Y1860">
        <v>-0.32488099999999998</v>
      </c>
      <c r="Z1860">
        <v>7.0407579999999997E-2</v>
      </c>
      <c r="AA1860">
        <v>0.94313049999999998</v>
      </c>
      <c r="AB1860">
        <v>30</v>
      </c>
      <c r="AC1860">
        <v>0.13640000000003699</v>
      </c>
      <c r="AD1860">
        <v>-1.126238036947</v>
      </c>
      <c r="AE1860">
        <v>-14.027899999999899</v>
      </c>
      <c r="AF1860">
        <v>-4.5954368700394701</v>
      </c>
      <c r="AG1860">
        <v>-1.126238036947</v>
      </c>
      <c r="AH1860">
        <v>13.159408626928601</v>
      </c>
      <c r="AI1860">
        <v>94.619418552386705</v>
      </c>
      <c r="AJ1860">
        <v>109.24986670083</v>
      </c>
      <c r="AK1860">
        <v>13.984151298983701</v>
      </c>
    </row>
    <row r="1861" spans="1:37" x14ac:dyDescent="0.2">
      <c r="A1861" t="str">
        <f>"20200111154101438"</f>
        <v>20200111154101438</v>
      </c>
      <c r="B1861" t="str">
        <f>"1578728461428377"</f>
        <v>1578728461428377</v>
      </c>
      <c r="C1861" t="s">
        <v>37</v>
      </c>
      <c r="D1861">
        <v>5.0508199999999999</v>
      </c>
      <c r="E1861">
        <v>0.434420799999999</v>
      </c>
      <c r="F1861" t="s">
        <v>39</v>
      </c>
      <c r="G1861">
        <v>-491.214</v>
      </c>
      <c r="H1861" s="1">
        <v>-3.0356330000000001E-6</v>
      </c>
      <c r="I1861">
        <v>255.91229999999999</v>
      </c>
      <c r="J1861">
        <v>-491.46570000000003</v>
      </c>
      <c r="K1861">
        <v>1.125926</v>
      </c>
      <c r="L1861">
        <v>269.73500000000001</v>
      </c>
      <c r="M1861">
        <v>-0.31142199999999998</v>
      </c>
      <c r="N1861">
        <v>0</v>
      </c>
      <c r="O1861">
        <v>-0.94996849999999999</v>
      </c>
      <c r="P1861">
        <v>-0.14867910000000001</v>
      </c>
      <c r="Q1861">
        <v>5.5765780000000001E-2</v>
      </c>
      <c r="R1861">
        <v>-0.98731199999999997</v>
      </c>
      <c r="S1861">
        <v>4.4586180000000003E-2</v>
      </c>
      <c r="T1861">
        <v>-0.24668109999999999</v>
      </c>
      <c r="U1861">
        <v>-3.0640869999999998</v>
      </c>
      <c r="V1861">
        <v>-0.16903029999999999</v>
      </c>
      <c r="W1861">
        <v>7.3343469999999994E-2</v>
      </c>
      <c r="X1861">
        <v>0.98287809999999898</v>
      </c>
      <c r="Y1861">
        <v>-0.32523669999999999</v>
      </c>
      <c r="Z1861">
        <v>7.2074349999999995E-2</v>
      </c>
      <c r="AA1861">
        <v>0.94288189999999905</v>
      </c>
      <c r="AB1861">
        <v>30</v>
      </c>
      <c r="AC1861">
        <v>0.25170000000002801</v>
      </c>
      <c r="AD1861">
        <v>-1.1259290356330001</v>
      </c>
      <c r="AE1861">
        <v>-13.822699999999999</v>
      </c>
      <c r="AF1861">
        <v>-4.5151617089130403</v>
      </c>
      <c r="AG1861">
        <v>-1.1259290356330001</v>
      </c>
      <c r="AH1861">
        <v>12.9704770361017</v>
      </c>
      <c r="AI1861">
        <v>94.686727293038501</v>
      </c>
      <c r="AJ1861">
        <v>109.193553389518</v>
      </c>
      <c r="AK1861">
        <v>13.7799737298356</v>
      </c>
    </row>
    <row r="1862" spans="1:37" x14ac:dyDescent="0.2">
      <c r="A1862" t="str">
        <f>"20200111154101453"</f>
        <v>20200111154101453</v>
      </c>
      <c r="B1862" t="str">
        <f>"1578728461447896"</f>
        <v>1578728461447896</v>
      </c>
      <c r="C1862" t="s">
        <v>37</v>
      </c>
      <c r="D1862">
        <v>5.0656699999999999</v>
      </c>
      <c r="E1862">
        <v>0.43565039999999999</v>
      </c>
      <c r="F1862" t="s">
        <v>39</v>
      </c>
      <c r="G1862">
        <v>-491.17169999999999</v>
      </c>
      <c r="H1862" s="1">
        <v>-3.0748939999999998E-6</v>
      </c>
      <c r="I1862">
        <v>256.02999999999997</v>
      </c>
      <c r="J1862">
        <v>-491.517</v>
      </c>
      <c r="K1862">
        <v>1.125578</v>
      </c>
      <c r="L1862">
        <v>269.55090000000001</v>
      </c>
      <c r="M1862">
        <v>-0.30171909999999902</v>
      </c>
      <c r="N1862">
        <v>0</v>
      </c>
      <c r="O1862">
        <v>-0.95309929999999998</v>
      </c>
      <c r="P1862">
        <v>-0.1403943</v>
      </c>
      <c r="Q1862">
        <v>5.4217370000000001E-2</v>
      </c>
      <c r="R1862">
        <v>-0.98861030000000005</v>
      </c>
      <c r="S1862">
        <v>6.5704349999999995E-2</v>
      </c>
      <c r="T1862">
        <v>-0.25161149999999999</v>
      </c>
      <c r="U1862">
        <v>-3.0626530000000001</v>
      </c>
      <c r="V1862">
        <v>-0.16714979999999999</v>
      </c>
      <c r="W1862">
        <v>7.1834439999999999E-2</v>
      </c>
      <c r="X1862">
        <v>0.98331109999999899</v>
      </c>
      <c r="Y1862">
        <v>-0.3220944</v>
      </c>
      <c r="Z1862">
        <v>7.3961180000000001E-2</v>
      </c>
      <c r="AA1862">
        <v>0.94381399999999904</v>
      </c>
      <c r="AB1862">
        <v>30</v>
      </c>
      <c r="AC1862">
        <v>0.34530000000000799</v>
      </c>
      <c r="AD1862">
        <v>-1.1255810748940001</v>
      </c>
      <c r="AE1862">
        <v>-13.520899999999999</v>
      </c>
      <c r="AF1862">
        <v>-4.3795389634922897</v>
      </c>
      <c r="AG1862">
        <v>-1.1255810748940001</v>
      </c>
      <c r="AH1862">
        <v>12.698260660000299</v>
      </c>
      <c r="AI1862">
        <v>94.790007445638096</v>
      </c>
      <c r="AJ1862">
        <v>109.028946537354</v>
      </c>
      <c r="AK1862">
        <v>13.4793589639203</v>
      </c>
    </row>
    <row r="1863" spans="1:37" x14ac:dyDescent="0.2">
      <c r="A1863" t="str">
        <f>"20200111154101469"</f>
        <v>20200111154101469</v>
      </c>
      <c r="B1863" t="str">
        <f>"1578728461457656"</f>
        <v>1578728461457656</v>
      </c>
      <c r="C1863" t="s">
        <v>37</v>
      </c>
      <c r="D1863">
        <v>5.067024</v>
      </c>
      <c r="E1863">
        <v>0.43565039999999999</v>
      </c>
      <c r="F1863" t="s">
        <v>39</v>
      </c>
      <c r="G1863">
        <v>-491.15460000000002</v>
      </c>
      <c r="H1863" s="1">
        <v>-3.064882E-6</v>
      </c>
      <c r="I1863">
        <v>256.01729999999998</v>
      </c>
      <c r="J1863">
        <v>-491.57080000000002</v>
      </c>
      <c r="K1863">
        <v>1.1251949999999999</v>
      </c>
      <c r="L1863">
        <v>269.351</v>
      </c>
      <c r="M1863">
        <v>-0.29142820000000003</v>
      </c>
      <c r="N1863">
        <v>0</v>
      </c>
      <c r="O1863">
        <v>-0.95630090000000001</v>
      </c>
      <c r="P1863">
        <v>-0.13341829999999999</v>
      </c>
      <c r="Q1863">
        <v>5.3314050000000002E-2</v>
      </c>
      <c r="R1863">
        <v>-0.98962479999999997</v>
      </c>
      <c r="S1863">
        <v>8.1939699999999893E-2</v>
      </c>
      <c r="T1863">
        <v>-0.2545134</v>
      </c>
      <c r="U1863">
        <v>-3.060181</v>
      </c>
      <c r="V1863">
        <v>-0.16338910000000001</v>
      </c>
      <c r="W1863">
        <v>7.1037310000000006E-2</v>
      </c>
      <c r="X1863">
        <v>0.98400089999999996</v>
      </c>
      <c r="Y1863">
        <v>-0.3169033</v>
      </c>
      <c r="Z1863">
        <v>7.5332570000000001E-2</v>
      </c>
      <c r="AA1863">
        <v>0.94546149999999995</v>
      </c>
      <c r="AB1863">
        <v>30</v>
      </c>
      <c r="AC1863">
        <v>0.41620000000000301</v>
      </c>
      <c r="AD1863">
        <v>-1.1251980648819999</v>
      </c>
      <c r="AE1863">
        <v>-13.3337</v>
      </c>
      <c r="AF1863">
        <v>-4.2547550200988598</v>
      </c>
      <c r="AG1863">
        <v>-1.1251980648819999</v>
      </c>
      <c r="AH1863">
        <v>12.544021051053999</v>
      </c>
      <c r="AI1863">
        <v>94.855420815453598</v>
      </c>
      <c r="AJ1863">
        <v>108.736211522034</v>
      </c>
      <c r="AK1863">
        <v>13.293662967577999</v>
      </c>
    </row>
    <row r="1864" spans="1:37" x14ac:dyDescent="0.2">
      <c r="A1864" t="str">
        <f>"20200111154101482"</f>
        <v>20200111154101482</v>
      </c>
      <c r="B1864" t="str">
        <f>"1578728461478153"</f>
        <v>1578728461478153</v>
      </c>
      <c r="C1864" t="s">
        <v>37</v>
      </c>
      <c r="D1864">
        <v>5.0696199999999996</v>
      </c>
      <c r="E1864">
        <v>0.45403139999999997</v>
      </c>
      <c r="F1864" t="s">
        <v>39</v>
      </c>
      <c r="G1864">
        <v>-491.11599999999999</v>
      </c>
      <c r="H1864" s="1">
        <v>-3.026807E-6</v>
      </c>
      <c r="I1864">
        <v>255.95249999999999</v>
      </c>
      <c r="J1864">
        <v>-491.61500000000001</v>
      </c>
      <c r="K1864">
        <v>1.1248670000000001</v>
      </c>
      <c r="L1864">
        <v>269.18150000000003</v>
      </c>
      <c r="M1864">
        <v>-0.28289949999999903</v>
      </c>
      <c r="N1864">
        <v>0</v>
      </c>
      <c r="O1864">
        <v>-0.9588624</v>
      </c>
      <c r="P1864">
        <v>-0.12598719999999999</v>
      </c>
      <c r="Q1864">
        <v>5.3527739999999997E-2</v>
      </c>
      <c r="R1864">
        <v>-0.99058649999999904</v>
      </c>
      <c r="S1864">
        <v>0.10385129999999999</v>
      </c>
      <c r="T1864">
        <v>-0.25692100000000001</v>
      </c>
      <c r="U1864">
        <v>-3.059326</v>
      </c>
      <c r="V1864">
        <v>-0.16194800000000001</v>
      </c>
      <c r="W1864">
        <v>7.1276080000000006E-2</v>
      </c>
      <c r="X1864">
        <v>0.98422180000000004</v>
      </c>
      <c r="Y1864">
        <v>-0.31522509999999998</v>
      </c>
      <c r="Z1864">
        <v>7.6396030000000004E-2</v>
      </c>
      <c r="AA1864">
        <v>0.94593700000000003</v>
      </c>
      <c r="AB1864">
        <v>30</v>
      </c>
      <c r="AC1864">
        <v>0.49900000000002298</v>
      </c>
      <c r="AD1864">
        <v>-1.124870026807</v>
      </c>
      <c r="AE1864">
        <v>-13.228999999999999</v>
      </c>
      <c r="AF1864">
        <v>-4.19184783020909</v>
      </c>
      <c r="AG1864">
        <v>-1.124870026807</v>
      </c>
      <c r="AH1864">
        <v>12.457139880016999</v>
      </c>
      <c r="AI1864">
        <v>94.891663162392803</v>
      </c>
      <c r="AJ1864">
        <v>108.598170081219</v>
      </c>
      <c r="AK1864">
        <v>13.191559983533001</v>
      </c>
    </row>
    <row r="1865" spans="1:37" x14ac:dyDescent="0.2">
      <c r="A1865" t="str">
        <f>"20200111154101494"</f>
        <v>20200111154101494</v>
      </c>
      <c r="B1865" t="str">
        <f>"1578728461487913"</f>
        <v>1578728461487913</v>
      </c>
      <c r="C1865" t="s">
        <v>37</v>
      </c>
      <c r="D1865">
        <v>5.0619199999999998</v>
      </c>
      <c r="E1865">
        <v>0.45511109999999999</v>
      </c>
      <c r="F1865" t="s">
        <v>39</v>
      </c>
      <c r="G1865">
        <v>-491.70850000000002</v>
      </c>
      <c r="H1865" s="1">
        <v>-2.4704609999999999E-6</v>
      </c>
      <c r="I1865">
        <v>254.28819999999999</v>
      </c>
      <c r="J1865">
        <v>-491.65429999999998</v>
      </c>
      <c r="K1865">
        <v>1.1245529999999999</v>
      </c>
      <c r="L1865">
        <v>269.0224</v>
      </c>
      <c r="M1865">
        <v>-0.2751941</v>
      </c>
      <c r="N1865">
        <v>0</v>
      </c>
      <c r="O1865">
        <v>-0.96110649999999997</v>
      </c>
      <c r="P1865">
        <v>-0.1194147</v>
      </c>
      <c r="Q1865">
        <v>5.414542E-2</v>
      </c>
      <c r="R1865">
        <v>-0.99136689999999905</v>
      </c>
      <c r="S1865">
        <v>-1.9073489999999999E-2</v>
      </c>
      <c r="T1865">
        <v>-0.229490099999999</v>
      </c>
      <c r="U1865">
        <v>-3.0384519999999999</v>
      </c>
      <c r="V1865">
        <v>-0.16052239999999901</v>
      </c>
      <c r="W1865">
        <v>7.1898190000000001E-2</v>
      </c>
      <c r="X1865">
        <v>0.98441009999999995</v>
      </c>
      <c r="Y1865">
        <v>-0.26922970000000002</v>
      </c>
      <c r="Z1865">
        <v>6.9564020000000004E-2</v>
      </c>
      <c r="AA1865">
        <v>0.96056039999999998</v>
      </c>
      <c r="AB1865">
        <v>30</v>
      </c>
      <c r="AC1865">
        <v>-5.42000000000371E-2</v>
      </c>
      <c r="AD1865">
        <v>-1.1245554704609999</v>
      </c>
      <c r="AE1865">
        <v>-14.7342</v>
      </c>
      <c r="AF1865">
        <v>-3.9805719124339198</v>
      </c>
      <c r="AG1865">
        <v>-1.1245554704609999</v>
      </c>
      <c r="AH1865">
        <v>14.097776909329401</v>
      </c>
      <c r="AI1865">
        <v>94.389808055206899</v>
      </c>
      <c r="AJ1865">
        <v>105.76726963599801</v>
      </c>
      <c r="AK1865">
        <v>14.6920690013838</v>
      </c>
    </row>
    <row r="1866" spans="1:37" x14ac:dyDescent="0.2">
      <c r="A1866" t="str">
        <f>"20200111154101508"</f>
        <v>20200111154101508</v>
      </c>
      <c r="B1866" t="str">
        <f>"1578728461497672"</f>
        <v>1578728461497672</v>
      </c>
      <c r="C1866" t="s">
        <v>37</v>
      </c>
      <c r="D1866">
        <v>5.0012589999999904</v>
      </c>
      <c r="E1866">
        <v>0.45584819999999998</v>
      </c>
      <c r="F1866" t="s">
        <v>39</v>
      </c>
      <c r="G1866">
        <v>-491.69319999999999</v>
      </c>
      <c r="H1866" s="1">
        <v>-2.289957E-6</v>
      </c>
      <c r="I1866">
        <v>253.8768</v>
      </c>
      <c r="J1866">
        <v>-491.69529999999997</v>
      </c>
      <c r="K1866">
        <v>1.1242099999999999</v>
      </c>
      <c r="L1866">
        <v>268.85270000000003</v>
      </c>
      <c r="M1866">
        <v>-0.26712799999999998</v>
      </c>
      <c r="N1866">
        <v>0</v>
      </c>
      <c r="O1866">
        <v>-0.96338419999999902</v>
      </c>
      <c r="P1866">
        <v>-0.1124932</v>
      </c>
      <c r="Q1866">
        <v>5.4741459999999999E-2</v>
      </c>
      <c r="R1866">
        <v>-0.99214369999999996</v>
      </c>
      <c r="S1866">
        <v>-7.8125E-3</v>
      </c>
      <c r="T1866">
        <v>-0.22553490000000001</v>
      </c>
      <c r="U1866">
        <v>-3.037506</v>
      </c>
      <c r="V1866">
        <v>-0.1590819</v>
      </c>
      <c r="W1866">
        <v>7.2489830000000005E-2</v>
      </c>
      <c r="X1866">
        <v>0.98460049999999899</v>
      </c>
      <c r="Y1866">
        <v>-0.26471289999999997</v>
      </c>
      <c r="Z1866">
        <v>6.8691160000000001E-2</v>
      </c>
      <c r="AA1866">
        <v>0.9618776</v>
      </c>
      <c r="AB1866">
        <v>30</v>
      </c>
      <c r="AC1866">
        <v>2.0999999999844398E-3</v>
      </c>
      <c r="AD1866">
        <v>-1.124212289957</v>
      </c>
      <c r="AE1866">
        <v>-14.975899999999999</v>
      </c>
      <c r="AF1866">
        <v>-3.9811388586723502</v>
      </c>
      <c r="AG1866">
        <v>-1.124212289957</v>
      </c>
      <c r="AH1866">
        <v>14.349969300197101</v>
      </c>
      <c r="AI1866">
        <v>94.317133996850302</v>
      </c>
      <c r="AJ1866">
        <v>105.505710156365</v>
      </c>
      <c r="AK1866">
        <v>14.934354314851401</v>
      </c>
    </row>
    <row r="1867" spans="1:37" x14ac:dyDescent="0.2">
      <c r="A1867" t="str">
        <f>"20200111154101526"</f>
        <v>20200111154101526</v>
      </c>
      <c r="B1867" t="str">
        <f>"1578728461518168"</f>
        <v>1578728461518168</v>
      </c>
      <c r="C1867" t="s">
        <v>37</v>
      </c>
      <c r="D1867">
        <v>5.0295670000000001</v>
      </c>
      <c r="E1867">
        <v>0.45660139999999999</v>
      </c>
      <c r="F1867" t="s">
        <v>39</v>
      </c>
      <c r="G1867">
        <v>-491.65929999999997</v>
      </c>
      <c r="H1867" s="1">
        <v>-2.1353670000000001E-6</v>
      </c>
      <c r="I1867">
        <v>253.5376</v>
      </c>
      <c r="J1867">
        <v>-491.7484</v>
      </c>
      <c r="K1867">
        <v>1.123745</v>
      </c>
      <c r="L1867">
        <v>268.62380000000002</v>
      </c>
      <c r="M1867">
        <v>-0.25661499999999998</v>
      </c>
      <c r="N1867">
        <v>0</v>
      </c>
      <c r="O1867">
        <v>-0.96624429999999994</v>
      </c>
      <c r="P1867">
        <v>-0.10541739999999999</v>
      </c>
      <c r="Q1867">
        <v>5.4173979999999997E-2</v>
      </c>
      <c r="R1867">
        <v>-0.99295149999999999</v>
      </c>
      <c r="S1867">
        <v>7.1411130000000001E-3</v>
      </c>
      <c r="T1867">
        <v>-0.22292379999999901</v>
      </c>
      <c r="U1867">
        <v>-3.036896</v>
      </c>
      <c r="V1867">
        <v>-0.1552645</v>
      </c>
      <c r="W1867">
        <v>7.1957170000000001E-2</v>
      </c>
      <c r="X1867">
        <v>0.98524869999999898</v>
      </c>
      <c r="Y1867">
        <v>-0.2589361</v>
      </c>
      <c r="Z1867">
        <v>6.8283360000000001E-2</v>
      </c>
      <c r="AA1867">
        <v>0.96347780000000005</v>
      </c>
      <c r="AB1867">
        <v>30</v>
      </c>
      <c r="AC1867">
        <v>8.9100000000030294E-2</v>
      </c>
      <c r="AD1867">
        <v>-1.1237471353669899</v>
      </c>
      <c r="AE1867">
        <v>-15.0862</v>
      </c>
      <c r="AF1867">
        <v>-3.93662658519463</v>
      </c>
      <c r="AG1867">
        <v>-1.1237471353669899</v>
      </c>
      <c r="AH1867">
        <v>14.4775547012219</v>
      </c>
      <c r="AI1867">
        <v>94.283478298854305</v>
      </c>
      <c r="AJ1867">
        <v>105.21165303151299</v>
      </c>
      <c r="AK1867">
        <v>15.045245980786801</v>
      </c>
    </row>
    <row r="1868" spans="1:37" x14ac:dyDescent="0.2">
      <c r="A1868" t="str">
        <f>"20200111154101540"</f>
        <v>20200111154101540</v>
      </c>
      <c r="B1868" t="str">
        <f>"1578728461537688"</f>
        <v>1578728461537688</v>
      </c>
      <c r="C1868" t="s">
        <v>37</v>
      </c>
      <c r="D1868">
        <v>5.0340639999999999</v>
      </c>
      <c r="E1868">
        <v>0.46468540000000003</v>
      </c>
      <c r="F1868" t="s">
        <v>39</v>
      </c>
      <c r="G1868">
        <v>-491.6354</v>
      </c>
      <c r="H1868" s="1">
        <v>-2.0932640000000002E-6</v>
      </c>
      <c r="I1868">
        <v>253.45419999999999</v>
      </c>
      <c r="J1868">
        <v>-491.78789999999998</v>
      </c>
      <c r="K1868">
        <v>1.1233739999999901</v>
      </c>
      <c r="L1868">
        <v>268.44589999999999</v>
      </c>
      <c r="M1868">
        <v>-0.24872320000000001</v>
      </c>
      <c r="N1868">
        <v>0</v>
      </c>
      <c r="O1868">
        <v>-0.96831179999999994</v>
      </c>
      <c r="P1868">
        <v>-9.9476720000000005E-2</v>
      </c>
      <c r="Q1868">
        <v>5.336598E-2</v>
      </c>
      <c r="R1868">
        <v>-0.9936083</v>
      </c>
      <c r="S1868">
        <v>2.261353E-2</v>
      </c>
      <c r="T1868">
        <v>-0.224905299999999</v>
      </c>
      <c r="U1868">
        <v>-3.0360109999999998</v>
      </c>
      <c r="V1868">
        <v>-0.15303059999999999</v>
      </c>
      <c r="W1868">
        <v>7.1114380000000005E-2</v>
      </c>
      <c r="X1868">
        <v>0.98565939999999996</v>
      </c>
      <c r="Y1868">
        <v>-0.25596380000000002</v>
      </c>
      <c r="Z1868">
        <v>6.9163020000000006E-2</v>
      </c>
      <c r="AA1868">
        <v>0.96420899999999998</v>
      </c>
      <c r="AB1868">
        <v>30</v>
      </c>
      <c r="AC1868">
        <v>0.15249999999997499</v>
      </c>
      <c r="AD1868">
        <v>-1.12337609326399</v>
      </c>
      <c r="AE1868">
        <v>-14.9917</v>
      </c>
      <c r="AF1868">
        <v>-3.8557901710252902</v>
      </c>
      <c r="AG1868">
        <v>-1.12337609326399</v>
      </c>
      <c r="AH1868">
        <v>14.4015401012413</v>
      </c>
      <c r="AI1868">
        <v>94.309094702119495</v>
      </c>
      <c r="AJ1868">
        <v>104.988526256743</v>
      </c>
      <c r="AK1868">
        <v>14.9510350470311</v>
      </c>
    </row>
    <row r="1869" spans="1:37" x14ac:dyDescent="0.2">
      <c r="A1869" t="str">
        <f>"20200111154101559"</f>
        <v>20200111154101559</v>
      </c>
      <c r="B1869" t="str">
        <f>"1578728461548424"</f>
        <v>1578728461548424</v>
      </c>
      <c r="C1869" t="s">
        <v>37</v>
      </c>
      <c r="D1869">
        <v>5.0033199999999898</v>
      </c>
      <c r="E1869">
        <v>0.4652771</v>
      </c>
      <c r="F1869" t="s">
        <v>39</v>
      </c>
      <c r="G1869">
        <v>-491.90069999999997</v>
      </c>
      <c r="H1869" s="1">
        <v>-2.4042129999999999E-6</v>
      </c>
      <c r="I1869">
        <v>254.0145</v>
      </c>
      <c r="J1869">
        <v>-491.8381</v>
      </c>
      <c r="K1869">
        <v>1.1228899999999999</v>
      </c>
      <c r="L1869">
        <v>268.20949999999999</v>
      </c>
      <c r="M1869">
        <v>-0.23863309999999999</v>
      </c>
      <c r="N1869">
        <v>0</v>
      </c>
      <c r="O1869">
        <v>-0.97085569999999899</v>
      </c>
      <c r="P1869">
        <v>-9.4095680000000001E-2</v>
      </c>
      <c r="Q1869">
        <v>5.181761E-2</v>
      </c>
      <c r="R1869">
        <v>-0.99421409999999999</v>
      </c>
      <c r="S1869">
        <v>-2.368164E-2</v>
      </c>
      <c r="T1869">
        <v>-0.23583219999999999</v>
      </c>
      <c r="U1869">
        <v>-3.0296020000000001</v>
      </c>
      <c r="V1869">
        <v>-0.1479839</v>
      </c>
      <c r="W1869">
        <v>6.9556119999999999E-2</v>
      </c>
      <c r="X1869">
        <v>0.9865408</v>
      </c>
      <c r="Y1869">
        <v>-0.231105899999999</v>
      </c>
      <c r="Z1869">
        <v>7.3195930000000006E-2</v>
      </c>
      <c r="AA1869">
        <v>0.97017129999999996</v>
      </c>
      <c r="AB1869">
        <v>30</v>
      </c>
      <c r="AC1869">
        <v>-6.2599999999974898E-2</v>
      </c>
      <c r="AD1869">
        <v>-1.122892404213</v>
      </c>
      <c r="AE1869">
        <v>-14.194999999999901</v>
      </c>
      <c r="AF1869">
        <v>-3.3067505477660002</v>
      </c>
      <c r="AG1869">
        <v>-1.122892404213</v>
      </c>
      <c r="AH1869">
        <v>13.713826735159801</v>
      </c>
      <c r="AI1869">
        <v>94.551091233303694</v>
      </c>
      <c r="AJ1869">
        <v>103.556680990519</v>
      </c>
      <c r="AK1869">
        <v>14.1514850902148</v>
      </c>
    </row>
    <row r="1870" spans="1:37" x14ac:dyDescent="0.2">
      <c r="A1870" t="str">
        <f>"20200111154101574"</f>
        <v>20200111154101574</v>
      </c>
      <c r="B1870" t="str">
        <f>"1578728461567945"</f>
        <v>1578728461567945</v>
      </c>
      <c r="C1870" t="s">
        <v>37</v>
      </c>
      <c r="D1870">
        <v>5.0681229999999999</v>
      </c>
      <c r="E1870">
        <v>0.46618549999999997</v>
      </c>
      <c r="F1870" t="s">
        <v>39</v>
      </c>
      <c r="G1870">
        <v>-491.8922</v>
      </c>
      <c r="H1870" s="1">
        <v>-2.4270159999999998E-6</v>
      </c>
      <c r="I1870">
        <v>254.07299999999901</v>
      </c>
      <c r="J1870">
        <v>-491.87529999999998</v>
      </c>
      <c r="K1870">
        <v>1.1225039999999999</v>
      </c>
      <c r="L1870">
        <v>268.02600000000001</v>
      </c>
      <c r="M1870">
        <v>-0.2311066</v>
      </c>
      <c r="N1870">
        <v>0</v>
      </c>
      <c r="O1870">
        <v>-0.97268149999999998</v>
      </c>
      <c r="P1870">
        <v>-8.8586129999999999E-2</v>
      </c>
      <c r="Q1870">
        <v>5.1898510000000002E-2</v>
      </c>
      <c r="R1870">
        <v>-0.99471580000000004</v>
      </c>
      <c r="S1870">
        <v>-1.159668E-2</v>
      </c>
      <c r="T1870">
        <v>-0.24059159999999999</v>
      </c>
      <c r="U1870">
        <v>-3.0289000000000001</v>
      </c>
      <c r="V1870">
        <v>-0.14573459999999999</v>
      </c>
      <c r="W1870">
        <v>6.9537570000000007E-2</v>
      </c>
      <c r="X1870">
        <v>0.9868768</v>
      </c>
      <c r="Y1870">
        <v>-0.2274369</v>
      </c>
      <c r="Z1870">
        <v>7.4931659999999997E-2</v>
      </c>
      <c r="AA1870">
        <v>0.97090560000000004</v>
      </c>
      <c r="AB1870">
        <v>30</v>
      </c>
      <c r="AC1870">
        <v>-1.6900000000020999E-2</v>
      </c>
      <c r="AD1870">
        <v>-1.1225064270159999</v>
      </c>
      <c r="AE1870">
        <v>-13.952999999999999</v>
      </c>
      <c r="AF1870">
        <v>-3.1883280030884298</v>
      </c>
      <c r="AG1870">
        <v>-1.1225064270159999</v>
      </c>
      <c r="AH1870">
        <v>13.491674215069301</v>
      </c>
      <c r="AI1870">
        <v>94.6291245739788</v>
      </c>
      <c r="AJ1870">
        <v>103.296104086019</v>
      </c>
      <c r="AK1870">
        <v>13.9086566302982</v>
      </c>
    </row>
    <row r="1871" spans="1:37" x14ac:dyDescent="0.2">
      <c r="A1871" t="str">
        <f>"20200111154101588"</f>
        <v>20200111154101588</v>
      </c>
      <c r="B1871" t="str">
        <f>"1578728461577625"</f>
        <v>1578728461577625</v>
      </c>
      <c r="C1871" t="s">
        <v>37</v>
      </c>
      <c r="D1871">
        <v>5.1242650000000003</v>
      </c>
      <c r="E1871">
        <v>0.46618549999999997</v>
      </c>
      <c r="F1871" t="s">
        <v>39</v>
      </c>
      <c r="G1871">
        <v>-491.88619999999997</v>
      </c>
      <c r="H1871" s="1">
        <v>-2.3214590000000001E-6</v>
      </c>
      <c r="I1871">
        <v>253.8306</v>
      </c>
      <c r="J1871">
        <v>-491.91120000000001</v>
      </c>
      <c r="K1871">
        <v>1.1221129999999999</v>
      </c>
      <c r="L1871">
        <v>267.84350000000001</v>
      </c>
      <c r="M1871">
        <v>-0.22382249999999901</v>
      </c>
      <c r="N1871">
        <v>0</v>
      </c>
      <c r="O1871">
        <v>-0.97439100000000001</v>
      </c>
      <c r="P1871">
        <v>-8.3467009999999994E-2</v>
      </c>
      <c r="Q1871">
        <v>5.2492799999999999E-2</v>
      </c>
      <c r="R1871">
        <v>-0.99512710000000004</v>
      </c>
      <c r="S1871">
        <v>-2.319336E-3</v>
      </c>
      <c r="T1871">
        <v>-0.23945810000000001</v>
      </c>
      <c r="U1871">
        <v>-3.0282290000000001</v>
      </c>
      <c r="V1871">
        <v>-0.14336070000000001</v>
      </c>
      <c r="W1871">
        <v>6.9998989999999997E-2</v>
      </c>
      <c r="X1871">
        <v>0.98719190000000001</v>
      </c>
      <c r="Y1871">
        <v>-0.2231214</v>
      </c>
      <c r="Z1871">
        <v>7.4837500000000001E-2</v>
      </c>
      <c r="AA1871">
        <v>0.97191369999999899</v>
      </c>
      <c r="AB1871">
        <v>29</v>
      </c>
      <c r="AC1871">
        <v>2.5000000000034099E-2</v>
      </c>
      <c r="AD1871">
        <v>-1.1221153214589901</v>
      </c>
      <c r="AE1871">
        <v>-14.0129</v>
      </c>
      <c r="AF1871">
        <v>-3.1413547925754801</v>
      </c>
      <c r="AG1871">
        <v>-1.1221153214589901</v>
      </c>
      <c r="AH1871">
        <v>13.564645688393099</v>
      </c>
      <c r="AI1871">
        <v>94.607547058925405</v>
      </c>
      <c r="AJ1871">
        <v>103.038930883039</v>
      </c>
      <c r="AK1871">
        <v>13.9687818144294</v>
      </c>
    </row>
    <row r="1872" spans="1:37" x14ac:dyDescent="0.2">
      <c r="A1872" t="str">
        <f>"20200111154101604"</f>
        <v>20200111154101604</v>
      </c>
      <c r="B1872" t="str">
        <f>"1578728461598122"</f>
        <v>1578728461598122</v>
      </c>
      <c r="C1872" t="s">
        <v>37</v>
      </c>
      <c r="D1872">
        <v>5.1149190000000004</v>
      </c>
      <c r="E1872">
        <v>0.47229789999999999</v>
      </c>
      <c r="F1872" t="s">
        <v>39</v>
      </c>
      <c r="G1872">
        <v>-491.8492</v>
      </c>
      <c r="H1872" s="1">
        <v>-2.190284E-6</v>
      </c>
      <c r="I1872">
        <v>253.5478</v>
      </c>
      <c r="J1872">
        <v>-491.95190000000002</v>
      </c>
      <c r="K1872">
        <v>1.1216469999999901</v>
      </c>
      <c r="L1872">
        <v>267.62799999999999</v>
      </c>
      <c r="M1872">
        <v>-0.2155154</v>
      </c>
      <c r="N1872">
        <v>0</v>
      </c>
      <c r="O1872">
        <v>-0.97627229999999998</v>
      </c>
      <c r="P1872">
        <v>-7.8744190000000006E-2</v>
      </c>
      <c r="Q1872">
        <v>5.3981840000000003E-2</v>
      </c>
      <c r="R1872">
        <v>-0.995432599999999</v>
      </c>
      <c r="S1872">
        <v>1.312256E-2</v>
      </c>
      <c r="T1872">
        <v>-0.23769889999999999</v>
      </c>
      <c r="U1872">
        <v>-3.0282900000000001</v>
      </c>
      <c r="V1872">
        <v>-0.13956360000000001</v>
      </c>
      <c r="W1872">
        <v>7.1292739999999993E-2</v>
      </c>
      <c r="X1872">
        <v>0.98764339999999995</v>
      </c>
      <c r="Y1872">
        <v>-0.2197723</v>
      </c>
      <c r="Z1872">
        <v>7.4537899999999893E-2</v>
      </c>
      <c r="AA1872">
        <v>0.97269950000000005</v>
      </c>
      <c r="AB1872">
        <v>29</v>
      </c>
      <c r="AC1872">
        <v>0.10270000000002701</v>
      </c>
      <c r="AD1872">
        <v>-1.12164919028399</v>
      </c>
      <c r="AE1872">
        <v>-14.0801999999999</v>
      </c>
      <c r="AF1872">
        <v>-3.11569065944445</v>
      </c>
      <c r="AG1872">
        <v>-1.12164919028399</v>
      </c>
      <c r="AH1872">
        <v>13.64047676457</v>
      </c>
      <c r="AI1872">
        <v>94.583304632592998</v>
      </c>
      <c r="AJ1872">
        <v>102.866488207145</v>
      </c>
      <c r="AK1872">
        <v>14.0366745191369</v>
      </c>
    </row>
    <row r="1873" spans="1:37" x14ac:dyDescent="0.2">
      <c r="A1873" t="str">
        <f>"20200111154101619"</f>
        <v>20200111154101619</v>
      </c>
      <c r="B1873" t="str">
        <f>"1578728461607881"</f>
        <v>1578728461607881</v>
      </c>
      <c r="C1873" t="s">
        <v>37</v>
      </c>
      <c r="D1873">
        <v>5.1503990000000002</v>
      </c>
      <c r="E1873">
        <v>0.47212079999999901</v>
      </c>
      <c r="F1873" t="s">
        <v>39</v>
      </c>
      <c r="G1873">
        <v>-492.05579999999998</v>
      </c>
      <c r="H1873" s="1">
        <v>-2.0957009999999999E-6</v>
      </c>
      <c r="I1873">
        <v>253.19919999999999</v>
      </c>
      <c r="J1873">
        <v>-491.98579999999998</v>
      </c>
      <c r="K1873">
        <v>1.1212249999999999</v>
      </c>
      <c r="L1873">
        <v>267.4402</v>
      </c>
      <c r="M1873">
        <v>-0.20857819999999999</v>
      </c>
      <c r="N1873">
        <v>0</v>
      </c>
      <c r="O1873">
        <v>-0.97778729999999903</v>
      </c>
      <c r="P1873">
        <v>-7.3208969999999998E-2</v>
      </c>
      <c r="Q1873">
        <v>5.4905519999999999E-2</v>
      </c>
      <c r="R1873">
        <v>-0.99580440000000003</v>
      </c>
      <c r="S1873">
        <v>-2.1789550000000001E-2</v>
      </c>
      <c r="T1873">
        <v>-0.23513209999999901</v>
      </c>
      <c r="U1873">
        <v>-3.0247189999999899</v>
      </c>
      <c r="V1873">
        <v>-0.1379725</v>
      </c>
      <c r="W1873">
        <v>7.1953829999999996E-2</v>
      </c>
      <c r="X1873">
        <v>0.98781890000000006</v>
      </c>
      <c r="Y1873">
        <v>-0.20158599999999999</v>
      </c>
      <c r="Z1873">
        <v>7.4151750000000002E-2</v>
      </c>
      <c r="AA1873">
        <v>0.97665990000000003</v>
      </c>
      <c r="AB1873">
        <v>29</v>
      </c>
      <c r="AC1873">
        <v>-6.9999999999993096E-2</v>
      </c>
      <c r="AD1873">
        <v>-1.121227095701</v>
      </c>
      <c r="AE1873">
        <v>-14.241</v>
      </c>
      <c r="AF1873">
        <v>-2.8846560671645101</v>
      </c>
      <c r="AG1873">
        <v>-1.121227095701</v>
      </c>
      <c r="AH1873">
        <v>13.856356883113</v>
      </c>
      <c r="AI1873">
        <v>94.529478099069493</v>
      </c>
      <c r="AJ1873">
        <v>101.760026073737</v>
      </c>
      <c r="AK1873">
        <v>14.1977821119412</v>
      </c>
    </row>
    <row r="1874" spans="1:37" x14ac:dyDescent="0.2">
      <c r="A1874" t="str">
        <f>"20200111154101638"</f>
        <v>20200111154101638</v>
      </c>
      <c r="B1874" t="str">
        <f>"1578728461628377"</f>
        <v>1578728461628377</v>
      </c>
      <c r="C1874" t="s">
        <v>37</v>
      </c>
      <c r="D1874">
        <v>5.2265680000000003</v>
      </c>
      <c r="E1874">
        <v>0.47088580000000002</v>
      </c>
      <c r="F1874" t="s">
        <v>39</v>
      </c>
      <c r="G1874">
        <v>-492.00839999999999</v>
      </c>
      <c r="H1874" s="1">
        <v>-1.9582519999999999E-6</v>
      </c>
      <c r="I1874">
        <v>252.90819999999999</v>
      </c>
      <c r="J1874">
        <v>-492.02659999999997</v>
      </c>
      <c r="K1874">
        <v>1.1207100000000001</v>
      </c>
      <c r="L1874">
        <v>267.20479999999998</v>
      </c>
      <c r="M1874">
        <v>-0.20019700000000001</v>
      </c>
      <c r="N1874">
        <v>0</v>
      </c>
      <c r="O1874">
        <v>-0.979549</v>
      </c>
      <c r="P1874">
        <v>-6.805659E-2</v>
      </c>
      <c r="Q1874">
        <v>5.5678289999999998E-2</v>
      </c>
      <c r="R1874">
        <v>-0.99612690000000004</v>
      </c>
      <c r="S1874">
        <v>-4.699707E-3</v>
      </c>
      <c r="T1874">
        <v>-0.23340369999999999</v>
      </c>
      <c r="U1874">
        <v>-3.0251160000000001</v>
      </c>
      <c r="V1874">
        <v>-0.1345285</v>
      </c>
      <c r="W1874">
        <v>7.2436089999999995E-2</v>
      </c>
      <c r="X1874">
        <v>0.98825859999999999</v>
      </c>
      <c r="Y1874">
        <v>-0.19871359999999999</v>
      </c>
      <c r="Z1874">
        <v>7.3825050000000003E-2</v>
      </c>
      <c r="AA1874">
        <v>0.97727319999999995</v>
      </c>
      <c r="AB1874">
        <v>29</v>
      </c>
      <c r="AC1874">
        <v>1.81999999999789E-2</v>
      </c>
      <c r="AD1874">
        <v>-1.120711958252</v>
      </c>
      <c r="AE1874">
        <v>-14.2965999999999</v>
      </c>
      <c r="AF1874">
        <v>-2.8629546218841901</v>
      </c>
      <c r="AG1874">
        <v>-1.120711958252</v>
      </c>
      <c r="AH1874">
        <v>13.9178866588835</v>
      </c>
      <c r="AI1874">
        <v>94.509682480272502</v>
      </c>
      <c r="AJ1874">
        <v>101.623789501582</v>
      </c>
      <c r="AK1874">
        <v>14.253423220751801</v>
      </c>
    </row>
    <row r="1875" spans="1:37" x14ac:dyDescent="0.2">
      <c r="A1875" t="str">
        <f>"20200111154101652"</f>
        <v>20200111154101652</v>
      </c>
      <c r="B1875" t="str">
        <f>"1578728461647897"</f>
        <v>1578728461647897</v>
      </c>
      <c r="C1875" t="s">
        <v>37</v>
      </c>
      <c r="D1875">
        <v>5.2285029999999999</v>
      </c>
      <c r="E1875">
        <v>0.47078869999999901</v>
      </c>
      <c r="F1875" t="s">
        <v>39</v>
      </c>
      <c r="G1875">
        <v>-491.928</v>
      </c>
      <c r="H1875" s="1">
        <v>-1.723088E-6</v>
      </c>
      <c r="I1875">
        <v>252.40989999999999</v>
      </c>
      <c r="J1875">
        <v>-492.05699999999899</v>
      </c>
      <c r="K1875">
        <v>1.1202989999999999</v>
      </c>
      <c r="L1875">
        <v>267.02260000000001</v>
      </c>
      <c r="M1875">
        <v>-0.19396240000000001</v>
      </c>
      <c r="N1875">
        <v>0</v>
      </c>
      <c r="O1875">
        <v>-0.98081109999999905</v>
      </c>
      <c r="P1875">
        <v>-6.3245419999999997E-2</v>
      </c>
      <c r="Q1875">
        <v>5.6456979999999997E-2</v>
      </c>
      <c r="R1875">
        <v>-0.99640010000000001</v>
      </c>
      <c r="S1875">
        <v>2.0172120000000002E-2</v>
      </c>
      <c r="T1875">
        <v>-0.22920650000000001</v>
      </c>
      <c r="U1875">
        <v>-3.0258479999999999</v>
      </c>
      <c r="V1875">
        <v>-0.1329427</v>
      </c>
      <c r="W1875">
        <v>7.2963979999999998E-2</v>
      </c>
      <c r="X1875">
        <v>0.98843440000000005</v>
      </c>
      <c r="Y1875">
        <v>-0.20051189999999999</v>
      </c>
      <c r="Z1875">
        <v>7.2614300000000007E-2</v>
      </c>
      <c r="AA1875">
        <v>0.97699650000000005</v>
      </c>
      <c r="AB1875">
        <v>29</v>
      </c>
      <c r="AC1875">
        <v>0.128999999999905</v>
      </c>
      <c r="AD1875">
        <v>-1.120300723088</v>
      </c>
      <c r="AE1875">
        <v>-14.6127</v>
      </c>
      <c r="AF1875">
        <v>-2.94411053627157</v>
      </c>
      <c r="AG1875">
        <v>-1.120300723088</v>
      </c>
      <c r="AH1875">
        <v>14.226442458812</v>
      </c>
      <c r="AI1875">
        <v>94.409569641636494</v>
      </c>
      <c r="AJ1875">
        <v>101.692106013775</v>
      </c>
      <c r="AK1875">
        <v>14.5710166286991</v>
      </c>
    </row>
    <row r="1876" spans="1:37" x14ac:dyDescent="0.2">
      <c r="A1876" t="str">
        <f>"20200111154101670"</f>
        <v>20200111154101670</v>
      </c>
      <c r="B1876" t="str">
        <f>"1578728461668393"</f>
        <v>1578728461668393</v>
      </c>
      <c r="C1876" t="s">
        <v>37</v>
      </c>
      <c r="D1876">
        <v>5.2477309999999999</v>
      </c>
      <c r="E1876">
        <v>0.47110609999999897</v>
      </c>
      <c r="F1876" t="s">
        <v>39</v>
      </c>
      <c r="G1876">
        <v>-491.88369999999998</v>
      </c>
      <c r="H1876" s="1">
        <v>-1.587138E-6</v>
      </c>
      <c r="I1876">
        <v>252.12039999999999</v>
      </c>
      <c r="J1876">
        <v>-492.09339999999997</v>
      </c>
      <c r="K1876">
        <v>1.119785</v>
      </c>
      <c r="L1876">
        <v>266.79660000000001</v>
      </c>
      <c r="M1876">
        <v>-0.18649959999999999</v>
      </c>
      <c r="N1876">
        <v>0</v>
      </c>
      <c r="O1876">
        <v>-0.98226740000000001</v>
      </c>
      <c r="P1876">
        <v>-5.8785240000000002E-2</v>
      </c>
      <c r="Q1876">
        <v>5.7750959999999997E-2</v>
      </c>
      <c r="R1876">
        <v>-0.99659889999999995</v>
      </c>
      <c r="S1876">
        <v>3.5186769999999999E-2</v>
      </c>
      <c r="T1876">
        <v>-0.2274804</v>
      </c>
      <c r="U1876">
        <v>-3.0259399999999999</v>
      </c>
      <c r="V1876">
        <v>-0.12976260000000001</v>
      </c>
      <c r="W1876">
        <v>7.3983069999999998E-2</v>
      </c>
      <c r="X1876">
        <v>0.98878120000000003</v>
      </c>
      <c r="Y1876">
        <v>-0.19790869999999999</v>
      </c>
      <c r="Z1876">
        <v>7.2248809999999997E-2</v>
      </c>
      <c r="AA1876">
        <v>0.97755419999999904</v>
      </c>
      <c r="AB1876">
        <v>29</v>
      </c>
      <c r="AC1876">
        <v>0.209699999999998</v>
      </c>
      <c r="AD1876">
        <v>-1.1197865871379999</v>
      </c>
      <c r="AE1876">
        <v>-14.6762</v>
      </c>
      <c r="AF1876">
        <v>-2.9265955170642499</v>
      </c>
      <c r="AG1876">
        <v>-1.1197865871379999</v>
      </c>
      <c r="AH1876">
        <v>14.296284188231899</v>
      </c>
      <c r="AI1876">
        <v>94.388035491577298</v>
      </c>
      <c r="AJ1876">
        <v>101.569191891209</v>
      </c>
      <c r="AK1876">
        <v>14.6356627766536</v>
      </c>
    </row>
    <row r="1877" spans="1:37" x14ac:dyDescent="0.2">
      <c r="A1877" t="str">
        <f>"20200111154101684"</f>
        <v>20200111154101684</v>
      </c>
      <c r="B1877" t="str">
        <f>"1578728461678153"</f>
        <v>1578728461678153</v>
      </c>
      <c r="C1877" t="s">
        <v>37</v>
      </c>
      <c r="D1877">
        <v>5.2935819999999998</v>
      </c>
      <c r="E1877">
        <v>0.47140859999999901</v>
      </c>
      <c r="F1877" t="s">
        <v>39</v>
      </c>
      <c r="G1877">
        <v>-491.86509999999998</v>
      </c>
      <c r="H1877" s="1">
        <v>-1.3696950000000001E-6</v>
      </c>
      <c r="I1877">
        <v>251.6251</v>
      </c>
      <c r="J1877">
        <v>-492.1216</v>
      </c>
      <c r="K1877">
        <v>1.11937999999999</v>
      </c>
      <c r="L1877">
        <v>266.61610000000002</v>
      </c>
      <c r="M1877">
        <v>-0.18074079999999901</v>
      </c>
      <c r="N1877">
        <v>0</v>
      </c>
      <c r="O1877">
        <v>-0.98335099999999998</v>
      </c>
      <c r="P1877">
        <v>-5.4295450000000002E-2</v>
      </c>
      <c r="Q1877">
        <v>5.8075549999999997E-2</v>
      </c>
      <c r="R1877">
        <v>-0.99683480000000002</v>
      </c>
      <c r="S1877">
        <v>4.553223E-2</v>
      </c>
      <c r="T1877">
        <v>-0.223333799999999</v>
      </c>
      <c r="U1877">
        <v>-3.0258479999999999</v>
      </c>
      <c r="V1877">
        <v>-0.1283453</v>
      </c>
      <c r="W1877">
        <v>7.406915E-2</v>
      </c>
      <c r="X1877">
        <v>0.9889597</v>
      </c>
      <c r="Y1877">
        <v>-0.19550699999999999</v>
      </c>
      <c r="Z1877">
        <v>7.1075799999999995E-2</v>
      </c>
      <c r="AA1877">
        <v>0.97812330000000003</v>
      </c>
      <c r="AB1877">
        <v>29</v>
      </c>
      <c r="AC1877">
        <v>0.25650000000001599</v>
      </c>
      <c r="AD1877">
        <v>-1.1193813696949999</v>
      </c>
      <c r="AE1877">
        <v>-14.991</v>
      </c>
      <c r="AF1877">
        <v>-2.9458185710301898</v>
      </c>
      <c r="AG1877">
        <v>-1.1193813696949999</v>
      </c>
      <c r="AH1877">
        <v>14.616182648082001</v>
      </c>
      <c r="AI1877">
        <v>94.293452127879206</v>
      </c>
      <c r="AJ1877">
        <v>101.39502456490099</v>
      </c>
      <c r="AK1877">
        <v>14.9520452415828</v>
      </c>
    </row>
    <row r="1878" spans="1:37" x14ac:dyDescent="0.2">
      <c r="A1878" t="str">
        <f>"20200111154101696"</f>
        <v>20200111154101696</v>
      </c>
      <c r="B1878" t="str">
        <f>"1578728461687913"</f>
        <v>1578728461687913</v>
      </c>
      <c r="C1878" t="s">
        <v>37</v>
      </c>
      <c r="D1878">
        <v>5.1650739999999997</v>
      </c>
      <c r="E1878">
        <v>0.47140859999999901</v>
      </c>
      <c r="F1878" t="s">
        <v>39</v>
      </c>
      <c r="G1878">
        <v>-491.83749999999998</v>
      </c>
      <c r="H1878" s="1">
        <v>-1.274791E-6</v>
      </c>
      <c r="I1878">
        <v>251.42099999999999</v>
      </c>
      <c r="J1878">
        <v>-492.14710000000002</v>
      </c>
      <c r="K1878">
        <v>1.119016</v>
      </c>
      <c r="L1878">
        <v>266.44650000000001</v>
      </c>
      <c r="M1878">
        <v>-0.175561299999999</v>
      </c>
      <c r="N1878">
        <v>0</v>
      </c>
      <c r="O1878">
        <v>-0.98429580000000005</v>
      </c>
      <c r="P1878">
        <v>-5.016582E-2</v>
      </c>
      <c r="Q1878">
        <v>5.852678E-2</v>
      </c>
      <c r="R1878">
        <v>-0.99702500000000005</v>
      </c>
      <c r="S1878">
        <v>5.6579589999999999E-2</v>
      </c>
      <c r="T1878">
        <v>-0.22288759999999999</v>
      </c>
      <c r="U1878">
        <v>-3.025604</v>
      </c>
      <c r="V1878">
        <v>-0.1271669</v>
      </c>
      <c r="W1878">
        <v>7.4305010000000005E-2</v>
      </c>
      <c r="X1878">
        <v>0.98909419999999904</v>
      </c>
      <c r="Y1878">
        <v>-0.19391439999999999</v>
      </c>
      <c r="Z1878">
        <v>7.1052870000000004E-2</v>
      </c>
      <c r="AA1878">
        <v>0.97844200000000003</v>
      </c>
      <c r="AB1878">
        <v>29</v>
      </c>
      <c r="AC1878">
        <v>0.30960000000004501</v>
      </c>
      <c r="AD1878">
        <v>-1.1190172747910001</v>
      </c>
      <c r="AE1878">
        <v>-15.025499999999999</v>
      </c>
      <c r="AF1878">
        <v>-2.9269075999389198</v>
      </c>
      <c r="AG1878">
        <v>-1.1190172747910001</v>
      </c>
      <c r="AH1878">
        <v>14.656431662186399</v>
      </c>
      <c r="AI1878">
        <v>94.2818346297435</v>
      </c>
      <c r="AJ1878">
        <v>101.293472300819</v>
      </c>
      <c r="AK1878">
        <v>14.987660819093801</v>
      </c>
    </row>
    <row r="1879" spans="1:37" x14ac:dyDescent="0.2">
      <c r="A1879" t="str">
        <f>"20200111154101716"</f>
        <v>20200111154101716</v>
      </c>
      <c r="B1879" t="str">
        <f>"1578728461708408"</f>
        <v>1578728461708408</v>
      </c>
      <c r="C1879" t="s">
        <v>37</v>
      </c>
      <c r="D1879">
        <v>5.1561830000000004</v>
      </c>
      <c r="E1879">
        <v>0.48089719999999903</v>
      </c>
      <c r="F1879" t="s">
        <v>39</v>
      </c>
      <c r="G1879">
        <v>-491.80149999999998</v>
      </c>
      <c r="H1879" s="1">
        <v>-1.164699E-6</v>
      </c>
      <c r="I1879">
        <v>251.1867</v>
      </c>
      <c r="J1879">
        <v>-492.18150000000003</v>
      </c>
      <c r="K1879">
        <v>1.118541</v>
      </c>
      <c r="L1879">
        <v>266.21010000000001</v>
      </c>
      <c r="M1879">
        <v>-0.16859660000000001</v>
      </c>
      <c r="N1879">
        <v>0</v>
      </c>
      <c r="O1879">
        <v>-0.98552119999999999</v>
      </c>
      <c r="P1879">
        <v>-4.575825E-2</v>
      </c>
      <c r="Q1879">
        <v>5.8122020000000003E-2</v>
      </c>
      <c r="R1879">
        <v>-0.99726039999999905</v>
      </c>
      <c r="S1879">
        <v>6.8511959999999997E-2</v>
      </c>
      <c r="T1879">
        <v>-0.22185749999999901</v>
      </c>
      <c r="U1879">
        <v>-3.0254209999999899</v>
      </c>
      <c r="V1879">
        <v>-0.1244441</v>
      </c>
      <c r="W1879">
        <v>7.3637369999999994E-2</v>
      </c>
      <c r="X1879">
        <v>0.98949039999999999</v>
      </c>
      <c r="Y1879">
        <v>-0.19083410000000001</v>
      </c>
      <c r="Z1879">
        <v>7.0883020000000005E-2</v>
      </c>
      <c r="AA1879">
        <v>0.97905969999999998</v>
      </c>
      <c r="AB1879">
        <v>29</v>
      </c>
      <c r="AC1879">
        <v>0.38000000000005202</v>
      </c>
      <c r="AD1879">
        <v>-1.1185421646989999</v>
      </c>
      <c r="AE1879">
        <v>-15.023400000000001</v>
      </c>
      <c r="AF1879">
        <v>-2.89184199957583</v>
      </c>
      <c r="AG1879">
        <v>-1.1185421646989999</v>
      </c>
      <c r="AH1879">
        <v>14.662965753929299</v>
      </c>
      <c r="AI1879">
        <v>94.280142367214793</v>
      </c>
      <c r="AJ1879">
        <v>101.156739624415</v>
      </c>
      <c r="AK1879">
        <v>14.987209594371601</v>
      </c>
    </row>
    <row r="1880" spans="1:37" x14ac:dyDescent="0.2">
      <c r="A1880" t="str">
        <f>"20200111154101729"</f>
        <v>20200111154101729</v>
      </c>
      <c r="B1880" t="str">
        <f>"1578728461718169"</f>
        <v>1578728461718169</v>
      </c>
      <c r="C1880" t="s">
        <v>37</v>
      </c>
      <c r="D1880">
        <v>5.2081559999999998</v>
      </c>
      <c r="E1880">
        <v>0.4812169</v>
      </c>
      <c r="F1880" t="s">
        <v>39</v>
      </c>
      <c r="G1880">
        <v>-492.14429999999999</v>
      </c>
      <c r="H1880" s="1">
        <v>-4.4605059999999996E-6</v>
      </c>
      <c r="I1880">
        <v>248.97649999999999</v>
      </c>
      <c r="J1880">
        <v>-492.2063</v>
      </c>
      <c r="K1880">
        <v>1.118212</v>
      </c>
      <c r="L1880">
        <v>266.03449999999998</v>
      </c>
      <c r="M1880">
        <v>-0.16363920000000001</v>
      </c>
      <c r="N1880">
        <v>0</v>
      </c>
      <c r="O1880">
        <v>-0.98636229999999903</v>
      </c>
      <c r="P1880">
        <v>-4.2325439999999999E-2</v>
      </c>
      <c r="Q1880">
        <v>5.8079739999999998E-2</v>
      </c>
      <c r="R1880">
        <v>-0.99741440000000003</v>
      </c>
      <c r="S1880">
        <v>6.5307619999999999E-3</v>
      </c>
      <c r="T1880">
        <v>-0.19600799999999999</v>
      </c>
      <c r="U1880">
        <v>-3.01992799999999</v>
      </c>
      <c r="V1880">
        <v>-0.122807399999999</v>
      </c>
      <c r="W1880">
        <v>7.3402430000000005E-2</v>
      </c>
      <c r="X1880">
        <v>0.98971229999999999</v>
      </c>
      <c r="Y1880">
        <v>-0.16579099999999999</v>
      </c>
      <c r="Z1880">
        <v>6.3011139999999993E-2</v>
      </c>
      <c r="AA1880">
        <v>0.98414579999999996</v>
      </c>
      <c r="AB1880">
        <v>29</v>
      </c>
      <c r="AC1880">
        <v>6.2000000000011803E-2</v>
      </c>
      <c r="AD1880">
        <v>-1.1182164605060001</v>
      </c>
      <c r="AE1880">
        <v>-17.0579999999999</v>
      </c>
      <c r="AF1880">
        <v>-2.8407491114513901</v>
      </c>
      <c r="AG1880">
        <v>-1.1182164605060001</v>
      </c>
      <c r="AH1880">
        <v>16.745882014107799</v>
      </c>
      <c r="AI1880">
        <v>93.766634955167703</v>
      </c>
      <c r="AJ1880">
        <v>99.627922796065107</v>
      </c>
      <c r="AK1880">
        <v>17.021892609142402</v>
      </c>
    </row>
    <row r="1881" spans="1:37" x14ac:dyDescent="0.2">
      <c r="A1881" t="str">
        <f>"20200111154101744"</f>
        <v>20200111154101744</v>
      </c>
      <c r="B1881" t="str">
        <f>"1578728461737689"</f>
        <v>1578728461737689</v>
      </c>
      <c r="C1881" t="s">
        <v>37</v>
      </c>
      <c r="D1881">
        <v>5.1901419999999998</v>
      </c>
      <c r="E1881">
        <v>0.48145169999999998</v>
      </c>
      <c r="F1881" t="s">
        <v>39</v>
      </c>
      <c r="G1881">
        <v>-492.1223</v>
      </c>
      <c r="H1881" s="1">
        <v>-4.1247020000000001E-6</v>
      </c>
      <c r="I1881">
        <v>248.00120000000001</v>
      </c>
      <c r="J1881">
        <v>-492.2312</v>
      </c>
      <c r="K1881">
        <v>1.117877</v>
      </c>
      <c r="L1881">
        <v>265.85320000000002</v>
      </c>
      <c r="M1881">
        <v>-0.1586823</v>
      </c>
      <c r="N1881">
        <v>0</v>
      </c>
      <c r="O1881">
        <v>-0.98717779999999999</v>
      </c>
      <c r="P1881">
        <v>-3.9048880000000001E-2</v>
      </c>
      <c r="Q1881">
        <v>5.7904150000000001E-2</v>
      </c>
      <c r="R1881">
        <v>-0.99755879999999997</v>
      </c>
      <c r="S1881">
        <v>1.4068600000000001E-2</v>
      </c>
      <c r="T1881">
        <v>-0.18722030000000001</v>
      </c>
      <c r="U1881">
        <v>-3.0192869999999998</v>
      </c>
      <c r="V1881">
        <v>-0.12102</v>
      </c>
      <c r="W1881">
        <v>7.3038619999999999E-2</v>
      </c>
      <c r="X1881">
        <v>0.98995940000000004</v>
      </c>
      <c r="Y1881">
        <v>-0.1632942</v>
      </c>
      <c r="Z1881">
        <v>6.0297570000000002E-2</v>
      </c>
      <c r="AA1881">
        <v>0.98473299999999997</v>
      </c>
      <c r="AB1881">
        <v>29</v>
      </c>
      <c r="AC1881">
        <v>0.10890000000000501</v>
      </c>
      <c r="AD1881">
        <v>-1.117881124702</v>
      </c>
      <c r="AE1881">
        <v>-17.852</v>
      </c>
      <c r="AF1881">
        <v>-2.9292553779345898</v>
      </c>
      <c r="AG1881">
        <v>-1.117881124702</v>
      </c>
      <c r="AH1881">
        <v>17.539684521890202</v>
      </c>
      <c r="AI1881">
        <v>93.597093626880294</v>
      </c>
      <c r="AJ1881">
        <v>99.4813106016761</v>
      </c>
      <c r="AK1881">
        <v>17.817708281525999</v>
      </c>
    </row>
    <row r="1882" spans="1:37" x14ac:dyDescent="0.2">
      <c r="A1882" t="str">
        <f>"20200111154101760"</f>
        <v>20200111154101760</v>
      </c>
      <c r="B1882" t="str">
        <f>"1578728461748425"</f>
        <v>1578728461748425</v>
      </c>
      <c r="C1882" t="s">
        <v>37</v>
      </c>
      <c r="D1882">
        <v>5.23393</v>
      </c>
      <c r="E1882">
        <v>0.48184329999999997</v>
      </c>
      <c r="F1882" t="s">
        <v>39</v>
      </c>
      <c r="G1882">
        <v>-492.09050000000002</v>
      </c>
      <c r="H1882" s="1">
        <v>-3.670345E-6</v>
      </c>
      <c r="I1882">
        <v>246.84809999999999</v>
      </c>
      <c r="J1882">
        <v>-492.25889999999998</v>
      </c>
      <c r="K1882">
        <v>1.1175310000000001</v>
      </c>
      <c r="L1882">
        <v>265.64400000000001</v>
      </c>
      <c r="M1882">
        <v>-0.1532656</v>
      </c>
      <c r="N1882">
        <v>0</v>
      </c>
      <c r="O1882">
        <v>-0.98803909999999995</v>
      </c>
      <c r="P1882">
        <v>-3.6775500000000003E-2</v>
      </c>
      <c r="Q1882">
        <v>5.771424E-2</v>
      </c>
      <c r="R1882">
        <v>-0.99765569999999903</v>
      </c>
      <c r="S1882">
        <v>2.233887E-2</v>
      </c>
      <c r="T1882">
        <v>-0.17755009999999999</v>
      </c>
      <c r="U1882">
        <v>-3.0185240000000002</v>
      </c>
      <c r="V1882">
        <v>-0.117773399999999</v>
      </c>
      <c r="W1882">
        <v>7.2668650000000001E-2</v>
      </c>
      <c r="X1882">
        <v>0.99037809999999904</v>
      </c>
      <c r="Y1882">
        <v>-0.16058229999999901</v>
      </c>
      <c r="Z1882">
        <v>5.7296319999999998E-2</v>
      </c>
      <c r="AA1882">
        <v>0.98535799999999996</v>
      </c>
      <c r="AB1882">
        <v>29</v>
      </c>
      <c r="AC1882">
        <v>0.168399999999962</v>
      </c>
      <c r="AD1882">
        <v>-1.117534670345</v>
      </c>
      <c r="AE1882">
        <v>-18.7959</v>
      </c>
      <c r="AF1882">
        <v>-3.0368555790360499</v>
      </c>
      <c r="AG1882">
        <v>-1.117534670345</v>
      </c>
      <c r="AH1882">
        <v>18.482617170820198</v>
      </c>
      <c r="AI1882">
        <v>93.414451630897801</v>
      </c>
      <c r="AJ1882">
        <v>99.3308243631121</v>
      </c>
      <c r="AK1882">
        <v>18.763755301922998</v>
      </c>
    </row>
    <row r="1883" spans="1:37" x14ac:dyDescent="0.2">
      <c r="A1883" t="str">
        <f>"20200111154101784"</f>
        <v>20200111154101784</v>
      </c>
      <c r="B1883" t="str">
        <f>"1578728461777705"</f>
        <v>1578728461777705</v>
      </c>
      <c r="C1883" t="s">
        <v>37</v>
      </c>
      <c r="D1883">
        <v>5.246747</v>
      </c>
      <c r="E1883">
        <v>0.48264589999999902</v>
      </c>
      <c r="F1883" t="s">
        <v>39</v>
      </c>
      <c r="G1883">
        <v>-492.09379999999999</v>
      </c>
      <c r="H1883" s="1">
        <v>-3.5012480000000001E-6</v>
      </c>
      <c r="I1883">
        <v>246.452</v>
      </c>
      <c r="J1883">
        <v>-492.29649999999998</v>
      </c>
      <c r="K1883">
        <v>1.117094</v>
      </c>
      <c r="L1883">
        <v>265.34980000000002</v>
      </c>
      <c r="M1883">
        <v>-0.1460079</v>
      </c>
      <c r="N1883">
        <v>0</v>
      </c>
      <c r="O1883">
        <v>-0.989145099999999</v>
      </c>
      <c r="P1883">
        <v>-3.1596310000000002E-2</v>
      </c>
      <c r="Q1883">
        <v>5.853096E-2</v>
      </c>
      <c r="R1883">
        <v>-0.99778559999999905</v>
      </c>
      <c r="S1883">
        <v>2.5970460000000001E-2</v>
      </c>
      <c r="T1883">
        <v>-0.17574519999999999</v>
      </c>
      <c r="U1883">
        <v>-3.0181580000000001</v>
      </c>
      <c r="V1883">
        <v>-0.115559799999999</v>
      </c>
      <c r="W1883">
        <v>7.3208910000000002E-2</v>
      </c>
      <c r="X1883">
        <v>0.99059900000000001</v>
      </c>
      <c r="Y1883">
        <v>-0.15451909999999999</v>
      </c>
      <c r="Z1883">
        <v>5.6846309999999997E-2</v>
      </c>
      <c r="AA1883">
        <v>0.98635300000000004</v>
      </c>
      <c r="AB1883">
        <v>29</v>
      </c>
      <c r="AC1883">
        <v>0.202699999999993</v>
      </c>
      <c r="AD1883">
        <v>-1.117097501248</v>
      </c>
      <c r="AE1883">
        <v>-18.8978</v>
      </c>
      <c r="AF1883">
        <v>-2.9498264929012699</v>
      </c>
      <c r="AG1883">
        <v>-1.117097501248</v>
      </c>
      <c r="AH1883">
        <v>18.600636054440599</v>
      </c>
      <c r="AI1883">
        <v>93.394561323094393</v>
      </c>
      <c r="AJ1883">
        <v>99.011343749551102</v>
      </c>
      <c r="AK1883">
        <v>18.866187871302301</v>
      </c>
    </row>
    <row r="1884" spans="1:37" x14ac:dyDescent="0.2">
      <c r="A1884" t="str">
        <f>"20200111154101796"</f>
        <v>20200111154101796</v>
      </c>
      <c r="B1884" t="str">
        <f>"1578728461788441"</f>
        <v>1578728461788441</v>
      </c>
      <c r="C1884" t="s">
        <v>37</v>
      </c>
      <c r="D1884">
        <v>5.2460250000000004</v>
      </c>
      <c r="E1884">
        <v>0.48293000000000003</v>
      </c>
      <c r="F1884" t="s">
        <v>39</v>
      </c>
      <c r="G1884">
        <v>-492.06360000000001</v>
      </c>
      <c r="H1884" s="1">
        <v>-2.9736849999999998E-6</v>
      </c>
      <c r="I1884">
        <v>245.24090000000001</v>
      </c>
      <c r="J1884">
        <v>-492.31830000000002</v>
      </c>
      <c r="K1884">
        <v>1.116851</v>
      </c>
      <c r="L1884">
        <v>265.17099999999999</v>
      </c>
      <c r="M1884">
        <v>-0.1418692</v>
      </c>
      <c r="N1884">
        <v>0</v>
      </c>
      <c r="O1884">
        <v>-0.98975100000000005</v>
      </c>
      <c r="P1884">
        <v>-2.8249639999999999E-2</v>
      </c>
      <c r="Q1884">
        <v>5.9540759999999998E-2</v>
      </c>
      <c r="R1884">
        <v>-0.99782610000000005</v>
      </c>
      <c r="S1884">
        <v>3.4942630000000002E-2</v>
      </c>
      <c r="T1884">
        <v>-0.1676339</v>
      </c>
      <c r="U1884">
        <v>-3.0175779999999999</v>
      </c>
      <c r="V1884">
        <v>-0.114695699999999</v>
      </c>
      <c r="W1884">
        <v>7.4060109999999998E-2</v>
      </c>
      <c r="X1884">
        <v>0.99063619999999997</v>
      </c>
      <c r="Y1884">
        <v>-0.15332179999999901</v>
      </c>
      <c r="Z1884">
        <v>5.4295620000000003E-2</v>
      </c>
      <c r="AA1884">
        <v>0.98668349999999905</v>
      </c>
      <c r="AB1884">
        <v>29</v>
      </c>
      <c r="AC1884">
        <v>0.25470000000001303</v>
      </c>
      <c r="AD1884">
        <v>-1.1168539736849901</v>
      </c>
      <c r="AE1884">
        <v>-19.9300999999999</v>
      </c>
      <c r="AF1884">
        <v>-3.0703264894997599</v>
      </c>
      <c r="AG1884">
        <v>-1.1168539736849901</v>
      </c>
      <c r="AH1884">
        <v>19.6306858817853</v>
      </c>
      <c r="AI1884">
        <v>93.217205362589993</v>
      </c>
      <c r="AJ1884">
        <v>98.889296984932997</v>
      </c>
      <c r="AK1884">
        <v>19.900705910594802</v>
      </c>
    </row>
    <row r="1885" spans="1:37" x14ac:dyDescent="0.2">
      <c r="A1885" t="str">
        <f>"20200111154101811"</f>
        <v>20200111154101811</v>
      </c>
      <c r="B1885" t="str">
        <f>"1578728461798201"</f>
        <v>1578728461798201</v>
      </c>
      <c r="C1885" t="s">
        <v>37</v>
      </c>
      <c r="D1885">
        <v>5.2639490000000002</v>
      </c>
      <c r="E1885">
        <v>0.483292099999999</v>
      </c>
      <c r="F1885" t="s">
        <v>39</v>
      </c>
      <c r="G1885">
        <v>-492.02249999999998</v>
      </c>
      <c r="H1885" s="1">
        <v>-2.6702829999999998E-6</v>
      </c>
      <c r="I1885">
        <v>244.5592</v>
      </c>
      <c r="J1885">
        <v>-492.33859999999999</v>
      </c>
      <c r="K1885">
        <v>1.11664599999999</v>
      </c>
      <c r="L1885">
        <v>265.00069999999999</v>
      </c>
      <c r="M1885">
        <v>-0.13803180000000001</v>
      </c>
      <c r="N1885">
        <v>0</v>
      </c>
      <c r="O1885">
        <v>-0.99029730000000005</v>
      </c>
      <c r="P1885">
        <v>-2.539464E-2</v>
      </c>
      <c r="Q1885">
        <v>6.0469889999999998E-2</v>
      </c>
      <c r="R1885">
        <v>-0.99784729999999999</v>
      </c>
      <c r="S1885">
        <v>4.330444E-2</v>
      </c>
      <c r="T1885">
        <v>-0.16350499999999901</v>
      </c>
      <c r="U1885">
        <v>-3.0175169999999998</v>
      </c>
      <c r="V1885">
        <v>-0.11365069999999999</v>
      </c>
      <c r="W1885">
        <v>7.4849460000000007E-2</v>
      </c>
      <c r="X1885">
        <v>0.9906973</v>
      </c>
      <c r="Y1885">
        <v>-0.152226</v>
      </c>
      <c r="Z1885">
        <v>5.3010910000000001E-2</v>
      </c>
      <c r="AA1885">
        <v>0.98692299999999999</v>
      </c>
      <c r="AB1885">
        <v>29</v>
      </c>
      <c r="AC1885">
        <v>0.31610000000000499</v>
      </c>
      <c r="AD1885">
        <v>-1.1166486702830001</v>
      </c>
      <c r="AE1885">
        <v>-20.441499999999898</v>
      </c>
      <c r="AF1885">
        <v>-3.1256901935285399</v>
      </c>
      <c r="AG1885">
        <v>-1.1166486702830001</v>
      </c>
      <c r="AH1885">
        <v>20.1420507740728</v>
      </c>
      <c r="AI1885">
        <v>93.135698708292495</v>
      </c>
      <c r="AJ1885">
        <v>98.820933858838799</v>
      </c>
      <c r="AK1885">
        <v>20.413697676415499</v>
      </c>
    </row>
    <row r="1886" spans="1:37" x14ac:dyDescent="0.2">
      <c r="A1886" t="str">
        <f>"20200111154101829"</f>
        <v>20200111154101829</v>
      </c>
      <c r="B1886" t="str">
        <f>"1578728461817887"</f>
        <v>1578728461817887</v>
      </c>
      <c r="C1886" t="s">
        <v>37</v>
      </c>
      <c r="D1886">
        <v>5.265631</v>
      </c>
      <c r="E1886">
        <v>0.4841608</v>
      </c>
      <c r="F1886" t="s">
        <v>39</v>
      </c>
      <c r="G1886">
        <v>-491.99889999999999</v>
      </c>
      <c r="H1886" s="1">
        <v>-2.38654699999999E-6</v>
      </c>
      <c r="I1886">
        <v>243.91239999999999</v>
      </c>
      <c r="J1886">
        <v>-492.36619999999999</v>
      </c>
      <c r="K1886">
        <v>1.1163920000000001</v>
      </c>
      <c r="L1886">
        <v>264.76179999999999</v>
      </c>
      <c r="M1886">
        <v>-0.1328434</v>
      </c>
      <c r="N1886">
        <v>0</v>
      </c>
      <c r="O1886">
        <v>-0.99101119999999898</v>
      </c>
      <c r="P1886">
        <v>-2.2078560000000001E-2</v>
      </c>
      <c r="Q1886">
        <v>6.3169760000000005E-2</v>
      </c>
      <c r="R1886">
        <v>-0.99775859999999905</v>
      </c>
      <c r="S1886">
        <v>4.8614499999999998E-2</v>
      </c>
      <c r="T1886">
        <v>-0.1597779</v>
      </c>
      <c r="U1886">
        <v>-3.0174560000000001</v>
      </c>
      <c r="V1886">
        <v>-0.111709999999999</v>
      </c>
      <c r="W1886">
        <v>7.7372709999999997E-2</v>
      </c>
      <c r="X1886">
        <v>0.9907241</v>
      </c>
      <c r="Y1886">
        <v>-0.1487859</v>
      </c>
      <c r="Z1886">
        <v>5.187638E-2</v>
      </c>
      <c r="AA1886">
        <v>0.98750780000000005</v>
      </c>
      <c r="AB1886">
        <v>29</v>
      </c>
      <c r="AC1886">
        <v>0.36730000000000002</v>
      </c>
      <c r="AD1886">
        <v>-1.1163943865470001</v>
      </c>
      <c r="AE1886">
        <v>-20.849399999999999</v>
      </c>
      <c r="AF1886">
        <v>-3.12513708425272</v>
      </c>
      <c r="AG1886">
        <v>-1.1163943865470001</v>
      </c>
      <c r="AH1886">
        <v>20.556845845380199</v>
      </c>
      <c r="AI1886">
        <v>93.073304234527896</v>
      </c>
      <c r="AJ1886">
        <v>98.644155206361603</v>
      </c>
      <c r="AK1886">
        <v>20.822985600830901</v>
      </c>
    </row>
    <row r="1887" spans="1:37" x14ac:dyDescent="0.2">
      <c r="A1887" t="str">
        <f>"20200111154101850"</f>
        <v>20200111154101850</v>
      </c>
      <c r="B1887" t="str">
        <f>"1578728461838383"</f>
        <v>1578728461838383</v>
      </c>
      <c r="C1887" t="s">
        <v>37</v>
      </c>
      <c r="D1887">
        <v>5.2879389999999997</v>
      </c>
      <c r="E1887">
        <v>0.48472510000000002</v>
      </c>
      <c r="F1887" t="s">
        <v>39</v>
      </c>
      <c r="G1887">
        <v>-491.97750000000002</v>
      </c>
      <c r="H1887" s="1">
        <v>-1.748603E-6</v>
      </c>
      <c r="I1887">
        <v>242.43870000000001</v>
      </c>
      <c r="J1887">
        <v>-492.39599999999899</v>
      </c>
      <c r="K1887">
        <v>1.116139</v>
      </c>
      <c r="L1887">
        <v>264.49360000000001</v>
      </c>
      <c r="M1887">
        <v>-0.12730069999999999</v>
      </c>
      <c r="N1887">
        <v>0</v>
      </c>
      <c r="O1887">
        <v>-0.99174269999999998</v>
      </c>
      <c r="P1887">
        <v>-1.8422040000000001E-2</v>
      </c>
      <c r="Q1887">
        <v>6.6023070000000003E-2</v>
      </c>
      <c r="R1887">
        <v>-0.99764809999999904</v>
      </c>
      <c r="S1887">
        <v>5.2551269999999997E-2</v>
      </c>
      <c r="T1887">
        <v>-0.15090490000000001</v>
      </c>
      <c r="U1887">
        <v>-3.0174560000000001</v>
      </c>
      <c r="V1887">
        <v>-0.1097529</v>
      </c>
      <c r="W1887">
        <v>8.0046099999999995E-2</v>
      </c>
      <c r="X1887">
        <v>0.99073049999999996</v>
      </c>
      <c r="Y1887">
        <v>-0.14454620000000001</v>
      </c>
      <c r="Z1887">
        <v>4.907251E-2</v>
      </c>
      <c r="AA1887">
        <v>0.98828050000000001</v>
      </c>
      <c r="AB1887">
        <v>29</v>
      </c>
      <c r="AC1887">
        <v>0.41849999999993698</v>
      </c>
      <c r="AD1887">
        <v>-1.1161407486029999</v>
      </c>
      <c r="AE1887">
        <v>-22.0549</v>
      </c>
      <c r="AF1887">
        <v>-3.2148063452903801</v>
      </c>
      <c r="AG1887">
        <v>-1.1161407486029999</v>
      </c>
      <c r="AH1887">
        <v>21.766413846350599</v>
      </c>
      <c r="AI1887">
        <v>92.904000411343802</v>
      </c>
      <c r="AJ1887">
        <v>98.401602319676201</v>
      </c>
      <c r="AK1887">
        <v>22.030831163145301</v>
      </c>
    </row>
    <row r="1888" spans="1:37" x14ac:dyDescent="0.2">
      <c r="A1888" t="str">
        <f>"20200111154101867"</f>
        <v>20200111154101867</v>
      </c>
      <c r="B1888" t="str">
        <f>"1578728461857904"</f>
        <v>1578728461857904</v>
      </c>
      <c r="C1888" t="s">
        <v>37</v>
      </c>
      <c r="D1888">
        <v>5.3773619999999998</v>
      </c>
      <c r="E1888">
        <v>0.48503269999999998</v>
      </c>
      <c r="F1888" t="s">
        <v>39</v>
      </c>
      <c r="G1888">
        <v>-491.9314</v>
      </c>
      <c r="H1888" s="1">
        <v>-1.0278229999999999E-6</v>
      </c>
      <c r="I1888">
        <v>240.78710000000001</v>
      </c>
      <c r="J1888">
        <v>-492.42070000000001</v>
      </c>
      <c r="K1888">
        <v>1.1159289999999999</v>
      </c>
      <c r="L1888">
        <v>264.26249999999999</v>
      </c>
      <c r="M1888">
        <v>-0.1227231</v>
      </c>
      <c r="N1888">
        <v>0</v>
      </c>
      <c r="O1888">
        <v>-0.99232299999999996</v>
      </c>
      <c r="P1888">
        <v>-1.42972999999999E-2</v>
      </c>
      <c r="Q1888">
        <v>6.7561369999999996E-2</v>
      </c>
      <c r="R1888">
        <v>-0.99761270000000002</v>
      </c>
      <c r="S1888">
        <v>5.9143069999999999E-2</v>
      </c>
      <c r="T1888">
        <v>-0.14207239999999999</v>
      </c>
      <c r="U1888">
        <v>-3.0175779999999999</v>
      </c>
      <c r="V1888">
        <v>-0.1092356</v>
      </c>
      <c r="W1888">
        <v>8.1429180000000004E-2</v>
      </c>
      <c r="X1888">
        <v>0.99067499999999997</v>
      </c>
      <c r="Y1888">
        <v>-0.14213970000000001</v>
      </c>
      <c r="Z1888">
        <v>4.6252910000000001E-2</v>
      </c>
      <c r="AA1888">
        <v>0.98876540000000002</v>
      </c>
      <c r="AB1888">
        <v>29</v>
      </c>
      <c r="AC1888">
        <v>0.489300000000014</v>
      </c>
      <c r="AD1888">
        <v>-1.115930027823</v>
      </c>
      <c r="AE1888">
        <v>-23.475399999999901</v>
      </c>
      <c r="AF1888">
        <v>-3.3593239152207999</v>
      </c>
      <c r="AG1888">
        <v>-1.115930027823</v>
      </c>
      <c r="AH1888">
        <v>23.1854820044347</v>
      </c>
      <c r="AI1888">
        <v>92.7271183071705</v>
      </c>
      <c r="AJ1888">
        <v>98.244164585846306</v>
      </c>
      <c r="AK1888">
        <v>23.454145321719501</v>
      </c>
    </row>
    <row r="1889" spans="1:37" x14ac:dyDescent="0.2">
      <c r="A1889" t="str">
        <f>"20200111154101884"</f>
        <v>20200111154101884</v>
      </c>
      <c r="B1889" t="str">
        <f>"1578728461878363"</f>
        <v>1578728461878363</v>
      </c>
      <c r="C1889" t="s">
        <v>37</v>
      </c>
      <c r="D1889">
        <v>5.3567159999999996</v>
      </c>
      <c r="E1889">
        <v>0.48555690000000001</v>
      </c>
      <c r="F1889" t="s">
        <v>39</v>
      </c>
      <c r="G1889">
        <v>-491.85950000000003</v>
      </c>
      <c r="H1889" s="1">
        <v>-5.9685499999999998E-7</v>
      </c>
      <c r="I1889">
        <v>239.8271</v>
      </c>
      <c r="J1889">
        <v>-492.44150000000002</v>
      </c>
      <c r="K1889">
        <v>1.115772</v>
      </c>
      <c r="L1889">
        <v>264.0616</v>
      </c>
      <c r="M1889">
        <v>-0.11886149999999999</v>
      </c>
      <c r="N1889">
        <v>0</v>
      </c>
      <c r="O1889">
        <v>-0.99279569999999995</v>
      </c>
      <c r="P1889">
        <v>-1.0989479999999999E-2</v>
      </c>
      <c r="Q1889">
        <v>6.964563E-2</v>
      </c>
      <c r="R1889">
        <v>-0.99751109999999898</v>
      </c>
      <c r="S1889">
        <v>6.9305420000000006E-2</v>
      </c>
      <c r="T1889">
        <v>-0.1378055</v>
      </c>
      <c r="U1889">
        <v>-3.0175169999999998</v>
      </c>
      <c r="V1889">
        <v>-0.108635</v>
      </c>
      <c r="W1889">
        <v>8.3389920000000006E-2</v>
      </c>
      <c r="X1889">
        <v>0.99057790000000001</v>
      </c>
      <c r="Y1889">
        <v>-0.14161860000000001</v>
      </c>
      <c r="Z1889">
        <v>4.4899830000000002E-2</v>
      </c>
      <c r="AA1889">
        <v>0.98890250000000002</v>
      </c>
      <c r="AB1889">
        <v>29</v>
      </c>
      <c r="AC1889">
        <v>0.58199999999999297</v>
      </c>
      <c r="AD1889">
        <v>-1.1157725968550001</v>
      </c>
      <c r="AE1889">
        <v>-24.234500000000001</v>
      </c>
      <c r="AF1889">
        <v>-3.45143960086985</v>
      </c>
      <c r="AG1889">
        <v>-1.1157725968550001</v>
      </c>
      <c r="AH1889">
        <v>23.942749884146799</v>
      </c>
      <c r="AI1889">
        <v>92.640890796590895</v>
      </c>
      <c r="AJ1889">
        <v>98.202899088901404</v>
      </c>
      <c r="AK1889">
        <v>24.2159587012606</v>
      </c>
    </row>
    <row r="1890" spans="1:37" x14ac:dyDescent="0.2">
      <c r="A1890" t="str">
        <f>"20200111154101896"</f>
        <v>20200111154101896</v>
      </c>
      <c r="B1890" t="str">
        <f>"1578728461888124"</f>
        <v>1578728461888124</v>
      </c>
      <c r="C1890" t="s">
        <v>37</v>
      </c>
      <c r="D1890">
        <v>5.3561959999999997</v>
      </c>
      <c r="E1890">
        <v>0.48576769999999903</v>
      </c>
      <c r="F1890" t="s">
        <v>39</v>
      </c>
      <c r="G1890">
        <v>-491.80540000000002</v>
      </c>
      <c r="H1890" s="1">
        <v>-4.2299680000000001E-6</v>
      </c>
      <c r="I1890">
        <v>238.47569999999999</v>
      </c>
      <c r="J1890">
        <v>-492.45960000000002</v>
      </c>
      <c r="K1890">
        <v>1.1156349999999999</v>
      </c>
      <c r="L1890">
        <v>263.87959999999998</v>
      </c>
      <c r="M1890">
        <v>-0.11548509999999999</v>
      </c>
      <c r="N1890">
        <v>0</v>
      </c>
      <c r="O1890">
        <v>-0.99319619999999997</v>
      </c>
      <c r="P1890">
        <v>-7.6687780000000002E-3</v>
      </c>
      <c r="Q1890">
        <v>6.9998320000000003E-2</v>
      </c>
      <c r="R1890">
        <v>-0.99751749999999995</v>
      </c>
      <c r="S1890">
        <v>7.5012209999999996E-2</v>
      </c>
      <c r="T1890">
        <v>-0.13158829999999999</v>
      </c>
      <c r="U1890">
        <v>-3.0174560000000001</v>
      </c>
      <c r="V1890">
        <v>-0.10853450000000001</v>
      </c>
      <c r="W1890">
        <v>8.3638420000000005E-2</v>
      </c>
      <c r="X1890">
        <v>0.990568</v>
      </c>
      <c r="Y1890">
        <v>-0.1401242</v>
      </c>
      <c r="Z1890">
        <v>4.2908639999999998E-2</v>
      </c>
      <c r="AA1890">
        <v>0.98920379999999997</v>
      </c>
      <c r="AB1890">
        <v>29</v>
      </c>
      <c r="AC1890">
        <v>0.654200000000002</v>
      </c>
      <c r="AD1890">
        <v>-1.115639229968</v>
      </c>
      <c r="AE1890">
        <v>-25.4039</v>
      </c>
      <c r="AF1890">
        <v>-3.5770290444791102</v>
      </c>
      <c r="AG1890">
        <v>-1.115639229968</v>
      </c>
      <c r="AH1890">
        <v>25.109935333204</v>
      </c>
      <c r="AI1890">
        <v>92.518595563576099</v>
      </c>
      <c r="AJ1890">
        <v>98.107505624403998</v>
      </c>
      <c r="AK1890">
        <v>25.387962504190401</v>
      </c>
    </row>
    <row r="1891" spans="1:37" x14ac:dyDescent="0.2">
      <c r="A1891" t="str">
        <f>"20200111154101910"</f>
        <v>20200111154101910</v>
      </c>
      <c r="B1891" t="str">
        <f>"1578728461897883"</f>
        <v>1578728461897883</v>
      </c>
      <c r="C1891" t="s">
        <v>37</v>
      </c>
      <c r="D1891">
        <v>5.3165680000000002</v>
      </c>
      <c r="E1891">
        <v>0.48601739999999999</v>
      </c>
      <c r="F1891" t="s">
        <v>39</v>
      </c>
      <c r="G1891">
        <v>-491.75510000000003</v>
      </c>
      <c r="H1891" s="1">
        <v>-4.1516140000000002E-6</v>
      </c>
      <c r="I1891">
        <v>238.27160000000001</v>
      </c>
      <c r="J1891">
        <v>-492.47550000000001</v>
      </c>
      <c r="K1891">
        <v>1.1155189999999999</v>
      </c>
      <c r="L1891">
        <v>263.71559999999999</v>
      </c>
      <c r="M1891">
        <v>-0.1124925</v>
      </c>
      <c r="N1891">
        <v>0</v>
      </c>
      <c r="O1891">
        <v>-0.99354169999999997</v>
      </c>
      <c r="P1891">
        <v>-4.6869809999999998E-3</v>
      </c>
      <c r="Q1891">
        <v>7.0133749999999995E-2</v>
      </c>
      <c r="R1891">
        <v>-0.99752689999999999</v>
      </c>
      <c r="S1891">
        <v>8.3007810000000001E-2</v>
      </c>
      <c r="T1891">
        <v>-0.13145209999999999</v>
      </c>
      <c r="U1891">
        <v>-3.0173030000000001</v>
      </c>
      <c r="V1891">
        <v>-0.10848679999999999</v>
      </c>
      <c r="W1891">
        <v>8.3684529999999993E-2</v>
      </c>
      <c r="X1891">
        <v>0.99056929999999999</v>
      </c>
      <c r="Y1891">
        <v>-0.139762</v>
      </c>
      <c r="Z1891">
        <v>4.2888490000000001E-2</v>
      </c>
      <c r="AA1891">
        <v>0.98925580000000002</v>
      </c>
      <c r="AB1891">
        <v>29</v>
      </c>
      <c r="AC1891">
        <v>0.72039999999998305</v>
      </c>
      <c r="AD1891">
        <v>-1.1155231516140001</v>
      </c>
      <c r="AE1891">
        <v>-25.4439999999999</v>
      </c>
      <c r="AF1891">
        <v>-3.5715413174988599</v>
      </c>
      <c r="AG1891">
        <v>-1.1155231516140001</v>
      </c>
      <c r="AH1891">
        <v>25.153102643977299</v>
      </c>
      <c r="AI1891">
        <v>92.514179419046897</v>
      </c>
      <c r="AJ1891">
        <v>98.081523219421996</v>
      </c>
      <c r="AK1891">
        <v>25.429881476382199</v>
      </c>
    </row>
    <row r="1892" spans="1:37" x14ac:dyDescent="0.2">
      <c r="A1892" t="str">
        <f>"20200111154101928"</f>
        <v>20200111154101928</v>
      </c>
      <c r="B1892" t="str">
        <f>"1578728461918379"</f>
        <v>1578728461918379</v>
      </c>
      <c r="C1892" t="s">
        <v>37</v>
      </c>
      <c r="D1892">
        <v>5.3089449999999996</v>
      </c>
      <c r="E1892">
        <v>0.48586059999999998</v>
      </c>
      <c r="F1892" t="s">
        <v>39</v>
      </c>
      <c r="G1892">
        <v>-491.70800000000003</v>
      </c>
      <c r="H1892" s="1">
        <v>-4.0989779999999999E-6</v>
      </c>
      <c r="I1892">
        <v>238.14150000000001</v>
      </c>
      <c r="J1892">
        <v>-492.49720000000002</v>
      </c>
      <c r="K1892">
        <v>1.1153709999999999</v>
      </c>
      <c r="L1892">
        <v>263.48360000000002</v>
      </c>
      <c r="M1892">
        <v>-0.1083422</v>
      </c>
      <c r="N1892">
        <v>0</v>
      </c>
      <c r="O1892">
        <v>-0.99400489999999997</v>
      </c>
      <c r="P1892">
        <v>-3.8765510000000002E-4</v>
      </c>
      <c r="Q1892">
        <v>6.9206100000000007E-2</v>
      </c>
      <c r="R1892">
        <v>-0.997602399999999</v>
      </c>
      <c r="S1892">
        <v>9.0545650000000005E-2</v>
      </c>
      <c r="T1892">
        <v>-0.13160620000000001</v>
      </c>
      <c r="U1892">
        <v>-3.0171509999999899</v>
      </c>
      <c r="V1892">
        <v>-0.10858469999999899</v>
      </c>
      <c r="W1892">
        <v>8.2639110000000002E-2</v>
      </c>
      <c r="X1892">
        <v>0.99064629999999998</v>
      </c>
      <c r="Y1892">
        <v>-0.138097</v>
      </c>
      <c r="Z1892">
        <v>4.2974529999999997E-2</v>
      </c>
      <c r="AA1892">
        <v>0.98948590000000003</v>
      </c>
      <c r="AB1892">
        <v>29</v>
      </c>
      <c r="AC1892">
        <v>0.78919999999999302</v>
      </c>
      <c r="AD1892">
        <v>-1.11537509897799</v>
      </c>
      <c r="AE1892">
        <v>-25.342099999999999</v>
      </c>
      <c r="AF1892">
        <v>-3.5236501223905399</v>
      </c>
      <c r="AG1892">
        <v>-1.11537509897799</v>
      </c>
      <c r="AH1892">
        <v>25.0588874401511</v>
      </c>
      <c r="AI1892">
        <v>92.523766291264593</v>
      </c>
      <c r="AJ1892">
        <v>98.004155047779903</v>
      </c>
      <c r="AK1892">
        <v>25.3299824621852</v>
      </c>
    </row>
    <row r="1893" spans="1:37" x14ac:dyDescent="0.2">
      <c r="A1893" t="str">
        <f>"20200111154101941"</f>
        <v>20200111154101941</v>
      </c>
      <c r="B1893" t="str">
        <f>"1578728461937900"</f>
        <v>1578728461937900</v>
      </c>
      <c r="C1893" t="s">
        <v>37</v>
      </c>
      <c r="D1893">
        <v>5.2494079999999999</v>
      </c>
      <c r="E1893">
        <v>0.48544540000000003</v>
      </c>
      <c r="F1893" t="s">
        <v>39</v>
      </c>
      <c r="G1893">
        <v>-491.6651</v>
      </c>
      <c r="H1893" s="1">
        <v>-4.5497190000000001E-6</v>
      </c>
      <c r="I1893">
        <v>239.48840000000001</v>
      </c>
      <c r="J1893">
        <v>-492.51299999999998</v>
      </c>
      <c r="K1893">
        <v>1.115273</v>
      </c>
      <c r="L1893">
        <v>263.31009999999998</v>
      </c>
      <c r="M1893">
        <v>-0.10528599999999901</v>
      </c>
      <c r="N1893">
        <v>0</v>
      </c>
      <c r="O1893">
        <v>-0.99433499999999997</v>
      </c>
      <c r="P1893">
        <v>2.9224139999999999E-3</v>
      </c>
      <c r="Q1893">
        <v>6.8749850000000001E-2</v>
      </c>
      <c r="R1893">
        <v>-0.99762969999999895</v>
      </c>
      <c r="S1893">
        <v>0.10461429999999999</v>
      </c>
      <c r="T1893">
        <v>-0.140237</v>
      </c>
      <c r="U1893">
        <v>-3.016937</v>
      </c>
      <c r="V1893">
        <v>-0.108805399999999</v>
      </c>
      <c r="W1893">
        <v>8.2098779999999996E-2</v>
      </c>
      <c r="X1893">
        <v>0.99066699999999996</v>
      </c>
      <c r="Y1893">
        <v>-0.13965900000000001</v>
      </c>
      <c r="Z1893">
        <v>4.5804499999999998E-2</v>
      </c>
      <c r="AA1893">
        <v>0.98913969999999996</v>
      </c>
      <c r="AB1893">
        <v>29</v>
      </c>
      <c r="AC1893">
        <v>0.84790000000003796</v>
      </c>
      <c r="AD1893">
        <v>-1.1152775497189999</v>
      </c>
      <c r="AE1893">
        <v>-23.8216999999999</v>
      </c>
      <c r="AF1893">
        <v>-3.3442237951644098</v>
      </c>
      <c r="AG1893">
        <v>-1.1152775497189999</v>
      </c>
      <c r="AH1893">
        <v>23.548438366349799</v>
      </c>
      <c r="AI1893">
        <v>92.684661916454203</v>
      </c>
      <c r="AJ1893">
        <v>98.082792266900398</v>
      </c>
      <c r="AK1893">
        <v>23.810851020046002</v>
      </c>
    </row>
    <row r="1894" spans="1:37" x14ac:dyDescent="0.2">
      <c r="A1894" t="str">
        <f>"20200111154101961"</f>
        <v>20200111154101961</v>
      </c>
      <c r="B1894" t="str">
        <f>"1578728461958395"</f>
        <v>1578728461958395</v>
      </c>
      <c r="C1894" t="s">
        <v>37</v>
      </c>
      <c r="D1894">
        <v>5.3859459999999997</v>
      </c>
      <c r="E1894">
        <v>0.45205139999999999</v>
      </c>
      <c r="F1894" t="s">
        <v>39</v>
      </c>
      <c r="G1894">
        <v>-491.60219999999998</v>
      </c>
      <c r="H1894" s="1">
        <v>-6.0967269999999897E-7</v>
      </c>
      <c r="I1894">
        <v>240.01650000000001</v>
      </c>
      <c r="J1894">
        <v>-492.53440000000001</v>
      </c>
      <c r="K1894">
        <v>1.11517</v>
      </c>
      <c r="L1894">
        <v>263.06290000000001</v>
      </c>
      <c r="M1894">
        <v>-0.1009958</v>
      </c>
      <c r="N1894">
        <v>0</v>
      </c>
      <c r="O1894">
        <v>-0.9947819</v>
      </c>
      <c r="P1894">
        <v>8.2308369999999995E-3</v>
      </c>
      <c r="Q1894">
        <v>6.79955E-2</v>
      </c>
      <c r="R1894">
        <v>-0.99765190000000004</v>
      </c>
      <c r="S1894">
        <v>0.1179504</v>
      </c>
      <c r="T1894">
        <v>-0.1444365</v>
      </c>
      <c r="U1894">
        <v>-3.0166930000000001</v>
      </c>
      <c r="V1894">
        <v>-0.1097793</v>
      </c>
      <c r="W1894">
        <v>8.1225290000000006E-2</v>
      </c>
      <c r="X1894">
        <v>0.99063159999999895</v>
      </c>
      <c r="Y1894">
        <v>-0.1397545</v>
      </c>
      <c r="Z1894">
        <v>4.7204599999999999E-2</v>
      </c>
      <c r="AA1894">
        <v>0.9890603</v>
      </c>
      <c r="AB1894">
        <v>29</v>
      </c>
      <c r="AC1894">
        <v>0.93220000000002201</v>
      </c>
      <c r="AD1894">
        <v>-1.1151706096727001</v>
      </c>
      <c r="AE1894">
        <v>-23.046399999999998</v>
      </c>
      <c r="AF1894">
        <v>-3.2476734956438098</v>
      </c>
      <c r="AG1894">
        <v>-1.1151706096727001</v>
      </c>
      <c r="AH1894">
        <v>22.7811248551854</v>
      </c>
      <c r="AI1894">
        <v>92.774471331678896</v>
      </c>
      <c r="AJ1894">
        <v>98.1134080986306</v>
      </c>
      <c r="AK1894">
        <v>23.038459980878301</v>
      </c>
    </row>
    <row r="1895" spans="1:37" x14ac:dyDescent="0.2">
      <c r="A1895" t="str">
        <f>"20200111154101983"</f>
        <v>20200111154101983</v>
      </c>
      <c r="B1895" t="str">
        <f>"1578728461977916"</f>
        <v>1578728461977916</v>
      </c>
      <c r="C1895" t="s">
        <v>37</v>
      </c>
      <c r="D1895">
        <v>5.2626390000000001</v>
      </c>
      <c r="E1895">
        <v>0.45176119999999997</v>
      </c>
      <c r="F1895" t="s">
        <v>39</v>
      </c>
      <c r="G1895">
        <v>-490.40100000000001</v>
      </c>
      <c r="H1895" s="1">
        <v>-3.26463399999999E-6</v>
      </c>
      <c r="I1895">
        <v>246.9503</v>
      </c>
      <c r="J1895">
        <v>-492.5582</v>
      </c>
      <c r="K1895">
        <v>1.1150789999999999</v>
      </c>
      <c r="L1895">
        <v>262.77499999999998</v>
      </c>
      <c r="M1895">
        <v>-9.6044640000000001E-2</v>
      </c>
      <c r="N1895">
        <v>0</v>
      </c>
      <c r="O1895">
        <v>-0.9952742</v>
      </c>
      <c r="P1895">
        <v>1.45855999999999E-2</v>
      </c>
      <c r="Q1895">
        <v>6.8056099999999994E-2</v>
      </c>
      <c r="R1895">
        <v>-0.99757499999999999</v>
      </c>
      <c r="S1895">
        <v>0.39959719999999999</v>
      </c>
      <c r="T1895">
        <v>-0.20887849999999999</v>
      </c>
      <c r="U1895">
        <v>-3.0179749999999999</v>
      </c>
      <c r="V1895">
        <v>-0.11114349999999899</v>
      </c>
      <c r="W1895">
        <v>8.1153999999999907E-2</v>
      </c>
      <c r="X1895">
        <v>0.99048530000000001</v>
      </c>
      <c r="Y1895">
        <v>-0.225573999999999</v>
      </c>
      <c r="Z1895">
        <v>6.7383819999999997E-2</v>
      </c>
      <c r="AA1895">
        <v>0.97189289999999995</v>
      </c>
      <c r="AB1895">
        <v>29</v>
      </c>
      <c r="AC1895">
        <v>2.15719999999998</v>
      </c>
      <c r="AD1895">
        <v>-1.115082264634</v>
      </c>
      <c r="AE1895">
        <v>-15.824699999999901</v>
      </c>
      <c r="AF1895">
        <v>-3.64946846273812</v>
      </c>
      <c r="AG1895">
        <v>-1.115082264634</v>
      </c>
      <c r="AH1895">
        <v>15.4689130567726</v>
      </c>
      <c r="AI1895">
        <v>94.013254849452196</v>
      </c>
      <c r="AJ1895">
        <v>103.274643483088</v>
      </c>
      <c r="AK1895">
        <v>15.932648859352</v>
      </c>
    </row>
    <row r="1896" spans="1:37" x14ac:dyDescent="0.2">
      <c r="A1896" t="str">
        <f>"20200111154101996"</f>
        <v>20200111154101996</v>
      </c>
      <c r="B1896" t="str">
        <f>"1578728461987676"</f>
        <v>1578728461987676</v>
      </c>
      <c r="C1896" t="s">
        <v>37</v>
      </c>
      <c r="D1896">
        <v>5.2540969999999998</v>
      </c>
      <c r="E1896">
        <v>0.45176919999999998</v>
      </c>
      <c r="F1896" t="s">
        <v>39</v>
      </c>
      <c r="G1896">
        <v>-490.26740000000001</v>
      </c>
      <c r="H1896" s="1">
        <v>-2.9836689999999899E-6</v>
      </c>
      <c r="I1896">
        <v>246.3783</v>
      </c>
      <c r="J1896">
        <v>-492.57159999999999</v>
      </c>
      <c r="K1896">
        <v>1.115043</v>
      </c>
      <c r="L1896">
        <v>262.60340000000002</v>
      </c>
      <c r="M1896">
        <v>-9.3107029999999993E-2</v>
      </c>
      <c r="N1896">
        <v>0</v>
      </c>
      <c r="O1896">
        <v>-0.9955543</v>
      </c>
      <c r="P1896">
        <v>1.8453899999999999E-2</v>
      </c>
      <c r="Q1896">
        <v>6.8208459999999999E-2</v>
      </c>
      <c r="R1896">
        <v>-0.99750049999999901</v>
      </c>
      <c r="S1896">
        <v>0.42126459999999999</v>
      </c>
      <c r="T1896">
        <v>-0.20505109999999999</v>
      </c>
      <c r="U1896">
        <v>-3.0151669999999999</v>
      </c>
      <c r="V1896">
        <v>-0.1120548</v>
      </c>
      <c r="W1896">
        <v>8.1232410000000005E-2</v>
      </c>
      <c r="X1896">
        <v>0.99037619999999904</v>
      </c>
      <c r="Y1896">
        <v>-0.2296832</v>
      </c>
      <c r="Z1896">
        <v>6.6179630000000003E-2</v>
      </c>
      <c r="AA1896">
        <v>0.97101280000000001</v>
      </c>
      <c r="AB1896">
        <v>29</v>
      </c>
      <c r="AC1896">
        <v>2.3041999999999798</v>
      </c>
      <c r="AD1896">
        <v>-1.1150459836690001</v>
      </c>
      <c r="AE1896">
        <v>-16.225100000000001</v>
      </c>
      <c r="AF1896">
        <v>-3.7874784485118802</v>
      </c>
      <c r="AG1896">
        <v>-1.1150459836690001</v>
      </c>
      <c r="AH1896">
        <v>15.8665913709858</v>
      </c>
      <c r="AI1896">
        <v>93.910416812236207</v>
      </c>
      <c r="AJ1896">
        <v>103.42570518755799</v>
      </c>
      <c r="AK1896">
        <v>16.350444711917699</v>
      </c>
    </row>
    <row r="1897" spans="1:37" x14ac:dyDescent="0.2">
      <c r="A1897" t="str">
        <f>"20200111154102009"</f>
        <v>20200111154102009</v>
      </c>
      <c r="B1897" t="str">
        <f>"1578728461998412"</f>
        <v>1578728461998412</v>
      </c>
      <c r="C1897" t="s">
        <v>37</v>
      </c>
      <c r="D1897">
        <v>5.2517180000000003</v>
      </c>
      <c r="E1897">
        <v>0.4521135</v>
      </c>
      <c r="F1897" t="s">
        <v>39</v>
      </c>
      <c r="G1897">
        <v>-490.17410000000001</v>
      </c>
      <c r="H1897" s="1">
        <v>-2.7570399999999999E-6</v>
      </c>
      <c r="I1897">
        <v>245.90790000000001</v>
      </c>
      <c r="J1897">
        <v>-492.58339999999998</v>
      </c>
      <c r="K1897">
        <v>1.115011</v>
      </c>
      <c r="L1897">
        <v>262.44810000000001</v>
      </c>
      <c r="M1897">
        <v>-9.0447949999999999E-2</v>
      </c>
      <c r="N1897">
        <v>0</v>
      </c>
      <c r="O1897">
        <v>-0.99580029999999997</v>
      </c>
      <c r="P1897">
        <v>2.219612E-2</v>
      </c>
      <c r="Q1897">
        <v>6.8353800000000006E-2</v>
      </c>
      <c r="R1897">
        <v>-0.99741409999999997</v>
      </c>
      <c r="S1897">
        <v>0.4327087</v>
      </c>
      <c r="T1897">
        <v>-0.20124539999999999</v>
      </c>
      <c r="U1897">
        <v>-3.013245</v>
      </c>
      <c r="V1897">
        <v>-0.11312169999999901</v>
      </c>
      <c r="W1897">
        <v>8.1310830000000001E-2</v>
      </c>
      <c r="X1897">
        <v>0.99024840000000003</v>
      </c>
      <c r="Y1897">
        <v>-0.23079549999999999</v>
      </c>
      <c r="Z1897">
        <v>6.4996200000000004E-2</v>
      </c>
      <c r="AA1897">
        <v>0.97082900000000005</v>
      </c>
      <c r="AB1897">
        <v>29</v>
      </c>
      <c r="AC1897">
        <v>2.4092999999999698</v>
      </c>
      <c r="AD1897">
        <v>-1.1150137570400001</v>
      </c>
      <c r="AE1897">
        <v>-16.540199999999999</v>
      </c>
      <c r="AF1897">
        <v>-3.8783415961028398</v>
      </c>
      <c r="AG1897">
        <v>-1.1150137570400001</v>
      </c>
      <c r="AH1897">
        <v>16.182441014505802</v>
      </c>
      <c r="AI1897">
        <v>93.833385984672603</v>
      </c>
      <c r="AJ1897">
        <v>103.47750573696101</v>
      </c>
      <c r="AK1897">
        <v>16.678015061823402</v>
      </c>
    </row>
    <row r="1898" spans="1:37" x14ac:dyDescent="0.2">
      <c r="A1898" t="str">
        <f>"20200111154102028"</f>
        <v>20200111154102028</v>
      </c>
      <c r="B1898" t="str">
        <f>"1578728462017931"</f>
        <v>1578728462017931</v>
      </c>
      <c r="C1898" t="s">
        <v>37</v>
      </c>
      <c r="D1898">
        <v>5.2548969999999997</v>
      </c>
      <c r="E1898">
        <v>0.45295449999999998</v>
      </c>
      <c r="F1898" t="s">
        <v>39</v>
      </c>
      <c r="G1898">
        <v>-490.13479999999998</v>
      </c>
      <c r="H1898" s="1">
        <v>-2.6696050000000002E-6</v>
      </c>
      <c r="I1898">
        <v>245.72839999999999</v>
      </c>
      <c r="J1898">
        <v>-492.60160000000002</v>
      </c>
      <c r="K1898">
        <v>1.1149770000000001</v>
      </c>
      <c r="L1898">
        <v>262.19630000000001</v>
      </c>
      <c r="M1898">
        <v>-8.6134559999999999E-2</v>
      </c>
      <c r="N1898">
        <v>0</v>
      </c>
      <c r="O1898">
        <v>-0.99618390000000001</v>
      </c>
      <c r="P1898">
        <v>2.8458520000000001E-2</v>
      </c>
      <c r="Q1898">
        <v>6.836979E-2</v>
      </c>
      <c r="R1898">
        <v>-0.99725409999999903</v>
      </c>
      <c r="S1898">
        <v>0.44107059999999998</v>
      </c>
      <c r="T1898">
        <v>-0.20084749999999901</v>
      </c>
      <c r="U1898">
        <v>-3.0117189999999998</v>
      </c>
      <c r="V1898">
        <v>-0.1150461</v>
      </c>
      <c r="W1898">
        <v>8.1222440000000007E-2</v>
      </c>
      <c r="X1898">
        <v>0.99003399999999997</v>
      </c>
      <c r="Y1898">
        <v>-0.22929150000000001</v>
      </c>
      <c r="Z1898">
        <v>6.4937659999999994E-2</v>
      </c>
      <c r="AA1898">
        <v>0.97118919999999997</v>
      </c>
      <c r="AB1898">
        <v>29</v>
      </c>
      <c r="AC1898">
        <v>2.4668000000000299</v>
      </c>
      <c r="AD1898">
        <v>-1.1149796696050001</v>
      </c>
      <c r="AE1898">
        <v>-16.4679</v>
      </c>
      <c r="AF1898">
        <v>-3.8589248366230899</v>
      </c>
      <c r="AG1898">
        <v>-1.1149796696050001</v>
      </c>
      <c r="AH1898">
        <v>16.121904184440101</v>
      </c>
      <c r="AI1898">
        <v>93.847884249819998</v>
      </c>
      <c r="AJ1898">
        <v>103.461008508137</v>
      </c>
      <c r="AK1898">
        <v>16.6147607593551</v>
      </c>
    </row>
    <row r="1899" spans="1:37" x14ac:dyDescent="0.2">
      <c r="A1899" t="str">
        <f>"20200111154102042"</f>
        <v>20200111154102042</v>
      </c>
      <c r="B1899" t="str">
        <f>"1578728462038428"</f>
        <v>1578728462038428</v>
      </c>
      <c r="C1899" t="s">
        <v>37</v>
      </c>
      <c r="D1899">
        <v>5.2402259999999998</v>
      </c>
      <c r="E1899">
        <v>0.45418940000000002</v>
      </c>
      <c r="F1899" t="s">
        <v>39</v>
      </c>
      <c r="G1899">
        <v>-490.11070000000001</v>
      </c>
      <c r="H1899" s="1">
        <v>-2.6329719999999899E-6</v>
      </c>
      <c r="I1899">
        <v>245.65799999999999</v>
      </c>
      <c r="J1899">
        <v>-492.61349999999999</v>
      </c>
      <c r="K1899">
        <v>1.1149610000000001</v>
      </c>
      <c r="L1899">
        <v>262.02429999999998</v>
      </c>
      <c r="M1899">
        <v>-8.3183409999999999E-2</v>
      </c>
      <c r="N1899">
        <v>0</v>
      </c>
      <c r="O1899">
        <v>-0.99643549999999903</v>
      </c>
      <c r="P1899">
        <v>3.2017190000000001E-2</v>
      </c>
      <c r="Q1899">
        <v>6.8046850000000006E-2</v>
      </c>
      <c r="R1899">
        <v>-0.99716830000000001</v>
      </c>
      <c r="S1899">
        <v>0.45324709999999901</v>
      </c>
      <c r="T1899">
        <v>-0.20288129999999999</v>
      </c>
      <c r="U1899">
        <v>-3.0093079999999999</v>
      </c>
      <c r="V1899">
        <v>-0.1156421</v>
      </c>
      <c r="W1899">
        <v>8.0841280000000001E-2</v>
      </c>
      <c r="X1899">
        <v>0.98999579999999998</v>
      </c>
      <c r="Y1899">
        <v>-0.23035789999999901</v>
      </c>
      <c r="Z1899">
        <v>6.5641530000000003E-2</v>
      </c>
      <c r="AA1899">
        <v>0.97088949999999996</v>
      </c>
      <c r="AB1899">
        <v>29</v>
      </c>
      <c r="AC1899">
        <v>2.5027999999999802</v>
      </c>
      <c r="AD1899">
        <v>-1.1149636329720001</v>
      </c>
      <c r="AE1899">
        <v>-16.366299999999899</v>
      </c>
      <c r="AF1899">
        <v>-3.8382562150620201</v>
      </c>
      <c r="AG1899">
        <v>-1.1149636329720001</v>
      </c>
      <c r="AH1899">
        <v>16.028664834531099</v>
      </c>
      <c r="AI1899">
        <v>93.870054331684003</v>
      </c>
      <c r="AJ1899">
        <v>103.466583680583</v>
      </c>
      <c r="AK1899">
        <v>16.519487009379201</v>
      </c>
    </row>
    <row r="1900" spans="1:37" x14ac:dyDescent="0.2">
      <c r="A1900" t="str">
        <f>"20200111154102055"</f>
        <v>20200111154102055</v>
      </c>
      <c r="B1900" t="str">
        <f>"1578728462048188"</f>
        <v>1578728462048188</v>
      </c>
      <c r="C1900" t="s">
        <v>37</v>
      </c>
      <c r="D1900">
        <v>5.2265470000000001</v>
      </c>
      <c r="E1900">
        <v>0.45478980000000002</v>
      </c>
      <c r="F1900" t="s">
        <v>39</v>
      </c>
      <c r="G1900">
        <v>-490.13459999999998</v>
      </c>
      <c r="H1900" s="1">
        <v>-2.6136880000000002E-6</v>
      </c>
      <c r="I1900">
        <v>245.59819999999999</v>
      </c>
      <c r="J1900">
        <v>-492.62479999999999</v>
      </c>
      <c r="K1900">
        <v>1.114943</v>
      </c>
      <c r="L1900">
        <v>261.85180000000003</v>
      </c>
      <c r="M1900">
        <v>-8.0217849999999993E-2</v>
      </c>
      <c r="N1900">
        <v>0</v>
      </c>
      <c r="O1900">
        <v>-0.99667939999999999</v>
      </c>
      <c r="P1900">
        <v>3.5281170000000001E-2</v>
      </c>
      <c r="Q1900">
        <v>6.7663749999999995E-2</v>
      </c>
      <c r="R1900">
        <v>-0.99708430000000003</v>
      </c>
      <c r="S1900">
        <v>0.4539185</v>
      </c>
      <c r="T1900">
        <v>-0.20416709999999999</v>
      </c>
      <c r="U1900">
        <v>-3.0078740000000002</v>
      </c>
      <c r="V1900">
        <v>-0.115933199999999</v>
      </c>
      <c r="W1900">
        <v>8.0408289999999993E-2</v>
      </c>
      <c r="X1900">
        <v>0.98999699999999902</v>
      </c>
      <c r="Y1900">
        <v>-0.22773689999999999</v>
      </c>
      <c r="Z1900">
        <v>6.6130990000000001E-2</v>
      </c>
      <c r="AA1900">
        <v>0.97147439999999996</v>
      </c>
      <c r="AB1900">
        <v>29</v>
      </c>
      <c r="AC1900">
        <v>2.49020000000001</v>
      </c>
      <c r="AD1900">
        <v>-1.114945613688</v>
      </c>
      <c r="AE1900">
        <v>-16.253599999999999</v>
      </c>
      <c r="AF1900">
        <v>-3.76880209567241</v>
      </c>
      <c r="AG1900">
        <v>-1.114945613688</v>
      </c>
      <c r="AH1900">
        <v>15.928200580130801</v>
      </c>
      <c r="AI1900">
        <v>93.896819814151598</v>
      </c>
      <c r="AJ1900">
        <v>103.312042397224</v>
      </c>
      <c r="AK1900">
        <v>16.405930228996599</v>
      </c>
    </row>
    <row r="1901" spans="1:37" x14ac:dyDescent="0.2">
      <c r="A1901" t="str">
        <f>"20200111154102073"</f>
        <v>20200111154102073</v>
      </c>
      <c r="B1901" t="str">
        <f>"1578728462067707"</f>
        <v>1578728462067707</v>
      </c>
      <c r="C1901" t="s">
        <v>37</v>
      </c>
      <c r="D1901">
        <v>5.3494950000000001</v>
      </c>
      <c r="E1901">
        <v>0.45539160000000001</v>
      </c>
      <c r="F1901" t="s">
        <v>39</v>
      </c>
      <c r="G1901">
        <v>-490.13350000000003</v>
      </c>
      <c r="H1901" s="1">
        <v>-2.580795E-6</v>
      </c>
      <c r="I1901">
        <v>245.5222</v>
      </c>
      <c r="J1901">
        <v>-492.63920000000002</v>
      </c>
      <c r="K1901">
        <v>1.1149180000000001</v>
      </c>
      <c r="L1901">
        <v>261.61989999999997</v>
      </c>
      <c r="M1901">
        <v>-7.6219029999999993E-2</v>
      </c>
      <c r="N1901">
        <v>0</v>
      </c>
      <c r="O1901">
        <v>-0.99699400000000005</v>
      </c>
      <c r="P1901">
        <v>3.9432710000000003E-2</v>
      </c>
      <c r="Q1901">
        <v>6.6173220000000005E-2</v>
      </c>
      <c r="R1901">
        <v>-0.9970289</v>
      </c>
      <c r="S1901">
        <v>0.45867920000000001</v>
      </c>
      <c r="T1901">
        <v>-0.20527590000000001</v>
      </c>
      <c r="U1901">
        <v>-3.0065</v>
      </c>
      <c r="V1901">
        <v>-0.1160746</v>
      </c>
      <c r="W1901">
        <v>7.8859209999999999E-2</v>
      </c>
      <c r="X1901">
        <v>0.99010499999999901</v>
      </c>
      <c r="Y1901">
        <v>-0.2253955</v>
      </c>
      <c r="Z1901">
        <v>6.6560949999999994E-2</v>
      </c>
      <c r="AA1901">
        <v>0.97199099999999905</v>
      </c>
      <c r="AB1901">
        <v>29</v>
      </c>
      <c r="AC1901">
        <v>2.5056999999999898</v>
      </c>
      <c r="AD1901">
        <v>-1.114920580795</v>
      </c>
      <c r="AE1901">
        <v>-16.0976999999999</v>
      </c>
      <c r="AF1901">
        <v>-3.7081129761098302</v>
      </c>
      <c r="AG1901">
        <v>-1.114920580795</v>
      </c>
      <c r="AH1901">
        <v>15.7859316119875</v>
      </c>
      <c r="AI1901">
        <v>93.933240785292099</v>
      </c>
      <c r="AJ1901">
        <v>103.21911323348399</v>
      </c>
      <c r="AK1901">
        <v>16.2538852771705</v>
      </c>
    </row>
    <row r="1902" spans="1:37" x14ac:dyDescent="0.2">
      <c r="A1902" t="str">
        <f>"20200111154102086"</f>
        <v>20200111154102086</v>
      </c>
      <c r="B1902" t="str">
        <f>"1578728462078444"</f>
        <v>1578728462078444</v>
      </c>
      <c r="C1902" t="s">
        <v>37</v>
      </c>
      <c r="D1902">
        <v>5.2284959999999998</v>
      </c>
      <c r="E1902">
        <v>0.45645760000000002</v>
      </c>
      <c r="F1902" t="s">
        <v>39</v>
      </c>
      <c r="G1902">
        <v>-490.15750000000003</v>
      </c>
      <c r="H1902" s="1">
        <v>-2.63163299999999E-6</v>
      </c>
      <c r="I1902">
        <v>245.6258</v>
      </c>
      <c r="J1902">
        <v>-492.64909999999998</v>
      </c>
      <c r="K1902">
        <v>1.1149069999999901</v>
      </c>
      <c r="L1902">
        <v>261.45299999999997</v>
      </c>
      <c r="M1902">
        <v>-7.3336079999999998E-2</v>
      </c>
      <c r="N1902">
        <v>0</v>
      </c>
      <c r="O1902">
        <v>-0.99721079999999995</v>
      </c>
      <c r="P1902">
        <v>4.2221210000000002E-2</v>
      </c>
      <c r="Q1902">
        <v>6.5375069999999993E-2</v>
      </c>
      <c r="R1902">
        <v>-0.99696709999999999</v>
      </c>
      <c r="S1902">
        <v>0.4661865</v>
      </c>
      <c r="T1902">
        <v>-0.20943390000000001</v>
      </c>
      <c r="U1902">
        <v>-3.0044249999999999</v>
      </c>
      <c r="V1902">
        <v>-0.1159755</v>
      </c>
      <c r="W1902">
        <v>7.8023510000000004E-2</v>
      </c>
      <c r="X1902">
        <v>0.99018280000000003</v>
      </c>
      <c r="Y1902">
        <v>-0.22503699999999999</v>
      </c>
      <c r="Z1902">
        <v>6.7961510000000003E-2</v>
      </c>
      <c r="AA1902">
        <v>0.97197719999999899</v>
      </c>
      <c r="AB1902">
        <v>29</v>
      </c>
      <c r="AC1902">
        <v>2.4915999999999401</v>
      </c>
      <c r="AD1902">
        <v>-1.1149096316329901</v>
      </c>
      <c r="AE1902">
        <v>-15.8271999999999</v>
      </c>
      <c r="AF1902">
        <v>-3.6281380065772999</v>
      </c>
      <c r="AG1902">
        <v>-1.1149096316329901</v>
      </c>
      <c r="AH1902">
        <v>15.5266493140218</v>
      </c>
      <c r="AI1902">
        <v>93.999759545405595</v>
      </c>
      <c r="AJ1902">
        <v>103.152405029028</v>
      </c>
      <c r="AK1902">
        <v>15.983843336384799</v>
      </c>
    </row>
    <row r="1903" spans="1:37" x14ac:dyDescent="0.2">
      <c r="A1903" t="str">
        <f>"20200111154102099"</f>
        <v>20200111154102099</v>
      </c>
      <c r="B1903" t="str">
        <f>"1578728462088203"</f>
        <v>1578728462088203</v>
      </c>
      <c r="C1903" t="s">
        <v>37</v>
      </c>
      <c r="D1903">
        <v>5.2237830000000001</v>
      </c>
      <c r="E1903">
        <v>0.45744299999999999</v>
      </c>
      <c r="F1903" t="s">
        <v>39</v>
      </c>
      <c r="G1903">
        <v>-490.16269999999997</v>
      </c>
      <c r="H1903" s="1">
        <v>-2.5593869999999999E-6</v>
      </c>
      <c r="I1903">
        <v>245.45419999999999</v>
      </c>
      <c r="J1903">
        <v>-492.65870000000001</v>
      </c>
      <c r="K1903">
        <v>1.1148940000000001</v>
      </c>
      <c r="L1903">
        <v>261.28100000000001</v>
      </c>
      <c r="M1903">
        <v>-7.0359069999999996E-2</v>
      </c>
      <c r="N1903">
        <v>0</v>
      </c>
      <c r="O1903">
        <v>-0.99742589999999998</v>
      </c>
      <c r="P1903">
        <v>4.464829E-2</v>
      </c>
      <c r="Q1903">
        <v>6.5054440000000005E-2</v>
      </c>
      <c r="R1903">
        <v>-0.99688259999999995</v>
      </c>
      <c r="S1903">
        <v>0.46670529999999999</v>
      </c>
      <c r="T1903">
        <v>-0.2092734</v>
      </c>
      <c r="U1903">
        <v>-3.0030519999999998</v>
      </c>
      <c r="V1903">
        <v>-0.11542669999999999</v>
      </c>
      <c r="W1903">
        <v>7.7672679999999994E-2</v>
      </c>
      <c r="X1903">
        <v>0.99027449999999995</v>
      </c>
      <c r="Y1903">
        <v>-0.22235920000000001</v>
      </c>
      <c r="Z1903">
        <v>6.7982849999999997E-2</v>
      </c>
      <c r="AA1903">
        <v>0.97259180000000001</v>
      </c>
      <c r="AB1903">
        <v>29</v>
      </c>
      <c r="AC1903">
        <v>2.4960000000000302</v>
      </c>
      <c r="AD1903">
        <v>-1.1148965593869999</v>
      </c>
      <c r="AE1903">
        <v>-15.8268</v>
      </c>
      <c r="AF1903">
        <v>-3.5861149233779601</v>
      </c>
      <c r="AG1903">
        <v>-1.1148965593869999</v>
      </c>
      <c r="AH1903">
        <v>15.5367095849007</v>
      </c>
      <c r="AI1903">
        <v>93.9996395674779</v>
      </c>
      <c r="AJ1903">
        <v>102.997139121657</v>
      </c>
      <c r="AK1903">
        <v>15.984134612400901</v>
      </c>
    </row>
    <row r="1904" spans="1:37" x14ac:dyDescent="0.2">
      <c r="A1904" t="str">
        <f>"20200111154102119"</f>
        <v>20200111154102119</v>
      </c>
      <c r="B1904" t="str">
        <f>"1578728462107723"</f>
        <v>1578728462107723</v>
      </c>
      <c r="C1904" t="s">
        <v>37</v>
      </c>
      <c r="D1904">
        <v>5.2601129999999996</v>
      </c>
      <c r="E1904">
        <v>0.45916809999999902</v>
      </c>
      <c r="F1904" t="s">
        <v>39</v>
      </c>
      <c r="G1904">
        <v>-490.16820000000001</v>
      </c>
      <c r="H1904" s="1">
        <v>-2.4640539999999998E-6</v>
      </c>
      <c r="I1904">
        <v>245.2286</v>
      </c>
      <c r="J1904">
        <v>-492.67149999999998</v>
      </c>
      <c r="K1904">
        <v>1.1148709999999999</v>
      </c>
      <c r="L1904">
        <v>261.03489999999999</v>
      </c>
      <c r="M1904">
        <v>-6.6092360000000003E-2</v>
      </c>
      <c r="N1904">
        <v>0</v>
      </c>
      <c r="O1904">
        <v>-0.99771829999999995</v>
      </c>
      <c r="P1904">
        <v>4.755881E-2</v>
      </c>
      <c r="Q1904">
        <v>6.5088969999999996E-2</v>
      </c>
      <c r="R1904">
        <v>-0.99674529999999995</v>
      </c>
      <c r="S1904">
        <v>0.46578979999999998</v>
      </c>
      <c r="T1904">
        <v>-0.20850869999999999</v>
      </c>
      <c r="U1904">
        <v>-3.0021360000000001</v>
      </c>
      <c r="V1904">
        <v>-0.1140799</v>
      </c>
      <c r="W1904">
        <v>7.7675040000000001E-2</v>
      </c>
      <c r="X1904">
        <v>0.99043040000000004</v>
      </c>
      <c r="Y1904">
        <v>-0.21794459999999999</v>
      </c>
      <c r="Z1904">
        <v>6.7822049999999995E-2</v>
      </c>
      <c r="AA1904">
        <v>0.97360170000000001</v>
      </c>
      <c r="AB1904">
        <v>29</v>
      </c>
      <c r="AC1904">
        <v>2.5032999999999599</v>
      </c>
      <c r="AD1904">
        <v>-1.1148734640539999</v>
      </c>
      <c r="AE1904">
        <v>-15.806299999999901</v>
      </c>
      <c r="AF1904">
        <v>-3.5254903810298401</v>
      </c>
      <c r="AG1904">
        <v>-1.1148734640539999</v>
      </c>
      <c r="AH1904">
        <v>15.5308931804837</v>
      </c>
      <c r="AI1904">
        <v>94.004362383999094</v>
      </c>
      <c r="AJ1904">
        <v>102.789328073891</v>
      </c>
      <c r="AK1904">
        <v>15.9649825634474</v>
      </c>
    </row>
    <row r="1905" spans="1:37" x14ac:dyDescent="0.2">
      <c r="A1905" t="str">
        <f>"20200111154102140"</f>
        <v>20200111154102140</v>
      </c>
      <c r="B1905" t="str">
        <f>"1578728462128220"</f>
        <v>1578728462128220</v>
      </c>
      <c r="C1905" t="s">
        <v>37</v>
      </c>
      <c r="D1905">
        <v>5.3442930000000004</v>
      </c>
      <c r="E1905">
        <v>0.46061220000000003</v>
      </c>
      <c r="F1905" t="s">
        <v>39</v>
      </c>
      <c r="G1905">
        <v>-490.17090000000002</v>
      </c>
      <c r="H1905" s="1">
        <v>-2.2638650000000001E-6</v>
      </c>
      <c r="I1905">
        <v>244.7603</v>
      </c>
      <c r="J1905">
        <v>-492.68450000000001</v>
      </c>
      <c r="K1905">
        <v>1.114851</v>
      </c>
      <c r="L1905">
        <v>260.76459999999997</v>
      </c>
      <c r="M1905">
        <v>-6.1402669999999999E-2</v>
      </c>
      <c r="N1905">
        <v>0</v>
      </c>
      <c r="O1905">
        <v>-0.99801839999999997</v>
      </c>
      <c r="P1905">
        <v>5.0167929999999999E-2</v>
      </c>
      <c r="Q1905">
        <v>6.5315739999999997E-2</v>
      </c>
      <c r="R1905">
        <v>-0.99660289999999996</v>
      </c>
      <c r="S1905">
        <v>0.46115109999999898</v>
      </c>
      <c r="T1905">
        <v>-0.2055949</v>
      </c>
      <c r="U1905">
        <v>-3.0012209999999899</v>
      </c>
      <c r="V1905">
        <v>-0.1120154</v>
      </c>
      <c r="W1905">
        <v>7.7877569999999993E-2</v>
      </c>
      <c r="X1905">
        <v>0.99065009999999998</v>
      </c>
      <c r="Y1905">
        <v>-0.211938299999999</v>
      </c>
      <c r="Z1905">
        <v>6.6982070000000005E-2</v>
      </c>
      <c r="AA1905">
        <v>0.97498490000000004</v>
      </c>
      <c r="AB1905">
        <v>29</v>
      </c>
      <c r="AC1905">
        <v>2.5135999999999901</v>
      </c>
      <c r="AD1905">
        <v>-1.1148532638649999</v>
      </c>
      <c r="AE1905">
        <v>-16.004299999999901</v>
      </c>
      <c r="AF1905">
        <v>-3.4751984433251399</v>
      </c>
      <c r="AG1905">
        <v>-1.1148532638649999</v>
      </c>
      <c r="AH1905">
        <v>15.7451754694443</v>
      </c>
      <c r="AI1905">
        <v>93.955245347554097</v>
      </c>
      <c r="AJ1905">
        <v>102.446494977322</v>
      </c>
      <c r="AK1905">
        <v>16.162625176128699</v>
      </c>
    </row>
    <row r="1906" spans="1:37" x14ac:dyDescent="0.2">
      <c r="A1906" t="str">
        <f>"20200111154102153"</f>
        <v>20200111154102153</v>
      </c>
      <c r="B1906" t="str">
        <f>"1578728462148100"</f>
        <v>1578728462148100</v>
      </c>
      <c r="C1906" t="s">
        <v>37</v>
      </c>
      <c r="D1906">
        <v>5.3164280000000002</v>
      </c>
      <c r="E1906">
        <v>0.46185369999999998</v>
      </c>
      <c r="F1906" t="s">
        <v>39</v>
      </c>
      <c r="G1906">
        <v>-490.15809999999999</v>
      </c>
      <c r="H1906" s="1">
        <v>-2.02660699999999E-6</v>
      </c>
      <c r="I1906">
        <v>244.21510000000001</v>
      </c>
      <c r="J1906">
        <v>-492.69199999999898</v>
      </c>
      <c r="K1906">
        <v>1.114843</v>
      </c>
      <c r="L1906">
        <v>260.59140000000002</v>
      </c>
      <c r="M1906">
        <v>-5.8398079999999998E-2</v>
      </c>
      <c r="N1906">
        <v>0</v>
      </c>
      <c r="O1906">
        <v>-0.99819930000000001</v>
      </c>
      <c r="P1906">
        <v>5.20756E-2</v>
      </c>
      <c r="Q1906">
        <v>6.5233479999999996E-2</v>
      </c>
      <c r="R1906">
        <v>-0.99651039999999902</v>
      </c>
      <c r="S1906">
        <v>0.45803829999999901</v>
      </c>
      <c r="T1906">
        <v>-0.20212330000000001</v>
      </c>
      <c r="U1906">
        <v>-3.0004270000000002</v>
      </c>
      <c r="V1906">
        <v>-0.11092689999999999</v>
      </c>
      <c r="W1906">
        <v>7.7781069999999994E-2</v>
      </c>
      <c r="X1906">
        <v>0.9907802</v>
      </c>
      <c r="Y1906">
        <v>-0.2080563</v>
      </c>
      <c r="Z1906">
        <v>6.5924410000000003E-2</v>
      </c>
      <c r="AA1906">
        <v>0.97589269999999995</v>
      </c>
      <c r="AB1906">
        <v>29</v>
      </c>
      <c r="AC1906">
        <v>2.5338999999999601</v>
      </c>
      <c r="AD1906">
        <v>-1.114845026607</v>
      </c>
      <c r="AE1906">
        <v>-16.376300000000001</v>
      </c>
      <c r="AF1906">
        <v>-3.4703022023776202</v>
      </c>
      <c r="AG1906">
        <v>-1.114845026607</v>
      </c>
      <c r="AH1906">
        <v>16.127363997507501</v>
      </c>
      <c r="AI1906">
        <v>93.866207702432405</v>
      </c>
      <c r="AJ1906">
        <v>102.143791766706</v>
      </c>
      <c r="AK1906">
        <v>16.534138813898998</v>
      </c>
    </row>
    <row r="1907" spans="1:37" x14ac:dyDescent="0.2">
      <c r="A1907" t="str">
        <f>"20200111154102175"</f>
        <v>20200111154102175</v>
      </c>
      <c r="B1907" t="str">
        <f>"1578728462167620"</f>
        <v>1578728462167620</v>
      </c>
      <c r="C1907" t="s">
        <v>37</v>
      </c>
      <c r="D1907">
        <v>5.299874</v>
      </c>
      <c r="E1907">
        <v>0.46244079999999899</v>
      </c>
      <c r="F1907" t="s">
        <v>39</v>
      </c>
      <c r="G1907">
        <v>-490.15449999999998</v>
      </c>
      <c r="H1907" s="1">
        <v>-1.8636529999999901E-6</v>
      </c>
      <c r="I1907">
        <v>243.83750000000001</v>
      </c>
      <c r="J1907">
        <v>-492.70299999999997</v>
      </c>
      <c r="K1907">
        <v>1.1148290000000001</v>
      </c>
      <c r="L1907">
        <v>260.31729999999999</v>
      </c>
      <c r="M1907">
        <v>-5.3644520000000001E-2</v>
      </c>
      <c r="N1907">
        <v>0</v>
      </c>
      <c r="O1907">
        <v>-0.99846639999999998</v>
      </c>
      <c r="P1907">
        <v>5.462591E-2</v>
      </c>
      <c r="Q1907">
        <v>6.4790669999999995E-2</v>
      </c>
      <c r="R1907">
        <v>-0.99640260000000003</v>
      </c>
      <c r="S1907">
        <v>0.45434570000000002</v>
      </c>
      <c r="T1907">
        <v>-0.1996146</v>
      </c>
      <c r="U1907">
        <v>-2.99981699999999</v>
      </c>
      <c r="V1907">
        <v>-0.1087384</v>
      </c>
      <c r="W1907">
        <v>7.7325630000000006E-2</v>
      </c>
      <c r="X1907">
        <v>0.99105840000000001</v>
      </c>
      <c r="Y1907">
        <v>-0.20225870000000001</v>
      </c>
      <c r="Z1907">
        <v>6.5195370000000002E-2</v>
      </c>
      <c r="AA1907">
        <v>0.97715969999999996</v>
      </c>
      <c r="AB1907">
        <v>29</v>
      </c>
      <c r="AC1907">
        <v>2.5485000000000402</v>
      </c>
      <c r="AD1907">
        <v>-1.114830863653</v>
      </c>
      <c r="AE1907">
        <v>-16.479799999999901</v>
      </c>
      <c r="AF1907">
        <v>-3.4137061426825199</v>
      </c>
      <c r="AG1907">
        <v>-1.114830863653</v>
      </c>
      <c r="AH1907">
        <v>16.2467270732133</v>
      </c>
      <c r="AI1907">
        <v>93.841784169193502</v>
      </c>
      <c r="AJ1907">
        <v>101.866174407188</v>
      </c>
      <c r="AK1907">
        <v>16.638881515132599</v>
      </c>
    </row>
    <row r="1908" spans="1:37" x14ac:dyDescent="0.2">
      <c r="A1908" t="str">
        <f>"20200111154102196"</f>
        <v>20200111154102196</v>
      </c>
      <c r="B1908" t="str">
        <f>"1578728462188119"</f>
        <v>1578728462188119</v>
      </c>
      <c r="C1908" t="s">
        <v>37</v>
      </c>
      <c r="D1908">
        <v>5.3355920000000001</v>
      </c>
      <c r="E1908">
        <v>0.46297739999999998</v>
      </c>
      <c r="F1908" t="s">
        <v>39</v>
      </c>
      <c r="G1908">
        <v>-490.17860000000002</v>
      </c>
      <c r="H1908" s="1">
        <v>-1.837063E-6</v>
      </c>
      <c r="I1908">
        <v>243.76060000000001</v>
      </c>
      <c r="J1908">
        <v>-492.71300000000002</v>
      </c>
      <c r="K1908">
        <v>1.1148020000000001</v>
      </c>
      <c r="L1908">
        <v>260.03379999999999</v>
      </c>
      <c r="M1908">
        <v>-4.8741609999999998E-2</v>
      </c>
      <c r="N1908">
        <v>0</v>
      </c>
      <c r="O1908">
        <v>-0.99871840000000001</v>
      </c>
      <c r="P1908">
        <v>5.8217669999999999E-2</v>
      </c>
      <c r="Q1908">
        <v>6.4139959999999996E-2</v>
      </c>
      <c r="R1908">
        <v>-0.99624159999999995</v>
      </c>
      <c r="S1908">
        <v>0.45724490000000001</v>
      </c>
      <c r="T1908">
        <v>-0.20193029999999901</v>
      </c>
      <c r="U1908">
        <v>-2.9989319999999999</v>
      </c>
      <c r="V1908">
        <v>-0.1074367</v>
      </c>
      <c r="W1908">
        <v>7.665719E-2</v>
      </c>
      <c r="X1908">
        <v>0.99125219999999903</v>
      </c>
      <c r="Y1908">
        <v>-0.1984071</v>
      </c>
      <c r="Z1908">
        <v>6.6014290000000003E-2</v>
      </c>
      <c r="AA1908">
        <v>0.97789400000000004</v>
      </c>
      <c r="AB1908">
        <v>29</v>
      </c>
      <c r="AC1908">
        <v>2.5344000000000002</v>
      </c>
      <c r="AD1908">
        <v>-1.114803837063</v>
      </c>
      <c r="AE1908">
        <v>-16.2731999999999</v>
      </c>
      <c r="AF1908">
        <v>-3.3094791707206399</v>
      </c>
      <c r="AG1908">
        <v>-1.114803837063</v>
      </c>
      <c r="AH1908">
        <v>16.056742295264101</v>
      </c>
      <c r="AI1908">
        <v>93.890105054825597</v>
      </c>
      <c r="AJ1908">
        <v>101.646228469509</v>
      </c>
      <c r="AK1908">
        <v>16.4321152963667</v>
      </c>
    </row>
    <row r="1909" spans="1:37" x14ac:dyDescent="0.2">
      <c r="A1909" t="str">
        <f>"20200111154102210"</f>
        <v>20200111154102210</v>
      </c>
      <c r="B1909" t="str">
        <f>"1578728462207636"</f>
        <v>1578728462207636</v>
      </c>
      <c r="C1909" t="s">
        <v>37</v>
      </c>
      <c r="D1909">
        <v>5.2787930000000003</v>
      </c>
      <c r="E1909">
        <v>0.46355629999999998</v>
      </c>
      <c r="F1909" t="s">
        <v>39</v>
      </c>
      <c r="G1909">
        <v>-490.19420000000002</v>
      </c>
      <c r="H1909" s="1">
        <v>-1.8410630000000001E-6</v>
      </c>
      <c r="I1909">
        <v>243.7602</v>
      </c>
      <c r="J1909">
        <v>-492.71839999999997</v>
      </c>
      <c r="K1909">
        <v>1.114781</v>
      </c>
      <c r="L1909">
        <v>259.85930000000002</v>
      </c>
      <c r="M1909">
        <v>-4.5735530000000003E-2</v>
      </c>
      <c r="N1909">
        <v>0</v>
      </c>
      <c r="O1909">
        <v>-0.99886090000000005</v>
      </c>
      <c r="P1909">
        <v>6.0811459999999998E-2</v>
      </c>
      <c r="Q1909">
        <v>6.3592990000000002E-2</v>
      </c>
      <c r="R1909">
        <v>-0.99612160000000005</v>
      </c>
      <c r="S1909">
        <v>0.46392820000000001</v>
      </c>
      <c r="T1909">
        <v>-0.205336299999999</v>
      </c>
      <c r="U1909">
        <v>-2.9974369999999899</v>
      </c>
      <c r="V1909">
        <v>-0.1070287</v>
      </c>
      <c r="W1909">
        <v>7.6098059999999995E-2</v>
      </c>
      <c r="X1909">
        <v>0.99133939999999998</v>
      </c>
      <c r="Y1909">
        <v>-0.19764849999999901</v>
      </c>
      <c r="Z1909">
        <v>6.7164080000000001E-2</v>
      </c>
      <c r="AA1909">
        <v>0.97796930000000004</v>
      </c>
      <c r="AB1909">
        <v>29</v>
      </c>
      <c r="AC1909">
        <v>2.5241999999999498</v>
      </c>
      <c r="AD1909">
        <v>-1.1147828410630001</v>
      </c>
      <c r="AE1909">
        <v>-16.0991</v>
      </c>
      <c r="AF1909">
        <v>-3.2427516705349899</v>
      </c>
      <c r="AG1909">
        <v>-1.1147828410630001</v>
      </c>
      <c r="AH1909">
        <v>15.8924203850765</v>
      </c>
      <c r="AI1909">
        <v>93.931722626772597</v>
      </c>
      <c r="AJ1909">
        <v>101.532545971236</v>
      </c>
      <c r="AK1909">
        <v>16.2581427252771</v>
      </c>
    </row>
    <row r="1910" spans="1:37" x14ac:dyDescent="0.2">
      <c r="A1910" t="str">
        <f>"20200111154102230"</f>
        <v>20200111154102230</v>
      </c>
      <c r="B1910" t="str">
        <f>"1578728462218372"</f>
        <v>1578728462218372</v>
      </c>
      <c r="C1910" t="s">
        <v>37</v>
      </c>
      <c r="D1910">
        <v>5.3169050000000002</v>
      </c>
      <c r="E1910">
        <v>0.46381099999999997</v>
      </c>
      <c r="F1910" t="s">
        <v>39</v>
      </c>
      <c r="G1910">
        <v>-490.22129999999999</v>
      </c>
      <c r="H1910" s="1">
        <v>-1.881664E-6</v>
      </c>
      <c r="I1910">
        <v>243.8381</v>
      </c>
      <c r="J1910">
        <v>-492.7251</v>
      </c>
      <c r="K1910">
        <v>1.1147499999999999</v>
      </c>
      <c r="L1910">
        <v>259.61790000000002</v>
      </c>
      <c r="M1910">
        <v>-4.1595880000000002E-2</v>
      </c>
      <c r="N1910">
        <v>0</v>
      </c>
      <c r="O1910">
        <v>-0.99904230000000005</v>
      </c>
      <c r="P1910">
        <v>6.4844390000000002E-2</v>
      </c>
      <c r="Q1910">
        <v>6.2693289999999999E-2</v>
      </c>
      <c r="R1910">
        <v>-0.99592429999999998</v>
      </c>
      <c r="S1910">
        <v>0.46704099999999998</v>
      </c>
      <c r="T1910">
        <v>-0.2085004</v>
      </c>
      <c r="U1910">
        <v>-2.9964900000000001</v>
      </c>
      <c r="V1910">
        <v>-0.10692409999999999</v>
      </c>
      <c r="W1910">
        <v>7.518089E-2</v>
      </c>
      <c r="X1910">
        <v>0.99142070000000004</v>
      </c>
      <c r="Y1910">
        <v>-0.19461310000000001</v>
      </c>
      <c r="Z1910">
        <v>6.8249660000000004E-2</v>
      </c>
      <c r="AA1910">
        <v>0.97850280000000001</v>
      </c>
      <c r="AB1910">
        <v>29</v>
      </c>
      <c r="AC1910">
        <v>2.5038000000000098</v>
      </c>
      <c r="AD1910">
        <v>-1.1147518816640001</v>
      </c>
      <c r="AE1910">
        <v>-15.7798</v>
      </c>
      <c r="AF1910">
        <v>-3.1427686072610301</v>
      </c>
      <c r="AG1910">
        <v>-1.1147518816640001</v>
      </c>
      <c r="AH1910">
        <v>15.5861090563932</v>
      </c>
      <c r="AI1910">
        <v>94.010504125939704</v>
      </c>
      <c r="AJ1910">
        <v>101.400204001636</v>
      </c>
      <c r="AK1910">
        <v>15.938835019983101</v>
      </c>
    </row>
    <row r="1911" spans="1:37" x14ac:dyDescent="0.2">
      <c r="A1911" t="str">
        <f>"20200111154102243"</f>
        <v>20200111154102243</v>
      </c>
      <c r="B1911" t="str">
        <f>"1578728462237893"</f>
        <v>1578728462237893</v>
      </c>
      <c r="C1911" t="s">
        <v>37</v>
      </c>
      <c r="D1911">
        <v>5.2609560000000002</v>
      </c>
      <c r="E1911">
        <v>0.46437289999999998</v>
      </c>
      <c r="F1911" t="s">
        <v>39</v>
      </c>
      <c r="G1911">
        <v>-490.22250000000003</v>
      </c>
      <c r="H1911" s="1">
        <v>-1.909498E-6</v>
      </c>
      <c r="I1911">
        <v>243.90219999999999</v>
      </c>
      <c r="J1911">
        <v>-492.72949999999997</v>
      </c>
      <c r="K1911">
        <v>1.1147260000000001</v>
      </c>
      <c r="L1911">
        <v>259.43830000000003</v>
      </c>
      <c r="M1911">
        <v>-3.8531780000000002E-2</v>
      </c>
      <c r="N1911">
        <v>0</v>
      </c>
      <c r="O1911">
        <v>-0.99916539999999998</v>
      </c>
      <c r="P1911">
        <v>6.7878330000000001E-2</v>
      </c>
      <c r="Q1911">
        <v>6.2537480000000006E-2</v>
      </c>
      <c r="R1911">
        <v>-0.99573179999999994</v>
      </c>
      <c r="S1911">
        <v>0.47686769999999901</v>
      </c>
      <c r="T1911">
        <v>-0.21241370000000001</v>
      </c>
      <c r="U1911">
        <v>-2.9945979999999999</v>
      </c>
      <c r="V1911">
        <v>-0.10689949999999999</v>
      </c>
      <c r="W1911">
        <v>7.5013029999999994E-2</v>
      </c>
      <c r="X1911">
        <v>0.99143609999999904</v>
      </c>
      <c r="Y1911">
        <v>-0.19481809999999999</v>
      </c>
      <c r="Z1911">
        <v>6.9561490000000004E-2</v>
      </c>
      <c r="AA1911">
        <v>0.97836959999999995</v>
      </c>
      <c r="AB1911">
        <v>29</v>
      </c>
      <c r="AC1911">
        <v>2.5069999999999402</v>
      </c>
      <c r="AD1911">
        <v>-1.114727909498</v>
      </c>
      <c r="AE1911">
        <v>-15.536099999999999</v>
      </c>
      <c r="AF1911">
        <v>-3.0883307204722499</v>
      </c>
      <c r="AG1911">
        <v>-1.114727909498</v>
      </c>
      <c r="AH1911">
        <v>15.3509286107001</v>
      </c>
      <c r="AI1911">
        <v>94.072012794989604</v>
      </c>
      <c r="AJ1911">
        <v>101.375037224452</v>
      </c>
      <c r="AK1911">
        <v>15.698134098103401</v>
      </c>
    </row>
    <row r="1912" spans="1:37" x14ac:dyDescent="0.2">
      <c r="A1912" t="str">
        <f>"20200111154102264"</f>
        <v>20200111154102264</v>
      </c>
      <c r="B1912" t="str">
        <f>"1578728462258388"</f>
        <v>1578728462258388</v>
      </c>
      <c r="C1912" t="s">
        <v>37</v>
      </c>
      <c r="D1912">
        <v>5.3272959999999996</v>
      </c>
      <c r="E1912">
        <v>0.46479989999999999</v>
      </c>
      <c r="F1912" t="s">
        <v>39</v>
      </c>
      <c r="G1912">
        <v>-490.22390000000001</v>
      </c>
      <c r="H1912" s="1">
        <v>-1.8943479999999899E-6</v>
      </c>
      <c r="I1912">
        <v>243.86599999999899</v>
      </c>
      <c r="J1912">
        <v>-492.73480000000001</v>
      </c>
      <c r="K1912">
        <v>1.1146750000000001</v>
      </c>
      <c r="L1912">
        <v>259.17930000000001</v>
      </c>
      <c r="M1912">
        <v>-3.4157470000000002E-2</v>
      </c>
      <c r="N1912">
        <v>0</v>
      </c>
      <c r="O1912">
        <v>-0.99932469999999995</v>
      </c>
      <c r="P1912">
        <v>7.2060150000000003E-2</v>
      </c>
      <c r="Q1912">
        <v>6.2786880000000003E-2</v>
      </c>
      <c r="R1912">
        <v>-0.99542219999999904</v>
      </c>
      <c r="S1912">
        <v>0.4816589</v>
      </c>
      <c r="T1912">
        <v>-0.21428739999999999</v>
      </c>
      <c r="U1912">
        <v>-2.9935</v>
      </c>
      <c r="V1912">
        <v>-0.10671789999999901</v>
      </c>
      <c r="W1912">
        <v>7.525126E-2</v>
      </c>
      <c r="X1912">
        <v>0.99143760000000003</v>
      </c>
      <c r="Y1912">
        <v>-0.1920993</v>
      </c>
      <c r="Z1912">
        <v>7.0224549999999997E-2</v>
      </c>
      <c r="AA1912">
        <v>0.9788597</v>
      </c>
      <c r="AB1912">
        <v>29</v>
      </c>
      <c r="AC1912">
        <v>2.5108999999999901</v>
      </c>
      <c r="AD1912">
        <v>-1.1146768943480001</v>
      </c>
      <c r="AE1912">
        <v>-15.3133</v>
      </c>
      <c r="AF1912">
        <v>-3.0169788859996798</v>
      </c>
      <c r="AG1912">
        <v>-1.1146768943480001</v>
      </c>
      <c r="AH1912">
        <v>15.140465875783599</v>
      </c>
      <c r="AI1912">
        <v>94.129751619343097</v>
      </c>
      <c r="AJ1912">
        <v>101.26948485264001</v>
      </c>
      <c r="AK1912">
        <v>15.478319453775599</v>
      </c>
    </row>
    <row r="1913" spans="1:37" x14ac:dyDescent="0.2">
      <c r="A1913" t="str">
        <f>"20200111154102278"</f>
        <v>20200111154102278</v>
      </c>
      <c r="B1913" t="str">
        <f>"1578728462268148"</f>
        <v>1578728462268148</v>
      </c>
      <c r="C1913" t="s">
        <v>37</v>
      </c>
      <c r="D1913">
        <v>5.3205970000000002</v>
      </c>
      <c r="E1913">
        <v>0.46502969999999999</v>
      </c>
      <c r="F1913" t="s">
        <v>39</v>
      </c>
      <c r="G1913">
        <v>-490.18810000000002</v>
      </c>
      <c r="H1913" s="1">
        <v>-1.792439E-6</v>
      </c>
      <c r="I1913">
        <v>243.6507</v>
      </c>
      <c r="J1913">
        <v>-492.738</v>
      </c>
      <c r="K1913">
        <v>1.11463</v>
      </c>
      <c r="L1913">
        <v>258.98540000000003</v>
      </c>
      <c r="M1913">
        <v>-3.0918049999999999E-2</v>
      </c>
      <c r="N1913">
        <v>0</v>
      </c>
      <c r="O1913">
        <v>-0.99943040000000005</v>
      </c>
      <c r="P1913">
        <v>7.5330999999999995E-2</v>
      </c>
      <c r="Q1913">
        <v>6.2746540000000003E-2</v>
      </c>
      <c r="R1913">
        <v>-0.99518280000000003</v>
      </c>
      <c r="S1913">
        <v>0.49066159999999998</v>
      </c>
      <c r="T1913">
        <v>-0.21475649999999999</v>
      </c>
      <c r="U1913">
        <v>-2.9917910000000001</v>
      </c>
      <c r="V1913">
        <v>-0.10675610000000001</v>
      </c>
      <c r="W1913">
        <v>7.5203699999999998E-2</v>
      </c>
      <c r="X1913">
        <v>0.99143709999999996</v>
      </c>
      <c r="Y1913">
        <v>-0.19187389999999999</v>
      </c>
      <c r="Z1913">
        <v>7.0413030000000001E-2</v>
      </c>
      <c r="AA1913">
        <v>0.97889040000000005</v>
      </c>
      <c r="AB1913">
        <v>29</v>
      </c>
      <c r="AC1913">
        <v>2.5499000000000298</v>
      </c>
      <c r="AD1913">
        <v>-1.1146317924389999</v>
      </c>
      <c r="AE1913">
        <v>-15.3347</v>
      </c>
      <c r="AF1913">
        <v>-3.0073814849077198</v>
      </c>
      <c r="AG1913">
        <v>-1.1146317924389999</v>
      </c>
      <c r="AH1913">
        <v>15.170527168649</v>
      </c>
      <c r="AI1913">
        <v>94.122237276935394</v>
      </c>
      <c r="AJ1913">
        <v>101.212851084363</v>
      </c>
      <c r="AK1913">
        <v>15.5058583123669</v>
      </c>
    </row>
    <row r="1914" spans="1:37" x14ac:dyDescent="0.2">
      <c r="A1914" t="str">
        <f>"20200111154102299"</f>
        <v>20200111154102299</v>
      </c>
      <c r="B1914" t="str">
        <f>"1578728462287668"</f>
        <v>1578728462287668</v>
      </c>
      <c r="C1914" t="s">
        <v>37</v>
      </c>
      <c r="D1914">
        <v>5.3135769999999898</v>
      </c>
      <c r="E1914">
        <v>0.46547119999999997</v>
      </c>
      <c r="F1914" t="s">
        <v>39</v>
      </c>
      <c r="G1914">
        <v>-490.1549</v>
      </c>
      <c r="H1914" s="1">
        <v>-1.7138819999999999E-6</v>
      </c>
      <c r="I1914">
        <v>243.4881</v>
      </c>
      <c r="J1914">
        <v>-492.74130000000002</v>
      </c>
      <c r="K1914">
        <v>1.1145670000000001</v>
      </c>
      <c r="L1914">
        <v>258.73649999999998</v>
      </c>
      <c r="M1914">
        <v>-2.6811749999999999E-2</v>
      </c>
      <c r="N1914">
        <v>0</v>
      </c>
      <c r="O1914">
        <v>-0.99954920000000003</v>
      </c>
      <c r="P1914">
        <v>7.9871549999999999E-2</v>
      </c>
      <c r="Q1914">
        <v>6.2751489999999993E-2</v>
      </c>
      <c r="R1914">
        <v>-0.9948283</v>
      </c>
      <c r="S1914">
        <v>0.49844359999999999</v>
      </c>
      <c r="T1914">
        <v>-0.215082299999999</v>
      </c>
      <c r="U1914">
        <v>-2.9903869999999899</v>
      </c>
      <c r="V1914">
        <v>-0.1071981</v>
      </c>
      <c r="W1914">
        <v>7.5198009999999996E-2</v>
      </c>
      <c r="X1914">
        <v>0.99138989999999905</v>
      </c>
      <c r="Y1914">
        <v>-0.19039329999999999</v>
      </c>
      <c r="Z1914">
        <v>7.0559979999999994E-2</v>
      </c>
      <c r="AA1914">
        <v>0.97916890000000001</v>
      </c>
      <c r="AB1914">
        <v>29</v>
      </c>
      <c r="AC1914">
        <v>2.5864000000000198</v>
      </c>
      <c r="AD1914">
        <v>-1.114568713882</v>
      </c>
      <c r="AE1914">
        <v>-15.248399999999901</v>
      </c>
      <c r="AF1914">
        <v>-2.9788733236090201</v>
      </c>
      <c r="AG1914">
        <v>-1.114568713882</v>
      </c>
      <c r="AH1914">
        <v>15.0951706098618</v>
      </c>
      <c r="AI1914">
        <v>94.143217188181495</v>
      </c>
      <c r="AJ1914">
        <v>101.163284889496</v>
      </c>
      <c r="AK1914">
        <v>15.4266044688035</v>
      </c>
    </row>
    <row r="1915" spans="1:37" x14ac:dyDescent="0.2">
      <c r="A1915" t="str">
        <f>"20200111154102320"</f>
        <v>20200111154102320</v>
      </c>
      <c r="B1915" t="str">
        <f>"1578728462317924"</f>
        <v>1578728462317924</v>
      </c>
      <c r="C1915" t="s">
        <v>37</v>
      </c>
      <c r="D1915">
        <v>5.3683940000000003</v>
      </c>
      <c r="E1915">
        <v>0.4659778</v>
      </c>
      <c r="F1915" t="s">
        <v>39</v>
      </c>
      <c r="G1915">
        <v>-490.11959999999999</v>
      </c>
      <c r="H1915" s="1">
        <v>-1.6358519999999901E-6</v>
      </c>
      <c r="I1915">
        <v>243.32820000000001</v>
      </c>
      <c r="J1915">
        <v>-492.74400000000003</v>
      </c>
      <c r="K1915">
        <v>1.114479</v>
      </c>
      <c r="L1915">
        <v>258.46530000000001</v>
      </c>
      <c r="M1915">
        <v>-2.243709E-2</v>
      </c>
      <c r="N1915">
        <v>0</v>
      </c>
      <c r="O1915">
        <v>-0.99965720000000002</v>
      </c>
      <c r="P1915">
        <v>8.5069049999999993E-2</v>
      </c>
      <c r="Q1915">
        <v>6.2975859999999995E-2</v>
      </c>
      <c r="R1915">
        <v>-0.99438300000000002</v>
      </c>
      <c r="S1915">
        <v>0.50848389999999999</v>
      </c>
      <c r="T1915">
        <v>-0.21616669999999999</v>
      </c>
      <c r="U1915">
        <v>-2.9884029999999999</v>
      </c>
      <c r="V1915">
        <v>-0.10802829999999999</v>
      </c>
      <c r="W1915">
        <v>7.5413389999999997E-2</v>
      </c>
      <c r="X1915">
        <v>0.99128340000000004</v>
      </c>
      <c r="Y1915">
        <v>-0.18939700000000001</v>
      </c>
      <c r="Z1915">
        <v>7.0959079999999994E-2</v>
      </c>
      <c r="AA1915">
        <v>0.97933320000000001</v>
      </c>
      <c r="AB1915">
        <v>29</v>
      </c>
      <c r="AC1915">
        <v>2.6244000000000298</v>
      </c>
      <c r="AD1915">
        <v>-1.1144806358520001</v>
      </c>
      <c r="AE1915">
        <v>-15.1371</v>
      </c>
      <c r="AF1915">
        <v>-2.9478891384571502</v>
      </c>
      <c r="AG1915">
        <v>-1.1144806358520001</v>
      </c>
      <c r="AH1915">
        <v>14.9954846506787</v>
      </c>
      <c r="AI1915">
        <v>94.170929330860602</v>
      </c>
      <c r="AJ1915">
        <v>101.12167658558501</v>
      </c>
      <c r="AK1915">
        <v>15.3230766287016</v>
      </c>
    </row>
    <row r="1916" spans="1:37" x14ac:dyDescent="0.2">
      <c r="A1916" t="str">
        <f>"20200111154102334"</f>
        <v>20200111154102334</v>
      </c>
      <c r="B1916" t="str">
        <f>"1578728462327684"</f>
        <v>1578728462327684</v>
      </c>
      <c r="C1916" t="s">
        <v>37</v>
      </c>
      <c r="D1916">
        <v>5.4003019999999999</v>
      </c>
      <c r="E1916">
        <v>0.4659778</v>
      </c>
      <c r="F1916" t="s">
        <v>39</v>
      </c>
      <c r="G1916">
        <v>-490.04399999999998</v>
      </c>
      <c r="H1916" s="1">
        <v>-1.4573079999999901E-6</v>
      </c>
      <c r="I1916">
        <v>242.9588</v>
      </c>
      <c r="J1916">
        <v>-492.74489999999997</v>
      </c>
      <c r="K1916">
        <v>1.114404</v>
      </c>
      <c r="L1916">
        <v>258.28550000000001</v>
      </c>
      <c r="M1916">
        <v>-1.9621759999999999E-2</v>
      </c>
      <c r="N1916">
        <v>0</v>
      </c>
      <c r="O1916">
        <v>-0.99971659999999996</v>
      </c>
      <c r="P1916">
        <v>8.8420789999999999E-2</v>
      </c>
      <c r="Q1916">
        <v>6.3047279999999997E-2</v>
      </c>
      <c r="R1916">
        <v>-0.99408609999999897</v>
      </c>
      <c r="S1916">
        <v>0.51992799999999995</v>
      </c>
      <c r="T1916">
        <v>-0.21461529999999901</v>
      </c>
      <c r="U1916">
        <v>-2.986084</v>
      </c>
      <c r="V1916">
        <v>-0.1085676</v>
      </c>
      <c r="W1916">
        <v>7.548378E-2</v>
      </c>
      <c r="X1916">
        <v>0.99121909999999902</v>
      </c>
      <c r="Y1916">
        <v>-0.19040869999999999</v>
      </c>
      <c r="Z1916">
        <v>7.0482810000000007E-2</v>
      </c>
      <c r="AA1916">
        <v>0.97917149999999997</v>
      </c>
      <c r="AB1916">
        <v>29</v>
      </c>
      <c r="AC1916">
        <v>2.7008999999999301</v>
      </c>
      <c r="AD1916">
        <v>-1.114405457308</v>
      </c>
      <c r="AE1916">
        <v>-15.326700000000001</v>
      </c>
      <c r="AF1916">
        <v>-2.9858341344997101</v>
      </c>
      <c r="AG1916">
        <v>-1.114405457308</v>
      </c>
      <c r="AH1916">
        <v>15.1928457837415</v>
      </c>
      <c r="AI1916">
        <v>94.116701660910493</v>
      </c>
      <c r="AJ1916">
        <v>101.11857841699801</v>
      </c>
      <c r="AK1916">
        <v>15.523519833162</v>
      </c>
    </row>
    <row r="1917" spans="1:37" x14ac:dyDescent="0.2">
      <c r="A1917" t="str">
        <f>"20200111154102353"</f>
        <v>20200111154102353</v>
      </c>
      <c r="B1917" t="str">
        <f>"1578728462348180"</f>
        <v>1578728462348180</v>
      </c>
      <c r="C1917" t="s">
        <v>37</v>
      </c>
      <c r="D1917">
        <v>5.4450629999999904</v>
      </c>
      <c r="E1917">
        <v>0.42953750000000002</v>
      </c>
      <c r="F1917" t="s">
        <v>39</v>
      </c>
      <c r="G1917">
        <v>-489.9941</v>
      </c>
      <c r="H1917" s="1">
        <v>-1.3684009999999999E-6</v>
      </c>
      <c r="I1917">
        <v>242.7825</v>
      </c>
      <c r="J1917">
        <v>-492.74579999999997</v>
      </c>
      <c r="K1917">
        <v>1.114287</v>
      </c>
      <c r="L1917">
        <v>258.05059999999997</v>
      </c>
      <c r="M1917">
        <v>-1.6042569999999999E-2</v>
      </c>
      <c r="N1917">
        <v>0</v>
      </c>
      <c r="O1917">
        <v>-0.99978080000000003</v>
      </c>
      <c r="P1917">
        <v>9.3383279999999999E-2</v>
      </c>
      <c r="Q1917">
        <v>6.2700309999999995E-2</v>
      </c>
      <c r="R1917">
        <v>-0.99365400000000004</v>
      </c>
      <c r="S1917">
        <v>0.52954100000000004</v>
      </c>
      <c r="T1917">
        <v>-0.21452559999999901</v>
      </c>
      <c r="U1917">
        <v>-2.9843599999999899</v>
      </c>
      <c r="V1917">
        <v>-0.109947699999999</v>
      </c>
      <c r="W1917">
        <v>7.5133820000000004E-2</v>
      </c>
      <c r="X1917">
        <v>0.99109360000000002</v>
      </c>
      <c r="Y1917">
        <v>-0.19004960000000001</v>
      </c>
      <c r="Z1917">
        <v>7.0483290000000004E-2</v>
      </c>
      <c r="AA1917">
        <v>0.97924120000000003</v>
      </c>
      <c r="AB1917">
        <v>29</v>
      </c>
      <c r="AC1917">
        <v>2.7516999999999698</v>
      </c>
      <c r="AD1917">
        <v>-1.1142883684010001</v>
      </c>
      <c r="AE1917">
        <v>-15.268099999999899</v>
      </c>
      <c r="AF1917">
        <v>-2.9809297299230701</v>
      </c>
      <c r="AG1917">
        <v>-1.1142883684010001</v>
      </c>
      <c r="AH1917">
        <v>15.1438633059482</v>
      </c>
      <c r="AI1917">
        <v>94.129295630843302</v>
      </c>
      <c r="AJ1917">
        <v>101.135778660691</v>
      </c>
      <c r="AK1917">
        <v>15.4746300909565</v>
      </c>
    </row>
    <row r="1918" spans="1:37" x14ac:dyDescent="0.2">
      <c r="A1918" t="str">
        <f>"20200111154102377"</f>
        <v>20200111154102377</v>
      </c>
      <c r="B1918" t="str">
        <f>"1578728462367700"</f>
        <v>1578728462367700</v>
      </c>
      <c r="C1918" t="s">
        <v>37</v>
      </c>
      <c r="D1918">
        <v>5.4058510000000002</v>
      </c>
      <c r="E1918">
        <v>0.42354589999999998</v>
      </c>
      <c r="F1918" t="s">
        <v>39</v>
      </c>
      <c r="G1918">
        <v>-488.92849999999999</v>
      </c>
      <c r="H1918" s="1">
        <v>-2.281519E-6</v>
      </c>
      <c r="I1918">
        <v>244.50799999999899</v>
      </c>
      <c r="J1918">
        <v>-492.74560000000002</v>
      </c>
      <c r="K1918">
        <v>1.114101</v>
      </c>
      <c r="L1918">
        <v>257.72710000000001</v>
      </c>
      <c r="M1918">
        <v>-1.1330079999999999E-2</v>
      </c>
      <c r="N1918">
        <v>0</v>
      </c>
      <c r="O1918">
        <v>-0.9998454</v>
      </c>
      <c r="P1918">
        <v>9.9884050000000002E-2</v>
      </c>
      <c r="Q1918">
        <v>6.2292729999999998E-2</v>
      </c>
      <c r="R1918">
        <v>-0.99304729999999997</v>
      </c>
      <c r="S1918">
        <v>0.83325199999999999</v>
      </c>
      <c r="T1918">
        <v>-0.2432347</v>
      </c>
      <c r="U1918">
        <v>-2.9561769999999998</v>
      </c>
      <c r="V1918">
        <v>-0.111729199999999</v>
      </c>
      <c r="W1918">
        <v>7.4732010000000001E-2</v>
      </c>
      <c r="X1918">
        <v>0.99092469999999999</v>
      </c>
      <c r="Y1918">
        <v>-0.2813409</v>
      </c>
      <c r="Z1918">
        <v>7.8813430000000004E-2</v>
      </c>
      <c r="AA1918">
        <v>0.95636589999999999</v>
      </c>
      <c r="AB1918">
        <v>29</v>
      </c>
      <c r="AC1918">
        <v>3.8171000000000301</v>
      </c>
      <c r="AD1918">
        <v>-1.114103281519</v>
      </c>
      <c r="AE1918">
        <v>-13.219099999999999</v>
      </c>
      <c r="AF1918">
        <v>-3.9408044125133599</v>
      </c>
      <c r="AG1918">
        <v>-1.114103281519</v>
      </c>
      <c r="AH1918">
        <v>13.089181328024999</v>
      </c>
      <c r="AI1918">
        <v>94.659453571339796</v>
      </c>
      <c r="AJ1918">
        <v>106.75565110175501</v>
      </c>
      <c r="AK1918">
        <v>13.714876352978701</v>
      </c>
    </row>
    <row r="1919" spans="1:37" x14ac:dyDescent="0.2">
      <c r="A1919" t="str">
        <f>"20200111154102392"</f>
        <v>20200111154102392</v>
      </c>
      <c r="B1919" t="str">
        <f>"1578728462388196"</f>
        <v>1578728462388196</v>
      </c>
      <c r="C1919" t="s">
        <v>37</v>
      </c>
      <c r="D1919">
        <v>5.3866389999999997</v>
      </c>
      <c r="E1919">
        <v>0.422010099999999</v>
      </c>
      <c r="F1919" t="s">
        <v>39</v>
      </c>
      <c r="G1919">
        <v>-488.6456</v>
      </c>
      <c r="H1919" s="1">
        <v>-2.2451700000000001E-6</v>
      </c>
      <c r="I1919">
        <v>244.30629999999999</v>
      </c>
      <c r="J1919">
        <v>-492.745</v>
      </c>
      <c r="K1919">
        <v>1.1139920000000001</v>
      </c>
      <c r="L1919">
        <v>257.54469999999998</v>
      </c>
      <c r="M1919">
        <v>-8.8047830000000001E-3</v>
      </c>
      <c r="N1919">
        <v>0</v>
      </c>
      <c r="O1919">
        <v>-0.99987119999999996</v>
      </c>
      <c r="P1919">
        <v>0.1034204</v>
      </c>
      <c r="Q1919">
        <v>6.2288999999999997E-2</v>
      </c>
      <c r="R1919">
        <v>-0.9926857</v>
      </c>
      <c r="S1919">
        <v>0.89993289999999904</v>
      </c>
      <c r="T1919">
        <v>-0.24454339999999899</v>
      </c>
      <c r="U1919">
        <v>-2.9458310000000001</v>
      </c>
      <c r="V1919">
        <v>-0.1127375</v>
      </c>
      <c r="W1919">
        <v>7.473581E-2</v>
      </c>
      <c r="X1919">
        <v>0.99081019999999898</v>
      </c>
      <c r="Y1919">
        <v>-0.29965989999999998</v>
      </c>
      <c r="Z1919">
        <v>7.903222E-2</v>
      </c>
      <c r="AA1919">
        <v>0.95076700000000003</v>
      </c>
      <c r="AB1919">
        <v>29</v>
      </c>
      <c r="AC1919">
        <v>4.0994000000000002</v>
      </c>
      <c r="AD1919">
        <v>-1.11399424517</v>
      </c>
      <c r="AE1919">
        <v>-13.238399999999899</v>
      </c>
      <c r="AF1919">
        <v>-4.1887475266992897</v>
      </c>
      <c r="AG1919">
        <v>-1.11399424517</v>
      </c>
      <c r="AH1919">
        <v>13.117034447398799</v>
      </c>
      <c r="AI1919">
        <v>94.625290962488705</v>
      </c>
      <c r="AJ1919">
        <v>107.710179088811</v>
      </c>
      <c r="AK1919">
        <v>13.814600309634301</v>
      </c>
    </row>
    <row r="1920" spans="1:37" x14ac:dyDescent="0.2">
      <c r="A1920" t="str">
        <f>"20200111154102409"</f>
        <v>20200111154102409</v>
      </c>
      <c r="B1920" t="str">
        <f>"1578728462397958"</f>
        <v>1578728462397958</v>
      </c>
      <c r="C1920" t="s">
        <v>37</v>
      </c>
      <c r="D1920">
        <v>5.3552299999999997</v>
      </c>
      <c r="E1920">
        <v>0.42217149999999998</v>
      </c>
      <c r="F1920" t="s">
        <v>39</v>
      </c>
      <c r="G1920">
        <v>-488.46230000000003</v>
      </c>
      <c r="H1920" s="1">
        <v>-2.1011859999999999E-6</v>
      </c>
      <c r="I1920">
        <v>243.89490000000001</v>
      </c>
      <c r="J1920">
        <v>-492.74380000000002</v>
      </c>
      <c r="K1920">
        <v>1.1138600000000001</v>
      </c>
      <c r="L1920">
        <v>257.32900000000001</v>
      </c>
      <c r="M1920">
        <v>-5.9391069999999999E-3</v>
      </c>
      <c r="N1920">
        <v>0</v>
      </c>
      <c r="O1920">
        <v>-0.99989240000000001</v>
      </c>
      <c r="P1920">
        <v>0.10832609999999999</v>
      </c>
      <c r="Q1920">
        <v>6.3006049999999994E-2</v>
      </c>
      <c r="R1920">
        <v>-0.99211680000000002</v>
      </c>
      <c r="S1920">
        <v>0.92276000000000002</v>
      </c>
      <c r="T1920">
        <v>-0.24002559999999901</v>
      </c>
      <c r="U1920">
        <v>-2.9410400000000001</v>
      </c>
      <c r="V1920">
        <v>-0.11477809999999999</v>
      </c>
      <c r="W1920">
        <v>7.5456190000000006E-2</v>
      </c>
      <c r="X1920">
        <v>0.99052129999999905</v>
      </c>
      <c r="Y1920">
        <v>-0.30412359999999999</v>
      </c>
      <c r="Z1920">
        <v>7.7561350000000001E-2</v>
      </c>
      <c r="AA1920">
        <v>0.94946989999999998</v>
      </c>
      <c r="AB1920">
        <v>29</v>
      </c>
      <c r="AC1920">
        <v>4.2814999999999896</v>
      </c>
      <c r="AD1920">
        <v>-1.1138621011859999</v>
      </c>
      <c r="AE1920">
        <v>-13.434100000000001</v>
      </c>
      <c r="AF1920">
        <v>-4.3341699910993903</v>
      </c>
      <c r="AG1920">
        <v>-1.1138621011859999</v>
      </c>
      <c r="AH1920">
        <v>13.325273523371299</v>
      </c>
      <c r="AI1920">
        <v>94.544944999154694</v>
      </c>
      <c r="AJ1920">
        <v>108.017601360241</v>
      </c>
      <c r="AK1920">
        <v>14.056622381100899</v>
      </c>
    </row>
    <row r="1921" spans="1:37" x14ac:dyDescent="0.2">
      <c r="A1921" t="str">
        <f>"20200111154102424"</f>
        <v>20200111154102424</v>
      </c>
      <c r="B1921" t="str">
        <f>"1578728462418452"</f>
        <v>1578728462418452</v>
      </c>
      <c r="C1921" t="s">
        <v>37</v>
      </c>
      <c r="D1921">
        <v>5.3253379999999897</v>
      </c>
      <c r="E1921">
        <v>0.42306499999999903</v>
      </c>
      <c r="F1921" t="s">
        <v>39</v>
      </c>
      <c r="G1921">
        <v>-488.36219999999997</v>
      </c>
      <c r="H1921" s="1">
        <v>-1.984469E-6</v>
      </c>
      <c r="I1921">
        <v>243.5814</v>
      </c>
      <c r="J1921">
        <v>-492.74239999999998</v>
      </c>
      <c r="K1921">
        <v>1.113737</v>
      </c>
      <c r="L1921">
        <v>257.14080000000001</v>
      </c>
      <c r="M1921">
        <v>-3.5486319999999999E-3</v>
      </c>
      <c r="N1921">
        <v>0</v>
      </c>
      <c r="O1921">
        <v>-0.99990419999999902</v>
      </c>
      <c r="P1921">
        <v>0.1115028</v>
      </c>
      <c r="Q1921">
        <v>6.3983639999999994E-2</v>
      </c>
      <c r="R1921">
        <v>-0.99170230000000004</v>
      </c>
      <c r="S1921">
        <v>0.93600459999999996</v>
      </c>
      <c r="T1921">
        <v>-0.237941399999999</v>
      </c>
      <c r="U1921">
        <v>-2.9367519999999998</v>
      </c>
      <c r="V1921">
        <v>-0.1155661</v>
      </c>
      <c r="W1921">
        <v>7.6447989999999993E-2</v>
      </c>
      <c r="X1921">
        <v>0.99035359999999995</v>
      </c>
      <c r="Y1921">
        <v>-0.30614949999999902</v>
      </c>
      <c r="Z1921">
        <v>7.6923480000000002E-2</v>
      </c>
      <c r="AA1921">
        <v>0.94887049999999995</v>
      </c>
      <c r="AB1921">
        <v>29</v>
      </c>
      <c r="AC1921">
        <v>4.3802000000000003</v>
      </c>
      <c r="AD1921">
        <v>-1.113738984469</v>
      </c>
      <c r="AE1921">
        <v>-13.5594</v>
      </c>
      <c r="AF1921">
        <v>-4.4014053829842101</v>
      </c>
      <c r="AG1921">
        <v>-1.113738984469</v>
      </c>
      <c r="AH1921">
        <v>13.461531551453399</v>
      </c>
      <c r="AI1921">
        <v>94.496387971447305</v>
      </c>
      <c r="AJ1921">
        <v>108.105762819834</v>
      </c>
      <c r="AK1921">
        <v>14.2065342565196</v>
      </c>
    </row>
    <row r="1922" spans="1:37" x14ac:dyDescent="0.2">
      <c r="A1922" t="str">
        <f>"20200111154102442"</f>
        <v>20200111154102442</v>
      </c>
      <c r="B1922" t="str">
        <f>"1578728462437973"</f>
        <v>1578728462437973</v>
      </c>
      <c r="C1922" t="s">
        <v>37</v>
      </c>
      <c r="D1922">
        <v>5.3742080000000003</v>
      </c>
      <c r="E1922">
        <v>0.42413770000000001</v>
      </c>
      <c r="F1922" t="s">
        <v>39</v>
      </c>
      <c r="G1922">
        <v>-488.32319999999999</v>
      </c>
      <c r="H1922" s="1">
        <v>-1.877837E-6</v>
      </c>
      <c r="I1922">
        <v>243.3167</v>
      </c>
      <c r="J1922">
        <v>-492.74009999999998</v>
      </c>
      <c r="K1922">
        <v>1.1135729999999999</v>
      </c>
      <c r="L1922">
        <v>256.90120000000002</v>
      </c>
      <c r="M1922">
        <v>-6.9470899999999995E-4</v>
      </c>
      <c r="N1922">
        <v>0</v>
      </c>
      <c r="O1922">
        <v>-0.99991030000000003</v>
      </c>
      <c r="P1922">
        <v>0.11547159999999999</v>
      </c>
      <c r="Q1922">
        <v>6.5124909999999994E-2</v>
      </c>
      <c r="R1922">
        <v>-0.99117369999999905</v>
      </c>
      <c r="S1922">
        <v>0.93820190000000003</v>
      </c>
      <c r="T1922">
        <v>-0.23644879999999999</v>
      </c>
      <c r="U1922">
        <v>-2.9348749999999999</v>
      </c>
      <c r="V1922">
        <v>-0.1166818</v>
      </c>
      <c r="W1922">
        <v>7.7609929999999994E-2</v>
      </c>
      <c r="X1922">
        <v>0.99013229999999997</v>
      </c>
      <c r="Y1922">
        <v>-0.3042629</v>
      </c>
      <c r="Z1922">
        <v>7.6506229999999995E-2</v>
      </c>
      <c r="AA1922">
        <v>0.94951090000000005</v>
      </c>
      <c r="AB1922">
        <v>29</v>
      </c>
      <c r="AC1922">
        <v>4.4168999999999903</v>
      </c>
      <c r="AD1922">
        <v>-1.1135748778369901</v>
      </c>
      <c r="AE1922">
        <v>-13.5845</v>
      </c>
      <c r="AF1922">
        <v>-4.3995995764100204</v>
      </c>
      <c r="AG1922">
        <v>-1.1135748778369901</v>
      </c>
      <c r="AH1922">
        <v>13.4993887961122</v>
      </c>
      <c r="AI1922">
        <v>94.484556078138695</v>
      </c>
      <c r="AJ1922">
        <v>108.051359917963</v>
      </c>
      <c r="AK1922">
        <v>14.2418405871536</v>
      </c>
    </row>
    <row r="1923" spans="1:37" x14ac:dyDescent="0.2">
      <c r="A1923" t="str">
        <f>"20200111154102465"</f>
        <v>20200111154102465</v>
      </c>
      <c r="B1923" t="str">
        <f>"1578728462458468"</f>
        <v>1578728462458468</v>
      </c>
      <c r="C1923" t="s">
        <v>37</v>
      </c>
      <c r="D1923">
        <v>5.335642</v>
      </c>
      <c r="E1923">
        <v>0.42550260000000001</v>
      </c>
      <c r="F1923" t="s">
        <v>39</v>
      </c>
      <c r="G1923">
        <v>-488.301999999999</v>
      </c>
      <c r="H1923" s="1">
        <v>-1.7828749999999899E-6</v>
      </c>
      <c r="I1923">
        <v>243.0866</v>
      </c>
      <c r="J1923">
        <v>-492.73669999999998</v>
      </c>
      <c r="K1923">
        <v>1.1133709999999899</v>
      </c>
      <c r="L1923">
        <v>256.61790000000002</v>
      </c>
      <c r="M1923">
        <v>2.4282629999999999E-3</v>
      </c>
      <c r="N1923">
        <v>0</v>
      </c>
      <c r="O1923">
        <v>-0.99990780000000001</v>
      </c>
      <c r="P1923">
        <v>0.1190604</v>
      </c>
      <c r="Q1923">
        <v>6.5898209999999999E-2</v>
      </c>
      <c r="R1923">
        <v>-0.99069779999999996</v>
      </c>
      <c r="S1923">
        <v>0.94210819999999995</v>
      </c>
      <c r="T1923">
        <v>-0.2363836</v>
      </c>
      <c r="U1923">
        <v>-2.93248</v>
      </c>
      <c r="V1923">
        <v>-0.1171432</v>
      </c>
      <c r="W1923">
        <v>7.8417130000000002E-2</v>
      </c>
      <c r="X1923">
        <v>0.99001430000000001</v>
      </c>
      <c r="Y1923">
        <v>-0.30265920000000002</v>
      </c>
      <c r="Z1923">
        <v>7.6549060000000002E-2</v>
      </c>
      <c r="AA1923">
        <v>0.95001979999999997</v>
      </c>
      <c r="AB1923">
        <v>29</v>
      </c>
      <c r="AC1923">
        <v>4.4347000000000198</v>
      </c>
      <c r="AD1923">
        <v>-1.113372782875</v>
      </c>
      <c r="AE1923">
        <v>-13.5313</v>
      </c>
      <c r="AF1923">
        <v>-4.3750791829123497</v>
      </c>
      <c r="AG1923">
        <v>-1.113372782875</v>
      </c>
      <c r="AH1923">
        <v>13.459742907610099</v>
      </c>
      <c r="AI1923">
        <v>94.498034367786502</v>
      </c>
      <c r="AJ1923">
        <v>108.006713211617</v>
      </c>
      <c r="AK1923">
        <v>14.1966755245501</v>
      </c>
    </row>
    <row r="1924" spans="1:37" x14ac:dyDescent="0.2">
      <c r="A1924" t="str">
        <f>"20200111154102477"</f>
        <v>20200111154102477</v>
      </c>
      <c r="B1924" t="str">
        <f>"1578728462468228"</f>
        <v>1578728462468228</v>
      </c>
      <c r="C1924" t="s">
        <v>37</v>
      </c>
      <c r="D1924">
        <v>5.3208769999999896</v>
      </c>
      <c r="E1924">
        <v>0.42610310000000001</v>
      </c>
      <c r="F1924" t="s">
        <v>39</v>
      </c>
      <c r="G1924">
        <v>-488.27949999999998</v>
      </c>
      <c r="H1924" s="1">
        <v>-1.640698E-6</v>
      </c>
      <c r="I1924">
        <v>242.74590000000001</v>
      </c>
      <c r="J1924">
        <v>-492.73439999999999</v>
      </c>
      <c r="K1924">
        <v>1.1132359999999999</v>
      </c>
      <c r="L1924">
        <v>256.44310000000002</v>
      </c>
      <c r="M1924">
        <v>4.2066250000000003E-3</v>
      </c>
      <c r="N1924">
        <v>0</v>
      </c>
      <c r="O1924">
        <v>-0.99990179999999995</v>
      </c>
      <c r="P1924">
        <v>0.121025299999999</v>
      </c>
      <c r="Q1924">
        <v>6.6425129999999999E-2</v>
      </c>
      <c r="R1924">
        <v>-0.99042430000000004</v>
      </c>
      <c r="S1924">
        <v>0.9416504</v>
      </c>
      <c r="T1924">
        <v>-0.23521420000000001</v>
      </c>
      <c r="U1924">
        <v>-2.9306489999999998</v>
      </c>
      <c r="V1924">
        <v>-0.117325</v>
      </c>
      <c r="W1924">
        <v>7.8968529999999995E-2</v>
      </c>
      <c r="X1924">
        <v>0.98994889999999902</v>
      </c>
      <c r="Y1924">
        <v>-0.3010099</v>
      </c>
      <c r="Z1924">
        <v>7.6239230000000005E-2</v>
      </c>
      <c r="AA1924">
        <v>0.95056859999999999</v>
      </c>
      <c r="AB1924">
        <v>29</v>
      </c>
      <c r="AC1924">
        <v>4.4549000000000003</v>
      </c>
      <c r="AD1924">
        <v>-1.113237640698</v>
      </c>
      <c r="AE1924">
        <v>-13.6972</v>
      </c>
      <c r="AF1924">
        <v>-4.3711247046539299</v>
      </c>
      <c r="AG1924">
        <v>-1.113237640698</v>
      </c>
      <c r="AH1924">
        <v>13.6343730524818</v>
      </c>
      <c r="AI1924">
        <v>94.445879589916004</v>
      </c>
      <c r="AJ1924">
        <v>107.775639684043</v>
      </c>
      <c r="AK1924">
        <v>14.3611335820869</v>
      </c>
    </row>
    <row r="1925" spans="1:37" x14ac:dyDescent="0.2">
      <c r="A1925" t="str">
        <f>"20200111154102491"</f>
        <v>20200111154102491</v>
      </c>
      <c r="B1925" t="str">
        <f>"1578728462487748"</f>
        <v>1578728462487748</v>
      </c>
      <c r="C1925" t="s">
        <v>37</v>
      </c>
      <c r="D1925">
        <v>5.3301889999999998</v>
      </c>
      <c r="E1925">
        <v>0.42698729999999901</v>
      </c>
      <c r="F1925" t="s">
        <v>39</v>
      </c>
      <c r="G1925">
        <v>-488.23860000000002</v>
      </c>
      <c r="H1925" s="1">
        <v>-1.5291839999999899E-6</v>
      </c>
      <c r="I1925">
        <v>242.46899999999999</v>
      </c>
      <c r="J1925">
        <v>-492.731999999999</v>
      </c>
      <c r="K1925">
        <v>1.1131169999999999</v>
      </c>
      <c r="L1925">
        <v>256.28559999999999</v>
      </c>
      <c r="M1925">
        <v>5.7300290000000002E-3</v>
      </c>
      <c r="N1925">
        <v>0</v>
      </c>
      <c r="O1925">
        <v>-0.99989439999999996</v>
      </c>
      <c r="P1925">
        <v>0.122660199999999</v>
      </c>
      <c r="Q1925">
        <v>6.6390370000000004E-2</v>
      </c>
      <c r="R1925">
        <v>-0.99022559999999904</v>
      </c>
      <c r="S1925">
        <v>0.94247440000000005</v>
      </c>
      <c r="T1925">
        <v>-0.23337729999999901</v>
      </c>
      <c r="U1925">
        <v>-2.9294889999999998</v>
      </c>
      <c r="V1925">
        <v>-0.11742950000000001</v>
      </c>
      <c r="W1925">
        <v>7.8955700000000004E-2</v>
      </c>
      <c r="X1925">
        <v>0.98993750000000003</v>
      </c>
      <c r="Y1925">
        <v>-0.29992209999999903</v>
      </c>
      <c r="Z1925">
        <v>7.568503E-2</v>
      </c>
      <c r="AA1925">
        <v>0.95095659999999904</v>
      </c>
      <c r="AB1925">
        <v>29</v>
      </c>
      <c r="AC1925">
        <v>4.4933999999999497</v>
      </c>
      <c r="AD1925">
        <v>-1.113118529184</v>
      </c>
      <c r="AE1925">
        <v>-13.8165999999999</v>
      </c>
      <c r="AF1925">
        <v>-4.3883910327325797</v>
      </c>
      <c r="AG1925">
        <v>-1.113118529184</v>
      </c>
      <c r="AH1925">
        <v>13.761347548224901</v>
      </c>
      <c r="AI1925">
        <v>94.406719082642297</v>
      </c>
      <c r="AJ1925">
        <v>107.687094214852</v>
      </c>
      <c r="AK1925">
        <v>14.4869491287578</v>
      </c>
    </row>
    <row r="1926" spans="1:37" x14ac:dyDescent="0.2">
      <c r="A1926" t="str">
        <f>"20200111154102510"</f>
        <v>20200111154102510</v>
      </c>
      <c r="B1926" t="str">
        <f>"1578728462498483"</f>
        <v>1578728462498483</v>
      </c>
      <c r="C1926" t="s">
        <v>37</v>
      </c>
      <c r="D1926">
        <v>5.2951990000000002</v>
      </c>
      <c r="E1926">
        <v>0.42742259999999999</v>
      </c>
      <c r="F1926" t="s">
        <v>39</v>
      </c>
      <c r="G1926">
        <v>-488.28250000000003</v>
      </c>
      <c r="H1926" s="1">
        <v>-1.5020969999999999E-6</v>
      </c>
      <c r="I1926">
        <v>242.42400000000001</v>
      </c>
      <c r="J1926">
        <v>-492.72809999999998</v>
      </c>
      <c r="K1926">
        <v>1.1129359999999999</v>
      </c>
      <c r="L1926">
        <v>256.0453</v>
      </c>
      <c r="M1926">
        <v>7.9155800000000002E-3</v>
      </c>
      <c r="N1926">
        <v>0</v>
      </c>
      <c r="O1926">
        <v>-0.99987979999999999</v>
      </c>
      <c r="P1926">
        <v>0.1248518</v>
      </c>
      <c r="Q1926">
        <v>6.6267240000000005E-2</v>
      </c>
      <c r="R1926">
        <v>-0.9899599</v>
      </c>
      <c r="S1926">
        <v>0.94018550000000001</v>
      </c>
      <c r="T1926">
        <v>-0.23520179999999999</v>
      </c>
      <c r="U1926">
        <v>-2.9289399999999999</v>
      </c>
      <c r="V1926">
        <v>-0.11742319999999901</v>
      </c>
      <c r="W1926">
        <v>7.8867290000000007E-2</v>
      </c>
      <c r="X1926">
        <v>0.98994530000000003</v>
      </c>
      <c r="Y1926">
        <v>-0.29719990000000002</v>
      </c>
      <c r="Z1926">
        <v>7.6327049999999994E-2</v>
      </c>
      <c r="AA1926">
        <v>0.95175959999999904</v>
      </c>
      <c r="AB1926">
        <v>29</v>
      </c>
      <c r="AC1926">
        <v>4.44559999999995</v>
      </c>
      <c r="AD1926">
        <v>-1.112937502097</v>
      </c>
      <c r="AE1926">
        <v>-13.6212999999999</v>
      </c>
      <c r="AF1926">
        <v>-4.3116178844537103</v>
      </c>
      <c r="AG1926">
        <v>-1.112937502097</v>
      </c>
      <c r="AH1926">
        <v>13.574170476386399</v>
      </c>
      <c r="AI1926">
        <v>94.468134614189594</v>
      </c>
      <c r="AJ1926">
        <v>107.62161689347199</v>
      </c>
      <c r="AK1926">
        <v>14.285894539268901</v>
      </c>
    </row>
    <row r="1927" spans="1:37" x14ac:dyDescent="0.2">
      <c r="A1927" t="str">
        <f>"20200111154102531"</f>
        <v>20200111154102531</v>
      </c>
      <c r="B1927" t="str">
        <f>"1578728462527764"</f>
        <v>1578728462527764</v>
      </c>
      <c r="C1927" t="s">
        <v>37</v>
      </c>
      <c r="D1927">
        <v>5.3375409999999999</v>
      </c>
      <c r="E1927">
        <v>0.42855339999999997</v>
      </c>
      <c r="F1927" t="s">
        <v>39</v>
      </c>
      <c r="G1927">
        <v>-488.29340000000002</v>
      </c>
      <c r="H1927" s="1">
        <v>-1.43601E-6</v>
      </c>
      <c r="I1927">
        <v>242.27449999999999</v>
      </c>
      <c r="J1927">
        <v>-492.72340000000003</v>
      </c>
      <c r="K1927">
        <v>1.112738</v>
      </c>
      <c r="L1927">
        <v>255.7756</v>
      </c>
      <c r="M1927">
        <v>1.014841E-2</v>
      </c>
      <c r="N1927">
        <v>0</v>
      </c>
      <c r="O1927">
        <v>-0.99985979999999997</v>
      </c>
      <c r="P1927">
        <v>0.12673989999999999</v>
      </c>
      <c r="Q1927">
        <v>6.6422330000000002E-2</v>
      </c>
      <c r="R1927">
        <v>-0.98970979999999997</v>
      </c>
      <c r="S1927">
        <v>0.94271849999999902</v>
      </c>
      <c r="T1927">
        <v>-0.2365816</v>
      </c>
      <c r="U1927">
        <v>-2.9273220000000002</v>
      </c>
      <c r="V1927">
        <v>-0.1170655</v>
      </c>
      <c r="W1927">
        <v>7.9064090000000004E-2</v>
      </c>
      <c r="X1927">
        <v>0.98997199999999996</v>
      </c>
      <c r="Y1927">
        <v>-0.295956099999999</v>
      </c>
      <c r="Z1927">
        <v>7.6815170000000002E-2</v>
      </c>
      <c r="AA1927">
        <v>0.95210790000000001</v>
      </c>
      <c r="AB1927">
        <v>29</v>
      </c>
      <c r="AC1927">
        <v>4.43</v>
      </c>
      <c r="AD1927">
        <v>-1.11273943601</v>
      </c>
      <c r="AE1927">
        <v>-13.501099999999999</v>
      </c>
      <c r="AF1927">
        <v>-4.2665799841603702</v>
      </c>
      <c r="AG1927">
        <v>-1.11273943601</v>
      </c>
      <c r="AH1927">
        <v>13.462804806121101</v>
      </c>
      <c r="AI1927">
        <v>94.505073812732107</v>
      </c>
      <c r="AJ1927">
        <v>107.584248325806</v>
      </c>
      <c r="AK1927">
        <v>14.166474757730199</v>
      </c>
    </row>
    <row r="1928" spans="1:37" x14ac:dyDescent="0.2">
      <c r="A1928" t="str">
        <f>"20200111154102546"</f>
        <v>20200111154102546</v>
      </c>
      <c r="B1928" t="str">
        <f>"1578728462538501"</f>
        <v>1578728462538501</v>
      </c>
      <c r="C1928" t="s">
        <v>37</v>
      </c>
      <c r="D1928">
        <v>5.3282239999999996</v>
      </c>
      <c r="E1928">
        <v>0.42890249999999902</v>
      </c>
      <c r="F1928" t="s">
        <v>39</v>
      </c>
      <c r="G1928">
        <v>-488.34449999999998</v>
      </c>
      <c r="H1928" s="1">
        <v>-1.367797E-6</v>
      </c>
      <c r="I1928">
        <v>242.13659999999999</v>
      </c>
      <c r="J1928">
        <v>-492.71969999999999</v>
      </c>
      <c r="K1928">
        <v>1.1126</v>
      </c>
      <c r="L1928">
        <v>255.58029999999999</v>
      </c>
      <c r="M1928">
        <v>1.164201E-2</v>
      </c>
      <c r="N1928">
        <v>0</v>
      </c>
      <c r="O1928">
        <v>-0.99984379999999995</v>
      </c>
      <c r="P1928">
        <v>0.1281349</v>
      </c>
      <c r="Q1928">
        <v>6.6517450000000006E-2</v>
      </c>
      <c r="R1928">
        <v>-0.98952379999999995</v>
      </c>
      <c r="S1928">
        <v>0.93969729999999996</v>
      </c>
      <c r="T1928">
        <v>-0.2387909</v>
      </c>
      <c r="U1928">
        <v>-2.926895</v>
      </c>
      <c r="V1928">
        <v>-0.1169567</v>
      </c>
      <c r="W1928">
        <v>7.9186720000000002E-2</v>
      </c>
      <c r="X1928">
        <v>0.98997500000000005</v>
      </c>
      <c r="Y1928">
        <v>-0.2936607</v>
      </c>
      <c r="Z1928">
        <v>7.7576790000000007E-2</v>
      </c>
      <c r="AA1928">
        <v>0.95275659999999895</v>
      </c>
      <c r="AB1928">
        <v>29</v>
      </c>
      <c r="AC1928">
        <v>4.3752000000000004</v>
      </c>
      <c r="AD1928">
        <v>-1.1126013677969999</v>
      </c>
      <c r="AE1928">
        <v>-13.4437</v>
      </c>
      <c r="AF1928">
        <v>-4.1924131775626003</v>
      </c>
      <c r="AG1928">
        <v>-1.1126013677969999</v>
      </c>
      <c r="AH1928">
        <v>13.410673510355</v>
      </c>
      <c r="AI1928">
        <v>94.527502063400306</v>
      </c>
      <c r="AJ1928">
        <v>107.360165325243</v>
      </c>
      <c r="AK1928">
        <v>14.0946931167855</v>
      </c>
    </row>
    <row r="1929" spans="1:37" x14ac:dyDescent="0.2">
      <c r="A1929" t="str">
        <f>"20200111154102566"</f>
        <v>20200111154102566</v>
      </c>
      <c r="B1929" t="str">
        <f>"1578728462558020"</f>
        <v>1578728462558020</v>
      </c>
      <c r="C1929" t="s">
        <v>37</v>
      </c>
      <c r="D1929">
        <v>5.3224519999999904</v>
      </c>
      <c r="E1929">
        <v>0.42950319999999997</v>
      </c>
      <c r="F1929" t="s">
        <v>39</v>
      </c>
      <c r="G1929">
        <v>-488.34179999999998</v>
      </c>
      <c r="H1929" s="1">
        <v>-1.2951460000000001E-6</v>
      </c>
      <c r="I1929">
        <v>241.96619999999999</v>
      </c>
      <c r="J1929">
        <v>-492.71480000000003</v>
      </c>
      <c r="K1929">
        <v>1.1124229999999999</v>
      </c>
      <c r="L1929">
        <v>255.32900000000001</v>
      </c>
      <c r="M1929">
        <v>1.339946E-2</v>
      </c>
      <c r="N1929">
        <v>0</v>
      </c>
      <c r="O1929">
        <v>-0.99982209999999905</v>
      </c>
      <c r="P1929">
        <v>0.13016539999999999</v>
      </c>
      <c r="Q1929">
        <v>6.6273239999999997E-2</v>
      </c>
      <c r="R1929">
        <v>-0.98927509999999996</v>
      </c>
      <c r="S1929">
        <v>0.94091800000000003</v>
      </c>
      <c r="T1929">
        <v>-0.23912410000000001</v>
      </c>
      <c r="U1929">
        <v>-2.9259949999999999</v>
      </c>
      <c r="V1929">
        <v>-0.117216899999999</v>
      </c>
      <c r="W1929">
        <v>7.8974230000000006E-2</v>
      </c>
      <c r="X1929">
        <v>0.98996130000000004</v>
      </c>
      <c r="Y1929">
        <v>-0.29242319999999999</v>
      </c>
      <c r="Z1929">
        <v>7.771467E-2</v>
      </c>
      <c r="AA1929">
        <v>0.95312600000000003</v>
      </c>
      <c r="AB1929">
        <v>29</v>
      </c>
      <c r="AC1929">
        <v>4.3730000000000402</v>
      </c>
      <c r="AD1929">
        <v>-1.1124242951459999</v>
      </c>
      <c r="AE1929">
        <v>-13.3628</v>
      </c>
      <c r="AF1929">
        <v>-4.1674497829109702</v>
      </c>
      <c r="AG1929">
        <v>-1.1124242951459999</v>
      </c>
      <c r="AH1929">
        <v>13.336715727762501</v>
      </c>
      <c r="AI1929">
        <v>94.551960591892296</v>
      </c>
      <c r="AJ1929">
        <v>107.35295268895599</v>
      </c>
      <c r="AK1929">
        <v>14.016886669609001</v>
      </c>
    </row>
    <row r="1930" spans="1:37" x14ac:dyDescent="0.2">
      <c r="A1930" t="str">
        <f>"20200111154102581"</f>
        <v>20200111154102581</v>
      </c>
      <c r="B1930" t="str">
        <f>"1578728462577539"</f>
        <v>1578728462577539</v>
      </c>
      <c r="C1930" t="s">
        <v>37</v>
      </c>
      <c r="D1930">
        <v>5.3193219999999997</v>
      </c>
      <c r="E1930">
        <v>0.43017299999999897</v>
      </c>
      <c r="F1930" t="s">
        <v>39</v>
      </c>
      <c r="G1930">
        <v>-488.35379999999998</v>
      </c>
      <c r="H1930" s="1">
        <v>-1.2185019999999999E-6</v>
      </c>
      <c r="I1930">
        <v>241.79239999999999</v>
      </c>
      <c r="J1930">
        <v>-492.71089999999998</v>
      </c>
      <c r="K1930">
        <v>1.1123069999999999</v>
      </c>
      <c r="L1930">
        <v>255.14340000000001</v>
      </c>
      <c r="M1930">
        <v>1.4598119999999999E-2</v>
      </c>
      <c r="N1930">
        <v>0</v>
      </c>
      <c r="O1930">
        <v>-0.99980530000000001</v>
      </c>
      <c r="P1930">
        <v>0.13172739999999999</v>
      </c>
      <c r="Q1930">
        <v>6.5745990000000004E-2</v>
      </c>
      <c r="R1930">
        <v>-0.98910370000000003</v>
      </c>
      <c r="S1930">
        <v>0.94219969999999997</v>
      </c>
      <c r="T1930">
        <v>-0.2403441</v>
      </c>
      <c r="U1930">
        <v>-2.9246369999999899</v>
      </c>
      <c r="V1930">
        <v>-0.11756949999999999</v>
      </c>
      <c r="W1930">
        <v>7.8469410000000003E-2</v>
      </c>
      <c r="X1930">
        <v>0.98995959999999905</v>
      </c>
      <c r="Y1930">
        <v>-0.29177419999999998</v>
      </c>
      <c r="Z1930">
        <v>7.8143790000000005E-2</v>
      </c>
      <c r="AA1930">
        <v>0.95328969999999902</v>
      </c>
      <c r="AB1930">
        <v>29</v>
      </c>
      <c r="AC1930">
        <v>4.3571</v>
      </c>
      <c r="AD1930">
        <v>-1.1123082185019999</v>
      </c>
      <c r="AE1930">
        <v>-13.351000000000001</v>
      </c>
      <c r="AF1930">
        <v>-4.1357755764354298</v>
      </c>
      <c r="AG1930">
        <v>-1.1123082185019999</v>
      </c>
      <c r="AH1930">
        <v>13.329572856624401</v>
      </c>
      <c r="AI1930">
        <v>94.556760398083995</v>
      </c>
      <c r="AJ1930">
        <v>107.23758397443299</v>
      </c>
      <c r="AK1930">
        <v>14.000692187590101</v>
      </c>
    </row>
    <row r="1931" spans="1:37" x14ac:dyDescent="0.2">
      <c r="A1931" t="str">
        <f>"20200111154102599"</f>
        <v>20200111154102599</v>
      </c>
      <c r="B1931" t="str">
        <f>"1578728462588276"</f>
        <v>1578728462588276</v>
      </c>
      <c r="C1931" t="s">
        <v>37</v>
      </c>
      <c r="D1931">
        <v>5.2789650000000004</v>
      </c>
      <c r="E1931">
        <v>0.43043569999999998</v>
      </c>
      <c r="F1931" t="s">
        <v>39</v>
      </c>
      <c r="G1931">
        <v>-488.39019999999999</v>
      </c>
      <c r="H1931" s="1">
        <v>-1.1852989999999899E-6</v>
      </c>
      <c r="I1931">
        <v>241.73009999999999</v>
      </c>
      <c r="J1931">
        <v>-492.70589999999999</v>
      </c>
      <c r="K1931">
        <v>1.112169</v>
      </c>
      <c r="L1931">
        <v>254.9128</v>
      </c>
      <c r="M1931">
        <v>1.5967180000000001E-2</v>
      </c>
      <c r="N1931">
        <v>0</v>
      </c>
      <c r="O1931">
        <v>-0.99978440000000002</v>
      </c>
      <c r="P1931">
        <v>0.13316310000000001</v>
      </c>
      <c r="Q1931">
        <v>6.497385E-2</v>
      </c>
      <c r="R1931">
        <v>-0.98896209999999996</v>
      </c>
      <c r="S1931">
        <v>0.94180299999999995</v>
      </c>
      <c r="T1931">
        <v>-0.24245559999999999</v>
      </c>
      <c r="U1931">
        <v>-2.9237669999999998</v>
      </c>
      <c r="V1931">
        <v>-0.11762309999999999</v>
      </c>
      <c r="W1931">
        <v>7.7723550000000002E-2</v>
      </c>
      <c r="X1931">
        <v>0.990012</v>
      </c>
      <c r="Y1931">
        <v>-0.29041279999999903</v>
      </c>
      <c r="Z1931">
        <v>7.8863840000000004E-2</v>
      </c>
      <c r="AA1931">
        <v>0.95364609999999905</v>
      </c>
      <c r="AB1931">
        <v>29</v>
      </c>
      <c r="AC1931">
        <v>4.3156999999999899</v>
      </c>
      <c r="AD1931">
        <v>-1.112170185299</v>
      </c>
      <c r="AE1931">
        <v>-13.182700000000001</v>
      </c>
      <c r="AF1931">
        <v>-4.0784220238318696</v>
      </c>
      <c r="AG1931">
        <v>-1.112170185299</v>
      </c>
      <c r="AH1931">
        <v>13.1653001024942</v>
      </c>
      <c r="AI1931">
        <v>94.613434384535793</v>
      </c>
      <c r="AJ1931">
        <v>107.21223479091699</v>
      </c>
      <c r="AK1931">
        <v>13.8273488244955</v>
      </c>
    </row>
    <row r="1932" spans="1:37" x14ac:dyDescent="0.2">
      <c r="A1932" t="str">
        <f>"20200111154102613"</f>
        <v>20200111154102613</v>
      </c>
      <c r="B1932" t="str">
        <f>"1578728462607797"</f>
        <v>1578728462607797</v>
      </c>
      <c r="C1932" t="s">
        <v>37</v>
      </c>
      <c r="D1932">
        <v>5.3217879999999997</v>
      </c>
      <c r="E1932">
        <v>0.43101430000000002</v>
      </c>
      <c r="F1932" t="s">
        <v>39</v>
      </c>
      <c r="G1932">
        <v>-488.4282</v>
      </c>
      <c r="H1932" s="1">
        <v>-1.1498720000000001E-6</v>
      </c>
      <c r="I1932">
        <v>241.66319999999999</v>
      </c>
      <c r="J1932">
        <v>-492.70170000000002</v>
      </c>
      <c r="K1932">
        <v>1.112061</v>
      </c>
      <c r="L1932">
        <v>254.72739999999999</v>
      </c>
      <c r="M1932">
        <v>1.697224E-2</v>
      </c>
      <c r="N1932">
        <v>0</v>
      </c>
      <c r="O1932">
        <v>-0.99976810000000005</v>
      </c>
      <c r="P1932">
        <v>0.13422190000000001</v>
      </c>
      <c r="Q1932">
        <v>6.4715419999999996E-2</v>
      </c>
      <c r="R1932">
        <v>-0.9888363</v>
      </c>
      <c r="S1932">
        <v>0.943573</v>
      </c>
      <c r="T1932">
        <v>-0.24532219999999999</v>
      </c>
      <c r="U1932">
        <v>-2.922577</v>
      </c>
      <c r="V1932">
        <v>-0.1176683</v>
      </c>
      <c r="W1932">
        <v>7.7486330000000006E-2</v>
      </c>
      <c r="X1932">
        <v>0.9900253</v>
      </c>
      <c r="Y1932">
        <v>-0.2900643</v>
      </c>
      <c r="Z1932">
        <v>7.9815929999999993E-2</v>
      </c>
      <c r="AA1932">
        <v>0.95367289999999905</v>
      </c>
      <c r="AB1932">
        <v>28</v>
      </c>
      <c r="AC1932">
        <v>4.2735000000000101</v>
      </c>
      <c r="AD1932">
        <v>-1.112062149872</v>
      </c>
      <c r="AE1932">
        <v>-13.0642</v>
      </c>
      <c r="AF1932">
        <v>-4.0247918312595399</v>
      </c>
      <c r="AG1932">
        <v>-1.112062149872</v>
      </c>
      <c r="AH1932">
        <v>13.049439990517399</v>
      </c>
      <c r="AI1932">
        <v>94.655543063239605</v>
      </c>
      <c r="AJ1932">
        <v>107.141143904549</v>
      </c>
      <c r="AK1932">
        <v>13.7012231416128</v>
      </c>
    </row>
    <row r="1933" spans="1:37" x14ac:dyDescent="0.2">
      <c r="A1933" t="str">
        <f>"20200111154102632"</f>
        <v>20200111154102632</v>
      </c>
      <c r="B1933" t="str">
        <f>"1578728462628292"</f>
        <v>1578728462628292</v>
      </c>
      <c r="C1933" t="s">
        <v>37</v>
      </c>
      <c r="D1933">
        <v>5.3207820000000003</v>
      </c>
      <c r="E1933">
        <v>0.43153419999999998</v>
      </c>
      <c r="F1933" t="s">
        <v>39</v>
      </c>
      <c r="G1933">
        <v>-488.46409999999997</v>
      </c>
      <c r="H1933" s="1">
        <v>-1.111905E-6</v>
      </c>
      <c r="I1933">
        <v>241.58959999999999</v>
      </c>
      <c r="J1933">
        <v>-492.69639999999998</v>
      </c>
      <c r="K1933">
        <v>1.1119299999999901</v>
      </c>
      <c r="L1933">
        <v>254.49709999999999</v>
      </c>
      <c r="M1933">
        <v>1.8121709999999999E-2</v>
      </c>
      <c r="N1933">
        <v>0</v>
      </c>
      <c r="O1933">
        <v>-0.99974810000000003</v>
      </c>
      <c r="P1933">
        <v>0.13541110000000001</v>
      </c>
      <c r="Q1933">
        <v>6.4052049999999999E-2</v>
      </c>
      <c r="R1933">
        <v>-0.98871749999999903</v>
      </c>
      <c r="S1933">
        <v>0.94253539999999902</v>
      </c>
      <c r="T1933">
        <v>-0.24734539999999899</v>
      </c>
      <c r="U1933">
        <v>-2.9221189999999999</v>
      </c>
      <c r="V1933">
        <v>-0.11769489999999901</v>
      </c>
      <c r="W1933">
        <v>7.6849269999999997E-2</v>
      </c>
      <c r="X1933">
        <v>0.99007179999999995</v>
      </c>
      <c r="Y1933">
        <v>-0.2886842</v>
      </c>
      <c r="Z1933">
        <v>8.0500630000000004E-2</v>
      </c>
      <c r="AA1933">
        <v>0.9540341</v>
      </c>
      <c r="AB1933">
        <v>28</v>
      </c>
      <c r="AC1933">
        <v>4.2323000000000004</v>
      </c>
      <c r="AD1933">
        <v>-1.1119311119049999</v>
      </c>
      <c r="AE1933">
        <v>-12.907500000000001</v>
      </c>
      <c r="AF1933">
        <v>-3.9710693524891001</v>
      </c>
      <c r="AG1933">
        <v>-1.1119311119049999</v>
      </c>
      <c r="AH1933">
        <v>12.8956729209649</v>
      </c>
      <c r="AI1933">
        <v>94.710898896099295</v>
      </c>
      <c r="AJ1933">
        <v>107.115594324158</v>
      </c>
      <c r="AK1933">
        <v>13.538986767273499</v>
      </c>
    </row>
    <row r="1934" spans="1:37" x14ac:dyDescent="0.2">
      <c r="A1934" t="str">
        <f>"20200111154102655"</f>
        <v>20200111154102655</v>
      </c>
      <c r="B1934" t="str">
        <f>"1578728462647812"</f>
        <v>1578728462647812</v>
      </c>
      <c r="C1934" t="s">
        <v>37</v>
      </c>
      <c r="D1934">
        <v>5.3125809999999998</v>
      </c>
      <c r="E1934">
        <v>0.4319924</v>
      </c>
      <c r="F1934" t="s">
        <v>39</v>
      </c>
      <c r="G1934">
        <v>-488.49880000000002</v>
      </c>
      <c r="H1934" s="1">
        <v>-1.0562359999999899E-6</v>
      </c>
      <c r="I1934">
        <v>241.4742</v>
      </c>
      <c r="J1934">
        <v>-492.68950000000001</v>
      </c>
      <c r="K1934">
        <v>1.1117809999999999</v>
      </c>
      <c r="L1934">
        <v>254.2037</v>
      </c>
      <c r="M1934">
        <v>1.943305E-2</v>
      </c>
      <c r="N1934">
        <v>0</v>
      </c>
      <c r="O1934">
        <v>-0.99972359999999905</v>
      </c>
      <c r="P1934">
        <v>0.13750670000000001</v>
      </c>
      <c r="Q1934">
        <v>6.3754630000000007E-2</v>
      </c>
      <c r="R1934">
        <v>-0.98844719999999997</v>
      </c>
      <c r="S1934">
        <v>0.9416504</v>
      </c>
      <c r="T1934">
        <v>-0.24944279999999999</v>
      </c>
      <c r="U1934">
        <v>-2.9214630000000001</v>
      </c>
      <c r="V1934">
        <v>-0.1184673</v>
      </c>
      <c r="W1934">
        <v>7.6579679999999997E-2</v>
      </c>
      <c r="X1934">
        <v>0.99000049999999995</v>
      </c>
      <c r="Y1934">
        <v>-0.28721149999999901</v>
      </c>
      <c r="Z1934">
        <v>8.1214789999999995E-2</v>
      </c>
      <c r="AA1934">
        <v>0.95441799999999999</v>
      </c>
      <c r="AB1934">
        <v>28</v>
      </c>
      <c r="AC1934">
        <v>4.1906999999999899</v>
      </c>
      <c r="AD1934">
        <v>-1.1117820562359999</v>
      </c>
      <c r="AE1934">
        <v>-12.7295</v>
      </c>
      <c r="AF1934">
        <v>-3.9155660817304598</v>
      </c>
      <c r="AG1934">
        <v>-1.1117820562359999</v>
      </c>
      <c r="AH1934">
        <v>12.720992437222</v>
      </c>
      <c r="AI1934">
        <v>94.774833021415304</v>
      </c>
      <c r="AJ1934">
        <v>107.108548998814</v>
      </c>
      <c r="AK1934">
        <v>13.356323059466099</v>
      </c>
    </row>
    <row r="1935" spans="1:37" x14ac:dyDescent="0.2">
      <c r="A1935" t="str">
        <f>"20200111154102678"</f>
        <v>20200111154102678</v>
      </c>
      <c r="B1935" t="str">
        <f>"1578728462668308"</f>
        <v>1578728462668308</v>
      </c>
      <c r="C1935" t="s">
        <v>37</v>
      </c>
      <c r="D1935">
        <v>5.3400449999999999</v>
      </c>
      <c r="E1935">
        <v>0.43244329999999997</v>
      </c>
      <c r="F1935" t="s">
        <v>39</v>
      </c>
      <c r="G1935">
        <v>-488.49919999999997</v>
      </c>
      <c r="H1935" s="1">
        <v>-9.589243000000001E-7</v>
      </c>
      <c r="I1935">
        <v>241.2475</v>
      </c>
      <c r="J1935">
        <v>-492.68239999999997</v>
      </c>
      <c r="K1935">
        <v>1.111659</v>
      </c>
      <c r="L1935">
        <v>253.91319999999999</v>
      </c>
      <c r="M1935">
        <v>2.0594290000000001E-2</v>
      </c>
      <c r="N1935">
        <v>0</v>
      </c>
      <c r="O1935">
        <v>-0.99970020000000004</v>
      </c>
      <c r="P1935">
        <v>0.138767</v>
      </c>
      <c r="Q1935">
        <v>6.4864679999999994E-2</v>
      </c>
      <c r="R1935">
        <v>-0.98819849999999998</v>
      </c>
      <c r="S1935">
        <v>0.94433590000000001</v>
      </c>
      <c r="T1935">
        <v>-0.25055490000000002</v>
      </c>
      <c r="U1935">
        <v>-2.919861</v>
      </c>
      <c r="V1935">
        <v>-0.11856069999999901</v>
      </c>
      <c r="W1935">
        <v>7.7714510000000001E-2</v>
      </c>
      <c r="X1935">
        <v>0.98990089999999997</v>
      </c>
      <c r="Y1935">
        <v>-0.2870374</v>
      </c>
      <c r="Z1935">
        <v>8.1604819999999995E-2</v>
      </c>
      <c r="AA1935">
        <v>0.95443709999999904</v>
      </c>
      <c r="AB1935">
        <v>28</v>
      </c>
      <c r="AC1935">
        <v>4.1831999999999896</v>
      </c>
      <c r="AD1935">
        <v>-1.1116599589242999</v>
      </c>
      <c r="AE1935">
        <v>-12.6656999999999</v>
      </c>
      <c r="AF1935">
        <v>-3.89439901867248</v>
      </c>
      <c r="AG1935">
        <v>-1.1116599589242999</v>
      </c>
      <c r="AH1935">
        <v>12.661228748028901</v>
      </c>
      <c r="AI1935">
        <v>94.797035697570905</v>
      </c>
      <c r="AJ1935">
        <v>107.097091487277</v>
      </c>
      <c r="AK1935">
        <v>13.293187916779999</v>
      </c>
    </row>
    <row r="1936" spans="1:37" x14ac:dyDescent="0.2">
      <c r="A1936" t="str">
        <f>"20200111154102699"</f>
        <v>20200111154102699</v>
      </c>
      <c r="B1936" t="str">
        <f>"1578728462687828"</f>
        <v>1578728462687828</v>
      </c>
      <c r="C1936" t="s">
        <v>37</v>
      </c>
      <c r="D1936">
        <v>5.3061850000000002</v>
      </c>
      <c r="E1936">
        <v>0.43289139999999998</v>
      </c>
      <c r="F1936" t="s">
        <v>39</v>
      </c>
      <c r="G1936">
        <v>-488.42829999999998</v>
      </c>
      <c r="H1936" s="1">
        <v>-8.0050590000000002E-7</v>
      </c>
      <c r="I1936">
        <v>240.7715</v>
      </c>
      <c r="J1936">
        <v>-492.67579999999998</v>
      </c>
      <c r="K1936">
        <v>1.1115649999999999</v>
      </c>
      <c r="L1936">
        <v>253.6447</v>
      </c>
      <c r="M1936">
        <v>2.1561710000000001E-2</v>
      </c>
      <c r="N1936">
        <v>0</v>
      </c>
      <c r="O1936">
        <v>-0.99967989999999995</v>
      </c>
      <c r="P1936">
        <v>0.13945839999999901</v>
      </c>
      <c r="Q1936">
        <v>6.6174040000000003E-2</v>
      </c>
      <c r="R1936">
        <v>-0.98801419999999995</v>
      </c>
      <c r="S1936">
        <v>0.94503780000000004</v>
      </c>
      <c r="T1936">
        <v>-0.24694730000000001</v>
      </c>
      <c r="U1936">
        <v>-2.9193419999999999</v>
      </c>
      <c r="V1936">
        <v>-0.1182816</v>
      </c>
      <c r="W1936">
        <v>7.9043160000000001E-2</v>
      </c>
      <c r="X1936">
        <v>0.98982909999999902</v>
      </c>
      <c r="Y1936">
        <v>-0.28639680000000001</v>
      </c>
      <c r="Z1936">
        <v>8.0453849999999993E-2</v>
      </c>
      <c r="AA1936">
        <v>0.954727199999999</v>
      </c>
      <c r="AB1936">
        <v>28</v>
      </c>
      <c r="AC1936">
        <v>4.2474999999999996</v>
      </c>
      <c r="AD1936">
        <v>-1.1115658005058999</v>
      </c>
      <c r="AE1936">
        <v>-12.873199999999899</v>
      </c>
      <c r="AF1936">
        <v>-3.9424116530815301</v>
      </c>
      <c r="AG1936">
        <v>-1.1115658005058999</v>
      </c>
      <c r="AH1936">
        <v>12.875226978554499</v>
      </c>
      <c r="AI1936">
        <v>94.719091893888503</v>
      </c>
      <c r="AJ1936">
        <v>107.024657942112</v>
      </c>
      <c r="AK1936">
        <v>13.5110938831948</v>
      </c>
    </row>
    <row r="1937" spans="1:37" x14ac:dyDescent="0.2">
      <c r="A1937" t="str">
        <f>"20200111154102713"</f>
        <v>20200111154102713</v>
      </c>
      <c r="B1937" t="str">
        <f>"1578728462708324"</f>
        <v>1578728462708324</v>
      </c>
      <c r="C1937" t="s">
        <v>37</v>
      </c>
      <c r="D1937">
        <v>5.3300330000000002</v>
      </c>
      <c r="E1937">
        <v>0.43332019999999999</v>
      </c>
      <c r="F1937" t="s">
        <v>39</v>
      </c>
      <c r="G1937">
        <v>-488.33940000000001</v>
      </c>
      <c r="H1937" s="1">
        <v>-6.3948159999999898E-7</v>
      </c>
      <c r="I1937">
        <v>240.22880000000001</v>
      </c>
      <c r="J1937">
        <v>-492.67129999999997</v>
      </c>
      <c r="K1937">
        <v>1.111524</v>
      </c>
      <c r="L1937">
        <v>253.4701</v>
      </c>
      <c r="M1937">
        <v>2.2141399999999999E-2</v>
      </c>
      <c r="N1937">
        <v>0</v>
      </c>
      <c r="O1937">
        <v>-0.99966749999999904</v>
      </c>
      <c r="P1937">
        <v>0.14000279999999901</v>
      </c>
      <c r="Q1937">
        <v>6.6535730000000001E-2</v>
      </c>
      <c r="R1937">
        <v>-0.98791329999999999</v>
      </c>
      <c r="S1937">
        <v>0.94363399999999997</v>
      </c>
      <c r="T1937">
        <v>-0.24188470000000001</v>
      </c>
      <c r="U1937">
        <v>-2.919403</v>
      </c>
      <c r="V1937">
        <v>-0.11824460000000001</v>
      </c>
      <c r="W1937">
        <v>7.9414399999999996E-2</v>
      </c>
      <c r="X1937">
        <v>0.98980380000000001</v>
      </c>
      <c r="Y1937">
        <v>-0.28545969999999998</v>
      </c>
      <c r="Z1937">
        <v>7.8829120000000003E-2</v>
      </c>
      <c r="AA1937">
        <v>0.95514330000000003</v>
      </c>
      <c r="AB1937">
        <v>28</v>
      </c>
      <c r="AC1937">
        <v>4.3318999999999601</v>
      </c>
      <c r="AD1937">
        <v>-1.1115246394816001</v>
      </c>
      <c r="AE1937">
        <v>-13.241299999999899</v>
      </c>
      <c r="AF1937">
        <v>-4.0120931657109802</v>
      </c>
      <c r="AG1937">
        <v>-1.1115246394816001</v>
      </c>
      <c r="AH1937">
        <v>13.249638174162801</v>
      </c>
      <c r="AI1937">
        <v>94.590467273248095</v>
      </c>
      <c r="AJ1937">
        <v>106.846719306176</v>
      </c>
      <c r="AK1937">
        <v>13.8883148848502</v>
      </c>
    </row>
    <row r="1938" spans="1:37" x14ac:dyDescent="0.2">
      <c r="A1938" t="str">
        <f>"20200111154102732"</f>
        <v>20200111154102732</v>
      </c>
      <c r="B1938" t="str">
        <f>"1578728462727844"</f>
        <v>1578728462727844</v>
      </c>
      <c r="C1938" t="s">
        <v>37</v>
      </c>
      <c r="D1938">
        <v>5.2665989999999896</v>
      </c>
      <c r="E1938">
        <v>0.4337239</v>
      </c>
      <c r="F1938" t="s">
        <v>39</v>
      </c>
      <c r="G1938">
        <v>-488.31330000000003</v>
      </c>
      <c r="H1938" s="1">
        <v>-5.5727250000000003E-7</v>
      </c>
      <c r="I1938">
        <v>239.96690000000001</v>
      </c>
      <c r="J1938">
        <v>-492.66489999999999</v>
      </c>
      <c r="K1938">
        <v>1.111467</v>
      </c>
      <c r="L1938">
        <v>253.22669999999999</v>
      </c>
      <c r="M1938">
        <v>2.290814E-2</v>
      </c>
      <c r="N1938">
        <v>0</v>
      </c>
      <c r="O1938">
        <v>-0.99965009999999999</v>
      </c>
      <c r="P1938">
        <v>0.1405826</v>
      </c>
      <c r="Q1938">
        <v>6.6922060000000005E-2</v>
      </c>
      <c r="R1938">
        <v>-0.98780480000000004</v>
      </c>
      <c r="S1938">
        <v>0.94216919999999904</v>
      </c>
      <c r="T1938">
        <v>-0.2403071</v>
      </c>
      <c r="U1938">
        <v>-2.9193419999999999</v>
      </c>
      <c r="V1938">
        <v>-0.1180563</v>
      </c>
      <c r="W1938">
        <v>7.9810839999999994E-2</v>
      </c>
      <c r="X1938">
        <v>0.98979439999999996</v>
      </c>
      <c r="Y1938">
        <v>-0.28430840000000002</v>
      </c>
      <c r="Z1938">
        <v>7.8337309999999993E-2</v>
      </c>
      <c r="AA1938">
        <v>0.95552709999999996</v>
      </c>
      <c r="AB1938">
        <v>28</v>
      </c>
      <c r="AC1938">
        <v>4.3515999999999604</v>
      </c>
      <c r="AD1938">
        <v>-1.1114675572724999</v>
      </c>
      <c r="AE1938">
        <v>-13.259799999999901</v>
      </c>
      <c r="AF1938">
        <v>-4.0211675259526398</v>
      </c>
      <c r="AG1938">
        <v>-1.1114675572724999</v>
      </c>
      <c r="AH1938">
        <v>13.271831847602501</v>
      </c>
      <c r="AI1938">
        <v>94.582364758064401</v>
      </c>
      <c r="AJ1938">
        <v>106.856027515728</v>
      </c>
      <c r="AK1938">
        <v>13.912105124447599</v>
      </c>
    </row>
    <row r="1939" spans="1:37" x14ac:dyDescent="0.2">
      <c r="A1939" t="str">
        <f>"20200111154102746"</f>
        <v>20200111154102746</v>
      </c>
      <c r="B1939" t="str">
        <f>"1578728462737604"</f>
        <v>1578728462737604</v>
      </c>
      <c r="C1939" t="s">
        <v>37</v>
      </c>
      <c r="D1939">
        <v>5.2909610000000002</v>
      </c>
      <c r="E1939">
        <v>0.43389539999999999</v>
      </c>
      <c r="F1939" t="s">
        <v>39</v>
      </c>
      <c r="G1939">
        <v>-488.28399999999999</v>
      </c>
      <c r="H1939" s="1">
        <v>-4.5414389999999997E-7</v>
      </c>
      <c r="I1939">
        <v>239.64089999999999</v>
      </c>
      <c r="J1939">
        <v>-492.66019999999997</v>
      </c>
      <c r="K1939">
        <v>1.1114379999999999</v>
      </c>
      <c r="L1939">
        <v>253.047</v>
      </c>
      <c r="M1939">
        <v>2.3450929999999998E-2</v>
      </c>
      <c r="N1939">
        <v>0</v>
      </c>
      <c r="O1939">
        <v>-0.99963760000000002</v>
      </c>
      <c r="P1939">
        <v>0.1409657</v>
      </c>
      <c r="Q1939">
        <v>6.7298319999999995E-2</v>
      </c>
      <c r="R1939">
        <v>-0.98772459999999995</v>
      </c>
      <c r="S1939">
        <v>0.94134519999999899</v>
      </c>
      <c r="T1939">
        <v>-0.2388245</v>
      </c>
      <c r="U1939">
        <v>-2.9192200000000001</v>
      </c>
      <c r="V1939">
        <v>-0.1178969</v>
      </c>
      <c r="W1939">
        <v>8.0193449999999999E-2</v>
      </c>
      <c r="X1939">
        <v>0.98978250000000001</v>
      </c>
      <c r="Y1939">
        <v>-0.2835665</v>
      </c>
      <c r="Z1939">
        <v>7.7870700000000001E-2</v>
      </c>
      <c r="AA1939">
        <v>0.95578560000000001</v>
      </c>
      <c r="AB1939">
        <v>28</v>
      </c>
      <c r="AC1939">
        <v>4.3761999999999803</v>
      </c>
      <c r="AD1939">
        <v>-1.11143845414389</v>
      </c>
      <c r="AE1939">
        <v>-13.4061</v>
      </c>
      <c r="AF1939">
        <v>-4.0355169843650804</v>
      </c>
      <c r="AG1939">
        <v>-1.11143845414389</v>
      </c>
      <c r="AH1939">
        <v>13.4216796682778</v>
      </c>
      <c r="AI1939">
        <v>94.5341894185581</v>
      </c>
      <c r="AJ1939">
        <v>106.734536728995</v>
      </c>
      <c r="AK1939">
        <v>14.0592381687739</v>
      </c>
    </row>
    <row r="1940" spans="1:37" x14ac:dyDescent="0.2">
      <c r="A1940" t="str">
        <f>"20200111154102759"</f>
        <v>20200111154102759</v>
      </c>
      <c r="B1940" t="str">
        <f>"1578728462748340"</f>
        <v>1578728462748340</v>
      </c>
      <c r="C1940" t="s">
        <v>37</v>
      </c>
      <c r="D1940">
        <v>5.2286169999999998</v>
      </c>
      <c r="E1940">
        <v>0.43405529999999998</v>
      </c>
      <c r="F1940" t="s">
        <v>39</v>
      </c>
      <c r="G1940">
        <v>-488.25560000000002</v>
      </c>
      <c r="H1940" s="1">
        <v>-4.4915869999999998E-6</v>
      </c>
      <c r="I1940">
        <v>239.38149999999999</v>
      </c>
      <c r="J1940">
        <v>-492.6558</v>
      </c>
      <c r="K1940">
        <v>1.1114139999999999</v>
      </c>
      <c r="L1940">
        <v>252.88069999999999</v>
      </c>
      <c r="M1940">
        <v>2.3938810000000001E-2</v>
      </c>
      <c r="N1940">
        <v>0</v>
      </c>
      <c r="O1940">
        <v>-0.99962629999999997</v>
      </c>
      <c r="P1940">
        <v>0.1409019</v>
      </c>
      <c r="Q1940">
        <v>6.7607829999999994E-2</v>
      </c>
      <c r="R1940">
        <v>-0.98771260000000005</v>
      </c>
      <c r="S1940">
        <v>0.94088749999999999</v>
      </c>
      <c r="T1940">
        <v>-0.2374212</v>
      </c>
      <c r="U1940">
        <v>-2.9191590000000001</v>
      </c>
      <c r="V1940">
        <v>-0.11734549999999901</v>
      </c>
      <c r="W1940">
        <v>8.0507629999999997E-2</v>
      </c>
      <c r="X1940">
        <v>0.98982250000000005</v>
      </c>
      <c r="Y1940">
        <v>-0.28297929999999999</v>
      </c>
      <c r="Z1940">
        <v>7.7424800000000002E-2</v>
      </c>
      <c r="AA1940">
        <v>0.95599590000000001</v>
      </c>
      <c r="AB1940">
        <v>28</v>
      </c>
      <c r="AC1940">
        <v>4.4001999999999803</v>
      </c>
      <c r="AD1940">
        <v>-1.111418491587</v>
      </c>
      <c r="AE1940">
        <v>-13.4992</v>
      </c>
      <c r="AF1940">
        <v>-4.05093361878997</v>
      </c>
      <c r="AG1940">
        <v>-1.111418491587</v>
      </c>
      <c r="AH1940">
        <v>13.517844443523501</v>
      </c>
      <c r="AI1940">
        <v>94.503219009332099</v>
      </c>
      <c r="AJ1940">
        <v>106.68205636823799</v>
      </c>
      <c r="AK1940">
        <v>14.1554735931576</v>
      </c>
    </row>
    <row r="1941" spans="1:37" x14ac:dyDescent="0.2">
      <c r="A1941" t="str">
        <f>"20200111154102778"</f>
        <v>20200111154102778</v>
      </c>
      <c r="B1941" t="str">
        <f>"1578728462767859"</f>
        <v>1578728462767859</v>
      </c>
      <c r="C1941" t="s">
        <v>37</v>
      </c>
      <c r="D1941">
        <v>5.2161200000000001</v>
      </c>
      <c r="E1941">
        <v>0.4343439</v>
      </c>
      <c r="F1941" t="s">
        <v>39</v>
      </c>
      <c r="G1941">
        <v>-488.233</v>
      </c>
      <c r="H1941" s="1">
        <v>-4.3923430000000004E-6</v>
      </c>
      <c r="I1941">
        <v>239.14080000000001</v>
      </c>
      <c r="J1941">
        <v>-492.64920000000001</v>
      </c>
      <c r="K1941">
        <v>1.111386</v>
      </c>
      <c r="L1941">
        <v>252.64060000000001</v>
      </c>
      <c r="M1941">
        <v>2.4632069999999999E-2</v>
      </c>
      <c r="N1941">
        <v>0</v>
      </c>
      <c r="O1941">
        <v>-0.99960949999999904</v>
      </c>
      <c r="P1941">
        <v>0.14076040000000001</v>
      </c>
      <c r="Q1941">
        <v>6.8018670000000003E-2</v>
      </c>
      <c r="R1941">
        <v>-0.98770460000000004</v>
      </c>
      <c r="S1941">
        <v>0.9397278</v>
      </c>
      <c r="T1941">
        <v>-0.23614930000000001</v>
      </c>
      <c r="U1941">
        <v>-2.9193880000000001</v>
      </c>
      <c r="V1941">
        <v>-0.1165132</v>
      </c>
      <c r="W1941">
        <v>8.0923010000000004E-2</v>
      </c>
      <c r="X1941">
        <v>0.98988690000000001</v>
      </c>
      <c r="Y1941">
        <v>-0.28195769999999998</v>
      </c>
      <c r="Z1941">
        <v>7.7021309999999996E-2</v>
      </c>
      <c r="AA1941">
        <v>0.95633020000000002</v>
      </c>
      <c r="AB1941">
        <v>28</v>
      </c>
      <c r="AC1941">
        <v>4.4161999999999999</v>
      </c>
      <c r="AD1941">
        <v>-1.111390392343</v>
      </c>
      <c r="AE1941">
        <v>-13.499799999999899</v>
      </c>
      <c r="AF1941">
        <v>-4.0574612473044098</v>
      </c>
      <c r="AG1941">
        <v>-1.111390392343</v>
      </c>
      <c r="AH1941">
        <v>13.5217068762504</v>
      </c>
      <c r="AI1941">
        <v>94.501334756495893</v>
      </c>
      <c r="AJ1941">
        <v>106.70293406802</v>
      </c>
      <c r="AK1941">
        <v>14.161028819432801</v>
      </c>
    </row>
    <row r="1942" spans="1:37" x14ac:dyDescent="0.2">
      <c r="A1942" t="str">
        <f>"20200111154102800"</f>
        <v>20200111154102800</v>
      </c>
      <c r="B1942" t="str">
        <f>"1578728462788359"</f>
        <v>1578728462788359</v>
      </c>
      <c r="C1942" t="s">
        <v>37</v>
      </c>
      <c r="D1942">
        <v>5.2083329999999997</v>
      </c>
      <c r="E1942">
        <v>0.43462479999999998</v>
      </c>
      <c r="F1942" t="s">
        <v>39</v>
      </c>
      <c r="G1942">
        <v>-488.21159999999998</v>
      </c>
      <c r="H1942" s="1">
        <v>-4.258461E-6</v>
      </c>
      <c r="I1942">
        <v>238.81989999999999</v>
      </c>
      <c r="J1942">
        <v>-492.64170000000001</v>
      </c>
      <c r="K1942">
        <v>1.111372</v>
      </c>
      <c r="L1942">
        <v>252.37219999999999</v>
      </c>
      <c r="M1942">
        <v>2.54014999999999E-2</v>
      </c>
      <c r="N1942">
        <v>0</v>
      </c>
      <c r="O1942">
        <v>-0.99959030000000004</v>
      </c>
      <c r="P1942">
        <v>0.14069229999999899</v>
      </c>
      <c r="Q1942">
        <v>6.7981730000000004E-2</v>
      </c>
      <c r="R1942">
        <v>-0.98771690000000001</v>
      </c>
      <c r="S1942">
        <v>0.93753050000000004</v>
      </c>
      <c r="T1942">
        <v>-0.23480419999999999</v>
      </c>
      <c r="U1942">
        <v>-2.9199069999999998</v>
      </c>
      <c r="V1942">
        <v>-0.115678</v>
      </c>
      <c r="W1942">
        <v>8.0888810000000005E-2</v>
      </c>
      <c r="X1942">
        <v>0.98998770000000003</v>
      </c>
      <c r="Y1942">
        <v>-0.28052739999999998</v>
      </c>
      <c r="Z1942">
        <v>7.6595090000000005E-2</v>
      </c>
      <c r="AA1942">
        <v>0.956785</v>
      </c>
      <c r="AB1942">
        <v>28</v>
      </c>
      <c r="AC1942">
        <v>4.4301000000000403</v>
      </c>
      <c r="AD1942">
        <v>-1.1113762584610001</v>
      </c>
      <c r="AE1942">
        <v>-13.552300000000001</v>
      </c>
      <c r="AF1942">
        <v>-4.0597254285647297</v>
      </c>
      <c r="AG1942">
        <v>-1.1113762584610001</v>
      </c>
      <c r="AH1942">
        <v>13.5779699931716</v>
      </c>
      <c r="AI1942">
        <v>94.484023346286193</v>
      </c>
      <c r="AJ1942">
        <v>106.646325527939</v>
      </c>
      <c r="AK1942">
        <v>14.2154070247276</v>
      </c>
    </row>
    <row r="1943" spans="1:37" x14ac:dyDescent="0.2">
      <c r="A1943" t="str">
        <f>"20200111154102813"</f>
        <v>20200111154102813</v>
      </c>
      <c r="B1943" t="str">
        <f>"1578728462807876"</f>
        <v>1578728462807876</v>
      </c>
      <c r="C1943" t="s">
        <v>37</v>
      </c>
      <c r="D1943">
        <v>5.1990460000000001</v>
      </c>
      <c r="E1943">
        <v>0.43478879999999998</v>
      </c>
      <c r="F1943" t="s">
        <v>39</v>
      </c>
      <c r="G1943">
        <v>-488.21100000000001</v>
      </c>
      <c r="H1943" s="1">
        <v>-4.1379489999999997E-6</v>
      </c>
      <c r="I1943">
        <v>238.53870000000001</v>
      </c>
      <c r="J1943">
        <v>-492.63670000000002</v>
      </c>
      <c r="K1943">
        <v>1.1113649999999999</v>
      </c>
      <c r="L1943">
        <v>252.20009999999999</v>
      </c>
      <c r="M1943">
        <v>2.5896189999999999E-2</v>
      </c>
      <c r="N1943">
        <v>0</v>
      </c>
      <c r="O1943">
        <v>-0.99957750000000001</v>
      </c>
      <c r="P1943">
        <v>0.1411105</v>
      </c>
      <c r="Q1943">
        <v>6.8296129999999997E-2</v>
      </c>
      <c r="R1943">
        <v>-0.98763570000000001</v>
      </c>
      <c r="S1943">
        <v>0.93530270000000004</v>
      </c>
      <c r="T1943">
        <v>-0.23460900000000001</v>
      </c>
      <c r="U1943">
        <v>-2.9202270000000001</v>
      </c>
      <c r="V1943">
        <v>-0.1156071</v>
      </c>
      <c r="W1943">
        <v>8.120202E-2</v>
      </c>
      <c r="X1943">
        <v>0.98997029999999997</v>
      </c>
      <c r="Y1943">
        <v>-0.27936100000000003</v>
      </c>
      <c r="Z1943">
        <v>7.6544310000000004E-2</v>
      </c>
      <c r="AA1943">
        <v>0.95713029999999999</v>
      </c>
      <c r="AB1943">
        <v>28</v>
      </c>
      <c r="AC1943">
        <v>4.4257</v>
      </c>
      <c r="AD1943">
        <v>-1.1113691379489901</v>
      </c>
      <c r="AE1943">
        <v>-13.661399999999899</v>
      </c>
      <c r="AF1943">
        <v>-4.0461722889106397</v>
      </c>
      <c r="AG1943">
        <v>-1.1113691379489901</v>
      </c>
      <c r="AH1943">
        <v>13.6894446544331</v>
      </c>
      <c r="AI1943">
        <v>94.451773923476196</v>
      </c>
      <c r="AJ1943">
        <v>106.46603366350899</v>
      </c>
      <c r="AK1943">
        <v>14.318084596031699</v>
      </c>
    </row>
    <row r="1944" spans="1:37" x14ac:dyDescent="0.2">
      <c r="A1944" t="str">
        <f>"20200111154102834"</f>
        <v>20200111154102834</v>
      </c>
      <c r="B1944" t="str">
        <f>"1578728462828373"</f>
        <v>1578728462828373</v>
      </c>
      <c r="C1944" t="s">
        <v>37</v>
      </c>
      <c r="D1944">
        <v>5.1441809999999997</v>
      </c>
      <c r="E1944">
        <v>0.4349982</v>
      </c>
      <c r="F1944" t="s">
        <v>39</v>
      </c>
      <c r="G1944">
        <v>-488.18509999999998</v>
      </c>
      <c r="H1944" s="1">
        <v>-4.0394010000000001E-6</v>
      </c>
      <c r="I1944">
        <v>238.29830000000001</v>
      </c>
      <c r="J1944">
        <v>-492.62920000000003</v>
      </c>
      <c r="K1944">
        <v>1.1113690000000001</v>
      </c>
      <c r="L1944">
        <v>251.9409</v>
      </c>
      <c r="M1944">
        <v>2.6645599999999901E-2</v>
      </c>
      <c r="N1944">
        <v>0</v>
      </c>
      <c r="O1944">
        <v>-0.9995581</v>
      </c>
      <c r="P1944">
        <v>0.141030399999999</v>
      </c>
      <c r="Q1944">
        <v>6.9274890000000006E-2</v>
      </c>
      <c r="R1944">
        <v>-0.98757919999999999</v>
      </c>
      <c r="S1944">
        <v>0.93505859999999996</v>
      </c>
      <c r="T1944">
        <v>-0.2334426</v>
      </c>
      <c r="U1944">
        <v>-2.9200740000000001</v>
      </c>
      <c r="V1944">
        <v>-0.1147859</v>
      </c>
      <c r="W1944">
        <v>8.2179100000000005E-2</v>
      </c>
      <c r="X1944">
        <v>0.98998519999999901</v>
      </c>
      <c r="Y1944">
        <v>-0.278591799999999</v>
      </c>
      <c r="Z1944">
        <v>7.6177179999999997E-2</v>
      </c>
      <c r="AA1944">
        <v>0.95738380000000001</v>
      </c>
      <c r="AB1944">
        <v>28</v>
      </c>
      <c r="AC1944">
        <v>4.4441000000000397</v>
      </c>
      <c r="AD1944">
        <v>-1.111373039401</v>
      </c>
      <c r="AE1944">
        <v>-13.6425999999999</v>
      </c>
      <c r="AF1944">
        <v>-4.0546485470183402</v>
      </c>
      <c r="AG1944">
        <v>-1.111373039401</v>
      </c>
      <c r="AH1944">
        <v>13.674141272097099</v>
      </c>
      <c r="AI1944">
        <v>94.455603204979795</v>
      </c>
      <c r="AJ1944">
        <v>106.516113378394</v>
      </c>
      <c r="AK1944">
        <v>14.305854200354901</v>
      </c>
    </row>
    <row r="1945" spans="1:37" x14ac:dyDescent="0.2">
      <c r="A1945" t="str">
        <f>"20200111154102857"</f>
        <v>20200111154102857</v>
      </c>
      <c r="B1945" t="str">
        <f>"1578728462847892"</f>
        <v>1578728462847892</v>
      </c>
      <c r="C1945" t="s">
        <v>37</v>
      </c>
      <c r="D1945">
        <v>5.1593919999999898</v>
      </c>
      <c r="E1945">
        <v>0.43519380000000002</v>
      </c>
      <c r="F1945" t="s">
        <v>39</v>
      </c>
      <c r="G1945">
        <v>-488.1266</v>
      </c>
      <c r="H1945" s="1">
        <v>-3.8575650000000002E-6</v>
      </c>
      <c r="I1945">
        <v>237.8503</v>
      </c>
      <c r="J1945">
        <v>-492.62040000000002</v>
      </c>
      <c r="K1945">
        <v>1.111375</v>
      </c>
      <c r="L1945">
        <v>251.64940000000001</v>
      </c>
      <c r="M1945">
        <v>2.7496899999999901E-2</v>
      </c>
      <c r="N1945">
        <v>0</v>
      </c>
      <c r="O1945">
        <v>-0.99953499999999995</v>
      </c>
      <c r="P1945">
        <v>0.14186650000000001</v>
      </c>
      <c r="Q1945">
        <v>7.0358790000000004E-2</v>
      </c>
      <c r="R1945">
        <v>-0.98738250000000005</v>
      </c>
      <c r="S1945">
        <v>0.93325809999999998</v>
      </c>
      <c r="T1945">
        <v>-0.2303598</v>
      </c>
      <c r="U1945">
        <v>-2.920639</v>
      </c>
      <c r="V1945">
        <v>-0.1147845</v>
      </c>
      <c r="W1945">
        <v>8.3258289999999999E-2</v>
      </c>
      <c r="X1945">
        <v>0.98989519999999998</v>
      </c>
      <c r="Y1945">
        <v>-0.27720739999999999</v>
      </c>
      <c r="Z1945">
        <v>7.5182979999999996E-2</v>
      </c>
      <c r="AA1945">
        <v>0.95786399999999905</v>
      </c>
      <c r="AB1945">
        <v>28</v>
      </c>
      <c r="AC1945">
        <v>4.4938000000000198</v>
      </c>
      <c r="AD1945">
        <v>-1.1113788575650001</v>
      </c>
      <c r="AE1945">
        <v>-13.799099999999999</v>
      </c>
      <c r="AF1945">
        <v>-4.0886563348072604</v>
      </c>
      <c r="AG1945">
        <v>-1.1113788575650001</v>
      </c>
      <c r="AH1945">
        <v>13.836311850210199</v>
      </c>
      <c r="AI1945">
        <v>94.404825104893803</v>
      </c>
      <c r="AJ1945">
        <v>106.462509761516</v>
      </c>
      <c r="AK1945">
        <v>14.470514821714801</v>
      </c>
    </row>
    <row r="1946" spans="1:37" x14ac:dyDescent="0.2">
      <c r="A1946" t="str">
        <f>"20200111154102878"</f>
        <v>20200111154102878</v>
      </c>
      <c r="B1946" t="str">
        <f>"1578728462868405"</f>
        <v>1578728462868405</v>
      </c>
      <c r="C1946" t="s">
        <v>37</v>
      </c>
      <c r="D1946">
        <v>5.2371230000000004</v>
      </c>
      <c r="E1946">
        <v>0.43531700000000001</v>
      </c>
      <c r="F1946" t="s">
        <v>39</v>
      </c>
      <c r="G1946">
        <v>-488.05110000000002</v>
      </c>
      <c r="H1946" s="1">
        <v>-3.6654500000000002E-6</v>
      </c>
      <c r="I1946">
        <v>237.37119999999999</v>
      </c>
      <c r="J1946">
        <v>-492.6121</v>
      </c>
      <c r="K1946">
        <v>1.111381</v>
      </c>
      <c r="L1946">
        <v>251.37970000000001</v>
      </c>
      <c r="M1946">
        <v>2.8292330000000001E-2</v>
      </c>
      <c r="N1946">
        <v>0</v>
      </c>
      <c r="O1946">
        <v>-0.99951279999999998</v>
      </c>
      <c r="P1946">
        <v>0.14314489999999999</v>
      </c>
      <c r="Q1946">
        <v>7.0737229999999998E-2</v>
      </c>
      <c r="R1946">
        <v>-0.98717080000000001</v>
      </c>
      <c r="S1946">
        <v>0.93453980000000003</v>
      </c>
      <c r="T1946">
        <v>-0.22730610000000001</v>
      </c>
      <c r="U1946">
        <v>-2.920258</v>
      </c>
      <c r="V1946">
        <v>-0.1152807</v>
      </c>
      <c r="W1946">
        <v>8.3631300000000006E-2</v>
      </c>
      <c r="X1946">
        <v>0.98980610000000002</v>
      </c>
      <c r="Y1946">
        <v>-0.2768832</v>
      </c>
      <c r="Z1946">
        <v>7.4197490000000005E-2</v>
      </c>
      <c r="AA1946">
        <v>0.95803459999999996</v>
      </c>
      <c r="AB1946">
        <v>28</v>
      </c>
      <c r="AC1946">
        <v>4.5609999999999697</v>
      </c>
      <c r="AD1946">
        <v>-1.1113846654499999</v>
      </c>
      <c r="AE1946">
        <v>-14.0085</v>
      </c>
      <c r="AF1946">
        <v>-4.1392499365335302</v>
      </c>
      <c r="AG1946">
        <v>-1.1113846654499999</v>
      </c>
      <c r="AH1946">
        <v>14.051974262711999</v>
      </c>
      <c r="AI1946">
        <v>94.338601065139898</v>
      </c>
      <c r="AJ1946">
        <v>106.413241265639</v>
      </c>
      <c r="AK1946">
        <v>14.691036266772</v>
      </c>
    </row>
    <row r="1947" spans="1:37" x14ac:dyDescent="0.2">
      <c r="A1947" t="str">
        <f>"20200111154102893"</f>
        <v>20200111154102893</v>
      </c>
      <c r="B1947" t="str">
        <f>"1578728462887909"</f>
        <v>1578728462887909</v>
      </c>
      <c r="C1947" t="s">
        <v>37</v>
      </c>
      <c r="D1947">
        <v>5.1989190000000001</v>
      </c>
      <c r="E1947">
        <v>0.48550529999999997</v>
      </c>
      <c r="F1947" t="s">
        <v>39</v>
      </c>
      <c r="G1947">
        <v>-488.01850000000002</v>
      </c>
      <c r="H1947" s="1">
        <v>-3.5382829999999998E-6</v>
      </c>
      <c r="I1947">
        <v>237.06129999999999</v>
      </c>
      <c r="J1947">
        <v>-492.60640000000001</v>
      </c>
      <c r="K1947">
        <v>1.1113819999999901</v>
      </c>
      <c r="L1947">
        <v>251.19880000000001</v>
      </c>
      <c r="M1947">
        <v>2.88297E-2</v>
      </c>
      <c r="N1947">
        <v>0</v>
      </c>
      <c r="O1947">
        <v>-0.99949730000000003</v>
      </c>
      <c r="P1947">
        <v>0.14397509999999999</v>
      </c>
      <c r="Q1947">
        <v>7.0839089999999993E-2</v>
      </c>
      <c r="R1947">
        <v>-0.98704249999999905</v>
      </c>
      <c r="S1947">
        <v>0.93658449999999904</v>
      </c>
      <c r="T1947">
        <v>-0.2266021</v>
      </c>
      <c r="U1947">
        <v>-2.919403</v>
      </c>
      <c r="V1947">
        <v>-0.1155819</v>
      </c>
      <c r="W1947">
        <v>8.3729659999999997E-2</v>
      </c>
      <c r="X1947">
        <v>0.9897627</v>
      </c>
      <c r="Y1947">
        <v>-0.27706160000000002</v>
      </c>
      <c r="Z1947">
        <v>7.3978150000000006E-2</v>
      </c>
      <c r="AA1947">
        <v>0.95800010000000002</v>
      </c>
      <c r="AB1947">
        <v>28</v>
      </c>
      <c r="AC1947">
        <v>4.5878999999999897</v>
      </c>
      <c r="AD1947">
        <v>-1.11138553828299</v>
      </c>
      <c r="AE1947">
        <v>-14.137499999999999</v>
      </c>
      <c r="AF1947">
        <v>-4.1551453831869898</v>
      </c>
      <c r="AG1947">
        <v>-1.11138553828299</v>
      </c>
      <c r="AH1947">
        <v>14.1845940577855</v>
      </c>
      <c r="AI1947">
        <v>94.300084992549301</v>
      </c>
      <c r="AJ1947">
        <v>106.327085179885</v>
      </c>
      <c r="AK1947">
        <v>14.822385757842399</v>
      </c>
    </row>
    <row r="1948" spans="1:37" x14ac:dyDescent="0.2">
      <c r="A1948" t="str">
        <f>"20200111154102911"</f>
        <v>20200111154102911</v>
      </c>
      <c r="B1948" t="str">
        <f>"1578728462908403"</f>
        <v>1578728462908403</v>
      </c>
      <c r="C1948" t="s">
        <v>37</v>
      </c>
      <c r="D1948">
        <v>5.2267640000000002</v>
      </c>
      <c r="E1948">
        <v>0.49904690000000002</v>
      </c>
      <c r="F1948" t="s">
        <v>39</v>
      </c>
      <c r="G1948">
        <v>-489.20830000000001</v>
      </c>
      <c r="H1948" s="1">
        <v>-1.4146969999999999E-6</v>
      </c>
      <c r="I1948">
        <v>232.60310000000001</v>
      </c>
      <c r="J1948">
        <v>-492.5992</v>
      </c>
      <c r="K1948">
        <v>1.111383</v>
      </c>
      <c r="L1948">
        <v>250.9759</v>
      </c>
      <c r="M1948">
        <v>2.9494699999999999E-2</v>
      </c>
      <c r="N1948">
        <v>0</v>
      </c>
      <c r="O1948">
        <v>-0.99947819999999898</v>
      </c>
      <c r="P1948">
        <v>0.14502660000000001</v>
      </c>
      <c r="Q1948">
        <v>7.1957919999999995E-2</v>
      </c>
      <c r="R1948">
        <v>-0.98680820000000002</v>
      </c>
      <c r="S1948">
        <v>0.54324340000000004</v>
      </c>
      <c r="T1948">
        <v>-0.1776771</v>
      </c>
      <c r="U1948">
        <v>-2.9729000000000001</v>
      </c>
      <c r="V1948">
        <v>-0.115982399999999</v>
      </c>
      <c r="W1948">
        <v>8.4843390000000005E-2</v>
      </c>
      <c r="X1948">
        <v>0.98962099999999897</v>
      </c>
      <c r="Y1948">
        <v>-0.1503495</v>
      </c>
      <c r="Z1948">
        <v>5.879624E-2</v>
      </c>
      <c r="AA1948">
        <v>0.98688299999999995</v>
      </c>
      <c r="AB1948">
        <v>28</v>
      </c>
      <c r="AC1948">
        <v>3.3908999999999798</v>
      </c>
      <c r="AD1948">
        <v>-1.111384414697</v>
      </c>
      <c r="AE1948">
        <v>-18.372799999999899</v>
      </c>
      <c r="AF1948">
        <v>-2.8374367341454501</v>
      </c>
      <c r="AG1948">
        <v>-1.111384414697</v>
      </c>
      <c r="AH1948">
        <v>18.399718355526499</v>
      </c>
      <c r="AI1948">
        <v>93.416308854145299</v>
      </c>
      <c r="AJ1948">
        <v>98.766575161518105</v>
      </c>
      <c r="AK1948">
        <v>18.650358122572602</v>
      </c>
    </row>
    <row r="1949" spans="1:37" x14ac:dyDescent="0.2">
      <c r="A1949" t="str">
        <f>"20200111154102924"</f>
        <v>20200111154102924</v>
      </c>
      <c r="B1949" t="str">
        <f>"1578728462918164"</f>
        <v>1578728462918164</v>
      </c>
      <c r="C1949" t="s">
        <v>37</v>
      </c>
      <c r="D1949">
        <v>5.2034609999999999</v>
      </c>
      <c r="E1949">
        <v>0.50197009999999997</v>
      </c>
      <c r="F1949" t="s">
        <v>39</v>
      </c>
      <c r="G1949">
        <v>-489.9862</v>
      </c>
      <c r="H1949" s="1">
        <v>-1.5453649999999999E-6</v>
      </c>
      <c r="I1949">
        <v>233.2</v>
      </c>
      <c r="J1949">
        <v>-492.5933</v>
      </c>
      <c r="K1949">
        <v>1.1113879999999901</v>
      </c>
      <c r="L1949">
        <v>250.79589999999999</v>
      </c>
      <c r="M1949">
        <v>3.0033190000000001E-2</v>
      </c>
      <c r="N1949">
        <v>0</v>
      </c>
      <c r="O1949">
        <v>-0.99946199999999996</v>
      </c>
      <c r="P1949">
        <v>0.14559469999999999</v>
      </c>
      <c r="Q1949">
        <v>7.2235209999999994E-2</v>
      </c>
      <c r="R1949">
        <v>-0.98670419999999903</v>
      </c>
      <c r="S1949">
        <v>0.43939209999999901</v>
      </c>
      <c r="T1949">
        <v>-0.18688689999999999</v>
      </c>
      <c r="U1949">
        <v>-2.9891509999999899</v>
      </c>
      <c r="V1949">
        <v>-0.11602029999999899</v>
      </c>
      <c r="W1949">
        <v>8.5118020000000003E-2</v>
      </c>
      <c r="X1949">
        <v>0.98959299999999994</v>
      </c>
      <c r="Y1949">
        <v>-0.11537260000000001</v>
      </c>
      <c r="Z1949">
        <v>6.1818640000000001E-2</v>
      </c>
      <c r="AA1949">
        <v>0.99139679999999997</v>
      </c>
      <c r="AB1949">
        <v>28</v>
      </c>
      <c r="AC1949">
        <v>2.6071</v>
      </c>
      <c r="AD1949">
        <v>-1.11138954536499</v>
      </c>
      <c r="AE1949">
        <v>-17.5959</v>
      </c>
      <c r="AF1949">
        <v>-2.0693387019147802</v>
      </c>
      <c r="AG1949">
        <v>-1.11138954536499</v>
      </c>
      <c r="AH1949">
        <v>17.5975714705055</v>
      </c>
      <c r="AI1949">
        <v>93.589099505349907</v>
      </c>
      <c r="AJ1949">
        <v>96.706741522882595</v>
      </c>
      <c r="AK1949">
        <v>17.753643880745699</v>
      </c>
    </row>
    <row r="1950" spans="1:37" x14ac:dyDescent="0.2">
      <c r="A1950" t="str">
        <f>"20200111154102937"</f>
        <v>20200111154102937</v>
      </c>
      <c r="B1950" t="str">
        <f>"1578728462927924"</f>
        <v>1578728462927924</v>
      </c>
      <c r="C1950" t="s">
        <v>37</v>
      </c>
      <c r="D1950">
        <v>5.1769910000000001</v>
      </c>
      <c r="E1950">
        <v>0.50382939999999998</v>
      </c>
      <c r="F1950" t="s">
        <v>39</v>
      </c>
      <c r="G1950">
        <v>-490.15219999999999</v>
      </c>
      <c r="H1950" s="1">
        <v>-1.63502199999999E-6</v>
      </c>
      <c r="I1950">
        <v>233.30599999999899</v>
      </c>
      <c r="J1950">
        <v>-492.58789999999999</v>
      </c>
      <c r="K1950">
        <v>1.111391</v>
      </c>
      <c r="L1950">
        <v>250.63380000000001</v>
      </c>
      <c r="M1950">
        <v>3.0519190000000002E-2</v>
      </c>
      <c r="N1950">
        <v>0</v>
      </c>
      <c r="O1950">
        <v>-0.99944750000000004</v>
      </c>
      <c r="P1950">
        <v>0.14661949999999899</v>
      </c>
      <c r="Q1950">
        <v>7.2284080000000001E-2</v>
      </c>
      <c r="R1950">
        <v>-0.98654850000000005</v>
      </c>
      <c r="S1950">
        <v>0.41769409999999901</v>
      </c>
      <c r="T1950">
        <v>-0.19016859999999999</v>
      </c>
      <c r="U1950">
        <v>-2.9926759999999999</v>
      </c>
      <c r="V1950">
        <v>-0.11656809999999999</v>
      </c>
      <c r="W1950">
        <v>8.5163130000000004E-2</v>
      </c>
      <c r="X1950">
        <v>0.98952469999999904</v>
      </c>
      <c r="Y1950">
        <v>-0.10766539999999999</v>
      </c>
      <c r="Z1950">
        <v>6.2884789999999996E-2</v>
      </c>
      <c r="AA1950">
        <v>0.99219639999999998</v>
      </c>
      <c r="AB1950">
        <v>28</v>
      </c>
      <c r="AC1950">
        <v>2.43569999999999</v>
      </c>
      <c r="AD1950">
        <v>-1.111392635022</v>
      </c>
      <c r="AE1950">
        <v>-17.3278</v>
      </c>
      <c r="AF1950">
        <v>-1.8980320429050599</v>
      </c>
      <c r="AG1950">
        <v>-1.111392635022</v>
      </c>
      <c r="AH1950">
        <v>17.324180884953599</v>
      </c>
      <c r="AI1950">
        <v>93.648873263575098</v>
      </c>
      <c r="AJ1950">
        <v>96.252371510430905</v>
      </c>
      <c r="AK1950">
        <v>17.463246048763899</v>
      </c>
    </row>
    <row r="1951" spans="1:37" x14ac:dyDescent="0.2">
      <c r="A1951" t="str">
        <f>"20200111154102957"</f>
        <v>20200111154102957</v>
      </c>
      <c r="B1951" t="str">
        <f>"1578728462948419"</f>
        <v>1578728462948419</v>
      </c>
      <c r="C1951" t="s">
        <v>37</v>
      </c>
      <c r="D1951">
        <v>5.1935019999999996</v>
      </c>
      <c r="E1951">
        <v>0.50593580000000005</v>
      </c>
      <c r="F1951" t="s">
        <v>39</v>
      </c>
      <c r="G1951">
        <v>-490.19069999999999</v>
      </c>
      <c r="H1951" s="1">
        <v>-1.501196E-6</v>
      </c>
      <c r="I1951">
        <v>232.9701</v>
      </c>
      <c r="J1951">
        <v>-492.57979999999998</v>
      </c>
      <c r="K1951">
        <v>1.1113879999999901</v>
      </c>
      <c r="L1951">
        <v>250.39699999999999</v>
      </c>
      <c r="M1951">
        <v>3.1228990000000002E-2</v>
      </c>
      <c r="N1951">
        <v>0</v>
      </c>
      <c r="O1951">
        <v>-0.99942529999999996</v>
      </c>
      <c r="P1951">
        <v>0.1483129</v>
      </c>
      <c r="Q1951">
        <v>7.1886169999999999E-2</v>
      </c>
      <c r="R1951">
        <v>-0.98632439999999999</v>
      </c>
      <c r="S1951">
        <v>0.40637209999999901</v>
      </c>
      <c r="T1951">
        <v>-0.1884044</v>
      </c>
      <c r="U1951">
        <v>-2.994354</v>
      </c>
      <c r="V1951">
        <v>-0.117563899999999</v>
      </c>
      <c r="W1951">
        <v>8.4759769999999998E-2</v>
      </c>
      <c r="X1951">
        <v>0.98944149999999997</v>
      </c>
      <c r="Y1951">
        <v>-0.1032052</v>
      </c>
      <c r="Z1951">
        <v>6.2297850000000002E-2</v>
      </c>
      <c r="AA1951">
        <v>0.99270729999999996</v>
      </c>
      <c r="AB1951">
        <v>28</v>
      </c>
      <c r="AC1951">
        <v>2.38909999999998</v>
      </c>
      <c r="AD1951">
        <v>-1.11138950119599</v>
      </c>
      <c r="AE1951">
        <v>-17.4269</v>
      </c>
      <c r="AF1951">
        <v>-1.83633184434625</v>
      </c>
      <c r="AG1951">
        <v>-1.11138950119599</v>
      </c>
      <c r="AH1951">
        <v>17.423457443735501</v>
      </c>
      <c r="AI1951">
        <v>93.629729746551703</v>
      </c>
      <c r="AJ1951">
        <v>96.016433314578904</v>
      </c>
      <c r="AK1951">
        <v>17.555175036426999</v>
      </c>
    </row>
    <row r="1952" spans="1:37" x14ac:dyDescent="0.2">
      <c r="A1952" t="str">
        <f>"20200111154102978"</f>
        <v>20200111154102978</v>
      </c>
      <c r="B1952" t="str">
        <f>"1578728462967942"</f>
        <v>1578728462967942</v>
      </c>
      <c r="C1952" t="s">
        <v>37</v>
      </c>
      <c r="D1952">
        <v>5.1338689999999998</v>
      </c>
      <c r="E1952">
        <v>0.5076889</v>
      </c>
      <c r="F1952" t="s">
        <v>39</v>
      </c>
      <c r="G1952">
        <v>-490.24970000000002</v>
      </c>
      <c r="H1952" s="1">
        <v>-1.4021379999999899E-6</v>
      </c>
      <c r="I1952">
        <v>232.70259999999999</v>
      </c>
      <c r="J1952">
        <v>-492.5702</v>
      </c>
      <c r="K1952">
        <v>1.1113819999999901</v>
      </c>
      <c r="L1952">
        <v>250.11789999999999</v>
      </c>
      <c r="M1952">
        <v>3.2065620000000003E-2</v>
      </c>
      <c r="N1952">
        <v>0</v>
      </c>
      <c r="O1952">
        <v>-0.99939909999999998</v>
      </c>
      <c r="P1952">
        <v>0.14970559999999999</v>
      </c>
      <c r="Q1952">
        <v>7.1053210000000006E-2</v>
      </c>
      <c r="R1952">
        <v>-0.98617459999999901</v>
      </c>
      <c r="S1952">
        <v>0.39453129999999997</v>
      </c>
      <c r="T1952">
        <v>-0.1881787</v>
      </c>
      <c r="U1952">
        <v>-2.9959720000000001</v>
      </c>
      <c r="V1952">
        <v>-0.1181305</v>
      </c>
      <c r="W1952">
        <v>8.3923520000000001E-2</v>
      </c>
      <c r="X1952">
        <v>0.98944529999999997</v>
      </c>
      <c r="Y1952">
        <v>-9.8446069999999997E-2</v>
      </c>
      <c r="Z1952">
        <v>6.2219070000000001E-2</v>
      </c>
      <c r="AA1952">
        <v>0.99319539999999995</v>
      </c>
      <c r="AB1952">
        <v>28</v>
      </c>
      <c r="AC1952">
        <v>2.32049999999998</v>
      </c>
      <c r="AD1952">
        <v>-1.11138340213799</v>
      </c>
      <c r="AE1952">
        <v>-17.415299999999998</v>
      </c>
      <c r="AF1952">
        <v>-1.7538078795171601</v>
      </c>
      <c r="AG1952">
        <v>-1.11138340213799</v>
      </c>
      <c r="AH1952">
        <v>17.411087130124201</v>
      </c>
      <c r="AI1952">
        <v>93.634005537255007</v>
      </c>
      <c r="AJ1952">
        <v>95.751966341088902</v>
      </c>
      <c r="AK1952">
        <v>17.5344509522705</v>
      </c>
    </row>
    <row r="1953" spans="1:37" x14ac:dyDescent="0.2">
      <c r="A1953" t="str">
        <f>"20200111154103000"</f>
        <v>20200111154103000</v>
      </c>
      <c r="B1953" t="str">
        <f>"1578728462988437"</f>
        <v>1578728462988437</v>
      </c>
      <c r="C1953" t="s">
        <v>37</v>
      </c>
      <c r="D1953">
        <v>5.1394320000000002</v>
      </c>
      <c r="E1953">
        <v>0.50903620000000005</v>
      </c>
      <c r="F1953" t="s">
        <v>39</v>
      </c>
      <c r="G1953">
        <v>-490.32380000000001</v>
      </c>
      <c r="H1953" s="1">
        <v>-1.3857459999999999E-6</v>
      </c>
      <c r="I1953">
        <v>232.61850000000001</v>
      </c>
      <c r="J1953">
        <v>-492.56079999999997</v>
      </c>
      <c r="K1953">
        <v>1.1113819999999901</v>
      </c>
      <c r="L1953">
        <v>249.85400000000001</v>
      </c>
      <c r="M1953">
        <v>3.2856419999999997E-2</v>
      </c>
      <c r="N1953">
        <v>0</v>
      </c>
      <c r="O1953">
        <v>-0.99937330000000002</v>
      </c>
      <c r="P1953">
        <v>0.1506344</v>
      </c>
      <c r="Q1953">
        <v>7.0285860000000006E-2</v>
      </c>
      <c r="R1953">
        <v>-0.98608799999999996</v>
      </c>
      <c r="S1953">
        <v>0.38476559999999999</v>
      </c>
      <c r="T1953">
        <v>-0.19036040000000001</v>
      </c>
      <c r="U1953">
        <v>-2.9973450000000001</v>
      </c>
      <c r="V1953">
        <v>-0.1182773</v>
      </c>
      <c r="W1953">
        <v>8.3154220000000001E-2</v>
      </c>
      <c r="X1953">
        <v>0.9894927</v>
      </c>
      <c r="Y1953">
        <v>-9.4411099999999998E-2</v>
      </c>
      <c r="Z1953">
        <v>6.2932130000000003E-2</v>
      </c>
      <c r="AA1953">
        <v>0.99354219999999904</v>
      </c>
      <c r="AB1953">
        <v>28</v>
      </c>
      <c r="AC1953">
        <v>2.2369999999999601</v>
      </c>
      <c r="AD1953">
        <v>-1.11138338574599</v>
      </c>
      <c r="AE1953">
        <v>-17.235499999999998</v>
      </c>
      <c r="AF1953">
        <v>-1.66264735561571</v>
      </c>
      <c r="AG1953">
        <v>-1.11138338574599</v>
      </c>
      <c r="AH1953">
        <v>17.2292471371914</v>
      </c>
      <c r="AI1953">
        <v>93.673767415397606</v>
      </c>
      <c r="AJ1953">
        <v>95.512057766865297</v>
      </c>
      <c r="AK1953">
        <v>17.3449279668054</v>
      </c>
    </row>
    <row r="1954" spans="1:37" x14ac:dyDescent="0.2">
      <c r="A1954" t="str">
        <f>"20200111154103014"</f>
        <v>20200111154103014</v>
      </c>
      <c r="B1954" t="str">
        <f>"1578728463007956"</f>
        <v>1578728463007956</v>
      </c>
      <c r="C1954" t="s">
        <v>37</v>
      </c>
      <c r="D1954">
        <v>5.1351040000000001</v>
      </c>
      <c r="E1954">
        <v>0.51014420000000005</v>
      </c>
      <c r="F1954" t="s">
        <v>39</v>
      </c>
      <c r="G1954">
        <v>-490.36610000000002</v>
      </c>
      <c r="H1954" s="1">
        <v>-1.2891559999999999E-6</v>
      </c>
      <c r="I1954">
        <v>232.36709999999999</v>
      </c>
      <c r="J1954">
        <v>-492.55439999999999</v>
      </c>
      <c r="K1954">
        <v>1.1113819999999901</v>
      </c>
      <c r="L1954">
        <v>249.6765</v>
      </c>
      <c r="M1954">
        <v>3.3392379999999999E-2</v>
      </c>
      <c r="N1954">
        <v>0</v>
      </c>
      <c r="O1954">
        <v>-0.99935569999999896</v>
      </c>
      <c r="P1954">
        <v>0.15154899999999999</v>
      </c>
      <c r="Q1954">
        <v>7.0142850000000007E-2</v>
      </c>
      <c r="R1954">
        <v>-0.98595820000000001</v>
      </c>
      <c r="S1954">
        <v>0.37631229999999999</v>
      </c>
      <c r="T1954">
        <v>-0.19056210000000001</v>
      </c>
      <c r="U1954">
        <v>-2.998383</v>
      </c>
      <c r="V1954">
        <v>-0.1186647</v>
      </c>
      <c r="W1954">
        <v>8.300834E-2</v>
      </c>
      <c r="X1954">
        <v>0.98945859999999997</v>
      </c>
      <c r="Y1954">
        <v>-9.1076039999999997E-2</v>
      </c>
      <c r="Z1954">
        <v>6.2996220000000006E-2</v>
      </c>
      <c r="AA1954">
        <v>0.99384939999999999</v>
      </c>
      <c r="AB1954">
        <v>28</v>
      </c>
      <c r="AC1954">
        <v>2.1882999999999599</v>
      </c>
      <c r="AD1954">
        <v>-1.1113832891559901</v>
      </c>
      <c r="AE1954">
        <v>-17.3094</v>
      </c>
      <c r="AF1954">
        <v>-1.6025247837782699</v>
      </c>
      <c r="AG1954">
        <v>-1.1113832891559901</v>
      </c>
      <c r="AH1954">
        <v>17.302615663363898</v>
      </c>
      <c r="AI1954">
        <v>93.659559816663105</v>
      </c>
      <c r="AJ1954">
        <v>95.291495430204293</v>
      </c>
      <c r="AK1954">
        <v>17.4121729629626</v>
      </c>
    </row>
    <row r="1955" spans="1:37" x14ac:dyDescent="0.2">
      <c r="A1955" t="str">
        <f>"20200111154103027"</f>
        <v>20200111154103027</v>
      </c>
      <c r="B1955" t="str">
        <f>"1578728463017717"</f>
        <v>1578728463017717</v>
      </c>
      <c r="C1955" t="s">
        <v>37</v>
      </c>
      <c r="D1955">
        <v>5.1244730000000001</v>
      </c>
      <c r="E1955">
        <v>0.51057079999999999</v>
      </c>
      <c r="F1955" t="s">
        <v>39</v>
      </c>
      <c r="G1955">
        <v>-490.36989999999997</v>
      </c>
      <c r="H1955" s="1">
        <v>-1.126671E-6</v>
      </c>
      <c r="I1955">
        <v>231.98599999999999</v>
      </c>
      <c r="J1955">
        <v>-492.54820000000001</v>
      </c>
      <c r="K1955">
        <v>1.111383</v>
      </c>
      <c r="L1955">
        <v>249.50790000000001</v>
      </c>
      <c r="M1955">
        <v>3.390576E-2</v>
      </c>
      <c r="N1955">
        <v>0</v>
      </c>
      <c r="O1955">
        <v>-0.99933830000000001</v>
      </c>
      <c r="P1955">
        <v>0.15221179999999901</v>
      </c>
      <c r="Q1955">
        <v>7.0117289999999999E-2</v>
      </c>
      <c r="R1955">
        <v>-0.98585769999999995</v>
      </c>
      <c r="S1955">
        <v>0.3703613</v>
      </c>
      <c r="T1955">
        <v>-0.1884236</v>
      </c>
      <c r="U1955">
        <v>-2.9992369999999999</v>
      </c>
      <c r="V1955">
        <v>-0.1188221</v>
      </c>
      <c r="W1955">
        <v>8.2980299999999896E-2</v>
      </c>
      <c r="X1955">
        <v>0.98944209999999999</v>
      </c>
      <c r="Y1955">
        <v>-8.8592790000000005E-2</v>
      </c>
      <c r="Z1955">
        <v>6.2287460000000003E-2</v>
      </c>
      <c r="AA1955">
        <v>0.99411849999999902</v>
      </c>
      <c r="AB1955">
        <v>28</v>
      </c>
      <c r="AC1955">
        <v>2.1783000000000299</v>
      </c>
      <c r="AD1955">
        <v>-1.1113841266710001</v>
      </c>
      <c r="AE1955">
        <v>-17.521899999999999</v>
      </c>
      <c r="AF1955">
        <v>-1.57665591794769</v>
      </c>
      <c r="AG1955">
        <v>-1.1113841266710001</v>
      </c>
      <c r="AH1955">
        <v>17.516289020959501</v>
      </c>
      <c r="AI1955">
        <v>93.615891497290505</v>
      </c>
      <c r="AJ1955">
        <v>95.143380748842503</v>
      </c>
      <c r="AK1955">
        <v>17.6221848709631</v>
      </c>
    </row>
    <row r="1956" spans="1:37" x14ac:dyDescent="0.2">
      <c r="A1956" t="str">
        <f>"20200111154103046"</f>
        <v>20200111154103046</v>
      </c>
      <c r="B1956" t="str">
        <f>"1578728463038212"</f>
        <v>1578728463038212</v>
      </c>
      <c r="C1956" t="s">
        <v>37</v>
      </c>
      <c r="D1956">
        <v>5.1407850000000002</v>
      </c>
      <c r="E1956">
        <v>0.51122380000000001</v>
      </c>
      <c r="F1956" t="s">
        <v>39</v>
      </c>
      <c r="G1956">
        <v>-490.3596</v>
      </c>
      <c r="H1956" s="1">
        <v>-1.002857E-6</v>
      </c>
      <c r="I1956">
        <v>231.7038</v>
      </c>
      <c r="J1956">
        <v>-492.5394</v>
      </c>
      <c r="K1956">
        <v>1.1113899999999901</v>
      </c>
      <c r="L1956">
        <v>249.27189999999999</v>
      </c>
      <c r="M1956">
        <v>3.4636899999999998E-2</v>
      </c>
      <c r="N1956">
        <v>0</v>
      </c>
      <c r="O1956">
        <v>-0.99931329999999996</v>
      </c>
      <c r="P1956">
        <v>0.1530871</v>
      </c>
      <c r="Q1956">
        <v>7.0042220000000002E-2</v>
      </c>
      <c r="R1956">
        <v>-0.98572780000000004</v>
      </c>
      <c r="S1956">
        <v>0.36871340000000002</v>
      </c>
      <c r="T1956">
        <v>-0.1872317</v>
      </c>
      <c r="U1956">
        <v>-2.9994049999999999</v>
      </c>
      <c r="V1956">
        <v>-0.118978099999999</v>
      </c>
      <c r="W1956">
        <v>8.2900950000000001E-2</v>
      </c>
      <c r="X1956">
        <v>0.98942999999999903</v>
      </c>
      <c r="Y1956">
        <v>-8.7322150000000001E-2</v>
      </c>
      <c r="Z1956">
        <v>6.1894770000000002E-2</v>
      </c>
      <c r="AA1956">
        <v>0.99425540000000001</v>
      </c>
      <c r="AB1956">
        <v>28</v>
      </c>
      <c r="AC1956">
        <v>2.1798000000000002</v>
      </c>
      <c r="AD1956">
        <v>-1.111391002857</v>
      </c>
      <c r="AE1956">
        <v>-17.568099999999902</v>
      </c>
      <c r="AF1956">
        <v>-1.5637711540169501</v>
      </c>
      <c r="AG1956">
        <v>-1.111391002857</v>
      </c>
      <c r="AH1956">
        <v>17.563838823401301</v>
      </c>
      <c r="AI1956">
        <v>93.606462647560605</v>
      </c>
      <c r="AJ1956">
        <v>95.087832001081694</v>
      </c>
      <c r="AK1956">
        <v>17.668305079938602</v>
      </c>
    </row>
    <row r="1957" spans="1:37" x14ac:dyDescent="0.2">
      <c r="A1957" t="str">
        <f>"20200111154103068"</f>
        <v>20200111154103068</v>
      </c>
      <c r="B1957" t="str">
        <f>"1578728463058707"</f>
        <v>1578728463058707</v>
      </c>
      <c r="C1957" t="s">
        <v>37</v>
      </c>
      <c r="D1957">
        <v>5.1588620000000001</v>
      </c>
      <c r="E1957">
        <v>0.51190709999999995</v>
      </c>
      <c r="F1957" t="s">
        <v>39</v>
      </c>
      <c r="G1957">
        <v>-490.34730000000002</v>
      </c>
      <c r="H1957" s="1">
        <v>-8.1391850000000004E-7</v>
      </c>
      <c r="I1957">
        <v>231.27099999999999</v>
      </c>
      <c r="J1957">
        <v>-492.52879999999999</v>
      </c>
      <c r="K1957">
        <v>1.1114090000000001</v>
      </c>
      <c r="L1957">
        <v>248.99610000000001</v>
      </c>
      <c r="M1957">
        <v>3.5515280000000003E-2</v>
      </c>
      <c r="N1957">
        <v>0</v>
      </c>
      <c r="O1957">
        <v>-0.99928240000000002</v>
      </c>
      <c r="P1957">
        <v>0.15402829999999901</v>
      </c>
      <c r="Q1957">
        <v>7.0808259999999998E-2</v>
      </c>
      <c r="R1957">
        <v>-0.98552609999999996</v>
      </c>
      <c r="S1957">
        <v>0.36532589999999998</v>
      </c>
      <c r="T1957">
        <v>-0.185213299999999</v>
      </c>
      <c r="U1957">
        <v>-2.9998469999999999</v>
      </c>
      <c r="V1957">
        <v>-0.1190601</v>
      </c>
      <c r="W1957">
        <v>8.3659810000000001E-2</v>
      </c>
      <c r="X1957">
        <v>0.98935620000000002</v>
      </c>
      <c r="Y1957">
        <v>-8.5327399999999901E-2</v>
      </c>
      <c r="Z1957">
        <v>6.1227759999999999E-2</v>
      </c>
      <c r="AA1957">
        <v>0.99446990000000002</v>
      </c>
      <c r="AB1957">
        <v>28</v>
      </c>
      <c r="AC1957">
        <v>2.18149999999997</v>
      </c>
      <c r="AD1957">
        <v>-1.1114098139185</v>
      </c>
      <c r="AE1957">
        <v>-17.725100000000001</v>
      </c>
      <c r="AF1957">
        <v>-1.5445750026269101</v>
      </c>
      <c r="AG1957">
        <v>-1.1114098139185</v>
      </c>
      <c r="AH1957">
        <v>17.7227598018554</v>
      </c>
      <c r="AI1957">
        <v>93.574854230918206</v>
      </c>
      <c r="AJ1957">
        <v>94.980859904715203</v>
      </c>
      <c r="AK1957">
        <v>17.824622259881799</v>
      </c>
    </row>
    <row r="1958" spans="1:37" x14ac:dyDescent="0.2">
      <c r="A1958" t="str">
        <f>"20200111154103082"</f>
        <v>20200111154103082</v>
      </c>
      <c r="B1958" t="str">
        <f>"1578728463078230"</f>
        <v>1578728463078230</v>
      </c>
      <c r="C1958" t="s">
        <v>37</v>
      </c>
      <c r="D1958">
        <v>5.1817359999999999</v>
      </c>
      <c r="E1958">
        <v>0.51256089999999999</v>
      </c>
      <c r="F1958" t="s">
        <v>39</v>
      </c>
      <c r="G1958">
        <v>-490.31650000000002</v>
      </c>
      <c r="H1958" s="1">
        <v>-5.5243830000000002E-7</v>
      </c>
      <c r="I1958">
        <v>230.6806</v>
      </c>
      <c r="J1958">
        <v>-492.52229999999997</v>
      </c>
      <c r="K1958">
        <v>1.1114200000000001</v>
      </c>
      <c r="L1958">
        <v>248.8289</v>
      </c>
      <c r="M1958">
        <v>3.6059300000000002E-2</v>
      </c>
      <c r="N1958">
        <v>0</v>
      </c>
      <c r="O1958">
        <v>-0.99926289999999995</v>
      </c>
      <c r="P1958">
        <v>0.15469720000000001</v>
      </c>
      <c r="Q1958">
        <v>7.1195530000000007E-2</v>
      </c>
      <c r="R1958">
        <v>-0.98539370000000004</v>
      </c>
      <c r="S1958">
        <v>0.36242679999999999</v>
      </c>
      <c r="T1958">
        <v>-0.18207419999999999</v>
      </c>
      <c r="U1958">
        <v>-3.0005039999999998</v>
      </c>
      <c r="V1958">
        <v>-0.1191974</v>
      </c>
      <c r="W1958">
        <v>8.4041359999999996E-2</v>
      </c>
      <c r="X1958">
        <v>0.9893073</v>
      </c>
      <c r="Y1958">
        <v>-8.3819409999999997E-2</v>
      </c>
      <c r="Z1958">
        <v>6.0186410000000003E-2</v>
      </c>
      <c r="AA1958">
        <v>0.99466169999999998</v>
      </c>
      <c r="AB1958">
        <v>28</v>
      </c>
      <c r="AC1958">
        <v>2.2057999999999498</v>
      </c>
      <c r="AD1958">
        <v>-1.1114205524383001</v>
      </c>
      <c r="AE1958">
        <v>-18.148299999999999</v>
      </c>
      <c r="AF1958">
        <v>-1.5441863742412001</v>
      </c>
      <c r="AG1958">
        <v>-1.1114205524383001</v>
      </c>
      <c r="AH1958">
        <v>18.148965604632799</v>
      </c>
      <c r="AI1958">
        <v>93.491762724713297</v>
      </c>
      <c r="AJ1958">
        <v>94.863240532556702</v>
      </c>
      <c r="AK1958">
        <v>18.248416909993001</v>
      </c>
    </row>
    <row r="1959" spans="1:37" x14ac:dyDescent="0.2">
      <c r="A1959" t="str">
        <f>"20200111154103100"</f>
        <v>20200111154103100</v>
      </c>
      <c r="B1959" t="str">
        <f>"1578728463087988"</f>
        <v>1578728463087988</v>
      </c>
      <c r="C1959" t="s">
        <v>37</v>
      </c>
      <c r="D1959">
        <v>5.1552309999999997</v>
      </c>
      <c r="E1959">
        <v>0.51287099999999997</v>
      </c>
      <c r="F1959" t="s">
        <v>39</v>
      </c>
      <c r="G1959">
        <v>-490.31139999999999</v>
      </c>
      <c r="H1959" s="1">
        <v>-4.0021670000000001E-7</v>
      </c>
      <c r="I1959">
        <v>230.3289</v>
      </c>
      <c r="J1959">
        <v>-492.51310000000001</v>
      </c>
      <c r="K1959">
        <v>1.1114469999999901</v>
      </c>
      <c r="L1959">
        <v>248.59719999999999</v>
      </c>
      <c r="M1959">
        <v>3.6837389999999998E-2</v>
      </c>
      <c r="N1959">
        <v>0</v>
      </c>
      <c r="O1959">
        <v>-0.99923459999999997</v>
      </c>
      <c r="P1959">
        <v>0.15571570000000001</v>
      </c>
      <c r="Q1959">
        <v>7.1945129999999996E-2</v>
      </c>
      <c r="R1959">
        <v>-0.98517860000000002</v>
      </c>
      <c r="S1959">
        <v>0.35867309999999902</v>
      </c>
      <c r="T1959">
        <v>-0.1803014</v>
      </c>
      <c r="U1959">
        <v>-3.0011899999999998</v>
      </c>
      <c r="V1959">
        <v>-0.1194573</v>
      </c>
      <c r="W1959">
        <v>8.4782570000000002E-2</v>
      </c>
      <c r="X1959">
        <v>0.9892128</v>
      </c>
      <c r="Y1959">
        <v>-8.1794080000000005E-2</v>
      </c>
      <c r="Z1959">
        <v>5.95959E-2</v>
      </c>
      <c r="AA1959">
        <v>0.99486580000000002</v>
      </c>
      <c r="AB1959">
        <v>28</v>
      </c>
      <c r="AC1959">
        <v>2.20170000000001</v>
      </c>
      <c r="AD1959">
        <v>-1.1114474002167001</v>
      </c>
      <c r="AE1959">
        <v>-18.268299999999901</v>
      </c>
      <c r="AF1959">
        <v>-1.52163884787257</v>
      </c>
      <c r="AG1959">
        <v>-1.1114474002167001</v>
      </c>
      <c r="AH1959">
        <v>18.270350520777502</v>
      </c>
      <c r="AI1959">
        <v>93.469225002133996</v>
      </c>
      <c r="AJ1959">
        <v>94.760868762017495</v>
      </c>
      <c r="AK1959">
        <v>18.367264582916999</v>
      </c>
    </row>
    <row r="1960" spans="1:37" x14ac:dyDescent="0.2">
      <c r="A1960" t="str">
        <f>"20200111154103115"</f>
        <v>20200111154103115</v>
      </c>
      <c r="B1960" t="str">
        <f>"1578728463108484"</f>
        <v>1578728463108484</v>
      </c>
      <c r="C1960" t="s">
        <v>37</v>
      </c>
      <c r="D1960">
        <v>5.1563530000000002</v>
      </c>
      <c r="E1960">
        <v>0.51338009999999901</v>
      </c>
      <c r="F1960" t="s">
        <v>39</v>
      </c>
      <c r="G1960">
        <v>-490.26330000000002</v>
      </c>
      <c r="H1960" s="1">
        <v>-1.5160699999999999E-7</v>
      </c>
      <c r="I1960">
        <v>229.7792</v>
      </c>
      <c r="J1960">
        <v>-492.50580000000002</v>
      </c>
      <c r="K1960">
        <v>1.1114629999999901</v>
      </c>
      <c r="L1960">
        <v>248.41929999999999</v>
      </c>
      <c r="M1960">
        <v>3.7454710000000002E-2</v>
      </c>
      <c r="N1960">
        <v>0</v>
      </c>
      <c r="O1960">
        <v>-0.99921150000000003</v>
      </c>
      <c r="P1960">
        <v>0.15621550000000001</v>
      </c>
      <c r="Q1960">
        <v>7.2614010000000007E-2</v>
      </c>
      <c r="R1960">
        <v>-0.98505030000000005</v>
      </c>
      <c r="S1960">
        <v>0.35882570000000003</v>
      </c>
      <c r="T1960">
        <v>-0.17727000000000001</v>
      </c>
      <c r="U1960">
        <v>-3.0013730000000001</v>
      </c>
      <c r="V1960">
        <v>-0.1193543</v>
      </c>
      <c r="W1960">
        <v>8.5445809999999997E-2</v>
      </c>
      <c r="X1960">
        <v>0.98916809999999999</v>
      </c>
      <c r="Y1960">
        <v>-8.1228090000000003E-2</v>
      </c>
      <c r="Z1960">
        <v>5.8593020000000003E-2</v>
      </c>
      <c r="AA1960">
        <v>0.99497179999999996</v>
      </c>
      <c r="AB1960">
        <v>28</v>
      </c>
      <c r="AC1960">
        <v>2.2425000000000002</v>
      </c>
      <c r="AD1960">
        <v>-1.1114631516069999</v>
      </c>
      <c r="AE1960">
        <v>-18.640099999999901</v>
      </c>
      <c r="AF1960">
        <v>-1.5373182358872799</v>
      </c>
      <c r="AG1960">
        <v>-1.1114631516069999</v>
      </c>
      <c r="AH1960">
        <v>18.645670126288302</v>
      </c>
      <c r="AI1960">
        <v>93.399839557137</v>
      </c>
      <c r="AJ1960">
        <v>94.713323102294495</v>
      </c>
      <c r="AK1960">
        <v>18.7419239181609</v>
      </c>
    </row>
    <row r="1961" spans="1:37" x14ac:dyDescent="0.2">
      <c r="A1961" t="str">
        <f>"20200111154103135"</f>
        <v>20200111154103135</v>
      </c>
      <c r="B1961" t="str">
        <f>"1578728463128004"</f>
        <v>1578728463128004</v>
      </c>
      <c r="C1961" t="s">
        <v>37</v>
      </c>
      <c r="D1961">
        <v>5.1524929999999998</v>
      </c>
      <c r="E1961">
        <v>0.51379350000000001</v>
      </c>
      <c r="F1961" t="s">
        <v>43</v>
      </c>
      <c r="G1961">
        <v>-490.23809999999997</v>
      </c>
      <c r="H1961" s="1">
        <v>6.4793279999999999E-6</v>
      </c>
      <c r="I1961">
        <v>229.32140000000001</v>
      </c>
      <c r="J1961">
        <v>-492.49509999999998</v>
      </c>
      <c r="K1961">
        <v>1.1114930000000001</v>
      </c>
      <c r="L1961">
        <v>248.16030000000001</v>
      </c>
      <c r="M1961">
        <v>3.837629E-2</v>
      </c>
      <c r="N1961">
        <v>0</v>
      </c>
      <c r="O1961">
        <v>-0.99917679999999998</v>
      </c>
      <c r="P1961">
        <v>0.15778410000000001</v>
      </c>
      <c r="Q1961">
        <v>7.2999090000000003E-2</v>
      </c>
      <c r="R1961">
        <v>-0.98477209999999904</v>
      </c>
      <c r="S1961">
        <v>0.35644530000000002</v>
      </c>
      <c r="T1961">
        <v>-0.17470289999999999</v>
      </c>
      <c r="U1961">
        <v>-3.0018769999999999</v>
      </c>
      <c r="V1961">
        <v>-0.1200249</v>
      </c>
      <c r="W1961">
        <v>8.5820670000000002E-2</v>
      </c>
      <c r="X1961">
        <v>0.98905449999999995</v>
      </c>
      <c r="Y1961">
        <v>-7.9516959999999998E-2</v>
      </c>
      <c r="Z1961">
        <v>5.7741439999999998E-2</v>
      </c>
      <c r="AA1961">
        <v>0.99515980000000004</v>
      </c>
      <c r="AB1961">
        <v>28</v>
      </c>
      <c r="AC1961">
        <v>2.2570000000000001</v>
      </c>
      <c r="AD1961">
        <v>-1.1114865206719999</v>
      </c>
      <c r="AE1961">
        <v>-18.838899999999899</v>
      </c>
      <c r="AF1961">
        <v>-1.52706706399318</v>
      </c>
      <c r="AG1961">
        <v>-1.1114865206719999</v>
      </c>
      <c r="AH1961">
        <v>18.846965921021201</v>
      </c>
      <c r="AI1961">
        <v>93.364069993357305</v>
      </c>
      <c r="AJ1961">
        <v>94.632245971206103</v>
      </c>
      <c r="AK1961">
        <v>18.9413690247485</v>
      </c>
    </row>
    <row r="1962" spans="1:37" x14ac:dyDescent="0.2">
      <c r="A1962" t="str">
        <f>"20200111154103149"</f>
        <v>20200111154103149</v>
      </c>
      <c r="B1962" t="str">
        <f>"1578728463137765"</f>
        <v>1578728463137765</v>
      </c>
      <c r="C1962" t="s">
        <v>37</v>
      </c>
      <c r="D1962">
        <v>5.1798960000000003</v>
      </c>
      <c r="E1962">
        <v>0.51399620000000001</v>
      </c>
      <c r="F1962" t="s">
        <v>43</v>
      </c>
      <c r="G1962">
        <v>-490.19670000000002</v>
      </c>
      <c r="H1962" s="1">
        <v>6.3369219999999996E-6</v>
      </c>
      <c r="I1962">
        <v>228.8321</v>
      </c>
      <c r="J1962">
        <v>-492.48770000000002</v>
      </c>
      <c r="K1962">
        <v>1.1115059999999899</v>
      </c>
      <c r="L1962">
        <v>247.98560000000001</v>
      </c>
      <c r="M1962">
        <v>3.9012900000000003E-2</v>
      </c>
      <c r="N1962">
        <v>0</v>
      </c>
      <c r="O1962">
        <v>-0.99915209999999999</v>
      </c>
      <c r="P1962">
        <v>0.15895989999999999</v>
      </c>
      <c r="Q1962">
        <v>7.3353340000000003E-2</v>
      </c>
      <c r="R1962">
        <v>-0.984556599999999</v>
      </c>
      <c r="S1962">
        <v>0.35696409999999901</v>
      </c>
      <c r="T1962">
        <v>-0.17263100000000001</v>
      </c>
      <c r="U1962">
        <v>-3.0019680000000002</v>
      </c>
      <c r="V1962">
        <v>-0.1205806</v>
      </c>
      <c r="W1962">
        <v>8.6167949999999993E-2</v>
      </c>
      <c r="X1962">
        <v>0.98895669999999902</v>
      </c>
      <c r="Y1962">
        <v>-7.9052520000000001E-2</v>
      </c>
      <c r="Z1962">
        <v>5.705557E-2</v>
      </c>
      <c r="AA1962">
        <v>0.99523629999999996</v>
      </c>
      <c r="AB1962">
        <v>28</v>
      </c>
      <c r="AC1962">
        <v>2.2909999999999902</v>
      </c>
      <c r="AD1962">
        <v>-1.1114996630779901</v>
      </c>
      <c r="AE1962">
        <v>-19.153500000000001</v>
      </c>
      <c r="AF1962">
        <v>-1.53685479186243</v>
      </c>
      <c r="AG1962">
        <v>-1.1114996630779901</v>
      </c>
      <c r="AH1962">
        <v>19.164673455748702</v>
      </c>
      <c r="AI1962">
        <v>93.308685272317007</v>
      </c>
      <c r="AJ1962">
        <v>94.584855781352402</v>
      </c>
      <c r="AK1962">
        <v>19.258298544206198</v>
      </c>
    </row>
    <row r="1963" spans="1:37" x14ac:dyDescent="0.2">
      <c r="A1963" t="str">
        <f>"20200111154103168"</f>
        <v>20200111154103168</v>
      </c>
      <c r="B1963" t="str">
        <f>"1578728463158263"</f>
        <v>1578728463158263</v>
      </c>
      <c r="C1963" t="s">
        <v>37</v>
      </c>
      <c r="D1963">
        <v>5.1418549999999996</v>
      </c>
      <c r="E1963">
        <v>0.51431850000000001</v>
      </c>
      <c r="F1963" t="s">
        <v>43</v>
      </c>
      <c r="G1963">
        <v>-490.16669999999999</v>
      </c>
      <c r="H1963" s="1">
        <v>6.257193E-6</v>
      </c>
      <c r="I1963">
        <v>228.55330000000001</v>
      </c>
      <c r="J1963">
        <v>-492.47730000000001</v>
      </c>
      <c r="K1963">
        <v>1.111521</v>
      </c>
      <c r="L1963">
        <v>247.74639999999999</v>
      </c>
      <c r="M1963">
        <v>3.9899410000000003E-2</v>
      </c>
      <c r="N1963">
        <v>0</v>
      </c>
      <c r="O1963">
        <v>-0.99911709999999998</v>
      </c>
      <c r="P1963">
        <v>0.1606091</v>
      </c>
      <c r="Q1963">
        <v>7.3761419999999994E-2</v>
      </c>
      <c r="R1963">
        <v>-0.98425849999999904</v>
      </c>
      <c r="S1963">
        <v>0.35855100000000001</v>
      </c>
      <c r="T1963">
        <v>-0.17170729999999901</v>
      </c>
      <c r="U1963">
        <v>-3.0019529999999999</v>
      </c>
      <c r="V1963">
        <v>-0.12136619999999999</v>
      </c>
      <c r="W1963">
        <v>8.6567469999999994E-2</v>
      </c>
      <c r="X1963">
        <v>0.98882569999999903</v>
      </c>
      <c r="Y1963">
        <v>-7.8689460000000003E-2</v>
      </c>
      <c r="Z1963">
        <v>5.6747609999999997E-2</v>
      </c>
      <c r="AA1963">
        <v>0.99528269999999996</v>
      </c>
      <c r="AB1963">
        <v>28</v>
      </c>
      <c r="AC1963">
        <v>2.31060000000002</v>
      </c>
      <c r="AD1963">
        <v>-1.111514742807</v>
      </c>
      <c r="AE1963">
        <v>-19.193099999999902</v>
      </c>
      <c r="AF1963">
        <v>-1.53781623291536</v>
      </c>
      <c r="AG1963">
        <v>-1.111514742807</v>
      </c>
      <c r="AH1963">
        <v>19.206518434658499</v>
      </c>
      <c r="AI1963">
        <v>93.301570035435205</v>
      </c>
      <c r="AJ1963">
        <v>94.577759124776406</v>
      </c>
      <c r="AK1963">
        <v>19.300017983685201</v>
      </c>
    </row>
    <row r="1964" spans="1:37" x14ac:dyDescent="0.2">
      <c r="A1964" t="str">
        <f>"20200111154103181"</f>
        <v>20200111154103181</v>
      </c>
      <c r="B1964" t="str">
        <f>"1578728463177780"</f>
        <v>1578728463177780</v>
      </c>
      <c r="C1964" t="s">
        <v>37</v>
      </c>
      <c r="D1964">
        <v>5.1724269999999999</v>
      </c>
      <c r="E1964">
        <v>0.51470179999999999</v>
      </c>
      <c r="F1964" t="s">
        <v>43</v>
      </c>
      <c r="G1964">
        <v>-490.11630000000002</v>
      </c>
      <c r="H1964" s="1">
        <v>6.1228519999999998E-6</v>
      </c>
      <c r="I1964">
        <v>228.08349999999999</v>
      </c>
      <c r="J1964">
        <v>-492.47</v>
      </c>
      <c r="K1964">
        <v>1.1115280000000001</v>
      </c>
      <c r="L1964">
        <v>247.58009999999999</v>
      </c>
      <c r="M1964">
        <v>4.0522530000000001E-2</v>
      </c>
      <c r="N1964">
        <v>0</v>
      </c>
      <c r="O1964">
        <v>-0.99909179999999997</v>
      </c>
      <c r="P1964">
        <v>0.1619226</v>
      </c>
      <c r="Q1964">
        <v>7.3852860000000006E-2</v>
      </c>
      <c r="R1964">
        <v>-0.98403569999999996</v>
      </c>
      <c r="S1964">
        <v>0.36044309999999902</v>
      </c>
      <c r="T1964">
        <v>-0.16969000000000001</v>
      </c>
      <c r="U1964">
        <v>-3.001846</v>
      </c>
      <c r="V1964">
        <v>-0.122072</v>
      </c>
      <c r="W1964">
        <v>8.6653430000000004E-2</v>
      </c>
      <c r="X1964">
        <v>0.98873129999999998</v>
      </c>
      <c r="Y1964">
        <v>-7.8694849999999997E-2</v>
      </c>
      <c r="Z1964">
        <v>5.6080820000000003E-2</v>
      </c>
      <c r="AA1964">
        <v>0.99532009999999904</v>
      </c>
      <c r="AB1964">
        <v>28</v>
      </c>
      <c r="AC1964">
        <v>2.3536999999999999</v>
      </c>
      <c r="AD1964">
        <v>-1.111521877148</v>
      </c>
      <c r="AE1964">
        <v>-19.496600000000001</v>
      </c>
      <c r="AF1964">
        <v>-1.5566594195941199</v>
      </c>
      <c r="AG1964">
        <v>-1.111521877148</v>
      </c>
      <c r="AH1964">
        <v>19.513456594709702</v>
      </c>
      <c r="AI1964">
        <v>93.249846440249897</v>
      </c>
      <c r="AJ1964">
        <v>94.561033909963797</v>
      </c>
      <c r="AK1964">
        <v>19.606979821115001</v>
      </c>
    </row>
    <row r="1965" spans="1:37" x14ac:dyDescent="0.2">
      <c r="A1965" t="str">
        <f>"20200111154103202"</f>
        <v>20200111154103202</v>
      </c>
      <c r="B1965" t="str">
        <f>"1578728463198276"</f>
        <v>1578728463198276</v>
      </c>
      <c r="C1965" t="s">
        <v>37</v>
      </c>
      <c r="D1965">
        <v>5.1536569999999999</v>
      </c>
      <c r="E1965">
        <v>0.51502360000000003</v>
      </c>
      <c r="F1965" t="s">
        <v>43</v>
      </c>
      <c r="G1965">
        <v>-490.08879999999999</v>
      </c>
      <c r="H1965" s="1">
        <v>6.0349719999999999E-6</v>
      </c>
      <c r="I1965">
        <v>227.78020000000001</v>
      </c>
      <c r="J1965">
        <v>-492.45929999999998</v>
      </c>
      <c r="K1965">
        <v>1.1115299999999999</v>
      </c>
      <c r="L1965">
        <v>247.33949999999999</v>
      </c>
      <c r="M1965">
        <v>4.1431950000000002E-2</v>
      </c>
      <c r="N1965">
        <v>0</v>
      </c>
      <c r="O1965">
        <v>-0.99905489999999997</v>
      </c>
      <c r="P1965">
        <v>0.16381689999999999</v>
      </c>
      <c r="Q1965">
        <v>7.3780059999999995E-2</v>
      </c>
      <c r="R1965">
        <v>-0.98372819999999905</v>
      </c>
      <c r="S1965">
        <v>0.36102289999999998</v>
      </c>
      <c r="T1965">
        <v>-0.16852020000000001</v>
      </c>
      <c r="U1965">
        <v>-3.0019070000000001</v>
      </c>
      <c r="V1965">
        <v>-0.12307750000000001</v>
      </c>
      <c r="W1965">
        <v>8.6574109999999996E-2</v>
      </c>
      <c r="X1965">
        <v>0.98861359999999998</v>
      </c>
      <c r="Y1965">
        <v>-7.7977119999999997E-2</v>
      </c>
      <c r="Z1965">
        <v>5.5692129999999999E-2</v>
      </c>
      <c r="AA1965">
        <v>0.99539840000000002</v>
      </c>
      <c r="AB1965">
        <v>28</v>
      </c>
      <c r="AC1965">
        <v>2.3704999999999901</v>
      </c>
      <c r="AD1965">
        <v>-1.111523965028</v>
      </c>
      <c r="AE1965">
        <v>-19.559299999999901</v>
      </c>
      <c r="AF1965">
        <v>-1.55307125120914</v>
      </c>
      <c r="AG1965">
        <v>-1.111523965028</v>
      </c>
      <c r="AH1965">
        <v>19.578412400617999</v>
      </c>
      <c r="AI1965">
        <v>93.239207859818606</v>
      </c>
      <c r="AJ1965">
        <v>94.535530301924098</v>
      </c>
      <c r="AK1965">
        <v>19.671343318767999</v>
      </c>
    </row>
    <row r="1966" spans="1:37" x14ac:dyDescent="0.2">
      <c r="A1966" t="str">
        <f>"20200111154103215"</f>
        <v>20200111154103215</v>
      </c>
      <c r="B1966" t="str">
        <f>"1578728463208036"</f>
        <v>1578728463208036</v>
      </c>
      <c r="C1966" t="s">
        <v>37</v>
      </c>
      <c r="D1966">
        <v>5.1705309999999898</v>
      </c>
      <c r="E1966">
        <v>0.51520169999999998</v>
      </c>
      <c r="F1966" t="s">
        <v>43</v>
      </c>
      <c r="G1966">
        <v>-490.05439999999999</v>
      </c>
      <c r="H1966" s="1">
        <v>5.9633169999999898E-6</v>
      </c>
      <c r="I1966">
        <v>227.52420000000001</v>
      </c>
      <c r="J1966">
        <v>-492.45080000000002</v>
      </c>
      <c r="K1966">
        <v>1.111532</v>
      </c>
      <c r="L1966">
        <v>247.15479999999999</v>
      </c>
      <c r="M1966">
        <v>4.2132799999999998E-2</v>
      </c>
      <c r="N1966">
        <v>0</v>
      </c>
      <c r="O1966">
        <v>-0.9990253</v>
      </c>
      <c r="P1966">
        <v>0.16538039999999901</v>
      </c>
      <c r="Q1966">
        <v>7.3527330000000002E-2</v>
      </c>
      <c r="R1966">
        <v>-0.9834851</v>
      </c>
      <c r="S1966">
        <v>0.36428829999999901</v>
      </c>
      <c r="T1966">
        <v>-0.16837339999999901</v>
      </c>
      <c r="U1966">
        <v>-3.001617</v>
      </c>
      <c r="V1966">
        <v>-0.1239561</v>
      </c>
      <c r="W1966">
        <v>8.631759E-2</v>
      </c>
      <c r="X1966">
        <v>0.98852619999999902</v>
      </c>
      <c r="Y1966">
        <v>-7.8356739999999994E-2</v>
      </c>
      <c r="Z1966">
        <v>5.5642179999999999E-2</v>
      </c>
      <c r="AA1966">
        <v>0.99537140000000002</v>
      </c>
      <c r="AB1966">
        <v>28</v>
      </c>
      <c r="AC1966">
        <v>2.3964000000000198</v>
      </c>
      <c r="AD1966">
        <v>-1.111526036683</v>
      </c>
      <c r="AE1966">
        <v>-19.630599999999902</v>
      </c>
      <c r="AF1966">
        <v>-1.5621729780079701</v>
      </c>
      <c r="AG1966">
        <v>-1.111526036683</v>
      </c>
      <c r="AH1966">
        <v>19.652060559075199</v>
      </c>
      <c r="AI1966">
        <v>93.227058147564406</v>
      </c>
      <c r="AJ1966">
        <v>94.544973960109004</v>
      </c>
      <c r="AK1966">
        <v>19.7453629685808</v>
      </c>
    </row>
    <row r="1967" spans="1:37" x14ac:dyDescent="0.2">
      <c r="A1967" t="str">
        <f>"20200111154103236"</f>
        <v>20200111154103236</v>
      </c>
      <c r="B1967" t="str">
        <f>"1578728463228532"</f>
        <v>1578728463228532</v>
      </c>
      <c r="C1967" t="s">
        <v>37</v>
      </c>
      <c r="D1967">
        <v>5.1973029999999998</v>
      </c>
      <c r="E1967">
        <v>0.5155362</v>
      </c>
      <c r="F1967" t="s">
        <v>43</v>
      </c>
      <c r="G1967">
        <v>-490.03989999999999</v>
      </c>
      <c r="H1967" s="1">
        <v>5.9337879999999902E-6</v>
      </c>
      <c r="I1967">
        <v>227.41849999999999</v>
      </c>
      <c r="J1967">
        <v>-492.43889999999999</v>
      </c>
      <c r="K1967">
        <v>1.1115349999999999</v>
      </c>
      <c r="L1967">
        <v>246.899</v>
      </c>
      <c r="M1967">
        <v>4.3103299999999997E-2</v>
      </c>
      <c r="N1967">
        <v>0</v>
      </c>
      <c r="O1967">
        <v>-0.99898410000000004</v>
      </c>
      <c r="P1967">
        <v>0.16786499999999999</v>
      </c>
      <c r="Q1967">
        <v>7.3793750000000005E-2</v>
      </c>
      <c r="R1967">
        <v>-0.98304460000000005</v>
      </c>
      <c r="S1967">
        <v>0.36663820000000003</v>
      </c>
      <c r="T1967">
        <v>-0.16903270000000001</v>
      </c>
      <c r="U1967">
        <v>-3.0013429999999999</v>
      </c>
      <c r="V1967">
        <v>-0.12549640000000001</v>
      </c>
      <c r="W1967">
        <v>8.6576479999999997E-2</v>
      </c>
      <c r="X1967">
        <v>0.98830929999999995</v>
      </c>
      <c r="Y1967">
        <v>-7.8165639999999995E-2</v>
      </c>
      <c r="Z1967">
        <v>5.585876E-2</v>
      </c>
      <c r="AA1967">
        <v>0.99537430000000005</v>
      </c>
      <c r="AB1967">
        <v>28</v>
      </c>
      <c r="AC1967">
        <v>2.399</v>
      </c>
      <c r="AD1967">
        <v>-1.1115290662119901</v>
      </c>
      <c r="AE1967">
        <v>-19.480499999999999</v>
      </c>
      <c r="AF1967">
        <v>-1.5520461341426099</v>
      </c>
      <c r="AG1967">
        <v>-1.1115290662119901</v>
      </c>
      <c r="AH1967">
        <v>19.503258101140801</v>
      </c>
      <c r="AI1967">
        <v>93.251613212673902</v>
      </c>
      <c r="AJ1967">
        <v>94.549941699186206</v>
      </c>
      <c r="AK1967">
        <v>19.596464493047101</v>
      </c>
    </row>
    <row r="1968" spans="1:37" x14ac:dyDescent="0.2">
      <c r="A1968" t="str">
        <f>"20200111154103250"</f>
        <v>20200111154103250</v>
      </c>
      <c r="B1968" t="str">
        <f>"1578728463238292"</f>
        <v>1578728463238292</v>
      </c>
      <c r="C1968" t="s">
        <v>37</v>
      </c>
      <c r="D1968">
        <v>5.1973010000000004</v>
      </c>
      <c r="E1968">
        <v>0.51568630000000004</v>
      </c>
      <c r="F1968" t="s">
        <v>43</v>
      </c>
      <c r="G1968">
        <v>-489.99439999999998</v>
      </c>
      <c r="H1968" s="1">
        <v>5.850839E-6</v>
      </c>
      <c r="I1968">
        <v>227.1182</v>
      </c>
      <c r="J1968">
        <v>-492.4314</v>
      </c>
      <c r="K1968">
        <v>1.1115379999999999</v>
      </c>
      <c r="L1968">
        <v>246.7406</v>
      </c>
      <c r="M1968">
        <v>4.3703279999999997E-2</v>
      </c>
      <c r="N1968">
        <v>0</v>
      </c>
      <c r="O1968">
        <v>-0.99895780000000001</v>
      </c>
      <c r="P1968">
        <v>0.16922519999999999</v>
      </c>
      <c r="Q1968">
        <v>7.3964080000000001E-2</v>
      </c>
      <c r="R1968">
        <v>-0.98279830000000001</v>
      </c>
      <c r="S1968">
        <v>0.37088009999999999</v>
      </c>
      <c r="T1968">
        <v>-0.1686375</v>
      </c>
      <c r="U1968">
        <v>-3.0010829999999999</v>
      </c>
      <c r="V1968">
        <v>-0.12627160000000001</v>
      </c>
      <c r="W1968">
        <v>8.6742760000000002E-2</v>
      </c>
      <c r="X1968">
        <v>0.98819590000000002</v>
      </c>
      <c r="Y1968">
        <v>-7.8964110000000004E-2</v>
      </c>
      <c r="Z1968">
        <v>5.5724639999999999E-2</v>
      </c>
      <c r="AA1968">
        <v>0.99531879999999995</v>
      </c>
      <c r="AB1968">
        <v>28</v>
      </c>
      <c r="AC1968">
        <v>2.43700000000001</v>
      </c>
      <c r="AD1968">
        <v>-1.111532149161</v>
      </c>
      <c r="AE1968">
        <v>-19.622399999999999</v>
      </c>
      <c r="AF1968">
        <v>-1.5720658153805001</v>
      </c>
      <c r="AG1968">
        <v>-1.111532149161</v>
      </c>
      <c r="AH1968">
        <v>19.6480741029021</v>
      </c>
      <c r="AI1968">
        <v>93.227596591148796</v>
      </c>
      <c r="AJ1968">
        <v>94.574558394922207</v>
      </c>
      <c r="AK1968">
        <v>19.742180999059801</v>
      </c>
    </row>
    <row r="1969" spans="1:37" x14ac:dyDescent="0.2">
      <c r="A1969" t="str">
        <f>"20200111154103269"</f>
        <v>20200111154103269</v>
      </c>
      <c r="B1969" t="str">
        <f>"1578728463257815"</f>
        <v>1578728463257815</v>
      </c>
      <c r="C1969" t="s">
        <v>37</v>
      </c>
      <c r="D1969">
        <v>5.281523</v>
      </c>
      <c r="E1969">
        <v>0.51582969999999995</v>
      </c>
      <c r="F1969" t="s">
        <v>43</v>
      </c>
      <c r="G1969">
        <v>-489.96589999999998</v>
      </c>
      <c r="H1969" s="1">
        <v>5.7992549999999999E-6</v>
      </c>
      <c r="I1969">
        <v>226.93119999999999</v>
      </c>
      <c r="J1969">
        <v>-492.41989999999998</v>
      </c>
      <c r="K1969">
        <v>1.111545</v>
      </c>
      <c r="L1969">
        <v>246.49870000000001</v>
      </c>
      <c r="M1969">
        <v>4.4617009999999999E-2</v>
      </c>
      <c r="N1969">
        <v>0</v>
      </c>
      <c r="O1969">
        <v>-0.99891749999999901</v>
      </c>
      <c r="P1969">
        <v>0.171641299999999</v>
      </c>
      <c r="Q1969">
        <v>7.5186899999999904E-2</v>
      </c>
      <c r="R1969">
        <v>-0.9822864</v>
      </c>
      <c r="S1969">
        <v>0.37350459999999902</v>
      </c>
      <c r="T1969">
        <v>-0.1683829</v>
      </c>
      <c r="U1969">
        <v>-3.0008699999999999</v>
      </c>
      <c r="V1969">
        <v>-0.12780619999999901</v>
      </c>
      <c r="W1969">
        <v>8.795878E-2</v>
      </c>
      <c r="X1969">
        <v>0.98789110000000002</v>
      </c>
      <c r="Y1969">
        <v>-7.8918790000000003E-2</v>
      </c>
      <c r="Z1969">
        <v>5.5638430000000003E-2</v>
      </c>
      <c r="AA1969">
        <v>0.99532719999999897</v>
      </c>
      <c r="AB1969">
        <v>28</v>
      </c>
      <c r="AC1969">
        <v>2.4540000000000002</v>
      </c>
      <c r="AD1969">
        <v>-1.111539200745</v>
      </c>
      <c r="AE1969">
        <v>-19.567499999999999</v>
      </c>
      <c r="AF1969">
        <v>-1.57343823038126</v>
      </c>
      <c r="AG1969">
        <v>-1.111539200745</v>
      </c>
      <c r="AH1969">
        <v>19.595258386165</v>
      </c>
      <c r="AI1969">
        <v>93.236224575143197</v>
      </c>
      <c r="AJ1969">
        <v>94.590823006293803</v>
      </c>
      <c r="AK1969">
        <v>19.689727740123502</v>
      </c>
    </row>
    <row r="1970" spans="1:37" x14ac:dyDescent="0.2">
      <c r="A1970" t="str">
        <f>"20200111154103282"</f>
        <v>20200111154103282</v>
      </c>
      <c r="B1970" t="str">
        <f>"1578728463278308"</f>
        <v>1578728463278308</v>
      </c>
      <c r="C1970" t="s">
        <v>37</v>
      </c>
      <c r="D1970">
        <v>5.2386400000000002</v>
      </c>
      <c r="E1970">
        <v>0.53713599999999995</v>
      </c>
      <c r="F1970" t="s">
        <v>43</v>
      </c>
      <c r="G1970">
        <v>-489.85270000000003</v>
      </c>
      <c r="H1970" s="1">
        <v>5.5424730000000002E-6</v>
      </c>
      <c r="I1970">
        <v>226.18680000000001</v>
      </c>
      <c r="J1970">
        <v>-492.41140000000001</v>
      </c>
      <c r="K1970">
        <v>1.1115489999999999</v>
      </c>
      <c r="L1970">
        <v>246.32640000000001</v>
      </c>
      <c r="M1970">
        <v>4.526608E-2</v>
      </c>
      <c r="N1970">
        <v>0</v>
      </c>
      <c r="O1970">
        <v>-0.9988882</v>
      </c>
      <c r="P1970">
        <v>0.172865299999999</v>
      </c>
      <c r="Q1970">
        <v>7.5590279999999996E-2</v>
      </c>
      <c r="R1970">
        <v>-0.98204059999999904</v>
      </c>
      <c r="S1970">
        <v>0.37921139999999998</v>
      </c>
      <c r="T1970">
        <v>-0.164191899999999</v>
      </c>
      <c r="U1970">
        <v>-3.000381</v>
      </c>
      <c r="V1970">
        <v>-0.1283975</v>
      </c>
      <c r="W1970">
        <v>8.8358740000000005E-2</v>
      </c>
      <c r="X1970">
        <v>0.98777870000000001</v>
      </c>
      <c r="Y1970">
        <v>-8.016421E-2</v>
      </c>
      <c r="Z1970">
        <v>5.4255039999999997E-2</v>
      </c>
      <c r="AA1970">
        <v>0.99530399999999997</v>
      </c>
      <c r="AB1970">
        <v>28</v>
      </c>
      <c r="AC1970">
        <v>2.55869999999998</v>
      </c>
      <c r="AD1970">
        <v>-1.11154345752699</v>
      </c>
      <c r="AE1970">
        <v>-20.139600000000002</v>
      </c>
      <c r="AF1970">
        <v>-1.63944236221234</v>
      </c>
      <c r="AG1970">
        <v>-1.11154345752699</v>
      </c>
      <c r="AH1970">
        <v>20.1743072270671</v>
      </c>
      <c r="AI1970">
        <v>93.143295101008306</v>
      </c>
      <c r="AJ1970">
        <v>94.645868138068096</v>
      </c>
      <c r="AK1970">
        <v>20.271309089673501</v>
      </c>
    </row>
    <row r="1971" spans="1:37" x14ac:dyDescent="0.2">
      <c r="A1971" t="str">
        <f>"20200111154103302"</f>
        <v>20200111154103302</v>
      </c>
      <c r="B1971" t="str">
        <f>"1578728463297828"</f>
        <v>1578728463297828</v>
      </c>
      <c r="C1971" t="s">
        <v>37</v>
      </c>
      <c r="D1971">
        <v>5.3277510000000001</v>
      </c>
      <c r="E1971">
        <v>0.60581119999999899</v>
      </c>
      <c r="F1971" t="s">
        <v>43</v>
      </c>
      <c r="G1971">
        <v>-490.78989999999999</v>
      </c>
      <c r="H1971" s="1">
        <v>4.5961930000000002E-6</v>
      </c>
      <c r="I1971">
        <v>223.51840000000001</v>
      </c>
      <c r="J1971">
        <v>-492.3997</v>
      </c>
      <c r="K1971">
        <v>1.1115489999999999</v>
      </c>
      <c r="L1971">
        <v>246.08959999999999</v>
      </c>
      <c r="M1971">
        <v>4.6155139999999997E-2</v>
      </c>
      <c r="N1971">
        <v>0</v>
      </c>
      <c r="O1971">
        <v>-0.99884769999999901</v>
      </c>
      <c r="P1971">
        <v>0.17412349999999999</v>
      </c>
      <c r="Q1971">
        <v>7.6818520000000001E-2</v>
      </c>
      <c r="R1971">
        <v>-0.98172309999999996</v>
      </c>
      <c r="S1971">
        <v>0.21530149999999901</v>
      </c>
      <c r="T1971">
        <v>-0.147584299999999</v>
      </c>
      <c r="U1971">
        <v>-3.028305</v>
      </c>
      <c r="V1971">
        <v>-0.12879119999999999</v>
      </c>
      <c r="W1971">
        <v>8.9583609999999994E-2</v>
      </c>
      <c r="X1971">
        <v>0.98761710000000003</v>
      </c>
      <c r="Y1971">
        <v>-2.471522E-2</v>
      </c>
      <c r="Z1971">
        <v>4.8530950000000003E-2</v>
      </c>
      <c r="AA1971">
        <v>0.99851579999999995</v>
      </c>
      <c r="AB1971">
        <v>28</v>
      </c>
      <c r="AC1971">
        <v>1.6097999999999999</v>
      </c>
      <c r="AD1971">
        <v>-1.1115444038069999</v>
      </c>
      <c r="AE1971">
        <v>-22.571199999999902</v>
      </c>
      <c r="AF1971">
        <v>-0.56485416308729497</v>
      </c>
      <c r="AG1971">
        <v>-1.1115444038069999</v>
      </c>
      <c r="AH1971">
        <v>22.566996218211301</v>
      </c>
      <c r="AI1971">
        <v>92.818961000828807</v>
      </c>
      <c r="AJ1971">
        <v>91.433819685908006</v>
      </c>
      <c r="AK1971">
        <v>22.601413882763001</v>
      </c>
    </row>
    <row r="1972" spans="1:37" x14ac:dyDescent="0.2">
      <c r="A1972" t="str">
        <f>"20200111154103315"</f>
        <v>20200111154103315</v>
      </c>
      <c r="B1972" t="str">
        <f>"1578728463308564"</f>
        <v>1578728463308564</v>
      </c>
      <c r="C1972" t="s">
        <v>37</v>
      </c>
      <c r="D1972">
        <v>5.0931300000000004</v>
      </c>
      <c r="E1972">
        <v>0.60581119999999899</v>
      </c>
      <c r="F1972" t="s">
        <v>43</v>
      </c>
      <c r="G1972">
        <v>-494.85820000000001</v>
      </c>
      <c r="H1972" s="1">
        <v>3.464666E-6</v>
      </c>
      <c r="I1972">
        <v>222.2071</v>
      </c>
      <c r="J1972">
        <v>-492.390999999999</v>
      </c>
      <c r="K1972">
        <v>1.11155</v>
      </c>
      <c r="L1972">
        <v>245.916</v>
      </c>
      <c r="M1972">
        <v>4.6803940000000002E-2</v>
      </c>
      <c r="N1972">
        <v>0</v>
      </c>
      <c r="O1972">
        <v>-0.99881759999999997</v>
      </c>
      <c r="P1972">
        <v>0.17463870000000001</v>
      </c>
      <c r="Q1972">
        <v>7.7196769999999998E-2</v>
      </c>
      <c r="R1972">
        <v>-0.98160210000000003</v>
      </c>
      <c r="S1972">
        <v>-0.32162479999999999</v>
      </c>
      <c r="T1972">
        <v>-0.14541199999999899</v>
      </c>
      <c r="U1972">
        <v>-3.124298</v>
      </c>
      <c r="V1972">
        <v>-0.1286696</v>
      </c>
      <c r="W1972">
        <v>8.9961639999999995E-2</v>
      </c>
      <c r="X1972">
        <v>0.98759859999999899</v>
      </c>
      <c r="Y1972">
        <v>0.1487426</v>
      </c>
      <c r="Z1972">
        <v>4.6035449999999999E-2</v>
      </c>
      <c r="AA1972">
        <v>0.98780380000000001</v>
      </c>
      <c r="AB1972">
        <v>28</v>
      </c>
      <c r="AC1972">
        <v>-2.46720000000004</v>
      </c>
      <c r="AD1972">
        <v>-1.1115465353339999</v>
      </c>
      <c r="AE1972">
        <v>-23.7089</v>
      </c>
      <c r="AF1972">
        <v>3.5665062471759899</v>
      </c>
      <c r="AG1972">
        <v>-1.1115465353339999</v>
      </c>
      <c r="AH1972">
        <v>23.516292511056101</v>
      </c>
      <c r="AI1972">
        <v>92.675639027776796</v>
      </c>
      <c r="AJ1972">
        <v>81.376178715862693</v>
      </c>
      <c r="AK1972">
        <v>23.8111636838041</v>
      </c>
    </row>
    <row r="1973" spans="1:37" x14ac:dyDescent="0.2">
      <c r="A1973" t="str">
        <f>"20200111154103329"</f>
        <v>20200111154103329</v>
      </c>
      <c r="B1973" t="str">
        <f>"1578728463318325"</f>
        <v>1578728463318325</v>
      </c>
      <c r="C1973" t="s">
        <v>37</v>
      </c>
      <c r="D1973">
        <v>5.0848269999999998</v>
      </c>
      <c r="E1973">
        <v>0.68515319999999902</v>
      </c>
      <c r="F1973" t="s">
        <v>43</v>
      </c>
      <c r="G1973">
        <v>-494.87520000000001</v>
      </c>
      <c r="H1973" s="1">
        <v>3.3074639999999999E-6</v>
      </c>
      <c r="I1973">
        <v>221.69759999999999</v>
      </c>
      <c r="J1973">
        <v>-492.38279999999997</v>
      </c>
      <c r="K1973">
        <v>1.1115489999999999</v>
      </c>
      <c r="L1973">
        <v>245.75569999999999</v>
      </c>
      <c r="M1973">
        <v>4.7401169999999999E-2</v>
      </c>
      <c r="N1973">
        <v>0</v>
      </c>
      <c r="O1973">
        <v>-0.99878929999999999</v>
      </c>
      <c r="P1973">
        <v>0.17488299999999901</v>
      </c>
      <c r="Q1973">
        <v>7.7748750000000005E-2</v>
      </c>
      <c r="R1973">
        <v>-0.98151480000000002</v>
      </c>
      <c r="S1973">
        <v>-0.32049559999999999</v>
      </c>
      <c r="T1973">
        <v>-0.1434066</v>
      </c>
      <c r="U1973">
        <v>-3.1245419999999999</v>
      </c>
      <c r="V1973">
        <v>-0.12832689999999999</v>
      </c>
      <c r="W1973">
        <v>9.0513930000000006E-2</v>
      </c>
      <c r="X1973">
        <v>0.98759279999999905</v>
      </c>
      <c r="Y1973">
        <v>0.14897579999999999</v>
      </c>
      <c r="Z1973">
        <v>4.5396510000000001E-2</v>
      </c>
      <c r="AA1973">
        <v>0.98779819999999996</v>
      </c>
      <c r="AB1973">
        <v>28</v>
      </c>
      <c r="AC1973">
        <v>-2.4924000000000301</v>
      </c>
      <c r="AD1973">
        <v>-1.1115456925360001</v>
      </c>
      <c r="AE1973">
        <v>-24.0581</v>
      </c>
      <c r="AF1973">
        <v>3.62242807122463</v>
      </c>
      <c r="AG1973">
        <v>-1.1115456925360001</v>
      </c>
      <c r="AH1973">
        <v>23.862501691401899</v>
      </c>
      <c r="AI1973">
        <v>92.636816810676393</v>
      </c>
      <c r="AJ1973">
        <v>81.368162697249403</v>
      </c>
      <c r="AK1973">
        <v>24.1614673794856</v>
      </c>
    </row>
    <row r="1974" spans="1:37" x14ac:dyDescent="0.2">
      <c r="A1974" t="str">
        <f>"20200111154103515"</f>
        <v>20200111154103515</v>
      </c>
      <c r="B1974" t="str">
        <f>"1578728463507706"</f>
        <v>1578728463507706</v>
      </c>
      <c r="C1974" t="s">
        <v>37</v>
      </c>
      <c r="D1974">
        <v>5.1177109999999999</v>
      </c>
      <c r="E1974">
        <v>0.69976349999999998</v>
      </c>
      <c r="F1974" t="s">
        <v>40</v>
      </c>
      <c r="G1974">
        <v>-507.66890000000001</v>
      </c>
      <c r="H1974">
        <v>-0.05</v>
      </c>
      <c r="I1974">
        <v>193.29490000000001</v>
      </c>
      <c r="J1974">
        <v>-492.25670000000002</v>
      </c>
      <c r="K1974">
        <v>1.1112219999999999</v>
      </c>
      <c r="L1974">
        <v>243.45089999999999</v>
      </c>
      <c r="M1974">
        <v>5.477021E-2</v>
      </c>
      <c r="N1974">
        <v>0</v>
      </c>
      <c r="O1974">
        <v>-0.99841259999999998</v>
      </c>
      <c r="P1974">
        <v>0.17756830000000001</v>
      </c>
      <c r="Q1974">
        <v>7.4137010000000003E-2</v>
      </c>
      <c r="R1974">
        <v>-0.98131219999999997</v>
      </c>
      <c r="S1974">
        <v>-0.94113159999999896</v>
      </c>
      <c r="T1974">
        <v>-7.1513889999999997E-2</v>
      </c>
      <c r="U1974">
        <v>-3.229889</v>
      </c>
      <c r="V1974">
        <v>-0.12365470000000001</v>
      </c>
      <c r="W1974">
        <v>8.6995000000000003E-2</v>
      </c>
      <c r="X1974">
        <v>0.98850459999999996</v>
      </c>
      <c r="Y1974">
        <v>0.33185389999999998</v>
      </c>
      <c r="Z1974">
        <v>2.1021749999999999E-2</v>
      </c>
      <c r="AA1974">
        <v>0.94309659999999995</v>
      </c>
      <c r="AB1974">
        <v>28</v>
      </c>
      <c r="AC1974">
        <v>-15.412199999999901</v>
      </c>
      <c r="AD1974">
        <v>-1.161222</v>
      </c>
      <c r="AE1974">
        <v>-50.155999999999899</v>
      </c>
      <c r="AF1974">
        <v>18.127475259655899</v>
      </c>
      <c r="AG1974">
        <v>-1.161222</v>
      </c>
      <c r="AH1974">
        <v>49.212396735918098</v>
      </c>
      <c r="AI1974">
        <v>91.268422220262295</v>
      </c>
      <c r="AJ1974">
        <v>69.778633972143794</v>
      </c>
      <c r="AK1974">
        <v>52.457733350919099</v>
      </c>
    </row>
    <row r="1975" spans="1:37" x14ac:dyDescent="0.2">
      <c r="A1975" t="str">
        <f>"20200111154103532"</f>
        <v>20200111154103532</v>
      </c>
      <c r="B1975" t="str">
        <f>"1578728463528203"</f>
        <v>1578728463528203</v>
      </c>
      <c r="C1975" t="s">
        <v>37</v>
      </c>
      <c r="D1975">
        <v>5.211449</v>
      </c>
      <c r="E1975">
        <v>0.69282270000000001</v>
      </c>
      <c r="F1975" t="s">
        <v>43</v>
      </c>
      <c r="G1975">
        <v>-502.55919999999998</v>
      </c>
      <c r="H1975">
        <v>7.9980319999999994E-2</v>
      </c>
      <c r="I1975">
        <v>211.4675</v>
      </c>
      <c r="J1975">
        <v>-492.24520000000001</v>
      </c>
      <c r="K1975">
        <v>1.1111850000000001</v>
      </c>
      <c r="L1975">
        <v>243.25110000000001</v>
      </c>
      <c r="M1975">
        <v>5.5205369999999997E-2</v>
      </c>
      <c r="N1975">
        <v>0</v>
      </c>
      <c r="O1975">
        <v>-0.99838869999999902</v>
      </c>
      <c r="P1975">
        <v>0.17913959999999901</v>
      </c>
      <c r="Q1975">
        <v>7.3744309999999993E-2</v>
      </c>
      <c r="R1975">
        <v>-0.98105599999999904</v>
      </c>
      <c r="S1975">
        <v>-1.0484309999999999</v>
      </c>
      <c r="T1975">
        <v>-0.1049438</v>
      </c>
      <c r="U1975">
        <v>-3.2547759999999899</v>
      </c>
      <c r="V1975">
        <v>-0.12479899999999999</v>
      </c>
      <c r="W1975">
        <v>8.66088E-2</v>
      </c>
      <c r="X1975">
        <v>0.98839469999999996</v>
      </c>
      <c r="Y1975">
        <v>0.35854780000000003</v>
      </c>
      <c r="Z1975">
        <v>3.031472E-2</v>
      </c>
      <c r="AA1975">
        <v>0.93301900000000004</v>
      </c>
      <c r="AB1975">
        <v>28</v>
      </c>
      <c r="AC1975">
        <v>-10.313999999999901</v>
      </c>
      <c r="AD1975">
        <v>-1.0312046800000001</v>
      </c>
      <c r="AE1975">
        <v>-31.7836</v>
      </c>
      <c r="AF1975">
        <v>12.041577364494101</v>
      </c>
      <c r="AG1975">
        <v>-1.0312046800000001</v>
      </c>
      <c r="AH1975">
        <v>31.136032304561699</v>
      </c>
      <c r="AI1975">
        <v>91.769288813480799</v>
      </c>
      <c r="AJ1975">
        <v>68.8564748927636</v>
      </c>
      <c r="AK1975">
        <v>33.399333469215598</v>
      </c>
    </row>
    <row r="1976" spans="1:37" x14ac:dyDescent="0.2">
      <c r="A1976" t="str">
        <f>"20200111154103549"</f>
        <v>20200111154103549</v>
      </c>
      <c r="B1976" t="str">
        <f>"1578728463537963"</f>
        <v>1578728463537963</v>
      </c>
      <c r="C1976" t="s">
        <v>37</v>
      </c>
      <c r="D1976">
        <v>5.2511060000000001</v>
      </c>
      <c r="E1976">
        <v>0.593719</v>
      </c>
      <c r="F1976" t="s">
        <v>43</v>
      </c>
      <c r="G1976">
        <v>-500.44819999999999</v>
      </c>
      <c r="H1976">
        <v>7.9981060000000007E-2</v>
      </c>
      <c r="I1976">
        <v>216.3192</v>
      </c>
      <c r="J1976">
        <v>-492.23259999999999</v>
      </c>
      <c r="K1976">
        <v>1.1111489999999999</v>
      </c>
      <c r="L1976">
        <v>243.03299999999999</v>
      </c>
      <c r="M1976">
        <v>5.5653969999999997E-2</v>
      </c>
      <c r="N1976">
        <v>0</v>
      </c>
      <c r="O1976">
        <v>-0.99836389999999997</v>
      </c>
      <c r="P1976">
        <v>0.18194260000000001</v>
      </c>
      <c r="Q1976">
        <v>7.2940980000000002E-2</v>
      </c>
      <c r="R1976">
        <v>-0.98060020000000003</v>
      </c>
      <c r="S1976">
        <v>-0.98925779999999996</v>
      </c>
      <c r="T1976">
        <v>-0.1243604</v>
      </c>
      <c r="U1976">
        <v>-3.2479100000000001</v>
      </c>
      <c r="V1976">
        <v>-0.12717110000000001</v>
      </c>
      <c r="W1976">
        <v>8.5807369999999994E-2</v>
      </c>
      <c r="X1976">
        <v>0.98816219999999999</v>
      </c>
      <c r="Y1976">
        <v>0.34396739999999998</v>
      </c>
      <c r="Z1976">
        <v>3.6185259999999997E-2</v>
      </c>
      <c r="AA1976">
        <v>0.93828409999999995</v>
      </c>
      <c r="AB1976">
        <v>28</v>
      </c>
      <c r="AC1976">
        <v>-8.2155999999999896</v>
      </c>
      <c r="AD1976">
        <v>-1.03116794</v>
      </c>
      <c r="AE1976">
        <v>-26.7137999999999</v>
      </c>
      <c r="AF1976">
        <v>9.6765493573532204</v>
      </c>
      <c r="AG1976">
        <v>-1.03116794</v>
      </c>
      <c r="AH1976">
        <v>26.179482541121398</v>
      </c>
      <c r="AI1976">
        <v>92.115853377206406</v>
      </c>
      <c r="AJ1976">
        <v>69.714507917489996</v>
      </c>
      <c r="AK1976">
        <v>27.9296298025351</v>
      </c>
    </row>
    <row r="1977" spans="1:37" x14ac:dyDescent="0.2">
      <c r="A1977" t="str">
        <f>"20200111154103564"</f>
        <v>20200111154103564</v>
      </c>
      <c r="B1977" t="str">
        <f>"1578728463558459"</f>
        <v>1578728463558459</v>
      </c>
      <c r="C1977" t="s">
        <v>37</v>
      </c>
      <c r="D1977">
        <v>5.0410719999999998</v>
      </c>
      <c r="E1977">
        <v>0.51644559999999995</v>
      </c>
      <c r="F1977" t="s">
        <v>43</v>
      </c>
      <c r="G1977">
        <v>-493.4042</v>
      </c>
      <c r="H1977" s="1">
        <v>4.4902690000000002E-6</v>
      </c>
      <c r="I1977">
        <v>225.16679999999999</v>
      </c>
      <c r="J1977">
        <v>-492.22219999999999</v>
      </c>
      <c r="K1977">
        <v>1.111132</v>
      </c>
      <c r="L1977">
        <v>242.8528</v>
      </c>
      <c r="M1977">
        <v>5.6010829999999998E-2</v>
      </c>
      <c r="N1977">
        <v>0</v>
      </c>
      <c r="O1977">
        <v>-0.9983438</v>
      </c>
      <c r="P1977">
        <v>0.18409500000000001</v>
      </c>
      <c r="Q1977">
        <v>7.2493749999999996E-2</v>
      </c>
      <c r="R1977">
        <v>-0.98023179999999999</v>
      </c>
      <c r="S1977">
        <v>-0.20404049999999899</v>
      </c>
      <c r="T1977">
        <v>-0.19351849999999901</v>
      </c>
      <c r="U1977">
        <v>-3.1116029999999899</v>
      </c>
      <c r="V1977">
        <v>-0.128983399999999</v>
      </c>
      <c r="W1977">
        <v>8.5360309999999995E-2</v>
      </c>
      <c r="X1977">
        <v>0.98796609999999996</v>
      </c>
      <c r="Y1977">
        <v>0.1211015</v>
      </c>
      <c r="Z1977">
        <v>6.163196E-2</v>
      </c>
      <c r="AA1977">
        <v>0.99072499999999997</v>
      </c>
      <c r="AB1977">
        <v>28</v>
      </c>
      <c r="AC1977">
        <v>-1.1820000000000099</v>
      </c>
      <c r="AD1977">
        <v>-1.1111275097310001</v>
      </c>
      <c r="AE1977">
        <v>-17.686</v>
      </c>
      <c r="AF1977">
        <v>2.16234025956396</v>
      </c>
      <c r="AG1977">
        <v>-1.1111275097310001</v>
      </c>
      <c r="AH1977">
        <v>17.523163927441999</v>
      </c>
      <c r="AI1977">
        <v>93.600974272201697</v>
      </c>
      <c r="AJ1977">
        <v>82.965322760990702</v>
      </c>
      <c r="AK1977">
        <v>17.6910031871858</v>
      </c>
    </row>
    <row r="1978" spans="1:37" x14ac:dyDescent="0.2">
      <c r="A1978" t="str">
        <f>"20200111154103581"</f>
        <v>20200111154103581</v>
      </c>
      <c r="B1978" t="str">
        <f>"1578728463578493"</f>
        <v>1578728463578493</v>
      </c>
      <c r="C1978" t="s">
        <v>37</v>
      </c>
      <c r="D1978">
        <v>5.0078649999999998</v>
      </c>
      <c r="E1978">
        <v>0.48991689999999999</v>
      </c>
      <c r="F1978" t="s">
        <v>39</v>
      </c>
      <c r="G1978">
        <v>-484.0899</v>
      </c>
      <c r="H1978" s="1">
        <v>-3.1238699999999999E-6</v>
      </c>
      <c r="I1978">
        <v>184.20679999999999</v>
      </c>
      <c r="J1978">
        <v>-492.20960000000002</v>
      </c>
      <c r="K1978">
        <v>1.1111249999999999</v>
      </c>
      <c r="L1978">
        <v>242.63849999999999</v>
      </c>
      <c r="M1978">
        <v>5.642308E-2</v>
      </c>
      <c r="N1978">
        <v>0</v>
      </c>
      <c r="O1978">
        <v>-0.9983206</v>
      </c>
      <c r="P1978">
        <v>0.18808720000000001</v>
      </c>
      <c r="Q1978">
        <v>7.2225499999999998E-2</v>
      </c>
      <c r="R1978">
        <v>-0.97949339999999996</v>
      </c>
      <c r="S1978">
        <v>0.41418459999999901</v>
      </c>
      <c r="T1978">
        <v>-5.6591389999999998E-2</v>
      </c>
      <c r="U1978">
        <v>-2.9869080000000001</v>
      </c>
      <c r="V1978">
        <v>-0.13259939999999901</v>
      </c>
      <c r="W1978">
        <v>8.5085209999999994E-2</v>
      </c>
      <c r="X1978">
        <v>0.98751100000000003</v>
      </c>
      <c r="Y1978">
        <v>-8.1216220000000006E-2</v>
      </c>
      <c r="Z1978">
        <v>1.8776790000000002E-2</v>
      </c>
      <c r="AA1978">
        <v>0.99651959999999995</v>
      </c>
      <c r="AB1978">
        <v>28</v>
      </c>
      <c r="AC1978">
        <v>8.1197000000000195</v>
      </c>
      <c r="AD1978">
        <v>-1.1111281238699999</v>
      </c>
      <c r="AE1978">
        <v>-58.431699999999999</v>
      </c>
      <c r="AF1978">
        <v>-4.8078763295910099</v>
      </c>
      <c r="AG1978">
        <v>-1.1111281238699999</v>
      </c>
      <c r="AH1978">
        <v>58.775926365133699</v>
      </c>
      <c r="AI1978">
        <v>91.079413281839706</v>
      </c>
      <c r="AJ1978">
        <v>94.676388420280404</v>
      </c>
      <c r="AK1978">
        <v>58.982707640357702</v>
      </c>
    </row>
    <row r="1979" spans="1:37" x14ac:dyDescent="0.2">
      <c r="A1979" t="str">
        <f>"20200111154103606"</f>
        <v>20200111154103606</v>
      </c>
      <c r="B1979" t="str">
        <f>"1578728463598006"</f>
        <v>1578728463598006</v>
      </c>
      <c r="C1979" t="s">
        <v>37</v>
      </c>
      <c r="D1979">
        <v>4.8707190000000002</v>
      </c>
      <c r="E1979">
        <v>0.47431889999999999</v>
      </c>
      <c r="F1979" t="s">
        <v>39</v>
      </c>
      <c r="G1979">
        <v>-482.59519999999998</v>
      </c>
      <c r="H1979" s="1">
        <v>-4.8986739999999999E-6</v>
      </c>
      <c r="I1979">
        <v>197.98990000000001</v>
      </c>
      <c r="J1979">
        <v>-492.19199999999898</v>
      </c>
      <c r="K1979">
        <v>1.1111219999999999</v>
      </c>
      <c r="L1979">
        <v>242.33949999999999</v>
      </c>
      <c r="M1979">
        <v>5.6996829999999998E-2</v>
      </c>
      <c r="N1979">
        <v>0</v>
      </c>
      <c r="O1979">
        <v>-0.9982877</v>
      </c>
      <c r="P1979">
        <v>0.19264029999999999</v>
      </c>
      <c r="Q1979">
        <v>7.2786669999999998E-2</v>
      </c>
      <c r="R1979">
        <v>-0.97856639999999995</v>
      </c>
      <c r="S1979">
        <v>0.63446040000000004</v>
      </c>
      <c r="T1979">
        <v>-7.3323490000000005E-2</v>
      </c>
      <c r="U1979">
        <v>-2.9463650000000001</v>
      </c>
      <c r="V1979">
        <v>-0.1366291</v>
      </c>
      <c r="W1979">
        <v>8.5635390000000006E-2</v>
      </c>
      <c r="X1979">
        <v>0.98691390000000001</v>
      </c>
      <c r="Y1979">
        <v>-0.15438189999999999</v>
      </c>
      <c r="Z1979">
        <v>2.438937E-2</v>
      </c>
      <c r="AA1979">
        <v>0.98771019999999898</v>
      </c>
      <c r="AB1979">
        <v>28</v>
      </c>
      <c r="AC1979">
        <v>9.5967999999999698</v>
      </c>
      <c r="AD1979">
        <v>-1.1111268986739999</v>
      </c>
      <c r="AE1979">
        <v>-44.349599999999903</v>
      </c>
      <c r="AF1979">
        <v>-7.04896433907959</v>
      </c>
      <c r="AG1979">
        <v>-1.1111268986739999</v>
      </c>
      <c r="AH1979">
        <v>44.797664060411101</v>
      </c>
      <c r="AI1979">
        <v>91.403566801973298</v>
      </c>
      <c r="AJ1979">
        <v>98.942236904283007</v>
      </c>
      <c r="AK1979">
        <v>45.362464731405602</v>
      </c>
    </row>
    <row r="1980" spans="1:37" x14ac:dyDescent="0.2">
      <c r="A1980" t="str">
        <f>"20200111154103627"</f>
        <v>20200111154103627</v>
      </c>
      <c r="B1980" t="str">
        <f>"1578728463618501"</f>
        <v>1578728463618501</v>
      </c>
      <c r="C1980" t="s">
        <v>37</v>
      </c>
      <c r="D1980">
        <v>4.7150249999999998</v>
      </c>
      <c r="E1980">
        <v>0.46777819999999998</v>
      </c>
      <c r="F1980" t="s">
        <v>43</v>
      </c>
      <c r="G1980">
        <v>-482.13679999999999</v>
      </c>
      <c r="H1980" s="1">
        <v>7.2593310000000001E-7</v>
      </c>
      <c r="I1980">
        <v>204.19880000000001</v>
      </c>
      <c r="J1980">
        <v>-492.17630000000003</v>
      </c>
      <c r="K1980">
        <v>1.1111249999999999</v>
      </c>
      <c r="L1980">
        <v>242.07650000000001</v>
      </c>
      <c r="M1980">
        <v>5.7517659999999998E-2</v>
      </c>
      <c r="N1980">
        <v>0</v>
      </c>
      <c r="O1980">
        <v>-0.99825819999999998</v>
      </c>
      <c r="P1980">
        <v>0.1970961</v>
      </c>
      <c r="Q1980">
        <v>7.3078980000000002E-2</v>
      </c>
      <c r="R1980">
        <v>-0.97765709999999995</v>
      </c>
      <c r="S1980">
        <v>0.76992799999999995</v>
      </c>
      <c r="T1980">
        <v>-8.5078719999999997E-2</v>
      </c>
      <c r="U1980">
        <v>-2.9204409999999998</v>
      </c>
      <c r="V1980">
        <v>-0.14061479999999901</v>
      </c>
      <c r="W1980">
        <v>8.591472E-2</v>
      </c>
      <c r="X1980">
        <v>0.98632960000000003</v>
      </c>
      <c r="Y1980">
        <v>-0.19877790000000001</v>
      </c>
      <c r="Z1980">
        <v>2.8274520000000001E-2</v>
      </c>
      <c r="AA1980">
        <v>0.97963659999999997</v>
      </c>
      <c r="AB1980">
        <v>28</v>
      </c>
      <c r="AC1980">
        <v>10.0395</v>
      </c>
      <c r="AD1980">
        <v>-1.1111242740668901</v>
      </c>
      <c r="AE1980">
        <v>-37.877699999999997</v>
      </c>
      <c r="AF1980">
        <v>-7.8377504789722501</v>
      </c>
      <c r="AG1980">
        <v>-1.1111242740668901</v>
      </c>
      <c r="AH1980">
        <v>38.361636636539401</v>
      </c>
      <c r="AI1980">
        <v>91.625515832991994</v>
      </c>
      <c r="AJ1980">
        <v>101.547302552754</v>
      </c>
      <c r="AK1980">
        <v>39.169887607152198</v>
      </c>
    </row>
    <row r="1981" spans="1:37" x14ac:dyDescent="0.2">
      <c r="A1981" t="str">
        <f>"20200111154103639"</f>
        <v>20200111154103639</v>
      </c>
      <c r="B1981" t="str">
        <f>"1578728463628262"</f>
        <v>1578728463628262</v>
      </c>
      <c r="C1981" t="s">
        <v>37</v>
      </c>
      <c r="D1981">
        <v>4.8366119999999997</v>
      </c>
      <c r="E1981">
        <v>0.40123709999999901</v>
      </c>
      <c r="F1981" t="s">
        <v>43</v>
      </c>
      <c r="G1981">
        <v>-481.26979999999998</v>
      </c>
      <c r="H1981" s="1">
        <v>6.1195809999999997E-7</v>
      </c>
      <c r="I1981">
        <v>204.07910000000001</v>
      </c>
      <c r="J1981">
        <v>-492.16660000000002</v>
      </c>
      <c r="K1981">
        <v>1.1111249999999999</v>
      </c>
      <c r="L1981">
        <v>241.91489999999999</v>
      </c>
      <c r="M1981">
        <v>5.7846839999999997E-2</v>
      </c>
      <c r="N1981">
        <v>0</v>
      </c>
      <c r="O1981">
        <v>-0.99823890000000004</v>
      </c>
      <c r="P1981">
        <v>0.19984939999999901</v>
      </c>
      <c r="Q1981">
        <v>7.3276560000000004E-2</v>
      </c>
      <c r="R1981">
        <v>-0.97708289999999998</v>
      </c>
      <c r="S1981">
        <v>0.83432009999999901</v>
      </c>
      <c r="T1981">
        <v>-8.4997890000000006E-2</v>
      </c>
      <c r="U1981">
        <v>-2.9066930000000002</v>
      </c>
      <c r="V1981">
        <v>-0.14307229999999899</v>
      </c>
      <c r="W1981">
        <v>8.6102860000000003E-2</v>
      </c>
      <c r="X1981">
        <v>0.98595979999999905</v>
      </c>
      <c r="Y1981">
        <v>-0.21971540000000001</v>
      </c>
      <c r="Z1981">
        <v>2.8229870000000001E-2</v>
      </c>
      <c r="AA1981">
        <v>0.97515549999999995</v>
      </c>
      <c r="AB1981">
        <v>28</v>
      </c>
      <c r="AC1981">
        <v>10.896800000000001</v>
      </c>
      <c r="AD1981">
        <v>-1.1111243880418999</v>
      </c>
      <c r="AE1981">
        <v>-37.8357999999999</v>
      </c>
      <c r="AF1981">
        <v>-8.6827645156453208</v>
      </c>
      <c r="AG1981">
        <v>-1.1111243880418999</v>
      </c>
      <c r="AH1981">
        <v>38.372273373903703</v>
      </c>
      <c r="AI1981">
        <v>91.617742549414501</v>
      </c>
      <c r="AJ1981">
        <v>102.750007837361</v>
      </c>
      <c r="AK1981">
        <v>39.358053317223998</v>
      </c>
    </row>
    <row r="1982" spans="1:37" x14ac:dyDescent="0.2">
      <c r="A1982" t="str">
        <f>"20200111154103661"</f>
        <v>20200111154103661</v>
      </c>
      <c r="B1982" t="str">
        <f>"1578728463658518"</f>
        <v>1578728463658518</v>
      </c>
      <c r="C1982" t="s">
        <v>37</v>
      </c>
      <c r="D1982">
        <v>4.827337</v>
      </c>
      <c r="E1982">
        <v>0.40583279999999999</v>
      </c>
      <c r="F1982" t="s">
        <v>43</v>
      </c>
      <c r="G1982">
        <v>-478.09969999999998</v>
      </c>
      <c r="H1982" s="1">
        <v>2.2958269999999998E-6</v>
      </c>
      <c r="I1982">
        <v>212.99809999999999</v>
      </c>
      <c r="J1982">
        <v>-492.1515</v>
      </c>
      <c r="K1982">
        <v>1.111137</v>
      </c>
      <c r="L1982">
        <v>241.6651</v>
      </c>
      <c r="M1982">
        <v>5.8380210000000002E-2</v>
      </c>
      <c r="N1982">
        <v>0</v>
      </c>
      <c r="O1982">
        <v>-0.99820810000000004</v>
      </c>
      <c r="P1982">
        <v>0.20559189999999999</v>
      </c>
      <c r="Q1982">
        <v>7.329919E-2</v>
      </c>
      <c r="R1982">
        <v>-0.97588929999999996</v>
      </c>
      <c r="S1982">
        <v>1.3620299999999901</v>
      </c>
      <c r="T1982">
        <v>-0.1075845</v>
      </c>
      <c r="U1982">
        <v>-2.7998660000000002</v>
      </c>
      <c r="V1982">
        <v>-0.14834939999999999</v>
      </c>
      <c r="W1982">
        <v>8.6105230000000005E-2</v>
      </c>
      <c r="X1982">
        <v>0.98517940000000004</v>
      </c>
      <c r="Y1982">
        <v>-0.38393430000000001</v>
      </c>
      <c r="Z1982">
        <v>3.4876440000000002E-2</v>
      </c>
      <c r="AA1982">
        <v>0.92270149999999995</v>
      </c>
      <c r="AB1982">
        <v>28</v>
      </c>
      <c r="AC1982">
        <v>14.0518</v>
      </c>
      <c r="AD1982">
        <v>-1.111134704173</v>
      </c>
      <c r="AE1982">
        <v>-28.667000000000002</v>
      </c>
      <c r="AF1982">
        <v>-12.3391532485262</v>
      </c>
      <c r="AG1982">
        <v>-1.111134704173</v>
      </c>
      <c r="AH1982">
        <v>29.4028996520723</v>
      </c>
      <c r="AI1982">
        <v>91.995717416960105</v>
      </c>
      <c r="AJ1982">
        <v>112.765732211428</v>
      </c>
      <c r="AK1982">
        <v>31.906423039433101</v>
      </c>
    </row>
    <row r="1983" spans="1:37" x14ac:dyDescent="0.2">
      <c r="A1983" t="str">
        <f>"20200111154103682"</f>
        <v>20200111154103682</v>
      </c>
      <c r="B1983" t="str">
        <f>"1578728463678038"</f>
        <v>1578728463678038</v>
      </c>
      <c r="C1983" t="s">
        <v>37</v>
      </c>
      <c r="D1983">
        <v>4.7995209999999897</v>
      </c>
      <c r="E1983">
        <v>0.41033429999999999</v>
      </c>
      <c r="F1983" t="s">
        <v>43</v>
      </c>
      <c r="G1983">
        <v>-480.61369999999999</v>
      </c>
      <c r="H1983" s="1">
        <v>1.788205E-6</v>
      </c>
      <c r="I1983">
        <v>217.5735</v>
      </c>
      <c r="J1983">
        <v>-492.13529999999997</v>
      </c>
      <c r="K1983">
        <v>1.1111659999999901</v>
      </c>
      <c r="L1983">
        <v>241.39920000000001</v>
      </c>
      <c r="M1983">
        <v>5.9000450000000003E-2</v>
      </c>
      <c r="N1983">
        <v>0</v>
      </c>
      <c r="O1983">
        <v>-0.99817160000000005</v>
      </c>
      <c r="P1983">
        <v>0.21072869999999999</v>
      </c>
      <c r="Q1983">
        <v>7.3043230000000001E-2</v>
      </c>
      <c r="R1983">
        <v>-0.97481189999999995</v>
      </c>
      <c r="S1983">
        <v>1.3415219999999899</v>
      </c>
      <c r="T1983">
        <v>-0.129194</v>
      </c>
      <c r="U1983">
        <v>-2.80117799999999</v>
      </c>
      <c r="V1983">
        <v>-0.15293409999999999</v>
      </c>
      <c r="W1983">
        <v>8.582447E-2</v>
      </c>
      <c r="X1983">
        <v>0.98450260000000001</v>
      </c>
      <c r="Y1983">
        <v>-0.37758520000000001</v>
      </c>
      <c r="Z1983">
        <v>4.1969779999999998E-2</v>
      </c>
      <c r="AA1983">
        <v>0.92502320000000005</v>
      </c>
      <c r="AB1983">
        <v>28</v>
      </c>
      <c r="AC1983">
        <v>11.5215999999999</v>
      </c>
      <c r="AD1983">
        <v>-1.11116421179499</v>
      </c>
      <c r="AE1983">
        <v>-23.825700000000001</v>
      </c>
      <c r="AF1983">
        <v>-10.077911832550701</v>
      </c>
      <c r="AG1983">
        <v>-1.11116421179499</v>
      </c>
      <c r="AH1983">
        <v>24.420976281446102</v>
      </c>
      <c r="AI1983">
        <v>92.408426110748593</v>
      </c>
      <c r="AJ1983">
        <v>112.424686509864</v>
      </c>
      <c r="AK1983">
        <v>26.442070178962801</v>
      </c>
    </row>
    <row r="1984" spans="1:37" x14ac:dyDescent="0.2">
      <c r="A1984" t="str">
        <f>"20200111154103705"</f>
        <v>20200111154103705</v>
      </c>
      <c r="B1984" t="str">
        <f>"1578728463698534"</f>
        <v>1578728463698534</v>
      </c>
      <c r="C1984" t="s">
        <v>37</v>
      </c>
      <c r="D1984">
        <v>4.8358119999999998</v>
      </c>
      <c r="E1984">
        <v>0.41350779999999898</v>
      </c>
      <c r="F1984" t="s">
        <v>43</v>
      </c>
      <c r="G1984">
        <v>-481.83019999999999</v>
      </c>
      <c r="H1984" s="1">
        <v>2.0897679999999998E-6</v>
      </c>
      <c r="I1984">
        <v>219.53569999999999</v>
      </c>
      <c r="J1984">
        <v>-492.1182</v>
      </c>
      <c r="K1984">
        <v>1.1112169999999999</v>
      </c>
      <c r="L1984">
        <v>241.12360000000001</v>
      </c>
      <c r="M1984">
        <v>5.972413E-2</v>
      </c>
      <c r="N1984">
        <v>0</v>
      </c>
      <c r="O1984">
        <v>-0.99812849999999997</v>
      </c>
      <c r="P1984">
        <v>0.21520709999999901</v>
      </c>
      <c r="Q1984">
        <v>7.2017220000000007E-2</v>
      </c>
      <c r="R1984">
        <v>-0.97390929999999998</v>
      </c>
      <c r="S1984">
        <v>1.3209839999999999</v>
      </c>
      <c r="T1984">
        <v>-0.14243839999999999</v>
      </c>
      <c r="U1984">
        <v>-2.8026430000000002</v>
      </c>
      <c r="V1984">
        <v>-0.156753</v>
      </c>
      <c r="W1984">
        <v>8.4767830000000002E-2</v>
      </c>
      <c r="X1984">
        <v>0.98399340000000002</v>
      </c>
      <c r="Y1984">
        <v>-0.37110300000000002</v>
      </c>
      <c r="Z1984">
        <v>4.6369970000000003E-2</v>
      </c>
      <c r="AA1984">
        <v>0.92743330000000002</v>
      </c>
      <c r="AB1984">
        <v>27</v>
      </c>
      <c r="AC1984">
        <v>10.288</v>
      </c>
      <c r="AD1984">
        <v>-1.1112149102319999</v>
      </c>
      <c r="AE1984">
        <v>-21.587900000000001</v>
      </c>
      <c r="AF1984">
        <v>-8.9608539641936193</v>
      </c>
      <c r="AG1984">
        <v>-1.1112149102319999</v>
      </c>
      <c r="AH1984">
        <v>22.116099227020499</v>
      </c>
      <c r="AI1984">
        <v>92.666190518660599</v>
      </c>
      <c r="AJ1984">
        <v>112.056479495541</v>
      </c>
      <c r="AK1984">
        <v>23.888355894949001</v>
      </c>
    </row>
    <row r="1985" spans="1:37" x14ac:dyDescent="0.2">
      <c r="A1985" t="str">
        <f>"20200111154103718"</f>
        <v>20200111154103718</v>
      </c>
      <c r="B1985" t="str">
        <f>"1578728463708294"</f>
        <v>1578728463708294</v>
      </c>
      <c r="C1985" t="s">
        <v>37</v>
      </c>
      <c r="D1985">
        <v>4.8684769999999897</v>
      </c>
      <c r="E1985">
        <v>0.414852</v>
      </c>
      <c r="F1985" t="s">
        <v>43</v>
      </c>
      <c r="G1985">
        <v>-482.7629</v>
      </c>
      <c r="H1985" s="1">
        <v>2.5828629999999999E-6</v>
      </c>
      <c r="I1985">
        <v>221.08240000000001</v>
      </c>
      <c r="J1985">
        <v>-492.10750000000002</v>
      </c>
      <c r="K1985">
        <v>1.111254</v>
      </c>
      <c r="L1985">
        <v>240.9539</v>
      </c>
      <c r="M1985">
        <v>6.021779E-2</v>
      </c>
      <c r="N1985">
        <v>0</v>
      </c>
      <c r="O1985">
        <v>-0.99809879999999995</v>
      </c>
      <c r="P1985">
        <v>0.21788550000000001</v>
      </c>
      <c r="Q1985">
        <v>7.1367700000000006E-2</v>
      </c>
      <c r="R1985">
        <v>-0.97336160000000005</v>
      </c>
      <c r="S1985">
        <v>1.308319</v>
      </c>
      <c r="T1985">
        <v>-0.1554015</v>
      </c>
      <c r="U1985">
        <v>-2.8027340000000001</v>
      </c>
      <c r="V1985">
        <v>-0.1589796</v>
      </c>
      <c r="W1985">
        <v>8.4095520000000007E-2</v>
      </c>
      <c r="X1985">
        <v>0.98369379999999995</v>
      </c>
      <c r="Y1985">
        <v>-0.36710579999999998</v>
      </c>
      <c r="Z1985">
        <v>5.0662899999999997E-2</v>
      </c>
      <c r="AA1985">
        <v>0.92879849999999997</v>
      </c>
      <c r="AB1985">
        <v>27</v>
      </c>
      <c r="AC1985">
        <v>9.3446000000000105</v>
      </c>
      <c r="AD1985">
        <v>-1.111251417137</v>
      </c>
      <c r="AE1985">
        <v>-19.871500000000001</v>
      </c>
      <c r="AF1985">
        <v>-8.1101483805837002</v>
      </c>
      <c r="AG1985">
        <v>-1.111251417137</v>
      </c>
      <c r="AH1985">
        <v>20.346086854546499</v>
      </c>
      <c r="AI1985">
        <v>92.904429170480199</v>
      </c>
      <c r="AJ1985">
        <v>111.732707566253</v>
      </c>
      <c r="AK1985">
        <v>21.931088362412002</v>
      </c>
    </row>
    <row r="1986" spans="1:37" x14ac:dyDescent="0.2">
      <c r="A1986" t="str">
        <f>"20200111154103739"</f>
        <v>20200111154103739</v>
      </c>
      <c r="B1986" t="str">
        <f>"1578728463727817"</f>
        <v>1578728463727817</v>
      </c>
      <c r="C1986" t="s">
        <v>37</v>
      </c>
      <c r="D1986">
        <v>4.8462209999999999</v>
      </c>
      <c r="E1986">
        <v>0.41708869999999998</v>
      </c>
      <c r="F1986" t="s">
        <v>43</v>
      </c>
      <c r="G1986">
        <v>-483.0958</v>
      </c>
      <c r="H1986" s="1">
        <v>2.7585599999999999E-6</v>
      </c>
      <c r="I1986">
        <v>221.60990000000001</v>
      </c>
      <c r="J1986">
        <v>-492.09190000000001</v>
      </c>
      <c r="K1986">
        <v>1.1113040000000001</v>
      </c>
      <c r="L1986">
        <v>240.70949999999999</v>
      </c>
      <c r="M1986">
        <v>6.0982689999999999E-2</v>
      </c>
      <c r="N1986">
        <v>0</v>
      </c>
      <c r="O1986">
        <v>-0.99805239999999995</v>
      </c>
      <c r="P1986">
        <v>0.22261619999999999</v>
      </c>
      <c r="Q1986">
        <v>6.9820709999999994E-2</v>
      </c>
      <c r="R1986">
        <v>-0.97240289999999996</v>
      </c>
      <c r="S1986">
        <v>1.305237</v>
      </c>
      <c r="T1986">
        <v>-0.1609517</v>
      </c>
      <c r="U1986">
        <v>-2.8017430000000001</v>
      </c>
      <c r="V1986">
        <v>-0.1630161</v>
      </c>
      <c r="W1986">
        <v>8.2510799999999995E-2</v>
      </c>
      <c r="X1986">
        <v>0.98316719999999902</v>
      </c>
      <c r="Y1986">
        <v>-0.3656393</v>
      </c>
      <c r="Z1986">
        <v>5.2507419999999999E-2</v>
      </c>
      <c r="AA1986">
        <v>0.92927439999999994</v>
      </c>
      <c r="AB1986">
        <v>27</v>
      </c>
      <c r="AC1986">
        <v>8.9961000000000109</v>
      </c>
      <c r="AD1986">
        <v>-1.1113012414400001</v>
      </c>
      <c r="AE1986">
        <v>-19.099599999999899</v>
      </c>
      <c r="AF1986">
        <v>-7.7929161037446999</v>
      </c>
      <c r="AG1986">
        <v>-1.1113012414400001</v>
      </c>
      <c r="AH1986">
        <v>19.558508144048101</v>
      </c>
      <c r="AI1986">
        <v>93.021481723036402</v>
      </c>
      <c r="AJ1986">
        <v>111.724376091501</v>
      </c>
      <c r="AK1986">
        <v>21.083163251040499</v>
      </c>
    </row>
    <row r="1987" spans="1:37" x14ac:dyDescent="0.2">
      <c r="A1987" t="str">
        <f>"20200111154103753"</f>
        <v>20200111154103753</v>
      </c>
      <c r="B1987" t="str">
        <f>"1578728463748310"</f>
        <v>1578728463748310</v>
      </c>
      <c r="C1987" t="s">
        <v>37</v>
      </c>
      <c r="D1987">
        <v>4.8192009999999996</v>
      </c>
      <c r="E1987">
        <v>0.4188443</v>
      </c>
      <c r="F1987" t="s">
        <v>43</v>
      </c>
      <c r="G1987">
        <v>-483.54329999999999</v>
      </c>
      <c r="H1987" s="1">
        <v>2.9928189999999998E-6</v>
      </c>
      <c r="I1987">
        <v>222.31049999999999</v>
      </c>
      <c r="J1987">
        <v>-492.08080000000001</v>
      </c>
      <c r="K1987">
        <v>1.1113489999999999</v>
      </c>
      <c r="L1987">
        <v>240.53720000000001</v>
      </c>
      <c r="M1987">
        <v>6.1582480000000002E-2</v>
      </c>
      <c r="N1987">
        <v>0</v>
      </c>
      <c r="O1987">
        <v>-0.998015599999999</v>
      </c>
      <c r="P1987">
        <v>0.22493539999999901</v>
      </c>
      <c r="Q1987">
        <v>6.9120909999999994E-2</v>
      </c>
      <c r="R1987">
        <v>-0.97191909999999904</v>
      </c>
      <c r="S1987">
        <v>1.3007200000000001</v>
      </c>
      <c r="T1987">
        <v>-0.169090299999999</v>
      </c>
      <c r="U1987">
        <v>-2.799515</v>
      </c>
      <c r="V1987">
        <v>-0.16477809999999901</v>
      </c>
      <c r="W1987">
        <v>8.1786090000000006E-2</v>
      </c>
      <c r="X1987">
        <v>0.98293399999999997</v>
      </c>
      <c r="Y1987">
        <v>-0.36406869999999902</v>
      </c>
      <c r="Z1987">
        <v>5.5226009999999999E-2</v>
      </c>
      <c r="AA1987">
        <v>0.92973329999999998</v>
      </c>
      <c r="AB1987">
        <v>27</v>
      </c>
      <c r="AC1987">
        <v>8.5375000000000192</v>
      </c>
      <c r="AD1987">
        <v>-1.111346007181</v>
      </c>
      <c r="AE1987">
        <v>-18.226700000000001</v>
      </c>
      <c r="AF1987">
        <v>-7.37626177245913</v>
      </c>
      <c r="AG1987">
        <v>-1.111346007181</v>
      </c>
      <c r="AH1987">
        <v>18.661011026683401</v>
      </c>
      <c r="AI1987">
        <v>93.170068231371701</v>
      </c>
      <c r="AJ1987">
        <v>111.5677297563</v>
      </c>
      <c r="AK1987">
        <v>20.096707696075999</v>
      </c>
    </row>
    <row r="1988" spans="1:37" x14ac:dyDescent="0.2">
      <c r="A1988" t="str">
        <f>"20200111154103771"</f>
        <v>20200111154103771</v>
      </c>
      <c r="B1988" t="str">
        <f>"1578728463767830"</f>
        <v>1578728463767830</v>
      </c>
      <c r="C1988" t="s">
        <v>37</v>
      </c>
      <c r="D1988">
        <v>4.8696080000000004</v>
      </c>
      <c r="E1988">
        <v>0.4203848</v>
      </c>
      <c r="F1988" t="s">
        <v>43</v>
      </c>
      <c r="G1988">
        <v>-483.80459999999999</v>
      </c>
      <c r="H1988" s="1">
        <v>3.1100439999999998E-6</v>
      </c>
      <c r="I1988">
        <v>222.63099999999901</v>
      </c>
      <c r="J1988">
        <v>-492.0659</v>
      </c>
      <c r="K1988">
        <v>1.111421</v>
      </c>
      <c r="L1988">
        <v>240.31039999999999</v>
      </c>
      <c r="M1988">
        <v>6.245146E-2</v>
      </c>
      <c r="N1988">
        <v>0</v>
      </c>
      <c r="O1988">
        <v>-0.99796169999999995</v>
      </c>
      <c r="P1988">
        <v>0.2283616</v>
      </c>
      <c r="Q1988">
        <v>6.8212659999999994E-2</v>
      </c>
      <c r="R1988">
        <v>-0.97118400000000005</v>
      </c>
      <c r="S1988">
        <v>1.2939449999999999</v>
      </c>
      <c r="T1988">
        <v>-0.17375460000000001</v>
      </c>
      <c r="U1988">
        <v>-2.7995610000000002</v>
      </c>
      <c r="V1988">
        <v>-0.16740070000000001</v>
      </c>
      <c r="W1988">
        <v>8.0836039999999998E-2</v>
      </c>
      <c r="X1988">
        <v>0.98256929999999998</v>
      </c>
      <c r="Y1988">
        <v>-0.3613615</v>
      </c>
      <c r="Z1988">
        <v>5.679708E-2</v>
      </c>
      <c r="AA1988">
        <v>0.93069429999999997</v>
      </c>
      <c r="AB1988">
        <v>27</v>
      </c>
      <c r="AC1988">
        <v>8.2613000000000003</v>
      </c>
      <c r="AD1988">
        <v>-1.1114178899560001</v>
      </c>
      <c r="AE1988">
        <v>-17.679400000000001</v>
      </c>
      <c r="AF1988">
        <v>-7.1178831634302497</v>
      </c>
      <c r="AG1988">
        <v>-1.1114178899560001</v>
      </c>
      <c r="AH1988">
        <v>18.102139944776699</v>
      </c>
      <c r="AI1988">
        <v>93.270244238359794</v>
      </c>
      <c r="AJ1988">
        <v>111.465085856279</v>
      </c>
      <c r="AK1988">
        <v>19.482992096560501</v>
      </c>
    </row>
    <row r="1989" spans="1:37" x14ac:dyDescent="0.2">
      <c r="A1989" t="str">
        <f>"20200111154103795"</f>
        <v>20200111154103795</v>
      </c>
      <c r="B1989" t="str">
        <f>"1578728463787669"</f>
        <v>1578728463787669</v>
      </c>
      <c r="C1989" t="s">
        <v>37</v>
      </c>
      <c r="D1989">
        <v>4.879111</v>
      </c>
      <c r="E1989">
        <v>0.42176369999999902</v>
      </c>
      <c r="F1989" t="s">
        <v>43</v>
      </c>
      <c r="G1989">
        <v>-484.01429999999999</v>
      </c>
      <c r="H1989" s="1">
        <v>3.2280869999999999E-6</v>
      </c>
      <c r="I1989">
        <v>222.87970000000001</v>
      </c>
      <c r="J1989">
        <v>-492.04640000000001</v>
      </c>
      <c r="K1989">
        <v>1.11151</v>
      </c>
      <c r="L1989">
        <v>240.0206</v>
      </c>
      <c r="M1989">
        <v>6.3724580000000003E-2</v>
      </c>
      <c r="N1989">
        <v>0</v>
      </c>
      <c r="O1989">
        <v>-0.99788269999999901</v>
      </c>
      <c r="P1989">
        <v>0.23145250000000001</v>
      </c>
      <c r="Q1989">
        <v>6.6846680000000006E-2</v>
      </c>
      <c r="R1989">
        <v>-0.97054699999999905</v>
      </c>
      <c r="S1989">
        <v>1.292297</v>
      </c>
      <c r="T1989">
        <v>-0.1783853</v>
      </c>
      <c r="U1989">
        <v>-2.7976679999999998</v>
      </c>
      <c r="V1989">
        <v>-0.169293</v>
      </c>
      <c r="W1989">
        <v>7.9308409999999996E-2</v>
      </c>
      <c r="X1989">
        <v>0.98236959999999995</v>
      </c>
      <c r="Y1989">
        <v>-0.35992229999999997</v>
      </c>
      <c r="Z1989">
        <v>5.8357430000000002E-2</v>
      </c>
      <c r="AA1989">
        <v>0.93115539999999997</v>
      </c>
      <c r="AB1989">
        <v>27</v>
      </c>
      <c r="AC1989">
        <v>8.0321000000000105</v>
      </c>
      <c r="AD1989">
        <v>-1.1115067719130001</v>
      </c>
      <c r="AE1989">
        <v>-17.140899999999899</v>
      </c>
      <c r="AF1989">
        <v>-6.8995943604405898</v>
      </c>
      <c r="AG1989">
        <v>-1.1115067719130001</v>
      </c>
      <c r="AH1989">
        <v>17.5574060342298</v>
      </c>
      <c r="AI1989">
        <v>93.372012091027301</v>
      </c>
      <c r="AJ1989">
        <v>111.453508856471</v>
      </c>
      <c r="AK1989">
        <v>18.897152068326001</v>
      </c>
    </row>
    <row r="1990" spans="1:37" x14ac:dyDescent="0.2">
      <c r="A1990" t="str">
        <f>"20200111154103817"</f>
        <v>20200111154103817</v>
      </c>
      <c r="B1990" t="str">
        <f>"1578728463808164"</f>
        <v>1578728463808164</v>
      </c>
      <c r="C1990" t="s">
        <v>37</v>
      </c>
      <c r="D1990">
        <v>4.8611699999999898</v>
      </c>
      <c r="E1990">
        <v>0.4229251</v>
      </c>
      <c r="F1990" t="s">
        <v>43</v>
      </c>
      <c r="G1990">
        <v>-484.21839999999997</v>
      </c>
      <c r="H1990" s="1">
        <v>3.329974E-6</v>
      </c>
      <c r="I1990">
        <v>223.0625</v>
      </c>
      <c r="J1990">
        <v>-492.02760000000001</v>
      </c>
      <c r="K1990">
        <v>1.111586</v>
      </c>
      <c r="L1990">
        <v>239.74850000000001</v>
      </c>
      <c r="M1990">
        <v>6.5086550000000007E-2</v>
      </c>
      <c r="N1990">
        <v>0</v>
      </c>
      <c r="O1990">
        <v>-0.99779699999999905</v>
      </c>
      <c r="P1990">
        <v>0.2356656</v>
      </c>
      <c r="Q1990">
        <v>6.5063670000000004E-2</v>
      </c>
      <c r="R1990">
        <v>-0.96965409999999996</v>
      </c>
      <c r="S1990">
        <v>1.2905879999999901</v>
      </c>
      <c r="T1990">
        <v>-0.18325339999999901</v>
      </c>
      <c r="U1990">
        <v>-2.795868</v>
      </c>
      <c r="V1990">
        <v>-0.17223440000000001</v>
      </c>
      <c r="W1990">
        <v>7.7273339999999996E-2</v>
      </c>
      <c r="X1990">
        <v>0.98202040000000002</v>
      </c>
      <c r="Y1990">
        <v>-0.3583674</v>
      </c>
      <c r="Z1990">
        <v>5.9996649999999999E-2</v>
      </c>
      <c r="AA1990">
        <v>0.9316508</v>
      </c>
      <c r="AB1990">
        <v>27</v>
      </c>
      <c r="AC1990">
        <v>7.8092000000000299</v>
      </c>
      <c r="AD1990">
        <v>-1.1115826700260001</v>
      </c>
      <c r="AE1990">
        <v>-16.686</v>
      </c>
      <c r="AF1990">
        <v>-6.6821884334064396</v>
      </c>
      <c r="AG1990">
        <v>-1.1115826700260001</v>
      </c>
      <c r="AH1990">
        <v>17.096688450497801</v>
      </c>
      <c r="AI1990">
        <v>93.465394481402598</v>
      </c>
      <c r="AJ1990">
        <v>111.347891420474</v>
      </c>
      <c r="AK1990">
        <v>18.3897801581541</v>
      </c>
    </row>
    <row r="1991" spans="1:37" x14ac:dyDescent="0.2">
      <c r="A1991" t="str">
        <f>"20200111154103843"</f>
        <v>20200111154103843</v>
      </c>
      <c r="B1991" t="str">
        <f>"1578728463838421"</f>
        <v>1578728463838421</v>
      </c>
      <c r="C1991" t="s">
        <v>37</v>
      </c>
      <c r="D1991">
        <v>4.9282309999999896</v>
      </c>
      <c r="E1991">
        <v>0.42409059999999998</v>
      </c>
      <c r="F1991" t="s">
        <v>43</v>
      </c>
      <c r="G1991">
        <v>-484.47039999999998</v>
      </c>
      <c r="H1991" s="1">
        <v>3.50109E-6</v>
      </c>
      <c r="I1991">
        <v>223.43450000000001</v>
      </c>
      <c r="J1991">
        <v>-492.00779999999997</v>
      </c>
      <c r="K1991">
        <v>1.111707</v>
      </c>
      <c r="L1991">
        <v>239.46940000000001</v>
      </c>
      <c r="M1991">
        <v>6.6672919999999997E-2</v>
      </c>
      <c r="N1991">
        <v>0</v>
      </c>
      <c r="O1991">
        <v>-0.99769370000000002</v>
      </c>
      <c r="P1991">
        <v>0.240110399999999</v>
      </c>
      <c r="Q1991">
        <v>6.3530909999999996E-2</v>
      </c>
      <c r="R1991">
        <v>-0.96866459999999999</v>
      </c>
      <c r="S1991">
        <v>1.293488</v>
      </c>
      <c r="T1991">
        <v>-0.19025739999999999</v>
      </c>
      <c r="U1991">
        <v>-2.792297</v>
      </c>
      <c r="V1991">
        <v>-0.1751962</v>
      </c>
      <c r="W1991">
        <v>7.5551289999999993E-2</v>
      </c>
      <c r="X1991">
        <v>0.98163040000000001</v>
      </c>
      <c r="Y1991">
        <v>-0.35807359999999999</v>
      </c>
      <c r="Z1991">
        <v>6.2333100000000002E-2</v>
      </c>
      <c r="AA1991">
        <v>0.93161039999999995</v>
      </c>
      <c r="AB1991">
        <v>27</v>
      </c>
      <c r="AC1991">
        <v>7.5373999999999901</v>
      </c>
      <c r="AD1991">
        <v>-1.1117034989100001</v>
      </c>
      <c r="AE1991">
        <v>-16.034899999999901</v>
      </c>
      <c r="AF1991">
        <v>-6.4261469614405602</v>
      </c>
      <c r="AG1991">
        <v>-1.1117034989100001</v>
      </c>
      <c r="AH1991">
        <v>16.437086200158099</v>
      </c>
      <c r="AI1991">
        <v>93.604357520491305</v>
      </c>
      <c r="AJ1991">
        <v>111.353219384613</v>
      </c>
      <c r="AK1991">
        <v>17.683581429986098</v>
      </c>
    </row>
    <row r="1992" spans="1:37" x14ac:dyDescent="0.2">
      <c r="A1992" t="str">
        <f>"20200111154103861"</f>
        <v>20200111154103861</v>
      </c>
      <c r="B1992" t="str">
        <f>"1578728463857941"</f>
        <v>1578728463857941</v>
      </c>
      <c r="C1992" t="s">
        <v>37</v>
      </c>
      <c r="D1992">
        <v>4.9118930000000001</v>
      </c>
      <c r="E1992">
        <v>0.42469679999999999</v>
      </c>
      <c r="F1992" t="s">
        <v>43</v>
      </c>
      <c r="G1992">
        <v>-484.65179999999998</v>
      </c>
      <c r="H1992" s="1">
        <v>3.6110619999999998E-6</v>
      </c>
      <c r="I1992">
        <v>223.65969999999999</v>
      </c>
      <c r="J1992">
        <v>-491.98930000000001</v>
      </c>
      <c r="K1992">
        <v>1.1118600000000001</v>
      </c>
      <c r="L1992">
        <v>239.2175</v>
      </c>
      <c r="M1992">
        <v>6.8311090000000005E-2</v>
      </c>
      <c r="N1992">
        <v>0</v>
      </c>
      <c r="O1992">
        <v>-0.99758340000000001</v>
      </c>
      <c r="P1992">
        <v>0.2441672</v>
      </c>
      <c r="Q1992">
        <v>6.420025E-2</v>
      </c>
      <c r="R1992">
        <v>-0.96760569999999901</v>
      </c>
      <c r="S1992">
        <v>1.2973629999999901</v>
      </c>
      <c r="T1992">
        <v>-0.19606760000000001</v>
      </c>
      <c r="U1992">
        <v>-2.7883149999999999</v>
      </c>
      <c r="V1992">
        <v>-0.1777321</v>
      </c>
      <c r="W1992">
        <v>7.6102349999999999E-2</v>
      </c>
      <c r="X1992">
        <v>0.98113189999999995</v>
      </c>
      <c r="Y1992">
        <v>-0.35806139999999997</v>
      </c>
      <c r="Z1992">
        <v>6.4282629999999993E-2</v>
      </c>
      <c r="AA1992">
        <v>0.93148259999999905</v>
      </c>
      <c r="AB1992">
        <v>27</v>
      </c>
      <c r="AC1992">
        <v>7.3375000000000297</v>
      </c>
      <c r="AD1992">
        <v>-1.111856388938</v>
      </c>
      <c r="AE1992">
        <v>-15.5578</v>
      </c>
      <c r="AF1992">
        <v>-6.2314660209193997</v>
      </c>
      <c r="AG1992">
        <v>-1.111856388938</v>
      </c>
      <c r="AH1992">
        <v>15.956059610494499</v>
      </c>
      <c r="AI1992">
        <v>93.713748544475493</v>
      </c>
      <c r="AJ1992">
        <v>111.332591713989</v>
      </c>
      <c r="AK1992">
        <v>17.165757533332101</v>
      </c>
    </row>
    <row r="1993" spans="1:37" x14ac:dyDescent="0.2">
      <c r="A1993" t="str">
        <f>"20200111154103884"</f>
        <v>20200111154103884</v>
      </c>
      <c r="B1993" t="str">
        <f>"1578728463878216"</f>
        <v>1578728463878216</v>
      </c>
      <c r="C1993" t="s">
        <v>37</v>
      </c>
      <c r="D1993">
        <v>4.9831209999999997</v>
      </c>
      <c r="E1993">
        <v>0.42517739999999998</v>
      </c>
      <c r="F1993" t="s">
        <v>43</v>
      </c>
      <c r="G1993">
        <v>-484.57389999999998</v>
      </c>
      <c r="H1993" s="1">
        <v>3.509491E-6</v>
      </c>
      <c r="I1993">
        <v>223.38749999999999</v>
      </c>
      <c r="J1993">
        <v>-491.96879999999999</v>
      </c>
      <c r="K1993">
        <v>1.112044</v>
      </c>
      <c r="L1993">
        <v>238.9469</v>
      </c>
      <c r="M1993">
        <v>7.0305419999999993E-2</v>
      </c>
      <c r="N1993">
        <v>0</v>
      </c>
      <c r="O1993">
        <v>-0.99744549999999998</v>
      </c>
      <c r="P1993">
        <v>0.24859629999999899</v>
      </c>
      <c r="Q1993">
        <v>6.50197E-2</v>
      </c>
      <c r="R1993">
        <v>-0.96642280000000003</v>
      </c>
      <c r="S1993">
        <v>1.30426</v>
      </c>
      <c r="T1993">
        <v>-0.1955595</v>
      </c>
      <c r="U1993">
        <v>-2.7842709999999999</v>
      </c>
      <c r="V1993">
        <v>-0.1803053</v>
      </c>
      <c r="W1993">
        <v>7.6792689999999997E-2</v>
      </c>
      <c r="X1993">
        <v>0.98060840000000005</v>
      </c>
      <c r="Y1993">
        <v>-0.35861019999999999</v>
      </c>
      <c r="Z1993">
        <v>6.4148239999999995E-2</v>
      </c>
      <c r="AA1993">
        <v>0.93128069999999896</v>
      </c>
      <c r="AB1993">
        <v>27</v>
      </c>
      <c r="AC1993">
        <v>7.3948999999999998</v>
      </c>
      <c r="AD1993">
        <v>-1.112040490509</v>
      </c>
      <c r="AE1993">
        <v>-15.5594</v>
      </c>
      <c r="AF1993">
        <v>-6.2565310234238698</v>
      </c>
      <c r="AG1993">
        <v>-1.112040490509</v>
      </c>
      <c r="AH1993">
        <v>15.9742730340168</v>
      </c>
      <c r="AI1993">
        <v>93.7087284422702</v>
      </c>
      <c r="AJ1993">
        <v>111.38843858249</v>
      </c>
      <c r="AK1993">
        <v>17.191806579441099</v>
      </c>
    </row>
    <row r="1994" spans="1:37" x14ac:dyDescent="0.2">
      <c r="A1994" t="str">
        <f>"20200111154103897"</f>
        <v>20200111154103897</v>
      </c>
      <c r="B1994" t="str">
        <f>"1578728463887968"</f>
        <v>1578728463887968</v>
      </c>
      <c r="C1994" t="s">
        <v>37</v>
      </c>
      <c r="D1994">
        <v>4.9386669999999997</v>
      </c>
      <c r="E1994">
        <v>0.42543799999999998</v>
      </c>
      <c r="F1994" t="s">
        <v>43</v>
      </c>
      <c r="G1994">
        <v>-484.44080000000002</v>
      </c>
      <c r="H1994" s="1">
        <v>3.364128E-6</v>
      </c>
      <c r="I1994">
        <v>223.01349999999999</v>
      </c>
      <c r="J1994">
        <v>-491.95420000000001</v>
      </c>
      <c r="K1994">
        <v>1.112177</v>
      </c>
      <c r="L1994">
        <v>238.761</v>
      </c>
      <c r="M1994">
        <v>7.1837209999999999E-2</v>
      </c>
      <c r="N1994">
        <v>0</v>
      </c>
      <c r="O1994">
        <v>-0.99733660000000002</v>
      </c>
      <c r="P1994">
        <v>0.25170199999999998</v>
      </c>
      <c r="Q1994">
        <v>6.4971689999999999E-2</v>
      </c>
      <c r="R1994">
        <v>-0.96562179999999997</v>
      </c>
      <c r="S1994">
        <v>1.313202</v>
      </c>
      <c r="T1994">
        <v>-0.19398750000000001</v>
      </c>
      <c r="U1994">
        <v>-2.7794650000000001</v>
      </c>
      <c r="V1994">
        <v>-0.18197679999999899</v>
      </c>
      <c r="W1994">
        <v>7.6649110000000006E-2</v>
      </c>
      <c r="X1994">
        <v>0.98031089999999999</v>
      </c>
      <c r="Y1994">
        <v>-0.36026059999999999</v>
      </c>
      <c r="Z1994">
        <v>6.3661019999999999E-2</v>
      </c>
      <c r="AA1994">
        <v>0.93067690000000003</v>
      </c>
      <c r="AB1994">
        <v>27</v>
      </c>
      <c r="AC1994">
        <v>7.5133999999999901</v>
      </c>
      <c r="AD1994">
        <v>-1.112173635872</v>
      </c>
      <c r="AE1994">
        <v>-15.7475</v>
      </c>
      <c r="AF1994">
        <v>-6.3368915621222204</v>
      </c>
      <c r="AG1994">
        <v>-1.112173635872</v>
      </c>
      <c r="AH1994">
        <v>16.1808490679153</v>
      </c>
      <c r="AI1994">
        <v>93.661989028648804</v>
      </c>
      <c r="AJ1994">
        <v>111.38675729125799</v>
      </c>
      <c r="AK1994">
        <v>17.413012416726801</v>
      </c>
    </row>
    <row r="1995" spans="1:37" x14ac:dyDescent="0.2">
      <c r="A1995" t="str">
        <f>"20200111154103917"</f>
        <v>20200111154103917</v>
      </c>
      <c r="B1995" t="str">
        <f>"1578728463908463"</f>
        <v>1578728463908463</v>
      </c>
      <c r="C1995" t="s">
        <v>37</v>
      </c>
      <c r="D1995">
        <v>4.9630910000000004</v>
      </c>
      <c r="E1995">
        <v>0.42578100000000002</v>
      </c>
      <c r="F1995" t="s">
        <v>43</v>
      </c>
      <c r="G1995">
        <v>-484.42039999999997</v>
      </c>
      <c r="H1995" s="1">
        <v>3.331922E-6</v>
      </c>
      <c r="I1995">
        <v>222.92420000000001</v>
      </c>
      <c r="J1995">
        <v>-491.93549999999999</v>
      </c>
      <c r="K1995">
        <v>1.1123350000000001</v>
      </c>
      <c r="L1995">
        <v>238.52930000000001</v>
      </c>
      <c r="M1995">
        <v>7.3862730000000001E-2</v>
      </c>
      <c r="N1995">
        <v>0</v>
      </c>
      <c r="O1995">
        <v>-0.99718899999999999</v>
      </c>
      <c r="P1995">
        <v>0.25726710000000003</v>
      </c>
      <c r="Q1995">
        <v>6.5022940000000001E-2</v>
      </c>
      <c r="R1995">
        <v>-0.96415039999999996</v>
      </c>
      <c r="S1995">
        <v>1.320465</v>
      </c>
      <c r="T1995">
        <v>-0.194933299999999</v>
      </c>
      <c r="U1995">
        <v>-2.775757</v>
      </c>
      <c r="V1995">
        <v>-0.18567129999999901</v>
      </c>
      <c r="W1995">
        <v>7.6575879999999999E-2</v>
      </c>
      <c r="X1995">
        <v>0.97962359999999904</v>
      </c>
      <c r="Y1995">
        <v>-0.36082540000000002</v>
      </c>
      <c r="Z1995">
        <v>6.399117E-2</v>
      </c>
      <c r="AA1995">
        <v>0.93043549999999997</v>
      </c>
      <c r="AB1995">
        <v>27</v>
      </c>
      <c r="AC1995">
        <v>7.5151000000000101</v>
      </c>
      <c r="AD1995">
        <v>-1.112331668078</v>
      </c>
      <c r="AE1995">
        <v>-15.605099999999901</v>
      </c>
      <c r="AF1995">
        <v>-6.3157936331253799</v>
      </c>
      <c r="AG1995">
        <v>-1.112331668078</v>
      </c>
      <c r="AH1995">
        <v>16.051395155640101</v>
      </c>
      <c r="AI1995">
        <v>93.689655958309899</v>
      </c>
      <c r="AJ1995">
        <v>111.478307491484</v>
      </c>
      <c r="AK1995">
        <v>17.2850749896708</v>
      </c>
    </row>
    <row r="1996" spans="1:37" x14ac:dyDescent="0.2">
      <c r="A1996" t="str">
        <f>"20200111154103939"</f>
        <v>20200111154103939</v>
      </c>
      <c r="B1996" t="str">
        <f>"1578728463927983"</f>
        <v>1578728463927983</v>
      </c>
      <c r="C1996" t="s">
        <v>37</v>
      </c>
      <c r="D1996">
        <v>5.1847149999999997</v>
      </c>
      <c r="E1996">
        <v>0.42605799999999999</v>
      </c>
      <c r="F1996" t="s">
        <v>43</v>
      </c>
      <c r="G1996">
        <v>-484.37290000000002</v>
      </c>
      <c r="H1996" s="1">
        <v>3.2881989999999999E-6</v>
      </c>
      <c r="I1996">
        <v>222.81710000000001</v>
      </c>
      <c r="J1996">
        <v>-491.91340000000002</v>
      </c>
      <c r="K1996">
        <v>1.112511</v>
      </c>
      <c r="L1996">
        <v>238.26580000000001</v>
      </c>
      <c r="M1996">
        <v>7.6364180000000004E-2</v>
      </c>
      <c r="N1996">
        <v>0</v>
      </c>
      <c r="O1996">
        <v>-0.99700100000000003</v>
      </c>
      <c r="P1996">
        <v>0.2632602</v>
      </c>
      <c r="Q1996">
        <v>6.5648250000000005E-2</v>
      </c>
      <c r="R1996">
        <v>-0.96248909999999999</v>
      </c>
      <c r="S1996">
        <v>1.3328249999999999</v>
      </c>
      <c r="T1996">
        <v>-0.19603719999999999</v>
      </c>
      <c r="U1996">
        <v>-2.7691189999999999</v>
      </c>
      <c r="V1996">
        <v>-0.18934790000000001</v>
      </c>
      <c r="W1996">
        <v>7.7069860000000004E-2</v>
      </c>
      <c r="X1996">
        <v>0.9788808</v>
      </c>
      <c r="Y1996">
        <v>-0.36271729999999902</v>
      </c>
      <c r="Z1996">
        <v>6.4388630000000002E-2</v>
      </c>
      <c r="AA1996">
        <v>0.9296721</v>
      </c>
      <c r="AB1996">
        <v>27</v>
      </c>
      <c r="AC1996">
        <v>7.5404999999999998</v>
      </c>
      <c r="AD1996">
        <v>-1.1125077118009901</v>
      </c>
      <c r="AE1996">
        <v>-15.448700000000001</v>
      </c>
      <c r="AF1996">
        <v>-6.3122217644731196</v>
      </c>
      <c r="AG1996">
        <v>-1.1125077118009901</v>
      </c>
      <c r="AH1996">
        <v>15.9128075974639</v>
      </c>
      <c r="AI1996">
        <v>93.718227424471394</v>
      </c>
      <c r="AJ1996">
        <v>111.637017395646</v>
      </c>
      <c r="AK1996">
        <v>17.1551526558818</v>
      </c>
    </row>
    <row r="1997" spans="1:37" x14ac:dyDescent="0.2">
      <c r="A1997" t="str">
        <f>"20200111154103953"</f>
        <v>20200111154103953</v>
      </c>
      <c r="B1997" t="str">
        <f>"1578728463948479"</f>
        <v>1578728463948479</v>
      </c>
      <c r="C1997" t="s">
        <v>37</v>
      </c>
      <c r="D1997">
        <v>4.9795379999999998</v>
      </c>
      <c r="E1997">
        <v>0.4263999</v>
      </c>
      <c r="F1997" t="s">
        <v>43</v>
      </c>
      <c r="G1997">
        <v>-484.28539999999998</v>
      </c>
      <c r="H1997" s="1">
        <v>3.2121870000000002E-6</v>
      </c>
      <c r="I1997">
        <v>222.6343</v>
      </c>
      <c r="J1997">
        <v>-491.89890000000003</v>
      </c>
      <c r="K1997">
        <v>1.112628</v>
      </c>
      <c r="L1997">
        <v>238.09899999999999</v>
      </c>
      <c r="M1997">
        <v>7.8087580000000004E-2</v>
      </c>
      <c r="N1997">
        <v>0</v>
      </c>
      <c r="O1997">
        <v>-0.99686749999999902</v>
      </c>
      <c r="P1997">
        <v>0.26645599999999903</v>
      </c>
      <c r="Q1997">
        <v>6.6109580000000001E-2</v>
      </c>
      <c r="R1997">
        <v>-0.96157749999999997</v>
      </c>
      <c r="S1997">
        <v>1.3476870000000001</v>
      </c>
      <c r="T1997">
        <v>-0.19655439999999999</v>
      </c>
      <c r="U1997">
        <v>-2.7617189999999998</v>
      </c>
      <c r="V1997">
        <v>-0.19093450000000001</v>
      </c>
      <c r="W1997">
        <v>7.745494E-2</v>
      </c>
      <c r="X1997">
        <v>0.97854209999999997</v>
      </c>
      <c r="Y1997">
        <v>-0.36612139999999999</v>
      </c>
      <c r="Z1997">
        <v>6.4583160000000001E-2</v>
      </c>
      <c r="AA1997">
        <v>0.92832329999999996</v>
      </c>
      <c r="AB1997">
        <v>27</v>
      </c>
      <c r="AC1997">
        <v>7.6135000000000401</v>
      </c>
      <c r="AD1997">
        <v>-1.112624787813</v>
      </c>
      <c r="AE1997">
        <v>-15.464700000000001</v>
      </c>
      <c r="AF1997">
        <v>-6.3560704082672697</v>
      </c>
      <c r="AG1997">
        <v>-1.112624787813</v>
      </c>
      <c r="AH1997">
        <v>15.9456018131433</v>
      </c>
      <c r="AI1997">
        <v>93.708534533322293</v>
      </c>
      <c r="AJ1997">
        <v>111.73270205853299</v>
      </c>
      <c r="AK1997">
        <v>17.2017377650232</v>
      </c>
    </row>
    <row r="1998" spans="1:37" x14ac:dyDescent="0.2">
      <c r="A1998" t="str">
        <f>"20200111154103972"</f>
        <v>20200111154103972</v>
      </c>
      <c r="B1998" t="str">
        <f>"1578728463967999"</f>
        <v>1578728463967999</v>
      </c>
      <c r="C1998" t="s">
        <v>37</v>
      </c>
      <c r="D1998">
        <v>4.818346</v>
      </c>
      <c r="E1998">
        <v>0.4266008</v>
      </c>
      <c r="F1998" t="s">
        <v>43</v>
      </c>
      <c r="G1998">
        <v>-484.23349999999999</v>
      </c>
      <c r="H1998" s="1">
        <v>3.151968E-6</v>
      </c>
      <c r="I1998">
        <v>222.47649999999999</v>
      </c>
      <c r="J1998">
        <v>-491.8775</v>
      </c>
      <c r="K1998">
        <v>1.1128069999999901</v>
      </c>
      <c r="L1998">
        <v>237.8603</v>
      </c>
      <c r="M1998">
        <v>8.0716029999999994E-2</v>
      </c>
      <c r="N1998">
        <v>0</v>
      </c>
      <c r="O1998">
        <v>-0.99665840000000006</v>
      </c>
      <c r="P1998">
        <v>0.2716383</v>
      </c>
      <c r="Q1998">
        <v>6.7952289999999999E-2</v>
      </c>
      <c r="R1998">
        <v>-0.95999749999999995</v>
      </c>
      <c r="S1998">
        <v>1.353424</v>
      </c>
      <c r="T1998">
        <v>-0.19644829999999999</v>
      </c>
      <c r="U1998">
        <v>-2.7583470000000001</v>
      </c>
      <c r="V1998">
        <v>-0.1936851</v>
      </c>
      <c r="W1998">
        <v>7.9183390000000006E-2</v>
      </c>
      <c r="X1998">
        <v>0.97786299999999904</v>
      </c>
      <c r="Y1998">
        <v>-0.36567339999999998</v>
      </c>
      <c r="Z1998">
        <v>6.457628E-2</v>
      </c>
      <c r="AA1998">
        <v>0.9285004</v>
      </c>
      <c r="AB1998">
        <v>27</v>
      </c>
      <c r="AC1998">
        <v>7.6440000000000001</v>
      </c>
      <c r="AD1998">
        <v>-1.1128038480319999</v>
      </c>
      <c r="AE1998">
        <v>-15.383800000000001</v>
      </c>
      <c r="AF1998">
        <v>-6.35058825601413</v>
      </c>
      <c r="AG1998">
        <v>-1.1128038480319999</v>
      </c>
      <c r="AH1998">
        <v>15.8839826674074</v>
      </c>
      <c r="AI1998">
        <v>93.721942787891606</v>
      </c>
      <c r="AJ1998">
        <v>111.79206510145799</v>
      </c>
      <c r="AK1998">
        <v>17.142613831622</v>
      </c>
    </row>
    <row r="1999" spans="1:37" x14ac:dyDescent="0.2">
      <c r="A1999" t="str">
        <f>"20200111154103987"</f>
        <v>20200111154103987</v>
      </c>
      <c r="B1999" t="str">
        <f>"1578728463977760"</f>
        <v>1578728463977760</v>
      </c>
      <c r="C1999" t="s">
        <v>37</v>
      </c>
      <c r="D1999">
        <v>4.8552730000000004</v>
      </c>
      <c r="E1999">
        <v>0.4030029</v>
      </c>
      <c r="F1999" t="s">
        <v>43</v>
      </c>
      <c r="G1999">
        <v>-483.92320000000001</v>
      </c>
      <c r="H1999" s="1">
        <v>2.9587580000000001E-6</v>
      </c>
      <c r="I1999">
        <v>221.85159999999999</v>
      </c>
      <c r="J1999">
        <v>-491.86110000000002</v>
      </c>
      <c r="K1999">
        <v>1.1129389999999999</v>
      </c>
      <c r="L1999">
        <v>237.6824</v>
      </c>
      <c r="M1999">
        <v>8.280063E-2</v>
      </c>
      <c r="N1999">
        <v>0</v>
      </c>
      <c r="O1999">
        <v>-0.99648760000000003</v>
      </c>
      <c r="P1999">
        <v>0.2744702</v>
      </c>
      <c r="Q1999">
        <v>6.8819199999999997E-2</v>
      </c>
      <c r="R1999">
        <v>-0.95912999999999904</v>
      </c>
      <c r="S1999">
        <v>1.3672489999999999</v>
      </c>
      <c r="T1999">
        <v>-0.19127669999999999</v>
      </c>
      <c r="U1999">
        <v>-2.7516780000000001</v>
      </c>
      <c r="V1999">
        <v>-0.1945614</v>
      </c>
      <c r="W1999">
        <v>7.9974340000000005E-2</v>
      </c>
      <c r="X1999">
        <v>0.97762469999999901</v>
      </c>
      <c r="Y1999">
        <v>-0.36841119999999999</v>
      </c>
      <c r="Z1999">
        <v>6.2901769999999996E-2</v>
      </c>
      <c r="AA1999">
        <v>0.92753249999999998</v>
      </c>
      <c r="AB1999">
        <v>27</v>
      </c>
      <c r="AC1999">
        <v>7.9379000000000097</v>
      </c>
      <c r="AD1999">
        <v>-1.112936041242</v>
      </c>
      <c r="AE1999">
        <v>-15.8308</v>
      </c>
      <c r="AF1999">
        <v>-6.5737727996215396</v>
      </c>
      <c r="AG1999">
        <v>-1.112936041242</v>
      </c>
      <c r="AH1999">
        <v>16.369097151014198</v>
      </c>
      <c r="AI1999">
        <v>93.6101430739553</v>
      </c>
      <c r="AJ1999">
        <v>111.880223871646</v>
      </c>
      <c r="AK1999">
        <v>17.6748538039861</v>
      </c>
    </row>
    <row r="2000" spans="1:37" x14ac:dyDescent="0.2">
      <c r="A2000" t="str">
        <f>"20200111154104008"</f>
        <v>20200111154104008</v>
      </c>
      <c r="B2000" t="str">
        <f>"1578728463998258"</f>
        <v>1578728463998258</v>
      </c>
      <c r="C2000" t="s">
        <v>37</v>
      </c>
      <c r="D2000">
        <v>4.9349299999999996</v>
      </c>
      <c r="E2000">
        <v>0.38169039999999999</v>
      </c>
      <c r="F2000" t="s">
        <v>38</v>
      </c>
      <c r="G2000">
        <v>-491.35309999999998</v>
      </c>
      <c r="H2000">
        <v>1.0558670000000001</v>
      </c>
      <c r="I2000">
        <v>236.803</v>
      </c>
      <c r="J2000">
        <v>-491.83760000000001</v>
      </c>
      <c r="K2000">
        <v>1.1131120000000001</v>
      </c>
      <c r="L2000">
        <v>237.4376</v>
      </c>
      <c r="M2000">
        <v>8.5864179999999998E-2</v>
      </c>
      <c r="N2000">
        <v>0</v>
      </c>
      <c r="O2000">
        <v>-0.99622829999999996</v>
      </c>
      <c r="P2000">
        <v>0.2791053</v>
      </c>
      <c r="Q2000">
        <v>6.899914E-2</v>
      </c>
      <c r="R2000">
        <v>-0.95777860000000004</v>
      </c>
      <c r="S2000">
        <v>1.5574649999999901</v>
      </c>
      <c r="T2000">
        <v>-0.1748719</v>
      </c>
      <c r="U2000">
        <v>-2.6947019999999999</v>
      </c>
      <c r="V2000">
        <v>-0.19632160000000001</v>
      </c>
      <c r="W2000">
        <v>8.0047060000000003E-2</v>
      </c>
      <c r="X2000">
        <v>0.97726669999999904</v>
      </c>
      <c r="Y2000">
        <v>-0.4234002</v>
      </c>
      <c r="Z2000">
        <v>5.6961119999999997E-2</v>
      </c>
      <c r="AA2000">
        <v>0.90415029999999996</v>
      </c>
      <c r="AB2000">
        <v>27</v>
      </c>
      <c r="AC2000">
        <v>0.48450000000002502</v>
      </c>
      <c r="AD2000">
        <v>-5.72449999999999E-2</v>
      </c>
      <c r="AE2000">
        <v>-0.63460000000000505</v>
      </c>
      <c r="AF2000">
        <v>-0.42602663199741703</v>
      </c>
      <c r="AG2000">
        <v>-5.72449999999999E-2</v>
      </c>
      <c r="AH2000">
        <v>0.67041400108529103</v>
      </c>
      <c r="AI2000">
        <v>94.122031372298395</v>
      </c>
      <c r="AJ2000">
        <v>122.434651666718</v>
      </c>
      <c r="AK2000">
        <v>0.79638597052387305</v>
      </c>
    </row>
    <row r="2001" spans="1:37" x14ac:dyDescent="0.2">
      <c r="A2001" t="str">
        <f>"20200111154104028"</f>
        <v>20200111154104028</v>
      </c>
      <c r="B2001" t="str">
        <f>"1578728464017775"</f>
        <v>1578728464017775</v>
      </c>
      <c r="C2001" t="s">
        <v>37</v>
      </c>
      <c r="D2001">
        <v>4.903683</v>
      </c>
      <c r="E2001">
        <v>0.37263010000000002</v>
      </c>
      <c r="F2001" t="s">
        <v>38</v>
      </c>
      <c r="G2001">
        <v>-491.27359999999999</v>
      </c>
      <c r="H2001">
        <v>1.0514239999999999</v>
      </c>
      <c r="I2001">
        <v>236.5789</v>
      </c>
      <c r="J2001">
        <v>-491.81209999999999</v>
      </c>
      <c r="K2001">
        <v>1.113294</v>
      </c>
      <c r="L2001">
        <v>237.18289999999999</v>
      </c>
      <c r="M2001">
        <v>8.9283109999999999E-2</v>
      </c>
      <c r="N2001">
        <v>0</v>
      </c>
      <c r="O2001">
        <v>-0.99592769999999997</v>
      </c>
      <c r="P2001">
        <v>0.28398699999999999</v>
      </c>
      <c r="Q2001">
        <v>6.7184300000000002E-2</v>
      </c>
      <c r="R2001">
        <v>-0.95647130000000002</v>
      </c>
      <c r="S2001">
        <v>1.734283</v>
      </c>
      <c r="T2001">
        <v>-0.1897105</v>
      </c>
      <c r="U2001">
        <v>-2.640533</v>
      </c>
      <c r="V2001">
        <v>-0.19796620000000001</v>
      </c>
      <c r="W2001">
        <v>7.8125719999999996E-2</v>
      </c>
      <c r="X2001">
        <v>0.97709040000000003</v>
      </c>
      <c r="Y2001">
        <v>-0.47112959999999898</v>
      </c>
      <c r="Z2001">
        <v>6.1045759999999998E-2</v>
      </c>
      <c r="AA2001">
        <v>0.87994899999999998</v>
      </c>
      <c r="AB2001">
        <v>27</v>
      </c>
      <c r="AC2001">
        <v>0.53849999999999898</v>
      </c>
      <c r="AD2001">
        <v>-6.1870000000000001E-2</v>
      </c>
      <c r="AE2001">
        <v>-0.60399999999998499</v>
      </c>
      <c r="AF2001">
        <v>-0.47961404457468998</v>
      </c>
      <c r="AG2001">
        <v>-6.1870000000000001E-2</v>
      </c>
      <c r="AH2001">
        <v>0.64589429296795797</v>
      </c>
      <c r="AI2001">
        <v>94.397708417463207</v>
      </c>
      <c r="AJ2001">
        <v>126.596032510097</v>
      </c>
      <c r="AK2001">
        <v>0.80686861776987695</v>
      </c>
    </row>
    <row r="2002" spans="1:37" x14ac:dyDescent="0.2">
      <c r="A2002" t="str">
        <f>"20200111154104042"</f>
        <v>20200111154104042</v>
      </c>
      <c r="B2002" t="str">
        <f>"1578728464038272"</f>
        <v>1578728464038272</v>
      </c>
      <c r="C2002" t="s">
        <v>37</v>
      </c>
      <c r="D2002">
        <v>4.7869229999999998</v>
      </c>
      <c r="E2002">
        <v>0.3693861</v>
      </c>
      <c r="F2002" t="s">
        <v>38</v>
      </c>
      <c r="G2002">
        <v>-491.22890000000001</v>
      </c>
      <c r="H2002">
        <v>1.0468389999999901</v>
      </c>
      <c r="I2002">
        <v>236.3443</v>
      </c>
      <c r="J2002">
        <v>-491.79489999999998</v>
      </c>
      <c r="K2002">
        <v>1.113415</v>
      </c>
      <c r="L2002">
        <v>237.01560000000001</v>
      </c>
      <c r="M2002">
        <v>9.1636519999999999E-2</v>
      </c>
      <c r="N2002">
        <v>0</v>
      </c>
      <c r="O2002">
        <v>-0.99571379999999998</v>
      </c>
      <c r="P2002">
        <v>0.28701679999999902</v>
      </c>
      <c r="Q2002">
        <v>6.6201360000000001E-2</v>
      </c>
      <c r="R2002">
        <v>-0.95563529999999997</v>
      </c>
      <c r="S2002">
        <v>1.8171079999999999</v>
      </c>
      <c r="T2002">
        <v>-0.20695729999999901</v>
      </c>
      <c r="U2002">
        <v>-2.6115569999999999</v>
      </c>
      <c r="V2002">
        <v>-0.19876469999999999</v>
      </c>
      <c r="W2002">
        <v>7.7076030000000004E-2</v>
      </c>
      <c r="X2002">
        <v>0.97701170000000004</v>
      </c>
      <c r="Y2002">
        <v>-0.49226750000000002</v>
      </c>
      <c r="Z2002">
        <v>6.6207749999999996E-2</v>
      </c>
      <c r="AA2002">
        <v>0.86792239999999998</v>
      </c>
      <c r="AB2002">
        <v>27</v>
      </c>
      <c r="AC2002">
        <v>0.56599999999997397</v>
      </c>
      <c r="AD2002">
        <v>-6.6576000000000093E-2</v>
      </c>
      <c r="AE2002">
        <v>-0.67130000000000201</v>
      </c>
      <c r="AF2002">
        <v>-0.49922778798207401</v>
      </c>
      <c r="AG2002">
        <v>-6.6576000000000093E-2</v>
      </c>
      <c r="AH2002">
        <v>0.71622792420542403</v>
      </c>
      <c r="AI2002">
        <v>94.360768790873095</v>
      </c>
      <c r="AJ2002">
        <v>124.87740813567</v>
      </c>
      <c r="AK2002">
        <v>0.87558162810847395</v>
      </c>
    </row>
    <row r="2003" spans="1:37" x14ac:dyDescent="0.2">
      <c r="A2003" t="str">
        <f>"20200111154104062"</f>
        <v>20200111154104062</v>
      </c>
      <c r="B2003" t="str">
        <f>"1578728464057792"</f>
        <v>1578728464057792</v>
      </c>
      <c r="C2003" t="s">
        <v>37</v>
      </c>
      <c r="D2003">
        <v>4.7716129999999897</v>
      </c>
      <c r="E2003">
        <v>0.36788569999999998</v>
      </c>
      <c r="F2003" t="s">
        <v>38</v>
      </c>
      <c r="G2003">
        <v>-491.30130000000003</v>
      </c>
      <c r="H2003">
        <v>1.0552159999999999</v>
      </c>
      <c r="I2003">
        <v>236.32169999999999</v>
      </c>
      <c r="J2003">
        <v>-491.76979999999998</v>
      </c>
      <c r="K2003">
        <v>1.113585</v>
      </c>
      <c r="L2003">
        <v>236.78309999999999</v>
      </c>
      <c r="M2003">
        <v>9.5120189999999993E-2</v>
      </c>
      <c r="N2003">
        <v>0</v>
      </c>
      <c r="O2003">
        <v>-0.99538709999999997</v>
      </c>
      <c r="P2003">
        <v>0.291468</v>
      </c>
      <c r="Q2003">
        <v>6.5011840000000001E-2</v>
      </c>
      <c r="R2003">
        <v>-0.95436880000000002</v>
      </c>
      <c r="S2003">
        <v>1.849548</v>
      </c>
      <c r="T2003">
        <v>-0.21796740000000001</v>
      </c>
      <c r="U2003">
        <v>-2.5989230000000001</v>
      </c>
      <c r="V2003">
        <v>-0.19991639999999999</v>
      </c>
      <c r="W2003">
        <v>7.5793299999999994E-2</v>
      </c>
      <c r="X2003">
        <v>0.97687710000000005</v>
      </c>
      <c r="Y2003">
        <v>-0.49828790000000001</v>
      </c>
      <c r="Z2003">
        <v>6.959738E-2</v>
      </c>
      <c r="AA2003">
        <v>0.86421380000000003</v>
      </c>
      <c r="AB2003">
        <v>27</v>
      </c>
      <c r="AC2003">
        <v>0.46849999999994801</v>
      </c>
      <c r="AD2003">
        <v>-5.8369000000000101E-2</v>
      </c>
      <c r="AE2003">
        <v>-0.46139999999999698</v>
      </c>
      <c r="AF2003">
        <v>-0.419180578972081</v>
      </c>
      <c r="AG2003">
        <v>-5.8369000000000101E-2</v>
      </c>
      <c r="AH2003">
        <v>0.49993566450381699</v>
      </c>
      <c r="AI2003">
        <v>95.112400360152904</v>
      </c>
      <c r="AJ2003">
        <v>129.978791490567</v>
      </c>
      <c r="AK2003">
        <v>0.65502287486105604</v>
      </c>
    </row>
    <row r="2004" spans="1:37" x14ac:dyDescent="0.2">
      <c r="A2004" t="str">
        <f>"20200111154104085"</f>
        <v>20200111154104085</v>
      </c>
      <c r="B2004" t="str">
        <f>"1578728464078288"</f>
        <v>1578728464078288</v>
      </c>
      <c r="C2004" t="s">
        <v>37</v>
      </c>
      <c r="D2004">
        <v>4.7746570000000004</v>
      </c>
      <c r="E2004">
        <v>0.36765749999999903</v>
      </c>
      <c r="F2004" t="s">
        <v>38</v>
      </c>
      <c r="G2004">
        <v>-491.26389999999998</v>
      </c>
      <c r="H2004">
        <v>1.0527420000000001</v>
      </c>
      <c r="I2004">
        <v>236.08459999999999</v>
      </c>
      <c r="J2004">
        <v>-491.73849999999999</v>
      </c>
      <c r="K2004">
        <v>1.1137980000000001</v>
      </c>
      <c r="L2004">
        <v>236.50460000000001</v>
      </c>
      <c r="M2004">
        <v>9.9544610000000006E-2</v>
      </c>
      <c r="N2004">
        <v>0</v>
      </c>
      <c r="O2004">
        <v>-0.99495319999999898</v>
      </c>
      <c r="P2004">
        <v>0.2960508</v>
      </c>
      <c r="Q2004">
        <v>6.565841E-2</v>
      </c>
      <c r="R2004">
        <v>-0.95291289999999995</v>
      </c>
      <c r="S2004">
        <v>1.8734740000000001</v>
      </c>
      <c r="T2004">
        <v>-0.22535469999999999</v>
      </c>
      <c r="U2004">
        <v>-2.5866090000000002</v>
      </c>
      <c r="V2004">
        <v>-0.2003122</v>
      </c>
      <c r="W2004">
        <v>7.6438489999999998E-2</v>
      </c>
      <c r="X2004">
        <v>0.97674570000000005</v>
      </c>
      <c r="Y2004">
        <v>-0.50154379999999998</v>
      </c>
      <c r="Z2004">
        <v>7.1923349999999997E-2</v>
      </c>
      <c r="AA2004">
        <v>0.86213739999999905</v>
      </c>
      <c r="AB2004">
        <v>27</v>
      </c>
      <c r="AC2004">
        <v>0.47460000000000901</v>
      </c>
      <c r="AD2004">
        <v>-6.1055999999999902E-2</v>
      </c>
      <c r="AE2004">
        <v>-0.42000000000001497</v>
      </c>
      <c r="AF2004">
        <v>-0.42647200976482802</v>
      </c>
      <c r="AG2004">
        <v>-6.1055999999999902E-2</v>
      </c>
      <c r="AH2004">
        <v>0.46088354664569597</v>
      </c>
      <c r="AI2004">
        <v>95.5536548251238</v>
      </c>
      <c r="AJ2004">
        <v>132.779189706468</v>
      </c>
      <c r="AK2004">
        <v>0.63088814683552896</v>
      </c>
    </row>
    <row r="2005" spans="1:37" x14ac:dyDescent="0.2">
      <c r="A2005" t="str">
        <f>"20200111154104109"</f>
        <v>20200111154104109</v>
      </c>
      <c r="B2005" t="str">
        <f>"1578728464097823"</f>
        <v>1578728464097823</v>
      </c>
      <c r="C2005" t="s">
        <v>37</v>
      </c>
      <c r="D2005">
        <v>4.7651500000000002</v>
      </c>
      <c r="E2005">
        <v>0.36661369999999999</v>
      </c>
      <c r="F2005" t="s">
        <v>38</v>
      </c>
      <c r="G2005">
        <v>-491.10590000000002</v>
      </c>
      <c r="H2005">
        <v>1.037531</v>
      </c>
      <c r="I2005">
        <v>235.64109999999999</v>
      </c>
      <c r="J2005">
        <v>-491.70400000000001</v>
      </c>
      <c r="K2005">
        <v>1.113982</v>
      </c>
      <c r="L2005">
        <v>236.21</v>
      </c>
      <c r="M2005">
        <v>0.1036749</v>
      </c>
      <c r="N2005">
        <v>0</v>
      </c>
      <c r="O2005">
        <v>-0.99451319999999999</v>
      </c>
      <c r="P2005">
        <v>0.30007709999999999</v>
      </c>
      <c r="Q2005">
        <v>6.5444890000000006E-2</v>
      </c>
      <c r="R2005">
        <v>-0.95166719999999905</v>
      </c>
      <c r="S2005">
        <v>1.8878779999999999</v>
      </c>
      <c r="T2005">
        <v>-0.22762389999999999</v>
      </c>
      <c r="U2005">
        <v>-2.5773769999999998</v>
      </c>
      <c r="V2005">
        <v>-0.20035829999999999</v>
      </c>
      <c r="W2005">
        <v>7.7640340000000002E-2</v>
      </c>
      <c r="X2005">
        <v>0.97664150000000005</v>
      </c>
      <c r="Y2005">
        <v>-0.50253079999999895</v>
      </c>
      <c r="Z2005">
        <v>7.2674710000000003E-2</v>
      </c>
      <c r="AA2005">
        <v>0.86149940000000003</v>
      </c>
      <c r="AB2005">
        <v>27</v>
      </c>
      <c r="AC2005">
        <v>0.59809999999998797</v>
      </c>
      <c r="AD2005">
        <v>-7.6451000000000005E-2</v>
      </c>
      <c r="AE2005">
        <v>-0.56890000000001295</v>
      </c>
      <c r="AF2005">
        <v>-0.531332215018818</v>
      </c>
      <c r="AG2005">
        <v>-7.6451000000000005E-2</v>
      </c>
      <c r="AH2005">
        <v>0.62250790541421397</v>
      </c>
      <c r="AI2005">
        <v>95.336605173524504</v>
      </c>
      <c r="AJ2005">
        <v>130.48191316275501</v>
      </c>
      <c r="AK2005">
        <v>0.82199438588167695</v>
      </c>
    </row>
    <row r="2006" spans="1:37" x14ac:dyDescent="0.2">
      <c r="A2006" t="str">
        <f>"20200111154104133"</f>
        <v>20200111154104133</v>
      </c>
      <c r="B2006" t="str">
        <f>"1578728464128064"</f>
        <v>1578728464128064</v>
      </c>
      <c r="C2006" t="s">
        <v>37</v>
      </c>
      <c r="D2006">
        <v>4.7321530000000003</v>
      </c>
      <c r="E2006">
        <v>0.36529850000000003</v>
      </c>
      <c r="F2006" t="s">
        <v>38</v>
      </c>
      <c r="G2006">
        <v>-491.10250000000002</v>
      </c>
      <c r="H2006">
        <v>1.0420769999999999</v>
      </c>
      <c r="I2006">
        <v>235.3997</v>
      </c>
      <c r="J2006">
        <v>-491.67039999999997</v>
      </c>
      <c r="K2006">
        <v>1.114179</v>
      </c>
      <c r="L2006">
        <v>235.93099999999899</v>
      </c>
      <c r="M2006">
        <v>0.10758419999999901</v>
      </c>
      <c r="N2006">
        <v>0</v>
      </c>
      <c r="O2006">
        <v>-0.99407129999999999</v>
      </c>
      <c r="P2006">
        <v>0.3041662</v>
      </c>
      <c r="Q2006">
        <v>6.4353289999999994E-2</v>
      </c>
      <c r="R2006">
        <v>-0.95044309999999999</v>
      </c>
      <c r="S2006">
        <v>1.906525</v>
      </c>
      <c r="T2006">
        <v>-0.22778509999999999</v>
      </c>
      <c r="U2006">
        <v>-2.5668489999999999</v>
      </c>
      <c r="V2006">
        <v>-0.20067160000000001</v>
      </c>
      <c r="W2006">
        <v>7.8383369999999994E-2</v>
      </c>
      <c r="X2006">
        <v>0.97651769999999904</v>
      </c>
      <c r="Y2006">
        <v>-0.50485809999999998</v>
      </c>
      <c r="Z2006">
        <v>7.2723869999999996E-2</v>
      </c>
      <c r="AA2006">
        <v>0.86013340000000005</v>
      </c>
      <c r="AB2006">
        <v>27</v>
      </c>
      <c r="AC2006">
        <v>0.567899999999951</v>
      </c>
      <c r="AD2006">
        <v>-7.2101999999999805E-2</v>
      </c>
      <c r="AE2006">
        <v>-0.531299999999987</v>
      </c>
      <c r="AF2006">
        <v>-0.50311181913714498</v>
      </c>
      <c r="AG2006">
        <v>-7.2101999999999805E-2</v>
      </c>
      <c r="AH2006">
        <v>0.58429764890134295</v>
      </c>
      <c r="AI2006">
        <v>95.342243751320794</v>
      </c>
      <c r="AJ2006">
        <v>130.73022720380999</v>
      </c>
      <c r="AK2006">
        <v>0.77441845501713402</v>
      </c>
    </row>
    <row r="2007" spans="1:37" x14ac:dyDescent="0.2">
      <c r="A2007" t="str">
        <f>"20200111154104151"</f>
        <v>20200111154104151</v>
      </c>
      <c r="B2007" t="str">
        <f>"1578728464148559"</f>
        <v>1578728464148559</v>
      </c>
      <c r="C2007" t="s">
        <v>37</v>
      </c>
      <c r="D2007">
        <v>4.7319629999999897</v>
      </c>
      <c r="E2007">
        <v>0.36438589999999998</v>
      </c>
      <c r="F2007" t="s">
        <v>38</v>
      </c>
      <c r="G2007">
        <v>-491.09190000000001</v>
      </c>
      <c r="H2007">
        <v>1.045755</v>
      </c>
      <c r="I2007">
        <v>235.16370000000001</v>
      </c>
      <c r="J2007">
        <v>-491.64510000000001</v>
      </c>
      <c r="K2007">
        <v>1.11443</v>
      </c>
      <c r="L2007">
        <v>235.72819999999999</v>
      </c>
      <c r="M2007">
        <v>0.1109493</v>
      </c>
      <c r="N2007">
        <v>0</v>
      </c>
      <c r="O2007">
        <v>-0.99368650000000003</v>
      </c>
      <c r="P2007">
        <v>0.30742629999999999</v>
      </c>
      <c r="Q2007">
        <v>6.3957780000000006E-2</v>
      </c>
      <c r="R2007">
        <v>-0.9494205</v>
      </c>
      <c r="S2007">
        <v>1.926666</v>
      </c>
      <c r="T2007">
        <v>-0.22786500000000001</v>
      </c>
      <c r="U2007">
        <v>-2.5552980000000001</v>
      </c>
      <c r="V2007">
        <v>-0.20073579999999999</v>
      </c>
      <c r="W2007">
        <v>7.8829739999999995E-2</v>
      </c>
      <c r="X2007">
        <v>0.97646860000000002</v>
      </c>
      <c r="Y2007">
        <v>-0.50813009999999903</v>
      </c>
      <c r="Z2007">
        <v>7.2740239999999998E-2</v>
      </c>
      <c r="AA2007">
        <v>0.858203099999999</v>
      </c>
      <c r="AB2007">
        <v>26</v>
      </c>
      <c r="AC2007">
        <v>0.55320000000000302</v>
      </c>
      <c r="AD2007">
        <v>-6.8675E-2</v>
      </c>
      <c r="AE2007">
        <v>-0.56449999999998102</v>
      </c>
      <c r="AF2007">
        <v>-0.48349380542971898</v>
      </c>
      <c r="AG2007">
        <v>-6.8675E-2</v>
      </c>
      <c r="AH2007">
        <v>0.61773576329766</v>
      </c>
      <c r="AI2007">
        <v>95.003219037838207</v>
      </c>
      <c r="AJ2007">
        <v>128.049827907241</v>
      </c>
      <c r="AK2007">
        <v>0.78745157868332005</v>
      </c>
    </row>
    <row r="2008" spans="1:37" x14ac:dyDescent="0.2">
      <c r="A2008" t="str">
        <f>"20200111154104174"</f>
        <v>20200111154104174</v>
      </c>
      <c r="B2008" t="str">
        <f>"1578728464168079"</f>
        <v>1578728464168079</v>
      </c>
      <c r="C2008" t="s">
        <v>37</v>
      </c>
      <c r="D2008">
        <v>4.6871780000000003</v>
      </c>
      <c r="E2008">
        <v>0.36338979999999999</v>
      </c>
      <c r="F2008" t="s">
        <v>38</v>
      </c>
      <c r="G2008">
        <v>-491.04390000000001</v>
      </c>
      <c r="H2008">
        <v>1.0441860000000001</v>
      </c>
      <c r="I2008">
        <v>234.93969999999999</v>
      </c>
      <c r="J2008">
        <v>-491.60910000000001</v>
      </c>
      <c r="K2008">
        <v>1.114857</v>
      </c>
      <c r="L2008">
        <v>235.4539</v>
      </c>
      <c r="M2008">
        <v>0.1162999</v>
      </c>
      <c r="N2008">
        <v>0</v>
      </c>
      <c r="O2008">
        <v>-0.99307369999999995</v>
      </c>
      <c r="P2008">
        <v>0.31277070000000001</v>
      </c>
      <c r="Q2008">
        <v>6.3934939999999996E-2</v>
      </c>
      <c r="R2008">
        <v>-0.94767459999999903</v>
      </c>
      <c r="S2008">
        <v>1.9423220000000001</v>
      </c>
      <c r="T2008">
        <v>-0.22679839999999901</v>
      </c>
      <c r="U2008">
        <v>-2.5461269999999998</v>
      </c>
      <c r="V2008">
        <v>-0.20109079999999999</v>
      </c>
      <c r="W2008">
        <v>7.8554499999999999E-2</v>
      </c>
      <c r="X2008">
        <v>0.9764178</v>
      </c>
      <c r="Y2008">
        <v>-0.50833980000000001</v>
      </c>
      <c r="Z2008">
        <v>7.2414320000000004E-2</v>
      </c>
      <c r="AA2008">
        <v>0.85810649999999999</v>
      </c>
      <c r="AB2008">
        <v>26</v>
      </c>
      <c r="AC2008">
        <v>0.56520000000000403</v>
      </c>
      <c r="AD2008">
        <v>-7.0670999999999901E-2</v>
      </c>
      <c r="AE2008">
        <v>-0.51420000000001598</v>
      </c>
      <c r="AF2008">
        <v>-0.49729980815771002</v>
      </c>
      <c r="AG2008">
        <v>-7.0670999999999901E-2</v>
      </c>
      <c r="AH2008">
        <v>0.57156235261933197</v>
      </c>
      <c r="AI2008">
        <v>95.329133150586003</v>
      </c>
      <c r="AJ2008">
        <v>131.025583270396</v>
      </c>
      <c r="AK2008">
        <v>0.76091064676901499</v>
      </c>
    </row>
    <row r="2009" spans="1:37" x14ac:dyDescent="0.2">
      <c r="A2009" t="str">
        <f>"20200111154104197"</f>
        <v>20200111154104197</v>
      </c>
      <c r="B2009" t="str">
        <f>"1578728464188575"</f>
        <v>1578728464188575</v>
      </c>
      <c r="C2009" t="s">
        <v>37</v>
      </c>
      <c r="D2009">
        <v>4.6726359999999998</v>
      </c>
      <c r="E2009">
        <v>0.36241609999999902</v>
      </c>
      <c r="F2009" t="s">
        <v>38</v>
      </c>
      <c r="G2009">
        <v>-491.02679999999998</v>
      </c>
      <c r="H2009">
        <v>1.0478909999999999</v>
      </c>
      <c r="I2009">
        <v>234.70330000000001</v>
      </c>
      <c r="J2009">
        <v>-491.57279999999997</v>
      </c>
      <c r="K2009">
        <v>1.1152580000000001</v>
      </c>
      <c r="L2009">
        <v>235.19569999999999</v>
      </c>
      <c r="M2009">
        <v>0.121385199999999</v>
      </c>
      <c r="N2009">
        <v>0</v>
      </c>
      <c r="O2009">
        <v>-0.99247019999999997</v>
      </c>
      <c r="P2009">
        <v>0.3184921</v>
      </c>
      <c r="Q2009">
        <v>6.4441170000000006E-2</v>
      </c>
      <c r="R2009">
        <v>-0.94573280000000004</v>
      </c>
      <c r="S2009">
        <v>1.9643549999999901</v>
      </c>
      <c r="T2009">
        <v>-0.22592579999999901</v>
      </c>
      <c r="U2009">
        <v>-2.532578</v>
      </c>
      <c r="V2009">
        <v>-0.20211389999999901</v>
      </c>
      <c r="W2009">
        <v>7.8443269999999996E-2</v>
      </c>
      <c r="X2009">
        <v>0.97621550000000001</v>
      </c>
      <c r="Y2009">
        <v>-0.51083449999999997</v>
      </c>
      <c r="Z2009">
        <v>7.2145200000000007E-2</v>
      </c>
      <c r="AA2009">
        <v>0.85664649999999998</v>
      </c>
      <c r="AB2009">
        <v>26</v>
      </c>
      <c r="AC2009">
        <v>0.54599999999999205</v>
      </c>
      <c r="AD2009">
        <v>-6.7367000000000093E-2</v>
      </c>
      <c r="AE2009">
        <v>-0.49239999999997502</v>
      </c>
      <c r="AF2009">
        <v>-0.47816900059695899</v>
      </c>
      <c r="AG2009">
        <v>-6.7367000000000093E-2</v>
      </c>
      <c r="AH2009">
        <v>0.55042218127966402</v>
      </c>
      <c r="AI2009">
        <v>95.278881364675698</v>
      </c>
      <c r="AJ2009">
        <v>130.98186974791199</v>
      </c>
      <c r="AK2009">
        <v>0.73222160816624204</v>
      </c>
    </row>
    <row r="2010" spans="1:37" x14ac:dyDescent="0.2">
      <c r="A2010" t="str">
        <f>"20200111154104218"</f>
        <v>20200111154104218</v>
      </c>
      <c r="B2010" t="str">
        <f>"1578728464208098"</f>
        <v>1578728464208098</v>
      </c>
      <c r="C2010" t="s">
        <v>37</v>
      </c>
      <c r="D2010">
        <v>4.6318140000000003</v>
      </c>
      <c r="E2010">
        <v>0.36152679999999998</v>
      </c>
      <c r="F2010" t="s">
        <v>38</v>
      </c>
      <c r="G2010">
        <v>-491.00029999999998</v>
      </c>
      <c r="H2010">
        <v>1.051242</v>
      </c>
      <c r="I2010">
        <v>234.47030000000001</v>
      </c>
      <c r="J2010">
        <v>-491.53489999999999</v>
      </c>
      <c r="K2010">
        <v>1.115534</v>
      </c>
      <c r="L2010">
        <v>234.94139999999999</v>
      </c>
      <c r="M2010">
        <v>0.126628399999999</v>
      </c>
      <c r="N2010">
        <v>0</v>
      </c>
      <c r="O2010">
        <v>-0.99181580000000003</v>
      </c>
      <c r="P2010">
        <v>0.32480100000000001</v>
      </c>
      <c r="Q2010">
        <v>6.4104350000000004E-2</v>
      </c>
      <c r="R2010">
        <v>-0.94360739999999999</v>
      </c>
      <c r="S2010">
        <v>1.9879150000000001</v>
      </c>
      <c r="T2010">
        <v>-0.22218189999999999</v>
      </c>
      <c r="U2010">
        <v>-2.5178379999999998</v>
      </c>
      <c r="V2010">
        <v>-0.20353789999999999</v>
      </c>
      <c r="W2010">
        <v>7.7849050000000003E-2</v>
      </c>
      <c r="X2010">
        <v>0.97596719999999904</v>
      </c>
      <c r="Y2010">
        <v>-0.51372969999999996</v>
      </c>
      <c r="Z2010">
        <v>7.0961579999999996E-2</v>
      </c>
      <c r="AA2010">
        <v>0.85501249999999995</v>
      </c>
      <c r="AB2010">
        <v>27</v>
      </c>
      <c r="AC2010">
        <v>0.53460000000001096</v>
      </c>
      <c r="AD2010">
        <v>-6.4292000000000002E-2</v>
      </c>
      <c r="AE2010">
        <v>-0.47109999999997798</v>
      </c>
      <c r="AF2010">
        <v>-0.46683234956361902</v>
      </c>
      <c r="AG2010">
        <v>-6.4292000000000002E-2</v>
      </c>
      <c r="AH2010">
        <v>0.53069093824291103</v>
      </c>
      <c r="AI2010">
        <v>95.197444996048006</v>
      </c>
      <c r="AJ2010">
        <v>131.33708634131</v>
      </c>
      <c r="AK2010">
        <v>0.70971739149906099</v>
      </c>
    </row>
    <row r="2011" spans="1:37" x14ac:dyDescent="0.2">
      <c r="A2011" t="str">
        <f>"20200111154104241"</f>
        <v>20200111154104241</v>
      </c>
      <c r="B2011" t="str">
        <f>"1578728464238352"</f>
        <v>1578728464238352</v>
      </c>
      <c r="C2011" t="s">
        <v>37</v>
      </c>
      <c r="D2011">
        <v>4.8704999999999998</v>
      </c>
      <c r="E2011">
        <v>0.3608673</v>
      </c>
      <c r="F2011" t="s">
        <v>38</v>
      </c>
      <c r="G2011">
        <v>-490.97030000000001</v>
      </c>
      <c r="H2011">
        <v>1.053331</v>
      </c>
      <c r="I2011">
        <v>234.23949999999999</v>
      </c>
      <c r="J2011">
        <v>-491.49509999999998</v>
      </c>
      <c r="K2011">
        <v>1.1155919999999999</v>
      </c>
      <c r="L2011">
        <v>234.6865</v>
      </c>
      <c r="M2011">
        <v>0.1327092</v>
      </c>
      <c r="N2011">
        <v>0</v>
      </c>
      <c r="O2011">
        <v>-0.99102239999999997</v>
      </c>
      <c r="P2011">
        <v>0.33223190000000002</v>
      </c>
      <c r="Q2011">
        <v>6.3424620000000001E-2</v>
      </c>
      <c r="R2011">
        <v>-0.94106299999999898</v>
      </c>
      <c r="S2011">
        <v>2.0120849999999999</v>
      </c>
      <c r="T2011">
        <v>-0.22171869999999999</v>
      </c>
      <c r="U2011">
        <v>-2.5018159999999998</v>
      </c>
      <c r="V2011">
        <v>-0.20526230000000001</v>
      </c>
      <c r="W2011">
        <v>7.6973829999999993E-2</v>
      </c>
      <c r="X2011">
        <v>0.97567530000000002</v>
      </c>
      <c r="Y2011">
        <v>-0.51617309999999905</v>
      </c>
      <c r="Z2011">
        <v>7.08342E-2</v>
      </c>
      <c r="AA2011">
        <v>0.85355009999999998</v>
      </c>
      <c r="AB2011">
        <v>26</v>
      </c>
      <c r="AC2011">
        <v>0.52479999999996996</v>
      </c>
      <c r="AD2011">
        <v>-6.22609999999999E-2</v>
      </c>
      <c r="AE2011">
        <v>-0.44700000000000201</v>
      </c>
      <c r="AF2011">
        <v>-0.45709952692164602</v>
      </c>
      <c r="AG2011">
        <v>-6.22609999999999E-2</v>
      </c>
      <c r="AH2011">
        <v>0.508551902802586</v>
      </c>
      <c r="AI2011">
        <v>95.202616466018199</v>
      </c>
      <c r="AJ2011">
        <v>131.95001859755999</v>
      </c>
      <c r="AK2011">
        <v>0.68661593884581795</v>
      </c>
    </row>
    <row r="2012" spans="1:37" x14ac:dyDescent="0.2">
      <c r="A2012" t="str">
        <f>"20200111154104265"</f>
        <v>20200111154104265</v>
      </c>
      <c r="B2012" t="str">
        <f>"1578728464257872"</f>
        <v>1578728464257872</v>
      </c>
      <c r="C2012" t="s">
        <v>37</v>
      </c>
      <c r="D2012">
        <v>4.9854199999999897</v>
      </c>
      <c r="E2012">
        <v>0.4295156</v>
      </c>
      <c r="F2012" t="s">
        <v>38</v>
      </c>
      <c r="G2012">
        <v>-490.93970000000002</v>
      </c>
      <c r="H2012">
        <v>1.0544899999999999</v>
      </c>
      <c r="I2012">
        <v>234.0093</v>
      </c>
      <c r="J2012">
        <v>-491.44940000000003</v>
      </c>
      <c r="K2012">
        <v>1.115583</v>
      </c>
      <c r="L2012">
        <v>234.40729999999999</v>
      </c>
      <c r="M2012">
        <v>0.140272799999999</v>
      </c>
      <c r="N2012">
        <v>0</v>
      </c>
      <c r="O2012">
        <v>-0.98998390000000003</v>
      </c>
      <c r="P2012">
        <v>0.33938429999999897</v>
      </c>
      <c r="Q2012">
        <v>6.3095129999999999E-2</v>
      </c>
      <c r="R2012">
        <v>-0.93852939999999996</v>
      </c>
      <c r="S2012">
        <v>2.0374150000000002</v>
      </c>
      <c r="T2012">
        <v>-0.22405700000000001</v>
      </c>
      <c r="U2012">
        <v>-2.4837039999999999</v>
      </c>
      <c r="V2012">
        <v>-0.20524389999999901</v>
      </c>
      <c r="W2012">
        <v>7.6374310000000001E-2</v>
      </c>
      <c r="X2012">
        <v>0.97572639999999999</v>
      </c>
      <c r="Y2012">
        <v>-0.51786460000000001</v>
      </c>
      <c r="Z2012">
        <v>7.1620059999999999E-2</v>
      </c>
      <c r="AA2012">
        <v>0.85245930000000003</v>
      </c>
      <c r="AB2012">
        <v>26</v>
      </c>
      <c r="AC2012">
        <v>0.50970000000000903</v>
      </c>
      <c r="AD2012">
        <v>-6.1093000000000001E-2</v>
      </c>
      <c r="AE2012">
        <v>-0.39799999999999602</v>
      </c>
      <c r="AF2012">
        <v>-0.44485329388400102</v>
      </c>
      <c r="AG2012">
        <v>-6.1093000000000001E-2</v>
      </c>
      <c r="AH2012">
        <v>0.46145171326734802</v>
      </c>
      <c r="AI2012">
        <v>95.444673731358407</v>
      </c>
      <c r="AJ2012">
        <v>133.95078029815801</v>
      </c>
      <c r="AK2012">
        <v>0.64386682738421697</v>
      </c>
    </row>
    <row r="2013" spans="1:37" x14ac:dyDescent="0.2">
      <c r="A2013" t="str">
        <f>"20200111154104287"</f>
        <v>20200111154104287</v>
      </c>
      <c r="B2013" t="str">
        <f>"1578728464278368"</f>
        <v>1578728464278368</v>
      </c>
      <c r="C2013" t="s">
        <v>37</v>
      </c>
      <c r="D2013">
        <v>5.0178699999999896</v>
      </c>
      <c r="E2013">
        <v>0.44654169999999999</v>
      </c>
      <c r="F2013" t="s">
        <v>43</v>
      </c>
      <c r="G2013">
        <v>-485.07310000000001</v>
      </c>
      <c r="H2013" s="1">
        <v>3.6257909999999899E-6</v>
      </c>
      <c r="I2013">
        <v>223.4057</v>
      </c>
      <c r="J2013">
        <v>-491.40660000000003</v>
      </c>
      <c r="K2013">
        <v>1.1156469999999901</v>
      </c>
      <c r="L2013">
        <v>234.15880000000001</v>
      </c>
      <c r="M2013">
        <v>0.1473604</v>
      </c>
      <c r="N2013">
        <v>0</v>
      </c>
      <c r="O2013">
        <v>-0.98895689999999903</v>
      </c>
      <c r="P2013">
        <v>0.34631059999999902</v>
      </c>
      <c r="Q2013">
        <v>6.2690620000000002E-2</v>
      </c>
      <c r="R2013">
        <v>-0.93602280000000004</v>
      </c>
      <c r="S2013">
        <v>1.5402830000000001</v>
      </c>
      <c r="T2013">
        <v>-0.26948479999999903</v>
      </c>
      <c r="U2013">
        <v>-2.6576230000000001</v>
      </c>
      <c r="V2013">
        <v>-0.20547799999999999</v>
      </c>
      <c r="W2013">
        <v>7.5714840000000005E-2</v>
      </c>
      <c r="X2013">
        <v>0.9757285</v>
      </c>
      <c r="Y2013">
        <v>-0.36646630000000002</v>
      </c>
      <c r="Z2013">
        <v>8.8895539999999995E-2</v>
      </c>
      <c r="AA2013">
        <v>0.92617490000000002</v>
      </c>
      <c r="AB2013">
        <v>26</v>
      </c>
      <c r="AC2013">
        <v>6.3335000000000097</v>
      </c>
      <c r="AD2013">
        <v>-1.11564337420899</v>
      </c>
      <c r="AE2013">
        <v>-10.7531</v>
      </c>
      <c r="AF2013">
        <v>-4.6424588822326998</v>
      </c>
      <c r="AG2013">
        <v>-1.11564337420899</v>
      </c>
      <c r="AH2013">
        <v>11.477376157377</v>
      </c>
      <c r="AI2013">
        <v>95.149087013454107</v>
      </c>
      <c r="AJ2013">
        <v>112.022732475955</v>
      </c>
      <c r="AK2013">
        <v>12.4308989244368</v>
      </c>
    </row>
    <row r="2014" spans="1:37" x14ac:dyDescent="0.2">
      <c r="A2014" t="str">
        <f>"20200111154104309"</f>
        <v>20200111154104309</v>
      </c>
      <c r="B2014" t="str">
        <f>"1578728464298030"</f>
        <v>1578728464298030</v>
      </c>
      <c r="C2014" t="s">
        <v>37</v>
      </c>
      <c r="D2014">
        <v>5.0702449999999999</v>
      </c>
      <c r="E2014">
        <v>0.50332469999999996</v>
      </c>
      <c r="F2014" t="s">
        <v>43</v>
      </c>
      <c r="G2014">
        <v>-485.06119999999999</v>
      </c>
      <c r="H2014" s="1">
        <v>3.2615219999999998E-6</v>
      </c>
      <c r="I2014">
        <v>222.23830000000001</v>
      </c>
      <c r="J2014">
        <v>-491.3612</v>
      </c>
      <c r="K2014">
        <v>1.1157859999999999</v>
      </c>
      <c r="L2014">
        <v>233.90610000000001</v>
      </c>
      <c r="M2014">
        <v>0.15468270000000001</v>
      </c>
      <c r="N2014">
        <v>0</v>
      </c>
      <c r="O2014">
        <v>-0.98784089999999902</v>
      </c>
      <c r="P2014">
        <v>0.3529427</v>
      </c>
      <c r="Q2014">
        <v>6.1811560000000002E-2</v>
      </c>
      <c r="R2014">
        <v>-0.93360089999999996</v>
      </c>
      <c r="S2014">
        <v>1.4328609999999999</v>
      </c>
      <c r="T2014">
        <v>-0.25192429999999999</v>
      </c>
      <c r="U2014">
        <v>-2.6917719999999998</v>
      </c>
      <c r="V2014">
        <v>-0.20518259999999999</v>
      </c>
      <c r="W2014">
        <v>7.4572250000000007E-2</v>
      </c>
      <c r="X2014">
        <v>0.97587860000000004</v>
      </c>
      <c r="Y2014">
        <v>-0.32602359999999903</v>
      </c>
      <c r="Z2014">
        <v>8.3485480000000001E-2</v>
      </c>
      <c r="AA2014">
        <v>0.94166810000000001</v>
      </c>
      <c r="AB2014">
        <v>26</v>
      </c>
      <c r="AC2014">
        <v>6.3000000000000096</v>
      </c>
      <c r="AD2014">
        <v>-1.1157827384779999</v>
      </c>
      <c r="AE2014">
        <v>-11.6678</v>
      </c>
      <c r="AF2014">
        <v>-4.3880589339607896</v>
      </c>
      <c r="AG2014">
        <v>-1.1157827384779999</v>
      </c>
      <c r="AH2014">
        <v>12.4140545947602</v>
      </c>
      <c r="AI2014">
        <v>94.843805240129797</v>
      </c>
      <c r="AJ2014">
        <v>109.467232181664</v>
      </c>
      <c r="AK2014">
        <v>13.2139617000007</v>
      </c>
    </row>
    <row r="2015" spans="1:37" x14ac:dyDescent="0.2">
      <c r="A2015" t="str">
        <f>"20200111154104331"</f>
        <v>20200111154104331</v>
      </c>
      <c r="B2015" t="str">
        <f>"1578728464328286"</f>
        <v>1578728464328286</v>
      </c>
      <c r="C2015" t="s">
        <v>37</v>
      </c>
      <c r="D2015">
        <v>4.975079</v>
      </c>
      <c r="E2015">
        <v>0.55906750000000005</v>
      </c>
      <c r="F2015" t="s">
        <v>43</v>
      </c>
      <c r="G2015">
        <v>-487.85160000000002</v>
      </c>
      <c r="H2015" s="1">
        <v>4.4808649999999998E-6</v>
      </c>
      <c r="I2015">
        <v>224.1772</v>
      </c>
      <c r="J2015">
        <v>-491.31529999999998</v>
      </c>
      <c r="K2015">
        <v>1.1159559999999999</v>
      </c>
      <c r="L2015">
        <v>233.66239999999999</v>
      </c>
      <c r="M2015">
        <v>0.1618656</v>
      </c>
      <c r="N2015">
        <v>0</v>
      </c>
      <c r="O2015">
        <v>-0.98669240000000002</v>
      </c>
      <c r="P2015">
        <v>0.35878929999999998</v>
      </c>
      <c r="Q2015">
        <v>6.3660579999999994E-2</v>
      </c>
      <c r="R2015">
        <v>-0.93124569999999995</v>
      </c>
      <c r="S2015">
        <v>1.0269469999999901</v>
      </c>
      <c r="T2015">
        <v>-0.32648549999999998</v>
      </c>
      <c r="U2015">
        <v>-2.8467560000000001</v>
      </c>
      <c r="V2015">
        <v>-0.20427799999999999</v>
      </c>
      <c r="W2015">
        <v>7.6155600000000004E-2</v>
      </c>
      <c r="X2015">
        <v>0.97594609999999904</v>
      </c>
      <c r="Y2015">
        <v>-0.18060009999999899</v>
      </c>
      <c r="Z2015">
        <v>0.1074386</v>
      </c>
      <c r="AA2015">
        <v>0.97767099999999996</v>
      </c>
      <c r="AB2015">
        <v>26</v>
      </c>
      <c r="AC2015">
        <v>3.4636999999999598</v>
      </c>
      <c r="AD2015">
        <v>-1.115951519135</v>
      </c>
      <c r="AE2015">
        <v>-9.4851999999999901</v>
      </c>
      <c r="AF2015">
        <v>-1.8597883467604901</v>
      </c>
      <c r="AG2015">
        <v>-1.115951519135</v>
      </c>
      <c r="AH2015">
        <v>9.8011033116694399</v>
      </c>
      <c r="AI2015">
        <v>96.382782628073898</v>
      </c>
      <c r="AJ2015">
        <v>100.74430518801999</v>
      </c>
      <c r="AK2015">
        <v>10.038216306387399</v>
      </c>
    </row>
    <row r="2016" spans="1:37" x14ac:dyDescent="0.2">
      <c r="A2016" t="str">
        <f>"20200111154104352"</f>
        <v>20200111154104352</v>
      </c>
      <c r="B2016" t="str">
        <f>"1578728464347806"</f>
        <v>1578728464347806</v>
      </c>
      <c r="C2016" t="s">
        <v>37</v>
      </c>
      <c r="D2016">
        <v>4.9464689999999996</v>
      </c>
      <c r="E2016">
        <v>0.55758399999999997</v>
      </c>
      <c r="F2016" t="s">
        <v>43</v>
      </c>
      <c r="G2016">
        <v>-487.49020000000002</v>
      </c>
      <c r="H2016" s="1">
        <v>2.9196220000000001E-6</v>
      </c>
      <c r="I2016">
        <v>215.5522</v>
      </c>
      <c r="J2016">
        <v>-491.26659999999998</v>
      </c>
      <c r="K2016">
        <v>1.116152</v>
      </c>
      <c r="L2016">
        <v>233.4152</v>
      </c>
      <c r="M2016">
        <v>0.16933599999999999</v>
      </c>
      <c r="N2016">
        <v>0</v>
      </c>
      <c r="O2016">
        <v>-0.98544050000000005</v>
      </c>
      <c r="P2016">
        <v>0.36471219999999999</v>
      </c>
      <c r="Q2016">
        <v>6.5305920000000003E-2</v>
      </c>
      <c r="R2016">
        <v>-0.92882739999999997</v>
      </c>
      <c r="S2016">
        <v>0.63168329999999995</v>
      </c>
      <c r="T2016">
        <v>-0.18428929999999999</v>
      </c>
      <c r="U2016">
        <v>-2.9907379999999999</v>
      </c>
      <c r="V2016">
        <v>-0.20317650000000001</v>
      </c>
      <c r="W2016">
        <v>7.754432E-2</v>
      </c>
      <c r="X2016">
        <v>0.97606669999999995</v>
      </c>
      <c r="Y2016">
        <v>-3.7597399999999899E-2</v>
      </c>
      <c r="Z2016">
        <v>5.9504700000000001E-2</v>
      </c>
      <c r="AA2016">
        <v>0.99751970000000001</v>
      </c>
      <c r="AB2016">
        <v>26</v>
      </c>
      <c r="AC2016">
        <v>3.7763999999999598</v>
      </c>
      <c r="AD2016">
        <v>-1.1161490803780001</v>
      </c>
      <c r="AE2016">
        <v>-17.863</v>
      </c>
      <c r="AF2016">
        <v>-0.69405564437423795</v>
      </c>
      <c r="AG2016">
        <v>-1.1161490803780001</v>
      </c>
      <c r="AH2016">
        <v>18.1765941034778</v>
      </c>
      <c r="AI2016">
        <v>93.5113310345385</v>
      </c>
      <c r="AJ2016">
        <v>92.186721509289697</v>
      </c>
      <c r="AK2016">
        <v>18.224052107303201</v>
      </c>
    </row>
    <row r="2017" spans="1:37" x14ac:dyDescent="0.2">
      <c r="A2017" t="str">
        <f>"20200111154104380"</f>
        <v>20200111154104380</v>
      </c>
      <c r="B2017" t="str">
        <f>"1578728464378063"</f>
        <v>1578728464378063</v>
      </c>
      <c r="C2017" t="s">
        <v>37</v>
      </c>
      <c r="D2017">
        <v>4.9427430000000001</v>
      </c>
      <c r="E2017">
        <v>0.55564650000000004</v>
      </c>
      <c r="F2017" t="s">
        <v>43</v>
      </c>
      <c r="G2017">
        <v>-486.99699999999899</v>
      </c>
      <c r="H2017" s="1">
        <v>2.7729070000000001E-6</v>
      </c>
      <c r="I2017">
        <v>214.197</v>
      </c>
      <c r="J2017">
        <v>-491.20119999999997</v>
      </c>
      <c r="K2017">
        <v>1.1163909999999999</v>
      </c>
      <c r="L2017">
        <v>233.0993</v>
      </c>
      <c r="M2017">
        <v>0.1792234</v>
      </c>
      <c r="N2017">
        <v>0</v>
      </c>
      <c r="O2017">
        <v>-0.98369329999999999</v>
      </c>
      <c r="P2017">
        <v>0.37298179999999997</v>
      </c>
      <c r="Q2017">
        <v>6.6436700000000001E-2</v>
      </c>
      <c r="R2017">
        <v>-0.92545719999999998</v>
      </c>
      <c r="S2017">
        <v>0.66247559999999905</v>
      </c>
      <c r="T2017">
        <v>-0.1731856</v>
      </c>
      <c r="U2017">
        <v>-2.9819640000000001</v>
      </c>
      <c r="V2017">
        <v>-0.20215539999999901</v>
      </c>
      <c r="W2017">
        <v>7.8378619999999996E-2</v>
      </c>
      <c r="X2017">
        <v>0.97621199999999997</v>
      </c>
      <c r="Y2017">
        <v>-3.8038950000000002E-2</v>
      </c>
      <c r="Z2017">
        <v>5.5882439999999999E-2</v>
      </c>
      <c r="AA2017">
        <v>0.9977125</v>
      </c>
      <c r="AB2017">
        <v>26</v>
      </c>
      <c r="AC2017">
        <v>4.2042000000000099</v>
      </c>
      <c r="AD2017">
        <v>-1.1163882270929999</v>
      </c>
      <c r="AE2017">
        <v>-18.9023</v>
      </c>
      <c r="AF2017">
        <v>-0.74551567482299896</v>
      </c>
      <c r="AG2017">
        <v>-1.1163882270929999</v>
      </c>
      <c r="AH2017">
        <v>19.285646906339501</v>
      </c>
      <c r="AI2017">
        <v>93.310516481221597</v>
      </c>
      <c r="AJ2017">
        <v>92.2137522448498</v>
      </c>
      <c r="AK2017">
        <v>19.332312145498801</v>
      </c>
    </row>
    <row r="2018" spans="1:37" x14ac:dyDescent="0.2">
      <c r="A2018" t="str">
        <f>"20200111154104398"</f>
        <v>20200111154104398</v>
      </c>
      <c r="B2018" t="str">
        <f>"1578728464387822"</f>
        <v>1578728464387822</v>
      </c>
      <c r="C2018" t="s">
        <v>37</v>
      </c>
      <c r="D2018">
        <v>4.940385</v>
      </c>
      <c r="E2018">
        <v>0.55519200000000002</v>
      </c>
      <c r="F2018" t="s">
        <v>43</v>
      </c>
      <c r="G2018">
        <v>-486.40140000000002</v>
      </c>
      <c r="H2018" s="1">
        <v>2.60762099999999E-6</v>
      </c>
      <c r="I2018">
        <v>212.83269999999999</v>
      </c>
      <c r="J2018">
        <v>-491.15600000000001</v>
      </c>
      <c r="K2018">
        <v>1.116544</v>
      </c>
      <c r="L2018">
        <v>232.8921</v>
      </c>
      <c r="M2018">
        <v>0.1859729</v>
      </c>
      <c r="N2018">
        <v>0</v>
      </c>
      <c r="O2018">
        <v>-0.98244129999999996</v>
      </c>
      <c r="P2018">
        <v>0.379189099999999</v>
      </c>
      <c r="Q2018">
        <v>6.5797309999999998E-2</v>
      </c>
      <c r="R2018">
        <v>-0.92297700000000005</v>
      </c>
      <c r="S2018">
        <v>0.70336909999999997</v>
      </c>
      <c r="T2018">
        <v>-0.16359899999999999</v>
      </c>
      <c r="U2018">
        <v>-2.9699399999999998</v>
      </c>
      <c r="V2018">
        <v>-0.20202229999999999</v>
      </c>
      <c r="W2018">
        <v>7.7559050000000004E-2</v>
      </c>
      <c r="X2018">
        <v>0.97630509999999904</v>
      </c>
      <c r="Y2018">
        <v>-4.5118930000000002E-2</v>
      </c>
      <c r="Z2018">
        <v>5.2817599999999902E-2</v>
      </c>
      <c r="AA2018">
        <v>0.99758440000000004</v>
      </c>
      <c r="AB2018">
        <v>26</v>
      </c>
      <c r="AC2018">
        <v>4.7545999999999804</v>
      </c>
      <c r="AD2018">
        <v>-1.116541392379</v>
      </c>
      <c r="AE2018">
        <v>-20.0594</v>
      </c>
      <c r="AF2018">
        <v>-0.93796414215313395</v>
      </c>
      <c r="AG2018">
        <v>-1.116541392379</v>
      </c>
      <c r="AH2018">
        <v>20.533474417946</v>
      </c>
      <c r="AI2018">
        <v>93.109250950443993</v>
      </c>
      <c r="AJ2018">
        <v>92.615439193016798</v>
      </c>
      <c r="AK2018">
        <v>20.585189168071899</v>
      </c>
    </row>
    <row r="2019" spans="1:37" x14ac:dyDescent="0.2">
      <c r="A2019" t="str">
        <f>"20200111154104420"</f>
        <v>20200111154104420</v>
      </c>
      <c r="B2019" t="str">
        <f>"1578728464408318"</f>
        <v>1578728464408318</v>
      </c>
      <c r="C2019" t="s">
        <v>37</v>
      </c>
      <c r="D2019">
        <v>4.9814309999999997</v>
      </c>
      <c r="E2019">
        <v>0.55478359999999904</v>
      </c>
      <c r="F2019" t="s">
        <v>43</v>
      </c>
      <c r="G2019">
        <v>-486.20589999999999</v>
      </c>
      <c r="H2019" s="1">
        <v>2.567539E-6</v>
      </c>
      <c r="I2019">
        <v>212.709</v>
      </c>
      <c r="J2019">
        <v>-491.10199999999998</v>
      </c>
      <c r="K2019">
        <v>1.1167290000000001</v>
      </c>
      <c r="L2019">
        <v>232.65350000000001</v>
      </c>
      <c r="M2019">
        <v>0.19397929999999999</v>
      </c>
      <c r="N2019">
        <v>0</v>
      </c>
      <c r="O2019">
        <v>-0.98089340000000003</v>
      </c>
      <c r="P2019">
        <v>0.38793309999999998</v>
      </c>
      <c r="Q2019">
        <v>6.5125470000000005E-2</v>
      </c>
      <c r="R2019">
        <v>-0.91938410000000004</v>
      </c>
      <c r="S2019">
        <v>0.72680659999999997</v>
      </c>
      <c r="T2019">
        <v>-0.16393920000000001</v>
      </c>
      <c r="U2019">
        <v>-2.9634399999999999</v>
      </c>
      <c r="V2019">
        <v>-0.20334289999999999</v>
      </c>
      <c r="W2019">
        <v>7.6669070000000006E-2</v>
      </c>
      <c r="X2019">
        <v>0.976101199999999</v>
      </c>
      <c r="Y2019">
        <v>-4.4916919999999999E-2</v>
      </c>
      <c r="Z2019">
        <v>5.2867070000000002E-2</v>
      </c>
      <c r="AA2019">
        <v>0.99759089999999995</v>
      </c>
      <c r="AB2019">
        <v>26</v>
      </c>
      <c r="AC2019">
        <v>4.8960999999999899</v>
      </c>
      <c r="AD2019">
        <v>-1.116726432461</v>
      </c>
      <c r="AE2019">
        <v>-19.944500000000001</v>
      </c>
      <c r="AF2019">
        <v>-0.93108173771823599</v>
      </c>
      <c r="AG2019">
        <v>-1.116726432461</v>
      </c>
      <c r="AH2019">
        <v>20.4549462313805</v>
      </c>
      <c r="AI2019">
        <v>93.121703134232902</v>
      </c>
      <c r="AJ2019">
        <v>92.606228096207701</v>
      </c>
      <c r="AK2019">
        <v>20.5065554507805</v>
      </c>
    </row>
    <row r="2020" spans="1:37" x14ac:dyDescent="0.2">
      <c r="A2020" t="str">
        <f>"20200111154104447"</f>
        <v>20200111154104447</v>
      </c>
      <c r="B2020" t="str">
        <f>"1578728464438575"</f>
        <v>1578728464438575</v>
      </c>
      <c r="C2020" t="s">
        <v>37</v>
      </c>
      <c r="D2020">
        <v>4.9944379999999997</v>
      </c>
      <c r="E2020">
        <v>0.55452429999999997</v>
      </c>
      <c r="F2020" t="s">
        <v>43</v>
      </c>
      <c r="G2020">
        <v>-485.88499999999999</v>
      </c>
      <c r="H2020" s="1">
        <v>2.4927350000000002E-6</v>
      </c>
      <c r="I2020">
        <v>212.30009999999999</v>
      </c>
      <c r="J2020">
        <v>-491.02980000000002</v>
      </c>
      <c r="K2020">
        <v>1.116957</v>
      </c>
      <c r="L2020">
        <v>232.35059999999999</v>
      </c>
      <c r="M2020">
        <v>0.20452599999999899</v>
      </c>
      <c r="N2020">
        <v>0</v>
      </c>
      <c r="O2020">
        <v>-0.97875020000000001</v>
      </c>
      <c r="P2020">
        <v>0.40069509999999903</v>
      </c>
      <c r="Q2020">
        <v>6.4531389999999994E-2</v>
      </c>
      <c r="R2020">
        <v>-0.91393649999999904</v>
      </c>
      <c r="S2020">
        <v>0.75741579999999997</v>
      </c>
      <c r="T2020">
        <v>-0.1621292</v>
      </c>
      <c r="U2020">
        <v>-2.9549560000000001</v>
      </c>
      <c r="V2020">
        <v>-0.20645179999999999</v>
      </c>
      <c r="W2020">
        <v>7.5797100000000006E-2</v>
      </c>
      <c r="X2020">
        <v>0.97551650000000001</v>
      </c>
      <c r="Y2020">
        <v>-4.4555629999999999E-2</v>
      </c>
      <c r="Z2020">
        <v>5.21953E-2</v>
      </c>
      <c r="AA2020">
        <v>0.99764249999999899</v>
      </c>
      <c r="AB2020">
        <v>26</v>
      </c>
      <c r="AC2020">
        <v>5.1448000000000302</v>
      </c>
      <c r="AD2020">
        <v>-1.116954507265</v>
      </c>
      <c r="AE2020">
        <v>-20.0505</v>
      </c>
      <c r="AF2020">
        <v>-0.93201333327675895</v>
      </c>
      <c r="AG2020">
        <v>-1.116954507265</v>
      </c>
      <c r="AH2020">
        <v>20.6188881585405</v>
      </c>
      <c r="AI2020">
        <v>93.097606404649994</v>
      </c>
      <c r="AJ2020">
        <v>92.588117509684096</v>
      </c>
      <c r="AK2020">
        <v>20.670142358462499</v>
      </c>
    </row>
    <row r="2021" spans="1:37" x14ac:dyDescent="0.2">
      <c r="A2021" t="str">
        <f>"20200111154104465"</f>
        <v>20200111154104465</v>
      </c>
      <c r="B2021" t="str">
        <f>"1578728464458094"</f>
        <v>1578728464458094</v>
      </c>
      <c r="C2021" t="s">
        <v>37</v>
      </c>
      <c r="D2021">
        <v>5.0137</v>
      </c>
      <c r="E2021">
        <v>0.50597119999999995</v>
      </c>
      <c r="F2021" t="s">
        <v>43</v>
      </c>
      <c r="G2021">
        <v>-485.536</v>
      </c>
      <c r="H2021" s="1">
        <v>2.424099E-6</v>
      </c>
      <c r="I2021">
        <v>212.14599999999999</v>
      </c>
      <c r="J2021">
        <v>-490.97739999999999</v>
      </c>
      <c r="K2021">
        <v>1.117108</v>
      </c>
      <c r="L2021">
        <v>232.13990000000001</v>
      </c>
      <c r="M2021">
        <v>0.21208840000000001</v>
      </c>
      <c r="N2021">
        <v>0</v>
      </c>
      <c r="O2021">
        <v>-0.97714040000000002</v>
      </c>
      <c r="P2021">
        <v>0.41122019999999998</v>
      </c>
      <c r="Q2021">
        <v>6.4135570000000003E-2</v>
      </c>
      <c r="R2021">
        <v>-0.90927709999999995</v>
      </c>
      <c r="S2021">
        <v>0.80026249999999999</v>
      </c>
      <c r="T2021">
        <v>-0.1627036</v>
      </c>
      <c r="U2021">
        <v>-2.943146</v>
      </c>
      <c r="V2021">
        <v>-0.21018870000000001</v>
      </c>
      <c r="W2021">
        <v>7.519373E-2</v>
      </c>
      <c r="X2021">
        <v>0.97476489999999905</v>
      </c>
      <c r="Y2021">
        <v>-5.1362690000000003E-2</v>
      </c>
      <c r="Z2021">
        <v>5.2349760000000002E-2</v>
      </c>
      <c r="AA2021">
        <v>0.9973071</v>
      </c>
      <c r="AB2021">
        <v>26</v>
      </c>
      <c r="AC2021">
        <v>5.4413999999999803</v>
      </c>
      <c r="AD2021">
        <v>-1.117105575901</v>
      </c>
      <c r="AE2021">
        <v>-19.9939</v>
      </c>
      <c r="AF2021">
        <v>-1.0735331747821799</v>
      </c>
      <c r="AG2021">
        <v>-1.117105575901</v>
      </c>
      <c r="AH2021">
        <v>20.633162312486402</v>
      </c>
      <c r="AI2021">
        <v>93.094862465848493</v>
      </c>
      <c r="AJ2021">
        <v>92.978385288746196</v>
      </c>
      <c r="AK2021">
        <v>20.691249004312802</v>
      </c>
    </row>
    <row r="2022" spans="1:37" x14ac:dyDescent="0.2">
      <c r="A2022" t="str">
        <f>"20200111154104490"</f>
        <v>20200111154104490</v>
      </c>
      <c r="B2022" t="str">
        <f>"1578728464478601"</f>
        <v>1578728464478601</v>
      </c>
      <c r="C2022" t="s">
        <v>37</v>
      </c>
      <c r="D2022">
        <v>4.8358549999999996</v>
      </c>
      <c r="E2022">
        <v>0.49116080000000001</v>
      </c>
      <c r="F2022" t="s">
        <v>43</v>
      </c>
      <c r="G2022">
        <v>-485.13310000000001</v>
      </c>
      <c r="H2022" s="1">
        <v>2.628327E-6</v>
      </c>
      <c r="I2022">
        <v>218.45310000000001</v>
      </c>
      <c r="J2022">
        <v>-490.90890000000002</v>
      </c>
      <c r="K2022">
        <v>1.117272</v>
      </c>
      <c r="L2022">
        <v>231.8758</v>
      </c>
      <c r="M2022">
        <v>0.22181429999999999</v>
      </c>
      <c r="N2022">
        <v>0</v>
      </c>
      <c r="O2022">
        <v>-0.97497959999999995</v>
      </c>
      <c r="P2022">
        <v>0.42535209999999901</v>
      </c>
      <c r="Q2022">
        <v>6.3954440000000001E-2</v>
      </c>
      <c r="R2022">
        <v>-0.9027655</v>
      </c>
      <c r="S2022">
        <v>1.186493</v>
      </c>
      <c r="T2022">
        <v>-0.2267932</v>
      </c>
      <c r="U2022">
        <v>-2.7786710000000001</v>
      </c>
      <c r="V2022">
        <v>-0.21570449999999999</v>
      </c>
      <c r="W2022">
        <v>7.4758160000000004E-2</v>
      </c>
      <c r="X2022">
        <v>0.97359280000000004</v>
      </c>
      <c r="Y2022">
        <v>-0.17778269999999999</v>
      </c>
      <c r="Z2022">
        <v>7.448225E-2</v>
      </c>
      <c r="AA2022">
        <v>0.98124699999999998</v>
      </c>
      <c r="AB2022">
        <v>26</v>
      </c>
      <c r="AC2022">
        <v>5.7758000000000003</v>
      </c>
      <c r="AD2022">
        <v>-1.117269371673</v>
      </c>
      <c r="AE2022">
        <v>-13.422699999999899</v>
      </c>
      <c r="AF2022">
        <v>-2.63879688969056</v>
      </c>
      <c r="AG2022">
        <v>-1.117269371673</v>
      </c>
      <c r="AH2022">
        <v>14.286029306881</v>
      </c>
      <c r="AI2022">
        <v>94.397742729846598</v>
      </c>
      <c r="AJ2022">
        <v>100.46524608523799</v>
      </c>
      <c r="AK2022">
        <v>14.5705927549631</v>
      </c>
    </row>
    <row r="2023" spans="1:37" x14ac:dyDescent="0.2">
      <c r="A2023" t="str">
        <f>"20200111154104510"</f>
        <v>20200111154104510</v>
      </c>
      <c r="B2023" t="str">
        <f>"1578728464507870"</f>
        <v>1578728464507870</v>
      </c>
      <c r="C2023" t="s">
        <v>37</v>
      </c>
      <c r="D2023">
        <v>4.7154800000000003</v>
      </c>
      <c r="E2023">
        <v>0.32652900000000001</v>
      </c>
      <c r="F2023" t="s">
        <v>43</v>
      </c>
      <c r="G2023">
        <v>-483.38060000000002</v>
      </c>
      <c r="H2023" s="1">
        <v>2.237869E-6</v>
      </c>
      <c r="I2023">
        <v>216.63239999999999</v>
      </c>
      <c r="J2023">
        <v>-490.84829999999999</v>
      </c>
      <c r="K2023">
        <v>1.117399</v>
      </c>
      <c r="L2023">
        <v>231.6516</v>
      </c>
      <c r="M2023">
        <v>0.2302622</v>
      </c>
      <c r="N2023">
        <v>0</v>
      </c>
      <c r="O2023">
        <v>-0.97301979999999999</v>
      </c>
      <c r="P2023">
        <v>0.43862200000000001</v>
      </c>
      <c r="Q2023">
        <v>6.3853090000000001E-2</v>
      </c>
      <c r="R2023">
        <v>-0.89640049999999905</v>
      </c>
      <c r="S2023">
        <v>1.3370359999999999</v>
      </c>
      <c r="T2023">
        <v>-0.1984292</v>
      </c>
      <c r="U2023">
        <v>-2.7072449999999999</v>
      </c>
      <c r="V2023">
        <v>-0.2216417</v>
      </c>
      <c r="W2023">
        <v>7.4428159999999993E-2</v>
      </c>
      <c r="X2023">
        <v>0.97228359999999903</v>
      </c>
      <c r="Y2023">
        <v>-0.2234623</v>
      </c>
      <c r="Z2023">
        <v>6.5528539999999996E-2</v>
      </c>
      <c r="AA2023">
        <v>0.97250740000000002</v>
      </c>
      <c r="AB2023">
        <v>26</v>
      </c>
      <c r="AC2023">
        <v>7.4676999999999696</v>
      </c>
      <c r="AD2023">
        <v>-1.1173967621309999</v>
      </c>
      <c r="AE2023">
        <v>-15.0192</v>
      </c>
      <c r="AF2023">
        <v>-3.7914431236950201</v>
      </c>
      <c r="AG2023">
        <v>-1.1173967621309999</v>
      </c>
      <c r="AH2023">
        <v>16.2630638353324</v>
      </c>
      <c r="AI2023">
        <v>93.828143723717204</v>
      </c>
      <c r="AJ2023">
        <v>103.123090326634</v>
      </c>
      <c r="AK2023">
        <v>16.736512832616299</v>
      </c>
    </row>
    <row r="2024" spans="1:37" x14ac:dyDescent="0.2">
      <c r="A2024" t="str">
        <f>"20200111154104536"</f>
        <v>20200111154104536</v>
      </c>
      <c r="B2024" t="str">
        <f>"1578728464528366"</f>
        <v>1578728464528366</v>
      </c>
      <c r="C2024" t="s">
        <v>37</v>
      </c>
      <c r="D2024">
        <v>4.8342749999999999</v>
      </c>
      <c r="E2024">
        <v>0.32039220000000002</v>
      </c>
      <c r="F2024" t="s">
        <v>43</v>
      </c>
      <c r="G2024">
        <v>-479.79570000000001</v>
      </c>
      <c r="H2024">
        <v>8.0000489999999994E-2</v>
      </c>
      <c r="I2024">
        <v>222.52160000000001</v>
      </c>
      <c r="J2024">
        <v>-490.76819999999998</v>
      </c>
      <c r="K2024">
        <v>1.117543</v>
      </c>
      <c r="L2024">
        <v>231.3673</v>
      </c>
      <c r="M2024">
        <v>0.24123820000000001</v>
      </c>
      <c r="N2024">
        <v>0</v>
      </c>
      <c r="O2024">
        <v>-0.97035740000000004</v>
      </c>
      <c r="P2024">
        <v>0.45383519999999999</v>
      </c>
      <c r="Q2024">
        <v>6.3561770000000004E-2</v>
      </c>
      <c r="R2024">
        <v>-0.88881580000000004</v>
      </c>
      <c r="S2024">
        <v>2.557312</v>
      </c>
      <c r="T2024">
        <v>-0.2400303</v>
      </c>
      <c r="U2024">
        <v>-2.1124879999999999</v>
      </c>
      <c r="V2024">
        <v>-0.22724749999999999</v>
      </c>
      <c r="W2024">
        <v>7.3899380000000001E-2</v>
      </c>
      <c r="X2024">
        <v>0.97102900000000003</v>
      </c>
      <c r="Y2024">
        <v>-0.59231739999999999</v>
      </c>
      <c r="Z2024">
        <v>7.5773399999999894E-2</v>
      </c>
      <c r="AA2024">
        <v>0.80213369999999995</v>
      </c>
      <c r="AB2024">
        <v>26</v>
      </c>
      <c r="AC2024">
        <v>10.972499999999901</v>
      </c>
      <c r="AD2024">
        <v>-1.03754251</v>
      </c>
      <c r="AE2024">
        <v>-8.8456999999999901</v>
      </c>
      <c r="AF2024">
        <v>-8.4683304972001299</v>
      </c>
      <c r="AG2024">
        <v>-1.03754251</v>
      </c>
      <c r="AH2024">
        <v>11.1711203657681</v>
      </c>
      <c r="AI2024">
        <v>94.233005629189805</v>
      </c>
      <c r="AJ2024">
        <v>127.164150943511</v>
      </c>
      <c r="AK2024">
        <v>14.056423659535399</v>
      </c>
    </row>
    <row r="2025" spans="1:37" x14ac:dyDescent="0.2">
      <c r="A2025" t="str">
        <f>"20200111154104555"</f>
        <v>20200111154104555</v>
      </c>
      <c r="B2025" t="str">
        <f>"1578728464547886"</f>
        <v>1578728464547886</v>
      </c>
      <c r="C2025" t="s">
        <v>37</v>
      </c>
      <c r="D2025">
        <v>4.7486290000000002</v>
      </c>
      <c r="E2025">
        <v>0.3233724</v>
      </c>
      <c r="F2025" t="s">
        <v>38</v>
      </c>
      <c r="G2025">
        <v>-489.99599999999998</v>
      </c>
      <c r="H2025">
        <v>1.041412</v>
      </c>
      <c r="I2025">
        <v>230.76740000000001</v>
      </c>
      <c r="J2025">
        <v>-490.70670000000001</v>
      </c>
      <c r="K2025">
        <v>1.1176489999999999</v>
      </c>
      <c r="L2025">
        <v>231.15770000000001</v>
      </c>
      <c r="M2025">
        <v>0.24951519999999999</v>
      </c>
      <c r="N2025">
        <v>0</v>
      </c>
      <c r="O2025">
        <v>-0.96826270000000003</v>
      </c>
      <c r="P2025">
        <v>0.465389</v>
      </c>
      <c r="Q2025">
        <v>6.3233659999999997E-2</v>
      </c>
      <c r="R2025">
        <v>-0.88284499999999999</v>
      </c>
      <c r="S2025">
        <v>2.6361080000000001</v>
      </c>
      <c r="T2025">
        <v>-0.25986729999999902</v>
      </c>
      <c r="U2025">
        <v>-2.0478669999999899</v>
      </c>
      <c r="V2025">
        <v>-0.2316299</v>
      </c>
      <c r="W2025">
        <v>7.3397210000000004E-2</v>
      </c>
      <c r="X2025">
        <v>0.97003109999999904</v>
      </c>
      <c r="Y2025">
        <v>-0.60897460000000003</v>
      </c>
      <c r="Z2025">
        <v>8.1761490000000006E-2</v>
      </c>
      <c r="AA2025">
        <v>0.78896460000000002</v>
      </c>
      <c r="AB2025">
        <v>26</v>
      </c>
      <c r="AC2025">
        <v>0.71070000000003097</v>
      </c>
      <c r="AD2025">
        <v>-7.6236999999999805E-2</v>
      </c>
      <c r="AE2025">
        <v>-0.39029999999999598</v>
      </c>
      <c r="AF2025">
        <v>-0.58564296222419698</v>
      </c>
      <c r="AG2025">
        <v>-7.6236999999999805E-2</v>
      </c>
      <c r="AH2025">
        <v>0.55043536459516296</v>
      </c>
      <c r="AI2025">
        <v>95.418626464534498</v>
      </c>
      <c r="AJ2025">
        <v>136.77505483663799</v>
      </c>
      <c r="AK2025">
        <v>0.80732202371094997</v>
      </c>
    </row>
    <row r="2026" spans="1:37" x14ac:dyDescent="0.2">
      <c r="A2026" t="str">
        <f>"20200111154104578"</f>
        <v>20200111154104578</v>
      </c>
      <c r="B2026" t="str">
        <f>"1578728464568382"</f>
        <v>1578728464568382</v>
      </c>
      <c r="C2026" t="s">
        <v>37</v>
      </c>
      <c r="D2026">
        <v>4.7920819999999997</v>
      </c>
      <c r="E2026">
        <v>0.32733129999999999</v>
      </c>
      <c r="F2026" t="s">
        <v>38</v>
      </c>
      <c r="G2026">
        <v>-489.92239999999998</v>
      </c>
      <c r="H2026">
        <v>1.0402129999999901</v>
      </c>
      <c r="I2026">
        <v>230.5566</v>
      </c>
      <c r="J2026">
        <v>-490.63119999999998</v>
      </c>
      <c r="K2026">
        <v>1.1177779999999999</v>
      </c>
      <c r="L2026">
        <v>230.90940000000001</v>
      </c>
      <c r="M2026">
        <v>0.25950780000000001</v>
      </c>
      <c r="N2026">
        <v>0</v>
      </c>
      <c r="O2026">
        <v>-0.96563299999999996</v>
      </c>
      <c r="P2026">
        <v>0.47721839999999999</v>
      </c>
      <c r="Q2026">
        <v>6.2935740000000004E-2</v>
      </c>
      <c r="R2026">
        <v>-0.87652839999999999</v>
      </c>
      <c r="S2026">
        <v>2.6418149999999998</v>
      </c>
      <c r="T2026">
        <v>-0.26077620000000001</v>
      </c>
      <c r="U2026">
        <v>-2.0241549999999999</v>
      </c>
      <c r="V2026">
        <v>-0.2346635</v>
      </c>
      <c r="W2026">
        <v>7.293972E-2</v>
      </c>
      <c r="X2026">
        <v>0.96933630000000004</v>
      </c>
      <c r="Y2026">
        <v>-0.60602309999999904</v>
      </c>
      <c r="Z2026">
        <v>8.2309170000000001E-2</v>
      </c>
      <c r="AA2026">
        <v>0.79117709999999997</v>
      </c>
      <c r="AB2026">
        <v>26</v>
      </c>
      <c r="AC2026">
        <v>0.70879999999999599</v>
      </c>
      <c r="AD2026">
        <v>-7.75650000000003E-2</v>
      </c>
      <c r="AE2026">
        <v>-0.352800000000002</v>
      </c>
      <c r="AF2026">
        <v>-0.58731145749265501</v>
      </c>
      <c r="AG2026">
        <v>-7.75650000000003E-2</v>
      </c>
      <c r="AH2026">
        <v>0.51968154470212002</v>
      </c>
      <c r="AI2026">
        <v>95.648581157353703</v>
      </c>
      <c r="AJ2026">
        <v>138.49604598369501</v>
      </c>
      <c r="AK2026">
        <v>0.78804821250423995</v>
      </c>
    </row>
    <row r="2027" spans="1:37" x14ac:dyDescent="0.2">
      <c r="A2027" t="str">
        <f>"20200111154104600"</f>
        <v>20200111154104600</v>
      </c>
      <c r="B2027" t="str">
        <f>"1578728464597663"</f>
        <v>1578728464597663</v>
      </c>
      <c r="C2027" t="s">
        <v>37</v>
      </c>
      <c r="D2027">
        <v>4.7079420000000001</v>
      </c>
      <c r="E2027">
        <v>0.33148729999999998</v>
      </c>
      <c r="F2027" t="s">
        <v>38</v>
      </c>
      <c r="G2027">
        <v>-489.87400000000002</v>
      </c>
      <c r="H2027">
        <v>1.0426850000000001</v>
      </c>
      <c r="I2027">
        <v>230.33519999999999</v>
      </c>
      <c r="J2027">
        <v>-490.5557</v>
      </c>
      <c r="K2027">
        <v>1.1179110000000001</v>
      </c>
      <c r="L2027">
        <v>230.6703</v>
      </c>
      <c r="M2027">
        <v>0.26933590000000002</v>
      </c>
      <c r="N2027">
        <v>0</v>
      </c>
      <c r="O2027">
        <v>-0.96293809999999902</v>
      </c>
      <c r="P2027">
        <v>0.48750260000000001</v>
      </c>
      <c r="Q2027">
        <v>6.188126E-2</v>
      </c>
      <c r="R2027">
        <v>-0.87092599999999998</v>
      </c>
      <c r="S2027">
        <v>2.641632</v>
      </c>
      <c r="T2027">
        <v>-0.26196750000000002</v>
      </c>
      <c r="U2027">
        <v>-2.0031279999999998</v>
      </c>
      <c r="V2027">
        <v>-0.23617959999999999</v>
      </c>
      <c r="W2027">
        <v>7.1764069999999999E-2</v>
      </c>
      <c r="X2027">
        <v>0.96905580000000002</v>
      </c>
      <c r="Y2027">
        <v>-0.6018346</v>
      </c>
      <c r="Z2027">
        <v>8.2991029999999993E-2</v>
      </c>
      <c r="AA2027">
        <v>0.79429689999999997</v>
      </c>
      <c r="AB2027">
        <v>26</v>
      </c>
      <c r="AC2027">
        <v>0.68169999999997799</v>
      </c>
      <c r="AD2027">
        <v>-7.5226000000000001E-2</v>
      </c>
      <c r="AE2027">
        <v>-0.335100000000011</v>
      </c>
      <c r="AF2027">
        <v>-0.56074002967104397</v>
      </c>
      <c r="AG2027">
        <v>-7.5226000000000001E-2</v>
      </c>
      <c r="AH2027">
        <v>0.501421943383482</v>
      </c>
      <c r="AI2027">
        <v>95.7108024689296</v>
      </c>
      <c r="AJ2027">
        <v>138.19645154901301</v>
      </c>
      <c r="AK2027">
        <v>0.75598432342076505</v>
      </c>
    </row>
    <row r="2028" spans="1:37" x14ac:dyDescent="0.2">
      <c r="A2028" t="str">
        <f>"20200111154104624"</f>
        <v>20200111154104624</v>
      </c>
      <c r="B2028" t="str">
        <f>"1578728464618158"</f>
        <v>1578728464618158</v>
      </c>
      <c r="C2028" t="s">
        <v>37</v>
      </c>
      <c r="D2028">
        <v>4.8559320000000001</v>
      </c>
      <c r="E2028">
        <v>0.33425129999999997</v>
      </c>
      <c r="F2028" t="s">
        <v>38</v>
      </c>
      <c r="G2028">
        <v>-489.81990000000002</v>
      </c>
      <c r="H2028">
        <v>1.04251</v>
      </c>
      <c r="I2028">
        <v>230.11529999999999</v>
      </c>
      <c r="J2028">
        <v>-490.47329999999999</v>
      </c>
      <c r="K2028">
        <v>1.1180429999999999</v>
      </c>
      <c r="L2028">
        <v>230.41970000000001</v>
      </c>
      <c r="M2028">
        <v>0.2798522</v>
      </c>
      <c r="N2028">
        <v>0</v>
      </c>
      <c r="O2028">
        <v>-0.95993479999999998</v>
      </c>
      <c r="P2028">
        <v>0.49731149999999902</v>
      </c>
      <c r="Q2028">
        <v>6.1618249999999999E-2</v>
      </c>
      <c r="R2028">
        <v>-0.86538130000000002</v>
      </c>
      <c r="S2028">
        <v>2.6359249999999999</v>
      </c>
      <c r="T2028">
        <v>-0.27012520000000001</v>
      </c>
      <c r="U2028">
        <v>-1.9883580000000001</v>
      </c>
      <c r="V2028">
        <v>-0.23654339999999999</v>
      </c>
      <c r="W2028">
        <v>7.1405449999999995E-2</v>
      </c>
      <c r="X2028">
        <v>0.96899349999999995</v>
      </c>
      <c r="Y2028">
        <v>-0.594900599999999</v>
      </c>
      <c r="Z2028">
        <v>8.5840749999999993E-2</v>
      </c>
      <c r="AA2028">
        <v>0.79920249999999904</v>
      </c>
      <c r="AB2028">
        <v>26</v>
      </c>
      <c r="AC2028">
        <v>0.653399999999976</v>
      </c>
      <c r="AD2028">
        <v>-7.5533000000000003E-2</v>
      </c>
      <c r="AE2028">
        <v>-0.30440000000001499</v>
      </c>
      <c r="AF2028">
        <v>-0.53620310897873802</v>
      </c>
      <c r="AG2028">
        <v>-7.5533000000000003E-2</v>
      </c>
      <c r="AH2028">
        <v>0.469948825031199</v>
      </c>
      <c r="AI2028">
        <v>96.047201686130904</v>
      </c>
      <c r="AJ2028">
        <v>138.76744126328001</v>
      </c>
      <c r="AK2028">
        <v>0.71698738225694703</v>
      </c>
    </row>
    <row r="2029" spans="1:37" x14ac:dyDescent="0.2">
      <c r="A2029" t="str">
        <f>"20200111154104645"</f>
        <v>20200111154104645</v>
      </c>
      <c r="B2029" t="str">
        <f>"1578728464637679"</f>
        <v>1578728464637679</v>
      </c>
      <c r="C2029" t="s">
        <v>37</v>
      </c>
      <c r="D2029">
        <v>4.7809499999999998</v>
      </c>
      <c r="E2029">
        <v>0.3363466</v>
      </c>
      <c r="F2029" t="s">
        <v>43</v>
      </c>
      <c r="G2029">
        <v>-479.89139999999998</v>
      </c>
      <c r="H2029">
        <v>3.2979939999999999E-2</v>
      </c>
      <c r="I2029">
        <v>222.5258</v>
      </c>
      <c r="J2029">
        <v>-490.39240000000001</v>
      </c>
      <c r="K2029">
        <v>1.118174</v>
      </c>
      <c r="L2029">
        <v>230.18360000000001</v>
      </c>
      <c r="M2029">
        <v>0.28997430000000002</v>
      </c>
      <c r="N2029">
        <v>0</v>
      </c>
      <c r="O2029">
        <v>-0.95692559999999904</v>
      </c>
      <c r="P2029">
        <v>0.50611379999999995</v>
      </c>
      <c r="Q2029">
        <v>6.2725959999999997E-2</v>
      </c>
      <c r="R2029">
        <v>-0.86018300000000003</v>
      </c>
      <c r="S2029">
        <v>2.639526</v>
      </c>
      <c r="T2029">
        <v>-0.27065800000000001</v>
      </c>
      <c r="U2029">
        <v>-1.969055</v>
      </c>
      <c r="V2029">
        <v>-0.23625989999999999</v>
      </c>
      <c r="W2029">
        <v>7.2444649999999999E-2</v>
      </c>
      <c r="X2029">
        <v>0.9689856</v>
      </c>
      <c r="Y2029">
        <v>-0.59066099999999999</v>
      </c>
      <c r="Z2029">
        <v>8.6194110000000004E-2</v>
      </c>
      <c r="AA2029">
        <v>0.80230299999999999</v>
      </c>
      <c r="AB2029">
        <v>26</v>
      </c>
      <c r="AC2029">
        <v>10.500999999999999</v>
      </c>
      <c r="AD2029">
        <v>-1.0851940600000001</v>
      </c>
      <c r="AE2029">
        <v>-7.6577999999999999</v>
      </c>
      <c r="AF2029">
        <v>-7.7747212770996699</v>
      </c>
      <c r="AG2029">
        <v>-1.0851940600000001</v>
      </c>
      <c r="AH2029">
        <v>10.3022193219643</v>
      </c>
      <c r="AI2029">
        <v>94.8061320344449</v>
      </c>
      <c r="AJ2029">
        <v>127.040566363881</v>
      </c>
      <c r="AK2029">
        <v>12.9522067634168</v>
      </c>
    </row>
    <row r="2030" spans="1:37" x14ac:dyDescent="0.2">
      <c r="A2030" t="str">
        <f>"20200111154104668"</f>
        <v>20200111154104668</v>
      </c>
      <c r="B2030" t="str">
        <f>"1578728464658175"</f>
        <v>1578728464658175</v>
      </c>
      <c r="C2030" t="s">
        <v>37</v>
      </c>
      <c r="D2030">
        <v>4.8057629999999998</v>
      </c>
      <c r="E2030">
        <v>0.33848549999999999</v>
      </c>
      <c r="F2030" t="s">
        <v>43</v>
      </c>
      <c r="G2030">
        <v>-479.87369999999999</v>
      </c>
      <c r="H2030">
        <v>6.0448500000000002E-2</v>
      </c>
      <c r="I2030">
        <v>222.4298</v>
      </c>
      <c r="J2030">
        <v>-490.30599999999998</v>
      </c>
      <c r="K2030">
        <v>1.1182879999999999</v>
      </c>
      <c r="L2030">
        <v>229.94069999999999</v>
      </c>
      <c r="M2030">
        <v>0.3005582</v>
      </c>
      <c r="N2030">
        <v>0</v>
      </c>
      <c r="O2030">
        <v>-0.95365449999999996</v>
      </c>
      <c r="P2030">
        <v>0.5155438</v>
      </c>
      <c r="Q2030">
        <v>6.3860130000000001E-2</v>
      </c>
      <c r="R2030">
        <v>-0.85448060000000003</v>
      </c>
      <c r="S2030">
        <v>2.6457820000000001</v>
      </c>
      <c r="T2030">
        <v>-0.26605190000000001</v>
      </c>
      <c r="U2030">
        <v>-1.9503330000000001</v>
      </c>
      <c r="V2030">
        <v>-0.23624780000000001</v>
      </c>
      <c r="W2030">
        <v>7.3516109999999996E-2</v>
      </c>
      <c r="X2030">
        <v>0.96890779999999999</v>
      </c>
      <c r="Y2030">
        <v>-0.58640080000000006</v>
      </c>
      <c r="Z2030">
        <v>8.483868E-2</v>
      </c>
      <c r="AA2030">
        <v>0.805566</v>
      </c>
      <c r="AB2030">
        <v>26</v>
      </c>
      <c r="AC2030">
        <v>10.4322999999999</v>
      </c>
      <c r="AD2030">
        <v>-1.0578395</v>
      </c>
      <c r="AE2030">
        <v>-7.5108999999999897</v>
      </c>
      <c r="AF2030">
        <v>-7.6404070688554304</v>
      </c>
      <c r="AG2030">
        <v>-1.0578395</v>
      </c>
      <c r="AH2030">
        <v>10.230110613256899</v>
      </c>
      <c r="AI2030">
        <v>94.736053867079903</v>
      </c>
      <c r="AJ2030">
        <v>126.75439061434101</v>
      </c>
      <c r="AK2030">
        <v>12.8121039546613</v>
      </c>
    </row>
    <row r="2031" spans="1:37" x14ac:dyDescent="0.2">
      <c r="A2031" t="str">
        <f>"20200111154104690"</f>
        <v>20200111154104690</v>
      </c>
      <c r="B2031" t="str">
        <f>"1578728464677697"</f>
        <v>1578728464677697</v>
      </c>
      <c r="C2031" t="s">
        <v>37</v>
      </c>
      <c r="D2031">
        <v>4.7090170000000002</v>
      </c>
      <c r="E2031">
        <v>0.3400397</v>
      </c>
      <c r="F2031" t="s">
        <v>43</v>
      </c>
      <c r="G2031">
        <v>-479.8365</v>
      </c>
      <c r="H2031">
        <v>7.4625520000000001E-2</v>
      </c>
      <c r="I2031">
        <v>222.3211</v>
      </c>
      <c r="J2031">
        <v>-490.22210000000001</v>
      </c>
      <c r="K2031">
        <v>1.1183700000000001</v>
      </c>
      <c r="L2031">
        <v>229.71279999999999</v>
      </c>
      <c r="M2031">
        <v>0.31064350000000002</v>
      </c>
      <c r="N2031">
        <v>0</v>
      </c>
      <c r="O2031">
        <v>-0.95041690000000001</v>
      </c>
      <c r="P2031">
        <v>0.52376499999999904</v>
      </c>
      <c r="Q2031">
        <v>6.447638E-2</v>
      </c>
      <c r="R2031">
        <v>-0.84941949999999999</v>
      </c>
      <c r="S2031">
        <v>2.652374</v>
      </c>
      <c r="T2031">
        <v>-0.26440239999999998</v>
      </c>
      <c r="U2031">
        <v>-1.9303589999999999</v>
      </c>
      <c r="V2031">
        <v>-0.23537449999999999</v>
      </c>
      <c r="W2031">
        <v>7.4102920000000003E-2</v>
      </c>
      <c r="X2031">
        <v>0.96907569999999998</v>
      </c>
      <c r="Y2031">
        <v>-0.58276669999999997</v>
      </c>
      <c r="Z2031">
        <v>8.4423390000000001E-2</v>
      </c>
      <c r="AA2031">
        <v>0.80824240000000003</v>
      </c>
      <c r="AB2031">
        <v>26</v>
      </c>
      <c r="AC2031">
        <v>10.3856</v>
      </c>
      <c r="AD2031">
        <v>-1.04374448</v>
      </c>
      <c r="AE2031">
        <v>-7.3916999999999797</v>
      </c>
      <c r="AF2031">
        <v>-7.52480824427189</v>
      </c>
      <c r="AG2031">
        <v>-1.04374448</v>
      </c>
      <c r="AH2031">
        <v>10.1842077860411</v>
      </c>
      <c r="AI2031">
        <v>94.712095385765807</v>
      </c>
      <c r="AJ2031">
        <v>126.459592860637</v>
      </c>
      <c r="AK2031">
        <v>12.705519662015099</v>
      </c>
    </row>
    <row r="2032" spans="1:37" x14ac:dyDescent="0.2">
      <c r="A2032" t="str">
        <f>"20200111154104712"</f>
        <v>20200111154104712</v>
      </c>
      <c r="B2032" t="str">
        <f>"1578728464707951"</f>
        <v>1578728464707951</v>
      </c>
      <c r="C2032" t="s">
        <v>37</v>
      </c>
      <c r="D2032">
        <v>4.6235809999999997</v>
      </c>
      <c r="E2032">
        <v>0.34073999999999999</v>
      </c>
      <c r="F2032" t="s">
        <v>38</v>
      </c>
      <c r="G2032">
        <v>-489.37920000000003</v>
      </c>
      <c r="H2032">
        <v>1.035366</v>
      </c>
      <c r="I2032">
        <v>229.10730000000001</v>
      </c>
      <c r="J2032">
        <v>-490.13130000000001</v>
      </c>
      <c r="K2032">
        <v>1.118455</v>
      </c>
      <c r="L2032">
        <v>229.47470000000001</v>
      </c>
      <c r="M2032">
        <v>0.32133689999999998</v>
      </c>
      <c r="N2032">
        <v>0</v>
      </c>
      <c r="O2032">
        <v>-0.94685490000000005</v>
      </c>
      <c r="P2032">
        <v>0.53254840000000003</v>
      </c>
      <c r="Q2032">
        <v>6.4328099999999999E-2</v>
      </c>
      <c r="R2032">
        <v>-0.84395159999999902</v>
      </c>
      <c r="S2032">
        <v>2.6607059999999998</v>
      </c>
      <c r="T2032">
        <v>-0.26202799999999998</v>
      </c>
      <c r="U2032">
        <v>-1.911133</v>
      </c>
      <c r="V2032">
        <v>-0.2345119</v>
      </c>
      <c r="W2032">
        <v>7.3930289999999996E-2</v>
      </c>
      <c r="X2032">
        <v>0.96929789999999905</v>
      </c>
      <c r="Y2032">
        <v>-0.57870949999999999</v>
      </c>
      <c r="Z2032">
        <v>8.3705180000000004E-2</v>
      </c>
      <c r="AA2032">
        <v>0.81122669999999997</v>
      </c>
      <c r="AB2032">
        <v>26</v>
      </c>
      <c r="AC2032">
        <v>0.752099999999984</v>
      </c>
      <c r="AD2032">
        <v>-8.3088999999999899E-2</v>
      </c>
      <c r="AE2032">
        <v>-0.367400000000003</v>
      </c>
      <c r="AF2032">
        <v>-0.588335098694027</v>
      </c>
      <c r="AG2032">
        <v>-8.3088999999999899E-2</v>
      </c>
      <c r="AH2032">
        <v>0.58386030010226397</v>
      </c>
      <c r="AI2032">
        <v>95.7243948219717</v>
      </c>
      <c r="AJ2032">
        <v>135.21872277294</v>
      </c>
      <c r="AK2032">
        <v>0.83302750273434401</v>
      </c>
    </row>
    <row r="2033" spans="1:37" x14ac:dyDescent="0.2">
      <c r="A2033" t="str">
        <f>"20200111154104734"</f>
        <v>20200111154104734</v>
      </c>
      <c r="B2033" t="str">
        <f>"1578728464728446"</f>
        <v>1578728464728446</v>
      </c>
      <c r="C2033" t="s">
        <v>37</v>
      </c>
      <c r="D2033">
        <v>4.5407029999999997</v>
      </c>
      <c r="E2033">
        <v>0.340862</v>
      </c>
      <c r="F2033" t="s">
        <v>38</v>
      </c>
      <c r="G2033">
        <v>-489.30939999999998</v>
      </c>
      <c r="H2033">
        <v>1.0384899999999999</v>
      </c>
      <c r="I2033">
        <v>228.89519999999999</v>
      </c>
      <c r="J2033">
        <v>-490.04039999999998</v>
      </c>
      <c r="K2033">
        <v>1.1185350000000001</v>
      </c>
      <c r="L2033">
        <v>229.24420000000001</v>
      </c>
      <c r="M2033">
        <v>0.33184170000000002</v>
      </c>
      <c r="N2033">
        <v>0</v>
      </c>
      <c r="O2033">
        <v>-0.94322439999999996</v>
      </c>
      <c r="P2033">
        <v>0.54166879999999995</v>
      </c>
      <c r="Q2033">
        <v>6.3909160000000007E-2</v>
      </c>
      <c r="R2033">
        <v>-0.83815930000000005</v>
      </c>
      <c r="S2033">
        <v>2.6759949999999999</v>
      </c>
      <c r="T2033">
        <v>-0.2602351</v>
      </c>
      <c r="U2033">
        <v>-1.885956</v>
      </c>
      <c r="V2033">
        <v>-0.2342447</v>
      </c>
      <c r="W2033">
        <v>7.3479000000000003E-2</v>
      </c>
      <c r="X2033">
        <v>0.96939679999999995</v>
      </c>
      <c r="Y2033">
        <v>-0.57697519999999902</v>
      </c>
      <c r="Z2033">
        <v>8.3138000000000004E-2</v>
      </c>
      <c r="AA2033">
        <v>0.8125194</v>
      </c>
      <c r="AB2033">
        <v>26</v>
      </c>
      <c r="AC2033">
        <v>0.73099999999999399</v>
      </c>
      <c r="AD2033">
        <v>-8.0045000000000102E-2</v>
      </c>
      <c r="AE2033">
        <v>-0.34900000000001802</v>
      </c>
      <c r="AF2033">
        <v>-0.56819594710917998</v>
      </c>
      <c r="AG2033">
        <v>-8.0045000000000102E-2</v>
      </c>
      <c r="AH2033">
        <v>0.56629165629435996</v>
      </c>
      <c r="AI2033">
        <v>95.698182208119306</v>
      </c>
      <c r="AJ2033">
        <v>135.09617357109599</v>
      </c>
      <c r="AK2033">
        <v>0.80618861088761795</v>
      </c>
    </row>
    <row r="2034" spans="1:37" x14ac:dyDescent="0.2">
      <c r="A2034" t="str">
        <f>"20200111154104756"</f>
        <v>20200111154104756</v>
      </c>
      <c r="B2034" t="str">
        <f>"1578728464747966"</f>
        <v>1578728464747966</v>
      </c>
      <c r="C2034" t="s">
        <v>37</v>
      </c>
      <c r="D2034">
        <v>4.5247000000000002</v>
      </c>
      <c r="E2034">
        <v>0.34063949999999998</v>
      </c>
      <c r="F2034" t="s">
        <v>38</v>
      </c>
      <c r="G2034">
        <v>-489.2321</v>
      </c>
      <c r="H2034">
        <v>1.0401100000000001</v>
      </c>
      <c r="I2034">
        <v>228.68719999999999</v>
      </c>
      <c r="J2034">
        <v>-489.94409999999999</v>
      </c>
      <c r="K2034">
        <v>1.1186209999999901</v>
      </c>
      <c r="L2034">
        <v>229.00829999999999</v>
      </c>
      <c r="M2034">
        <v>0.34275259999999902</v>
      </c>
      <c r="N2034">
        <v>0</v>
      </c>
      <c r="O2034">
        <v>-0.93931450000000005</v>
      </c>
      <c r="P2034">
        <v>0.5519503</v>
      </c>
      <c r="Q2034">
        <v>6.3587519999999995E-2</v>
      </c>
      <c r="R2034">
        <v>-0.83144899999999999</v>
      </c>
      <c r="S2034">
        <v>2.6952210000000001</v>
      </c>
      <c r="T2034">
        <v>-0.261486</v>
      </c>
      <c r="U2034">
        <v>-1.8574219999999999</v>
      </c>
      <c r="V2034">
        <v>-0.23494870000000001</v>
      </c>
      <c r="W2034">
        <v>7.3104269999999999E-2</v>
      </c>
      <c r="X2034">
        <v>0.96925479999999997</v>
      </c>
      <c r="Y2034">
        <v>-0.576036199999999</v>
      </c>
      <c r="Z2034">
        <v>8.3498260000000005E-2</v>
      </c>
      <c r="AA2034">
        <v>0.81314839999999999</v>
      </c>
      <c r="AB2034">
        <v>26</v>
      </c>
      <c r="AC2034">
        <v>0.71199999999998898</v>
      </c>
      <c r="AD2034">
        <v>-7.8510999999999706E-2</v>
      </c>
      <c r="AE2034">
        <v>-0.321100000000001</v>
      </c>
      <c r="AF2034">
        <v>-0.55320284241889095</v>
      </c>
      <c r="AG2034">
        <v>-7.8510999999999706E-2</v>
      </c>
      <c r="AH2034">
        <v>0.54025200491846104</v>
      </c>
      <c r="AI2034">
        <v>95.797637133959498</v>
      </c>
      <c r="AJ2034">
        <v>135.67857729796199</v>
      </c>
      <c r="AK2034">
        <v>0.77721913949654997</v>
      </c>
    </row>
    <row r="2035" spans="1:37" x14ac:dyDescent="0.2">
      <c r="A2035" t="str">
        <f>"20200111154104780"</f>
        <v>20200111154104780</v>
      </c>
      <c r="B2035" t="str">
        <f>"1578728464778223"</f>
        <v>1578728464778223</v>
      </c>
      <c r="C2035" t="s">
        <v>37</v>
      </c>
      <c r="D2035">
        <v>4.5450109999999997</v>
      </c>
      <c r="E2035">
        <v>0.34032590000000001</v>
      </c>
      <c r="F2035" t="s">
        <v>38</v>
      </c>
      <c r="G2035">
        <v>-489.1549</v>
      </c>
      <c r="H2035">
        <v>1.0423819999999999</v>
      </c>
      <c r="I2035">
        <v>228.47880000000001</v>
      </c>
      <c r="J2035">
        <v>-489.84359999999998</v>
      </c>
      <c r="K2035">
        <v>1.1187149999999999</v>
      </c>
      <c r="L2035">
        <v>228.77080000000001</v>
      </c>
      <c r="M2035">
        <v>0.35388769999999897</v>
      </c>
      <c r="N2035">
        <v>0</v>
      </c>
      <c r="O2035">
        <v>-0.93517609999999995</v>
      </c>
      <c r="P2035">
        <v>0.56316379999999999</v>
      </c>
      <c r="Q2035">
        <v>6.4774899999999996E-2</v>
      </c>
      <c r="R2035">
        <v>-0.8238029</v>
      </c>
      <c r="S2035">
        <v>2.7190859999999999</v>
      </c>
      <c r="T2035">
        <v>-0.26252350000000002</v>
      </c>
      <c r="U2035">
        <v>-1.82319599999999</v>
      </c>
      <c r="V2035">
        <v>-0.2366384</v>
      </c>
      <c r="W2035">
        <v>7.4213710000000002E-2</v>
      </c>
      <c r="X2035">
        <v>0.96875929999999999</v>
      </c>
      <c r="Y2035">
        <v>-0.57668390000000003</v>
      </c>
      <c r="Z2035">
        <v>8.3780750000000001E-2</v>
      </c>
      <c r="AA2035">
        <v>0.8126601</v>
      </c>
      <c r="AB2035">
        <v>26</v>
      </c>
      <c r="AC2035">
        <v>0.68869999999998199</v>
      </c>
      <c r="AD2035">
        <v>-7.6332999999999901E-2</v>
      </c>
      <c r="AE2035">
        <v>-0.29200000000000098</v>
      </c>
      <c r="AF2035">
        <v>-0.53520413688517499</v>
      </c>
      <c r="AG2035">
        <v>-7.6332999999999901E-2</v>
      </c>
      <c r="AH2035">
        <v>0.51152154566709795</v>
      </c>
      <c r="AI2035">
        <v>95.886728758184105</v>
      </c>
      <c r="AJ2035">
        <v>136.296119011793</v>
      </c>
      <c r="AK2035">
        <v>0.74426103398583399</v>
      </c>
    </row>
    <row r="2036" spans="1:37" x14ac:dyDescent="0.2">
      <c r="A2036" t="str">
        <f>"20200111154104802"</f>
        <v>20200111154104802</v>
      </c>
      <c r="B2036" t="str">
        <f>"1578728464797742"</f>
        <v>1578728464797742</v>
      </c>
      <c r="C2036" t="s">
        <v>37</v>
      </c>
      <c r="D2036">
        <v>4.5228320000000002</v>
      </c>
      <c r="E2036">
        <v>0.34043059999999897</v>
      </c>
      <c r="F2036" t="s">
        <v>38</v>
      </c>
      <c r="G2036">
        <v>-489.07530000000003</v>
      </c>
      <c r="H2036">
        <v>1.046835</v>
      </c>
      <c r="I2036">
        <v>228.2715</v>
      </c>
      <c r="J2036">
        <v>-489.74560000000002</v>
      </c>
      <c r="K2036">
        <v>1.1188149999999999</v>
      </c>
      <c r="L2036">
        <v>228.54650000000001</v>
      </c>
      <c r="M2036">
        <v>0.36454779999999998</v>
      </c>
      <c r="N2036">
        <v>0</v>
      </c>
      <c r="O2036">
        <v>-0.93107189999999995</v>
      </c>
      <c r="P2036">
        <v>0.57403019999999905</v>
      </c>
      <c r="Q2036">
        <v>6.8103910000000004E-2</v>
      </c>
      <c r="R2036">
        <v>-0.81599719999999998</v>
      </c>
      <c r="S2036">
        <v>2.7461849999999899</v>
      </c>
      <c r="T2036">
        <v>-0.25693080000000001</v>
      </c>
      <c r="U2036">
        <v>-1.7845</v>
      </c>
      <c r="V2036">
        <v>-0.23858969999999999</v>
      </c>
      <c r="W2036">
        <v>7.7460650000000006E-2</v>
      </c>
      <c r="X2036">
        <v>0.96802630000000001</v>
      </c>
      <c r="Y2036">
        <v>-0.57921639999999996</v>
      </c>
      <c r="Z2036">
        <v>8.196726E-2</v>
      </c>
      <c r="AA2036">
        <v>0.81104240000000005</v>
      </c>
      <c r="AB2036">
        <v>26</v>
      </c>
      <c r="AC2036">
        <v>0.67029999999999701</v>
      </c>
      <c r="AD2036">
        <v>-7.1979999999999905E-2</v>
      </c>
      <c r="AE2036">
        <v>-0.27500000000000502</v>
      </c>
      <c r="AF2036">
        <v>-0.51878140557212804</v>
      </c>
      <c r="AG2036">
        <v>-7.1979999999999905E-2</v>
      </c>
      <c r="AH2036">
        <v>0.49556243169384101</v>
      </c>
      <c r="AI2036">
        <v>95.729274685625796</v>
      </c>
      <c r="AJ2036">
        <v>136.311307736793</v>
      </c>
      <c r="AK2036">
        <v>0.72103910495458201</v>
      </c>
    </row>
    <row r="2037" spans="1:37" x14ac:dyDescent="0.2">
      <c r="A2037" t="str">
        <f>"20200111154104825"</f>
        <v>20200111154104825</v>
      </c>
      <c r="B2037" t="str">
        <f>"1578728464818239"</f>
        <v>1578728464818239</v>
      </c>
      <c r="C2037" t="s">
        <v>37</v>
      </c>
      <c r="D2037">
        <v>4.4705709999999996</v>
      </c>
      <c r="E2037">
        <v>0.34066869999999999</v>
      </c>
      <c r="F2037" t="s">
        <v>38</v>
      </c>
      <c r="G2037">
        <v>-488.98880000000003</v>
      </c>
      <c r="H2037">
        <v>1.051806</v>
      </c>
      <c r="I2037">
        <v>228.0684</v>
      </c>
      <c r="J2037">
        <v>-489.64229999999998</v>
      </c>
      <c r="K2037">
        <v>1.1189069999999901</v>
      </c>
      <c r="L2037">
        <v>228.31809999999999</v>
      </c>
      <c r="M2037">
        <v>0.37555709999999998</v>
      </c>
      <c r="N2037">
        <v>0</v>
      </c>
      <c r="O2037">
        <v>-0.92668589999999995</v>
      </c>
      <c r="P2037">
        <v>0.58561030000000003</v>
      </c>
      <c r="Q2037">
        <v>7.1634719999999999E-2</v>
      </c>
      <c r="R2037">
        <v>-0.80742139999999996</v>
      </c>
      <c r="S2037">
        <v>2.7698969999999998</v>
      </c>
      <c r="T2037">
        <v>-0.2451197</v>
      </c>
      <c r="U2037">
        <v>-1.7484439999999899</v>
      </c>
      <c r="V2037">
        <v>-0.24112610000000001</v>
      </c>
      <c r="W2037">
        <v>8.0896880000000004E-2</v>
      </c>
      <c r="X2037">
        <v>0.96711630000000004</v>
      </c>
      <c r="Y2037">
        <v>-0.58052440000000005</v>
      </c>
      <c r="Z2037">
        <v>7.8166169999999993E-2</v>
      </c>
      <c r="AA2037">
        <v>0.81048229999999999</v>
      </c>
      <c r="AB2037">
        <v>26</v>
      </c>
      <c r="AC2037">
        <v>0.65349999999995101</v>
      </c>
      <c r="AD2037">
        <v>-6.71009999999998E-2</v>
      </c>
      <c r="AE2037">
        <v>-0.24969999999999001</v>
      </c>
      <c r="AF2037">
        <v>-0.507200213217742</v>
      </c>
      <c r="AG2037">
        <v>-6.71009999999998E-2</v>
      </c>
      <c r="AH2037">
        <v>0.47252296997999799</v>
      </c>
      <c r="AI2037">
        <v>95.528921221858894</v>
      </c>
      <c r="AJ2037">
        <v>137.02713442539201</v>
      </c>
      <c r="AK2037">
        <v>0.69644278849582497</v>
      </c>
    </row>
    <row r="2038" spans="1:37" x14ac:dyDescent="0.2">
      <c r="A2038" t="str">
        <f>"20200111154104847"</f>
        <v>20200111154104847</v>
      </c>
      <c r="B2038" t="str">
        <f>"1578728464837758"</f>
        <v>1578728464837758</v>
      </c>
      <c r="C2038" t="s">
        <v>37</v>
      </c>
      <c r="D2038">
        <v>4.4342689999999996</v>
      </c>
      <c r="E2038">
        <v>0.34066030000000003</v>
      </c>
      <c r="F2038" t="s">
        <v>43</v>
      </c>
      <c r="G2038">
        <v>-477.15519999999998</v>
      </c>
      <c r="H2038">
        <v>8.0000370000000001E-2</v>
      </c>
      <c r="I2038">
        <v>220.6782</v>
      </c>
      <c r="J2038">
        <v>-489.53179999999998</v>
      </c>
      <c r="K2038">
        <v>1.118987</v>
      </c>
      <c r="L2038">
        <v>228.0823</v>
      </c>
      <c r="M2038">
        <v>0.38707529999999901</v>
      </c>
      <c r="N2038">
        <v>0</v>
      </c>
      <c r="O2038">
        <v>-0.92193380000000003</v>
      </c>
      <c r="P2038">
        <v>0.59800730000000002</v>
      </c>
      <c r="Q2038">
        <v>7.2128120000000004E-2</v>
      </c>
      <c r="R2038">
        <v>-0.79823880000000003</v>
      </c>
      <c r="S2038">
        <v>2.7941889999999998</v>
      </c>
      <c r="T2038">
        <v>-0.23247190000000001</v>
      </c>
      <c r="U2038">
        <v>-1.709549</v>
      </c>
      <c r="V2038">
        <v>-0.24405189999999999</v>
      </c>
      <c r="W2038">
        <v>8.1291829999999995E-2</v>
      </c>
      <c r="X2038">
        <v>0.96634889999999996</v>
      </c>
      <c r="Y2038">
        <v>-0.58201530000000001</v>
      </c>
      <c r="Z2038">
        <v>7.4101609999999998E-2</v>
      </c>
      <c r="AA2038">
        <v>0.80979449999999997</v>
      </c>
      <c r="AB2038">
        <v>26</v>
      </c>
      <c r="AC2038">
        <v>12.3765999999999</v>
      </c>
      <c r="AD2038">
        <v>-1.0389866299999999</v>
      </c>
      <c r="AE2038">
        <v>-7.4040999999999997</v>
      </c>
      <c r="AF2038">
        <v>-8.5012421299464798</v>
      </c>
      <c r="AG2038">
        <v>-1.0389866299999999</v>
      </c>
      <c r="AH2038">
        <v>11.558006395930301</v>
      </c>
      <c r="AI2038">
        <v>94.1418145182666</v>
      </c>
      <c r="AJ2038">
        <v>126.335538319196</v>
      </c>
      <c r="AK2038">
        <v>14.3853440284778</v>
      </c>
    </row>
    <row r="2039" spans="1:37" x14ac:dyDescent="0.2">
      <c r="A2039" t="str">
        <f>"20200111154104869"</f>
        <v>20200111154104869</v>
      </c>
      <c r="B2039" t="str">
        <f>"1578728464868015"</f>
        <v>1578728464868015</v>
      </c>
      <c r="C2039" t="s">
        <v>37</v>
      </c>
      <c r="D2039">
        <v>4.7041959999999996</v>
      </c>
      <c r="E2039">
        <v>0.32565889999999997</v>
      </c>
      <c r="F2039" t="s">
        <v>43</v>
      </c>
      <c r="G2039">
        <v>-476.73689999999999</v>
      </c>
      <c r="H2039">
        <v>8.0000399999999902E-2</v>
      </c>
      <c r="I2039">
        <v>220.52940000000001</v>
      </c>
      <c r="J2039">
        <v>-489.42129999999997</v>
      </c>
      <c r="K2039">
        <v>1.1190439999999999</v>
      </c>
      <c r="L2039">
        <v>227.85400000000001</v>
      </c>
      <c r="M2039">
        <v>0.3983524</v>
      </c>
      <c r="N2039">
        <v>0</v>
      </c>
      <c r="O2039">
        <v>-0.91711710000000002</v>
      </c>
      <c r="P2039">
        <v>0.60984579999999999</v>
      </c>
      <c r="Q2039">
        <v>7.0785570000000006E-2</v>
      </c>
      <c r="R2039">
        <v>-0.78935269999999902</v>
      </c>
      <c r="S2039">
        <v>2.8212280000000001</v>
      </c>
      <c r="T2039">
        <v>-0.2290924</v>
      </c>
      <c r="U2039">
        <v>-1.6653899999999999</v>
      </c>
      <c r="V2039">
        <v>-0.24655259999999901</v>
      </c>
      <c r="W2039">
        <v>7.9870250000000004E-2</v>
      </c>
      <c r="X2039">
        <v>0.96583259999999904</v>
      </c>
      <c r="Y2039">
        <v>-0.5849259</v>
      </c>
      <c r="Z2039">
        <v>7.2992290000000001E-2</v>
      </c>
      <c r="AA2039">
        <v>0.80779569999999901</v>
      </c>
      <c r="AB2039">
        <v>25</v>
      </c>
      <c r="AC2039">
        <v>12.684399999999901</v>
      </c>
      <c r="AD2039">
        <v>-1.0390436000000001</v>
      </c>
      <c r="AE2039">
        <v>-7.3246000000000002</v>
      </c>
      <c r="AF2039">
        <v>-8.6725887652567</v>
      </c>
      <c r="AG2039">
        <v>-1.0390436000000001</v>
      </c>
      <c r="AH2039">
        <v>11.7126828260572</v>
      </c>
      <c r="AI2039">
        <v>94.077971508527199</v>
      </c>
      <c r="AJ2039">
        <v>126.517885165525</v>
      </c>
      <c r="AK2039">
        <v>14.6109666510389</v>
      </c>
    </row>
    <row r="2040" spans="1:37" x14ac:dyDescent="0.2">
      <c r="A2040" t="str">
        <f>"20200111154104891"</f>
        <v>20200111154104891</v>
      </c>
      <c r="B2040" t="str">
        <f>"1578728464888511"</f>
        <v>1578728464888511</v>
      </c>
      <c r="C2040" t="s">
        <v>37</v>
      </c>
      <c r="D2040">
        <v>4.675611</v>
      </c>
      <c r="E2040">
        <v>0.32788629999999902</v>
      </c>
      <c r="F2040" t="s">
        <v>43</v>
      </c>
      <c r="G2040">
        <v>-479.88869999999997</v>
      </c>
      <c r="H2040">
        <v>7.4476199999999895E-2</v>
      </c>
      <c r="I2040">
        <v>222.81479999999999</v>
      </c>
      <c r="J2040">
        <v>-489.31529999999998</v>
      </c>
      <c r="K2040">
        <v>1.1190799999999901</v>
      </c>
      <c r="L2040">
        <v>227.64169999999999</v>
      </c>
      <c r="M2040">
        <v>0.40893499999999999</v>
      </c>
      <c r="N2040">
        <v>0</v>
      </c>
      <c r="O2040">
        <v>-0.91244760000000003</v>
      </c>
      <c r="P2040">
        <v>0.62051330000000005</v>
      </c>
      <c r="Q2040">
        <v>6.8364809999999998E-2</v>
      </c>
      <c r="R2040">
        <v>-0.78121049999999903</v>
      </c>
      <c r="S2040">
        <v>2.9430239999999999</v>
      </c>
      <c r="T2040">
        <v>-0.32249459999999902</v>
      </c>
      <c r="U2040">
        <v>-1.5557559999999999</v>
      </c>
      <c r="V2040">
        <v>-0.24837489999999901</v>
      </c>
      <c r="W2040">
        <v>7.7393610000000002E-2</v>
      </c>
      <c r="X2040">
        <v>0.96556730000000002</v>
      </c>
      <c r="Y2040">
        <v>-0.61081090000000005</v>
      </c>
      <c r="Z2040">
        <v>0.1015344</v>
      </c>
      <c r="AA2040">
        <v>0.78523940000000003</v>
      </c>
      <c r="AB2040">
        <v>25</v>
      </c>
      <c r="AC2040">
        <v>9.4266000000000005</v>
      </c>
      <c r="AD2040">
        <v>-1.0446038</v>
      </c>
      <c r="AE2040">
        <v>-4.8268999999999904</v>
      </c>
      <c r="AF2040">
        <v>-6.5642282183203298</v>
      </c>
      <c r="AG2040">
        <v>-1.0446038</v>
      </c>
      <c r="AH2040">
        <v>8.1804465231451502</v>
      </c>
      <c r="AI2040">
        <v>95.687621819730097</v>
      </c>
      <c r="AJ2040">
        <v>128.74457136301501</v>
      </c>
      <c r="AK2040">
        <v>10.5403982144511</v>
      </c>
    </row>
    <row r="2041" spans="1:37" x14ac:dyDescent="0.2">
      <c r="A2041" t="str">
        <f>"20200111154104913"</f>
        <v>20200111154104913</v>
      </c>
      <c r="B2041" t="str">
        <f>"1578728464908031"</f>
        <v>1578728464908031</v>
      </c>
      <c r="C2041" t="s">
        <v>37</v>
      </c>
      <c r="D2041">
        <v>4.6515050000000002</v>
      </c>
      <c r="E2041">
        <v>0.32938539999999999</v>
      </c>
      <c r="F2041" t="s">
        <v>43</v>
      </c>
      <c r="G2041">
        <v>-479.8886</v>
      </c>
      <c r="H2041">
        <v>7.1039480000000002E-2</v>
      </c>
      <c r="I2041">
        <v>222.76730000000001</v>
      </c>
      <c r="J2041">
        <v>-489.20519999999999</v>
      </c>
      <c r="K2041">
        <v>1.119116</v>
      </c>
      <c r="L2041">
        <v>227.42750000000001</v>
      </c>
      <c r="M2041">
        <v>0.41970619999999997</v>
      </c>
      <c r="N2041">
        <v>0</v>
      </c>
      <c r="O2041">
        <v>-0.907543199999999</v>
      </c>
      <c r="P2041">
        <v>0.63038709999999998</v>
      </c>
      <c r="Q2041">
        <v>6.7773920000000001E-2</v>
      </c>
      <c r="R2041">
        <v>-0.77331700000000003</v>
      </c>
      <c r="S2041">
        <v>2.950256</v>
      </c>
      <c r="T2041">
        <v>-0.32800289999999999</v>
      </c>
      <c r="U2041">
        <v>-1.5255129999999999</v>
      </c>
      <c r="V2041">
        <v>-0.24918699999999999</v>
      </c>
      <c r="W2041">
        <v>7.6772729999999997E-2</v>
      </c>
      <c r="X2041">
        <v>0.96540759999999903</v>
      </c>
      <c r="Y2041">
        <v>-0.60840989999999995</v>
      </c>
      <c r="Z2041">
        <v>0.10330259999999999</v>
      </c>
      <c r="AA2041">
        <v>0.78687099999999999</v>
      </c>
      <c r="AB2041">
        <v>25</v>
      </c>
      <c r="AC2041">
        <v>9.3165999999999904</v>
      </c>
      <c r="AD2041">
        <v>-1.04807652</v>
      </c>
      <c r="AE2041">
        <v>-4.6601999999999997</v>
      </c>
      <c r="AF2041">
        <v>-6.4348541540452597</v>
      </c>
      <c r="AG2041">
        <v>-1.04807652</v>
      </c>
      <c r="AH2041">
        <v>8.0588545118217798</v>
      </c>
      <c r="AI2041">
        <v>95.803009049089695</v>
      </c>
      <c r="AJ2041">
        <v>128.60675230724399</v>
      </c>
      <c r="AK2041">
        <v>10.3658549294459</v>
      </c>
    </row>
    <row r="2042" spans="1:37" x14ac:dyDescent="0.2">
      <c r="A2042" t="str">
        <f>"20200111154104936"</f>
        <v>20200111154104936</v>
      </c>
      <c r="B2042" t="str">
        <f>"1578728464928526"</f>
        <v>1578728464928526</v>
      </c>
      <c r="C2042" t="s">
        <v>37</v>
      </c>
      <c r="D2042">
        <v>4.6161849999999998</v>
      </c>
      <c r="E2042">
        <v>0.33060519999999999</v>
      </c>
      <c r="F2042" t="s">
        <v>43</v>
      </c>
      <c r="G2042">
        <v>-479.85359999999997</v>
      </c>
      <c r="H2042">
        <v>8.0000520000000006E-2</v>
      </c>
      <c r="I2042">
        <v>222.7045</v>
      </c>
      <c r="J2042">
        <v>-489.08710000000002</v>
      </c>
      <c r="K2042">
        <v>1.1191500000000001</v>
      </c>
      <c r="L2042">
        <v>227.2047</v>
      </c>
      <c r="M2042">
        <v>0.43099929999999997</v>
      </c>
      <c r="N2042">
        <v>0</v>
      </c>
      <c r="O2042">
        <v>-0.90223430000000004</v>
      </c>
      <c r="P2042">
        <v>0.63968700000000001</v>
      </c>
      <c r="Q2042">
        <v>6.8060700000000002E-2</v>
      </c>
      <c r="R2042">
        <v>-0.76561659999999998</v>
      </c>
      <c r="S2042">
        <v>2.9602970000000002</v>
      </c>
      <c r="T2042">
        <v>-0.32893729999999999</v>
      </c>
      <c r="U2042">
        <v>-1.49507099999999</v>
      </c>
      <c r="V2042">
        <v>-0.2488302</v>
      </c>
      <c r="W2042">
        <v>7.70594E-2</v>
      </c>
      <c r="X2042">
        <v>0.96547680000000002</v>
      </c>
      <c r="Y2042">
        <v>-0.60601519999999898</v>
      </c>
      <c r="Z2042">
        <v>0.10353319999999901</v>
      </c>
      <c r="AA2042">
        <v>0.78868649999999996</v>
      </c>
      <c r="AB2042">
        <v>25</v>
      </c>
      <c r="AC2042">
        <v>9.2335000000000491</v>
      </c>
      <c r="AD2042">
        <v>-1.0391494800000001</v>
      </c>
      <c r="AE2042">
        <v>-4.5002000000000004</v>
      </c>
      <c r="AF2042">
        <v>-6.3271229897470898</v>
      </c>
      <c r="AG2042">
        <v>-1.0391494800000001</v>
      </c>
      <c r="AH2042">
        <v>7.9592638776875999</v>
      </c>
      <c r="AI2042">
        <v>95.835420404132805</v>
      </c>
      <c r="AJ2042">
        <v>128.48253015503201</v>
      </c>
      <c r="AK2042">
        <v>10.2206750483435</v>
      </c>
    </row>
    <row r="2043" spans="1:37" x14ac:dyDescent="0.2">
      <c r="A2043" t="str">
        <f>"20200111154104958"</f>
        <v>20200111154104958</v>
      </c>
      <c r="B2043" t="str">
        <f>"1578728464949022"</f>
        <v>1578728464949022</v>
      </c>
      <c r="C2043" t="s">
        <v>37</v>
      </c>
      <c r="D2043">
        <v>4.6749199999999904</v>
      </c>
      <c r="E2043">
        <v>0.3319415</v>
      </c>
      <c r="F2043" t="s">
        <v>38</v>
      </c>
      <c r="G2043">
        <v>-488.20740000000001</v>
      </c>
      <c r="H2043">
        <v>1.022232</v>
      </c>
      <c r="I2043">
        <v>226.77090000000001</v>
      </c>
      <c r="J2043">
        <v>-488.96550000000002</v>
      </c>
      <c r="K2043">
        <v>1.1191789999999999</v>
      </c>
      <c r="L2043">
        <v>226.982</v>
      </c>
      <c r="M2043">
        <v>0.44236700000000001</v>
      </c>
      <c r="N2043">
        <v>0</v>
      </c>
      <c r="O2043">
        <v>-0.89671529999999999</v>
      </c>
      <c r="P2043">
        <v>0.64822309999999905</v>
      </c>
      <c r="Q2043">
        <v>6.8386509999999998E-2</v>
      </c>
      <c r="R2043">
        <v>-0.75837339999999998</v>
      </c>
      <c r="S2043">
        <v>2.9709779999999899</v>
      </c>
      <c r="T2043">
        <v>-0.32734289999999999</v>
      </c>
      <c r="U2043">
        <v>-1.465149</v>
      </c>
      <c r="V2043">
        <v>-0.24746879999999999</v>
      </c>
      <c r="W2043">
        <v>7.7412640000000005E-2</v>
      </c>
      <c r="X2043">
        <v>0.96579839999999995</v>
      </c>
      <c r="Y2043">
        <v>-0.60355119999999995</v>
      </c>
      <c r="Z2043">
        <v>0.1029157</v>
      </c>
      <c r="AA2043">
        <v>0.79065439999999998</v>
      </c>
      <c r="AB2043">
        <v>25</v>
      </c>
      <c r="AC2043">
        <v>0.75810000000001299</v>
      </c>
      <c r="AD2043">
        <v>-9.6947000000000103E-2</v>
      </c>
      <c r="AE2043">
        <v>-0.21109999999998699</v>
      </c>
      <c r="AF2043">
        <v>-0.57771084166840603</v>
      </c>
      <c r="AG2043">
        <v>-9.6947000000000103E-2</v>
      </c>
      <c r="AH2043">
        <v>0.51686651411881801</v>
      </c>
      <c r="AI2043">
        <v>97.128637637574897</v>
      </c>
      <c r="AJ2043">
        <v>138.181629133331</v>
      </c>
      <c r="AK2043">
        <v>0.781216699007104</v>
      </c>
    </row>
    <row r="2044" spans="1:37" x14ac:dyDescent="0.2">
      <c r="A2044" t="str">
        <f>"20200111154104981"</f>
        <v>20200111154104981</v>
      </c>
      <c r="B2044" t="str">
        <f>"1578728464978302"</f>
        <v>1578728464978302</v>
      </c>
      <c r="C2044" t="s">
        <v>37</v>
      </c>
      <c r="D2044">
        <v>4.6987680000000003</v>
      </c>
      <c r="E2044">
        <v>0.33330120000000002</v>
      </c>
      <c r="F2044" t="s">
        <v>38</v>
      </c>
      <c r="G2044">
        <v>-488.1148</v>
      </c>
      <c r="H2044">
        <v>1.0254799999999999</v>
      </c>
      <c r="I2044">
        <v>226.571</v>
      </c>
      <c r="J2044">
        <v>-488.84429999999998</v>
      </c>
      <c r="K2044">
        <v>1.1192040000000001</v>
      </c>
      <c r="L2044">
        <v>226.76679999999999</v>
      </c>
      <c r="M2044">
        <v>0.4534223</v>
      </c>
      <c r="N2044">
        <v>0</v>
      </c>
      <c r="O2044">
        <v>-0.89117599999999997</v>
      </c>
      <c r="P2044">
        <v>0.65618369999999904</v>
      </c>
      <c r="Q2044">
        <v>6.7846539999999997E-2</v>
      </c>
      <c r="R2044">
        <v>-0.75154509999999997</v>
      </c>
      <c r="S2044">
        <v>2.9794619999999998</v>
      </c>
      <c r="T2044">
        <v>-0.32800190000000001</v>
      </c>
      <c r="U2044">
        <v>-1.4387509999999999</v>
      </c>
      <c r="V2044">
        <v>-0.24567900000000001</v>
      </c>
      <c r="W2044">
        <v>7.6913449999999994E-2</v>
      </c>
      <c r="X2044">
        <v>0.96629509999999996</v>
      </c>
      <c r="Y2044">
        <v>-0.60025719999999905</v>
      </c>
      <c r="Z2044">
        <v>0.102964</v>
      </c>
      <c r="AA2044">
        <v>0.79315179999999996</v>
      </c>
      <c r="AB2044">
        <v>25</v>
      </c>
      <c r="AC2044">
        <v>0.72949999999997295</v>
      </c>
      <c r="AD2044">
        <v>-9.3724000000000099E-2</v>
      </c>
      <c r="AE2044">
        <v>-0.19579999999999101</v>
      </c>
      <c r="AF2044">
        <v>-0.55287998405150096</v>
      </c>
      <c r="AG2044">
        <v>-9.3724000000000099E-2</v>
      </c>
      <c r="AH2044">
        <v>0.49765532088821901</v>
      </c>
      <c r="AI2044">
        <v>97.181184424144206</v>
      </c>
      <c r="AJ2044">
        <v>138.00916145337001</v>
      </c>
      <c r="AK2044">
        <v>0.74974747972176903</v>
      </c>
    </row>
    <row r="2045" spans="1:37" x14ac:dyDescent="0.2">
      <c r="A2045" t="str">
        <f>"20200111154105002"</f>
        <v>20200111154105002</v>
      </c>
      <c r="B2045" t="str">
        <f>"1578728464997823"</f>
        <v>1578728464997823</v>
      </c>
      <c r="C2045" t="s">
        <v>37</v>
      </c>
      <c r="D2045">
        <v>4.6829320000000001</v>
      </c>
      <c r="E2045">
        <v>0.33247779999999999</v>
      </c>
      <c r="F2045" t="s">
        <v>38</v>
      </c>
      <c r="G2045">
        <v>-488.01690000000002</v>
      </c>
      <c r="H2045">
        <v>1.0270030000000001</v>
      </c>
      <c r="I2045">
        <v>226.37459999999999</v>
      </c>
      <c r="J2045">
        <v>-488.72629999999998</v>
      </c>
      <c r="K2045">
        <v>1.119213</v>
      </c>
      <c r="L2045">
        <v>226.5633</v>
      </c>
      <c r="M2045">
        <v>0.46392810000000001</v>
      </c>
      <c r="N2045">
        <v>0</v>
      </c>
      <c r="O2045">
        <v>-0.88575210000000004</v>
      </c>
      <c r="P2045">
        <v>0.66332360000000001</v>
      </c>
      <c r="Q2045">
        <v>6.6980499999999998E-2</v>
      </c>
      <c r="R2045">
        <v>-0.74532940000000003</v>
      </c>
      <c r="S2045">
        <v>2.9861149999999999</v>
      </c>
      <c r="T2045">
        <v>-0.33266970000000001</v>
      </c>
      <c r="U2045">
        <v>-1.414642</v>
      </c>
      <c r="V2045">
        <v>-0.2434183</v>
      </c>
      <c r="W2045">
        <v>7.6103779999999996E-2</v>
      </c>
      <c r="X2045">
        <v>0.96693109999999904</v>
      </c>
      <c r="Y2045">
        <v>-0.59658840000000002</v>
      </c>
      <c r="Z2045">
        <v>0.1042487</v>
      </c>
      <c r="AA2045">
        <v>0.79574769999999995</v>
      </c>
      <c r="AB2045">
        <v>25</v>
      </c>
      <c r="AC2045">
        <v>0.70939999999995895</v>
      </c>
      <c r="AD2045">
        <v>-9.2209999999999903E-2</v>
      </c>
      <c r="AE2045">
        <v>-0.188700000000011</v>
      </c>
      <c r="AF2045">
        <v>-0.53246532175914996</v>
      </c>
      <c r="AG2045">
        <v>-9.2209999999999903E-2</v>
      </c>
      <c r="AH2045">
        <v>0.48859549106651501</v>
      </c>
      <c r="AI2045">
        <v>97.271484887673097</v>
      </c>
      <c r="AJ2045">
        <v>137.460197435548</v>
      </c>
      <c r="AK2045">
        <v>0.72852423217529605</v>
      </c>
    </row>
    <row r="2046" spans="1:37" x14ac:dyDescent="0.2">
      <c r="A2046" t="str">
        <f>"20200111154105027"</f>
        <v>20200111154105027</v>
      </c>
      <c r="B2046" t="str">
        <f>"1578728465018318"</f>
        <v>1578728465018318</v>
      </c>
      <c r="C2046" t="s">
        <v>37</v>
      </c>
      <c r="D2046">
        <v>4.6668500000000002</v>
      </c>
      <c r="E2046">
        <v>0.37545309999999998</v>
      </c>
      <c r="F2046" t="s">
        <v>38</v>
      </c>
      <c r="G2046">
        <v>-487.9083</v>
      </c>
      <c r="H2046">
        <v>1.027056</v>
      </c>
      <c r="I2046">
        <v>226.1866</v>
      </c>
      <c r="J2046">
        <v>-488.58690000000001</v>
      </c>
      <c r="K2046">
        <v>1.1192150000000001</v>
      </c>
      <c r="L2046">
        <v>226.33</v>
      </c>
      <c r="M2046">
        <v>0.47601880000000002</v>
      </c>
      <c r="N2046">
        <v>0</v>
      </c>
      <c r="O2046">
        <v>-0.87931319999999902</v>
      </c>
      <c r="P2046">
        <v>0.67213089999999998</v>
      </c>
      <c r="Q2046">
        <v>6.6216869999999997E-2</v>
      </c>
      <c r="R2046">
        <v>-0.7374655</v>
      </c>
      <c r="S2046">
        <v>3.0036320000000001</v>
      </c>
      <c r="T2046">
        <v>-0.3382328</v>
      </c>
      <c r="U2046">
        <v>-1.3823239999999899</v>
      </c>
      <c r="V2046">
        <v>-0.241609299999999</v>
      </c>
      <c r="W2046">
        <v>7.5391040000000006E-2</v>
      </c>
      <c r="X2046">
        <v>0.96744050000000004</v>
      </c>
      <c r="Y2046">
        <v>-0.59430930000000004</v>
      </c>
      <c r="Z2046">
        <v>0.1055885</v>
      </c>
      <c r="AA2046">
        <v>0.79727510000000001</v>
      </c>
      <c r="AB2046">
        <v>25</v>
      </c>
      <c r="AC2046">
        <v>0.67860000000001697</v>
      </c>
      <c r="AD2046">
        <v>-9.2159000000000102E-2</v>
      </c>
      <c r="AE2046">
        <v>-0.14340000000001299</v>
      </c>
      <c r="AF2046">
        <v>-0.51932860138252301</v>
      </c>
      <c r="AG2046">
        <v>-9.2159000000000102E-2</v>
      </c>
      <c r="AH2046">
        <v>0.44137541209879</v>
      </c>
      <c r="AI2046">
        <v>97.700777943404105</v>
      </c>
      <c r="AJ2046">
        <v>139.63891585566199</v>
      </c>
      <c r="AK2046">
        <v>0.68775557569554102</v>
      </c>
    </row>
    <row r="2047" spans="1:37" x14ac:dyDescent="0.2">
      <c r="A2047" t="str">
        <f>"20200111154105048"</f>
        <v>20200111154105048</v>
      </c>
      <c r="B2047" t="str">
        <f>"1578728465037838"</f>
        <v>1578728465037838</v>
      </c>
      <c r="C2047" t="s">
        <v>37</v>
      </c>
      <c r="D2047">
        <v>4.7865159999999998</v>
      </c>
      <c r="E2047">
        <v>0.39312799999999998</v>
      </c>
      <c r="F2047" t="s">
        <v>38</v>
      </c>
      <c r="G2047">
        <v>-487.68439999999998</v>
      </c>
      <c r="H2047">
        <v>1.0100610000000001</v>
      </c>
      <c r="I2047">
        <v>225.8151</v>
      </c>
      <c r="J2047">
        <v>-488.46109999999999</v>
      </c>
      <c r="K2047">
        <v>1.119208</v>
      </c>
      <c r="L2047">
        <v>226.12569999999999</v>
      </c>
      <c r="M2047">
        <v>0.48663889999999999</v>
      </c>
      <c r="N2047">
        <v>0</v>
      </c>
      <c r="O2047">
        <v>-0.87348040000000005</v>
      </c>
      <c r="P2047">
        <v>0.68001369999999906</v>
      </c>
      <c r="Q2047">
        <v>6.5715099999999999E-2</v>
      </c>
      <c r="R2047">
        <v>-0.73024860000000003</v>
      </c>
      <c r="S2047">
        <v>2.7657470000000002</v>
      </c>
      <c r="T2047">
        <v>-0.33440759999999897</v>
      </c>
      <c r="U2047">
        <v>-1.5773010000000001</v>
      </c>
      <c r="V2047">
        <v>-0.2402436</v>
      </c>
      <c r="W2047">
        <v>7.4932209999999999E-2</v>
      </c>
      <c r="X2047">
        <v>0.96781620000000002</v>
      </c>
      <c r="Y2047">
        <v>-0.5123991</v>
      </c>
      <c r="Z2047">
        <v>0.10539320000000001</v>
      </c>
      <c r="AA2047">
        <v>0.85225550000000005</v>
      </c>
      <c r="AB2047">
        <v>25</v>
      </c>
      <c r="AC2047">
        <v>0.77670000000000505</v>
      </c>
      <c r="AD2047">
        <v>-0.10914699999999899</v>
      </c>
      <c r="AE2047">
        <v>-0.31059999999999299</v>
      </c>
      <c r="AF2047">
        <v>-0.51851105708881495</v>
      </c>
      <c r="AG2047">
        <v>-0.10914699999999899</v>
      </c>
      <c r="AH2047">
        <v>0.63847500973554205</v>
      </c>
      <c r="AI2047">
        <v>97.559084621151698</v>
      </c>
      <c r="AJ2047">
        <v>129.08034877539899</v>
      </c>
      <c r="AK2047">
        <v>0.82970905863993105</v>
      </c>
    </row>
    <row r="2048" spans="1:37" x14ac:dyDescent="0.2">
      <c r="A2048" t="str">
        <f>"20200111154105071"</f>
        <v>20200111154105071</v>
      </c>
      <c r="B2048" t="str">
        <f>"1578728465058334"</f>
        <v>1578728465058334</v>
      </c>
      <c r="C2048" t="s">
        <v>37</v>
      </c>
      <c r="D2048">
        <v>4.7548199999999996</v>
      </c>
      <c r="E2048">
        <v>0.3969163</v>
      </c>
      <c r="F2048" t="s">
        <v>38</v>
      </c>
      <c r="G2048">
        <v>-487.60469999999998</v>
      </c>
      <c r="H2048">
        <v>1.0070049999999999</v>
      </c>
      <c r="I2048">
        <v>225.6001</v>
      </c>
      <c r="J2048">
        <v>-488.3297</v>
      </c>
      <c r="K2048">
        <v>1.119194</v>
      </c>
      <c r="L2048">
        <v>225.91810000000001</v>
      </c>
      <c r="M2048">
        <v>0.4974459</v>
      </c>
      <c r="N2048">
        <v>0</v>
      </c>
      <c r="O2048">
        <v>-0.86737120000000001</v>
      </c>
      <c r="P2048">
        <v>0.68810709999999997</v>
      </c>
      <c r="Q2048">
        <v>6.5558870000000005E-2</v>
      </c>
      <c r="R2048">
        <v>-0.7226416</v>
      </c>
      <c r="S2048">
        <v>2.6796880000000001</v>
      </c>
      <c r="T2048">
        <v>-0.35106359999999998</v>
      </c>
      <c r="U2048">
        <v>-1.6444240000000001</v>
      </c>
      <c r="V2048">
        <v>-0.23899570000000001</v>
      </c>
      <c r="W2048">
        <v>7.4819040000000003E-2</v>
      </c>
      <c r="X2048">
        <v>0.96813389999999999</v>
      </c>
      <c r="Y2048">
        <v>-0.47334470000000001</v>
      </c>
      <c r="Z2048">
        <v>0.1103045</v>
      </c>
      <c r="AA2048">
        <v>0.87394369999999999</v>
      </c>
      <c r="AB2048">
        <v>25</v>
      </c>
      <c r="AC2048">
        <v>0.72500000000002196</v>
      </c>
      <c r="AD2048">
        <v>-0.112189</v>
      </c>
      <c r="AE2048">
        <v>-0.318000000000012</v>
      </c>
      <c r="AF2048">
        <v>-0.461440233726997</v>
      </c>
      <c r="AG2048">
        <v>-0.112189</v>
      </c>
      <c r="AH2048">
        <v>0.62400932662507103</v>
      </c>
      <c r="AI2048">
        <v>98.225515253771206</v>
      </c>
      <c r="AJ2048">
        <v>126.482055125367</v>
      </c>
      <c r="AK2048">
        <v>0.78415629866634395</v>
      </c>
    </row>
    <row r="2049" spans="1:37" x14ac:dyDescent="0.2">
      <c r="A2049" t="str">
        <f>"20200111154105093"</f>
        <v>20200111154105093</v>
      </c>
      <c r="B2049" t="str">
        <f>"1578728465088591"</f>
        <v>1578728465088591</v>
      </c>
      <c r="C2049" t="s">
        <v>37</v>
      </c>
      <c r="D2049">
        <v>4.7703800000000003</v>
      </c>
      <c r="E2049">
        <v>0.39946709999999902</v>
      </c>
      <c r="F2049" t="s">
        <v>38</v>
      </c>
      <c r="G2049">
        <v>-487.49669999999998</v>
      </c>
      <c r="H2049">
        <v>1.011307</v>
      </c>
      <c r="I2049">
        <v>225.40899999999999</v>
      </c>
      <c r="J2049">
        <v>-488.19670000000002</v>
      </c>
      <c r="K2049">
        <v>1.1191770000000001</v>
      </c>
      <c r="L2049">
        <v>225.71340000000001</v>
      </c>
      <c r="M2049">
        <v>0.50811269999999997</v>
      </c>
      <c r="N2049">
        <v>0</v>
      </c>
      <c r="O2049">
        <v>-0.86116589999999904</v>
      </c>
      <c r="P2049">
        <v>0.69642009999999999</v>
      </c>
      <c r="Q2049">
        <v>6.5617510000000004E-2</v>
      </c>
      <c r="R2049">
        <v>-0.71462840000000005</v>
      </c>
      <c r="S2049">
        <v>2.6761169999999899</v>
      </c>
      <c r="T2049">
        <v>-0.3464354</v>
      </c>
      <c r="U2049">
        <v>-1.6347049999999901</v>
      </c>
      <c r="V2049">
        <v>-0.23824619999999999</v>
      </c>
      <c r="W2049">
        <v>7.4909370000000003E-2</v>
      </c>
      <c r="X2049">
        <v>0.96831160000000005</v>
      </c>
      <c r="Y2049">
        <v>-0.46442689999999998</v>
      </c>
      <c r="Z2049">
        <v>0.1084594</v>
      </c>
      <c r="AA2049">
        <v>0.87894490000000003</v>
      </c>
      <c r="AB2049">
        <v>25</v>
      </c>
      <c r="AC2049">
        <v>0.70000000000004503</v>
      </c>
      <c r="AD2049">
        <v>-0.10786999999999999</v>
      </c>
      <c r="AE2049">
        <v>-0.30439999999998602</v>
      </c>
      <c r="AF2049">
        <v>-0.43941937954209398</v>
      </c>
      <c r="AG2049">
        <v>-0.10786999999999999</v>
      </c>
      <c r="AH2049">
        <v>0.60578635500682498</v>
      </c>
      <c r="AI2049">
        <v>98.202053885062597</v>
      </c>
      <c r="AJ2049">
        <v>125.956013136</v>
      </c>
      <c r="AK2049">
        <v>0.75611006866038699</v>
      </c>
    </row>
    <row r="2050" spans="1:37" x14ac:dyDescent="0.2">
      <c r="A2050" t="str">
        <f>"20200111154105115"</f>
        <v>20200111154105115</v>
      </c>
      <c r="B2050" t="str">
        <f>"1578728465108110"</f>
        <v>1578728465108110</v>
      </c>
      <c r="C2050" t="s">
        <v>37</v>
      </c>
      <c r="D2050">
        <v>4.8225829999999998</v>
      </c>
      <c r="E2050">
        <v>0.3999046</v>
      </c>
      <c r="F2050" t="s">
        <v>38</v>
      </c>
      <c r="G2050">
        <v>-487.38290000000001</v>
      </c>
      <c r="H2050">
        <v>1.0163789999999999</v>
      </c>
      <c r="I2050">
        <v>225.22239999999999</v>
      </c>
      <c r="J2050">
        <v>-488.05970000000002</v>
      </c>
      <c r="K2050">
        <v>1.1191519999999999</v>
      </c>
      <c r="L2050">
        <v>225.50839999999999</v>
      </c>
      <c r="M2050">
        <v>0.51880789999999999</v>
      </c>
      <c r="N2050">
        <v>0</v>
      </c>
      <c r="O2050">
        <v>-0.8547652</v>
      </c>
      <c r="P2050">
        <v>0.70445150000000001</v>
      </c>
      <c r="Q2050">
        <v>6.550251E-2</v>
      </c>
      <c r="R2050">
        <v>-0.70672330000000005</v>
      </c>
      <c r="S2050">
        <v>2.68026699999999</v>
      </c>
      <c r="T2050">
        <v>-0.33851929999999902</v>
      </c>
      <c r="U2050">
        <v>-1.617035</v>
      </c>
      <c r="V2050">
        <v>-0.23710589999999901</v>
      </c>
      <c r="W2050">
        <v>7.4836150000000004E-2</v>
      </c>
      <c r="X2050">
        <v>0.96859709999999999</v>
      </c>
      <c r="Y2050">
        <v>-0.458513</v>
      </c>
      <c r="Z2050">
        <v>0.105592699999999</v>
      </c>
      <c r="AA2050">
        <v>0.88239219999999896</v>
      </c>
      <c r="AB2050">
        <v>25</v>
      </c>
      <c r="AC2050">
        <v>0.67680000000001395</v>
      </c>
      <c r="AD2050">
        <v>-0.102773</v>
      </c>
      <c r="AE2050">
        <v>-0.28600000000000098</v>
      </c>
      <c r="AF2050">
        <v>-0.42191738833215597</v>
      </c>
      <c r="AG2050">
        <v>-0.102773</v>
      </c>
      <c r="AH2050">
        <v>0.58422559698323895</v>
      </c>
      <c r="AI2050">
        <v>98.116330804725806</v>
      </c>
      <c r="AJ2050">
        <v>125.836149853519</v>
      </c>
      <c r="AK2050">
        <v>0.72793964054477001</v>
      </c>
    </row>
    <row r="2051" spans="1:37" x14ac:dyDescent="0.2">
      <c r="A2051" t="str">
        <f>"20200111154105138"</f>
        <v>20200111154105138</v>
      </c>
      <c r="B2051" t="str">
        <f>"1578728465128606"</f>
        <v>1578728465128606</v>
      </c>
      <c r="C2051" t="s">
        <v>37</v>
      </c>
      <c r="D2051">
        <v>4.8013409999999999</v>
      </c>
      <c r="E2051">
        <v>0.40042830000000001</v>
      </c>
      <c r="F2051" t="s">
        <v>38</v>
      </c>
      <c r="G2051">
        <v>-487.2645</v>
      </c>
      <c r="H2051">
        <v>1.018945</v>
      </c>
      <c r="I2051">
        <v>225.03970000000001</v>
      </c>
      <c r="J2051">
        <v>-487.91860000000003</v>
      </c>
      <c r="K2051">
        <v>1.119127</v>
      </c>
      <c r="L2051">
        <v>225.30260000000001</v>
      </c>
      <c r="M2051">
        <v>0.52954489999999999</v>
      </c>
      <c r="N2051">
        <v>0</v>
      </c>
      <c r="O2051">
        <v>-0.84815529999999995</v>
      </c>
      <c r="P2051">
        <v>0.71276709999999999</v>
      </c>
      <c r="Q2051">
        <v>6.6000160000000002E-2</v>
      </c>
      <c r="R2051">
        <v>-0.69828889999999999</v>
      </c>
      <c r="S2051">
        <v>2.696259</v>
      </c>
      <c r="T2051">
        <v>-0.33969460000000001</v>
      </c>
      <c r="U2051">
        <v>-1.588867</v>
      </c>
      <c r="V2051">
        <v>-0.236387399999999</v>
      </c>
      <c r="W2051">
        <v>7.5364899999999901E-2</v>
      </c>
      <c r="X2051">
        <v>0.96873169999999897</v>
      </c>
      <c r="Y2051">
        <v>-0.45644489999999999</v>
      </c>
      <c r="Z2051">
        <v>0.1054803</v>
      </c>
      <c r="AA2051">
        <v>0.88347719999999896</v>
      </c>
      <c r="AB2051">
        <v>25</v>
      </c>
      <c r="AC2051">
        <v>0.65410000000002799</v>
      </c>
      <c r="AD2051">
        <v>-0.10018199999999999</v>
      </c>
      <c r="AE2051">
        <v>-0.26290000000000102</v>
      </c>
      <c r="AF2051">
        <v>-0.40737844155577002</v>
      </c>
      <c r="AG2051">
        <v>-0.10018199999999999</v>
      </c>
      <c r="AH2051">
        <v>0.55814448126642402</v>
      </c>
      <c r="AI2051">
        <v>98.249319089664993</v>
      </c>
      <c r="AJ2051">
        <v>126.124955090252</v>
      </c>
      <c r="AK2051">
        <v>0.69822552927873804</v>
      </c>
    </row>
    <row r="2052" spans="1:37" x14ac:dyDescent="0.2">
      <c r="A2052" t="str">
        <f>"20200111154105164"</f>
        <v>20200111154105164</v>
      </c>
      <c r="B2052" t="str">
        <f>"1578728465157886"</f>
        <v>1578728465157886</v>
      </c>
      <c r="C2052" t="s">
        <v>37</v>
      </c>
      <c r="D2052">
        <v>4.8355119999999996</v>
      </c>
      <c r="E2052">
        <v>0.4005841</v>
      </c>
      <c r="F2052" t="s">
        <v>38</v>
      </c>
      <c r="G2052">
        <v>-487.1234</v>
      </c>
      <c r="H2052">
        <v>1.020184</v>
      </c>
      <c r="I2052">
        <v>224.84520000000001</v>
      </c>
      <c r="J2052">
        <v>-487.75799999999998</v>
      </c>
      <c r="K2052">
        <v>1.1191009999999999</v>
      </c>
      <c r="L2052">
        <v>225.07480000000001</v>
      </c>
      <c r="M2052">
        <v>0.54143289999999999</v>
      </c>
      <c r="N2052">
        <v>0</v>
      </c>
      <c r="O2052">
        <v>-0.84061629999999998</v>
      </c>
      <c r="P2052">
        <v>0.72191749999999999</v>
      </c>
      <c r="Q2052">
        <v>6.6415520000000006E-2</v>
      </c>
      <c r="R2052">
        <v>-0.68878470000000003</v>
      </c>
      <c r="S2052">
        <v>2.712097</v>
      </c>
      <c r="T2052">
        <v>-0.33741009999999999</v>
      </c>
      <c r="U2052">
        <v>-1.5597529999999999</v>
      </c>
      <c r="V2052">
        <v>-0.2355537</v>
      </c>
      <c r="W2052">
        <v>7.5815160000000006E-2</v>
      </c>
      <c r="X2052">
        <v>0.96889959999999997</v>
      </c>
      <c r="Y2052">
        <v>-0.45339869999999999</v>
      </c>
      <c r="Z2052">
        <v>0.1042071</v>
      </c>
      <c r="AA2052">
        <v>0.88519509999999901</v>
      </c>
      <c r="AB2052">
        <v>25</v>
      </c>
      <c r="AC2052">
        <v>0.63460000000003403</v>
      </c>
      <c r="AD2052">
        <v>-9.8917000000000102E-2</v>
      </c>
      <c r="AE2052">
        <v>-0.229600000000004</v>
      </c>
      <c r="AF2052">
        <v>-0.40057993113592</v>
      </c>
      <c r="AG2052">
        <v>-9.8917000000000102E-2</v>
      </c>
      <c r="AH2052">
        <v>0.52536933589684698</v>
      </c>
      <c r="AI2052">
        <v>98.515274671117496</v>
      </c>
      <c r="AJ2052">
        <v>127.324542062605</v>
      </c>
      <c r="AK2052">
        <v>0.66802828773829104</v>
      </c>
    </row>
    <row r="2053" spans="1:37" x14ac:dyDescent="0.2">
      <c r="A2053" t="str">
        <f>"20200111154105182"</f>
        <v>20200111154105182</v>
      </c>
      <c r="B2053" t="str">
        <f>"1578728465178383"</f>
        <v>1578728465178383</v>
      </c>
      <c r="C2053" t="s">
        <v>37</v>
      </c>
      <c r="D2053">
        <v>4.8421900000000004</v>
      </c>
      <c r="E2053">
        <v>0.40073579999999998</v>
      </c>
      <c r="F2053" t="s">
        <v>38</v>
      </c>
      <c r="G2053">
        <v>-486.8374</v>
      </c>
      <c r="H2053">
        <v>1.0057430000000001</v>
      </c>
      <c r="I2053">
        <v>224.56099999999901</v>
      </c>
      <c r="J2053">
        <v>-487.6361</v>
      </c>
      <c r="K2053">
        <v>1.119084</v>
      </c>
      <c r="L2053">
        <v>224.9066</v>
      </c>
      <c r="M2053">
        <v>0.55021580000000003</v>
      </c>
      <c r="N2053">
        <v>0</v>
      </c>
      <c r="O2053">
        <v>-0.83489409999999897</v>
      </c>
      <c r="P2053">
        <v>0.72887999999999997</v>
      </c>
      <c r="Q2053">
        <v>6.6450629999999997E-2</v>
      </c>
      <c r="R2053">
        <v>-0.68140970000000001</v>
      </c>
      <c r="S2053">
        <v>2.731903</v>
      </c>
      <c r="T2053">
        <v>-0.33639479999999999</v>
      </c>
      <c r="U2053">
        <v>-1.5246280000000001</v>
      </c>
      <c r="V2053">
        <v>-0.235241899999999</v>
      </c>
      <c r="W2053">
        <v>7.5868420000000006E-2</v>
      </c>
      <c r="X2053">
        <v>0.96897119999999903</v>
      </c>
      <c r="Y2053">
        <v>-0.45552730000000002</v>
      </c>
      <c r="Z2053">
        <v>0.1035904</v>
      </c>
      <c r="AA2053">
        <v>0.88417409999999996</v>
      </c>
      <c r="AB2053">
        <v>25</v>
      </c>
      <c r="AC2053">
        <v>0.79869999999999597</v>
      </c>
      <c r="AD2053">
        <v>-0.113340999999999</v>
      </c>
      <c r="AE2053">
        <v>-0.345600000000018</v>
      </c>
      <c r="AF2053">
        <v>-0.46877519265749201</v>
      </c>
      <c r="AG2053">
        <v>-0.113340999999999</v>
      </c>
      <c r="AH2053">
        <v>0.71593135829451204</v>
      </c>
      <c r="AI2053">
        <v>97.544708110583599</v>
      </c>
      <c r="AJ2053">
        <v>123.215845969463</v>
      </c>
      <c r="AK2053">
        <v>0.86322307274625898</v>
      </c>
    </row>
    <row r="2054" spans="1:37" x14ac:dyDescent="0.2">
      <c r="A2054" t="str">
        <f>"20200111154105204"</f>
        <v>20200111154105204</v>
      </c>
      <c r="B2054" t="str">
        <f>"1578728465197902"</f>
        <v>1578728465197902</v>
      </c>
      <c r="C2054" t="s">
        <v>37</v>
      </c>
      <c r="D2054">
        <v>4.8348050000000002</v>
      </c>
      <c r="E2054">
        <v>0.40110459999999998</v>
      </c>
      <c r="F2054" t="s">
        <v>38</v>
      </c>
      <c r="G2054">
        <v>-486.80709999999999</v>
      </c>
      <c r="H2054">
        <v>1.0174449999999999</v>
      </c>
      <c r="I2054">
        <v>224.4546</v>
      </c>
      <c r="J2054">
        <v>-487.49090000000001</v>
      </c>
      <c r="K2054">
        <v>1.119057</v>
      </c>
      <c r="L2054">
        <v>224.71109999999999</v>
      </c>
      <c r="M2054">
        <v>0.56043480000000001</v>
      </c>
      <c r="N2054">
        <v>0</v>
      </c>
      <c r="O2054">
        <v>-0.8280689</v>
      </c>
      <c r="P2054">
        <v>0.73686649999999998</v>
      </c>
      <c r="Q2054">
        <v>6.6373459999999995E-2</v>
      </c>
      <c r="R2054">
        <v>-0.67277219999999904</v>
      </c>
      <c r="S2054">
        <v>2.7464599999999999</v>
      </c>
      <c r="T2054">
        <v>-0.33671240000000002</v>
      </c>
      <c r="U2054">
        <v>-1.4976039999999999</v>
      </c>
      <c r="V2054">
        <v>-0.23475209999999999</v>
      </c>
      <c r="W2054">
        <v>7.5815160000000006E-2</v>
      </c>
      <c r="X2054">
        <v>0.96909419999999902</v>
      </c>
      <c r="Y2054">
        <v>-0.4533005</v>
      </c>
      <c r="Z2054">
        <v>0.10315439999999999</v>
      </c>
      <c r="AA2054">
        <v>0.88536879999999996</v>
      </c>
      <c r="AB2054">
        <v>25</v>
      </c>
      <c r="AC2054">
        <v>0.68380000000001895</v>
      </c>
      <c r="AD2054">
        <v>-0.10161199999999899</v>
      </c>
      <c r="AE2054">
        <v>-0.25649999999998802</v>
      </c>
      <c r="AF2054">
        <v>-0.41450345068045003</v>
      </c>
      <c r="AG2054">
        <v>-0.10161199999999899</v>
      </c>
      <c r="AH2054">
        <v>0.58437666107403696</v>
      </c>
      <c r="AI2054">
        <v>98.072188589858001</v>
      </c>
      <c r="AJ2054">
        <v>125.348409572519</v>
      </c>
      <c r="AK2054">
        <v>0.72362572589567298</v>
      </c>
    </row>
    <row r="2055" spans="1:37" x14ac:dyDescent="0.2">
      <c r="A2055" t="str">
        <f>"20200111154105227"</f>
        <v>20200111154105227</v>
      </c>
      <c r="B2055" t="str">
        <f>"1578728465218398"</f>
        <v>1578728465218398</v>
      </c>
      <c r="C2055" t="s">
        <v>37</v>
      </c>
      <c r="D2055">
        <v>4.8123480000000001</v>
      </c>
      <c r="E2055">
        <v>0.40134940000000002</v>
      </c>
      <c r="F2055" t="s">
        <v>38</v>
      </c>
      <c r="G2055">
        <v>-486.57199999999898</v>
      </c>
      <c r="H2055">
        <v>1.006793</v>
      </c>
      <c r="I2055">
        <v>224.22290000000001</v>
      </c>
      <c r="J2055">
        <v>-487.34010000000001</v>
      </c>
      <c r="K2055">
        <v>1.119035</v>
      </c>
      <c r="L2055">
        <v>224.51320000000001</v>
      </c>
      <c r="M2055">
        <v>0.57077829999999996</v>
      </c>
      <c r="N2055">
        <v>0</v>
      </c>
      <c r="O2055">
        <v>-0.82097359999999897</v>
      </c>
      <c r="P2055">
        <v>0.74508629999999998</v>
      </c>
      <c r="Q2055">
        <v>6.6357280000000005E-2</v>
      </c>
      <c r="R2055">
        <v>-0.66365929999999995</v>
      </c>
      <c r="S2055">
        <v>2.7620239999999998</v>
      </c>
      <c r="T2055">
        <v>-0.33743790000000001</v>
      </c>
      <c r="U2055">
        <v>-1.4673</v>
      </c>
      <c r="V2055">
        <v>-0.23450949999999901</v>
      </c>
      <c r="W2055">
        <v>7.581707E-2</v>
      </c>
      <c r="X2055">
        <v>0.96915269999999998</v>
      </c>
      <c r="Y2055">
        <v>-0.45178559999999901</v>
      </c>
      <c r="Z2055">
        <v>0.102849499999999</v>
      </c>
      <c r="AA2055">
        <v>0.88617819999999903</v>
      </c>
      <c r="AB2055">
        <v>25</v>
      </c>
      <c r="AC2055">
        <v>0.76810000000005996</v>
      </c>
      <c r="AD2055">
        <v>-0.112241999999999</v>
      </c>
      <c r="AE2055">
        <v>-0.290300000000002</v>
      </c>
      <c r="AF2055">
        <v>-0.45641472141300798</v>
      </c>
      <c r="AG2055">
        <v>-0.112241999999999</v>
      </c>
      <c r="AH2055">
        <v>0.66440181084064098</v>
      </c>
      <c r="AI2055">
        <v>97.927262031639003</v>
      </c>
      <c r="AJ2055">
        <v>124.487347309057</v>
      </c>
      <c r="AK2055">
        <v>0.81384423001876505</v>
      </c>
    </row>
    <row r="2056" spans="1:37" x14ac:dyDescent="0.2">
      <c r="A2056" t="str">
        <f>"20200111154105250"</f>
        <v>20200111154105250</v>
      </c>
      <c r="B2056" t="str">
        <f>"1578728465237917"</f>
        <v>1578728465237917</v>
      </c>
      <c r="C2056" t="s">
        <v>37</v>
      </c>
      <c r="D2056">
        <v>4.9332190000000002</v>
      </c>
      <c r="E2056">
        <v>0.40169779999999999</v>
      </c>
      <c r="F2056" t="s">
        <v>38</v>
      </c>
      <c r="G2056">
        <v>-486.4425</v>
      </c>
      <c r="H2056">
        <v>1.0096620000000001</v>
      </c>
      <c r="I2056">
        <v>224.0498</v>
      </c>
      <c r="J2056">
        <v>-487.1884</v>
      </c>
      <c r="K2056">
        <v>1.1190089999999999</v>
      </c>
      <c r="L2056">
        <v>224.3193</v>
      </c>
      <c r="M2056">
        <v>0.58092319999999997</v>
      </c>
      <c r="N2056">
        <v>0</v>
      </c>
      <c r="O2056">
        <v>-0.81382639999999995</v>
      </c>
      <c r="P2056">
        <v>0.75311459999999997</v>
      </c>
      <c r="Q2056">
        <v>6.5681799999999999E-2</v>
      </c>
      <c r="R2056">
        <v>-0.65460249999999998</v>
      </c>
      <c r="S2056">
        <v>2.77887</v>
      </c>
      <c r="T2056">
        <v>-0.33858070000000001</v>
      </c>
      <c r="U2056">
        <v>-1.4344479999999999</v>
      </c>
      <c r="V2056">
        <v>-0.2342282</v>
      </c>
      <c r="W2056">
        <v>7.5160439999999995E-2</v>
      </c>
      <c r="X2056">
        <v>0.96927189999999996</v>
      </c>
      <c r="Y2056">
        <v>-0.45118589999999997</v>
      </c>
      <c r="Z2056">
        <v>0.10267799999999901</v>
      </c>
      <c r="AA2056">
        <v>0.8865035</v>
      </c>
      <c r="AB2056">
        <v>25</v>
      </c>
      <c r="AC2056">
        <v>0.745900000000006</v>
      </c>
      <c r="AD2056">
        <v>-0.109346999999999</v>
      </c>
      <c r="AE2056">
        <v>-0.26949999999999302</v>
      </c>
      <c r="AF2056">
        <v>-0.44211836270632299</v>
      </c>
      <c r="AG2056">
        <v>-0.109346999999999</v>
      </c>
      <c r="AH2056">
        <v>0.64053092614737706</v>
      </c>
      <c r="AI2056">
        <v>97.997421534903097</v>
      </c>
      <c r="AJ2056">
        <v>124.614887039046</v>
      </c>
      <c r="AK2056">
        <v>0.78594228821354095</v>
      </c>
    </row>
    <row r="2057" spans="1:37" x14ac:dyDescent="0.2">
      <c r="A2057" t="str">
        <f>"20200111154105273"</f>
        <v>20200111154105273</v>
      </c>
      <c r="B2057" t="str">
        <f>"1578728465268174"</f>
        <v>1578728465268174</v>
      </c>
      <c r="C2057" t="s">
        <v>37</v>
      </c>
      <c r="D2057">
        <v>4.8832440000000004</v>
      </c>
      <c r="E2057">
        <v>0.40244239999999998</v>
      </c>
      <c r="F2057" t="s">
        <v>38</v>
      </c>
      <c r="G2057">
        <v>-486.3109</v>
      </c>
      <c r="H2057">
        <v>1.0118039999999999</v>
      </c>
      <c r="I2057">
        <v>223.87860000000001</v>
      </c>
      <c r="J2057">
        <v>-487.0326</v>
      </c>
      <c r="K2057">
        <v>1.1189799999999901</v>
      </c>
      <c r="L2057">
        <v>224.125</v>
      </c>
      <c r="M2057">
        <v>0.59108709999999998</v>
      </c>
      <c r="N2057">
        <v>0</v>
      </c>
      <c r="O2057">
        <v>-0.80647460000000004</v>
      </c>
      <c r="P2057">
        <v>0.7609591</v>
      </c>
      <c r="Q2057">
        <v>6.4836870000000005E-2</v>
      </c>
      <c r="R2057">
        <v>-0.64555209999999996</v>
      </c>
      <c r="S2057">
        <v>2.7940369999999999</v>
      </c>
      <c r="T2057">
        <v>-0.34130729999999998</v>
      </c>
      <c r="U2057">
        <v>-1.4026639999999999</v>
      </c>
      <c r="V2057">
        <v>-0.2336926</v>
      </c>
      <c r="W2057">
        <v>7.434019E-2</v>
      </c>
      <c r="X2057">
        <v>0.9694644</v>
      </c>
      <c r="Y2057">
        <v>-0.4499322</v>
      </c>
      <c r="Z2057">
        <v>0.1029482</v>
      </c>
      <c r="AA2057">
        <v>0.88710919999999904</v>
      </c>
      <c r="AB2057">
        <v>25</v>
      </c>
      <c r="AC2057">
        <v>0.72169999999999801</v>
      </c>
      <c r="AD2057">
        <v>-0.10717599999999899</v>
      </c>
      <c r="AE2057">
        <v>-0.24639999999999401</v>
      </c>
      <c r="AF2057">
        <v>-0.42798247511911303</v>
      </c>
      <c r="AG2057">
        <v>-0.10717599999999899</v>
      </c>
      <c r="AH2057">
        <v>0.613257371176119</v>
      </c>
      <c r="AI2057">
        <v>98.155837134364504</v>
      </c>
      <c r="AJ2057">
        <v>124.910569570959</v>
      </c>
      <c r="AK2057">
        <v>0.75547355829765905</v>
      </c>
    </row>
    <row r="2058" spans="1:37" x14ac:dyDescent="0.2">
      <c r="A2058" t="str">
        <f>"20200111154105305"</f>
        <v>20200111154105305</v>
      </c>
      <c r="B2058" t="str">
        <f>"1578728465298430"</f>
        <v>1578728465298430</v>
      </c>
      <c r="C2058" t="s">
        <v>37</v>
      </c>
      <c r="D2058">
        <v>4.6150760000000002</v>
      </c>
      <c r="E2058">
        <v>0.4033197</v>
      </c>
      <c r="F2058" t="s">
        <v>38</v>
      </c>
      <c r="G2058">
        <v>-486.17919999999998</v>
      </c>
      <c r="H2058">
        <v>1.013693</v>
      </c>
      <c r="I2058">
        <v>223.70699999999999</v>
      </c>
      <c r="J2058">
        <v>-486.80759999999998</v>
      </c>
      <c r="K2058">
        <v>1.11894</v>
      </c>
      <c r="L2058">
        <v>223.85290000000001</v>
      </c>
      <c r="M2058">
        <v>0.60533040000000005</v>
      </c>
      <c r="N2058">
        <v>0</v>
      </c>
      <c r="O2058">
        <v>-0.79583979999999999</v>
      </c>
      <c r="P2058">
        <v>0.77224409999999999</v>
      </c>
      <c r="Q2058">
        <v>6.4512769999999997E-2</v>
      </c>
      <c r="R2058">
        <v>-0.63204249999999995</v>
      </c>
      <c r="S2058">
        <v>2.8064269999999998</v>
      </c>
      <c r="T2058">
        <v>-0.34616029999999998</v>
      </c>
      <c r="U2058">
        <v>-1.37381</v>
      </c>
      <c r="V2058">
        <v>-0.23355090000000001</v>
      </c>
      <c r="W2058">
        <v>7.4033950000000001E-2</v>
      </c>
      <c r="X2058">
        <v>0.969521999999999</v>
      </c>
      <c r="Y2058">
        <v>-0.44287159999999898</v>
      </c>
      <c r="Z2058">
        <v>0.103383399999999</v>
      </c>
      <c r="AA2058">
        <v>0.89060459999999997</v>
      </c>
      <c r="AB2058">
        <v>25</v>
      </c>
      <c r="AC2058">
        <v>0.62839999999999896</v>
      </c>
      <c r="AD2058">
        <v>-0.10524699999999999</v>
      </c>
      <c r="AE2058">
        <v>-0.14590000000001099</v>
      </c>
      <c r="AF2058">
        <v>-0.40115492021586702</v>
      </c>
      <c r="AG2058">
        <v>-0.10524699999999999</v>
      </c>
      <c r="AH2058">
        <v>0.48368206200090202</v>
      </c>
      <c r="AI2058">
        <v>99.508038159675195</v>
      </c>
      <c r="AJ2058">
        <v>129.671541473639</v>
      </c>
      <c r="AK2058">
        <v>0.63714247866850304</v>
      </c>
    </row>
    <row r="2059" spans="1:37" x14ac:dyDescent="0.2">
      <c r="A2059" t="str">
        <f>"20200111154105327"</f>
        <v>20200111154105327</v>
      </c>
      <c r="B2059" t="str">
        <f>"1578728465317951"</f>
        <v>1578728465317951</v>
      </c>
      <c r="C2059" t="s">
        <v>37</v>
      </c>
      <c r="D2059">
        <v>4.8876980000000003</v>
      </c>
      <c r="E2059">
        <v>0.40381139999999999</v>
      </c>
      <c r="F2059" t="s">
        <v>38</v>
      </c>
      <c r="G2059">
        <v>-485.87299999999999</v>
      </c>
      <c r="H2059">
        <v>1.003147</v>
      </c>
      <c r="I2059">
        <v>223.4128</v>
      </c>
      <c r="J2059">
        <v>-486.64870000000002</v>
      </c>
      <c r="K2059">
        <v>1.118916</v>
      </c>
      <c r="L2059">
        <v>223.66669999999999</v>
      </c>
      <c r="M2059">
        <v>0.61509019999999903</v>
      </c>
      <c r="N2059">
        <v>0</v>
      </c>
      <c r="O2059">
        <v>-0.788321099999999</v>
      </c>
      <c r="P2059">
        <v>0.77974679999999996</v>
      </c>
      <c r="Q2059">
        <v>6.4244780000000001E-2</v>
      </c>
      <c r="R2059">
        <v>-0.62279069999999903</v>
      </c>
      <c r="S2059">
        <v>2.825806</v>
      </c>
      <c r="T2059">
        <v>-0.34995199999999999</v>
      </c>
      <c r="U2059">
        <v>-1.32959</v>
      </c>
      <c r="V2059">
        <v>-0.2331715</v>
      </c>
      <c r="W2059">
        <v>7.3785240000000002E-2</v>
      </c>
      <c r="X2059">
        <v>0.9696323</v>
      </c>
      <c r="Y2059">
        <v>-0.44548850000000001</v>
      </c>
      <c r="Z2059">
        <v>0.1040876</v>
      </c>
      <c r="AA2059">
        <v>0.88921640000000002</v>
      </c>
      <c r="AB2059">
        <v>25</v>
      </c>
      <c r="AC2059">
        <v>0.77569999999997197</v>
      </c>
      <c r="AD2059">
        <v>-0.115769</v>
      </c>
      <c r="AE2059">
        <v>-0.25389999999998702</v>
      </c>
      <c r="AF2059">
        <v>-0.44639713385068303</v>
      </c>
      <c r="AG2059">
        <v>-0.115769</v>
      </c>
      <c r="AH2059">
        <v>0.66399406831116403</v>
      </c>
      <c r="AI2059">
        <v>98.233177477440904</v>
      </c>
      <c r="AJ2059">
        <v>123.912579244398</v>
      </c>
      <c r="AK2059">
        <v>0.80843118768607403</v>
      </c>
    </row>
    <row r="2060" spans="1:37" x14ac:dyDescent="0.2">
      <c r="A2060" t="str">
        <f>"20200111154105351"</f>
        <v>20200111154105351</v>
      </c>
      <c r="B2060" t="str">
        <f>"1578728465338446"</f>
        <v>1578728465338446</v>
      </c>
      <c r="C2060" t="s">
        <v>37</v>
      </c>
      <c r="D2060">
        <v>4.8744249999999996</v>
      </c>
      <c r="E2060">
        <v>0.40406350000000002</v>
      </c>
      <c r="F2060" t="s">
        <v>38</v>
      </c>
      <c r="G2060">
        <v>-485.73439999999999</v>
      </c>
      <c r="H2060">
        <v>1.0050429999999999</v>
      </c>
      <c r="I2060">
        <v>223.24850000000001</v>
      </c>
      <c r="J2060">
        <v>-486.48410000000001</v>
      </c>
      <c r="K2060">
        <v>1.1188940000000001</v>
      </c>
      <c r="L2060">
        <v>223.4785</v>
      </c>
      <c r="M2060">
        <v>0.62495769999999995</v>
      </c>
      <c r="N2060">
        <v>0</v>
      </c>
      <c r="O2060">
        <v>-0.78052129999999997</v>
      </c>
      <c r="P2060">
        <v>0.78750919999999902</v>
      </c>
      <c r="Q2060">
        <v>6.4082529999999999E-2</v>
      </c>
      <c r="R2060">
        <v>-0.61296189999999995</v>
      </c>
      <c r="S2060">
        <v>2.83898899999999</v>
      </c>
      <c r="T2060">
        <v>-0.35367690000000002</v>
      </c>
      <c r="U2060">
        <v>-1.2989649999999999</v>
      </c>
      <c r="V2060">
        <v>-0.23313809999999999</v>
      </c>
      <c r="W2060">
        <v>7.3632610000000001E-2</v>
      </c>
      <c r="X2060">
        <v>0.96965190000000001</v>
      </c>
      <c r="Y2060">
        <v>-0.44364929999999902</v>
      </c>
      <c r="Z2060">
        <v>0.10452690000000001</v>
      </c>
      <c r="AA2060">
        <v>0.89008399999999999</v>
      </c>
      <c r="AB2060">
        <v>25</v>
      </c>
      <c r="AC2060">
        <v>0.74970000000001802</v>
      </c>
      <c r="AD2060">
        <v>-0.11385099999999899</v>
      </c>
      <c r="AE2060">
        <v>-0.22999999999998899</v>
      </c>
      <c r="AF2060">
        <v>-0.43235068845476399</v>
      </c>
      <c r="AG2060">
        <v>-0.11385099999999899</v>
      </c>
      <c r="AH2060">
        <v>0.63474095400596797</v>
      </c>
      <c r="AI2060">
        <v>98.432319951502194</v>
      </c>
      <c r="AJ2060">
        <v>124.260542309839</v>
      </c>
      <c r="AK2060">
        <v>0.77639245662275402</v>
      </c>
    </row>
    <row r="2061" spans="1:37" x14ac:dyDescent="0.2">
      <c r="A2061" t="str">
        <f>"20200111154105372"</f>
        <v>20200111154105372</v>
      </c>
      <c r="B2061" t="str">
        <f>"1578728465368703"</f>
        <v>1578728465368703</v>
      </c>
      <c r="C2061" t="s">
        <v>37</v>
      </c>
      <c r="D2061">
        <v>4.8537589999999904</v>
      </c>
      <c r="E2061">
        <v>0.40464040000000001</v>
      </c>
      <c r="F2061" t="s">
        <v>38</v>
      </c>
      <c r="G2061">
        <v>-485.59519999999998</v>
      </c>
      <c r="H2061">
        <v>1.008435</v>
      </c>
      <c r="I2061">
        <v>223.08439999999999</v>
      </c>
      <c r="J2061">
        <v>-486.32249999999999</v>
      </c>
      <c r="K2061">
        <v>1.1188799999999901</v>
      </c>
      <c r="L2061">
        <v>223.29830000000001</v>
      </c>
      <c r="M2061">
        <v>0.63441619999999999</v>
      </c>
      <c r="N2061">
        <v>0</v>
      </c>
      <c r="O2061">
        <v>-0.77285340000000002</v>
      </c>
      <c r="P2061">
        <v>0.79462060000000001</v>
      </c>
      <c r="Q2061">
        <v>6.4180059999999997E-2</v>
      </c>
      <c r="R2061">
        <v>-0.60370469999999998</v>
      </c>
      <c r="S2061">
        <v>2.8538509999999899</v>
      </c>
      <c r="T2061">
        <v>-0.35451300000000002</v>
      </c>
      <c r="U2061">
        <v>-1.2647709999999901</v>
      </c>
      <c r="V2061">
        <v>-0.23266899999999999</v>
      </c>
      <c r="W2061">
        <v>7.3749590000000004E-2</v>
      </c>
      <c r="X2061">
        <v>0.969755699999999</v>
      </c>
      <c r="Y2061">
        <v>-0.44339319999999999</v>
      </c>
      <c r="Z2061">
        <v>0.1041653</v>
      </c>
      <c r="AA2061">
        <v>0.89025390000000004</v>
      </c>
      <c r="AB2061">
        <v>25</v>
      </c>
      <c r="AC2061">
        <v>0.72730000000001305</v>
      </c>
      <c r="AD2061">
        <v>-0.110444999999999</v>
      </c>
      <c r="AE2061">
        <v>-0.21390000000002299</v>
      </c>
      <c r="AF2061">
        <v>-0.41757736178822202</v>
      </c>
      <c r="AG2061">
        <v>-0.110444999999999</v>
      </c>
      <c r="AH2061">
        <v>0.61376439637564495</v>
      </c>
      <c r="AI2061">
        <v>98.462297214211603</v>
      </c>
      <c r="AJ2061">
        <v>124.22958843685799</v>
      </c>
      <c r="AK2061">
        <v>0.750516945419204</v>
      </c>
    </row>
    <row r="2062" spans="1:37" x14ac:dyDescent="0.2">
      <c r="A2062" t="str">
        <f>"20200111154105394"</f>
        <v>20200111154105394</v>
      </c>
      <c r="B2062" t="str">
        <f>"1578728465388222"</f>
        <v>1578728465388222</v>
      </c>
      <c r="C2062" t="s">
        <v>37</v>
      </c>
      <c r="D2062">
        <v>4.8653420000000001</v>
      </c>
      <c r="E2062">
        <v>0.40498579999999901</v>
      </c>
      <c r="F2062" t="s">
        <v>38</v>
      </c>
      <c r="G2062">
        <v>-485.45209999999997</v>
      </c>
      <c r="H2062">
        <v>1.0103219999999999</v>
      </c>
      <c r="I2062">
        <v>222.923</v>
      </c>
      <c r="J2062">
        <v>-486.16300000000001</v>
      </c>
      <c r="K2062">
        <v>1.1188629999999999</v>
      </c>
      <c r="L2062">
        <v>223.12469999999999</v>
      </c>
      <c r="M2062">
        <v>0.64353329999999997</v>
      </c>
      <c r="N2062">
        <v>0</v>
      </c>
      <c r="O2062">
        <v>-0.76527849999999997</v>
      </c>
      <c r="P2062">
        <v>0.8016065</v>
      </c>
      <c r="Q2062">
        <v>6.4731579999999997E-2</v>
      </c>
      <c r="R2062">
        <v>-0.59433780000000003</v>
      </c>
      <c r="S2062">
        <v>2.8654790000000001</v>
      </c>
      <c r="T2062">
        <v>-0.35740189999999999</v>
      </c>
      <c r="U2062">
        <v>-1.235641</v>
      </c>
      <c r="V2062">
        <v>-0.2325266</v>
      </c>
      <c r="W2062">
        <v>7.4312139999999999E-2</v>
      </c>
      <c r="X2062">
        <v>0.96974689999999997</v>
      </c>
      <c r="Y2062">
        <v>-0.4416679</v>
      </c>
      <c r="Z2062">
        <v>0.1043497</v>
      </c>
      <c r="AA2062">
        <v>0.89108960000000004</v>
      </c>
      <c r="AB2062">
        <v>25</v>
      </c>
      <c r="AC2062">
        <v>0.71090000000003695</v>
      </c>
      <c r="AD2062">
        <v>-0.108541</v>
      </c>
      <c r="AE2062">
        <v>-0.201699999999988</v>
      </c>
      <c r="AF2062">
        <v>-0.40553085925425097</v>
      </c>
      <c r="AG2062">
        <v>-0.108541</v>
      </c>
      <c r="AH2062">
        <v>0.59898688852692294</v>
      </c>
      <c r="AI2062">
        <v>98.533705056739706</v>
      </c>
      <c r="AJ2062">
        <v>124.09909797913799</v>
      </c>
      <c r="AK2062">
        <v>0.73145178864752003</v>
      </c>
    </row>
    <row r="2063" spans="1:37" x14ac:dyDescent="0.2">
      <c r="A2063" t="str">
        <f>"20200111154105417"</f>
        <v>20200111154105417</v>
      </c>
      <c r="B2063" t="str">
        <f>"1578728465408719"</f>
        <v>1578728465408719</v>
      </c>
      <c r="C2063" t="s">
        <v>37</v>
      </c>
      <c r="D2063">
        <v>4.8523230000000002</v>
      </c>
      <c r="E2063">
        <v>0.40531070000000002</v>
      </c>
      <c r="F2063" t="s">
        <v>38</v>
      </c>
      <c r="G2063">
        <v>-485.2826</v>
      </c>
      <c r="H2063">
        <v>1.009039</v>
      </c>
      <c r="I2063">
        <v>222.75599999999901</v>
      </c>
      <c r="J2063">
        <v>-485.98910000000001</v>
      </c>
      <c r="K2063">
        <v>1.118841</v>
      </c>
      <c r="L2063">
        <v>222.9401</v>
      </c>
      <c r="M2063">
        <v>0.65322819999999904</v>
      </c>
      <c r="N2063">
        <v>0</v>
      </c>
      <c r="O2063">
        <v>-0.75701980000000002</v>
      </c>
      <c r="P2063">
        <v>0.80884160000000005</v>
      </c>
      <c r="Q2063">
        <v>6.5164769999999997E-2</v>
      </c>
      <c r="R2063">
        <v>-0.58440479999999995</v>
      </c>
      <c r="S2063">
        <v>2.8781129999999999</v>
      </c>
      <c r="T2063">
        <v>-0.3589022</v>
      </c>
      <c r="U2063">
        <v>-1.2048490000000001</v>
      </c>
      <c r="V2063">
        <v>-0.23211399999999999</v>
      </c>
      <c r="W2063">
        <v>7.4764339999999999E-2</v>
      </c>
      <c r="X2063">
        <v>0.96981099999999998</v>
      </c>
      <c r="Y2063">
        <v>-0.43976080000000001</v>
      </c>
      <c r="Z2063">
        <v>0.10403119999999901</v>
      </c>
      <c r="AA2063">
        <v>0.89206949999999996</v>
      </c>
      <c r="AB2063">
        <v>25</v>
      </c>
      <c r="AC2063">
        <v>0.70650000000000501</v>
      </c>
      <c r="AD2063">
        <v>-0.109801999999999</v>
      </c>
      <c r="AE2063">
        <v>-0.18410000000002899</v>
      </c>
      <c r="AF2063">
        <v>-0.40544886679685499</v>
      </c>
      <c r="AG2063">
        <v>-0.109801999999999</v>
      </c>
      <c r="AH2063">
        <v>0.58764566277197094</v>
      </c>
      <c r="AI2063">
        <v>98.743374670806404</v>
      </c>
      <c r="AJ2063">
        <v>124.603915833342</v>
      </c>
      <c r="AK2063">
        <v>0.72233834715150202</v>
      </c>
    </row>
    <row r="2064" spans="1:37" x14ac:dyDescent="0.2">
      <c r="A2064" t="str">
        <f>"20200111154105440"</f>
        <v>20200111154105440</v>
      </c>
      <c r="B2064" t="str">
        <f>"1578728465429215"</f>
        <v>1578728465429215</v>
      </c>
      <c r="C2064" t="s">
        <v>37</v>
      </c>
      <c r="D2064">
        <v>4.8697229999999996</v>
      </c>
      <c r="E2064">
        <v>0.40567359999999902</v>
      </c>
      <c r="F2064" t="s">
        <v>38</v>
      </c>
      <c r="G2064">
        <v>-485.08550000000002</v>
      </c>
      <c r="H2064">
        <v>1.0063949999999999</v>
      </c>
      <c r="I2064">
        <v>222.57400000000001</v>
      </c>
      <c r="J2064">
        <v>-485.81709999999998</v>
      </c>
      <c r="K2064">
        <v>1.118811</v>
      </c>
      <c r="L2064">
        <v>222.76169999999999</v>
      </c>
      <c r="M2064">
        <v>0.66258879999999998</v>
      </c>
      <c r="N2064">
        <v>0</v>
      </c>
      <c r="O2064">
        <v>-0.74884090000000003</v>
      </c>
      <c r="P2064">
        <v>0.81561340000000004</v>
      </c>
      <c r="Q2064">
        <v>6.5734390000000004E-2</v>
      </c>
      <c r="R2064">
        <v>-0.574851</v>
      </c>
      <c r="S2064">
        <v>2.8916629999999999</v>
      </c>
      <c r="T2064">
        <v>-0.35978769999999999</v>
      </c>
      <c r="U2064">
        <v>-1.1713260000000001</v>
      </c>
      <c r="V2064">
        <v>-0.2314349</v>
      </c>
      <c r="W2064">
        <v>7.53611E-2</v>
      </c>
      <c r="X2064">
        <v>0.96992710000000004</v>
      </c>
      <c r="Y2064">
        <v>-0.43896849999999998</v>
      </c>
      <c r="Z2064">
        <v>0.10357280000000001</v>
      </c>
      <c r="AA2064">
        <v>0.89251290000000005</v>
      </c>
      <c r="AB2064">
        <v>25</v>
      </c>
      <c r="AC2064">
        <v>0.73159999999995695</v>
      </c>
      <c r="AD2064">
        <v>-0.112415999999999</v>
      </c>
      <c r="AE2064">
        <v>-0.187699999999978</v>
      </c>
      <c r="AF2064">
        <v>-0.41435036164754702</v>
      </c>
      <c r="AG2064">
        <v>-0.112415999999999</v>
      </c>
      <c r="AH2064">
        <v>0.61182074592922797</v>
      </c>
      <c r="AI2064">
        <v>98.650330395529593</v>
      </c>
      <c r="AJ2064">
        <v>124.10748496891</v>
      </c>
      <c r="AK2064">
        <v>0.747427725203481</v>
      </c>
    </row>
    <row r="2065" spans="1:37" x14ac:dyDescent="0.2">
      <c r="A2065" t="str">
        <f>"20200111154105464"</f>
        <v>20200111154105464</v>
      </c>
      <c r="B2065" t="str">
        <f>"1578728465458494"</f>
        <v>1578728465458494</v>
      </c>
      <c r="C2065" t="s">
        <v>37</v>
      </c>
      <c r="D2065">
        <v>4.8358679999999996</v>
      </c>
      <c r="E2065">
        <v>0.4061689</v>
      </c>
      <c r="F2065" t="s">
        <v>43</v>
      </c>
      <c r="G2065">
        <v>-476.82659999999998</v>
      </c>
      <c r="H2065" s="1">
        <v>3.1328260000000002E-6</v>
      </c>
      <c r="I2065">
        <v>219.23099999999999</v>
      </c>
      <c r="J2065">
        <v>-485.6465</v>
      </c>
      <c r="K2065">
        <v>1.1187769999999999</v>
      </c>
      <c r="L2065">
        <v>222.58920000000001</v>
      </c>
      <c r="M2065">
        <v>0.67162749999999904</v>
      </c>
      <c r="N2065">
        <v>0</v>
      </c>
      <c r="O2065">
        <v>-0.74074490000000004</v>
      </c>
      <c r="P2065">
        <v>0.82288519999999898</v>
      </c>
      <c r="Q2065">
        <v>6.6242259999999997E-2</v>
      </c>
      <c r="R2065">
        <v>-0.56433319999999998</v>
      </c>
      <c r="S2065">
        <v>2.9036249999999999</v>
      </c>
      <c r="T2065">
        <v>-0.36133920000000003</v>
      </c>
      <c r="U2065">
        <v>-1.1403350000000001</v>
      </c>
      <c r="V2065">
        <v>-0.23208860000000001</v>
      </c>
      <c r="W2065">
        <v>7.5868409999999997E-2</v>
      </c>
      <c r="X2065">
        <v>0.96973129999999996</v>
      </c>
      <c r="Y2065">
        <v>-0.43758019999999997</v>
      </c>
      <c r="Z2065">
        <v>0.1032767</v>
      </c>
      <c r="AA2065">
        <v>0.89322869999999999</v>
      </c>
      <c r="AB2065">
        <v>25</v>
      </c>
      <c r="AC2065">
        <v>8.8199000000000094</v>
      </c>
      <c r="AD2065">
        <v>-1.118773867174</v>
      </c>
      <c r="AE2065">
        <v>-3.3582000000000098</v>
      </c>
      <c r="AF2065">
        <v>-4.2190044543852201</v>
      </c>
      <c r="AG2065">
        <v>-1.118773867174</v>
      </c>
      <c r="AH2065">
        <v>8.2955789909175799</v>
      </c>
      <c r="AI2065">
        <v>96.854651257401599</v>
      </c>
      <c r="AJ2065">
        <v>116.957191592757</v>
      </c>
      <c r="AK2065">
        <v>9.3738084227568308</v>
      </c>
    </row>
    <row r="2066" spans="1:37" x14ac:dyDescent="0.2">
      <c r="A2066" t="str">
        <f>"20200111154105483"</f>
        <v>20200111154105483</v>
      </c>
      <c r="B2066" t="str">
        <f>"1578728465478015"</f>
        <v>1578728465478015</v>
      </c>
      <c r="C2066" t="s">
        <v>37</v>
      </c>
      <c r="D2066">
        <v>4.8545590000000001</v>
      </c>
      <c r="E2066">
        <v>0.4063155</v>
      </c>
      <c r="F2066" t="s">
        <v>38</v>
      </c>
      <c r="G2066">
        <v>-484.66590000000002</v>
      </c>
      <c r="H2066">
        <v>0.99620180000000003</v>
      </c>
      <c r="I2066">
        <v>222.2167</v>
      </c>
      <c r="J2066">
        <v>-485.48989999999998</v>
      </c>
      <c r="K2066">
        <v>1.118733</v>
      </c>
      <c r="L2066">
        <v>222.43459999999999</v>
      </c>
      <c r="M2066">
        <v>0.67970989999999998</v>
      </c>
      <c r="N2066">
        <v>0</v>
      </c>
      <c r="O2066">
        <v>-0.73333570000000003</v>
      </c>
      <c r="P2066">
        <v>0.82950219999999897</v>
      </c>
      <c r="Q2066">
        <v>6.707159E-2</v>
      </c>
      <c r="R2066">
        <v>-0.55446139999999999</v>
      </c>
      <c r="S2066">
        <v>2.915619</v>
      </c>
      <c r="T2066">
        <v>-0.36440070000000002</v>
      </c>
      <c r="U2066">
        <v>-1.107361</v>
      </c>
      <c r="V2066">
        <v>-0.2330004</v>
      </c>
      <c r="W2066">
        <v>7.6693319999999995E-2</v>
      </c>
      <c r="X2066">
        <v>0.96944769999999902</v>
      </c>
      <c r="Y2066">
        <v>-0.4377122</v>
      </c>
      <c r="Z2066">
        <v>0.10353229999999999</v>
      </c>
      <c r="AA2066">
        <v>0.89313439999999999</v>
      </c>
      <c r="AB2066">
        <v>25</v>
      </c>
      <c r="AC2066">
        <v>0.82399999999995499</v>
      </c>
      <c r="AD2066">
        <v>-0.12253119999999899</v>
      </c>
      <c r="AE2066">
        <v>-0.21789999999998599</v>
      </c>
      <c r="AF2066">
        <v>-0.44697078391128398</v>
      </c>
      <c r="AG2066">
        <v>-0.12253119999999899</v>
      </c>
      <c r="AH2066">
        <v>0.70537339275708699</v>
      </c>
      <c r="AI2066">
        <v>98.347580152377503</v>
      </c>
      <c r="AJ2066">
        <v>122.361024802937</v>
      </c>
      <c r="AK2066">
        <v>0.84400734585271997</v>
      </c>
    </row>
    <row r="2067" spans="1:37" x14ac:dyDescent="0.2">
      <c r="A2067" t="str">
        <f>"20200111154105507"</f>
        <v>20200111154105507</v>
      </c>
      <c r="B2067" t="str">
        <f>"1578728465498510"</f>
        <v>1578728465498510</v>
      </c>
      <c r="C2067" t="s">
        <v>37</v>
      </c>
      <c r="D2067">
        <v>4.8869400000000001</v>
      </c>
      <c r="E2067">
        <v>0.40647649999999902</v>
      </c>
      <c r="F2067" t="s">
        <v>38</v>
      </c>
      <c r="G2067">
        <v>-484.50889999999998</v>
      </c>
      <c r="H2067">
        <v>0.99630830000000004</v>
      </c>
      <c r="I2067">
        <v>222.0746</v>
      </c>
      <c r="J2067">
        <v>-485.30610000000001</v>
      </c>
      <c r="K2067">
        <v>1.118676</v>
      </c>
      <c r="L2067">
        <v>222.25749999999999</v>
      </c>
      <c r="M2067">
        <v>0.68893470000000001</v>
      </c>
      <c r="N2067">
        <v>0</v>
      </c>
      <c r="O2067">
        <v>-0.72467649999999995</v>
      </c>
      <c r="P2067">
        <v>0.83681479999999997</v>
      </c>
      <c r="Q2067">
        <v>6.6801600000000003E-2</v>
      </c>
      <c r="R2067">
        <v>-0.54339550000000003</v>
      </c>
      <c r="S2067">
        <v>2.9278869999999899</v>
      </c>
      <c r="T2067">
        <v>-0.36541370000000001</v>
      </c>
      <c r="U2067">
        <v>-1.074554</v>
      </c>
      <c r="V2067">
        <v>-0.23360879999999901</v>
      </c>
      <c r="W2067">
        <v>7.6431349999999995E-2</v>
      </c>
      <c r="X2067">
        <v>0.96932199999999902</v>
      </c>
      <c r="Y2067">
        <v>-0.43640459999999898</v>
      </c>
      <c r="Z2067">
        <v>0.1029982</v>
      </c>
      <c r="AA2067">
        <v>0.89383579999999996</v>
      </c>
      <c r="AB2067">
        <v>25</v>
      </c>
      <c r="AC2067">
        <v>0.79720000000003199</v>
      </c>
      <c r="AD2067">
        <v>-0.122367699999999</v>
      </c>
      <c r="AE2067">
        <v>-0.18289999999998899</v>
      </c>
      <c r="AF2067">
        <v>-0.44186376974946201</v>
      </c>
      <c r="AG2067">
        <v>-0.122367699999999</v>
      </c>
      <c r="AH2067">
        <v>0.66690722348965403</v>
      </c>
      <c r="AI2067">
        <v>98.696476624477796</v>
      </c>
      <c r="AJ2067">
        <v>123.526726182228</v>
      </c>
      <c r="AK2067">
        <v>0.80931000844125001</v>
      </c>
    </row>
    <row r="2068" spans="1:37" x14ac:dyDescent="0.2">
      <c r="A2068" t="str">
        <f>"20200111154105530"</f>
        <v>20200111154105530</v>
      </c>
      <c r="B2068" t="str">
        <f>"1578728465518031"</f>
        <v>1578728465518031</v>
      </c>
      <c r="C2068" t="s">
        <v>37</v>
      </c>
      <c r="D2068">
        <v>4.879524</v>
      </c>
      <c r="E2068">
        <v>0.406705599999999</v>
      </c>
      <c r="F2068" t="s">
        <v>38</v>
      </c>
      <c r="G2068">
        <v>-484.35829999999999</v>
      </c>
      <c r="H2068">
        <v>0.99974769999999902</v>
      </c>
      <c r="I2068">
        <v>221.9229</v>
      </c>
      <c r="J2068">
        <v>-485.1241</v>
      </c>
      <c r="K2068">
        <v>1.1186069999999999</v>
      </c>
      <c r="L2068">
        <v>222.08619999999999</v>
      </c>
      <c r="M2068">
        <v>0.69781899999999997</v>
      </c>
      <c r="N2068">
        <v>0</v>
      </c>
      <c r="O2068">
        <v>-0.71612580000000003</v>
      </c>
      <c r="P2068">
        <v>0.84378719999999996</v>
      </c>
      <c r="Q2068">
        <v>6.5541989999999994E-2</v>
      </c>
      <c r="R2068">
        <v>-0.53266069999999999</v>
      </c>
      <c r="S2068">
        <v>2.941071</v>
      </c>
      <c r="T2068">
        <v>-0.36883129999999997</v>
      </c>
      <c r="U2068">
        <v>-1.037048</v>
      </c>
      <c r="V2068">
        <v>-0.234073799999999</v>
      </c>
      <c r="W2068">
        <v>7.5185160000000001E-2</v>
      </c>
      <c r="X2068">
        <v>0.96930729999999998</v>
      </c>
      <c r="Y2068">
        <v>-0.436646599999999</v>
      </c>
      <c r="Z2068">
        <v>0.103213</v>
      </c>
      <c r="AA2068">
        <v>0.89369279999999995</v>
      </c>
      <c r="AB2068">
        <v>25</v>
      </c>
      <c r="AC2068">
        <v>0.76580000000001203</v>
      </c>
      <c r="AD2068">
        <v>-0.1188593</v>
      </c>
      <c r="AE2068">
        <v>-0.16329999999999201</v>
      </c>
      <c r="AF2068">
        <v>-0.42471510308150201</v>
      </c>
      <c r="AG2068">
        <v>-0.1188593</v>
      </c>
      <c r="AH2068">
        <v>0.63673068803337296</v>
      </c>
      <c r="AI2068">
        <v>98.827192280168404</v>
      </c>
      <c r="AJ2068">
        <v>123.704267470723</v>
      </c>
      <c r="AK2068">
        <v>0.77455562812846002</v>
      </c>
    </row>
    <row r="2069" spans="1:37" x14ac:dyDescent="0.2">
      <c r="A2069" t="str">
        <f>"20200111154105553"</f>
        <v>20200111154105553</v>
      </c>
      <c r="B2069" t="str">
        <f>"1578728465548286"</f>
        <v>1578728465548286</v>
      </c>
      <c r="C2069" t="s">
        <v>37</v>
      </c>
      <c r="D2069">
        <v>4.854692</v>
      </c>
      <c r="E2069">
        <v>0.40702369999999999</v>
      </c>
      <c r="F2069" t="s">
        <v>38</v>
      </c>
      <c r="G2069">
        <v>-484.2047</v>
      </c>
      <c r="H2069">
        <v>1.0021229999999901</v>
      </c>
      <c r="I2069">
        <v>221.7748</v>
      </c>
      <c r="J2069">
        <v>-484.95060000000001</v>
      </c>
      <c r="K2069">
        <v>1.11853799999999</v>
      </c>
      <c r="L2069">
        <v>221.92670000000001</v>
      </c>
      <c r="M2069">
        <v>0.70604460000000002</v>
      </c>
      <c r="N2069">
        <v>0</v>
      </c>
      <c r="O2069">
        <v>-0.70801769999999997</v>
      </c>
      <c r="P2069">
        <v>0.85021449999999998</v>
      </c>
      <c r="Q2069">
        <v>6.3939190000000007E-2</v>
      </c>
      <c r="R2069">
        <v>-0.52253909999999903</v>
      </c>
      <c r="S2069">
        <v>2.953033</v>
      </c>
      <c r="T2069">
        <v>-0.37409249999999999</v>
      </c>
      <c r="U2069">
        <v>-1.0001530000000001</v>
      </c>
      <c r="V2069">
        <v>-0.2345052</v>
      </c>
      <c r="W2069">
        <v>7.3597889999999999E-2</v>
      </c>
      <c r="X2069">
        <v>0.96932489999999905</v>
      </c>
      <c r="Y2069">
        <v>-0.43723829999999902</v>
      </c>
      <c r="Z2069">
        <v>0.1039885</v>
      </c>
      <c r="AA2069">
        <v>0.89331349999999998</v>
      </c>
      <c r="AB2069">
        <v>25</v>
      </c>
      <c r="AC2069">
        <v>0.745900000000006</v>
      </c>
      <c r="AD2069">
        <v>-0.11641499999999901</v>
      </c>
      <c r="AE2069">
        <v>-0.151900000000011</v>
      </c>
      <c r="AF2069">
        <v>-0.41128729566701899</v>
      </c>
      <c r="AG2069">
        <v>-0.11641499999999901</v>
      </c>
      <c r="AH2069">
        <v>0.61975833493700305</v>
      </c>
      <c r="AI2069">
        <v>98.89526381057</v>
      </c>
      <c r="AJ2069">
        <v>123.569257353404</v>
      </c>
      <c r="AK2069">
        <v>0.75286790708993401</v>
      </c>
    </row>
    <row r="2070" spans="1:37" x14ac:dyDescent="0.2">
      <c r="A2070" t="str">
        <f>"20200111154105574"</f>
        <v>20200111154105574</v>
      </c>
      <c r="B2070" t="str">
        <f>"1578728465568782"</f>
        <v>1578728465568782</v>
      </c>
      <c r="C2070" t="s">
        <v>37</v>
      </c>
      <c r="D2070">
        <v>4.6318019999999898</v>
      </c>
      <c r="E2070">
        <v>0.37685180000000001</v>
      </c>
      <c r="F2070" t="s">
        <v>38</v>
      </c>
      <c r="G2070">
        <v>-484.04169999999999</v>
      </c>
      <c r="H2070">
        <v>1.0011159999999999</v>
      </c>
      <c r="I2070">
        <v>221.63</v>
      </c>
      <c r="J2070">
        <v>-484.77350000000001</v>
      </c>
      <c r="K2070">
        <v>1.1184609999999999</v>
      </c>
      <c r="L2070">
        <v>221.76740000000001</v>
      </c>
      <c r="M2070">
        <v>0.71420220000000001</v>
      </c>
      <c r="N2070">
        <v>0</v>
      </c>
      <c r="O2070">
        <v>-0.69978830000000003</v>
      </c>
      <c r="P2070">
        <v>0.85639349999999903</v>
      </c>
      <c r="Q2070">
        <v>6.3239980000000001E-2</v>
      </c>
      <c r="R2070">
        <v>-0.51243629999999996</v>
      </c>
      <c r="S2070">
        <v>2.963104</v>
      </c>
      <c r="T2070">
        <v>-0.38270539999999997</v>
      </c>
      <c r="U2070">
        <v>-0.96678159999999902</v>
      </c>
      <c r="V2070">
        <v>-0.23475860000000001</v>
      </c>
      <c r="W2070">
        <v>7.2920209999999999E-2</v>
      </c>
      <c r="X2070">
        <v>0.96931480000000003</v>
      </c>
      <c r="Y2070">
        <v>-0.43655090000000002</v>
      </c>
      <c r="Z2070">
        <v>0.10558679999999999</v>
      </c>
      <c r="AA2070">
        <v>0.89346219999999998</v>
      </c>
      <c r="AB2070">
        <v>25</v>
      </c>
      <c r="AC2070">
        <v>0.73180000000002099</v>
      </c>
      <c r="AD2070">
        <v>-0.117345</v>
      </c>
      <c r="AE2070">
        <v>-0.13740000000001301</v>
      </c>
      <c r="AF2070">
        <v>-0.40398376976855799</v>
      </c>
      <c r="AG2070">
        <v>-0.117345</v>
      </c>
      <c r="AH2070">
        <v>0.60387123280743205</v>
      </c>
      <c r="AI2070">
        <v>99.174705792460202</v>
      </c>
      <c r="AJ2070">
        <v>123.782123755851</v>
      </c>
      <c r="AK2070">
        <v>0.73595733644946004</v>
      </c>
    </row>
    <row r="2071" spans="1:37" x14ac:dyDescent="0.2">
      <c r="A2071" t="str">
        <f>"20200111154105597"</f>
        <v>20200111154105597</v>
      </c>
      <c r="B2071" t="str">
        <f>"1578728465588302"</f>
        <v>1578728465588302</v>
      </c>
      <c r="C2071" t="s">
        <v>37</v>
      </c>
      <c r="D2071">
        <v>4.760459</v>
      </c>
      <c r="E2071">
        <v>0.33626279999999997</v>
      </c>
      <c r="F2071" t="s">
        <v>38</v>
      </c>
      <c r="G2071">
        <v>-483.85079999999999</v>
      </c>
      <c r="H2071">
        <v>0.99557659999999903</v>
      </c>
      <c r="I2071">
        <v>221.55109999999999</v>
      </c>
      <c r="J2071">
        <v>-484.59100000000001</v>
      </c>
      <c r="K2071">
        <v>1.1183809999999901</v>
      </c>
      <c r="L2071">
        <v>221.607</v>
      </c>
      <c r="M2071">
        <v>0.72235329999999998</v>
      </c>
      <c r="N2071">
        <v>0</v>
      </c>
      <c r="O2071">
        <v>-0.69137150000000003</v>
      </c>
      <c r="P2071">
        <v>0.86218729999999999</v>
      </c>
      <c r="Q2071">
        <v>6.3847870000000001E-2</v>
      </c>
      <c r="R2071">
        <v>-0.50254969999999999</v>
      </c>
      <c r="S2071">
        <v>3.098846</v>
      </c>
      <c r="T2071">
        <v>-0.41274339999999998</v>
      </c>
      <c r="U2071">
        <v>-0.72642519999999999</v>
      </c>
      <c r="V2071">
        <v>-0.2345169</v>
      </c>
      <c r="W2071">
        <v>7.3562699999999995E-2</v>
      </c>
      <c r="X2071">
        <v>0.96932469999999904</v>
      </c>
      <c r="Y2071">
        <v>-0.49963789999999902</v>
      </c>
      <c r="Z2071">
        <v>0.1141802</v>
      </c>
      <c r="AA2071">
        <v>0.85867629999999995</v>
      </c>
      <c r="AB2071">
        <v>25</v>
      </c>
      <c r="AC2071">
        <v>0.74020000000001496</v>
      </c>
      <c r="AD2071">
        <v>-0.12280439999999899</v>
      </c>
      <c r="AE2071">
        <v>-5.59000000000082E-2</v>
      </c>
      <c r="AF2071">
        <v>-0.458864715861031</v>
      </c>
      <c r="AG2071">
        <v>-0.12280439999999899</v>
      </c>
      <c r="AH2071">
        <v>0.55811893287228298</v>
      </c>
      <c r="AI2071">
        <v>99.646028581737198</v>
      </c>
      <c r="AJ2071">
        <v>129.42577637816601</v>
      </c>
      <c r="AK2071">
        <v>0.73289459770971199</v>
      </c>
    </row>
    <row r="2072" spans="1:37" x14ac:dyDescent="0.2">
      <c r="A2072" t="str">
        <f>"20200111154105618"</f>
        <v>20200111154105618</v>
      </c>
      <c r="B2072" t="str">
        <f>"1578728465608798"</f>
        <v>1578728465608798</v>
      </c>
      <c r="C2072" t="s">
        <v>37</v>
      </c>
      <c r="D2072">
        <v>4.648174</v>
      </c>
      <c r="E2072">
        <v>0.33806449999999999</v>
      </c>
      <c r="F2072" t="s">
        <v>38</v>
      </c>
      <c r="G2072">
        <v>-483.64499999999998</v>
      </c>
      <c r="H2072">
        <v>0.99036460000000004</v>
      </c>
      <c r="I2072">
        <v>221.48769999999999</v>
      </c>
      <c r="J2072">
        <v>-484.41390000000001</v>
      </c>
      <c r="K2072">
        <v>1.118296</v>
      </c>
      <c r="L2072">
        <v>221.4547</v>
      </c>
      <c r="M2072">
        <v>0.73002939999999905</v>
      </c>
      <c r="N2072">
        <v>0</v>
      </c>
      <c r="O2072">
        <v>-0.68326189999999998</v>
      </c>
      <c r="P2072">
        <v>0.86754179999999903</v>
      </c>
      <c r="Q2072">
        <v>6.3711199999999996E-2</v>
      </c>
      <c r="R2072">
        <v>-0.49326700000000001</v>
      </c>
      <c r="S2072">
        <v>3.27200299999999</v>
      </c>
      <c r="T2072">
        <v>-0.44267519999999999</v>
      </c>
      <c r="U2072">
        <v>-0.41227720000000001</v>
      </c>
      <c r="V2072">
        <v>-0.234084499999999</v>
      </c>
      <c r="W2072">
        <v>7.3464260000000003E-2</v>
      </c>
      <c r="X2072">
        <v>0.96943659999999998</v>
      </c>
      <c r="Y2072">
        <v>-0.57658669999999901</v>
      </c>
      <c r="Z2072">
        <v>0.12224160000000001</v>
      </c>
      <c r="AA2072">
        <v>0.80783959999999999</v>
      </c>
      <c r="AB2072">
        <v>25</v>
      </c>
      <c r="AC2072">
        <v>0.76890000000003</v>
      </c>
      <c r="AD2072">
        <v>-0.127931399999999</v>
      </c>
      <c r="AE2072">
        <v>3.2999999999986998E-2</v>
      </c>
      <c r="AF2072">
        <v>-0.53473297099138195</v>
      </c>
      <c r="AG2072">
        <v>-0.127931399999999</v>
      </c>
      <c r="AH2072">
        <v>0.52433994803448403</v>
      </c>
      <c r="AI2072">
        <v>99.693847821322194</v>
      </c>
      <c r="AJ2072">
        <v>135.56224385231201</v>
      </c>
      <c r="AK2072">
        <v>0.75976191960115802</v>
      </c>
    </row>
    <row r="2073" spans="1:37" x14ac:dyDescent="0.2">
      <c r="A2073" t="str">
        <f>"20200111154105641"</f>
        <v>20200111154105641</v>
      </c>
      <c r="B2073" t="str">
        <f>"1578728465638078"</f>
        <v>1578728465638078</v>
      </c>
      <c r="C2073" t="s">
        <v>37</v>
      </c>
      <c r="D2073">
        <v>4.596768</v>
      </c>
      <c r="E2073">
        <v>0.34059640000000002</v>
      </c>
      <c r="F2073" t="s">
        <v>38</v>
      </c>
      <c r="G2073">
        <v>-483.48849999999999</v>
      </c>
      <c r="H2073">
        <v>0.99249940000000003</v>
      </c>
      <c r="I2073">
        <v>221.34460000000001</v>
      </c>
      <c r="J2073">
        <v>-484.22379999999998</v>
      </c>
      <c r="K2073">
        <v>1.1182049999999999</v>
      </c>
      <c r="L2073">
        <v>221.29480000000001</v>
      </c>
      <c r="M2073">
        <v>0.73801890000000003</v>
      </c>
      <c r="N2073">
        <v>0</v>
      </c>
      <c r="O2073">
        <v>-0.67462460000000002</v>
      </c>
      <c r="P2073">
        <v>0.87329559999999995</v>
      </c>
      <c r="Q2073">
        <v>6.4379270000000002E-2</v>
      </c>
      <c r="R2073">
        <v>-0.48291859999999998</v>
      </c>
      <c r="S2073">
        <v>3.2693789999999998</v>
      </c>
      <c r="T2073">
        <v>-0.44448599999999999</v>
      </c>
      <c r="U2073">
        <v>-0.38923649999999999</v>
      </c>
      <c r="V2073">
        <v>-0.23416489999999901</v>
      </c>
      <c r="W2073">
        <v>7.4159959999999997E-2</v>
      </c>
      <c r="X2073">
        <v>0.96936429999999996</v>
      </c>
      <c r="Y2073">
        <v>-0.57253030000000005</v>
      </c>
      <c r="Z2073">
        <v>0.121851099999999</v>
      </c>
      <c r="AA2073">
        <v>0.81077819999999901</v>
      </c>
      <c r="AB2073">
        <v>24</v>
      </c>
      <c r="AC2073">
        <v>0.73529999999999496</v>
      </c>
      <c r="AD2073">
        <v>-0.125705599999999</v>
      </c>
      <c r="AE2073">
        <v>4.9800000000004702E-2</v>
      </c>
      <c r="AF2073">
        <v>-0.51779630829017098</v>
      </c>
      <c r="AG2073">
        <v>-0.125705599999999</v>
      </c>
      <c r="AH2073">
        <v>0.49472910157678202</v>
      </c>
      <c r="AI2073">
        <v>99.955699774638305</v>
      </c>
      <c r="AJ2073">
        <v>136.30507836779</v>
      </c>
      <c r="AK2073">
        <v>0.72709820430067096</v>
      </c>
    </row>
    <row r="2074" spans="1:37" x14ac:dyDescent="0.2">
      <c r="A2074" t="str">
        <f>"20200111154105664"</f>
        <v>20200111154105664</v>
      </c>
      <c r="B2074" t="str">
        <f>"1578728465658574"</f>
        <v>1578728465658574</v>
      </c>
      <c r="C2074" t="s">
        <v>37</v>
      </c>
      <c r="D2074">
        <v>4.599291</v>
      </c>
      <c r="E2074">
        <v>0.34157729999999997</v>
      </c>
      <c r="F2074" t="s">
        <v>38</v>
      </c>
      <c r="G2074">
        <v>-483.33569999999997</v>
      </c>
      <c r="H2074">
        <v>0.99609789999999998</v>
      </c>
      <c r="I2074">
        <v>221.1944</v>
      </c>
      <c r="J2074">
        <v>-484.04489999999998</v>
      </c>
      <c r="K2074">
        <v>1.11812</v>
      </c>
      <c r="L2074">
        <v>221.14779999999999</v>
      </c>
      <c r="M2074">
        <v>0.74530019999999997</v>
      </c>
      <c r="N2074">
        <v>0</v>
      </c>
      <c r="O2074">
        <v>-0.66657200000000005</v>
      </c>
      <c r="P2074">
        <v>0.87843110000000002</v>
      </c>
      <c r="Q2074">
        <v>6.4608479999999996E-2</v>
      </c>
      <c r="R2074">
        <v>-0.47348170000000001</v>
      </c>
      <c r="S2074">
        <v>3.2644959999999998</v>
      </c>
      <c r="T2074">
        <v>-0.44878170000000001</v>
      </c>
      <c r="U2074">
        <v>-0.36854549999999903</v>
      </c>
      <c r="V2074">
        <v>-0.23406060000000001</v>
      </c>
      <c r="W2074">
        <v>7.4412939999999997E-2</v>
      </c>
      <c r="X2074">
        <v>0.96937009999999901</v>
      </c>
      <c r="Y2074">
        <v>-0.56845429999999997</v>
      </c>
      <c r="Z2074">
        <v>0.12223050000000001</v>
      </c>
      <c r="AA2074">
        <v>0.81358430000000004</v>
      </c>
      <c r="AB2074">
        <v>24</v>
      </c>
      <c r="AC2074">
        <v>0.70920000000000905</v>
      </c>
      <c r="AD2074">
        <v>-0.12202209999999999</v>
      </c>
      <c r="AE2074">
        <v>4.6600000000012097E-2</v>
      </c>
      <c r="AF2074">
        <v>-0.492985740641183</v>
      </c>
      <c r="AG2074">
        <v>-0.12202209999999999</v>
      </c>
      <c r="AH2074">
        <v>0.48331067496718899</v>
      </c>
      <c r="AI2074">
        <v>100.02330232502899</v>
      </c>
      <c r="AJ2074">
        <v>135.56778072217699</v>
      </c>
      <c r="AK2074">
        <v>0.70108026780190102</v>
      </c>
    </row>
    <row r="2075" spans="1:37" x14ac:dyDescent="0.2">
      <c r="A2075" t="str">
        <f>"20200111154105686"</f>
        <v>20200111154105686</v>
      </c>
      <c r="B2075" t="str">
        <f>"1578728465678094"</f>
        <v>1578728465678094</v>
      </c>
      <c r="C2075" t="s">
        <v>37</v>
      </c>
      <c r="D2075">
        <v>4.6176510000000004</v>
      </c>
      <c r="E2075">
        <v>0.34165709999999999</v>
      </c>
      <c r="F2075" t="s">
        <v>43</v>
      </c>
      <c r="G2075">
        <v>-476.60289999999998</v>
      </c>
      <c r="H2075">
        <v>8.0000409999999994E-2</v>
      </c>
      <c r="I2075">
        <v>220.36940000000001</v>
      </c>
      <c r="J2075">
        <v>-483.84890000000001</v>
      </c>
      <c r="K2075">
        <v>1.118026</v>
      </c>
      <c r="L2075">
        <v>220.99029999999999</v>
      </c>
      <c r="M2075">
        <v>0.75303129999999996</v>
      </c>
      <c r="N2075">
        <v>0</v>
      </c>
      <c r="O2075">
        <v>-0.65782680000000004</v>
      </c>
      <c r="P2075">
        <v>0.88368230000000003</v>
      </c>
      <c r="Q2075">
        <v>6.5415609999999999E-2</v>
      </c>
      <c r="R2075">
        <v>-0.46349420000000002</v>
      </c>
      <c r="S2075">
        <v>3.2645869999999899</v>
      </c>
      <c r="T2075">
        <v>-0.45539099999999999</v>
      </c>
      <c r="U2075">
        <v>-0.34143069999999998</v>
      </c>
      <c r="V2075">
        <v>-0.2336906</v>
      </c>
      <c r="W2075">
        <v>7.5239360000000005E-2</v>
      </c>
      <c r="X2075">
        <v>0.96939560000000002</v>
      </c>
      <c r="Y2075">
        <v>-0.56535389999999996</v>
      </c>
      <c r="Z2075">
        <v>0.123035899999999</v>
      </c>
      <c r="AA2075">
        <v>0.81562069999999998</v>
      </c>
      <c r="AB2075">
        <v>24</v>
      </c>
      <c r="AC2075">
        <v>7.2460000000000298</v>
      </c>
      <c r="AD2075">
        <v>-1.0380255899999999</v>
      </c>
      <c r="AE2075">
        <v>-0.62089999999997703</v>
      </c>
      <c r="AF2075">
        <v>-4.2136601320722198</v>
      </c>
      <c r="AG2075">
        <v>-1.0380255899999999</v>
      </c>
      <c r="AH2075">
        <v>5.7484098793155098</v>
      </c>
      <c r="AI2075">
        <v>98.2862826653719</v>
      </c>
      <c r="AJ2075">
        <v>126.24190690537399</v>
      </c>
      <c r="AK2075">
        <v>7.2025443403509799</v>
      </c>
    </row>
    <row r="2076" spans="1:37" x14ac:dyDescent="0.2">
      <c r="A2076" t="str">
        <f>"20200111154105709"</f>
        <v>20200111154105709</v>
      </c>
      <c r="B2076" t="str">
        <f>"1578728465698591"</f>
        <v>1578728465698591</v>
      </c>
      <c r="C2076" t="s">
        <v>37</v>
      </c>
      <c r="D2076">
        <v>4.6203779999999997</v>
      </c>
      <c r="E2076">
        <v>0.34178059999999899</v>
      </c>
      <c r="F2076" t="s">
        <v>43</v>
      </c>
      <c r="G2076">
        <v>-476.36900000000003</v>
      </c>
      <c r="H2076">
        <v>8.0000429999999997E-2</v>
      </c>
      <c r="I2076">
        <v>220.29159999999999</v>
      </c>
      <c r="J2076">
        <v>-483.66059999999999</v>
      </c>
      <c r="K2076">
        <v>1.1179459999999899</v>
      </c>
      <c r="L2076">
        <v>220.84229999999999</v>
      </c>
      <c r="M2076">
        <v>0.7602352</v>
      </c>
      <c r="N2076">
        <v>0</v>
      </c>
      <c r="O2076">
        <v>-0.64948869999999903</v>
      </c>
      <c r="P2076">
        <v>0.88827119999999904</v>
      </c>
      <c r="Q2076">
        <v>6.5884960000000006E-2</v>
      </c>
      <c r="R2076">
        <v>-0.45456999999999997</v>
      </c>
      <c r="S2076">
        <v>3.2683110000000002</v>
      </c>
      <c r="T2076">
        <v>-0.4535614</v>
      </c>
      <c r="U2076">
        <v>-0.30528259999999902</v>
      </c>
      <c r="V2076">
        <v>-0.232742</v>
      </c>
      <c r="W2076">
        <v>7.573386E-2</v>
      </c>
      <c r="X2076">
        <v>0.96958519999999904</v>
      </c>
      <c r="Y2076">
        <v>-0.5654962</v>
      </c>
      <c r="Z2076">
        <v>0.1217193</v>
      </c>
      <c r="AA2076">
        <v>0.81571959999999999</v>
      </c>
      <c r="AB2076">
        <v>24</v>
      </c>
      <c r="AC2076">
        <v>7.2915999999999599</v>
      </c>
      <c r="AD2076">
        <v>-1.03794557</v>
      </c>
      <c r="AE2076">
        <v>-0.55070000000000596</v>
      </c>
      <c r="AF2076">
        <v>-4.2323237701736103</v>
      </c>
      <c r="AG2076">
        <v>-1.03794557</v>
      </c>
      <c r="AH2076">
        <v>5.7850571828345396</v>
      </c>
      <c r="AI2076">
        <v>98.239374926568104</v>
      </c>
      <c r="AJ2076">
        <v>126.18904714336</v>
      </c>
      <c r="AK2076">
        <v>7.2427054413751097</v>
      </c>
    </row>
    <row r="2077" spans="1:37" x14ac:dyDescent="0.2">
      <c r="A2077" t="str">
        <f>"20200111154105731"</f>
        <v>20200111154105731</v>
      </c>
      <c r="B2077" t="str">
        <f>"1578728465727870"</f>
        <v>1578728465727870</v>
      </c>
      <c r="C2077" t="s">
        <v>37</v>
      </c>
      <c r="D2077">
        <v>4.6186220000000002</v>
      </c>
      <c r="E2077">
        <v>0.34161279999999999</v>
      </c>
      <c r="F2077" t="s">
        <v>38</v>
      </c>
      <c r="G2077">
        <v>-482.62920000000003</v>
      </c>
      <c r="H2077">
        <v>0.97423819999999905</v>
      </c>
      <c r="I2077">
        <v>220.7559</v>
      </c>
      <c r="J2077">
        <v>-483.47149999999999</v>
      </c>
      <c r="K2077">
        <v>1.1178729999999999</v>
      </c>
      <c r="L2077">
        <v>220.697</v>
      </c>
      <c r="M2077">
        <v>0.76726539999999999</v>
      </c>
      <c r="N2077">
        <v>0</v>
      </c>
      <c r="O2077">
        <v>-0.64116969999999995</v>
      </c>
      <c r="P2077">
        <v>0.89239990000000002</v>
      </c>
      <c r="Q2077">
        <v>6.6011699999999895E-2</v>
      </c>
      <c r="R2077">
        <v>-0.44639079999999898</v>
      </c>
      <c r="S2077">
        <v>3.2710880000000002</v>
      </c>
      <c r="T2077">
        <v>-0.45571089999999997</v>
      </c>
      <c r="U2077">
        <v>-0.2735901</v>
      </c>
      <c r="V2077">
        <v>-0.23106750000000001</v>
      </c>
      <c r="W2077">
        <v>7.5891699999999895E-2</v>
      </c>
      <c r="X2077">
        <v>0.96997330000000004</v>
      </c>
      <c r="Y2077">
        <v>-0.56444539999999999</v>
      </c>
      <c r="Z2077">
        <v>0.1213761</v>
      </c>
      <c r="AA2077">
        <v>0.8164981</v>
      </c>
      <c r="AB2077">
        <v>24</v>
      </c>
      <c r="AC2077">
        <v>0.84229999999996596</v>
      </c>
      <c r="AD2077">
        <v>-0.14363479999999901</v>
      </c>
      <c r="AE2077">
        <v>5.8899999999994103E-2</v>
      </c>
      <c r="AF2077">
        <v>-0.56884795707673796</v>
      </c>
      <c r="AG2077">
        <v>-0.14363479999999901</v>
      </c>
      <c r="AH2077">
        <v>0.59144987187984899</v>
      </c>
      <c r="AI2077">
        <v>99.928144497804595</v>
      </c>
      <c r="AJ2077">
        <v>133.884053268005</v>
      </c>
      <c r="AK2077">
        <v>0.83308577288782704</v>
      </c>
    </row>
    <row r="2078" spans="1:37" x14ac:dyDescent="0.2">
      <c r="A2078" t="str">
        <f>"20200111154105754"</f>
        <v>20200111154105754</v>
      </c>
      <c r="B2078" t="str">
        <f>"1578728465748366"</f>
        <v>1578728465748366</v>
      </c>
      <c r="C2078" t="s">
        <v>37</v>
      </c>
      <c r="D2078">
        <v>4.6317539999999999</v>
      </c>
      <c r="E2078">
        <v>0.34111649999999999</v>
      </c>
      <c r="F2078" t="s">
        <v>38</v>
      </c>
      <c r="G2078">
        <v>-482.4667</v>
      </c>
      <c r="H2078">
        <v>0.97745249999999995</v>
      </c>
      <c r="I2078">
        <v>220.62260000000001</v>
      </c>
      <c r="J2078">
        <v>-483.27960000000002</v>
      </c>
      <c r="K2078">
        <v>1.1178049999999999</v>
      </c>
      <c r="L2078">
        <v>220.55260000000001</v>
      </c>
      <c r="M2078">
        <v>0.77420789999999995</v>
      </c>
      <c r="N2078">
        <v>0</v>
      </c>
      <c r="O2078">
        <v>-0.63277030000000001</v>
      </c>
      <c r="P2078">
        <v>0.89611849999999904</v>
      </c>
      <c r="Q2078">
        <v>6.6077629999999998E-2</v>
      </c>
      <c r="R2078">
        <v>-0.43886839999999999</v>
      </c>
      <c r="S2078">
        <v>3.2744140000000002</v>
      </c>
      <c r="T2078">
        <v>-0.4575089</v>
      </c>
      <c r="U2078">
        <v>-0.242095899999999</v>
      </c>
      <c r="V2078">
        <v>-0.22863910000000001</v>
      </c>
      <c r="W2078">
        <v>7.5995850000000004E-2</v>
      </c>
      <c r="X2078">
        <v>0.97054050000000003</v>
      </c>
      <c r="Y2078">
        <v>-0.56337459999999995</v>
      </c>
      <c r="Z2078">
        <v>0.1208827</v>
      </c>
      <c r="AA2078">
        <v>0.81731049999999905</v>
      </c>
      <c r="AB2078">
        <v>24</v>
      </c>
      <c r="AC2078">
        <v>0.81290000000001295</v>
      </c>
      <c r="AD2078">
        <v>-0.14035249999999999</v>
      </c>
      <c r="AE2078">
        <v>6.9999999999993096E-2</v>
      </c>
      <c r="AF2078">
        <v>-0.55228879796804697</v>
      </c>
      <c r="AG2078">
        <v>-0.14035249999999999</v>
      </c>
      <c r="AH2078">
        <v>0.56830276285151504</v>
      </c>
      <c r="AI2078">
        <v>100.043513632483</v>
      </c>
      <c r="AJ2078">
        <v>134.181262664618</v>
      </c>
      <c r="AK2078">
        <v>0.80479175622138799</v>
      </c>
    </row>
    <row r="2079" spans="1:37" x14ac:dyDescent="0.2">
      <c r="A2079" t="str">
        <f>"20200111154105775"</f>
        <v>20200111154105775</v>
      </c>
      <c r="B2079" t="str">
        <f>"1578728465767886"</f>
        <v>1578728465767886</v>
      </c>
      <c r="C2079" t="s">
        <v>37</v>
      </c>
      <c r="D2079">
        <v>4.6460980000000003</v>
      </c>
      <c r="E2079">
        <v>0.3406843</v>
      </c>
      <c r="F2079" t="s">
        <v>38</v>
      </c>
      <c r="G2079">
        <v>-482.30239999999998</v>
      </c>
      <c r="H2079">
        <v>0.98082950000000002</v>
      </c>
      <c r="I2079">
        <v>220.48949999999999</v>
      </c>
      <c r="J2079">
        <v>-483.0951</v>
      </c>
      <c r="K2079">
        <v>1.1177520000000001</v>
      </c>
      <c r="L2079">
        <v>220.41679999999999</v>
      </c>
      <c r="M2079">
        <v>0.78070379999999995</v>
      </c>
      <c r="N2079">
        <v>0</v>
      </c>
      <c r="O2079">
        <v>-0.62473889999999999</v>
      </c>
      <c r="P2079">
        <v>0.89930719999999997</v>
      </c>
      <c r="Q2079">
        <v>6.6566910000000007E-2</v>
      </c>
      <c r="R2079">
        <v>-0.43222169999999999</v>
      </c>
      <c r="S2079">
        <v>3.2782900000000001</v>
      </c>
      <c r="T2079">
        <v>-0.45940569999999997</v>
      </c>
      <c r="U2079">
        <v>-0.2111053</v>
      </c>
      <c r="V2079">
        <v>-0.2257702</v>
      </c>
      <c r="W2079">
        <v>7.6529769999999997E-2</v>
      </c>
      <c r="X2079">
        <v>0.97116990000000003</v>
      </c>
      <c r="Y2079">
        <v>-0.56264499999999995</v>
      </c>
      <c r="Z2079">
        <v>0.12043089999999999</v>
      </c>
      <c r="AA2079">
        <v>0.81787959999999904</v>
      </c>
      <c r="AB2079">
        <v>24</v>
      </c>
      <c r="AC2079">
        <v>0.79270000000002405</v>
      </c>
      <c r="AD2079">
        <v>-0.1369225</v>
      </c>
      <c r="AE2079">
        <v>7.2699999999997503E-2</v>
      </c>
      <c r="AF2079">
        <v>-0.53617997983939303</v>
      </c>
      <c r="AG2079">
        <v>-0.1369225</v>
      </c>
      <c r="AH2079">
        <v>0.55702317071573604</v>
      </c>
      <c r="AI2079">
        <v>100.042756050717</v>
      </c>
      <c r="AJ2079">
        <v>133.90772159607599</v>
      </c>
      <c r="AK2079">
        <v>0.78518249757685898</v>
      </c>
    </row>
    <row r="2080" spans="1:37" x14ac:dyDescent="0.2">
      <c r="A2080" t="str">
        <f>"20200111154105797"</f>
        <v>20200111154105797</v>
      </c>
      <c r="B2080" t="str">
        <f>"1578728465788383"</f>
        <v>1578728465788383</v>
      </c>
      <c r="C2080" t="s">
        <v>37</v>
      </c>
      <c r="D2080">
        <v>4.692571</v>
      </c>
      <c r="E2080">
        <v>0.34033920000000001</v>
      </c>
      <c r="F2080" t="s">
        <v>38</v>
      </c>
      <c r="G2080">
        <v>-482.13440000000003</v>
      </c>
      <c r="H2080">
        <v>0.98309539999999995</v>
      </c>
      <c r="I2080">
        <v>220.3629</v>
      </c>
      <c r="J2080">
        <v>-482.90260000000001</v>
      </c>
      <c r="K2080">
        <v>1.117702</v>
      </c>
      <c r="L2080">
        <v>220.27799999999999</v>
      </c>
      <c r="M2080">
        <v>0.78731479999999998</v>
      </c>
      <c r="N2080">
        <v>0</v>
      </c>
      <c r="O2080">
        <v>-0.61638769999999998</v>
      </c>
      <c r="P2080">
        <v>0.90226980000000001</v>
      </c>
      <c r="Q2080">
        <v>6.7330319999999999E-2</v>
      </c>
      <c r="R2080">
        <v>-0.4258825</v>
      </c>
      <c r="S2080">
        <v>3.2815859999999999</v>
      </c>
      <c r="T2080">
        <v>-0.45992870000000002</v>
      </c>
      <c r="U2080">
        <v>-0.1838226</v>
      </c>
      <c r="V2080">
        <v>-0.2222227</v>
      </c>
      <c r="W2080">
        <v>7.7346540000000005E-2</v>
      </c>
      <c r="X2080">
        <v>0.97192309999999904</v>
      </c>
      <c r="Y2080">
        <v>-0.56079029999999996</v>
      </c>
      <c r="Z2080">
        <v>0.1194982</v>
      </c>
      <c r="AA2080">
        <v>0.81928899999999905</v>
      </c>
      <c r="AB2080">
        <v>24</v>
      </c>
      <c r="AC2080">
        <v>0.76819999999997801</v>
      </c>
      <c r="AD2080">
        <v>-0.13460659999999999</v>
      </c>
      <c r="AE2080">
        <v>8.4900000000004597E-2</v>
      </c>
      <c r="AF2080">
        <v>-0.52449710108758996</v>
      </c>
      <c r="AG2080">
        <v>-0.13460659999999999</v>
      </c>
      <c r="AH2080">
        <v>0.53627298534095602</v>
      </c>
      <c r="AI2080">
        <v>100.17321466724</v>
      </c>
      <c r="AJ2080">
        <v>134.36397079643601</v>
      </c>
      <c r="AK2080">
        <v>0.76210554427805299</v>
      </c>
    </row>
    <row r="2081" spans="1:37" x14ac:dyDescent="0.2">
      <c r="A2081" t="str">
        <f>"20200111154105820"</f>
        <v>20200111154105820</v>
      </c>
      <c r="B2081" t="str">
        <f>"1578728465818638"</f>
        <v>1578728465818638</v>
      </c>
      <c r="C2081" t="s">
        <v>37</v>
      </c>
      <c r="D2081">
        <v>4.9380009999999999</v>
      </c>
      <c r="E2081">
        <v>0.41033339999999902</v>
      </c>
      <c r="F2081" t="s">
        <v>38</v>
      </c>
      <c r="G2081">
        <v>-481.9676</v>
      </c>
      <c r="H2081">
        <v>0.98667739999999904</v>
      </c>
      <c r="I2081">
        <v>220.23269999999999</v>
      </c>
      <c r="J2081">
        <v>-482.7029</v>
      </c>
      <c r="K2081">
        <v>1.1176649999999999</v>
      </c>
      <c r="L2081">
        <v>220.13720000000001</v>
      </c>
      <c r="M2081">
        <v>0.79400660000000001</v>
      </c>
      <c r="N2081">
        <v>0</v>
      </c>
      <c r="O2081">
        <v>-0.60774459999999997</v>
      </c>
      <c r="P2081">
        <v>0.90559419999999902</v>
      </c>
      <c r="Q2081">
        <v>6.7710060000000002E-2</v>
      </c>
      <c r="R2081">
        <v>-0.41870639999999998</v>
      </c>
      <c r="S2081">
        <v>3.2844540000000002</v>
      </c>
      <c r="T2081">
        <v>-0.46012779999999998</v>
      </c>
      <c r="U2081">
        <v>-0.15852359999999999</v>
      </c>
      <c r="V2081">
        <v>-0.21929029999999899</v>
      </c>
      <c r="W2081">
        <v>7.7759679999999998E-2</v>
      </c>
      <c r="X2081">
        <v>0.97255599999999998</v>
      </c>
      <c r="Y2081">
        <v>-0.5582203</v>
      </c>
      <c r="Z2081">
        <v>0.1183931</v>
      </c>
      <c r="AA2081">
        <v>0.82120230000000005</v>
      </c>
      <c r="AB2081">
        <v>24</v>
      </c>
      <c r="AC2081">
        <v>0.73529999999999496</v>
      </c>
      <c r="AD2081">
        <v>-0.13098759999999901</v>
      </c>
      <c r="AE2081">
        <v>9.5499999999986998E-2</v>
      </c>
      <c r="AF2081">
        <v>-0.50693410088479796</v>
      </c>
      <c r="AG2081">
        <v>-0.13098759999999901</v>
      </c>
      <c r="AH2081">
        <v>0.50993205871069103</v>
      </c>
      <c r="AI2081">
        <v>100.32441937519</v>
      </c>
      <c r="AJ2081">
        <v>134.831079212064</v>
      </c>
      <c r="AK2081">
        <v>0.73086978217365195</v>
      </c>
    </row>
    <row r="2082" spans="1:37" x14ac:dyDescent="0.2">
      <c r="A2082" t="str">
        <f>"20200111154105844"</f>
        <v>20200111154105844</v>
      </c>
      <c r="B2082" t="str">
        <f>"1578728465838158"</f>
        <v>1578728465838158</v>
      </c>
      <c r="C2082" t="s">
        <v>37</v>
      </c>
      <c r="D2082">
        <v>5.006138</v>
      </c>
      <c r="E2082">
        <v>0.42958229999999997</v>
      </c>
      <c r="F2082" t="s">
        <v>43</v>
      </c>
      <c r="G2082">
        <v>-474.19720000000001</v>
      </c>
      <c r="H2082" s="1">
        <v>4.260864E-6</v>
      </c>
      <c r="I2082">
        <v>218.36160000000001</v>
      </c>
      <c r="J2082">
        <v>-482.49299999999999</v>
      </c>
      <c r="K2082">
        <v>1.11764</v>
      </c>
      <c r="L2082">
        <v>219.99260000000001</v>
      </c>
      <c r="M2082">
        <v>0.80086740000000001</v>
      </c>
      <c r="N2082">
        <v>0</v>
      </c>
      <c r="O2082">
        <v>-0.59867590000000004</v>
      </c>
      <c r="P2082">
        <v>0.90906109999999896</v>
      </c>
      <c r="Q2082">
        <v>6.8363129999999994E-2</v>
      </c>
      <c r="R2082">
        <v>-0.411016299999999</v>
      </c>
      <c r="S2082">
        <v>3.0484309999999999</v>
      </c>
      <c r="T2082">
        <v>-0.40056839999999999</v>
      </c>
      <c r="U2082">
        <v>-0.63635249999999999</v>
      </c>
      <c r="V2082">
        <v>-0.21644339999999901</v>
      </c>
      <c r="W2082">
        <v>7.8434719999999999E-2</v>
      </c>
      <c r="X2082">
        <v>0.97313939999999999</v>
      </c>
      <c r="Y2082">
        <v>-0.41487179999999901</v>
      </c>
      <c r="Z2082">
        <v>9.8930400000000002E-2</v>
      </c>
      <c r="AA2082">
        <v>0.9044856</v>
      </c>
      <c r="AB2082">
        <v>24</v>
      </c>
      <c r="AC2082">
        <v>8.2958000000000407</v>
      </c>
      <c r="AD2082">
        <v>-1.1176357391359999</v>
      </c>
      <c r="AE2082">
        <v>-1.631</v>
      </c>
      <c r="AF2082">
        <v>-3.5977737508900298</v>
      </c>
      <c r="AG2082">
        <v>-1.1176357391359999</v>
      </c>
      <c r="AH2082">
        <v>7.4901438066388497</v>
      </c>
      <c r="AI2082">
        <v>97.660450399559096</v>
      </c>
      <c r="AJ2082">
        <v>115.65657584953399</v>
      </c>
      <c r="AK2082">
        <v>8.3842316196606692</v>
      </c>
    </row>
    <row r="2083" spans="1:37" x14ac:dyDescent="0.2">
      <c r="A2083" t="str">
        <f>"20200111154105866"</f>
        <v>20200111154105866</v>
      </c>
      <c r="B2083" t="str">
        <f>"1578728465858655"</f>
        <v>1578728465858655</v>
      </c>
      <c r="C2083" t="s">
        <v>37</v>
      </c>
      <c r="D2083">
        <v>4.9627660000000002</v>
      </c>
      <c r="E2083">
        <v>0.43634070000000003</v>
      </c>
      <c r="F2083" t="s">
        <v>43</v>
      </c>
      <c r="G2083">
        <v>-472.50170000000003</v>
      </c>
      <c r="H2083" s="1">
        <v>4.9746879999999997E-6</v>
      </c>
      <c r="I2083">
        <v>217.49080000000001</v>
      </c>
      <c r="J2083">
        <v>-482.30110000000002</v>
      </c>
      <c r="K2083">
        <v>1.117618</v>
      </c>
      <c r="L2083">
        <v>219.86369999999999</v>
      </c>
      <c r="M2083">
        <v>0.80699140000000003</v>
      </c>
      <c r="N2083">
        <v>0</v>
      </c>
      <c r="O2083">
        <v>-0.59039629999999998</v>
      </c>
      <c r="P2083">
        <v>0.91248700000000005</v>
      </c>
      <c r="Q2083">
        <v>6.8432320000000005E-2</v>
      </c>
      <c r="R2083">
        <v>-0.40334199999999998</v>
      </c>
      <c r="S2083">
        <v>2.9870000000000001</v>
      </c>
      <c r="T2083">
        <v>-0.33412920000000002</v>
      </c>
      <c r="U2083">
        <v>-0.7479401</v>
      </c>
      <c r="V2083">
        <v>-0.214613099999999</v>
      </c>
      <c r="W2083">
        <v>7.8506010000000001E-2</v>
      </c>
      <c r="X2083">
        <v>0.97353889999999998</v>
      </c>
      <c r="Y2083">
        <v>-0.3716486</v>
      </c>
      <c r="Z2083">
        <v>8.06727E-2</v>
      </c>
      <c r="AA2083">
        <v>0.92486170000000001</v>
      </c>
      <c r="AB2083">
        <v>24</v>
      </c>
      <c r="AC2083">
        <v>9.7993999999999897</v>
      </c>
      <c r="AD2083">
        <v>-1.117613025312</v>
      </c>
      <c r="AE2083">
        <v>-2.37289999999998</v>
      </c>
      <c r="AF2083">
        <v>-3.82401630747915</v>
      </c>
      <c r="AG2083">
        <v>-1.117613025312</v>
      </c>
      <c r="AH2083">
        <v>9.19690024619449</v>
      </c>
      <c r="AI2083">
        <v>96.402242990509606</v>
      </c>
      <c r="AJ2083">
        <v>112.57725004909101</v>
      </c>
      <c r="AK2083">
        <v>10.022730852051501</v>
      </c>
    </row>
    <row r="2084" spans="1:37" x14ac:dyDescent="0.2">
      <c r="A2084" t="str">
        <f>"20200111154105888"</f>
        <v>20200111154105888</v>
      </c>
      <c r="B2084" t="str">
        <f>"1578728465878175"</f>
        <v>1578728465878175</v>
      </c>
      <c r="C2084" t="s">
        <v>37</v>
      </c>
      <c r="D2084">
        <v>4.996658</v>
      </c>
      <c r="E2084">
        <v>0.43784430000000002</v>
      </c>
      <c r="F2084" t="s">
        <v>43</v>
      </c>
      <c r="G2084">
        <v>-471.42619999999999</v>
      </c>
      <c r="H2084" s="1">
        <v>5.4318689999999998E-6</v>
      </c>
      <c r="I2084">
        <v>217.0386</v>
      </c>
      <c r="J2084">
        <v>-482.10250000000002</v>
      </c>
      <c r="K2084">
        <v>1.1176029999999999</v>
      </c>
      <c r="L2084">
        <v>219.73320000000001</v>
      </c>
      <c r="M2084">
        <v>0.81319490000000005</v>
      </c>
      <c r="N2084">
        <v>0</v>
      </c>
      <c r="O2084">
        <v>-0.58182309999999904</v>
      </c>
      <c r="P2084">
        <v>0.91638359999999996</v>
      </c>
      <c r="Q2084">
        <v>6.8784949999999997E-2</v>
      </c>
      <c r="R2084">
        <v>-0.39434750000000002</v>
      </c>
      <c r="S2084">
        <v>2.9696349999999998</v>
      </c>
      <c r="T2084">
        <v>-0.30518840000000003</v>
      </c>
      <c r="U2084">
        <v>-0.77145390000000003</v>
      </c>
      <c r="V2084">
        <v>-0.21387210000000001</v>
      </c>
      <c r="W2084">
        <v>7.883735E-2</v>
      </c>
      <c r="X2084">
        <v>0.97367519999999996</v>
      </c>
      <c r="Y2084">
        <v>-0.35453609999999902</v>
      </c>
      <c r="Z2084">
        <v>7.2490499999999999E-2</v>
      </c>
      <c r="AA2084">
        <v>0.932228099999999</v>
      </c>
      <c r="AB2084">
        <v>24</v>
      </c>
      <c r="AC2084">
        <v>10.676299999999999</v>
      </c>
      <c r="AD2084">
        <v>-1.117597568131</v>
      </c>
      <c r="AE2084">
        <v>-2.6945999999999999</v>
      </c>
      <c r="AF2084">
        <v>-3.9798773374085399</v>
      </c>
      <c r="AG2084">
        <v>-1.117597568131</v>
      </c>
      <c r="AH2084">
        <v>10.146174471613801</v>
      </c>
      <c r="AI2084">
        <v>95.854816334764095</v>
      </c>
      <c r="AJ2084">
        <v>111.417792144233</v>
      </c>
      <c r="AK2084">
        <v>10.9559711734533</v>
      </c>
    </row>
    <row r="2085" spans="1:37" x14ac:dyDescent="0.2">
      <c r="A2085" t="str">
        <f>"20200111154105910"</f>
        <v>20200111154105910</v>
      </c>
      <c r="B2085" t="str">
        <f>"1578728465898421"</f>
        <v>1578728465898421</v>
      </c>
      <c r="C2085" t="s">
        <v>37</v>
      </c>
      <c r="D2085">
        <v>5.000267</v>
      </c>
      <c r="E2085">
        <v>0.43820369999999997</v>
      </c>
      <c r="F2085" t="s">
        <v>43</v>
      </c>
      <c r="G2085">
        <v>-470.59789999999998</v>
      </c>
      <c r="H2085" s="1">
        <v>5.7896060000000002E-6</v>
      </c>
      <c r="I2085">
        <v>216.81909999999999</v>
      </c>
      <c r="J2085">
        <v>-481.90969999999999</v>
      </c>
      <c r="K2085">
        <v>1.117591</v>
      </c>
      <c r="L2085">
        <v>219.60929999999999</v>
      </c>
      <c r="M2085">
        <v>0.8190868</v>
      </c>
      <c r="N2085">
        <v>0</v>
      </c>
      <c r="O2085">
        <v>-0.57349969999999995</v>
      </c>
      <c r="P2085">
        <v>0.92019089999999903</v>
      </c>
      <c r="Q2085">
        <v>6.8360190000000001E-2</v>
      </c>
      <c r="R2085">
        <v>-0.38545499999999999</v>
      </c>
      <c r="S2085">
        <v>2.9714969999999998</v>
      </c>
      <c r="T2085">
        <v>-0.2886611</v>
      </c>
      <c r="U2085">
        <v>-0.75265499999999996</v>
      </c>
      <c r="V2085">
        <v>-0.21337779999999901</v>
      </c>
      <c r="W2085">
        <v>7.8384800000000004E-2</v>
      </c>
      <c r="X2085">
        <v>0.97382009999999997</v>
      </c>
      <c r="Y2085">
        <v>-0.3511592</v>
      </c>
      <c r="Z2085">
        <v>6.7826570000000003E-2</v>
      </c>
      <c r="AA2085">
        <v>0.93385580000000001</v>
      </c>
      <c r="AB2085">
        <v>24</v>
      </c>
      <c r="AC2085">
        <v>11.3118</v>
      </c>
      <c r="AD2085">
        <v>-1.1175852103940001</v>
      </c>
      <c r="AE2085">
        <v>-2.7901999999999898</v>
      </c>
      <c r="AF2085">
        <v>-4.1639935145376503</v>
      </c>
      <c r="AG2085">
        <v>-1.1175852103940001</v>
      </c>
      <c r="AH2085">
        <v>10.767509402049001</v>
      </c>
      <c r="AI2085">
        <v>95.529332615347499</v>
      </c>
      <c r="AJ2085">
        <v>111.142401055753</v>
      </c>
      <c r="AK2085">
        <v>11.5985816984154</v>
      </c>
    </row>
    <row r="2086" spans="1:37" x14ac:dyDescent="0.2">
      <c r="A2086" t="str">
        <f>"20200111154105934"</f>
        <v>20200111154105934</v>
      </c>
      <c r="B2086" t="str">
        <f>"1578728465928676"</f>
        <v>1578728465928676</v>
      </c>
      <c r="C2086" t="s">
        <v>37</v>
      </c>
      <c r="D2086">
        <v>5.0410909999999998</v>
      </c>
      <c r="E2086">
        <v>0.4386777</v>
      </c>
      <c r="F2086" t="s">
        <v>43</v>
      </c>
      <c r="G2086">
        <v>-470.13839999999999</v>
      </c>
      <c r="H2086" s="1">
        <v>5.9899199999999997E-6</v>
      </c>
      <c r="I2086">
        <v>216.74080000000001</v>
      </c>
      <c r="J2086">
        <v>-481.69220000000001</v>
      </c>
      <c r="K2086">
        <v>1.1175820000000001</v>
      </c>
      <c r="L2086">
        <v>219.47280000000001</v>
      </c>
      <c r="M2086">
        <v>0.82559039999999995</v>
      </c>
      <c r="N2086">
        <v>0</v>
      </c>
      <c r="O2086">
        <v>-0.56409869999999995</v>
      </c>
      <c r="P2086">
        <v>0.92457269999999903</v>
      </c>
      <c r="Q2086">
        <v>6.8049680000000001E-2</v>
      </c>
      <c r="R2086">
        <v>-0.3748804</v>
      </c>
      <c r="S2086">
        <v>2.9772949999999998</v>
      </c>
      <c r="T2086">
        <v>-0.2826689</v>
      </c>
      <c r="U2086">
        <v>-0.72552490000000003</v>
      </c>
      <c r="V2086">
        <v>-0.21341489999999999</v>
      </c>
      <c r="W2086">
        <v>7.8030649999999993E-2</v>
      </c>
      <c r="X2086">
        <v>0.9738405</v>
      </c>
      <c r="Y2086">
        <v>-0.3491049</v>
      </c>
      <c r="Z2086">
        <v>6.5603919999999996E-2</v>
      </c>
      <c r="AA2086">
        <v>0.93478439999999996</v>
      </c>
      <c r="AB2086">
        <v>24</v>
      </c>
      <c r="AC2086">
        <v>11.553800000000001</v>
      </c>
      <c r="AD2086">
        <v>-1.1175760100799901</v>
      </c>
      <c r="AE2086">
        <v>-2.7320000000000002</v>
      </c>
      <c r="AF2086">
        <v>-4.2249455487950804</v>
      </c>
      <c r="AG2086">
        <v>-1.1175760100799901</v>
      </c>
      <c r="AH2086">
        <v>10.983570201193899</v>
      </c>
      <c r="AI2086">
        <v>95.424898221809698</v>
      </c>
      <c r="AJ2086">
        <v>111.03976254700601</v>
      </c>
      <c r="AK2086">
        <v>11.8210809739696</v>
      </c>
    </row>
    <row r="2087" spans="1:37" x14ac:dyDescent="0.2">
      <c r="A2087" t="str">
        <f>"20200111154105956"</f>
        <v>20200111154105956</v>
      </c>
      <c r="B2087" t="str">
        <f>"1578728465948196"</f>
        <v>1578728465948196</v>
      </c>
      <c r="C2087" t="s">
        <v>37</v>
      </c>
      <c r="D2087">
        <v>5.0703290000000001</v>
      </c>
      <c r="E2087">
        <v>0.438980599999999</v>
      </c>
      <c r="F2087" t="s">
        <v>44</v>
      </c>
      <c r="G2087">
        <v>-469.79500000000002</v>
      </c>
      <c r="H2087" s="1">
        <v>3.5843679999999999E-6</v>
      </c>
      <c r="I2087">
        <v>216.7047</v>
      </c>
      <c r="J2087">
        <v>-481.49040000000002</v>
      </c>
      <c r="K2087">
        <v>1.1175660000000001</v>
      </c>
      <c r="L2087">
        <v>219.3492</v>
      </c>
      <c r="M2087">
        <v>0.8314819</v>
      </c>
      <c r="N2087">
        <v>0</v>
      </c>
      <c r="O2087">
        <v>-0.55537899999999996</v>
      </c>
      <c r="P2087">
        <v>0.92878950000000005</v>
      </c>
      <c r="Q2087">
        <v>6.8489899999999895E-2</v>
      </c>
      <c r="R2087">
        <v>-0.36422450000000001</v>
      </c>
      <c r="S2087">
        <v>2.9838559999999998</v>
      </c>
      <c r="T2087">
        <v>-0.28029349999999997</v>
      </c>
      <c r="U2087">
        <v>-0.69425959999999998</v>
      </c>
      <c r="V2087">
        <v>-0.214350599999999</v>
      </c>
      <c r="W2087">
        <v>7.8410949999999993E-2</v>
      </c>
      <c r="X2087">
        <v>0.97360440000000004</v>
      </c>
      <c r="Y2087">
        <v>-0.34908359999999999</v>
      </c>
      <c r="Z2087">
        <v>6.4374840000000003E-2</v>
      </c>
      <c r="AA2087">
        <v>0.93487779999999998</v>
      </c>
      <c r="AB2087">
        <v>24</v>
      </c>
      <c r="AC2087">
        <v>11.695399999999999</v>
      </c>
      <c r="AD2087">
        <v>-1.1175624156320001</v>
      </c>
      <c r="AE2087">
        <v>-2.6444999999999901</v>
      </c>
      <c r="AF2087">
        <v>-4.2599332091019901</v>
      </c>
      <c r="AG2087">
        <v>-1.1175624156320001</v>
      </c>
      <c r="AH2087">
        <v>11.0978833076556</v>
      </c>
      <c r="AI2087">
        <v>95.370729713592695</v>
      </c>
      <c r="AJ2087">
        <v>110.999347277293</v>
      </c>
      <c r="AK2087">
        <v>11.9398069753738</v>
      </c>
    </row>
    <row r="2088" spans="1:37" x14ac:dyDescent="0.2">
      <c r="A2088" t="str">
        <f>"20200111154105978"</f>
        <v>20200111154105978</v>
      </c>
      <c r="B2088" t="str">
        <f>"1578728465968693"</f>
        <v>1578728465968693</v>
      </c>
      <c r="C2088" t="s">
        <v>37</v>
      </c>
      <c r="D2088">
        <v>5.045706</v>
      </c>
      <c r="E2088">
        <v>0.43924639999999998</v>
      </c>
      <c r="F2088" t="s">
        <v>44</v>
      </c>
      <c r="G2088">
        <v>-469.45890000000003</v>
      </c>
      <c r="H2088" s="1">
        <v>3.4063290000000001E-6</v>
      </c>
      <c r="I2088">
        <v>216.68549999999999</v>
      </c>
      <c r="J2088">
        <v>-481.2953</v>
      </c>
      <c r="K2088">
        <v>1.11754</v>
      </c>
      <c r="L2088">
        <v>219.23240000000001</v>
      </c>
      <c r="M2088">
        <v>0.83704259999999997</v>
      </c>
      <c r="N2088">
        <v>0</v>
      </c>
      <c r="O2088">
        <v>-0.54696350000000005</v>
      </c>
      <c r="P2088">
        <v>0.93272469999999996</v>
      </c>
      <c r="Q2088">
        <v>6.8722740000000004E-2</v>
      </c>
      <c r="R2088">
        <v>-0.35398020000000002</v>
      </c>
      <c r="S2088">
        <v>2.9909059999999998</v>
      </c>
      <c r="T2088">
        <v>-0.27781509999999998</v>
      </c>
      <c r="U2088">
        <v>-0.66215519999999894</v>
      </c>
      <c r="V2088">
        <v>-0.2152347</v>
      </c>
      <c r="W2088">
        <v>7.858445E-2</v>
      </c>
      <c r="X2088">
        <v>0.97339529999999996</v>
      </c>
      <c r="Y2088">
        <v>-0.3497577</v>
      </c>
      <c r="Z2088">
        <v>6.3171699999999997E-2</v>
      </c>
      <c r="AA2088">
        <v>0.93470789999999904</v>
      </c>
      <c r="AB2088">
        <v>24</v>
      </c>
      <c r="AC2088">
        <v>11.8363999999999</v>
      </c>
      <c r="AD2088">
        <v>-1.117536593671</v>
      </c>
      <c r="AE2088">
        <v>-2.5469000000000199</v>
      </c>
      <c r="AF2088">
        <v>-4.30594323436521</v>
      </c>
      <c r="AG2088">
        <v>-1.117536593671</v>
      </c>
      <c r="AH2088">
        <v>11.2062350182691</v>
      </c>
      <c r="AI2088">
        <v>95.318279951442605</v>
      </c>
      <c r="AJ2088">
        <v>111.019037396103</v>
      </c>
      <c r="AK2088">
        <v>12.056937358237001</v>
      </c>
    </row>
    <row r="2089" spans="1:37" x14ac:dyDescent="0.2">
      <c r="A2089" t="str">
        <f>"20200111154105999"</f>
        <v>20200111154105999</v>
      </c>
      <c r="B2089" t="str">
        <f>"1578728465988213"</f>
        <v>1578728465988213</v>
      </c>
      <c r="C2089" t="s">
        <v>37</v>
      </c>
      <c r="D2089">
        <v>5.0979400000000004</v>
      </c>
      <c r="E2089">
        <v>0.43939420000000001</v>
      </c>
      <c r="F2089" t="s">
        <v>44</v>
      </c>
      <c r="G2089">
        <v>-469.21719999999999</v>
      </c>
      <c r="H2089" s="1">
        <v>3.277532E-6</v>
      </c>
      <c r="I2089">
        <v>216.68879999999999</v>
      </c>
      <c r="J2089">
        <v>-481.09519999999998</v>
      </c>
      <c r="K2089">
        <v>1.1175010000000001</v>
      </c>
      <c r="L2089">
        <v>219.11519999999999</v>
      </c>
      <c r="M2089">
        <v>0.84260579999999996</v>
      </c>
      <c r="N2089">
        <v>0</v>
      </c>
      <c r="O2089">
        <v>-0.53835549999999999</v>
      </c>
      <c r="P2089">
        <v>0.93638589999999999</v>
      </c>
      <c r="Q2089">
        <v>6.8814199999999895E-2</v>
      </c>
      <c r="R2089">
        <v>-0.34416029999999997</v>
      </c>
      <c r="S2089">
        <v>2.9971919999999899</v>
      </c>
      <c r="T2089">
        <v>-0.27731709999999998</v>
      </c>
      <c r="U2089">
        <v>-0.63117979999999996</v>
      </c>
      <c r="V2089">
        <v>-0.21547669999999999</v>
      </c>
      <c r="W2089">
        <v>7.8629619999999997E-2</v>
      </c>
      <c r="X2089">
        <v>0.97333819999999904</v>
      </c>
      <c r="Y2089">
        <v>-0.34984949999999998</v>
      </c>
      <c r="Z2089">
        <v>6.2385199999999898E-2</v>
      </c>
      <c r="AA2089">
        <v>0.93472639999999996</v>
      </c>
      <c r="AB2089">
        <v>24</v>
      </c>
      <c r="AC2089">
        <v>11.877999999999901</v>
      </c>
      <c r="AD2089">
        <v>-1.1174977224680001</v>
      </c>
      <c r="AE2089">
        <v>-2.4264000000000001</v>
      </c>
      <c r="AF2089">
        <v>-4.3138450859042896</v>
      </c>
      <c r="AG2089">
        <v>-1.1174977224680001</v>
      </c>
      <c r="AH2089">
        <v>11.220468553718399</v>
      </c>
      <c r="AI2089">
        <v>95.311005038631706</v>
      </c>
      <c r="AJ2089">
        <v>111.029860657432</v>
      </c>
      <c r="AK2089">
        <v>12.072985345385099</v>
      </c>
    </row>
    <row r="2090" spans="1:37" x14ac:dyDescent="0.2">
      <c r="A2090" t="str">
        <f>"20200111154106022"</f>
        <v>20200111154106022</v>
      </c>
      <c r="B2090" t="str">
        <f>"1578728466018470"</f>
        <v>1578728466018470</v>
      </c>
      <c r="C2090" t="s">
        <v>37</v>
      </c>
      <c r="D2090">
        <v>5.0789999999999997</v>
      </c>
      <c r="E2090">
        <v>0.43972619999999901</v>
      </c>
      <c r="F2090" t="s">
        <v>44</v>
      </c>
      <c r="G2090">
        <v>-469.04419999999999</v>
      </c>
      <c r="H2090" s="1">
        <v>3.18479899999999E-6</v>
      </c>
      <c r="I2090">
        <v>216.70500000000001</v>
      </c>
      <c r="J2090">
        <v>-480.88389999999998</v>
      </c>
      <c r="K2090">
        <v>1.117437</v>
      </c>
      <c r="L2090">
        <v>218.99440000000001</v>
      </c>
      <c r="M2090">
        <v>0.84831520000000005</v>
      </c>
      <c r="N2090">
        <v>0</v>
      </c>
      <c r="O2090">
        <v>-0.52931459999999997</v>
      </c>
      <c r="P2090">
        <v>0.9399187</v>
      </c>
      <c r="Q2090">
        <v>6.8704370000000001E-2</v>
      </c>
      <c r="R2090">
        <v>-0.33441329999999903</v>
      </c>
      <c r="S2090">
        <v>3.0035099999999999</v>
      </c>
      <c r="T2090">
        <v>-0.27851900000000002</v>
      </c>
      <c r="U2090">
        <v>-0.60072329999999996</v>
      </c>
      <c r="V2090">
        <v>-0.21517229999999901</v>
      </c>
      <c r="W2090">
        <v>7.8488429999999998E-2</v>
      </c>
      <c r="X2090">
        <v>0.97341690000000003</v>
      </c>
      <c r="Y2090">
        <v>-0.3493385</v>
      </c>
      <c r="Z2090">
        <v>6.190582E-2</v>
      </c>
      <c r="AA2090">
        <v>0.93494929999999998</v>
      </c>
      <c r="AB2090">
        <v>24</v>
      </c>
      <c r="AC2090">
        <v>11.839699999999899</v>
      </c>
      <c r="AD2090">
        <v>-1.1174338152009999</v>
      </c>
      <c r="AE2090">
        <v>-2.2894000000000001</v>
      </c>
      <c r="AF2090">
        <v>-4.2883760288809496</v>
      </c>
      <c r="AG2090">
        <v>-1.1174338152009999</v>
      </c>
      <c r="AH2090">
        <v>11.1608316704604</v>
      </c>
      <c r="AI2090">
        <v>95.339321463772905</v>
      </c>
      <c r="AJ2090">
        <v>111.01849532192399</v>
      </c>
      <c r="AK2090">
        <v>12.0084549744247</v>
      </c>
    </row>
    <row r="2091" spans="1:37" x14ac:dyDescent="0.2">
      <c r="A2091" t="str">
        <f>"20200111154106044"</f>
        <v>20200111154106044</v>
      </c>
      <c r="B2091" t="str">
        <f>"1578728466037990"</f>
        <v>1578728466037990</v>
      </c>
      <c r="C2091" t="s">
        <v>37</v>
      </c>
      <c r="D2091">
        <v>5.1743169999999896</v>
      </c>
      <c r="E2091">
        <v>0.44011739999999999</v>
      </c>
      <c r="F2091" t="s">
        <v>44</v>
      </c>
      <c r="G2091">
        <v>-468.84660000000002</v>
      </c>
      <c r="H2091" s="1">
        <v>3.07944799999999E-6</v>
      </c>
      <c r="I2091">
        <v>216.7088</v>
      </c>
      <c r="J2091">
        <v>-480.6782</v>
      </c>
      <c r="K2091">
        <v>1.117372</v>
      </c>
      <c r="L2091">
        <v>218.87970000000001</v>
      </c>
      <c r="M2091">
        <v>0.85370900000000005</v>
      </c>
      <c r="N2091">
        <v>0</v>
      </c>
      <c r="O2091">
        <v>-0.52057229999999999</v>
      </c>
      <c r="P2091">
        <v>0.94290300000000005</v>
      </c>
      <c r="Q2091">
        <v>6.8096790000000004E-2</v>
      </c>
      <c r="R2091">
        <v>-0.32603209999999999</v>
      </c>
      <c r="S2091">
        <v>3.0089419999999998</v>
      </c>
      <c r="T2091">
        <v>-0.27932199999999902</v>
      </c>
      <c r="U2091">
        <v>-0.57131960000000004</v>
      </c>
      <c r="V2091">
        <v>-0.21383769999999999</v>
      </c>
      <c r="W2091">
        <v>7.7874730000000003E-2</v>
      </c>
      <c r="X2091">
        <v>0.97376019999999897</v>
      </c>
      <c r="Y2091">
        <v>-0.34886209999999901</v>
      </c>
      <c r="Z2091">
        <v>6.136308E-2</v>
      </c>
      <c r="AA2091">
        <v>0.93516299999999997</v>
      </c>
      <c r="AB2091">
        <v>24</v>
      </c>
      <c r="AC2091">
        <v>11.8315999999999</v>
      </c>
      <c r="AD2091">
        <v>-1.1173689205520001</v>
      </c>
      <c r="AE2091">
        <v>-2.1709000000000098</v>
      </c>
      <c r="AF2091">
        <v>-4.2694474849275599</v>
      </c>
      <c r="AG2091">
        <v>-1.1173689205520001</v>
      </c>
      <c r="AH2091">
        <v>11.1358119058174</v>
      </c>
      <c r="AI2091">
        <v>95.352428140276402</v>
      </c>
      <c r="AJ2091">
        <v>110.97672141528101</v>
      </c>
      <c r="AK2091">
        <v>11.978439044087301</v>
      </c>
    </row>
    <row r="2092" spans="1:37" x14ac:dyDescent="0.2">
      <c r="A2092" t="str">
        <f>"20200111154106068"</f>
        <v>20200111154106068</v>
      </c>
      <c r="B2092" t="str">
        <f>"1578728466058485"</f>
        <v>1578728466058485</v>
      </c>
      <c r="C2092" t="s">
        <v>37</v>
      </c>
      <c r="D2092">
        <v>5.110347</v>
      </c>
      <c r="E2092">
        <v>0.44064520000000001</v>
      </c>
      <c r="F2092" t="s">
        <v>44</v>
      </c>
      <c r="G2092">
        <v>-468.68560000000002</v>
      </c>
      <c r="H2092" s="1">
        <v>2.9940839999999998E-6</v>
      </c>
      <c r="I2092">
        <v>216.70230000000001</v>
      </c>
      <c r="J2092">
        <v>-480.45699999999999</v>
      </c>
      <c r="K2092">
        <v>1.1172899999999999</v>
      </c>
      <c r="L2092">
        <v>218.7594</v>
      </c>
      <c r="M2092">
        <v>0.85932140000000001</v>
      </c>
      <c r="N2092">
        <v>0</v>
      </c>
      <c r="O2092">
        <v>-0.51125619999999905</v>
      </c>
      <c r="P2092">
        <v>0.94597050000000005</v>
      </c>
      <c r="Q2092">
        <v>6.6638829999999996E-2</v>
      </c>
      <c r="R2092">
        <v>-0.31733149999999999</v>
      </c>
      <c r="S2092">
        <v>3.0128169999999899</v>
      </c>
      <c r="T2092">
        <v>-0.28071020000000002</v>
      </c>
      <c r="U2092">
        <v>-0.54699709999999901</v>
      </c>
      <c r="V2092">
        <v>-0.21223069999999999</v>
      </c>
      <c r="W2092">
        <v>7.6418059999999996E-2</v>
      </c>
      <c r="X2092">
        <v>0.97422710000000001</v>
      </c>
      <c r="Y2092">
        <v>-0.34620459999999997</v>
      </c>
      <c r="Z2092">
        <v>6.080551E-2</v>
      </c>
      <c r="AA2092">
        <v>0.93618639999999997</v>
      </c>
      <c r="AB2092">
        <v>24</v>
      </c>
      <c r="AC2092">
        <v>11.7713999999999</v>
      </c>
      <c r="AD2092">
        <v>-1.1172870059159901</v>
      </c>
      <c r="AE2092">
        <v>-2.0570999999999899</v>
      </c>
      <c r="AF2092">
        <v>-4.2140429209485202</v>
      </c>
      <c r="AG2092">
        <v>-1.1172870059159901</v>
      </c>
      <c r="AH2092">
        <v>11.0713622112136</v>
      </c>
      <c r="AI2092">
        <v>95.387959496349694</v>
      </c>
      <c r="AJ2092">
        <v>110.838101574953</v>
      </c>
      <c r="AK2092">
        <v>11.898804528400101</v>
      </c>
    </row>
    <row r="2093" spans="1:37" x14ac:dyDescent="0.2">
      <c r="A2093" t="str">
        <f>"20200111154106089"</f>
        <v>20200111154106089</v>
      </c>
      <c r="B2093" t="str">
        <f>"1578728466078005"</f>
        <v>1578728466078005</v>
      </c>
      <c r="C2093" t="s">
        <v>37</v>
      </c>
      <c r="D2093">
        <v>5.1379019999999898</v>
      </c>
      <c r="E2093">
        <v>0.44121080000000001</v>
      </c>
      <c r="F2093" t="s">
        <v>44</v>
      </c>
      <c r="G2093">
        <v>-468.65710000000001</v>
      </c>
      <c r="H2093" s="1">
        <v>2.9783450000000001E-6</v>
      </c>
      <c r="I2093">
        <v>216.7148</v>
      </c>
      <c r="J2093">
        <v>-480.25689999999997</v>
      </c>
      <c r="K2093">
        <v>1.117219</v>
      </c>
      <c r="L2093">
        <v>218.65289999999999</v>
      </c>
      <c r="M2093">
        <v>0.86424909999999999</v>
      </c>
      <c r="N2093">
        <v>0</v>
      </c>
      <c r="O2093">
        <v>-0.50288310000000003</v>
      </c>
      <c r="P2093">
        <v>0.94847729999999997</v>
      </c>
      <c r="Q2093">
        <v>6.5564600000000001E-2</v>
      </c>
      <c r="R2093">
        <v>-0.30998789999999998</v>
      </c>
      <c r="S2093">
        <v>3.0160830000000001</v>
      </c>
      <c r="T2093">
        <v>-0.28558</v>
      </c>
      <c r="U2093">
        <v>-0.52258300000000002</v>
      </c>
      <c r="V2093">
        <v>-0.2103246</v>
      </c>
      <c r="W2093">
        <v>7.5354439999999995E-2</v>
      </c>
      <c r="X2093">
        <v>0.97472320000000001</v>
      </c>
      <c r="Y2093">
        <v>-0.34454129999999999</v>
      </c>
      <c r="Z2093">
        <v>6.1106380000000002E-2</v>
      </c>
      <c r="AA2093">
        <v>0.93678030000000001</v>
      </c>
      <c r="AB2093">
        <v>24</v>
      </c>
      <c r="AC2093">
        <v>11.599799999999901</v>
      </c>
      <c r="AD2093">
        <v>-1.117216021655</v>
      </c>
      <c r="AE2093">
        <v>-1.9380999999999899</v>
      </c>
      <c r="AF2093">
        <v>-4.1215267488485203</v>
      </c>
      <c r="AG2093">
        <v>-1.117216021655</v>
      </c>
      <c r="AH2093">
        <v>10.902369254757399</v>
      </c>
      <c r="AI2093">
        <v>95.475292386795502</v>
      </c>
      <c r="AJ2093">
        <v>110.708574773073</v>
      </c>
      <c r="AK2093">
        <v>11.708834687858401</v>
      </c>
    </row>
    <row r="2094" spans="1:37" x14ac:dyDescent="0.2">
      <c r="A2094" t="str">
        <f>"20200111154106112"</f>
        <v>20200111154106112</v>
      </c>
      <c r="B2094" t="str">
        <f>"1578728466108260"</f>
        <v>1578728466108260</v>
      </c>
      <c r="C2094" t="s">
        <v>37</v>
      </c>
      <c r="D2094">
        <v>5.1436099999999998</v>
      </c>
      <c r="E2094">
        <v>0.44201759999999901</v>
      </c>
      <c r="F2094" t="s">
        <v>44</v>
      </c>
      <c r="G2094">
        <v>-468.60599999999999</v>
      </c>
      <c r="H2094" s="1">
        <v>2.9513430000000001E-6</v>
      </c>
      <c r="I2094">
        <v>216.71029999999999</v>
      </c>
      <c r="J2094">
        <v>-480.04250000000002</v>
      </c>
      <c r="K2094">
        <v>1.1171469999999999</v>
      </c>
      <c r="L2094">
        <v>218.54159999999999</v>
      </c>
      <c r="M2094">
        <v>0.86936250000000004</v>
      </c>
      <c r="N2094">
        <v>0</v>
      </c>
      <c r="O2094">
        <v>-0.4939924</v>
      </c>
      <c r="P2094">
        <v>0.95078700000000005</v>
      </c>
      <c r="Q2094">
        <v>6.5233890000000003E-2</v>
      </c>
      <c r="R2094">
        <v>-0.30290089999999997</v>
      </c>
      <c r="S2094">
        <v>3.0185240000000002</v>
      </c>
      <c r="T2094">
        <v>-0.28944829999999999</v>
      </c>
      <c r="U2094">
        <v>-0.50329590000000002</v>
      </c>
      <c r="V2094">
        <v>-0.20759149999999901</v>
      </c>
      <c r="W2094">
        <v>7.5045360000000005E-2</v>
      </c>
      <c r="X2094">
        <v>0.97533269999999905</v>
      </c>
      <c r="Y2094">
        <v>-0.34081820000000002</v>
      </c>
      <c r="Z2094">
        <v>6.1026629999999998E-2</v>
      </c>
      <c r="AA2094">
        <v>0.93814640000000005</v>
      </c>
      <c r="AB2094">
        <v>24</v>
      </c>
      <c r="AC2094">
        <v>11.436500000000001</v>
      </c>
      <c r="AD2094">
        <v>-1.1171440486569999</v>
      </c>
      <c r="AE2094">
        <v>-1.8312999999999899</v>
      </c>
      <c r="AF2094">
        <v>-4.02044310786777</v>
      </c>
      <c r="AG2094">
        <v>-1.1171440486569999</v>
      </c>
      <c r="AH2094">
        <v>10.7480980756287</v>
      </c>
      <c r="AI2094">
        <v>95.560275912605903</v>
      </c>
      <c r="AJ2094">
        <v>110.50885725342199</v>
      </c>
      <c r="AK2094">
        <v>11.529682816642699</v>
      </c>
    </row>
    <row r="2095" spans="1:37" x14ac:dyDescent="0.2">
      <c r="A2095" t="str">
        <f>"20200111154106135"</f>
        <v>20200111154106135</v>
      </c>
      <c r="B2095" t="str">
        <f>"1578728466127781"</f>
        <v>1578728466127781</v>
      </c>
      <c r="C2095" t="s">
        <v>37</v>
      </c>
      <c r="D2095">
        <v>5.1152439999999997</v>
      </c>
      <c r="E2095">
        <v>0.442584599999999</v>
      </c>
      <c r="F2095" t="s">
        <v>44</v>
      </c>
      <c r="G2095">
        <v>-468.47059999999999</v>
      </c>
      <c r="H2095" s="1">
        <v>2.8806959999999899E-6</v>
      </c>
      <c r="I2095">
        <v>216.67930000000001</v>
      </c>
      <c r="J2095">
        <v>-479.82130000000001</v>
      </c>
      <c r="K2095">
        <v>1.1170709999999999</v>
      </c>
      <c r="L2095">
        <v>218.42939999999999</v>
      </c>
      <c r="M2095">
        <v>0.87446170000000001</v>
      </c>
      <c r="N2095">
        <v>0</v>
      </c>
      <c r="O2095">
        <v>-0.48491069999999997</v>
      </c>
      <c r="P2095">
        <v>0.95305110000000004</v>
      </c>
      <c r="Q2095">
        <v>6.4982999999999999E-2</v>
      </c>
      <c r="R2095">
        <v>-0.29575509999999999</v>
      </c>
      <c r="S2095">
        <v>3.0204469999999999</v>
      </c>
      <c r="T2095">
        <v>-0.29159239999999997</v>
      </c>
      <c r="U2095">
        <v>-0.48608400000000002</v>
      </c>
      <c r="V2095">
        <v>-0.20474139999999999</v>
      </c>
      <c r="W2095">
        <v>7.4817120000000001E-2</v>
      </c>
      <c r="X2095">
        <v>0.97595259999999995</v>
      </c>
      <c r="Y2095">
        <v>-0.33633550000000001</v>
      </c>
      <c r="Z2095">
        <v>6.0512370000000003E-2</v>
      </c>
      <c r="AA2095">
        <v>0.93979609999999902</v>
      </c>
      <c r="AB2095">
        <v>24</v>
      </c>
      <c r="AC2095">
        <v>11.3507</v>
      </c>
      <c r="AD2095">
        <v>-1.117068119304</v>
      </c>
      <c r="AE2095">
        <v>-1.75009999999997</v>
      </c>
      <c r="AF2095">
        <v>-3.9367911589270101</v>
      </c>
      <c r="AG2095">
        <v>-1.117068119304</v>
      </c>
      <c r="AH2095">
        <v>10.6743715182511</v>
      </c>
      <c r="AI2095">
        <v>95.607604421893598</v>
      </c>
      <c r="AJ2095">
        <v>110.24436620685999</v>
      </c>
      <c r="AK2095">
        <v>11.4319015531897</v>
      </c>
    </row>
    <row r="2096" spans="1:37" x14ac:dyDescent="0.2">
      <c r="A2096" t="str">
        <f>"20200111154106155"</f>
        <v>20200111154106155</v>
      </c>
      <c r="B2096" t="str">
        <f>"1578728466148277"</f>
        <v>1578728466148277</v>
      </c>
      <c r="C2096" t="s">
        <v>37</v>
      </c>
      <c r="D2096">
        <v>5.0847879999999996</v>
      </c>
      <c r="E2096">
        <v>0.4703388</v>
      </c>
      <c r="F2096" t="s">
        <v>44</v>
      </c>
      <c r="G2096">
        <v>-468.29259999999999</v>
      </c>
      <c r="H2096" s="1">
        <v>2.7874329999999899E-6</v>
      </c>
      <c r="I2096">
        <v>216.64500000000001</v>
      </c>
      <c r="J2096">
        <v>-479.63670000000002</v>
      </c>
      <c r="K2096">
        <v>1.117</v>
      </c>
      <c r="L2096">
        <v>218.33789999999999</v>
      </c>
      <c r="M2096">
        <v>0.87857589999999997</v>
      </c>
      <c r="N2096">
        <v>0</v>
      </c>
      <c r="O2096">
        <v>-0.47741729999999999</v>
      </c>
      <c r="P2096">
        <v>0.95484780000000002</v>
      </c>
      <c r="Q2096">
        <v>6.435776E-2</v>
      </c>
      <c r="R2096">
        <v>-0.2900414</v>
      </c>
      <c r="S2096">
        <v>3.0225520000000001</v>
      </c>
      <c r="T2096">
        <v>-0.29286849999999998</v>
      </c>
      <c r="U2096">
        <v>-0.46783449999999999</v>
      </c>
      <c r="V2096">
        <v>-0.20223869999999999</v>
      </c>
      <c r="W2096">
        <v>7.4214649999999993E-2</v>
      </c>
      <c r="X2096">
        <v>0.97652019999999995</v>
      </c>
      <c r="Y2096">
        <v>-0.33393809999999902</v>
      </c>
      <c r="Z2096">
        <v>6.0033999999999997E-2</v>
      </c>
      <c r="AA2096">
        <v>0.94068130000000005</v>
      </c>
      <c r="AB2096">
        <v>24</v>
      </c>
      <c r="AC2096">
        <v>11.344099999999999</v>
      </c>
      <c r="AD2096">
        <v>-1.116997212567</v>
      </c>
      <c r="AE2096">
        <v>-1.6928999999999801</v>
      </c>
      <c r="AF2096">
        <v>-3.8919644132851898</v>
      </c>
      <c r="AG2096">
        <v>-1.116997212567</v>
      </c>
      <c r="AH2096">
        <v>10.6745875172018</v>
      </c>
      <c r="AI2096">
        <v>95.6147191096331</v>
      </c>
      <c r="AJ2096">
        <v>110.031902018824</v>
      </c>
      <c r="AK2096">
        <v>11.4167372059429</v>
      </c>
    </row>
    <row r="2097" spans="1:37" x14ac:dyDescent="0.2">
      <c r="A2097" t="str">
        <f>"20200111154106178"</f>
        <v>20200111154106178</v>
      </c>
      <c r="B2097" t="str">
        <f>"1578728466168772"</f>
        <v>1578728466168772</v>
      </c>
      <c r="C2097" t="s">
        <v>37</v>
      </c>
      <c r="D2097">
        <v>5.0444269999999998</v>
      </c>
      <c r="E2097">
        <v>0.47630879999999998</v>
      </c>
      <c r="F2097" t="s">
        <v>44</v>
      </c>
      <c r="G2097">
        <v>-467.95440000000002</v>
      </c>
      <c r="H2097" s="1">
        <v>2.6475399999999999E-6</v>
      </c>
      <c r="I2097">
        <v>215.72819999999999</v>
      </c>
      <c r="J2097">
        <v>-479.4169</v>
      </c>
      <c r="K2097">
        <v>1.116911</v>
      </c>
      <c r="L2097">
        <v>218.2313</v>
      </c>
      <c r="M2097">
        <v>0.88331349999999997</v>
      </c>
      <c r="N2097">
        <v>0</v>
      </c>
      <c r="O2097">
        <v>-0.46859590000000001</v>
      </c>
      <c r="P2097">
        <v>0.95684059999999904</v>
      </c>
      <c r="Q2097">
        <v>6.4967759999999999E-2</v>
      </c>
      <c r="R2097">
        <v>-0.28325909999999999</v>
      </c>
      <c r="S2097">
        <v>2.960083</v>
      </c>
      <c r="T2097">
        <v>-0.28302690000000003</v>
      </c>
      <c r="U2097">
        <v>-0.66125489999999998</v>
      </c>
      <c r="V2097">
        <v>-0.19935890000000001</v>
      </c>
      <c r="W2097">
        <v>7.4856590000000001E-2</v>
      </c>
      <c r="X2097">
        <v>0.97706319999999902</v>
      </c>
      <c r="Y2097">
        <v>-0.26180120000000001</v>
      </c>
      <c r="Z2097">
        <v>5.4580169999999997E-2</v>
      </c>
      <c r="AA2097">
        <v>0.96357729999999997</v>
      </c>
      <c r="AB2097">
        <v>24</v>
      </c>
      <c r="AC2097">
        <v>11.462499999999901</v>
      </c>
      <c r="AD2097">
        <v>-1.1169083524600001</v>
      </c>
      <c r="AE2097">
        <v>-2.5031000000000101</v>
      </c>
      <c r="AF2097">
        <v>-3.1321503565375299</v>
      </c>
      <c r="AG2097">
        <v>-1.1169083524600001</v>
      </c>
      <c r="AH2097">
        <v>11.197436848932901</v>
      </c>
      <c r="AI2097">
        <v>95.486970677809893</v>
      </c>
      <c r="AJ2097">
        <v>105.627384636049</v>
      </c>
      <c r="AK2097">
        <v>11.6807723250474</v>
      </c>
    </row>
    <row r="2098" spans="1:37" x14ac:dyDescent="0.2">
      <c r="A2098" t="str">
        <f>"20200111154106199"</f>
        <v>20200111154106199</v>
      </c>
      <c r="B2098" t="str">
        <f>"1578728466189003"</f>
        <v>1578728466189003</v>
      </c>
      <c r="C2098" t="s">
        <v>37</v>
      </c>
      <c r="D2098">
        <v>5.074211</v>
      </c>
      <c r="E2098">
        <v>0.47655730000000002</v>
      </c>
      <c r="F2098" t="s">
        <v>44</v>
      </c>
      <c r="G2098">
        <v>-467.38139999999999</v>
      </c>
      <c r="H2098" s="1">
        <v>2.3555940000000002E-6</v>
      </c>
      <c r="I2098">
        <v>215.43209999999999</v>
      </c>
      <c r="J2098">
        <v>-479.20769999999999</v>
      </c>
      <c r="K2098">
        <v>1.1168209999999901</v>
      </c>
      <c r="L2098">
        <v>218.13220000000001</v>
      </c>
      <c r="M2098">
        <v>0.88765849999999902</v>
      </c>
      <c r="N2098">
        <v>0</v>
      </c>
      <c r="O2098">
        <v>-0.46031329999999998</v>
      </c>
      <c r="P2098">
        <v>0.95856989999999997</v>
      </c>
      <c r="Q2098">
        <v>6.6244250000000005E-2</v>
      </c>
      <c r="R2098">
        <v>-0.27704790000000001</v>
      </c>
      <c r="S2098">
        <v>2.950745</v>
      </c>
      <c r="T2098">
        <v>-0.27383429999999997</v>
      </c>
      <c r="U2098">
        <v>-0.68627930000000004</v>
      </c>
      <c r="V2098">
        <v>-0.19651469999999999</v>
      </c>
      <c r="W2098">
        <v>7.6171279999999994E-2</v>
      </c>
      <c r="X2098">
        <v>0.97753769999999995</v>
      </c>
      <c r="Y2098">
        <v>-0.2445957</v>
      </c>
      <c r="Z2098">
        <v>5.1458200000000003E-2</v>
      </c>
      <c r="AA2098">
        <v>0.96825869999999903</v>
      </c>
      <c r="AB2098">
        <v>24</v>
      </c>
      <c r="AC2098">
        <v>11.8263</v>
      </c>
      <c r="AD2098">
        <v>-1.11681864440599</v>
      </c>
      <c r="AE2098">
        <v>-2.7001000000000199</v>
      </c>
      <c r="AF2098">
        <v>-3.0216893344210898</v>
      </c>
      <c r="AG2098">
        <v>-1.11681864440599</v>
      </c>
      <c r="AH2098">
        <v>11.6429420406768</v>
      </c>
      <c r="AI2098">
        <v>95.304502630386196</v>
      </c>
      <c r="AJ2098">
        <v>104.548973692644</v>
      </c>
      <c r="AK2098">
        <v>12.0803969173536</v>
      </c>
    </row>
    <row r="2099" spans="1:37" x14ac:dyDescent="0.2">
      <c r="A2099" t="str">
        <f>"20200111154106224"</f>
        <v>20200111154106224</v>
      </c>
      <c r="B2099" t="str">
        <f>"1578728466218270"</f>
        <v>1578728466218270</v>
      </c>
      <c r="C2099" t="s">
        <v>37</v>
      </c>
      <c r="D2099">
        <v>5.1318989999999998</v>
      </c>
      <c r="E2099">
        <v>0.4760548</v>
      </c>
      <c r="F2099" t="s">
        <v>44</v>
      </c>
      <c r="G2099">
        <v>-465.96949999999998</v>
      </c>
      <c r="H2099" s="1">
        <v>1.6171819999999899E-6</v>
      </c>
      <c r="I2099">
        <v>215.13550000000001</v>
      </c>
      <c r="J2099">
        <v>-478.98</v>
      </c>
      <c r="K2099">
        <v>1.116714</v>
      </c>
      <c r="L2099">
        <v>218.02680000000001</v>
      </c>
      <c r="M2099">
        <v>0.89221269999999997</v>
      </c>
      <c r="N2099">
        <v>0</v>
      </c>
      <c r="O2099">
        <v>-0.45142470000000001</v>
      </c>
      <c r="P2099">
        <v>0.96074150000000003</v>
      </c>
      <c r="Q2099">
        <v>6.692178E-2</v>
      </c>
      <c r="R2099">
        <v>-0.26925339999999998</v>
      </c>
      <c r="S2099">
        <v>2.9536439999999899</v>
      </c>
      <c r="T2099">
        <v>-0.24917919999999999</v>
      </c>
      <c r="U2099">
        <v>-0.66860959999999903</v>
      </c>
      <c r="V2099">
        <v>-0.19465569999999999</v>
      </c>
      <c r="W2099">
        <v>7.6869709999999994E-2</v>
      </c>
      <c r="X2099">
        <v>0.97785489999999997</v>
      </c>
      <c r="Y2099">
        <v>-0.2411247</v>
      </c>
      <c r="Z2099">
        <v>4.6044450000000001E-2</v>
      </c>
      <c r="AA2099">
        <v>0.96940119999999896</v>
      </c>
      <c r="AB2099">
        <v>24</v>
      </c>
      <c r="AC2099">
        <v>13.0105</v>
      </c>
      <c r="AD2099">
        <v>-1.1167123828179999</v>
      </c>
      <c r="AE2099">
        <v>-2.8913000000000002</v>
      </c>
      <c r="AF2099">
        <v>-3.2709270575412499</v>
      </c>
      <c r="AG2099">
        <v>-1.1167123828179999</v>
      </c>
      <c r="AH2099">
        <v>12.824417705751999</v>
      </c>
      <c r="AI2099">
        <v>94.822955684578801</v>
      </c>
      <c r="AJ2099">
        <v>104.308490538336</v>
      </c>
      <c r="AK2099">
        <v>13.282006619983999</v>
      </c>
    </row>
    <row r="2100" spans="1:37" x14ac:dyDescent="0.2">
      <c r="A2100" t="str">
        <f>"20200111154106244"</f>
        <v>20200111154106244</v>
      </c>
      <c r="B2100" t="str">
        <f>"1578728466237790"</f>
        <v>1578728466237790</v>
      </c>
      <c r="C2100" t="s">
        <v>37</v>
      </c>
      <c r="D2100">
        <v>5.1373689999999996</v>
      </c>
      <c r="E2100">
        <v>0.47635549999999999</v>
      </c>
      <c r="F2100" t="s">
        <v>44</v>
      </c>
      <c r="G2100">
        <v>-465.86110000000002</v>
      </c>
      <c r="H2100" s="1">
        <v>1.5572999999999999E-6</v>
      </c>
      <c r="I2100">
        <v>215.1865</v>
      </c>
      <c r="J2100">
        <v>-478.77449999999999</v>
      </c>
      <c r="K2100">
        <v>1.1166180000000001</v>
      </c>
      <c r="L2100">
        <v>217.934</v>
      </c>
      <c r="M2100">
        <v>0.89616030000000002</v>
      </c>
      <c r="N2100">
        <v>0</v>
      </c>
      <c r="O2100">
        <v>-0.44353799999999999</v>
      </c>
      <c r="P2100">
        <v>0.96276499999999998</v>
      </c>
      <c r="Q2100">
        <v>6.7868899999999996E-2</v>
      </c>
      <c r="R2100">
        <v>-0.26168170000000002</v>
      </c>
      <c r="S2100">
        <v>2.96048</v>
      </c>
      <c r="T2100">
        <v>-0.25200329999999999</v>
      </c>
      <c r="U2100">
        <v>-0.64096070000000005</v>
      </c>
      <c r="V2100">
        <v>-0.1936928</v>
      </c>
      <c r="W2100">
        <v>7.7822899999999903E-2</v>
      </c>
      <c r="X2100">
        <v>0.97797069999999997</v>
      </c>
      <c r="Y2100">
        <v>-0.2416556</v>
      </c>
      <c r="Z2100">
        <v>4.5960000000000001E-2</v>
      </c>
      <c r="AA2100">
        <v>0.96927299999999905</v>
      </c>
      <c r="AB2100">
        <v>24</v>
      </c>
      <c r="AC2100">
        <v>12.9133999999999</v>
      </c>
      <c r="AD2100">
        <v>-1.1166164427</v>
      </c>
      <c r="AE2100">
        <v>-2.7475000000000298</v>
      </c>
      <c r="AF2100">
        <v>-3.24246806568893</v>
      </c>
      <c r="AG2100">
        <v>-1.1166164427</v>
      </c>
      <c r="AH2100">
        <v>12.7013344025136</v>
      </c>
      <c r="AI2100">
        <v>94.868784772786199</v>
      </c>
      <c r="AJ2100">
        <v>104.320916624082</v>
      </c>
      <c r="AK2100">
        <v>13.156151680548399</v>
      </c>
    </row>
    <row r="2101" spans="1:37" x14ac:dyDescent="0.2">
      <c r="A2101" t="str">
        <f>"20200111154106268"</f>
        <v>20200111154106268</v>
      </c>
      <c r="B2101" t="str">
        <f>"1578728466258286"</f>
        <v>1578728466258286</v>
      </c>
      <c r="C2101" t="s">
        <v>37</v>
      </c>
      <c r="D2101">
        <v>5.1466769999999897</v>
      </c>
      <c r="E2101">
        <v>0.476022099999999</v>
      </c>
      <c r="F2101" t="s">
        <v>44</v>
      </c>
      <c r="G2101">
        <v>-465.65109999999999</v>
      </c>
      <c r="H2101" s="1">
        <v>1.4454190000000001E-6</v>
      </c>
      <c r="I2101">
        <v>215.18879999999999</v>
      </c>
      <c r="J2101">
        <v>-478.54689999999999</v>
      </c>
      <c r="K2101">
        <v>1.1165229999999999</v>
      </c>
      <c r="L2101">
        <v>217.83359999999999</v>
      </c>
      <c r="M2101">
        <v>0.9003679</v>
      </c>
      <c r="N2101">
        <v>0</v>
      </c>
      <c r="O2101">
        <v>-0.43493490000000001</v>
      </c>
      <c r="P2101">
        <v>0.96485959999999904</v>
      </c>
      <c r="Q2101">
        <v>6.9103699999999907E-2</v>
      </c>
      <c r="R2101">
        <v>-0.25351620000000002</v>
      </c>
      <c r="S2101">
        <v>2.965179</v>
      </c>
      <c r="T2101">
        <v>-0.252295399999999</v>
      </c>
      <c r="U2101">
        <v>-0.62026979999999998</v>
      </c>
      <c r="V2101">
        <v>-0.19256999999999999</v>
      </c>
      <c r="W2101">
        <v>7.9065499999999997E-2</v>
      </c>
      <c r="X2101">
        <v>0.97809279999999998</v>
      </c>
      <c r="Y2101">
        <v>-0.23918349999999999</v>
      </c>
      <c r="Z2101">
        <v>4.5240099999999998E-2</v>
      </c>
      <c r="AA2101">
        <v>0.96991989999999995</v>
      </c>
      <c r="AB2101">
        <v>24</v>
      </c>
      <c r="AC2101">
        <v>12.895799999999999</v>
      </c>
      <c r="AD2101">
        <v>-1.1165215545810001</v>
      </c>
      <c r="AE2101">
        <v>-2.6448</v>
      </c>
      <c r="AF2101">
        <v>-3.2047600243022201</v>
      </c>
      <c r="AG2101">
        <v>-1.1165215545810001</v>
      </c>
      <c r="AH2101">
        <v>12.6712092673519</v>
      </c>
      <c r="AI2101">
        <v>94.882638243130899</v>
      </c>
      <c r="AJ2101">
        <v>104.19341779921</v>
      </c>
      <c r="AK2101">
        <v>13.117799033840701</v>
      </c>
    </row>
    <row r="2102" spans="1:37" x14ac:dyDescent="0.2">
      <c r="A2102" t="str">
        <f>"20200111154106291"</f>
        <v>20200111154106291</v>
      </c>
      <c r="B2102" t="str">
        <f>"1578728466288542"</f>
        <v>1578728466288542</v>
      </c>
      <c r="C2102" t="s">
        <v>37</v>
      </c>
      <c r="D2102">
        <v>5.1446290000000001</v>
      </c>
      <c r="E2102">
        <v>0.47570669999999998</v>
      </c>
      <c r="F2102" t="s">
        <v>44</v>
      </c>
      <c r="G2102">
        <v>-465.48770000000002</v>
      </c>
      <c r="H2102" s="1">
        <v>1.3567549999999999E-6</v>
      </c>
      <c r="I2102">
        <v>215.2285</v>
      </c>
      <c r="J2102">
        <v>-478.32749999999999</v>
      </c>
      <c r="K2102">
        <v>1.11643799999999</v>
      </c>
      <c r="L2102">
        <v>217.739</v>
      </c>
      <c r="M2102">
        <v>0.90426930000000005</v>
      </c>
      <c r="N2102">
        <v>0</v>
      </c>
      <c r="O2102">
        <v>-0.42676570000000003</v>
      </c>
      <c r="P2102">
        <v>0.96675739999999999</v>
      </c>
      <c r="Q2102">
        <v>6.9896390000000003E-2</v>
      </c>
      <c r="R2102">
        <v>-0.2459567</v>
      </c>
      <c r="S2102">
        <v>2.9716800000000001</v>
      </c>
      <c r="T2102">
        <v>-0.25407079999999999</v>
      </c>
      <c r="U2102">
        <v>-0.59278869999999995</v>
      </c>
      <c r="V2102">
        <v>-0.19133749999999999</v>
      </c>
      <c r="W2102">
        <v>7.9868819999999993E-2</v>
      </c>
      <c r="X2102">
        <v>0.97826930000000001</v>
      </c>
      <c r="Y2102">
        <v>-0.239427799999999</v>
      </c>
      <c r="Z2102">
        <v>4.4910350000000002E-2</v>
      </c>
      <c r="AA2102">
        <v>0.96987489999999998</v>
      </c>
      <c r="AB2102">
        <v>24</v>
      </c>
      <c r="AC2102">
        <v>12.839799999999901</v>
      </c>
      <c r="AD2102">
        <v>-1.1164366432449999</v>
      </c>
      <c r="AE2102">
        <v>-2.5105</v>
      </c>
      <c r="AF2102">
        <v>-3.1864835262376099</v>
      </c>
      <c r="AG2102">
        <v>-1.1164366432449999</v>
      </c>
      <c r="AH2102">
        <v>12.591405936509201</v>
      </c>
      <c r="AI2102">
        <v>94.912885092827395</v>
      </c>
      <c r="AJ2102">
        <v>104.201573792818</v>
      </c>
      <c r="AK2102">
        <v>13.0362422307704</v>
      </c>
    </row>
    <row r="2103" spans="1:37" x14ac:dyDescent="0.2">
      <c r="A2103" t="str">
        <f>"20200111154106313"</f>
        <v>20200111154106313</v>
      </c>
      <c r="B2103" t="str">
        <f>"1578728466308606"</f>
        <v>1578728466308606</v>
      </c>
      <c r="C2103" t="s">
        <v>37</v>
      </c>
      <c r="D2103">
        <v>5.1362100000000002</v>
      </c>
      <c r="E2103">
        <v>0.475624299999999</v>
      </c>
      <c r="F2103" t="s">
        <v>44</v>
      </c>
      <c r="G2103">
        <v>-465.48719999999997</v>
      </c>
      <c r="H2103" s="1">
        <v>1.3536649999999999E-6</v>
      </c>
      <c r="I2103">
        <v>215.29310000000001</v>
      </c>
      <c r="J2103">
        <v>-478.10289999999998</v>
      </c>
      <c r="K2103">
        <v>1.116344</v>
      </c>
      <c r="L2103">
        <v>217.64439999999999</v>
      </c>
      <c r="M2103">
        <v>0.90810820000000003</v>
      </c>
      <c r="N2103">
        <v>0</v>
      </c>
      <c r="O2103">
        <v>-0.4185371</v>
      </c>
      <c r="P2103">
        <v>0.96868279999999995</v>
      </c>
      <c r="Q2103">
        <v>6.9674650000000005E-2</v>
      </c>
      <c r="R2103">
        <v>-0.2383256</v>
      </c>
      <c r="S2103">
        <v>2.9775390000000002</v>
      </c>
      <c r="T2103">
        <v>-0.25889109999999999</v>
      </c>
      <c r="U2103">
        <v>-0.56718440000000003</v>
      </c>
      <c r="V2103">
        <v>-0.19015199999999999</v>
      </c>
      <c r="W2103">
        <v>7.9653970000000004E-2</v>
      </c>
      <c r="X2103">
        <v>0.978518</v>
      </c>
      <c r="Y2103">
        <v>-0.23896149999999899</v>
      </c>
      <c r="Z2103">
        <v>4.5066130000000003E-2</v>
      </c>
      <c r="AA2103">
        <v>0.96998269999999998</v>
      </c>
      <c r="AB2103">
        <v>24</v>
      </c>
      <c r="AC2103">
        <v>12.6157</v>
      </c>
      <c r="AD2103">
        <v>-1.1163426463349999</v>
      </c>
      <c r="AE2103">
        <v>-2.3512999999999802</v>
      </c>
      <c r="AF2103">
        <v>-3.12154331622438</v>
      </c>
      <c r="AG2103">
        <v>-1.1163426463349999</v>
      </c>
      <c r="AH2103">
        <v>12.348118584923901</v>
      </c>
      <c r="AI2103">
        <v>95.009096778246899</v>
      </c>
      <c r="AJ2103">
        <v>104.186868627366</v>
      </c>
      <c r="AK2103">
        <v>12.7853934693632</v>
      </c>
    </row>
    <row r="2104" spans="1:37" x14ac:dyDescent="0.2">
      <c r="A2104" t="str">
        <f>"20200111154106336"</f>
        <v>20200111154106336</v>
      </c>
      <c r="B2104" t="str">
        <f>"1578728466328126"</f>
        <v>1578728466328126</v>
      </c>
      <c r="C2104" t="s">
        <v>37</v>
      </c>
      <c r="D2104">
        <v>5.1036789999999996</v>
      </c>
      <c r="E2104">
        <v>0.47581590000000001</v>
      </c>
      <c r="F2104" t="s">
        <v>44</v>
      </c>
      <c r="G2104">
        <v>-465.45209999999997</v>
      </c>
      <c r="H2104" s="1">
        <v>1.3328260000000001E-6</v>
      </c>
      <c r="I2104">
        <v>215.34209999999999</v>
      </c>
      <c r="J2104">
        <v>-477.87459999999999</v>
      </c>
      <c r="K2104">
        <v>1.116236</v>
      </c>
      <c r="L2104">
        <v>217.5505</v>
      </c>
      <c r="M2104">
        <v>0.91184739999999997</v>
      </c>
      <c r="N2104">
        <v>0</v>
      </c>
      <c r="O2104">
        <v>-0.41032839999999998</v>
      </c>
      <c r="P2104">
        <v>0.97055769999999997</v>
      </c>
      <c r="Q2104">
        <v>6.9130990000000003E-2</v>
      </c>
      <c r="R2104">
        <v>-0.23073449999999901</v>
      </c>
      <c r="S2104">
        <v>2.982361</v>
      </c>
      <c r="T2104">
        <v>-0.26317209999999902</v>
      </c>
      <c r="U2104">
        <v>-0.54275509999999905</v>
      </c>
      <c r="V2104">
        <v>-0.1889719</v>
      </c>
      <c r="W2104">
        <v>7.9122540000000005E-2</v>
      </c>
      <c r="X2104">
        <v>0.97878969999999899</v>
      </c>
      <c r="Y2104">
        <v>-0.23812910000000001</v>
      </c>
      <c r="Z2104">
        <v>4.5098449999999998E-2</v>
      </c>
      <c r="AA2104">
        <v>0.97018590000000005</v>
      </c>
      <c r="AB2104">
        <v>24</v>
      </c>
      <c r="AC2104">
        <v>12.422499999999999</v>
      </c>
      <c r="AD2104">
        <v>-1.116234667174</v>
      </c>
      <c r="AE2104">
        <v>-2.2084000000000099</v>
      </c>
      <c r="AF2104">
        <v>-3.0598861690504902</v>
      </c>
      <c r="AG2104">
        <v>-1.116234667174</v>
      </c>
      <c r="AH2104">
        <v>12.1395892542509</v>
      </c>
      <c r="AI2104">
        <v>95.095087787523994</v>
      </c>
      <c r="AJ2104">
        <v>104.14719293666801</v>
      </c>
      <c r="AK2104">
        <v>12.568950252971501</v>
      </c>
    </row>
    <row r="2105" spans="1:37" x14ac:dyDescent="0.2">
      <c r="A2105" t="str">
        <f>"20200111154106357"</f>
        <v>20200111154106357</v>
      </c>
      <c r="B2105" t="str">
        <f>"1578728466348622"</f>
        <v>1578728466348622</v>
      </c>
      <c r="C2105" t="s">
        <v>37</v>
      </c>
      <c r="D2105">
        <v>5.0643750000000001</v>
      </c>
      <c r="E2105">
        <v>0.47595799999999999</v>
      </c>
      <c r="F2105" t="s">
        <v>44</v>
      </c>
      <c r="G2105">
        <v>-465.42630000000003</v>
      </c>
      <c r="H2105" s="1">
        <v>1.317495E-6</v>
      </c>
      <c r="I2105">
        <v>215.37889999999999</v>
      </c>
      <c r="J2105">
        <v>-477.67059999999998</v>
      </c>
      <c r="K2105">
        <v>1.1161270000000001</v>
      </c>
      <c r="L2105">
        <v>217.4684</v>
      </c>
      <c r="M2105">
        <v>0.91504929999999995</v>
      </c>
      <c r="N2105">
        <v>0</v>
      </c>
      <c r="O2105">
        <v>-0.40313890000000002</v>
      </c>
      <c r="P2105">
        <v>0.97206930000000003</v>
      </c>
      <c r="Q2105">
        <v>6.9180999999999895E-2</v>
      </c>
      <c r="R2105">
        <v>-0.22426559999999901</v>
      </c>
      <c r="S2105">
        <v>2.986237</v>
      </c>
      <c r="T2105">
        <v>-0.26777440000000002</v>
      </c>
      <c r="U2105">
        <v>-0.52095029999999998</v>
      </c>
      <c r="V2105">
        <v>-0.1877634</v>
      </c>
      <c r="W2105">
        <v>7.9193379999999994E-2</v>
      </c>
      <c r="X2105">
        <v>0.97901649999999996</v>
      </c>
      <c r="Y2105">
        <v>-0.23752210000000001</v>
      </c>
      <c r="Z2105">
        <v>4.5259130000000002E-2</v>
      </c>
      <c r="AA2105">
        <v>0.97032719999999995</v>
      </c>
      <c r="AB2105">
        <v>24</v>
      </c>
      <c r="AC2105">
        <v>12.2442999999999</v>
      </c>
      <c r="AD2105">
        <v>-1.1161256825050001</v>
      </c>
      <c r="AE2105">
        <v>-2.0895000000000099</v>
      </c>
      <c r="AF2105">
        <v>-3.0001822116776</v>
      </c>
      <c r="AG2105">
        <v>-1.1161256825050001</v>
      </c>
      <c r="AH2105">
        <v>11.9509907200323</v>
      </c>
      <c r="AI2105">
        <v>95.175797201494703</v>
      </c>
      <c r="AJ2105">
        <v>104.092336997773</v>
      </c>
      <c r="AK2105">
        <v>12.3722677400997</v>
      </c>
    </row>
    <row r="2106" spans="1:37" x14ac:dyDescent="0.2">
      <c r="A2106" t="str">
        <f>"20200111154106379"</f>
        <v>20200111154106379</v>
      </c>
      <c r="B2106" t="str">
        <f>"1578728466368141"</f>
        <v>1578728466368141</v>
      </c>
      <c r="C2106" t="s">
        <v>37</v>
      </c>
      <c r="D2106">
        <v>5.1028120000000001</v>
      </c>
      <c r="E2106">
        <v>0.47623769999999999</v>
      </c>
      <c r="F2106" t="s">
        <v>44</v>
      </c>
      <c r="G2106">
        <v>-465.29250000000002</v>
      </c>
      <c r="H2106" s="1">
        <v>1.2459129999999999E-6</v>
      </c>
      <c r="I2106">
        <v>215.38749999999999</v>
      </c>
      <c r="J2106">
        <v>-477.44569999999999</v>
      </c>
      <c r="K2106">
        <v>1.115982</v>
      </c>
      <c r="L2106">
        <v>217.37979999999999</v>
      </c>
      <c r="M2106">
        <v>0.91843019999999997</v>
      </c>
      <c r="N2106">
        <v>0</v>
      </c>
      <c r="O2106">
        <v>-0.3953779</v>
      </c>
      <c r="P2106">
        <v>0.97354479999999999</v>
      </c>
      <c r="Q2106">
        <v>6.9343660000000001E-2</v>
      </c>
      <c r="R2106">
        <v>-0.21771989999999999</v>
      </c>
      <c r="S2106">
        <v>2.9894409999999998</v>
      </c>
      <c r="T2106">
        <v>-0.26955639999999997</v>
      </c>
      <c r="U2106">
        <v>-0.50256350000000005</v>
      </c>
      <c r="V2106">
        <v>-0.18603139999999899</v>
      </c>
      <c r="W2106">
        <v>7.9393499999999895E-2</v>
      </c>
      <c r="X2106">
        <v>0.9793309</v>
      </c>
      <c r="Y2106">
        <v>-0.2352803</v>
      </c>
      <c r="Z2106">
        <v>4.481065E-2</v>
      </c>
      <c r="AA2106">
        <v>0.97089400000000003</v>
      </c>
      <c r="AB2106">
        <v>24</v>
      </c>
      <c r="AC2106">
        <v>12.153199999999901</v>
      </c>
      <c r="AD2106">
        <v>-1.1159807540869999</v>
      </c>
      <c r="AE2106">
        <v>-1.9923</v>
      </c>
      <c r="AF2106">
        <v>-2.9513252663745102</v>
      </c>
      <c r="AG2106">
        <v>-1.1159807540869999</v>
      </c>
      <c r="AH2106">
        <v>11.853216008200899</v>
      </c>
      <c r="AI2106">
        <v>95.220087513622104</v>
      </c>
      <c r="AJ2106">
        <v>103.981734039651</v>
      </c>
      <c r="AK2106">
        <v>12.2659880812148</v>
      </c>
    </row>
    <row r="2107" spans="1:37" x14ac:dyDescent="0.2">
      <c r="A2107" t="str">
        <f>"20200111154106401"</f>
        <v>20200111154106401</v>
      </c>
      <c r="B2107" t="str">
        <f>"1578728466398055"</f>
        <v>1578728466398055</v>
      </c>
      <c r="C2107" t="s">
        <v>37</v>
      </c>
      <c r="D2107">
        <v>5.1351529999999999</v>
      </c>
      <c r="E2107">
        <v>0.47668480000000002</v>
      </c>
      <c r="F2107" t="s">
        <v>44</v>
      </c>
      <c r="G2107">
        <v>-465.12029999999999</v>
      </c>
      <c r="H2107" s="1">
        <v>1.1544370000000001E-6</v>
      </c>
      <c r="I2107">
        <v>215.3836</v>
      </c>
      <c r="J2107">
        <v>-477.22739999999999</v>
      </c>
      <c r="K2107">
        <v>1.115834</v>
      </c>
      <c r="L2107">
        <v>217.29570000000001</v>
      </c>
      <c r="M2107">
        <v>0.9215584</v>
      </c>
      <c r="N2107">
        <v>0</v>
      </c>
      <c r="O2107">
        <v>-0.38803219999999999</v>
      </c>
      <c r="P2107">
        <v>0.9749485</v>
      </c>
      <c r="Q2107">
        <v>6.9437799999999994E-2</v>
      </c>
      <c r="R2107">
        <v>-0.21131420000000001</v>
      </c>
      <c r="S2107">
        <v>2.992432</v>
      </c>
      <c r="T2107">
        <v>-0.27094380000000001</v>
      </c>
      <c r="U2107">
        <v>-0.48464970000000002</v>
      </c>
      <c r="V2107">
        <v>-0.184619899999999</v>
      </c>
      <c r="W2107">
        <v>7.9526570000000005E-2</v>
      </c>
      <c r="X2107">
        <v>0.97958709999999904</v>
      </c>
      <c r="Y2107">
        <v>-0.23334949999999999</v>
      </c>
      <c r="Z2107">
        <v>4.4335489999999998E-2</v>
      </c>
      <c r="AA2107">
        <v>0.97138169999999902</v>
      </c>
      <c r="AB2107">
        <v>24</v>
      </c>
      <c r="AC2107">
        <v>12.107100000000001</v>
      </c>
      <c r="AD2107">
        <v>-1.115832845563</v>
      </c>
      <c r="AE2107">
        <v>-1.9120999999999999</v>
      </c>
      <c r="AF2107">
        <v>-2.9119369842562302</v>
      </c>
      <c r="AG2107">
        <v>-1.115832845563</v>
      </c>
      <c r="AH2107">
        <v>11.8025027392663</v>
      </c>
      <c r="AI2107">
        <v>95.244462218816594</v>
      </c>
      <c r="AJ2107">
        <v>103.859339552251</v>
      </c>
      <c r="AK2107">
        <v>12.207519438850101</v>
      </c>
    </row>
    <row r="2108" spans="1:37" x14ac:dyDescent="0.2">
      <c r="A2108" t="str">
        <f>"20200111154106425"</f>
        <v>20200111154106425</v>
      </c>
      <c r="B2108" t="str">
        <f>"1578728466418550"</f>
        <v>1578728466418550</v>
      </c>
      <c r="C2108" t="s">
        <v>37</v>
      </c>
      <c r="D2108">
        <v>5.1074469999999996</v>
      </c>
      <c r="E2108">
        <v>0.477041299999999</v>
      </c>
      <c r="F2108" t="s">
        <v>44</v>
      </c>
      <c r="G2108">
        <v>-465.00749999999999</v>
      </c>
      <c r="H2108" s="1">
        <v>1.0945099999999999E-6</v>
      </c>
      <c r="I2108">
        <v>215.38140000000001</v>
      </c>
      <c r="J2108">
        <v>-476.99639999999999</v>
      </c>
      <c r="K2108">
        <v>1.1156790000000001</v>
      </c>
      <c r="L2108">
        <v>217.20859999999999</v>
      </c>
      <c r="M2108">
        <v>0.92469820000000003</v>
      </c>
      <c r="N2108">
        <v>0</v>
      </c>
      <c r="O2108">
        <v>-0.38049070000000002</v>
      </c>
      <c r="P2108">
        <v>0.97640309999999897</v>
      </c>
      <c r="Q2108">
        <v>6.9138619999999998E-2</v>
      </c>
      <c r="R2108">
        <v>-0.2045892</v>
      </c>
      <c r="S2108">
        <v>2.994904</v>
      </c>
      <c r="T2108">
        <v>-0.27347309999999903</v>
      </c>
      <c r="U2108">
        <v>-0.46916199999999902</v>
      </c>
      <c r="V2108">
        <v>-0.18334039999999999</v>
      </c>
      <c r="W2108">
        <v>7.9270380000000001E-2</v>
      </c>
      <c r="X2108">
        <v>0.97984819999999995</v>
      </c>
      <c r="Y2108">
        <v>-0.23042840000000001</v>
      </c>
      <c r="Z2108">
        <v>4.3975630000000002E-2</v>
      </c>
      <c r="AA2108">
        <v>0.97209509999999899</v>
      </c>
      <c r="AB2108">
        <v>24</v>
      </c>
      <c r="AC2108">
        <v>11.988899999999999</v>
      </c>
      <c r="AD2108">
        <v>-1.1156779054899999</v>
      </c>
      <c r="AE2108">
        <v>-1.82719999999997</v>
      </c>
      <c r="AF2108">
        <v>-2.8481809024066398</v>
      </c>
      <c r="AG2108">
        <v>-1.1156779054899999</v>
      </c>
      <c r="AH2108">
        <v>11.683408131263</v>
      </c>
      <c r="AI2108">
        <v>95.300473216889898</v>
      </c>
      <c r="AJ2108">
        <v>103.700337935375</v>
      </c>
      <c r="AK2108">
        <v>12.0772056868836</v>
      </c>
    </row>
    <row r="2109" spans="1:37" x14ac:dyDescent="0.2">
      <c r="A2109" t="str">
        <f>"20200111154106447"</f>
        <v>20200111154106447</v>
      </c>
      <c r="B2109" t="str">
        <f>"1578728466438073"</f>
        <v>1578728466438073</v>
      </c>
      <c r="C2109" t="s">
        <v>37</v>
      </c>
      <c r="D2109">
        <v>4.9748619999999999</v>
      </c>
      <c r="E2109">
        <v>0.47702799999999901</v>
      </c>
      <c r="F2109" t="s">
        <v>44</v>
      </c>
      <c r="G2109">
        <v>-464.89190000000002</v>
      </c>
      <c r="H2109" s="1">
        <v>1.0328770000000001E-6</v>
      </c>
      <c r="I2109">
        <v>215.3845</v>
      </c>
      <c r="J2109">
        <v>-476.77640000000002</v>
      </c>
      <c r="K2109">
        <v>1.1155250000000001</v>
      </c>
      <c r="L2109">
        <v>217.12739999999999</v>
      </c>
      <c r="M2109">
        <v>0.92753379999999996</v>
      </c>
      <c r="N2109">
        <v>0</v>
      </c>
      <c r="O2109">
        <v>-0.37352659999999999</v>
      </c>
      <c r="P2109">
        <v>0.97749430000000004</v>
      </c>
      <c r="Q2109">
        <v>6.9642010000000004E-2</v>
      </c>
      <c r="R2109">
        <v>-0.1991366</v>
      </c>
      <c r="S2109">
        <v>2.9973749999999999</v>
      </c>
      <c r="T2109">
        <v>-0.27627030000000002</v>
      </c>
      <c r="U2109">
        <v>-0.4516907</v>
      </c>
      <c r="V2109">
        <v>-0.18140129999999999</v>
      </c>
      <c r="W2109">
        <v>7.9826030000000006E-2</v>
      </c>
      <c r="X2109">
        <v>0.98016389999999998</v>
      </c>
      <c r="Y2109">
        <v>-0.22875609999999999</v>
      </c>
      <c r="Z2109">
        <v>4.3750169999999998E-2</v>
      </c>
      <c r="AA2109">
        <v>0.97250009999999998</v>
      </c>
      <c r="AB2109">
        <v>24</v>
      </c>
      <c r="AC2109">
        <v>11.884499999999999</v>
      </c>
      <c r="AD2109">
        <v>-1.1155239671229999</v>
      </c>
      <c r="AE2109">
        <v>-1.7428999999999899</v>
      </c>
      <c r="AF2109">
        <v>-2.7986643116818799</v>
      </c>
      <c r="AG2109">
        <v>-1.1155239671229999</v>
      </c>
      <c r="AH2109">
        <v>11.5753860977961</v>
      </c>
      <c r="AI2109">
        <v>95.351360321427805</v>
      </c>
      <c r="AJ2109">
        <v>103.591974091171</v>
      </c>
      <c r="AK2109">
        <v>11.9610400452368</v>
      </c>
    </row>
    <row r="2110" spans="1:37" x14ac:dyDescent="0.2">
      <c r="A2110" t="str">
        <f>"20200111154106469"</f>
        <v>20200111154106469</v>
      </c>
      <c r="B2110" t="str">
        <f>"1578728466458566"</f>
        <v>1578728466458566</v>
      </c>
      <c r="C2110" t="s">
        <v>37</v>
      </c>
      <c r="D2110">
        <v>5.0128959999999996</v>
      </c>
      <c r="E2110">
        <v>0.46350419999999998</v>
      </c>
      <c r="F2110" t="s">
        <v>44</v>
      </c>
      <c r="G2110">
        <v>-464.58890000000002</v>
      </c>
      <c r="H2110" s="1">
        <v>8.7267199999999999E-7</v>
      </c>
      <c r="I2110">
        <v>215.3604</v>
      </c>
      <c r="J2110">
        <v>-476.55799999999999</v>
      </c>
      <c r="K2110">
        <v>1.115389</v>
      </c>
      <c r="L2110">
        <v>217.04830000000001</v>
      </c>
      <c r="M2110">
        <v>0.93021900000000002</v>
      </c>
      <c r="N2110">
        <v>0</v>
      </c>
      <c r="O2110">
        <v>-0.366789799999999</v>
      </c>
      <c r="P2110">
        <v>0.97851309999999903</v>
      </c>
      <c r="Q2110">
        <v>6.9748130000000005E-2</v>
      </c>
      <c r="R2110">
        <v>-0.19402910000000001</v>
      </c>
      <c r="S2110">
        <v>3.0000610000000001</v>
      </c>
      <c r="T2110">
        <v>-0.27459549999999999</v>
      </c>
      <c r="U2110">
        <v>-0.4349518</v>
      </c>
      <c r="V2110">
        <v>-0.1793806</v>
      </c>
      <c r="W2110">
        <v>7.9979099999999997E-2</v>
      </c>
      <c r="X2110">
        <v>0.98052329999999999</v>
      </c>
      <c r="Y2110">
        <v>-0.22719800000000001</v>
      </c>
      <c r="Z2110">
        <v>4.2834410000000003E-2</v>
      </c>
      <c r="AA2110">
        <v>0.9729061</v>
      </c>
      <c r="AB2110">
        <v>24</v>
      </c>
      <c r="AC2110">
        <v>11.969099999999999</v>
      </c>
      <c r="AD2110">
        <v>-1.115388127328</v>
      </c>
      <c r="AE2110">
        <v>-1.6879000000000099</v>
      </c>
      <c r="AF2110">
        <v>-2.79643849631888</v>
      </c>
      <c r="AG2110">
        <v>-1.115388127328</v>
      </c>
      <c r="AH2110">
        <v>11.654678646050799</v>
      </c>
      <c r="AI2110">
        <v>95.316726995053301</v>
      </c>
      <c r="AJ2110">
        <v>103.492551991388</v>
      </c>
      <c r="AK2110">
        <v>12.037262698844399</v>
      </c>
    </row>
    <row r="2111" spans="1:37" x14ac:dyDescent="0.2">
      <c r="A2111" t="str">
        <f>"20200111154106491"</f>
        <v>20200111154106491</v>
      </c>
      <c r="B2111" t="str">
        <f>"1578728466487847"</f>
        <v>1578728466487847</v>
      </c>
      <c r="C2111" t="s">
        <v>37</v>
      </c>
      <c r="D2111">
        <v>5.0112949999999996</v>
      </c>
      <c r="E2111">
        <v>0.46512379999999998</v>
      </c>
      <c r="F2111" t="s">
        <v>44</v>
      </c>
      <c r="G2111">
        <v>-459.2516</v>
      </c>
      <c r="H2111" s="1">
        <v>3.3579239999999999E-6</v>
      </c>
      <c r="I2111">
        <v>215.26949999999999</v>
      </c>
      <c r="J2111">
        <v>-476.33710000000002</v>
      </c>
      <c r="K2111">
        <v>1.1152629999999999</v>
      </c>
      <c r="L2111">
        <v>216.9699</v>
      </c>
      <c r="M2111">
        <v>0.93280969999999996</v>
      </c>
      <c r="N2111">
        <v>0</v>
      </c>
      <c r="O2111">
        <v>-0.36015190000000002</v>
      </c>
      <c r="P2111">
        <v>0.97956929999999998</v>
      </c>
      <c r="Q2111">
        <v>6.981176E-2</v>
      </c>
      <c r="R2111">
        <v>-0.18860109999999999</v>
      </c>
      <c r="S2111">
        <v>3.0182500000000001</v>
      </c>
      <c r="T2111">
        <v>-0.194524</v>
      </c>
      <c r="U2111">
        <v>-0.31022640000000001</v>
      </c>
      <c r="V2111">
        <v>-0.17780279999999901</v>
      </c>
      <c r="W2111">
        <v>8.0080799999999994E-2</v>
      </c>
      <c r="X2111">
        <v>0.98080239999999996</v>
      </c>
      <c r="Y2111">
        <v>-0.26167059999999998</v>
      </c>
      <c r="Z2111">
        <v>3.1022560000000001E-2</v>
      </c>
      <c r="AA2111">
        <v>0.96465849999999898</v>
      </c>
      <c r="AB2111">
        <v>24</v>
      </c>
      <c r="AC2111">
        <v>17.0855</v>
      </c>
      <c r="AD2111">
        <v>-1.1152596420759999</v>
      </c>
      <c r="AE2111">
        <v>-1.7003999999999999</v>
      </c>
      <c r="AF2111">
        <v>-4.5483935303677603</v>
      </c>
      <c r="AG2111">
        <v>-1.1152596420759999</v>
      </c>
      <c r="AH2111">
        <v>16.4816817568984</v>
      </c>
      <c r="AI2111">
        <v>93.732023420194196</v>
      </c>
      <c r="AJ2111">
        <v>105.427726339156</v>
      </c>
      <c r="AK2111">
        <v>17.134104041706198</v>
      </c>
    </row>
    <row r="2112" spans="1:37" x14ac:dyDescent="0.2">
      <c r="A2112" t="str">
        <f>"20200111154106513"</f>
        <v>20200111154106513</v>
      </c>
      <c r="B2112" t="str">
        <f>"1578728466508774"</f>
        <v>1578728466508774</v>
      </c>
      <c r="C2112" t="s">
        <v>37</v>
      </c>
      <c r="D2112">
        <v>4.9914160000000001</v>
      </c>
      <c r="E2112">
        <v>0.46683969999999902</v>
      </c>
      <c r="F2112" t="s">
        <v>44</v>
      </c>
      <c r="G2112">
        <v>-457.84739999999999</v>
      </c>
      <c r="H2112" s="1">
        <v>2.6181660000000001E-6</v>
      </c>
      <c r="I2112">
        <v>215.09729999999999</v>
      </c>
      <c r="J2112">
        <v>-476.1112</v>
      </c>
      <c r="K2112">
        <v>1.1151489999999999</v>
      </c>
      <c r="L2112">
        <v>216.8914</v>
      </c>
      <c r="M2112">
        <v>0.93532760000000004</v>
      </c>
      <c r="N2112">
        <v>0</v>
      </c>
      <c r="O2112">
        <v>-0.35356259999999901</v>
      </c>
      <c r="P2112">
        <v>0.98070440000000003</v>
      </c>
      <c r="Q2112">
        <v>6.9987450000000007E-2</v>
      </c>
      <c r="R2112">
        <v>-0.1825397</v>
      </c>
      <c r="S2112">
        <v>3.0167540000000002</v>
      </c>
      <c r="T2112">
        <v>-0.18196399999999999</v>
      </c>
      <c r="U2112">
        <v>-0.30554199999999998</v>
      </c>
      <c r="V2112">
        <v>-0.1769211</v>
      </c>
      <c r="W2112">
        <v>8.0285179999999998E-2</v>
      </c>
      <c r="X2112">
        <v>0.98094509999999902</v>
      </c>
      <c r="Y2112">
        <v>-0.256467</v>
      </c>
      <c r="Z2112">
        <v>2.8513429999999999E-2</v>
      </c>
      <c r="AA2112">
        <v>0.96613230000000005</v>
      </c>
      <c r="AB2112">
        <v>24</v>
      </c>
      <c r="AC2112">
        <v>18.2638</v>
      </c>
      <c r="AD2112">
        <v>-1.1151463818339999</v>
      </c>
      <c r="AE2112">
        <v>-1.79410000000001</v>
      </c>
      <c r="AF2112">
        <v>-4.7621139325367601</v>
      </c>
      <c r="AG2112">
        <v>-1.1151463818339999</v>
      </c>
      <c r="AH2112">
        <v>17.653160081528601</v>
      </c>
      <c r="AI2112">
        <v>93.490125507039494</v>
      </c>
      <c r="AJ2112">
        <v>105.09675003770001</v>
      </c>
      <c r="AK2112">
        <v>18.318169707245701</v>
      </c>
    </row>
    <row r="2113" spans="1:37" x14ac:dyDescent="0.2">
      <c r="A2113" t="str">
        <f>"20200111154106537"</f>
        <v>20200111154106537</v>
      </c>
      <c r="B2113" t="str">
        <f>"1578728466528294"</f>
        <v>1578728466528294</v>
      </c>
      <c r="C2113" t="s">
        <v>37</v>
      </c>
      <c r="D2113">
        <v>4.993125</v>
      </c>
      <c r="E2113">
        <v>0.46824949999999999</v>
      </c>
      <c r="F2113" t="s">
        <v>44</v>
      </c>
      <c r="G2113">
        <v>-457.78949999999998</v>
      </c>
      <c r="H2113" s="1">
        <v>2.5887490000000002E-6</v>
      </c>
      <c r="I2113">
        <v>215.06599999999901</v>
      </c>
      <c r="J2113">
        <v>-475.87380000000002</v>
      </c>
      <c r="K2113">
        <v>1.1150180000000001</v>
      </c>
      <c r="L2113">
        <v>216.81049999999999</v>
      </c>
      <c r="M2113">
        <v>0.93783780000000005</v>
      </c>
      <c r="N2113">
        <v>0</v>
      </c>
      <c r="O2113">
        <v>-0.34685070000000001</v>
      </c>
      <c r="P2113">
        <v>0.98172299999999901</v>
      </c>
      <c r="Q2113">
        <v>7.096653E-2</v>
      </c>
      <c r="R2113">
        <v>-0.1765892</v>
      </c>
      <c r="S2113">
        <v>3.0161739999999999</v>
      </c>
      <c r="T2113">
        <v>-0.18357899999999999</v>
      </c>
      <c r="U2113">
        <v>-0.30050659999999901</v>
      </c>
      <c r="V2113">
        <v>-0.17579649999999999</v>
      </c>
      <c r="W2113">
        <v>8.130039E-2</v>
      </c>
      <c r="X2113">
        <v>0.98106369999999898</v>
      </c>
      <c r="Y2113">
        <v>-0.25111729999999999</v>
      </c>
      <c r="Z2113">
        <v>2.8230359999999999E-2</v>
      </c>
      <c r="AA2113">
        <v>0.96754490000000004</v>
      </c>
      <c r="AB2113">
        <v>24</v>
      </c>
      <c r="AC2113">
        <v>18.084299999999999</v>
      </c>
      <c r="AD2113">
        <v>-1.115015411251</v>
      </c>
      <c r="AE2113">
        <v>-1.7445000000000099</v>
      </c>
      <c r="AF2113">
        <v>-4.6194540179009502</v>
      </c>
      <c r="AG2113">
        <v>-1.115015411251</v>
      </c>
      <c r="AH2113">
        <v>17.500665430178302</v>
      </c>
      <c r="AI2113">
        <v>93.525126498270893</v>
      </c>
      <c r="AJ2113">
        <v>104.786468886637</v>
      </c>
      <c r="AK2113">
        <v>18.1343846129353</v>
      </c>
    </row>
    <row r="2114" spans="1:37" x14ac:dyDescent="0.2">
      <c r="A2114" t="str">
        <f>"20200111154106556"</f>
        <v>20200111154106556</v>
      </c>
      <c r="B2114" t="str">
        <f>"1578728466547815"</f>
        <v>1578728466547815</v>
      </c>
      <c r="C2114" t="s">
        <v>37</v>
      </c>
      <c r="D2114">
        <v>5.0262149999999997</v>
      </c>
      <c r="E2114">
        <v>0.46901909999999902</v>
      </c>
      <c r="F2114" t="s">
        <v>44</v>
      </c>
      <c r="G2114">
        <v>-457.60559999999998</v>
      </c>
      <c r="H2114" s="1">
        <v>2.4922620000000001E-6</v>
      </c>
      <c r="I2114">
        <v>215.03389999999999</v>
      </c>
      <c r="J2114">
        <v>-475.66699999999997</v>
      </c>
      <c r="K2114">
        <v>1.1148959999999899</v>
      </c>
      <c r="L2114">
        <v>216.7413</v>
      </c>
      <c r="M2114">
        <v>0.93991569999999902</v>
      </c>
      <c r="N2114">
        <v>0</v>
      </c>
      <c r="O2114">
        <v>-0.34118109999999902</v>
      </c>
      <c r="P2114">
        <v>0.98250780000000004</v>
      </c>
      <c r="Q2114">
        <v>7.2084019999999999E-2</v>
      </c>
      <c r="R2114">
        <v>-0.171704299999999</v>
      </c>
      <c r="S2114">
        <v>3.0164179999999998</v>
      </c>
      <c r="T2114">
        <v>-0.18410899999999999</v>
      </c>
      <c r="U2114">
        <v>-0.29335020000000001</v>
      </c>
      <c r="V2114">
        <v>-0.17470849999999999</v>
      </c>
      <c r="W2114">
        <v>8.2454730000000004E-2</v>
      </c>
      <c r="X2114">
        <v>0.98116170000000003</v>
      </c>
      <c r="Y2114">
        <v>-0.24756239999999999</v>
      </c>
      <c r="Z2114">
        <v>2.7881590000000001E-2</v>
      </c>
      <c r="AA2114">
        <v>0.96847070000000002</v>
      </c>
      <c r="AB2114">
        <v>24</v>
      </c>
      <c r="AC2114">
        <v>18.0613999999999</v>
      </c>
      <c r="AD2114">
        <v>-1.11489350773799</v>
      </c>
      <c r="AE2114">
        <v>-1.7074</v>
      </c>
      <c r="AF2114">
        <v>-4.54059907079162</v>
      </c>
      <c r="AG2114">
        <v>-1.11489350773799</v>
      </c>
      <c r="AH2114">
        <v>17.494009886901999</v>
      </c>
      <c r="AI2114">
        <v>93.529878890258203</v>
      </c>
      <c r="AJ2114">
        <v>104.55015141294901</v>
      </c>
      <c r="AK2114">
        <v>18.108020581452099</v>
      </c>
    </row>
    <row r="2115" spans="1:37" x14ac:dyDescent="0.2">
      <c r="A2115" t="str">
        <f>"20200111154106580"</f>
        <v>20200111154106580</v>
      </c>
      <c r="B2115" t="str">
        <f>"1578728466568311"</f>
        <v>1578728466568311</v>
      </c>
      <c r="C2115" t="s">
        <v>37</v>
      </c>
      <c r="D2115">
        <v>5.1049290000000003</v>
      </c>
      <c r="E2115">
        <v>0.46957789999999999</v>
      </c>
      <c r="F2115" t="s">
        <v>44</v>
      </c>
      <c r="G2115">
        <v>-457.26350000000002</v>
      </c>
      <c r="H2115" s="1">
        <v>2.3112929999999998E-6</v>
      </c>
      <c r="I2115">
        <v>215.00980000000001</v>
      </c>
      <c r="J2115">
        <v>-475.43450000000001</v>
      </c>
      <c r="K2115">
        <v>1.114749</v>
      </c>
      <c r="L2115">
        <v>216.66499999999999</v>
      </c>
      <c r="M2115">
        <v>0.94213619999999898</v>
      </c>
      <c r="N2115">
        <v>0</v>
      </c>
      <c r="O2115">
        <v>-0.33500200000000002</v>
      </c>
      <c r="P2115">
        <v>0.98340919999999898</v>
      </c>
      <c r="Q2115">
        <v>7.3085259999999999E-2</v>
      </c>
      <c r="R2115">
        <v>-0.16602729999999999</v>
      </c>
      <c r="S2115">
        <v>3.0172119999999998</v>
      </c>
      <c r="T2115">
        <v>-0.18278459999999999</v>
      </c>
      <c r="U2115">
        <v>-0.28387449999999997</v>
      </c>
      <c r="V2115">
        <v>-0.17388529999999999</v>
      </c>
      <c r="W2115">
        <v>8.3492549999999999E-2</v>
      </c>
      <c r="X2115">
        <v>0.98122009999999904</v>
      </c>
      <c r="Y2115">
        <v>-0.2442703</v>
      </c>
      <c r="Z2115">
        <v>2.7228990000000002E-2</v>
      </c>
      <c r="AA2115">
        <v>0.96932479999999999</v>
      </c>
      <c r="AB2115">
        <v>24</v>
      </c>
      <c r="AC2115">
        <v>18.1709999999999</v>
      </c>
      <c r="AD2115">
        <v>-1.1147466887070001</v>
      </c>
      <c r="AE2115">
        <v>-1.65519999999997</v>
      </c>
      <c r="AF2115">
        <v>-4.5114049583343796</v>
      </c>
      <c r="AG2115">
        <v>-1.1147466887070001</v>
      </c>
      <c r="AH2115">
        <v>17.6096757193454</v>
      </c>
      <c r="AI2115">
        <v>93.509135814847198</v>
      </c>
      <c r="AJ2115">
        <v>104.369498174112</v>
      </c>
      <c r="AK2115">
        <v>18.2125262887544</v>
      </c>
    </row>
    <row r="2116" spans="1:37" x14ac:dyDescent="0.2">
      <c r="A2116" t="str">
        <f>"20200111154106602"</f>
        <v>20200111154106602</v>
      </c>
      <c r="B2116" t="str">
        <f>"1578728466598566"</f>
        <v>1578728466598566</v>
      </c>
      <c r="C2116" t="s">
        <v>37</v>
      </c>
      <c r="D2116">
        <v>5.1095739999999896</v>
      </c>
      <c r="E2116">
        <v>0.46986119999999998</v>
      </c>
      <c r="F2116" t="s">
        <v>44</v>
      </c>
      <c r="G2116">
        <v>-457.09690000000001</v>
      </c>
      <c r="H2116" s="1">
        <v>2.2221829999999998E-6</v>
      </c>
      <c r="I2116">
        <v>215.0197</v>
      </c>
      <c r="J2116">
        <v>-475.20890000000003</v>
      </c>
      <c r="K2116">
        <v>1.114601</v>
      </c>
      <c r="L2116">
        <v>216.59219999999999</v>
      </c>
      <c r="M2116">
        <v>0.94417980000000001</v>
      </c>
      <c r="N2116">
        <v>0</v>
      </c>
      <c r="O2116">
        <v>-0.32919959999999998</v>
      </c>
      <c r="P2116">
        <v>0.98426519999999995</v>
      </c>
      <c r="Q2116">
        <v>7.3065400000000003E-2</v>
      </c>
      <c r="R2116">
        <v>-0.16088359999999999</v>
      </c>
      <c r="S2116">
        <v>3.018494</v>
      </c>
      <c r="T2116">
        <v>-0.1834943</v>
      </c>
      <c r="U2116">
        <v>-0.27081300000000003</v>
      </c>
      <c r="V2116">
        <v>-0.1729475</v>
      </c>
      <c r="W2116">
        <v>8.3501569999999997E-2</v>
      </c>
      <c r="X2116">
        <v>0.98138510000000001</v>
      </c>
      <c r="Y2116">
        <v>-0.2425081</v>
      </c>
      <c r="Z2116">
        <v>2.6945489999999999E-2</v>
      </c>
      <c r="AA2116">
        <v>0.9697751</v>
      </c>
      <c r="AB2116">
        <v>24</v>
      </c>
      <c r="AC2116">
        <v>18.111999999999998</v>
      </c>
      <c r="AD2116">
        <v>-1.1145987778169999</v>
      </c>
      <c r="AE2116">
        <v>-1.57249999999999</v>
      </c>
      <c r="AF2116">
        <v>-4.4613121177040203</v>
      </c>
      <c r="AG2116">
        <v>-1.1145987778169999</v>
      </c>
      <c r="AH2116">
        <v>17.554010154389399</v>
      </c>
      <c r="AI2116">
        <v>93.521487118098307</v>
      </c>
      <c r="AJ2116">
        <v>104.259693297808</v>
      </c>
      <c r="AK2116">
        <v>18.1463194270213</v>
      </c>
    </row>
    <row r="2117" spans="1:37" x14ac:dyDescent="0.2">
      <c r="A2117" t="str">
        <f>"20200111154106624"</f>
        <v>20200111154106624</v>
      </c>
      <c r="B2117" t="str">
        <f>"1578728466618086"</f>
        <v>1578728466618086</v>
      </c>
      <c r="C2117" t="s">
        <v>37</v>
      </c>
      <c r="D2117">
        <v>5.078506</v>
      </c>
      <c r="E2117">
        <v>0.47013240000000001</v>
      </c>
      <c r="F2117" t="s">
        <v>44</v>
      </c>
      <c r="G2117">
        <v>-457.8526</v>
      </c>
      <c r="H2117" s="1">
        <v>2.620289E-6</v>
      </c>
      <c r="I2117">
        <v>215.1122</v>
      </c>
      <c r="J2117">
        <v>-474.98379999999997</v>
      </c>
      <c r="K2117">
        <v>1.1144559999999999</v>
      </c>
      <c r="L2117">
        <v>216.52090000000001</v>
      </c>
      <c r="M2117">
        <v>0.94611039999999902</v>
      </c>
      <c r="N2117">
        <v>0</v>
      </c>
      <c r="O2117">
        <v>-0.3236115</v>
      </c>
      <c r="P2117">
        <v>0.98504659999999999</v>
      </c>
      <c r="Q2117">
        <v>7.3294979999999996E-2</v>
      </c>
      <c r="R2117">
        <v>-0.15592200000000001</v>
      </c>
      <c r="S2117">
        <v>3.0202640000000001</v>
      </c>
      <c r="T2117">
        <v>-0.19395689999999999</v>
      </c>
      <c r="U2117">
        <v>-0.25753779999999998</v>
      </c>
      <c r="V2117">
        <v>-0.17205789999999899</v>
      </c>
      <c r="W2117">
        <v>8.3754839999999997E-2</v>
      </c>
      <c r="X2117">
        <v>0.9815199</v>
      </c>
      <c r="Y2117">
        <v>-0.2409481</v>
      </c>
      <c r="Z2117">
        <v>2.8081740000000001E-2</v>
      </c>
      <c r="AA2117">
        <v>0.97013159999999898</v>
      </c>
      <c r="AB2117">
        <v>24</v>
      </c>
      <c r="AC2117">
        <v>17.1311999999999</v>
      </c>
      <c r="AD2117">
        <v>-1.1144533797109999</v>
      </c>
      <c r="AE2117">
        <v>-1.4087000000000101</v>
      </c>
      <c r="AF2117">
        <v>-4.1937560866061601</v>
      </c>
      <c r="AG2117">
        <v>-1.1144533797109999</v>
      </c>
      <c r="AH2117">
        <v>16.595373503357401</v>
      </c>
      <c r="AI2117">
        <v>93.725140261124494</v>
      </c>
      <c r="AJ2117">
        <v>104.182090813092</v>
      </c>
      <c r="AK2117">
        <v>17.153309248230499</v>
      </c>
    </row>
    <row r="2118" spans="1:37" x14ac:dyDescent="0.2">
      <c r="A2118" t="str">
        <f>"20200111154106646"</f>
        <v>20200111154106646</v>
      </c>
      <c r="B2118" t="str">
        <f>"1578728466638582"</f>
        <v>1578728466638582</v>
      </c>
      <c r="C2118" t="s">
        <v>37</v>
      </c>
      <c r="D2118">
        <v>5.1171439999999997</v>
      </c>
      <c r="E2118">
        <v>0.4705106</v>
      </c>
      <c r="F2118" t="s">
        <v>44</v>
      </c>
      <c r="G2118">
        <v>-458.04509999999999</v>
      </c>
      <c r="H2118" s="1">
        <v>2.72105E-6</v>
      </c>
      <c r="I2118">
        <v>215.15090000000001</v>
      </c>
      <c r="J2118">
        <v>-474.75290000000001</v>
      </c>
      <c r="K2118">
        <v>1.114328</v>
      </c>
      <c r="L2118">
        <v>216.44909999999999</v>
      </c>
      <c r="M2118">
        <v>0.94799040000000001</v>
      </c>
      <c r="N2118">
        <v>0</v>
      </c>
      <c r="O2118">
        <v>-0.3180635</v>
      </c>
      <c r="P2118">
        <v>0.98575029999999997</v>
      </c>
      <c r="Q2118">
        <v>7.3399290000000006E-2</v>
      </c>
      <c r="R2118">
        <v>-0.15135609999999999</v>
      </c>
      <c r="S2118">
        <v>3.021576</v>
      </c>
      <c r="T2118">
        <v>-0.19879929999999901</v>
      </c>
      <c r="U2118">
        <v>-0.24438479999999899</v>
      </c>
      <c r="V2118">
        <v>-0.1708269</v>
      </c>
      <c r="W2118">
        <v>8.387791E-2</v>
      </c>
      <c r="X2118">
        <v>0.98172429999999999</v>
      </c>
      <c r="Y2118">
        <v>-0.23945079999999999</v>
      </c>
      <c r="Z2118">
        <v>2.8382299999999999E-2</v>
      </c>
      <c r="AA2118">
        <v>0.97049359999999996</v>
      </c>
      <c r="AB2118">
        <v>24</v>
      </c>
      <c r="AC2118">
        <v>16.707799999999999</v>
      </c>
      <c r="AD2118">
        <v>-1.11432527895</v>
      </c>
      <c r="AE2118">
        <v>-1.29819999999998</v>
      </c>
      <c r="AF2118">
        <v>-4.0657891596097899</v>
      </c>
      <c r="AG2118">
        <v>-1.11432527895</v>
      </c>
      <c r="AH2118">
        <v>16.1814151185173</v>
      </c>
      <c r="AI2118">
        <v>93.821024301315703</v>
      </c>
      <c r="AJ2118">
        <v>104.104325212433</v>
      </c>
      <c r="AK2118">
        <v>16.721559662767302</v>
      </c>
    </row>
    <row r="2119" spans="1:37" x14ac:dyDescent="0.2">
      <c r="A2119" t="str">
        <f>"20200111154106668"</f>
        <v>20200111154106668</v>
      </c>
      <c r="B2119" t="str">
        <f>"1578728466658103"</f>
        <v>1578728466658103</v>
      </c>
      <c r="C2119" t="s">
        <v>37</v>
      </c>
      <c r="D2119">
        <v>5.0719510000000003</v>
      </c>
      <c r="E2119">
        <v>0.47559079999999898</v>
      </c>
      <c r="F2119" t="s">
        <v>44</v>
      </c>
      <c r="G2119">
        <v>-458.1336</v>
      </c>
      <c r="H2119" s="1">
        <v>2.7674299999999999E-6</v>
      </c>
      <c r="I2119">
        <v>215.16759999999999</v>
      </c>
      <c r="J2119">
        <v>-474.52800000000002</v>
      </c>
      <c r="K2119">
        <v>1.114228</v>
      </c>
      <c r="L2119">
        <v>216.38030000000001</v>
      </c>
      <c r="M2119">
        <v>0.94974369999999997</v>
      </c>
      <c r="N2119">
        <v>0</v>
      </c>
      <c r="O2119">
        <v>-0.31279119999999999</v>
      </c>
      <c r="P2119">
        <v>0.9864039</v>
      </c>
      <c r="Q2119">
        <v>7.3354799999999998E-2</v>
      </c>
      <c r="R2119">
        <v>-0.14706059999999899</v>
      </c>
      <c r="S2119">
        <v>3.022675</v>
      </c>
      <c r="T2119">
        <v>-0.20267060000000001</v>
      </c>
      <c r="U2119">
        <v>-0.23307800000000001</v>
      </c>
      <c r="V2119">
        <v>-0.169629</v>
      </c>
      <c r="W2119">
        <v>8.3840849999999995E-2</v>
      </c>
      <c r="X2119">
        <v>0.98193519999999901</v>
      </c>
      <c r="Y2119">
        <v>-0.23766190000000001</v>
      </c>
      <c r="Z2119">
        <v>2.85347E-2</v>
      </c>
      <c r="AA2119">
        <v>0.97092869999999998</v>
      </c>
      <c r="AB2119">
        <v>24</v>
      </c>
      <c r="AC2119">
        <v>16.394400000000001</v>
      </c>
      <c r="AD2119">
        <v>-1.1142252325699999</v>
      </c>
      <c r="AE2119">
        <v>-1.2127000000000101</v>
      </c>
      <c r="AF2119">
        <v>-3.9583807187223798</v>
      </c>
      <c r="AG2119">
        <v>-1.1142252325699999</v>
      </c>
      <c r="AH2119">
        <v>15.8780422245524</v>
      </c>
      <c r="AI2119">
        <v>93.895255230746599</v>
      </c>
      <c r="AJ2119">
        <v>103.99843778105</v>
      </c>
      <c r="AK2119">
        <v>16.401905397480999</v>
      </c>
    </row>
    <row r="2120" spans="1:37" x14ac:dyDescent="0.2">
      <c r="A2120" t="str">
        <f>"20200111154106692"</f>
        <v>20200111154106692</v>
      </c>
      <c r="B2120" t="str">
        <f>"1578728466688359"</f>
        <v>1578728466688359</v>
      </c>
      <c r="C2120" t="s">
        <v>37</v>
      </c>
      <c r="D2120">
        <v>5.0916169999999896</v>
      </c>
      <c r="E2120">
        <v>0.47703509999999999</v>
      </c>
      <c r="F2120" t="s">
        <v>44</v>
      </c>
      <c r="G2120">
        <v>-461.0772</v>
      </c>
      <c r="H2120" s="1">
        <v>-9.8985909999999991E-7</v>
      </c>
      <c r="I2120">
        <v>215.2183</v>
      </c>
      <c r="J2120">
        <v>-474.2919</v>
      </c>
      <c r="K2120">
        <v>1.1141540000000001</v>
      </c>
      <c r="L2120">
        <v>216.30940000000001</v>
      </c>
      <c r="M2120">
        <v>0.95151129999999995</v>
      </c>
      <c r="N2120">
        <v>0</v>
      </c>
      <c r="O2120">
        <v>-0.30737399999999998</v>
      </c>
      <c r="P2120">
        <v>0.98708739999999995</v>
      </c>
      <c r="Q2120">
        <v>7.3215039999999995E-2</v>
      </c>
      <c r="R2120">
        <v>-0.14247079999999901</v>
      </c>
      <c r="S2120">
        <v>3.0210569999999999</v>
      </c>
      <c r="T2120">
        <v>-0.25025589999999998</v>
      </c>
      <c r="U2120">
        <v>-0.2609863</v>
      </c>
      <c r="V2120">
        <v>-0.16858580000000001</v>
      </c>
      <c r="W2120">
        <v>8.369878E-2</v>
      </c>
      <c r="X2120">
        <v>0.98212699999999997</v>
      </c>
      <c r="Y2120">
        <v>-0.2225907</v>
      </c>
      <c r="Z2120">
        <v>3.4161370000000003E-2</v>
      </c>
      <c r="AA2120">
        <v>0.97431329999999905</v>
      </c>
      <c r="AB2120">
        <v>24</v>
      </c>
      <c r="AC2120">
        <v>13.214699999999899</v>
      </c>
      <c r="AD2120">
        <v>-1.1141549898591001</v>
      </c>
      <c r="AE2120">
        <v>-1.09110000000001</v>
      </c>
      <c r="AF2120">
        <v>-3.00268420659846</v>
      </c>
      <c r="AG2120">
        <v>-1.1141549898591001</v>
      </c>
      <c r="AH2120">
        <v>12.8197522486577</v>
      </c>
      <c r="AI2120">
        <v>94.836795393793807</v>
      </c>
      <c r="AJ2120">
        <v>103.18236926392601</v>
      </c>
      <c r="AK2120">
        <v>13.213761822545001</v>
      </c>
    </row>
    <row r="2121" spans="1:37" x14ac:dyDescent="0.2">
      <c r="A2121" t="str">
        <f>"20200111154106715"</f>
        <v>20200111154106715</v>
      </c>
      <c r="B2121" t="str">
        <f>"1578728466707879"</f>
        <v>1578728466707879</v>
      </c>
      <c r="C2121" t="s">
        <v>37</v>
      </c>
      <c r="D2121">
        <v>5.1003959999999999</v>
      </c>
      <c r="E2121">
        <v>0.47733359999999903</v>
      </c>
      <c r="F2121" t="s">
        <v>44</v>
      </c>
      <c r="G2121">
        <v>-460.79739999999998</v>
      </c>
      <c r="H2121" s="1">
        <v>-1.136077E-6</v>
      </c>
      <c r="I2121">
        <v>215.1566</v>
      </c>
      <c r="J2121">
        <v>-474.04649999999998</v>
      </c>
      <c r="K2121">
        <v>1.114088</v>
      </c>
      <c r="L2121">
        <v>216.2372</v>
      </c>
      <c r="M2121">
        <v>0.95327899999999999</v>
      </c>
      <c r="N2121">
        <v>0</v>
      </c>
      <c r="O2121">
        <v>-0.30184899999999998</v>
      </c>
      <c r="P2121">
        <v>0.9876509</v>
      </c>
      <c r="Q2121">
        <v>7.3607790000000006E-2</v>
      </c>
      <c r="R2121">
        <v>-0.1383036</v>
      </c>
      <c r="S2121">
        <v>3.0205380000000002</v>
      </c>
      <c r="T2121">
        <v>-0.2493871</v>
      </c>
      <c r="U2121">
        <v>-0.25804139999999998</v>
      </c>
      <c r="V2121">
        <v>-0.16701359999999901</v>
      </c>
      <c r="W2121">
        <v>8.4085069999999998E-2</v>
      </c>
      <c r="X2121">
        <v>0.98236250000000003</v>
      </c>
      <c r="Y2121">
        <v>-0.2179074</v>
      </c>
      <c r="Z2121">
        <v>3.3424130000000003E-2</v>
      </c>
      <c r="AA2121">
        <v>0.97539690000000001</v>
      </c>
      <c r="AB2121">
        <v>24</v>
      </c>
      <c r="AC2121">
        <v>13.2491</v>
      </c>
      <c r="AD2121">
        <v>-1.114089136077</v>
      </c>
      <c r="AE2121">
        <v>-1.0806</v>
      </c>
      <c r="AF2121">
        <v>-2.9486202938342898</v>
      </c>
      <c r="AG2121">
        <v>-1.114089136077</v>
      </c>
      <c r="AH2121">
        <v>12.8668375352062</v>
      </c>
      <c r="AI2121">
        <v>94.824233710978305</v>
      </c>
      <c r="AJ2121">
        <v>102.907281854727</v>
      </c>
      <c r="AK2121">
        <v>13.247304042624201</v>
      </c>
    </row>
    <row r="2122" spans="1:37" x14ac:dyDescent="0.2">
      <c r="A2122" t="str">
        <f>"20200111154106736"</f>
        <v>20200111154106736</v>
      </c>
      <c r="B2122" t="str">
        <f>"1578728466728374"</f>
        <v>1578728466728374</v>
      </c>
      <c r="C2122" t="s">
        <v>37</v>
      </c>
      <c r="D2122">
        <v>5.0710239999999898</v>
      </c>
      <c r="E2122">
        <v>0.47791670000000003</v>
      </c>
      <c r="F2122" t="s">
        <v>44</v>
      </c>
      <c r="G2122">
        <v>-460.4366</v>
      </c>
      <c r="H2122" s="1">
        <v>-1.3265899999999899E-6</v>
      </c>
      <c r="I2122">
        <v>215.1232</v>
      </c>
      <c r="J2122">
        <v>-473.83069999999998</v>
      </c>
      <c r="K2122">
        <v>1.11405</v>
      </c>
      <c r="L2122">
        <v>216.1748</v>
      </c>
      <c r="M2122">
        <v>0.95478399999999997</v>
      </c>
      <c r="N2122">
        <v>0</v>
      </c>
      <c r="O2122">
        <v>-0.29705599999999999</v>
      </c>
      <c r="P2122">
        <v>0.9881027</v>
      </c>
      <c r="Q2122">
        <v>7.3810440000000005E-2</v>
      </c>
      <c r="R2122">
        <v>-0.13492750000000001</v>
      </c>
      <c r="S2122">
        <v>3.0213619999999999</v>
      </c>
      <c r="T2122">
        <v>-0.24732589999999999</v>
      </c>
      <c r="U2122">
        <v>-0.24731449999999999</v>
      </c>
      <c r="V2122">
        <v>-0.16542179999999901</v>
      </c>
      <c r="W2122">
        <v>8.4278450000000005E-2</v>
      </c>
      <c r="X2122">
        <v>0.98261529999999997</v>
      </c>
      <c r="Y2122">
        <v>-0.2165147</v>
      </c>
      <c r="Z2122">
        <v>3.271665E-2</v>
      </c>
      <c r="AA2122">
        <v>0.97573099999999902</v>
      </c>
      <c r="AB2122">
        <v>24</v>
      </c>
      <c r="AC2122">
        <v>13.3940999999999</v>
      </c>
      <c r="AD2122">
        <v>-1.1140513265899901</v>
      </c>
      <c r="AE2122">
        <v>-1.0516000000000001</v>
      </c>
      <c r="AF2122">
        <v>-2.9546478161345702</v>
      </c>
      <c r="AG2122">
        <v>-1.1140513265899901</v>
      </c>
      <c r="AH2122">
        <v>13.012339551664899</v>
      </c>
      <c r="AI2122">
        <v>94.772540943346598</v>
      </c>
      <c r="AJ2122">
        <v>102.792952152455</v>
      </c>
      <c r="AK2122">
        <v>13.389997560996401</v>
      </c>
    </row>
    <row r="2123" spans="1:37" x14ac:dyDescent="0.2">
      <c r="A2123" t="str">
        <f>"20200111154106758"</f>
        <v>20200111154106758</v>
      </c>
      <c r="B2123" t="str">
        <f>"1578728466747895"</f>
        <v>1578728466747895</v>
      </c>
      <c r="C2123" t="s">
        <v>37</v>
      </c>
      <c r="D2123">
        <v>5.0778759999999998</v>
      </c>
      <c r="E2123">
        <v>0.4785626</v>
      </c>
      <c r="F2123" t="s">
        <v>44</v>
      </c>
      <c r="G2123">
        <v>-460.21539999999999</v>
      </c>
      <c r="H2123" s="1">
        <v>-1.4427869999999901E-6</v>
      </c>
      <c r="I2123">
        <v>215.0882</v>
      </c>
      <c r="J2123">
        <v>-473.60039999999998</v>
      </c>
      <c r="K2123">
        <v>1.1140099999999999</v>
      </c>
      <c r="L2123">
        <v>216.1095</v>
      </c>
      <c r="M2123">
        <v>0.95634779999999997</v>
      </c>
      <c r="N2123">
        <v>0</v>
      </c>
      <c r="O2123">
        <v>-0.29198429999999997</v>
      </c>
      <c r="P2123">
        <v>0.98848939999999996</v>
      </c>
      <c r="Q2123">
        <v>7.450917E-2</v>
      </c>
      <c r="R2123">
        <v>-0.1316697</v>
      </c>
      <c r="S2123">
        <v>3.02169799999999</v>
      </c>
      <c r="T2123">
        <v>-0.247246299999999</v>
      </c>
      <c r="U2123">
        <v>-0.241149899999999</v>
      </c>
      <c r="V2123">
        <v>-0.1634263</v>
      </c>
      <c r="W2123">
        <v>8.4957899999999906E-2</v>
      </c>
      <c r="X2123">
        <v>0.98289069999999901</v>
      </c>
      <c r="Y2123">
        <v>-0.21334699999999901</v>
      </c>
      <c r="Z2123">
        <v>3.2181090000000002E-2</v>
      </c>
      <c r="AA2123">
        <v>0.97644629999999999</v>
      </c>
      <c r="AB2123">
        <v>24</v>
      </c>
      <c r="AC2123">
        <v>13.3849999999999</v>
      </c>
      <c r="AD2123">
        <v>-1.114011442787</v>
      </c>
      <c r="AE2123">
        <v>-1.0212999999999901</v>
      </c>
      <c r="AF2123">
        <v>-2.9116508764214899</v>
      </c>
      <c r="AG2123">
        <v>-1.114011442787</v>
      </c>
      <c r="AH2123">
        <v>13.0102625522398</v>
      </c>
      <c r="AI2123">
        <v>94.776461865574404</v>
      </c>
      <c r="AJ2123">
        <v>102.61473233573101</v>
      </c>
      <c r="AK2123">
        <v>13.3785523880216</v>
      </c>
    </row>
    <row r="2124" spans="1:37" x14ac:dyDescent="0.2">
      <c r="A2124" t="str">
        <f>"20200111154106780"</f>
        <v>20200111154106780</v>
      </c>
      <c r="B2124" t="str">
        <f>"1578728466768390"</f>
        <v>1578728466768390</v>
      </c>
      <c r="C2124" t="s">
        <v>37</v>
      </c>
      <c r="D2124">
        <v>5.1099759999999996</v>
      </c>
      <c r="E2124">
        <v>0.47914609999999902</v>
      </c>
      <c r="F2124" t="s">
        <v>44</v>
      </c>
      <c r="G2124">
        <v>-459.86270000000002</v>
      </c>
      <c r="H2124" s="1">
        <v>3.6932169999999999E-6</v>
      </c>
      <c r="I2124">
        <v>215.0376</v>
      </c>
      <c r="J2124">
        <v>-473.37650000000002</v>
      </c>
      <c r="K2124">
        <v>1.113977</v>
      </c>
      <c r="L2124">
        <v>216.0471</v>
      </c>
      <c r="M2124">
        <v>0.95783259999999903</v>
      </c>
      <c r="N2124">
        <v>0</v>
      </c>
      <c r="O2124">
        <v>-0.28707899999999997</v>
      </c>
      <c r="P2124">
        <v>0.98879030000000001</v>
      </c>
      <c r="Q2124">
        <v>7.4832270000000006E-2</v>
      </c>
      <c r="R2124">
        <v>-0.1292066</v>
      </c>
      <c r="S2124">
        <v>3.02200299999999</v>
      </c>
      <c r="T2124">
        <v>-0.24505769999999999</v>
      </c>
      <c r="U2124">
        <v>-0.23577880000000001</v>
      </c>
      <c r="V2124">
        <v>-0.16082569999999999</v>
      </c>
      <c r="W2124">
        <v>8.525199E-2</v>
      </c>
      <c r="X2124">
        <v>0.98329409999999895</v>
      </c>
      <c r="Y2124">
        <v>-0.2101268</v>
      </c>
      <c r="Z2124">
        <v>3.1386610000000002E-2</v>
      </c>
      <c r="AA2124">
        <v>0.97717019999999899</v>
      </c>
      <c r="AB2124">
        <v>24</v>
      </c>
      <c r="AC2124">
        <v>13.5138</v>
      </c>
      <c r="AD2124">
        <v>-1.113973306783</v>
      </c>
      <c r="AE2124">
        <v>-1.0095000000000001</v>
      </c>
      <c r="AF2124">
        <v>-2.8932527331080702</v>
      </c>
      <c r="AG2124">
        <v>-1.113973306783</v>
      </c>
      <c r="AH2124">
        <v>13.145874938923001</v>
      </c>
      <c r="AI2124">
        <v>94.730943971076897</v>
      </c>
      <c r="AJ2124">
        <v>102.412241872804</v>
      </c>
      <c r="AK2124">
        <v>13.5065123483328</v>
      </c>
    </row>
    <row r="2125" spans="1:37" x14ac:dyDescent="0.2">
      <c r="A2125" t="str">
        <f>"20200111154106805"</f>
        <v>20200111154106805</v>
      </c>
      <c r="B2125" t="str">
        <f>"1578728466798646"</f>
        <v>1578728466798646</v>
      </c>
      <c r="C2125" t="s">
        <v>37</v>
      </c>
      <c r="D2125">
        <v>5.1037929999999996</v>
      </c>
      <c r="E2125">
        <v>0.47989609999999899</v>
      </c>
      <c r="F2125" t="s">
        <v>44</v>
      </c>
      <c r="G2125">
        <v>-459.57229999999998</v>
      </c>
      <c r="H2125" s="1">
        <v>3.5409409999999999E-6</v>
      </c>
      <c r="I2125">
        <v>214.98580000000001</v>
      </c>
      <c r="J2125">
        <v>-473.12060000000002</v>
      </c>
      <c r="K2125">
        <v>1.11395</v>
      </c>
      <c r="L2125">
        <v>215.97739999999999</v>
      </c>
      <c r="M2125">
        <v>0.95949200000000001</v>
      </c>
      <c r="N2125">
        <v>0</v>
      </c>
      <c r="O2125">
        <v>-0.2814873</v>
      </c>
      <c r="P2125">
        <v>0.9891508</v>
      </c>
      <c r="Q2125">
        <v>7.5353729999999994E-2</v>
      </c>
      <c r="R2125">
        <v>-0.12610550000000001</v>
      </c>
      <c r="S2125">
        <v>3.0220950000000002</v>
      </c>
      <c r="T2125">
        <v>-0.24387739999999999</v>
      </c>
      <c r="U2125">
        <v>-0.23236079999999901</v>
      </c>
      <c r="V2125">
        <v>-0.15816060000000001</v>
      </c>
      <c r="W2125">
        <v>8.5693340000000007E-2</v>
      </c>
      <c r="X2125">
        <v>0.98368789999999995</v>
      </c>
      <c r="Y2125">
        <v>-0.205571</v>
      </c>
      <c r="Z2125">
        <v>3.062119E-2</v>
      </c>
      <c r="AA2125">
        <v>0.97816309999999995</v>
      </c>
      <c r="AB2125">
        <v>24</v>
      </c>
      <c r="AC2125">
        <v>13.548299999999999</v>
      </c>
      <c r="AD2125">
        <v>-1.113946459059</v>
      </c>
      <c r="AE2125">
        <v>-0.99159999999997595</v>
      </c>
      <c r="AF2125">
        <v>-2.8433235036663902</v>
      </c>
      <c r="AG2125">
        <v>-1.113946459059</v>
      </c>
      <c r="AH2125">
        <v>13.1908404027372</v>
      </c>
      <c r="AI2125">
        <v>94.719205395725794</v>
      </c>
      <c r="AJ2125">
        <v>102.164154254772</v>
      </c>
      <c r="AK2125">
        <v>13.539705897494001</v>
      </c>
    </row>
    <row r="2126" spans="1:37" x14ac:dyDescent="0.2">
      <c r="A2126" t="str">
        <f>"20200111154106851"</f>
        <v>20200111154106851</v>
      </c>
      <c r="B2126" t="str">
        <f>"1578728466848423"</f>
        <v>1578728466848423</v>
      </c>
      <c r="C2126" t="s">
        <v>37</v>
      </c>
      <c r="D2126">
        <v>5.0822199999999897</v>
      </c>
      <c r="E2126">
        <v>0.48075839999999997</v>
      </c>
      <c r="F2126" t="s">
        <v>44</v>
      </c>
      <c r="G2126">
        <v>-459.2099</v>
      </c>
      <c r="H2126" s="1">
        <v>3.3506799999999998E-6</v>
      </c>
      <c r="I2126">
        <v>214.92670000000001</v>
      </c>
      <c r="J2126">
        <v>-472.63569999999999</v>
      </c>
      <c r="K2126">
        <v>1.1139209999999999</v>
      </c>
      <c r="L2126">
        <v>215.84950000000001</v>
      </c>
      <c r="M2126">
        <v>0.96253569999999999</v>
      </c>
      <c r="N2126">
        <v>0</v>
      </c>
      <c r="O2126">
        <v>-0.27090949999999903</v>
      </c>
      <c r="P2126">
        <v>0.98982119999999996</v>
      </c>
      <c r="Q2126">
        <v>7.4593220000000002E-2</v>
      </c>
      <c r="R2126">
        <v>-0.12120350000000001</v>
      </c>
      <c r="S2126">
        <v>3.0222169999999999</v>
      </c>
      <c r="T2126">
        <v>-0.2420137</v>
      </c>
      <c r="U2126">
        <v>-0.22827149999999999</v>
      </c>
      <c r="V2126">
        <v>-0.15220690000000001</v>
      </c>
      <c r="W2126">
        <v>8.4710350000000004E-2</v>
      </c>
      <c r="X2126">
        <v>0.98471180000000003</v>
      </c>
      <c r="Y2126">
        <v>-0.19619539999999999</v>
      </c>
      <c r="Z2126">
        <v>2.9200630000000002E-2</v>
      </c>
      <c r="AA2126">
        <v>0.98012999999999995</v>
      </c>
      <c r="AB2126">
        <v>24</v>
      </c>
      <c r="AC2126">
        <v>13.425799999999899</v>
      </c>
      <c r="AD2126">
        <v>-1.11391764932</v>
      </c>
      <c r="AE2126">
        <v>-0.92279999999999496</v>
      </c>
      <c r="AF2126">
        <v>-2.7304245257330999</v>
      </c>
      <c r="AG2126">
        <v>-1.11391764932</v>
      </c>
      <c r="AH2126">
        <v>13.0840397130354</v>
      </c>
      <c r="AI2126">
        <v>94.764035707806698</v>
      </c>
      <c r="AJ2126">
        <v>101.787521645821</v>
      </c>
      <c r="AK2126">
        <v>13.4122379129092</v>
      </c>
    </row>
    <row r="2127" spans="1:37" x14ac:dyDescent="0.2">
      <c r="A2127" t="str">
        <f>"20200111154106871"</f>
        <v>20200111154106871</v>
      </c>
      <c r="B2127" t="str">
        <f>"1578728466867942"</f>
        <v>1578728466867942</v>
      </c>
      <c r="C2127" t="s">
        <v>37</v>
      </c>
      <c r="D2127">
        <v>5.0974699999999897</v>
      </c>
      <c r="E2127">
        <v>0.48103059999999997</v>
      </c>
      <c r="F2127" t="s">
        <v>44</v>
      </c>
      <c r="G2127">
        <v>-458.92930000000001</v>
      </c>
      <c r="H2127" s="1">
        <v>3.2044909999999999E-6</v>
      </c>
      <c r="I2127">
        <v>214.8553</v>
      </c>
      <c r="J2127">
        <v>-472.4264</v>
      </c>
      <c r="K2127">
        <v>1.1139059999999901</v>
      </c>
      <c r="L2127">
        <v>215.79599999999999</v>
      </c>
      <c r="M2127">
        <v>0.96381269999999997</v>
      </c>
      <c r="N2127">
        <v>0</v>
      </c>
      <c r="O2127">
        <v>-0.26633679999999998</v>
      </c>
      <c r="P2127">
        <v>0.99024799999999902</v>
      </c>
      <c r="Q2127">
        <v>7.3641369999999998E-2</v>
      </c>
      <c r="R2127">
        <v>-0.1182622</v>
      </c>
      <c r="S2127">
        <v>3.022491</v>
      </c>
      <c r="T2127">
        <v>-0.24563679999999999</v>
      </c>
      <c r="U2127">
        <v>-0.219238299999999</v>
      </c>
      <c r="V2127">
        <v>-0.1504672</v>
      </c>
      <c r="W2127">
        <v>8.3627030000000005E-2</v>
      </c>
      <c r="X2127">
        <v>0.985071699999999</v>
      </c>
      <c r="Y2127">
        <v>-0.1944362</v>
      </c>
      <c r="Z2127">
        <v>2.920973E-2</v>
      </c>
      <c r="AA2127">
        <v>0.98048019999999902</v>
      </c>
      <c r="AB2127">
        <v>24</v>
      </c>
      <c r="AC2127">
        <v>13.4970999999999</v>
      </c>
      <c r="AD2127">
        <v>-1.11390279550899</v>
      </c>
      <c r="AE2127">
        <v>-0.94069999999999199</v>
      </c>
      <c r="AF2127">
        <v>-2.6701914034374199</v>
      </c>
      <c r="AG2127">
        <v>-1.11390279550899</v>
      </c>
      <c r="AH2127">
        <v>13.1708066662114</v>
      </c>
      <c r="AI2127">
        <v>94.738264903197106</v>
      </c>
      <c r="AJ2127">
        <v>101.46056286857601</v>
      </c>
      <c r="AK2127">
        <v>13.484837774610099</v>
      </c>
    </row>
    <row r="2128" spans="1:37" x14ac:dyDescent="0.2">
      <c r="A2128" t="str">
        <f>"20200111154106897"</f>
        <v>20200111154106897</v>
      </c>
      <c r="B2128" t="str">
        <f>"1578728466888438"</f>
        <v>1578728466888438</v>
      </c>
      <c r="C2128" t="s">
        <v>37</v>
      </c>
      <c r="D2128">
        <v>5.1608700000000001</v>
      </c>
      <c r="E2128">
        <v>0.48133159999999903</v>
      </c>
      <c r="F2128" t="s">
        <v>44</v>
      </c>
      <c r="G2128">
        <v>-458.92559999999997</v>
      </c>
      <c r="H2128" s="1">
        <v>3.2029019999999999E-6</v>
      </c>
      <c r="I2128">
        <v>214.84639999999999</v>
      </c>
      <c r="J2128">
        <v>-472.16359999999997</v>
      </c>
      <c r="K2128">
        <v>1.1138809999999999</v>
      </c>
      <c r="L2128">
        <v>215.7304</v>
      </c>
      <c r="M2128">
        <v>0.96538250000000003</v>
      </c>
      <c r="N2128">
        <v>0</v>
      </c>
      <c r="O2128">
        <v>-0.26059919999999998</v>
      </c>
      <c r="P2128">
        <v>0.99080759999999901</v>
      </c>
      <c r="Q2128">
        <v>7.3243240000000001E-2</v>
      </c>
      <c r="R2128">
        <v>-0.1137358</v>
      </c>
      <c r="S2128">
        <v>3.022675</v>
      </c>
      <c r="T2128">
        <v>-0.24939020000000001</v>
      </c>
      <c r="U2128">
        <v>-0.212615999999999</v>
      </c>
      <c r="V2128">
        <v>-0.14911189999999999</v>
      </c>
      <c r="W2128">
        <v>8.3022120000000005E-2</v>
      </c>
      <c r="X2128">
        <v>0.98532889999999995</v>
      </c>
      <c r="Y2128">
        <v>-0.19072729999999999</v>
      </c>
      <c r="Z2128">
        <v>2.9047239999999998E-2</v>
      </c>
      <c r="AA2128">
        <v>0.98121320000000001</v>
      </c>
      <c r="AB2128">
        <v>24</v>
      </c>
      <c r="AC2128">
        <v>13.238</v>
      </c>
      <c r="AD2128">
        <v>-1.1138777970979901</v>
      </c>
      <c r="AE2128">
        <v>-0.884000000000014</v>
      </c>
      <c r="AF2128">
        <v>-2.5784020403658698</v>
      </c>
      <c r="AG2128">
        <v>-1.1138777970979901</v>
      </c>
      <c r="AH2128">
        <v>12.9198485601719</v>
      </c>
      <c r="AI2128">
        <v>94.832706504851302</v>
      </c>
      <c r="AJ2128">
        <v>101.286189153544</v>
      </c>
      <c r="AK2128">
        <v>13.221625000218699</v>
      </c>
    </row>
    <row r="2129" spans="1:37" x14ac:dyDescent="0.2">
      <c r="A2129" t="str">
        <f>"20200111154106916"</f>
        <v>20200111154106916</v>
      </c>
      <c r="B2129" t="str">
        <f>"1578728466907959"</f>
        <v>1578728466907959</v>
      </c>
      <c r="C2129" t="s">
        <v>37</v>
      </c>
      <c r="D2129">
        <v>5.1279999999999903</v>
      </c>
      <c r="E2129">
        <v>0.48170390000000002</v>
      </c>
      <c r="F2129" t="s">
        <v>44</v>
      </c>
      <c r="G2129">
        <v>-458.75529999999998</v>
      </c>
      <c r="H2129" s="1">
        <v>3.112752E-6</v>
      </c>
      <c r="I2129">
        <v>214.8365</v>
      </c>
      <c r="J2129">
        <v>-471.95330000000001</v>
      </c>
      <c r="K2129">
        <v>1.1138440000000001</v>
      </c>
      <c r="L2129">
        <v>215.679</v>
      </c>
      <c r="M2129">
        <v>0.96660939999999995</v>
      </c>
      <c r="N2129">
        <v>0</v>
      </c>
      <c r="O2129">
        <v>-0.2560192</v>
      </c>
      <c r="P2129">
        <v>0.991312999999999</v>
      </c>
      <c r="Q2129">
        <v>7.2846229999999998E-2</v>
      </c>
      <c r="R2129">
        <v>-0.1095073</v>
      </c>
      <c r="S2129">
        <v>3.0232540000000001</v>
      </c>
      <c r="T2129">
        <v>-0.25115329999999902</v>
      </c>
      <c r="U2129">
        <v>-0.20155329999999999</v>
      </c>
      <c r="V2129">
        <v>-0.1486471</v>
      </c>
      <c r="W2129">
        <v>8.2433800000000002E-2</v>
      </c>
      <c r="X2129">
        <v>0.98544849999999995</v>
      </c>
      <c r="Y2129">
        <v>-0.18965770000000001</v>
      </c>
      <c r="Z2129">
        <v>2.884041E-2</v>
      </c>
      <c r="AA2129">
        <v>0.98142659999999904</v>
      </c>
      <c r="AB2129">
        <v>24</v>
      </c>
      <c r="AC2129">
        <v>13.198</v>
      </c>
      <c r="AD2129">
        <v>-1.1138408872479999</v>
      </c>
      <c r="AE2129">
        <v>-0.84250000000000103</v>
      </c>
      <c r="AF2129">
        <v>-2.5466625406458201</v>
      </c>
      <c r="AG2129">
        <v>-1.1138408872479999</v>
      </c>
      <c r="AH2129">
        <v>12.8824062687109</v>
      </c>
      <c r="AI2129">
        <v>94.848262518338103</v>
      </c>
      <c r="AJ2129">
        <v>101.182355046184</v>
      </c>
      <c r="AK2129">
        <v>13.178866525242499</v>
      </c>
    </row>
    <row r="2130" spans="1:37" x14ac:dyDescent="0.2">
      <c r="A2130" t="str">
        <f>"20200111154106937"</f>
        <v>20200111154106937</v>
      </c>
      <c r="B2130" t="str">
        <f>"1578728466928454"</f>
        <v>1578728466928454</v>
      </c>
      <c r="C2130" t="s">
        <v>37</v>
      </c>
      <c r="D2130">
        <v>5.0954110000000004</v>
      </c>
      <c r="E2130">
        <v>0.48201369999999999</v>
      </c>
      <c r="F2130" t="s">
        <v>44</v>
      </c>
      <c r="G2130">
        <v>-458.63810000000001</v>
      </c>
      <c r="H2130" s="1">
        <v>3.0504449999999998E-6</v>
      </c>
      <c r="I2130">
        <v>214.8347</v>
      </c>
      <c r="J2130">
        <v>-471.73469999999998</v>
      </c>
      <c r="K2130">
        <v>1.1138049999999999</v>
      </c>
      <c r="L2130">
        <v>215.6266</v>
      </c>
      <c r="M2130">
        <v>0.96785679999999996</v>
      </c>
      <c r="N2130">
        <v>0</v>
      </c>
      <c r="O2130">
        <v>-0.2512721</v>
      </c>
      <c r="P2130">
        <v>0.99166119999999902</v>
      </c>
      <c r="Q2130">
        <v>7.370264E-2</v>
      </c>
      <c r="R2130">
        <v>-0.1057182</v>
      </c>
      <c r="S2130">
        <v>3.0236509999999899</v>
      </c>
      <c r="T2130">
        <v>-0.2529341</v>
      </c>
      <c r="U2130">
        <v>-0.1917267</v>
      </c>
      <c r="V2130">
        <v>-0.1475649</v>
      </c>
      <c r="W2130">
        <v>8.3070599999999994E-2</v>
      </c>
      <c r="X2130">
        <v>0.98555759999999903</v>
      </c>
      <c r="Y2130">
        <v>-0.18802360000000001</v>
      </c>
      <c r="Z2130">
        <v>2.859308E-2</v>
      </c>
      <c r="AA2130">
        <v>0.98174819999999996</v>
      </c>
      <c r="AB2130">
        <v>24</v>
      </c>
      <c r="AC2130">
        <v>13.096599999999899</v>
      </c>
      <c r="AD2130">
        <v>-1.113801949555</v>
      </c>
      <c r="AE2130">
        <v>-0.79189999999999805</v>
      </c>
      <c r="AF2130">
        <v>-2.5064479585249799</v>
      </c>
      <c r="AG2130">
        <v>-1.113801949555</v>
      </c>
      <c r="AH2130">
        <v>12.7832394316865</v>
      </c>
      <c r="AI2130">
        <v>94.887007871330994</v>
      </c>
      <c r="AJ2130">
        <v>101.093422705394</v>
      </c>
      <c r="AK2130">
        <v>13.074174793058701</v>
      </c>
    </row>
    <row r="2131" spans="1:37" x14ac:dyDescent="0.2">
      <c r="A2131" t="str">
        <f>"20200111154106960"</f>
        <v>20200111154106960</v>
      </c>
      <c r="B2131" t="str">
        <f>"1578728466948950"</f>
        <v>1578728466948950</v>
      </c>
      <c r="C2131" t="s">
        <v>37</v>
      </c>
      <c r="D2131">
        <v>5.1130170000000001</v>
      </c>
      <c r="E2131">
        <v>0.48272159999999897</v>
      </c>
      <c r="F2131" t="s">
        <v>44</v>
      </c>
      <c r="G2131">
        <v>-458.29250000000002</v>
      </c>
      <c r="H2131" s="1">
        <v>2.8674239999999899E-6</v>
      </c>
      <c r="I2131">
        <v>214.81460000000001</v>
      </c>
      <c r="J2131">
        <v>-471.48660000000001</v>
      </c>
      <c r="K2131">
        <v>1.113747</v>
      </c>
      <c r="L2131">
        <v>215.5685</v>
      </c>
      <c r="M2131">
        <v>0.96923729999999997</v>
      </c>
      <c r="N2131">
        <v>0</v>
      </c>
      <c r="O2131">
        <v>-0.24590719999999999</v>
      </c>
      <c r="P2131">
        <v>0.99212599999999995</v>
      </c>
      <c r="Q2131">
        <v>7.3870820000000004E-2</v>
      </c>
      <c r="R2131">
        <v>-0.1011392</v>
      </c>
      <c r="S2131">
        <v>3.0244140000000002</v>
      </c>
      <c r="T2131">
        <v>-0.25059940000000003</v>
      </c>
      <c r="U2131">
        <v>-0.18269349999999901</v>
      </c>
      <c r="V2131">
        <v>-0.1466481</v>
      </c>
      <c r="W2131">
        <v>8.2946569999999997E-2</v>
      </c>
      <c r="X2131">
        <v>0.98570489999999999</v>
      </c>
      <c r="Y2131">
        <v>-0.18557370000000001</v>
      </c>
      <c r="Z2131">
        <v>2.7795299999999998E-2</v>
      </c>
      <c r="AA2131">
        <v>0.98223719999999903</v>
      </c>
      <c r="AB2131">
        <v>25</v>
      </c>
      <c r="AC2131">
        <v>13.194099999999899</v>
      </c>
      <c r="AD2131">
        <v>-1.113744132576</v>
      </c>
      <c r="AE2131">
        <v>-0.75389999999998702</v>
      </c>
      <c r="AF2131">
        <v>-2.4962240338750501</v>
      </c>
      <c r="AG2131">
        <v>-1.113744132576</v>
      </c>
      <c r="AH2131">
        <v>12.882811609411</v>
      </c>
      <c r="AI2131">
        <v>94.851259182280501</v>
      </c>
      <c r="AJ2131">
        <v>100.965965194673</v>
      </c>
      <c r="AK2131">
        <v>13.1696011854466</v>
      </c>
    </row>
    <row r="2132" spans="1:37" x14ac:dyDescent="0.2">
      <c r="A2132" t="str">
        <f>"20200111154106982"</f>
        <v>20200111154106982</v>
      </c>
      <c r="B2132" t="str">
        <f>"1578728466978230"</f>
        <v>1578728466978230</v>
      </c>
      <c r="C2132" t="s">
        <v>37</v>
      </c>
      <c r="D2132">
        <v>5.1032779999999898</v>
      </c>
      <c r="E2132">
        <v>0.48337629999999998</v>
      </c>
      <c r="F2132" t="s">
        <v>44</v>
      </c>
      <c r="G2132">
        <v>-457.92129999999997</v>
      </c>
      <c r="H2132" s="1">
        <v>2.6710509999999998E-6</v>
      </c>
      <c r="I2132">
        <v>214.78710000000001</v>
      </c>
      <c r="J2132">
        <v>-471.25</v>
      </c>
      <c r="K2132">
        <v>1.113691</v>
      </c>
      <c r="L2132">
        <v>215.51429999999999</v>
      </c>
      <c r="M2132">
        <v>0.9705165</v>
      </c>
      <c r="N2132">
        <v>0</v>
      </c>
      <c r="O2132">
        <v>-0.24082329999999899</v>
      </c>
      <c r="P2132">
        <v>0.99256060000000002</v>
      </c>
      <c r="Q2132">
        <v>7.3815350000000002E-2</v>
      </c>
      <c r="R2132">
        <v>-9.6824800000000003E-2</v>
      </c>
      <c r="S2132">
        <v>3.0245359999999999</v>
      </c>
      <c r="T2132">
        <v>-0.24832070000000001</v>
      </c>
      <c r="U2132">
        <v>-0.17420959999999999</v>
      </c>
      <c r="V2132">
        <v>-0.145762</v>
      </c>
      <c r="W2132">
        <v>8.2566890000000004E-2</v>
      </c>
      <c r="X2132">
        <v>0.98586819999999897</v>
      </c>
      <c r="Y2132">
        <v>-0.18322099999999999</v>
      </c>
      <c r="Z2132">
        <v>2.704469E-2</v>
      </c>
      <c r="AA2132">
        <v>0.98269969999999995</v>
      </c>
      <c r="AB2132">
        <v>25</v>
      </c>
      <c r="AC2132">
        <v>13.3287</v>
      </c>
      <c r="AD2132">
        <v>-1.1136883289490001</v>
      </c>
      <c r="AE2132">
        <v>-0.72719999999998197</v>
      </c>
      <c r="AF2132">
        <v>-2.48691845321442</v>
      </c>
      <c r="AG2132">
        <v>-1.1136883289490001</v>
      </c>
      <c r="AH2132">
        <v>13.020881652880099</v>
      </c>
      <c r="AI2132">
        <v>94.802274905079003</v>
      </c>
      <c r="AJ2132">
        <v>100.812959465283</v>
      </c>
      <c r="AK2132">
        <v>13.3029479479281</v>
      </c>
    </row>
    <row r="2133" spans="1:37" x14ac:dyDescent="0.2">
      <c r="A2133" t="str">
        <f>"20200111154107005"</f>
        <v>20200111154107005</v>
      </c>
      <c r="B2133" t="str">
        <f>"1578728466998727"</f>
        <v>1578728466998727</v>
      </c>
      <c r="C2133" t="s">
        <v>37</v>
      </c>
      <c r="D2133">
        <v>5.1187420000000001</v>
      </c>
      <c r="E2133">
        <v>0.48376619999999998</v>
      </c>
      <c r="F2133" t="s">
        <v>44</v>
      </c>
      <c r="G2133">
        <v>-457.69069999999999</v>
      </c>
      <c r="H2133" s="1">
        <v>2.549159E-6</v>
      </c>
      <c r="I2133">
        <v>214.76849999999999</v>
      </c>
      <c r="J2133">
        <v>-471.0077</v>
      </c>
      <c r="K2133">
        <v>1.113612</v>
      </c>
      <c r="L2133">
        <v>215.46010000000001</v>
      </c>
      <c r="M2133">
        <v>0.97178509999999996</v>
      </c>
      <c r="N2133">
        <v>0</v>
      </c>
      <c r="O2133">
        <v>-0.23566899999999999</v>
      </c>
      <c r="P2133">
        <v>0.99299409999999899</v>
      </c>
      <c r="Q2133">
        <v>7.3843329999999999E-2</v>
      </c>
      <c r="R2133">
        <v>-9.2250120000000005E-2</v>
      </c>
      <c r="S2133">
        <v>3.024689</v>
      </c>
      <c r="T2133">
        <v>-0.24843189999999901</v>
      </c>
      <c r="U2133">
        <v>-0.1663666</v>
      </c>
      <c r="V2133">
        <v>-0.14506529999999901</v>
      </c>
      <c r="W2133">
        <v>8.2210939999999996E-2</v>
      </c>
      <c r="X2133">
        <v>0.98600069999999995</v>
      </c>
      <c r="Y2133">
        <v>-0.18057000000000001</v>
      </c>
      <c r="Z2133">
        <v>2.6538699999999998E-2</v>
      </c>
      <c r="AA2133">
        <v>0.98320409999999903</v>
      </c>
      <c r="AB2133">
        <v>25</v>
      </c>
      <c r="AC2133">
        <v>13.317</v>
      </c>
      <c r="AD2133">
        <v>-1.1136094508409999</v>
      </c>
      <c r="AE2133">
        <v>-0.69160000000002197</v>
      </c>
      <c r="AF2133">
        <v>-2.4493513995388101</v>
      </c>
      <c r="AG2133">
        <v>-1.1136094508409999</v>
      </c>
      <c r="AH2133">
        <v>13.014105120227301</v>
      </c>
      <c r="AI2133">
        <v>94.806865020257902</v>
      </c>
      <c r="AJ2133">
        <v>100.658806937488</v>
      </c>
      <c r="AK2133">
        <v>13.2893333304478</v>
      </c>
    </row>
    <row r="2134" spans="1:37" x14ac:dyDescent="0.2">
      <c r="A2134" t="str">
        <f>"20200111154107028"</f>
        <v>20200111154107028</v>
      </c>
      <c r="B2134" t="str">
        <f>"1578728467018246"</f>
        <v>1578728467018246</v>
      </c>
      <c r="C2134" t="s">
        <v>37</v>
      </c>
      <c r="D2134">
        <v>5.1246169999999998</v>
      </c>
      <c r="E2134">
        <v>0.48418539999999999</v>
      </c>
      <c r="F2134" t="s">
        <v>44</v>
      </c>
      <c r="G2134">
        <v>-457.46089999999998</v>
      </c>
      <c r="H2134" s="1">
        <v>2.4270039999999999E-6</v>
      </c>
      <c r="I2134">
        <v>214.76519999999999</v>
      </c>
      <c r="J2134">
        <v>-470.75830000000002</v>
      </c>
      <c r="K2134">
        <v>1.113524</v>
      </c>
      <c r="L2134">
        <v>215.4057</v>
      </c>
      <c r="M2134">
        <v>0.97304469999999998</v>
      </c>
      <c r="N2134">
        <v>0</v>
      </c>
      <c r="O2134">
        <v>-0.230431</v>
      </c>
      <c r="P2134">
        <v>0.99339249999999901</v>
      </c>
      <c r="Q2134">
        <v>7.3935749999999995E-2</v>
      </c>
      <c r="R2134">
        <v>-8.7779479999999993E-2</v>
      </c>
      <c r="S2134">
        <v>3.0252080000000001</v>
      </c>
      <c r="T2134">
        <v>-0.24868560000000001</v>
      </c>
      <c r="U2134">
        <v>-0.15518189999999901</v>
      </c>
      <c r="V2134">
        <v>-0.1441829</v>
      </c>
      <c r="W2134">
        <v>8.1884470000000001E-2</v>
      </c>
      <c r="X2134">
        <v>0.98615730000000001</v>
      </c>
      <c r="Y2134">
        <v>-0.17892549999999999</v>
      </c>
      <c r="Z2134">
        <v>2.6079189999999999E-2</v>
      </c>
      <c r="AA2134">
        <v>0.98351690000000003</v>
      </c>
      <c r="AB2134">
        <v>25</v>
      </c>
      <c r="AC2134">
        <v>13.2974</v>
      </c>
      <c r="AD2134">
        <v>-1.113521572996</v>
      </c>
      <c r="AE2134">
        <v>-0.64050000000000296</v>
      </c>
      <c r="AF2134">
        <v>-2.4240435803052902</v>
      </c>
      <c r="AG2134">
        <v>-1.113521572996</v>
      </c>
      <c r="AH2134">
        <v>12.996192619471101</v>
      </c>
      <c r="AI2134">
        <v>94.814544948314307</v>
      </c>
      <c r="AJ2134">
        <v>100.565376074113</v>
      </c>
      <c r="AK2134">
        <v>13.267137602932401</v>
      </c>
    </row>
    <row r="2135" spans="1:37" x14ac:dyDescent="0.2">
      <c r="A2135" t="str">
        <f>"20200111154107049"</f>
        <v>20200111154107049</v>
      </c>
      <c r="B2135" t="str">
        <f>"1578728467038742"</f>
        <v>1578728467038742</v>
      </c>
      <c r="C2135" t="s">
        <v>37</v>
      </c>
      <c r="D2135">
        <v>5.0934049999999997</v>
      </c>
      <c r="E2135">
        <v>0.48478349999999998</v>
      </c>
      <c r="F2135" t="s">
        <v>44</v>
      </c>
      <c r="G2135">
        <v>-457.195999999999</v>
      </c>
      <c r="H2135" s="1">
        <v>2.2863699999999998E-6</v>
      </c>
      <c r="I2135">
        <v>214.75729999999999</v>
      </c>
      <c r="J2135">
        <v>-470.52780000000001</v>
      </c>
      <c r="K2135">
        <v>1.1134569999999999</v>
      </c>
      <c r="L2135">
        <v>215.35650000000001</v>
      </c>
      <c r="M2135">
        <v>0.97416809999999998</v>
      </c>
      <c r="N2135">
        <v>0</v>
      </c>
      <c r="O2135">
        <v>-0.22564980000000001</v>
      </c>
      <c r="P2135">
        <v>0.99373469999999997</v>
      </c>
      <c r="Q2135">
        <v>7.3796879999999995E-2</v>
      </c>
      <c r="R2135">
        <v>-8.3936449999999996E-2</v>
      </c>
      <c r="S2135">
        <v>3.025665</v>
      </c>
      <c r="T2135">
        <v>-0.24841920000000001</v>
      </c>
      <c r="U2135">
        <v>-0.14463809999999999</v>
      </c>
      <c r="V2135">
        <v>-0.14314779999999999</v>
      </c>
      <c r="W2135">
        <v>8.136881E-2</v>
      </c>
      <c r="X2135">
        <v>0.98635079999999997</v>
      </c>
      <c r="Y2135">
        <v>-0.1775436</v>
      </c>
      <c r="Z2135">
        <v>2.561225E-2</v>
      </c>
      <c r="AA2135">
        <v>0.98377959999999998</v>
      </c>
      <c r="AB2135">
        <v>25</v>
      </c>
      <c r="AC2135">
        <v>13.331799999999999</v>
      </c>
      <c r="AD2135">
        <v>-1.1134547136299999</v>
      </c>
      <c r="AE2135">
        <v>-0.59920000000002405</v>
      </c>
      <c r="AF2135">
        <v>-2.40792951887398</v>
      </c>
      <c r="AG2135">
        <v>-1.1134547136299999</v>
      </c>
      <c r="AH2135">
        <v>13.0324171888895</v>
      </c>
      <c r="AI2135">
        <v>94.8024434045048</v>
      </c>
      <c r="AJ2135">
        <v>100.468177222623</v>
      </c>
      <c r="AK2135">
        <v>13.2996918668227</v>
      </c>
    </row>
    <row r="2136" spans="1:37" x14ac:dyDescent="0.2">
      <c r="A2136" t="str">
        <f>"20200111154107070"</f>
        <v>20200111154107070</v>
      </c>
      <c r="B2136" t="str">
        <f>"1578728467058262"</f>
        <v>1578728467058262</v>
      </c>
      <c r="C2136" t="s">
        <v>37</v>
      </c>
      <c r="D2136">
        <v>5.10867</v>
      </c>
      <c r="E2136">
        <v>0.48548950000000002</v>
      </c>
      <c r="F2136" t="s">
        <v>44</v>
      </c>
      <c r="G2136">
        <v>-456.85359999999997</v>
      </c>
      <c r="H2136" s="1">
        <v>2.10516099999999E-6</v>
      </c>
      <c r="I2136">
        <v>214.7353</v>
      </c>
      <c r="J2136">
        <v>-470.28899999999999</v>
      </c>
      <c r="K2136">
        <v>1.1133949999999999</v>
      </c>
      <c r="L2136">
        <v>215.30670000000001</v>
      </c>
      <c r="M2136">
        <v>0.97529169999999998</v>
      </c>
      <c r="N2136">
        <v>0</v>
      </c>
      <c r="O2136">
        <v>-0.2207597</v>
      </c>
      <c r="P2136">
        <v>0.99404230000000005</v>
      </c>
      <c r="Q2136">
        <v>7.4955149999999998E-2</v>
      </c>
      <c r="R2136">
        <v>-7.913336E-2</v>
      </c>
      <c r="S2136">
        <v>3.0256349999999999</v>
      </c>
      <c r="T2136">
        <v>-0.24636920000000001</v>
      </c>
      <c r="U2136">
        <v>-0.1374359</v>
      </c>
      <c r="V2136">
        <v>-0.1429493</v>
      </c>
      <c r="W2136">
        <v>8.21273E-2</v>
      </c>
      <c r="X2136">
        <v>0.98631669999999905</v>
      </c>
      <c r="Y2136">
        <v>-0.1749879</v>
      </c>
      <c r="Z2136">
        <v>2.4911989999999998E-2</v>
      </c>
      <c r="AA2136">
        <v>0.9842554</v>
      </c>
      <c r="AB2136">
        <v>25</v>
      </c>
      <c r="AC2136">
        <v>13.4354</v>
      </c>
      <c r="AD2136">
        <v>-1.1133928948389999</v>
      </c>
      <c r="AE2136">
        <v>-0.57140000000001101</v>
      </c>
      <c r="AF2136">
        <v>-2.39239899293089</v>
      </c>
      <c r="AG2136">
        <v>-1.1133928948389999</v>
      </c>
      <c r="AH2136">
        <v>13.1399723418196</v>
      </c>
      <c r="AI2136">
        <v>94.765319393138398</v>
      </c>
      <c r="AJ2136">
        <v>100.31883011582499</v>
      </c>
      <c r="AK2136">
        <v>13.402316584211899</v>
      </c>
    </row>
    <row r="2137" spans="1:37" x14ac:dyDescent="0.2">
      <c r="A2137" t="str">
        <f>"20200111154107094"</f>
        <v>20200111154107094</v>
      </c>
      <c r="B2137" t="str">
        <f>"1578728467088518"</f>
        <v>1578728467088518</v>
      </c>
      <c r="C2137" t="s">
        <v>37</v>
      </c>
      <c r="D2137">
        <v>5.1059380000000001</v>
      </c>
      <c r="E2137">
        <v>0.48643569999999903</v>
      </c>
      <c r="F2137" t="s">
        <v>44</v>
      </c>
      <c r="G2137">
        <v>-456.25740000000002</v>
      </c>
      <c r="H2137" s="1">
        <v>1.7890049999999899E-6</v>
      </c>
      <c r="I2137">
        <v>214.71029999999999</v>
      </c>
      <c r="J2137">
        <v>-470.02589999999998</v>
      </c>
      <c r="K2137">
        <v>1.1133230000000001</v>
      </c>
      <c r="L2137">
        <v>215.25309999999999</v>
      </c>
      <c r="M2137">
        <v>0.97648040000000003</v>
      </c>
      <c r="N2137">
        <v>0</v>
      </c>
      <c r="O2137">
        <v>-0.2154587</v>
      </c>
      <c r="P2137">
        <v>0.99428619999999901</v>
      </c>
      <c r="Q2137">
        <v>7.6723310000000003E-2</v>
      </c>
      <c r="R2137">
        <v>-7.4221369999999995E-2</v>
      </c>
      <c r="S2137">
        <v>3.0257869999999998</v>
      </c>
      <c r="T2137">
        <v>-0.240093899999999</v>
      </c>
      <c r="U2137">
        <v>-0.1286011</v>
      </c>
      <c r="V2137">
        <v>-0.14244109999999999</v>
      </c>
      <c r="W2137">
        <v>8.3454070000000005E-2</v>
      </c>
      <c r="X2137">
        <v>0.98627880000000001</v>
      </c>
      <c r="Y2137">
        <v>-0.17259849999999999</v>
      </c>
      <c r="Z2137">
        <v>2.3775520000000001E-2</v>
      </c>
      <c r="AA2137">
        <v>0.98470530000000001</v>
      </c>
      <c r="AB2137">
        <v>25</v>
      </c>
      <c r="AC2137">
        <v>13.7684999999999</v>
      </c>
      <c r="AD2137">
        <v>-1.1133212109949999</v>
      </c>
      <c r="AE2137">
        <v>-0.54279999999999895</v>
      </c>
      <c r="AF2137">
        <v>-2.4207836538772498</v>
      </c>
      <c r="AG2137">
        <v>-1.1133212109949999</v>
      </c>
      <c r="AH2137">
        <v>13.474090973408201</v>
      </c>
      <c r="AI2137">
        <v>94.649331417485101</v>
      </c>
      <c r="AJ2137">
        <v>100.18522067654899</v>
      </c>
      <c r="AK2137">
        <v>13.7350211203846</v>
      </c>
    </row>
    <row r="2138" spans="1:37" x14ac:dyDescent="0.2">
      <c r="A2138" t="str">
        <f>"20200111154107117"</f>
        <v>20200111154107117</v>
      </c>
      <c r="B2138" t="str">
        <f>"1578728467108039"</f>
        <v>1578728467108039</v>
      </c>
      <c r="C2138" t="s">
        <v>37</v>
      </c>
      <c r="D2138">
        <v>5.1186860000000003</v>
      </c>
      <c r="E2138">
        <v>0.48705329999999902</v>
      </c>
      <c r="F2138" t="s">
        <v>44</v>
      </c>
      <c r="G2138">
        <v>-455.41219999999998</v>
      </c>
      <c r="H2138" s="1">
        <v>1.341132E-6</v>
      </c>
      <c r="I2138">
        <v>214.666</v>
      </c>
      <c r="J2138">
        <v>-469.77420000000001</v>
      </c>
      <c r="K2138">
        <v>1.1132489999999999</v>
      </c>
      <c r="L2138">
        <v>215.20310000000001</v>
      </c>
      <c r="M2138">
        <v>0.97757070000000001</v>
      </c>
      <c r="N2138">
        <v>0</v>
      </c>
      <c r="O2138">
        <v>-0.21047179999999999</v>
      </c>
      <c r="P2138">
        <v>0.9945465</v>
      </c>
      <c r="Q2138">
        <v>7.7209029999999998E-2</v>
      </c>
      <c r="R2138">
        <v>-7.011568E-2</v>
      </c>
      <c r="S2138">
        <v>3.02597</v>
      </c>
      <c r="T2138">
        <v>-0.23052779999999901</v>
      </c>
      <c r="U2138">
        <v>-0.1215668</v>
      </c>
      <c r="V2138">
        <v>-0.14146700000000001</v>
      </c>
      <c r="W2138">
        <v>8.3534369999999997E-2</v>
      </c>
      <c r="X2138">
        <v>0.98641219999999996</v>
      </c>
      <c r="Y2138">
        <v>-0.16997390000000001</v>
      </c>
      <c r="Z2138">
        <v>2.23602E-2</v>
      </c>
      <c r="AA2138">
        <v>0.98519489999999998</v>
      </c>
      <c r="AB2138">
        <v>25</v>
      </c>
      <c r="AC2138">
        <v>14.362</v>
      </c>
      <c r="AD2138">
        <v>-1.113247658868</v>
      </c>
      <c r="AE2138">
        <v>-0.53710000000000901</v>
      </c>
      <c r="AF2138">
        <v>-2.4829167948375801</v>
      </c>
      <c r="AG2138">
        <v>-1.113247658868</v>
      </c>
      <c r="AH2138">
        <v>14.068906649301599</v>
      </c>
      <c r="AI2138">
        <v>94.455713354491493</v>
      </c>
      <c r="AJ2138">
        <v>100.00864554077</v>
      </c>
      <c r="AK2138">
        <v>14.3296312048435</v>
      </c>
    </row>
    <row r="2139" spans="1:37" x14ac:dyDescent="0.2">
      <c r="A2139" t="str">
        <f>"20200111154107140"</f>
        <v>20200111154107140</v>
      </c>
      <c r="B2139" t="str">
        <f>"1578728467128535"</f>
        <v>1578728467128535</v>
      </c>
      <c r="C2139" t="s">
        <v>37</v>
      </c>
      <c r="D2139">
        <v>5.1606519999999998</v>
      </c>
      <c r="E2139">
        <v>0.48764750000000001</v>
      </c>
      <c r="F2139" t="s">
        <v>44</v>
      </c>
      <c r="G2139">
        <v>-454.9452</v>
      </c>
      <c r="H2139" s="1">
        <v>1.0935049999999999E-6</v>
      </c>
      <c r="I2139">
        <v>214.64590000000001</v>
      </c>
      <c r="J2139">
        <v>-469.51839999999999</v>
      </c>
      <c r="K2139">
        <v>1.113189</v>
      </c>
      <c r="L2139">
        <v>215.15350000000001</v>
      </c>
      <c r="M2139">
        <v>0.97863310000000003</v>
      </c>
      <c r="N2139">
        <v>0</v>
      </c>
      <c r="O2139">
        <v>-0.20548949999999999</v>
      </c>
      <c r="P2139">
        <v>0.99482809999999899</v>
      </c>
      <c r="Q2139">
        <v>7.6868019999999995E-2</v>
      </c>
      <c r="R2139">
        <v>-6.639341E-2</v>
      </c>
      <c r="S2139">
        <v>3.026062</v>
      </c>
      <c r="T2139">
        <v>-0.22717390000000001</v>
      </c>
      <c r="U2139">
        <v>-0.1137085</v>
      </c>
      <c r="V2139">
        <v>-0.14012839999999999</v>
      </c>
      <c r="W2139">
        <v>8.2806859999999996E-2</v>
      </c>
      <c r="X2139">
        <v>0.9866646</v>
      </c>
      <c r="Y2139">
        <v>-0.1675613</v>
      </c>
      <c r="Z2139">
        <v>2.1580510000000001E-2</v>
      </c>
      <c r="AA2139">
        <v>0.98562539999999998</v>
      </c>
      <c r="AB2139">
        <v>26</v>
      </c>
      <c r="AC2139">
        <v>14.5731999999999</v>
      </c>
      <c r="AD2139">
        <v>-1.1131879064949901</v>
      </c>
      <c r="AE2139">
        <v>-0.50759999999999605</v>
      </c>
      <c r="AF2139">
        <v>-2.4834764517700401</v>
      </c>
      <c r="AG2139">
        <v>-1.1131879064949901</v>
      </c>
      <c r="AH2139">
        <v>14.2832518692314</v>
      </c>
      <c r="AI2139">
        <v>94.390815336799903</v>
      </c>
      <c r="AJ2139">
        <v>99.863597871018499</v>
      </c>
      <c r="AK2139">
        <v>14.540224432984701</v>
      </c>
    </row>
    <row r="2140" spans="1:37" x14ac:dyDescent="0.2">
      <c r="A2140" t="str">
        <f>"20200111154107161"</f>
        <v>20200111154107161</v>
      </c>
      <c r="B2140" t="str">
        <f>"1578728467157815"</f>
        <v>1578728467157815</v>
      </c>
      <c r="C2140" t="s">
        <v>37</v>
      </c>
      <c r="D2140">
        <v>5.1321389999999996</v>
      </c>
      <c r="E2140">
        <v>0.488371099999999</v>
      </c>
      <c r="F2140" t="s">
        <v>44</v>
      </c>
      <c r="G2140">
        <v>-454.63670000000002</v>
      </c>
      <c r="H2140" s="1">
        <v>9.3004330000000004E-7</v>
      </c>
      <c r="I2140">
        <v>214.62950000000001</v>
      </c>
      <c r="J2140">
        <v>-469.27870000000001</v>
      </c>
      <c r="K2140">
        <v>1.113137</v>
      </c>
      <c r="L2140">
        <v>215.10810000000001</v>
      </c>
      <c r="M2140">
        <v>0.97959039999999997</v>
      </c>
      <c r="N2140">
        <v>0</v>
      </c>
      <c r="O2140">
        <v>-0.20088929999999999</v>
      </c>
      <c r="P2140">
        <v>0.99504349999999997</v>
      </c>
      <c r="Q2140">
        <v>7.6838719999999999E-2</v>
      </c>
      <c r="R2140">
        <v>-6.3121330000000003E-2</v>
      </c>
      <c r="S2140">
        <v>3.02597</v>
      </c>
      <c r="T2140">
        <v>-0.2263492</v>
      </c>
      <c r="U2140">
        <v>-0.106536899999999</v>
      </c>
      <c r="V2140">
        <v>-0.13873139999999901</v>
      </c>
      <c r="W2140">
        <v>8.2434770000000004E-2</v>
      </c>
      <c r="X2140">
        <v>0.98689319999999903</v>
      </c>
      <c r="Y2140">
        <v>-0.16528699999999999</v>
      </c>
      <c r="Z2140">
        <v>2.108254E-2</v>
      </c>
      <c r="AA2140">
        <v>0.98602009999999995</v>
      </c>
      <c r="AB2140">
        <v>26</v>
      </c>
      <c r="AC2140">
        <v>14.6419999999999</v>
      </c>
      <c r="AD2140">
        <v>-1.1131360699566999</v>
      </c>
      <c r="AE2140">
        <v>-0.47860000000000003</v>
      </c>
      <c r="AF2140">
        <v>-2.4584525668357502</v>
      </c>
      <c r="AG2140">
        <v>-1.1131360699566999</v>
      </c>
      <c r="AH2140">
        <v>14.3567540232499</v>
      </c>
      <c r="AI2140">
        <v>94.370140690140801</v>
      </c>
      <c r="AJ2140">
        <v>99.717090110675699</v>
      </c>
      <c r="AK2140">
        <v>14.6081979387508</v>
      </c>
    </row>
    <row r="2141" spans="1:37" x14ac:dyDescent="0.2">
      <c r="A2141" t="str">
        <f>"20200111154107184"</f>
        <v>20200111154107184</v>
      </c>
      <c r="B2141" t="str">
        <f>"1578728467178311"</f>
        <v>1578728467178311</v>
      </c>
      <c r="C2141" t="s">
        <v>37</v>
      </c>
      <c r="D2141">
        <v>5.1432409999999997</v>
      </c>
      <c r="E2141">
        <v>0.48894079999999901</v>
      </c>
      <c r="F2141" t="s">
        <v>44</v>
      </c>
      <c r="G2141">
        <v>-454.26010000000002</v>
      </c>
      <c r="H2141" s="1">
        <v>7.3087900000000002E-7</v>
      </c>
      <c r="I2141">
        <v>214.6019</v>
      </c>
      <c r="J2141">
        <v>-469.0204</v>
      </c>
      <c r="K2141">
        <v>1.1130899999999999</v>
      </c>
      <c r="L2141">
        <v>215.06039999999999</v>
      </c>
      <c r="M2141">
        <v>0.98058299999999998</v>
      </c>
      <c r="N2141">
        <v>0</v>
      </c>
      <c r="O2141">
        <v>-0.1959999</v>
      </c>
      <c r="P2141">
        <v>0.99533959999999999</v>
      </c>
      <c r="Q2141">
        <v>7.6450519999999994E-2</v>
      </c>
      <c r="R2141">
        <v>-5.8774550000000002E-2</v>
      </c>
      <c r="S2141">
        <v>3.0257869999999998</v>
      </c>
      <c r="T2141">
        <v>-0.22426370000000001</v>
      </c>
      <c r="U2141">
        <v>-0.101989699999999</v>
      </c>
      <c r="V2141">
        <v>-0.138116299999999</v>
      </c>
      <c r="W2141">
        <v>8.1691990000000006E-2</v>
      </c>
      <c r="X2141">
        <v>0.98704119999999995</v>
      </c>
      <c r="Y2141">
        <v>-0.16188469999999999</v>
      </c>
      <c r="Z2141">
        <v>2.0409599999999899E-2</v>
      </c>
      <c r="AA2141">
        <v>0.98659859999999899</v>
      </c>
      <c r="AB2141">
        <v>26</v>
      </c>
      <c r="AC2141">
        <v>14.7602999999999</v>
      </c>
      <c r="AD2141">
        <v>-1.1130892691209999</v>
      </c>
      <c r="AE2141">
        <v>-0.45849999999998597</v>
      </c>
      <c r="AF2141">
        <v>-2.4296663733475001</v>
      </c>
      <c r="AG2141">
        <v>-1.1130892691209999</v>
      </c>
      <c r="AH2141">
        <v>14.4815890829277</v>
      </c>
      <c r="AI2141">
        <v>94.334895598771695</v>
      </c>
      <c r="AJ2141">
        <v>99.524165972999697</v>
      </c>
      <c r="AK2141">
        <v>14.726121986917599</v>
      </c>
    </row>
    <row r="2142" spans="1:37" x14ac:dyDescent="0.2">
      <c r="A2142" t="str">
        <f>"20200111154107204"</f>
        <v>20200111154107204</v>
      </c>
      <c r="B2142" t="str">
        <f>"1578728467197831"</f>
        <v>1578728467197831</v>
      </c>
      <c r="C2142" t="s">
        <v>37</v>
      </c>
      <c r="D2142">
        <v>5.1697439999999997</v>
      </c>
      <c r="E2142">
        <v>0.48944679999999902</v>
      </c>
      <c r="F2142" t="s">
        <v>44</v>
      </c>
      <c r="G2142">
        <v>-453.94499999999999</v>
      </c>
      <c r="H2142" s="1">
        <v>5.6353379999999998E-7</v>
      </c>
      <c r="I2142">
        <v>214.59350000000001</v>
      </c>
      <c r="J2142">
        <v>-468.78379999999999</v>
      </c>
      <c r="K2142">
        <v>1.1130599999999999</v>
      </c>
      <c r="L2142">
        <v>215.0179</v>
      </c>
      <c r="M2142">
        <v>0.98145939999999998</v>
      </c>
      <c r="N2142">
        <v>0</v>
      </c>
      <c r="O2142">
        <v>-0.1915732</v>
      </c>
      <c r="P2142">
        <v>0.99555780000000005</v>
      </c>
      <c r="Q2142">
        <v>7.6146710000000006E-2</v>
      </c>
      <c r="R2142">
        <v>-5.5376450000000001E-2</v>
      </c>
      <c r="S2142">
        <v>3.0256959999999999</v>
      </c>
      <c r="T2142">
        <v>-0.22340170000000001</v>
      </c>
      <c r="U2142">
        <v>-9.3719479999999994E-2</v>
      </c>
      <c r="V2142">
        <v>-0.13703199999999999</v>
      </c>
      <c r="W2142">
        <v>8.1087939999999997E-2</v>
      </c>
      <c r="X2142">
        <v>0.98724210000000001</v>
      </c>
      <c r="Y2142">
        <v>-0.1601485</v>
      </c>
      <c r="Z2142">
        <v>1.994872E-2</v>
      </c>
      <c r="AA2142">
        <v>0.98689130000000003</v>
      </c>
      <c r="AB2142">
        <v>26</v>
      </c>
      <c r="AC2142">
        <v>14.8387999999999</v>
      </c>
      <c r="AD2142">
        <v>-1.1130594364661901</v>
      </c>
      <c r="AE2142">
        <v>-0.42439999999999101</v>
      </c>
      <c r="AF2142">
        <v>-2.41266630713399</v>
      </c>
      <c r="AG2142">
        <v>-1.1130594364661901</v>
      </c>
      <c r="AH2142">
        <v>14.5633814384398</v>
      </c>
      <c r="AI2142">
        <v>94.311996204794596</v>
      </c>
      <c r="AJ2142">
        <v>99.406563828634503</v>
      </c>
      <c r="AK2142">
        <v>14.8037812379195</v>
      </c>
    </row>
    <row r="2143" spans="1:37" x14ac:dyDescent="0.2">
      <c r="A2143" t="str">
        <f>"20200111154107228"</f>
        <v>20200111154107228</v>
      </c>
      <c r="B2143" t="str">
        <f>"1578728467218326"</f>
        <v>1578728467218326</v>
      </c>
      <c r="C2143" t="s">
        <v>37</v>
      </c>
      <c r="D2143">
        <v>5.123812</v>
      </c>
      <c r="E2143">
        <v>0.48992659999999999</v>
      </c>
      <c r="F2143" t="s">
        <v>44</v>
      </c>
      <c r="G2143">
        <v>-453.64580000000001</v>
      </c>
      <c r="H2143" s="1">
        <v>4.0484909999999999E-7</v>
      </c>
      <c r="I2143">
        <v>214.5814</v>
      </c>
      <c r="J2143">
        <v>-468.51859999999999</v>
      </c>
      <c r="K2143">
        <v>1.113043</v>
      </c>
      <c r="L2143">
        <v>214.97149999999999</v>
      </c>
      <c r="M2143">
        <v>0.98240799999999995</v>
      </c>
      <c r="N2143">
        <v>0</v>
      </c>
      <c r="O2143">
        <v>-0.1866572</v>
      </c>
      <c r="P2143">
        <v>0.99576359999999997</v>
      </c>
      <c r="Q2143">
        <v>7.5910140000000001E-2</v>
      </c>
      <c r="R2143">
        <v>-5.1890699999999901E-2</v>
      </c>
      <c r="S2143">
        <v>3.0255130000000001</v>
      </c>
      <c r="T2143">
        <v>-0.2224583</v>
      </c>
      <c r="U2143">
        <v>-8.7234500000000006E-2</v>
      </c>
      <c r="V2143">
        <v>-0.1355451</v>
      </c>
      <c r="W2143">
        <v>8.0543749999999997E-2</v>
      </c>
      <c r="X2143">
        <v>0.98749189999999998</v>
      </c>
      <c r="Y2143">
        <v>-0.15734619999999999</v>
      </c>
      <c r="Z2143">
        <v>1.9408950000000001E-2</v>
      </c>
      <c r="AA2143">
        <v>0.98735280000000003</v>
      </c>
      <c r="AB2143">
        <v>26</v>
      </c>
      <c r="AC2143">
        <v>14.8727999999999</v>
      </c>
      <c r="AD2143">
        <v>-1.1130425951509</v>
      </c>
      <c r="AE2143">
        <v>-0.39009999999998901</v>
      </c>
      <c r="AF2143">
        <v>-2.37959992466378</v>
      </c>
      <c r="AG2143">
        <v>-1.1130425951509</v>
      </c>
      <c r="AH2143">
        <v>14.602492296387201</v>
      </c>
      <c r="AI2143">
        <v>94.3022823634047</v>
      </c>
      <c r="AJ2143">
        <v>99.255477441954895</v>
      </c>
      <c r="AK2143">
        <v>14.836918173466</v>
      </c>
    </row>
    <row r="2144" spans="1:37" x14ac:dyDescent="0.2">
      <c r="A2144" t="str">
        <f>"20200111154107249"</f>
        <v>20200111154107249</v>
      </c>
      <c r="B2144" t="str">
        <f>"1578728467238823"</f>
        <v>1578728467238823</v>
      </c>
      <c r="C2144" t="s">
        <v>37</v>
      </c>
      <c r="D2144">
        <v>5.3106540000000004</v>
      </c>
      <c r="E2144">
        <v>0.49014669999999999</v>
      </c>
      <c r="F2144" t="s">
        <v>44</v>
      </c>
      <c r="G2144">
        <v>-453.33069999999998</v>
      </c>
      <c r="H2144" s="1">
        <v>2.3770369999999999E-7</v>
      </c>
      <c r="I2144">
        <v>214.56960000000001</v>
      </c>
      <c r="J2144">
        <v>-468.26369999999997</v>
      </c>
      <c r="K2144">
        <v>1.113029</v>
      </c>
      <c r="L2144">
        <v>214.9281</v>
      </c>
      <c r="M2144">
        <v>0.98328979999999999</v>
      </c>
      <c r="N2144">
        <v>0</v>
      </c>
      <c r="O2144">
        <v>-0.1819644</v>
      </c>
      <c r="P2144">
        <v>0.995919</v>
      </c>
      <c r="Q2144">
        <v>7.5771469999999994E-2</v>
      </c>
      <c r="R2144">
        <v>-4.9032449999999998E-2</v>
      </c>
      <c r="S2144">
        <v>3.025452</v>
      </c>
      <c r="T2144">
        <v>-0.2217199</v>
      </c>
      <c r="U2144">
        <v>-8.0062869999999994E-2</v>
      </c>
      <c r="V2144">
        <v>-0.1336658</v>
      </c>
      <c r="W2144">
        <v>8.0136879999999994E-2</v>
      </c>
      <c r="X2144">
        <v>0.98778109999999997</v>
      </c>
      <c r="Y2144">
        <v>-0.1549934</v>
      </c>
      <c r="Z2144">
        <v>1.8921899999999998E-2</v>
      </c>
      <c r="AA2144">
        <v>0.98773429999999995</v>
      </c>
      <c r="AB2144">
        <v>26</v>
      </c>
      <c r="AC2144">
        <v>14.9329999999999</v>
      </c>
      <c r="AD2144">
        <v>-1.1130287622963</v>
      </c>
      <c r="AE2144">
        <v>-0.35849999999999199</v>
      </c>
      <c r="AF2144">
        <v>-2.3517431656413299</v>
      </c>
      <c r="AG2144">
        <v>-1.1130287622963</v>
      </c>
      <c r="AH2144">
        <v>14.667485554045101</v>
      </c>
      <c r="AI2144">
        <v>94.284999030444794</v>
      </c>
      <c r="AJ2144">
        <v>99.109112296101998</v>
      </c>
      <c r="AK2144">
        <v>14.896464728953701</v>
      </c>
    </row>
    <row r="2145" spans="1:37" x14ac:dyDescent="0.2">
      <c r="A2145" t="str">
        <f>"20200111154107272"</f>
        <v>20200111154107272</v>
      </c>
      <c r="B2145" t="str">
        <f>"1578728467268103"</f>
        <v>1578728467268103</v>
      </c>
      <c r="C2145" t="s">
        <v>37</v>
      </c>
      <c r="D2145">
        <v>5.1969399999999997</v>
      </c>
      <c r="E2145">
        <v>0.58310909999999905</v>
      </c>
      <c r="F2145" t="s">
        <v>44</v>
      </c>
      <c r="G2145">
        <v>-453.0659</v>
      </c>
      <c r="H2145" s="1">
        <v>9.6992680000000004E-8</v>
      </c>
      <c r="I2145">
        <v>214.56389999999999</v>
      </c>
      <c r="J2145">
        <v>-468.00349999999997</v>
      </c>
      <c r="K2145">
        <v>1.1130119999999999</v>
      </c>
      <c r="L2145">
        <v>214.88499999999999</v>
      </c>
      <c r="M2145">
        <v>0.98416019999999904</v>
      </c>
      <c r="N2145">
        <v>0</v>
      </c>
      <c r="O2145">
        <v>-0.17720429999999901</v>
      </c>
      <c r="P2145">
        <v>0.99607009999999996</v>
      </c>
      <c r="Q2145">
        <v>7.5370399999999907E-2</v>
      </c>
      <c r="R2145">
        <v>-4.651607E-2</v>
      </c>
      <c r="S2145">
        <v>3.0255429999999999</v>
      </c>
      <c r="T2145">
        <v>-0.22157789999999999</v>
      </c>
      <c r="U2145">
        <v>-7.2494509999999998E-2</v>
      </c>
      <c r="V2145">
        <v>-0.13138459999999999</v>
      </c>
      <c r="W2145">
        <v>7.9486180000000003E-2</v>
      </c>
      <c r="X2145">
        <v>0.98813969999999995</v>
      </c>
      <c r="Y2145">
        <v>-0.1527027</v>
      </c>
      <c r="Z2145">
        <v>1.848342E-2</v>
      </c>
      <c r="AA2145">
        <v>0.98809930000000001</v>
      </c>
      <c r="AB2145">
        <v>27</v>
      </c>
      <c r="AC2145">
        <v>14.9375999999999</v>
      </c>
      <c r="AD2145">
        <v>-1.11301190300732</v>
      </c>
      <c r="AE2145">
        <v>-0.321100000000001</v>
      </c>
      <c r="AF2145">
        <v>-2.3181608289585398</v>
      </c>
      <c r="AG2145">
        <v>-1.11301190300732</v>
      </c>
      <c r="AH2145">
        <v>14.676648463099299</v>
      </c>
      <c r="AI2145">
        <v>94.283850911383198</v>
      </c>
      <c r="AJ2145">
        <v>98.975655751291995</v>
      </c>
      <c r="AK2145">
        <v>14.9002239994756</v>
      </c>
    </row>
    <row r="2146" spans="1:37" x14ac:dyDescent="0.2">
      <c r="A2146" t="str">
        <f>"20200111154107298"</f>
        <v>20200111154107298</v>
      </c>
      <c r="B2146" t="str">
        <f>"1578728467288599"</f>
        <v>1578728467288599</v>
      </c>
      <c r="C2146" t="s">
        <v>37</v>
      </c>
      <c r="D2146">
        <v>8.1421229999999998</v>
      </c>
      <c r="E2146">
        <v>0.59536730000000004</v>
      </c>
      <c r="F2146" t="s">
        <v>38</v>
      </c>
      <c r="G2146">
        <v>-467.20650000000001</v>
      </c>
      <c r="H2146">
        <v>0.96667479999999995</v>
      </c>
      <c r="I2146">
        <v>214.67140000000001</v>
      </c>
      <c r="J2146">
        <v>-467.69510000000002</v>
      </c>
      <c r="K2146">
        <v>1.113</v>
      </c>
      <c r="L2146">
        <v>214.83539999999999</v>
      </c>
      <c r="M2146">
        <v>0.98515489999999994</v>
      </c>
      <c r="N2146">
        <v>0</v>
      </c>
      <c r="O2146">
        <v>-0.17159649999999901</v>
      </c>
      <c r="P2146">
        <v>0.99623759999999995</v>
      </c>
      <c r="Q2146">
        <v>7.4631699999999995E-2</v>
      </c>
      <c r="R2146">
        <v>-4.4057829999999999E-2</v>
      </c>
      <c r="S2146">
        <v>3.0161129999999998</v>
      </c>
      <c r="T2146">
        <v>-0.55440249999999902</v>
      </c>
      <c r="U2146">
        <v>-0.80656430000000001</v>
      </c>
      <c r="V2146">
        <v>-0.12819919999999899</v>
      </c>
      <c r="W2146">
        <v>7.8473689999999999E-2</v>
      </c>
      <c r="X2146">
        <v>0.98863889999999999</v>
      </c>
      <c r="Y2146">
        <v>8.9977390000000004E-2</v>
      </c>
      <c r="Z2146">
        <v>2.2404400000000001E-2</v>
      </c>
      <c r="AA2146">
        <v>0.99569180000000002</v>
      </c>
      <c r="AB2146">
        <v>27</v>
      </c>
      <c r="AC2146">
        <v>0.48860000000001902</v>
      </c>
      <c r="AD2146">
        <v>-0.14632519999999999</v>
      </c>
      <c r="AE2146">
        <v>-0.16399999999998699</v>
      </c>
      <c r="AF2146">
        <v>7.1926585227779796E-2</v>
      </c>
      <c r="AG2146">
        <v>-0.14632519999999999</v>
      </c>
      <c r="AH2146">
        <v>0.47148980329148998</v>
      </c>
      <c r="AI2146">
        <v>107.055862322792</v>
      </c>
      <c r="AJ2146">
        <v>81.326302013984701</v>
      </c>
      <c r="AK2146">
        <v>0.49888589118697002</v>
      </c>
    </row>
    <row r="2147" spans="1:37" x14ac:dyDescent="0.2">
      <c r="A2147" t="str">
        <f>"20200111154107317"</f>
        <v>20200111154107317</v>
      </c>
      <c r="B2147" t="str">
        <f>"1578728467308118"</f>
        <v>1578728467308118</v>
      </c>
      <c r="C2147" t="s">
        <v>37</v>
      </c>
      <c r="D2147">
        <v>5.0510640000000002</v>
      </c>
      <c r="E2147">
        <v>0.60142839999999997</v>
      </c>
      <c r="F2147" t="s">
        <v>38</v>
      </c>
      <c r="G2147">
        <v>-466.97250000000003</v>
      </c>
      <c r="H2147">
        <v>0.96579550000000003</v>
      </c>
      <c r="I2147">
        <v>214.62099999999899</v>
      </c>
      <c r="J2147">
        <v>-467.46010000000001</v>
      </c>
      <c r="K2147">
        <v>1.1129959999999901</v>
      </c>
      <c r="L2147">
        <v>214.7988</v>
      </c>
      <c r="M2147">
        <v>0.98588509999999996</v>
      </c>
      <c r="N2147">
        <v>0</v>
      </c>
      <c r="O2147">
        <v>-0.1673567</v>
      </c>
      <c r="P2147">
        <v>0.99624140000000005</v>
      </c>
      <c r="Q2147">
        <v>7.4104920000000005E-2</v>
      </c>
      <c r="R2147">
        <v>-4.4853780000000003E-2</v>
      </c>
      <c r="S2147">
        <v>3.017792</v>
      </c>
      <c r="T2147">
        <v>-0.61477109999999902</v>
      </c>
      <c r="U2147">
        <v>-0.89544679999999999</v>
      </c>
      <c r="V2147">
        <v>-0.1231563</v>
      </c>
      <c r="W2147">
        <v>7.7775369999999996E-2</v>
      </c>
      <c r="X2147">
        <v>0.98933490000000002</v>
      </c>
      <c r="Y2147">
        <v>0.12085269999999999</v>
      </c>
      <c r="Z2147">
        <v>2.0805540000000001E-2</v>
      </c>
      <c r="AA2147">
        <v>0.99245239999999901</v>
      </c>
      <c r="AB2147">
        <v>27</v>
      </c>
      <c r="AC2147">
        <v>0.48759999999998599</v>
      </c>
      <c r="AD2147">
        <v>-0.14720049999999901</v>
      </c>
      <c r="AE2147">
        <v>-0.177800000000019</v>
      </c>
      <c r="AF2147">
        <v>8.6713046826479706E-2</v>
      </c>
      <c r="AG2147">
        <v>-0.14720049999999901</v>
      </c>
      <c r="AH2147">
        <v>0.47247329531327797</v>
      </c>
      <c r="AI2147">
        <v>107.036894164019</v>
      </c>
      <c r="AJ2147">
        <v>79.600238123940997</v>
      </c>
      <c r="AK2147">
        <v>0.50241233511366801</v>
      </c>
    </row>
    <row r="2148" spans="1:37" x14ac:dyDescent="0.2">
      <c r="A2148" t="str">
        <f>"20200111154107339"</f>
        <v>20200111154107339</v>
      </c>
      <c r="B2148" t="str">
        <f>"1578728467328614"</f>
        <v>1578728467328614</v>
      </c>
      <c r="C2148" t="s">
        <v>37</v>
      </c>
      <c r="D2148">
        <v>5.1132770000000001</v>
      </c>
      <c r="E2148">
        <v>0.60313090000000003</v>
      </c>
      <c r="F2148" t="s">
        <v>38</v>
      </c>
      <c r="G2148">
        <v>-466.73950000000002</v>
      </c>
      <c r="H2148">
        <v>0.958395</v>
      </c>
      <c r="I2148">
        <v>214.57299999999901</v>
      </c>
      <c r="J2148">
        <v>-467.20139999999998</v>
      </c>
      <c r="K2148">
        <v>1.112975</v>
      </c>
      <c r="L2148">
        <v>214.75970000000001</v>
      </c>
      <c r="M2148">
        <v>0.98666039999999899</v>
      </c>
      <c r="N2148">
        <v>0</v>
      </c>
      <c r="O2148">
        <v>-0.16272919999999999</v>
      </c>
      <c r="P2148">
        <v>0.9962008</v>
      </c>
      <c r="Q2148">
        <v>7.3707980000000006E-2</v>
      </c>
      <c r="R2148">
        <v>-4.6381850000000002E-2</v>
      </c>
      <c r="S2148">
        <v>3.0170590000000002</v>
      </c>
      <c r="T2148">
        <v>-0.64814110000000003</v>
      </c>
      <c r="U2148">
        <v>-0.94319149999999996</v>
      </c>
      <c r="V2148">
        <v>-0.11699420000000001</v>
      </c>
      <c r="W2148">
        <v>7.7213909999999997E-2</v>
      </c>
      <c r="X2148">
        <v>0.99012639999999996</v>
      </c>
      <c r="Y2148">
        <v>0.1395371</v>
      </c>
      <c r="Z2148">
        <v>1.8980199999999999E-2</v>
      </c>
      <c r="AA2148">
        <v>0.99003490000000005</v>
      </c>
      <c r="AB2148">
        <v>27</v>
      </c>
      <c r="AC2148">
        <v>0.46189999999995701</v>
      </c>
      <c r="AD2148">
        <v>-0.154579999999999</v>
      </c>
      <c r="AE2148">
        <v>-0.18670000000003001</v>
      </c>
      <c r="AF2148">
        <v>9.9470036838320106E-2</v>
      </c>
      <c r="AG2148">
        <v>-0.154579999999999</v>
      </c>
      <c r="AH2148">
        <v>0.44343551676116999</v>
      </c>
      <c r="AI2148">
        <v>108.785412614176</v>
      </c>
      <c r="AJ2148">
        <v>77.356880143812404</v>
      </c>
      <c r="AK2148">
        <v>0.48002533490833799</v>
      </c>
    </row>
    <row r="2149" spans="1:37" x14ac:dyDescent="0.2">
      <c r="A2149" t="str">
        <f>"20200111154107361"</f>
        <v>20200111154107361</v>
      </c>
      <c r="B2149" t="str">
        <f>"1578728467357894"</f>
        <v>1578728467357894</v>
      </c>
      <c r="C2149" t="s">
        <v>37</v>
      </c>
      <c r="D2149">
        <v>4.9498989999999896</v>
      </c>
      <c r="E2149">
        <v>0.60753760000000001</v>
      </c>
      <c r="F2149" t="s">
        <v>38</v>
      </c>
      <c r="G2149">
        <v>-466.50009999999997</v>
      </c>
      <c r="H2149">
        <v>0.95764780000000005</v>
      </c>
      <c r="I2149">
        <v>214.53729999999999</v>
      </c>
      <c r="J2149">
        <v>-466.93529999999998</v>
      </c>
      <c r="K2149">
        <v>1.112948</v>
      </c>
      <c r="L2149">
        <v>214.72059999999999</v>
      </c>
      <c r="M2149">
        <v>0.987425</v>
      </c>
      <c r="N2149">
        <v>0</v>
      </c>
      <c r="O2149">
        <v>-0.15803</v>
      </c>
      <c r="P2149">
        <v>0.996143</v>
      </c>
      <c r="Q2149">
        <v>7.234459E-2</v>
      </c>
      <c r="R2149">
        <v>-4.9654049999999998E-2</v>
      </c>
      <c r="S2149">
        <v>3.0162960000000001</v>
      </c>
      <c r="T2149">
        <v>-0.66804200000000002</v>
      </c>
      <c r="U2149">
        <v>-0.95660400000000001</v>
      </c>
      <c r="V2149">
        <v>-0.109025</v>
      </c>
      <c r="W2149">
        <v>7.5719610000000007E-2</v>
      </c>
      <c r="X2149">
        <v>0.99115089999999995</v>
      </c>
      <c r="Y2149">
        <v>0.1480649</v>
      </c>
      <c r="Z2149">
        <v>1.7645859999999999E-2</v>
      </c>
      <c r="AA2149">
        <v>0.98882019999999904</v>
      </c>
      <c r="AB2149">
        <v>27</v>
      </c>
      <c r="AC2149">
        <v>0.43520000000000802</v>
      </c>
      <c r="AD2149">
        <v>-0.1553002</v>
      </c>
      <c r="AE2149">
        <v>-0.18330000000000199</v>
      </c>
      <c r="AF2149">
        <v>0.101268743202717</v>
      </c>
      <c r="AG2149">
        <v>-0.1553002</v>
      </c>
      <c r="AH2149">
        <v>0.41393020581372297</v>
      </c>
      <c r="AI2149">
        <v>110.023582646731</v>
      </c>
      <c r="AJ2149">
        <v>76.252524997995295</v>
      </c>
      <c r="AK2149">
        <v>0.45355454551232199</v>
      </c>
    </row>
    <row r="2150" spans="1:37" x14ac:dyDescent="0.2">
      <c r="A2150" t="str">
        <f>"20200111154107384"</f>
        <v>20200111154107384</v>
      </c>
      <c r="B2150" t="str">
        <f>"1578728467378391"</f>
        <v>1578728467378391</v>
      </c>
      <c r="C2150" t="s">
        <v>37</v>
      </c>
      <c r="D2150">
        <v>5.0268459999999999</v>
      </c>
      <c r="E2150">
        <v>0.60953059999999903</v>
      </c>
      <c r="F2150" t="s">
        <v>38</v>
      </c>
      <c r="G2150">
        <v>-466.2604</v>
      </c>
      <c r="H2150">
        <v>0.95572729999999995</v>
      </c>
      <c r="I2150">
        <v>214.49719999999999</v>
      </c>
      <c r="J2150">
        <v>-466.67559999999997</v>
      </c>
      <c r="K2150">
        <v>1.112911</v>
      </c>
      <c r="L2150">
        <v>214.68360000000001</v>
      </c>
      <c r="M2150">
        <v>0.98813850000000003</v>
      </c>
      <c r="N2150">
        <v>0</v>
      </c>
      <c r="O2150">
        <v>-0.15350949999999999</v>
      </c>
      <c r="P2150">
        <v>0.99611939999999999</v>
      </c>
      <c r="Q2150">
        <v>6.9796960000000005E-2</v>
      </c>
      <c r="R2150">
        <v>-5.3616810000000001E-2</v>
      </c>
      <c r="S2150">
        <v>3.0129999999999999</v>
      </c>
      <c r="T2150">
        <v>-0.70250769999999996</v>
      </c>
      <c r="U2150">
        <v>-0.9955444</v>
      </c>
      <c r="V2150">
        <v>-0.1005438</v>
      </c>
      <c r="W2150">
        <v>7.3071460000000005E-2</v>
      </c>
      <c r="X2150">
        <v>0.99224570000000001</v>
      </c>
      <c r="Y2150">
        <v>0.1639823</v>
      </c>
      <c r="Z2150">
        <v>1.5732880000000001E-2</v>
      </c>
      <c r="AA2150">
        <v>0.98633780000000004</v>
      </c>
      <c r="AB2150">
        <v>27</v>
      </c>
      <c r="AC2150">
        <v>0.41519999999996998</v>
      </c>
      <c r="AD2150">
        <v>-0.15718369999999901</v>
      </c>
      <c r="AE2150">
        <v>-0.18640000000001999</v>
      </c>
      <c r="AF2150">
        <v>0.10761663441231401</v>
      </c>
      <c r="AG2150">
        <v>-0.15718369999999901</v>
      </c>
      <c r="AH2150">
        <v>0.392121649738782</v>
      </c>
      <c r="AI2150">
        <v>111.13453777966799</v>
      </c>
      <c r="AJ2150">
        <v>74.653206540660804</v>
      </c>
      <c r="AK2150">
        <v>0.43594431266136302</v>
      </c>
    </row>
    <row r="2151" spans="1:37" x14ac:dyDescent="0.2">
      <c r="A2151" t="str">
        <f>"20200111154107406"</f>
        <v>20200111154107406</v>
      </c>
      <c r="B2151" t="str">
        <f>"1578728467397910"</f>
        <v>1578728467397910</v>
      </c>
      <c r="C2151" t="s">
        <v>37</v>
      </c>
      <c r="D2151">
        <v>5.0425949999999897</v>
      </c>
      <c r="E2151">
        <v>0.6101297</v>
      </c>
      <c r="F2151" t="s">
        <v>38</v>
      </c>
      <c r="G2151">
        <v>-465.80180000000001</v>
      </c>
      <c r="H2151">
        <v>0.90053709999999898</v>
      </c>
      <c r="I2151">
        <v>214.387</v>
      </c>
      <c r="J2151">
        <v>-466.38799999999998</v>
      </c>
      <c r="K2151">
        <v>1.11287</v>
      </c>
      <c r="L2151">
        <v>214.64410000000001</v>
      </c>
      <c r="M2151">
        <v>0.98889159999999898</v>
      </c>
      <c r="N2151">
        <v>0</v>
      </c>
      <c r="O2151">
        <v>-0.14858569999999999</v>
      </c>
      <c r="P2151">
        <v>0.99613609999999897</v>
      </c>
      <c r="Q2151">
        <v>6.6831870000000002E-2</v>
      </c>
      <c r="R2151">
        <v>-5.6978040000000001E-2</v>
      </c>
      <c r="S2151">
        <v>3.00808699999999</v>
      </c>
      <c r="T2151">
        <v>-0.73149119999999901</v>
      </c>
      <c r="U2151">
        <v>-1.0195620000000001</v>
      </c>
      <c r="V2151">
        <v>-9.2249999999999999E-2</v>
      </c>
      <c r="W2151">
        <v>7.0009920000000003E-2</v>
      </c>
      <c r="X2151">
        <v>0.99327160000000003</v>
      </c>
      <c r="Y2151">
        <v>0.1759859</v>
      </c>
      <c r="Z2151">
        <v>1.383912E-2</v>
      </c>
      <c r="AA2151">
        <v>0.98429539999999904</v>
      </c>
      <c r="AB2151">
        <v>28</v>
      </c>
      <c r="AC2151">
        <v>0.58620000000001904</v>
      </c>
      <c r="AD2151">
        <v>-0.21233289999999999</v>
      </c>
      <c r="AE2151">
        <v>-0.25710000000000799</v>
      </c>
      <c r="AF2151">
        <v>0.15057562248984899</v>
      </c>
      <c r="AG2151">
        <v>-0.21233289999999999</v>
      </c>
      <c r="AH2151">
        <v>0.55664350467682799</v>
      </c>
      <c r="AI2151">
        <v>110.214620214261</v>
      </c>
      <c r="AJ2151">
        <v>74.863385959047406</v>
      </c>
      <c r="AK2151">
        <v>0.61450001611840299</v>
      </c>
    </row>
    <row r="2152" spans="1:37" x14ac:dyDescent="0.2">
      <c r="A2152" t="str">
        <f>"20200111154107430"</f>
        <v>20200111154107430</v>
      </c>
      <c r="B2152" t="str">
        <f>"1578728467418406"</f>
        <v>1578728467418406</v>
      </c>
      <c r="C2152" t="s">
        <v>37</v>
      </c>
      <c r="D2152">
        <v>5.0495720000000004</v>
      </c>
      <c r="E2152">
        <v>0.61045969999999905</v>
      </c>
      <c r="F2152" t="s">
        <v>38</v>
      </c>
      <c r="G2152">
        <v>-465.55349999999999</v>
      </c>
      <c r="H2152">
        <v>0.90456569999999903</v>
      </c>
      <c r="I2152">
        <v>214.357</v>
      </c>
      <c r="J2152">
        <v>-466.09989999999999</v>
      </c>
      <c r="K2152">
        <v>1.1128400000000001</v>
      </c>
      <c r="L2152">
        <v>214.60589999999999</v>
      </c>
      <c r="M2152">
        <v>0.98961169999999998</v>
      </c>
      <c r="N2152">
        <v>0</v>
      </c>
      <c r="O2152">
        <v>-0.14371510000000001</v>
      </c>
      <c r="P2152">
        <v>0.996193</v>
      </c>
      <c r="Q2152">
        <v>6.442995E-2</v>
      </c>
      <c r="R2152">
        <v>-5.8724970000000001E-2</v>
      </c>
      <c r="S2152">
        <v>3.0028380000000001</v>
      </c>
      <c r="T2152">
        <v>-0.74964980000000003</v>
      </c>
      <c r="U2152">
        <v>-1.0330349999999999</v>
      </c>
      <c r="V2152">
        <v>-8.5615830000000004E-2</v>
      </c>
      <c r="W2152">
        <v>6.75153E-2</v>
      </c>
      <c r="X2152">
        <v>0.99403799999999898</v>
      </c>
      <c r="Y2152">
        <v>0.1848928</v>
      </c>
      <c r="Z2152">
        <v>1.1975950000000001E-2</v>
      </c>
      <c r="AA2152">
        <v>0.9826857</v>
      </c>
      <c r="AB2152">
        <v>28</v>
      </c>
      <c r="AC2152">
        <v>0.54640000000000499</v>
      </c>
      <c r="AD2152">
        <v>-0.2082743</v>
      </c>
      <c r="AE2152">
        <v>-0.24889999999999099</v>
      </c>
      <c r="AF2152">
        <v>0.14976853581434599</v>
      </c>
      <c r="AG2152">
        <v>-0.2082743</v>
      </c>
      <c r="AH2152">
        <v>0.51458103955493395</v>
      </c>
      <c r="AI2152">
        <v>111.237120895549</v>
      </c>
      <c r="AJ2152">
        <v>73.772391329322801</v>
      </c>
      <c r="AK2152">
        <v>0.57498038630017601</v>
      </c>
    </row>
    <row r="2153" spans="1:37" x14ac:dyDescent="0.2">
      <c r="A2153" t="str">
        <f>"20200111154107450"</f>
        <v>20200111154107450</v>
      </c>
      <c r="B2153" t="str">
        <f>"1578728467437926"</f>
        <v>1578728467437926</v>
      </c>
      <c r="C2153" t="s">
        <v>37</v>
      </c>
      <c r="D2153">
        <v>5.0499650000000003</v>
      </c>
      <c r="E2153">
        <v>0.61054430000000004</v>
      </c>
      <c r="F2153" t="s">
        <v>38</v>
      </c>
      <c r="G2153">
        <v>-465.30290000000002</v>
      </c>
      <c r="H2153">
        <v>0.91038869999999905</v>
      </c>
      <c r="I2153">
        <v>214.32910000000001</v>
      </c>
      <c r="J2153">
        <v>-465.84519999999998</v>
      </c>
      <c r="K2153">
        <v>1.1128279999999999</v>
      </c>
      <c r="L2153">
        <v>214.57320000000001</v>
      </c>
      <c r="M2153">
        <v>0.99022259999999995</v>
      </c>
      <c r="N2153">
        <v>0</v>
      </c>
      <c r="O2153">
        <v>-0.13944779999999901</v>
      </c>
      <c r="P2153">
        <v>0.99612389999999995</v>
      </c>
      <c r="Q2153">
        <v>6.3573119999999997E-2</v>
      </c>
      <c r="R2153">
        <v>-6.0793880000000002E-2</v>
      </c>
      <c r="S2153">
        <v>2.99939</v>
      </c>
      <c r="T2153">
        <v>-0.76217100000000004</v>
      </c>
      <c r="U2153">
        <v>-1.0407409999999999</v>
      </c>
      <c r="V2153">
        <v>-7.9264219999999996E-2</v>
      </c>
      <c r="W2153">
        <v>6.6592789999999999E-2</v>
      </c>
      <c r="X2153">
        <v>0.99462689999999998</v>
      </c>
      <c r="Y2153">
        <v>0.1913871</v>
      </c>
      <c r="Z2153">
        <v>1.036836E-2</v>
      </c>
      <c r="AA2153">
        <v>0.98145990000000005</v>
      </c>
      <c r="AB2153">
        <v>28</v>
      </c>
      <c r="AC2153">
        <v>0.54229999999995404</v>
      </c>
      <c r="AD2153">
        <v>-0.20243929999999999</v>
      </c>
      <c r="AE2153">
        <v>-0.24410000000000301</v>
      </c>
      <c r="AF2153">
        <v>0.14884467348153599</v>
      </c>
      <c r="AG2153">
        <v>-0.20243929999999999</v>
      </c>
      <c r="AH2153">
        <v>0.511743017642871</v>
      </c>
      <c r="AI2153">
        <v>110.79911724654001</v>
      </c>
      <c r="AJ2153">
        <v>73.782492550492506</v>
      </c>
      <c r="AK2153">
        <v>0.57010290572364797</v>
      </c>
    </row>
    <row r="2154" spans="1:37" x14ac:dyDescent="0.2">
      <c r="A2154" t="str">
        <f>"20200111154107474"</f>
        <v>20200111154107474</v>
      </c>
      <c r="B2154" t="str">
        <f>"1578728467468183"</f>
        <v>1578728467468183</v>
      </c>
      <c r="C2154" t="s">
        <v>37</v>
      </c>
      <c r="D2154">
        <v>5.1258249999999999</v>
      </c>
      <c r="E2154">
        <v>0.60937669999999999</v>
      </c>
      <c r="F2154" t="s">
        <v>38</v>
      </c>
      <c r="G2154">
        <v>-465.05369999999999</v>
      </c>
      <c r="H2154">
        <v>0.91043149999999995</v>
      </c>
      <c r="I2154">
        <v>214.29650000000001</v>
      </c>
      <c r="J2154">
        <v>-465.5607</v>
      </c>
      <c r="K2154">
        <v>1.112816</v>
      </c>
      <c r="L2154">
        <v>214.53790000000001</v>
      </c>
      <c r="M2154">
        <v>0.99087819999999904</v>
      </c>
      <c r="N2154">
        <v>0</v>
      </c>
      <c r="O2154">
        <v>-0.13471349999999899</v>
      </c>
      <c r="P2154">
        <v>0.99610669999999901</v>
      </c>
      <c r="Q2154">
        <v>6.3850180000000006E-2</v>
      </c>
      <c r="R2154">
        <v>-6.0784499999999998E-2</v>
      </c>
      <c r="S2154">
        <v>2.9966740000000001</v>
      </c>
      <c r="T2154">
        <v>-0.76659919999999904</v>
      </c>
      <c r="U2154">
        <v>-1.0469360000000001</v>
      </c>
      <c r="V2154">
        <v>-7.4519619999999995E-2</v>
      </c>
      <c r="W2154">
        <v>6.6784529999999995E-2</v>
      </c>
      <c r="X2154">
        <v>0.9949808</v>
      </c>
      <c r="Y2154">
        <v>0.1978232</v>
      </c>
      <c r="Z2154">
        <v>8.5054840000000007E-3</v>
      </c>
      <c r="AA2154">
        <v>0.98020079999999998</v>
      </c>
      <c r="AB2154">
        <v>28</v>
      </c>
      <c r="AC2154">
        <v>0.507000000000005</v>
      </c>
      <c r="AD2154">
        <v>-0.20238449999999999</v>
      </c>
      <c r="AE2154">
        <v>-0.24139999999999801</v>
      </c>
      <c r="AF2154">
        <v>0.151252145273924</v>
      </c>
      <c r="AG2154">
        <v>-0.20238449999999999</v>
      </c>
      <c r="AH2154">
        <v>0.473404659723619</v>
      </c>
      <c r="AI2154">
        <v>112.15755921154199</v>
      </c>
      <c r="AJ2154">
        <v>72.281389652279998</v>
      </c>
      <c r="AK2154">
        <v>0.53660848776202696</v>
      </c>
    </row>
    <row r="2155" spans="1:37" x14ac:dyDescent="0.2">
      <c r="A2155" t="str">
        <f>"20200111154107495"</f>
        <v>20200111154107495</v>
      </c>
      <c r="B2155" t="str">
        <f>"1578728467488678"</f>
        <v>1578728467488678</v>
      </c>
      <c r="C2155" t="s">
        <v>37</v>
      </c>
      <c r="D2155">
        <v>5.0485660000000001</v>
      </c>
      <c r="E2155">
        <v>0.60866119999999901</v>
      </c>
      <c r="F2155" t="s">
        <v>38</v>
      </c>
      <c r="G2155">
        <v>-464.79910000000001</v>
      </c>
      <c r="H2155">
        <v>0.91766179999999997</v>
      </c>
      <c r="I2155">
        <v>214.27350000000001</v>
      </c>
      <c r="J2155">
        <v>-465.28530000000001</v>
      </c>
      <c r="K2155">
        <v>1.1128100000000001</v>
      </c>
      <c r="L2155">
        <v>214.505</v>
      </c>
      <c r="M2155">
        <v>0.99148769999999997</v>
      </c>
      <c r="N2155">
        <v>0</v>
      </c>
      <c r="O2155">
        <v>-0.13015370000000001</v>
      </c>
      <c r="P2155">
        <v>0.99621519999999997</v>
      </c>
      <c r="Q2155">
        <v>6.2790949999999998E-2</v>
      </c>
      <c r="R2155">
        <v>-6.0104310000000001E-2</v>
      </c>
      <c r="S2155">
        <v>2.9977419999999899</v>
      </c>
      <c r="T2155">
        <v>-0.76929550000000002</v>
      </c>
      <c r="U2155">
        <v>-1.0375209999999999</v>
      </c>
      <c r="V2155">
        <v>-7.0624010000000001E-2</v>
      </c>
      <c r="W2155">
        <v>6.5644530000000006E-2</v>
      </c>
      <c r="X2155">
        <v>0.99534059999999902</v>
      </c>
      <c r="Y2155">
        <v>0.19928979999999999</v>
      </c>
      <c r="Z2155">
        <v>7.2565709999999999E-3</v>
      </c>
      <c r="AA2155">
        <v>0.979913699999999</v>
      </c>
      <c r="AB2155">
        <v>28</v>
      </c>
      <c r="AC2155">
        <v>0.48619999999999602</v>
      </c>
      <c r="AD2155">
        <v>-0.19514819999999999</v>
      </c>
      <c r="AE2155">
        <v>-0.231499999999982</v>
      </c>
      <c r="AF2155">
        <v>0.14695092631067</v>
      </c>
      <c r="AG2155">
        <v>-0.19514819999999999</v>
      </c>
      <c r="AH2155">
        <v>0.45273789383705798</v>
      </c>
      <c r="AI2155">
        <v>112.292849204936</v>
      </c>
      <c r="AJ2155">
        <v>72.017462007919903</v>
      </c>
      <c r="AK2155">
        <v>0.51444046810376398</v>
      </c>
    </row>
    <row r="2156" spans="1:37" x14ac:dyDescent="0.2">
      <c r="A2156" t="str">
        <f>"20200111154107517"</f>
        <v>20200111154107517</v>
      </c>
      <c r="B2156" t="str">
        <f>"1578728467508198"</f>
        <v>1578728467508198</v>
      </c>
      <c r="C2156" t="s">
        <v>37</v>
      </c>
      <c r="D2156">
        <v>5.0834109999999999</v>
      </c>
      <c r="E2156">
        <v>0.60815379999999997</v>
      </c>
      <c r="F2156" t="s">
        <v>38</v>
      </c>
      <c r="G2156">
        <v>-464.54469999999998</v>
      </c>
      <c r="H2156">
        <v>0.92148759999999996</v>
      </c>
      <c r="I2156">
        <v>214.25069999999999</v>
      </c>
      <c r="J2156">
        <v>-465.0086</v>
      </c>
      <c r="K2156">
        <v>1.1128020000000001</v>
      </c>
      <c r="L2156">
        <v>214.47329999999999</v>
      </c>
      <c r="M2156">
        <v>0.99207649999999903</v>
      </c>
      <c r="N2156">
        <v>0</v>
      </c>
      <c r="O2156">
        <v>-0.12559110000000001</v>
      </c>
      <c r="P2156">
        <v>0.996417</v>
      </c>
      <c r="Q2156">
        <v>6.1110440000000002E-2</v>
      </c>
      <c r="R2156">
        <v>-5.8471549999999997E-2</v>
      </c>
      <c r="S2156">
        <v>2.9980470000000001</v>
      </c>
      <c r="T2156">
        <v>-0.77425449999999996</v>
      </c>
      <c r="U2156">
        <v>-1.0303799999999901</v>
      </c>
      <c r="V2156">
        <v>-6.7677929999999997E-2</v>
      </c>
      <c r="W2156">
        <v>6.3882990000000001E-2</v>
      </c>
      <c r="X2156">
        <v>0.99565990000000004</v>
      </c>
      <c r="Y2156">
        <v>0.20145650000000001</v>
      </c>
      <c r="Z2156">
        <v>5.9275329999999996E-3</v>
      </c>
      <c r="AA2156">
        <v>0.97947949999999995</v>
      </c>
      <c r="AB2156">
        <v>28</v>
      </c>
      <c r="AC2156">
        <v>0.46390000000002302</v>
      </c>
      <c r="AD2156">
        <v>-0.1913144</v>
      </c>
      <c r="AE2156">
        <v>-0.22259999999999899</v>
      </c>
      <c r="AF2156">
        <v>0.142829763831094</v>
      </c>
      <c r="AG2156">
        <v>-0.1913144</v>
      </c>
      <c r="AH2156">
        <v>0.42889106482071998</v>
      </c>
      <c r="AI2156">
        <v>112.938882820321</v>
      </c>
      <c r="AJ2156">
        <v>71.581154617258605</v>
      </c>
      <c r="AK2156">
        <v>0.490865650220564</v>
      </c>
    </row>
    <row r="2157" spans="1:37" x14ac:dyDescent="0.2">
      <c r="A2157" t="str">
        <f>"20200111154107541"</f>
        <v>20200111154107541</v>
      </c>
      <c r="B2157" t="str">
        <f>"1578728467538454"</f>
        <v>1578728467538454</v>
      </c>
      <c r="C2157" t="s">
        <v>37</v>
      </c>
      <c r="D2157">
        <v>5.0188420000000002</v>
      </c>
      <c r="E2157">
        <v>0.60692840000000003</v>
      </c>
      <c r="F2157" t="s">
        <v>38</v>
      </c>
      <c r="G2157">
        <v>-464.28919999999999</v>
      </c>
      <c r="H2157">
        <v>0.92432119999999995</v>
      </c>
      <c r="I2157">
        <v>214.22790000000001</v>
      </c>
      <c r="J2157">
        <v>-464.7029</v>
      </c>
      <c r="K2157">
        <v>1.112789</v>
      </c>
      <c r="L2157">
        <v>214.43950000000001</v>
      </c>
      <c r="M2157">
        <v>0.99269879999999999</v>
      </c>
      <c r="N2157">
        <v>0</v>
      </c>
      <c r="O2157">
        <v>-0.1205749</v>
      </c>
      <c r="P2157">
        <v>0.99666119999999903</v>
      </c>
      <c r="Q2157">
        <v>5.9127480000000003E-2</v>
      </c>
      <c r="R2157">
        <v>-5.6306080000000001E-2</v>
      </c>
      <c r="S2157">
        <v>2.9991150000000002</v>
      </c>
      <c r="T2157">
        <v>-0.78653339999999905</v>
      </c>
      <c r="U2157">
        <v>-1.0205839999999999</v>
      </c>
      <c r="V2157">
        <v>-6.4809000000000005E-2</v>
      </c>
      <c r="W2157">
        <v>6.181714E-2</v>
      </c>
      <c r="X2157">
        <v>0.99598120000000001</v>
      </c>
      <c r="Y2157">
        <v>0.20316020000000001</v>
      </c>
      <c r="Z2157">
        <v>4.5672559999999996E-3</v>
      </c>
      <c r="AA2157">
        <v>0.97913490000000003</v>
      </c>
      <c r="AB2157">
        <v>29</v>
      </c>
      <c r="AC2157">
        <v>0.41370000000000501</v>
      </c>
      <c r="AD2157">
        <v>-0.18846779999999999</v>
      </c>
      <c r="AE2157">
        <v>-0.21160000000000401</v>
      </c>
      <c r="AF2157">
        <v>0.13754703262054399</v>
      </c>
      <c r="AG2157">
        <v>-0.18846779999999999</v>
      </c>
      <c r="AH2157">
        <v>0.37457615361367802</v>
      </c>
      <c r="AI2157">
        <v>115.281955206357</v>
      </c>
      <c r="AJ2157">
        <v>69.836405155881394</v>
      </c>
      <c r="AK2157">
        <v>0.44130102274476402</v>
      </c>
    </row>
    <row r="2158" spans="1:37" x14ac:dyDescent="0.2">
      <c r="A2158" t="str">
        <f>"20200111154107564"</f>
        <v>20200111154107564</v>
      </c>
      <c r="B2158" t="str">
        <f>"1578728467557974"</f>
        <v>1578728467557974</v>
      </c>
      <c r="C2158" t="s">
        <v>37</v>
      </c>
      <c r="D2158">
        <v>5.0471620000000001</v>
      </c>
      <c r="E2158">
        <v>0.60632730000000001</v>
      </c>
      <c r="F2158" t="s">
        <v>38</v>
      </c>
      <c r="G2158">
        <v>-464.029</v>
      </c>
      <c r="H2158">
        <v>0.9330463</v>
      </c>
      <c r="I2158">
        <v>214.21449999999999</v>
      </c>
      <c r="J2158">
        <v>-464.41899999999998</v>
      </c>
      <c r="K2158">
        <v>1.112779</v>
      </c>
      <c r="L2158">
        <v>214.40960000000001</v>
      </c>
      <c r="M2158">
        <v>0.99324889999999999</v>
      </c>
      <c r="N2158">
        <v>0</v>
      </c>
      <c r="O2158">
        <v>-0.11595949999999999</v>
      </c>
      <c r="P2158">
        <v>0.99688509999999997</v>
      </c>
      <c r="Q2158">
        <v>5.8014679999999999E-2</v>
      </c>
      <c r="R2158">
        <v>-5.3429169999999998E-2</v>
      </c>
      <c r="S2158">
        <v>3.0009459999999999</v>
      </c>
      <c r="T2158">
        <v>-0.80058680000000004</v>
      </c>
      <c r="U2158">
        <v>-1.0012049999999999</v>
      </c>
      <c r="V2158">
        <v>-6.3053440000000002E-2</v>
      </c>
      <c r="W2158">
        <v>6.0630139999999999E-2</v>
      </c>
      <c r="X2158">
        <v>0.99616680000000002</v>
      </c>
      <c r="Y2158">
        <v>0.20165820000000001</v>
      </c>
      <c r="Z2158">
        <v>3.680553E-3</v>
      </c>
      <c r="AA2158">
        <v>0.97944900000000001</v>
      </c>
      <c r="AB2158">
        <v>29</v>
      </c>
      <c r="AC2158">
        <v>0.39000000000004298</v>
      </c>
      <c r="AD2158">
        <v>-0.1797327</v>
      </c>
      <c r="AE2158">
        <v>-0.195100000000024</v>
      </c>
      <c r="AF2158">
        <v>0.12698756555169299</v>
      </c>
      <c r="AG2158">
        <v>-0.1797327</v>
      </c>
      <c r="AH2158">
        <v>0.35045908011513</v>
      </c>
      <c r="AI2158">
        <v>115.74205725560201</v>
      </c>
      <c r="AJ2158">
        <v>70.082201173145904</v>
      </c>
      <c r="AK2158">
        <v>0.41382514675787802</v>
      </c>
    </row>
    <row r="2159" spans="1:37" x14ac:dyDescent="0.2">
      <c r="A2159" t="str">
        <f>"20200111154107586"</f>
        <v>20200111154107586</v>
      </c>
      <c r="B2159" t="str">
        <f>"1578728467578470"</f>
        <v>1578728467578470</v>
      </c>
      <c r="C2159" t="s">
        <v>37</v>
      </c>
      <c r="D2159">
        <v>5.0679669999999897</v>
      </c>
      <c r="E2159">
        <v>0.60566160000000002</v>
      </c>
      <c r="F2159" t="s">
        <v>38</v>
      </c>
      <c r="G2159">
        <v>-463.541</v>
      </c>
      <c r="H2159">
        <v>0.87666449999999996</v>
      </c>
      <c r="I2159">
        <v>214.12119999999999</v>
      </c>
      <c r="J2159">
        <v>-464.13619999999997</v>
      </c>
      <c r="K2159">
        <v>1.11276</v>
      </c>
      <c r="L2159">
        <v>214.3811</v>
      </c>
      <c r="M2159">
        <v>0.99376810000000004</v>
      </c>
      <c r="N2159">
        <v>0</v>
      </c>
      <c r="O2159">
        <v>-0.11142529999999901</v>
      </c>
      <c r="P2159">
        <v>0.9970405</v>
      </c>
      <c r="Q2159">
        <v>5.9128489999999999E-2</v>
      </c>
      <c r="R2159">
        <v>-4.9136630000000001E-2</v>
      </c>
      <c r="S2159">
        <v>3.0035099999999999</v>
      </c>
      <c r="T2159">
        <v>-0.80788249999999995</v>
      </c>
      <c r="U2159">
        <v>-0.985977199999999</v>
      </c>
      <c r="V2159">
        <v>-6.2797249999999999E-2</v>
      </c>
      <c r="W2159">
        <v>6.1660079999999999E-2</v>
      </c>
      <c r="X2159">
        <v>0.99611970000000005</v>
      </c>
      <c r="Y2159">
        <v>0.20121849999999999</v>
      </c>
      <c r="Z2159">
        <v>2.618628E-3</v>
      </c>
      <c r="AA2159">
        <v>0.97954289999999999</v>
      </c>
      <c r="AB2159">
        <v>29</v>
      </c>
      <c r="AC2159">
        <v>0.59519999999997697</v>
      </c>
      <c r="AD2159">
        <v>-0.23609549999999899</v>
      </c>
      <c r="AE2159">
        <v>-0.25990000000001601</v>
      </c>
      <c r="AF2159">
        <v>0.169554732222157</v>
      </c>
      <c r="AG2159">
        <v>-0.23609549999999899</v>
      </c>
      <c r="AH2159">
        <v>0.54803226771050095</v>
      </c>
      <c r="AI2159">
        <v>112.370032193779</v>
      </c>
      <c r="AJ2159">
        <v>72.808548128565405</v>
      </c>
      <c r="AK2159">
        <v>0.62034607985469803</v>
      </c>
    </row>
    <row r="2160" spans="1:37" x14ac:dyDescent="0.2">
      <c r="A2160" t="str">
        <f>"20200111154107608"</f>
        <v>20200111154107608</v>
      </c>
      <c r="B2160" t="str">
        <f>"1578728467597990"</f>
        <v>1578728467597990</v>
      </c>
      <c r="C2160" t="s">
        <v>37</v>
      </c>
      <c r="D2160">
        <v>5.059202</v>
      </c>
      <c r="E2160">
        <v>0.60515220000000003</v>
      </c>
      <c r="F2160" t="s">
        <v>38</v>
      </c>
      <c r="G2160">
        <v>-463.2774</v>
      </c>
      <c r="H2160">
        <v>0.88307250000000004</v>
      </c>
      <c r="I2160">
        <v>214.1045</v>
      </c>
      <c r="J2160">
        <v>-463.84379999999999</v>
      </c>
      <c r="K2160">
        <v>1.112751</v>
      </c>
      <c r="L2160">
        <v>214.35290000000001</v>
      </c>
      <c r="M2160">
        <v>0.99427569999999998</v>
      </c>
      <c r="N2160">
        <v>0</v>
      </c>
      <c r="O2160">
        <v>-0.1068026</v>
      </c>
      <c r="P2160">
        <v>0.99706980000000001</v>
      </c>
      <c r="Q2160">
        <v>6.2638849999999996E-2</v>
      </c>
      <c r="R2160">
        <v>-4.3912850000000003E-2</v>
      </c>
      <c r="S2160">
        <v>3.0089419999999998</v>
      </c>
      <c r="T2160">
        <v>-0.80505859999999996</v>
      </c>
      <c r="U2160">
        <v>-0.96827700000000005</v>
      </c>
      <c r="V2160">
        <v>-6.338858E-2</v>
      </c>
      <c r="W2160">
        <v>6.5080219999999994E-2</v>
      </c>
      <c r="X2160">
        <v>0.99586469999999905</v>
      </c>
      <c r="Y2160">
        <v>0.19995070000000001</v>
      </c>
      <c r="Z2160">
        <v>1.601044E-3</v>
      </c>
      <c r="AA2160">
        <v>0.97980460000000003</v>
      </c>
      <c r="AB2160">
        <v>29</v>
      </c>
      <c r="AC2160">
        <v>0.56639999999998702</v>
      </c>
      <c r="AD2160">
        <v>-0.22967850000000001</v>
      </c>
      <c r="AE2160">
        <v>-0.24840000000000301</v>
      </c>
      <c r="AF2160">
        <v>0.163884588950963</v>
      </c>
      <c r="AG2160">
        <v>-0.22967850000000001</v>
      </c>
      <c r="AH2160">
        <v>0.51822210860034701</v>
      </c>
      <c r="AI2160">
        <v>112.907810291614</v>
      </c>
      <c r="AJ2160">
        <v>72.4507581878472</v>
      </c>
      <c r="AK2160">
        <v>0.59005468026282604</v>
      </c>
    </row>
    <row r="2161" spans="1:37" x14ac:dyDescent="0.2">
      <c r="A2161" t="str">
        <f>"20200111154107629"</f>
        <v>20200111154107629</v>
      </c>
      <c r="B2161" t="str">
        <f>"1578728467618487"</f>
        <v>1578728467618487</v>
      </c>
      <c r="C2161" t="s">
        <v>37</v>
      </c>
      <c r="D2161">
        <v>5.1007790000000002</v>
      </c>
      <c r="E2161">
        <v>0.60454339999999995</v>
      </c>
      <c r="F2161" t="s">
        <v>38</v>
      </c>
      <c r="G2161">
        <v>-463.0104</v>
      </c>
      <c r="H2161">
        <v>0.89387179999999999</v>
      </c>
      <c r="I2161">
        <v>214.09030000000001</v>
      </c>
      <c r="J2161">
        <v>-463.56830000000002</v>
      </c>
      <c r="K2161">
        <v>1.1127400000000001</v>
      </c>
      <c r="L2161">
        <v>214.32749999999999</v>
      </c>
      <c r="M2161">
        <v>0.99472719999999903</v>
      </c>
      <c r="N2161">
        <v>0</v>
      </c>
      <c r="O2161">
        <v>-0.10251540000000001</v>
      </c>
      <c r="P2161">
        <v>0.9969846</v>
      </c>
      <c r="Q2161">
        <v>6.7346680000000006E-2</v>
      </c>
      <c r="R2161">
        <v>-3.855339E-2</v>
      </c>
      <c r="S2161">
        <v>3.016724</v>
      </c>
      <c r="T2161">
        <v>-0.79241689999999998</v>
      </c>
      <c r="U2161">
        <v>-0.94996639999999999</v>
      </c>
      <c r="V2161">
        <v>-6.4453880000000005E-2</v>
      </c>
      <c r="W2161">
        <v>6.9705489999999995E-2</v>
      </c>
      <c r="X2161">
        <v>0.99548320000000001</v>
      </c>
      <c r="Y2161">
        <v>0.19805729999999999</v>
      </c>
      <c r="Z2161">
        <v>7.460937E-4</v>
      </c>
      <c r="AA2161">
        <v>0.98019020000000001</v>
      </c>
      <c r="AB2161">
        <v>29</v>
      </c>
      <c r="AC2161">
        <v>0.55790000000001705</v>
      </c>
      <c r="AD2161">
        <v>-0.21886820000000001</v>
      </c>
      <c r="AE2161">
        <v>-0.23719999999997299</v>
      </c>
      <c r="AF2161">
        <v>0.158143721993803</v>
      </c>
      <c r="AG2161">
        <v>-0.21886820000000001</v>
      </c>
      <c r="AH2161">
        <v>0.51247915264213795</v>
      </c>
      <c r="AI2161">
        <v>112.199825341045</v>
      </c>
      <c r="AJ2161">
        <v>72.850523847813307</v>
      </c>
      <c r="AK2161">
        <v>0.57926471295090798</v>
      </c>
    </row>
    <row r="2162" spans="1:37" x14ac:dyDescent="0.2">
      <c r="A2162" t="str">
        <f>"20200111154107652"</f>
        <v>20200111154107652</v>
      </c>
      <c r="B2162" t="str">
        <f>"1578728467648742"</f>
        <v>1578728467648742</v>
      </c>
      <c r="C2162" t="s">
        <v>37</v>
      </c>
      <c r="D2162">
        <v>5.0904889999999998</v>
      </c>
      <c r="E2162">
        <v>0.60399559999999997</v>
      </c>
      <c r="F2162" t="s">
        <v>38</v>
      </c>
      <c r="G2162">
        <v>-462.74380000000002</v>
      </c>
      <c r="H2162">
        <v>0.9008642</v>
      </c>
      <c r="I2162">
        <v>214.07339999999999</v>
      </c>
      <c r="J2162">
        <v>-463.26659999999998</v>
      </c>
      <c r="K2162">
        <v>1.1127100000000001</v>
      </c>
      <c r="L2162">
        <v>214.30090000000001</v>
      </c>
      <c r="M2162">
        <v>0.99519099999999905</v>
      </c>
      <c r="N2162">
        <v>0</v>
      </c>
      <c r="O2162">
        <v>-9.7912250000000006E-2</v>
      </c>
      <c r="P2162">
        <v>0.99709490000000001</v>
      </c>
      <c r="Q2162">
        <v>6.849413E-2</v>
      </c>
      <c r="R2162">
        <v>-3.3325420000000001E-2</v>
      </c>
      <c r="S2162">
        <v>3.0255429999999999</v>
      </c>
      <c r="T2162">
        <v>-0.77760689999999999</v>
      </c>
      <c r="U2162">
        <v>-0.931778</v>
      </c>
      <c r="V2162">
        <v>-6.5066509999999994E-2</v>
      </c>
      <c r="W2162">
        <v>7.0777619999999999E-2</v>
      </c>
      <c r="X2162">
        <v>0.99536769999999997</v>
      </c>
      <c r="Y2162">
        <v>0.19642560000000001</v>
      </c>
      <c r="Z2162">
        <v>-1.9114840000000001E-4</v>
      </c>
      <c r="AA2162">
        <v>0.98051869999999997</v>
      </c>
      <c r="AB2162">
        <v>29</v>
      </c>
      <c r="AC2162">
        <v>0.52279999999996096</v>
      </c>
      <c r="AD2162">
        <v>-0.2118458</v>
      </c>
      <c r="AE2162">
        <v>-0.22750000000001999</v>
      </c>
      <c r="AF2162">
        <v>0.15396269074343</v>
      </c>
      <c r="AG2162">
        <v>-0.2118458</v>
      </c>
      <c r="AH2162">
        <v>0.47674558194674299</v>
      </c>
      <c r="AI2162">
        <v>112.92128798854201</v>
      </c>
      <c r="AJ2162">
        <v>72.102387338115804</v>
      </c>
      <c r="AK2162">
        <v>0.54393887802246399</v>
      </c>
    </row>
    <row r="2163" spans="1:37" x14ac:dyDescent="0.2">
      <c r="A2163" t="str">
        <f>"20200111154107674"</f>
        <v>20200111154107674</v>
      </c>
      <c r="B2163" t="str">
        <f>"1578728467668262"</f>
        <v>1578728467668262</v>
      </c>
      <c r="C2163" t="s">
        <v>37</v>
      </c>
      <c r="D2163">
        <v>5.0529640000000002</v>
      </c>
      <c r="E2163">
        <v>0.60366370000000003</v>
      </c>
      <c r="F2163" t="s">
        <v>38</v>
      </c>
      <c r="G2163">
        <v>-462.4742</v>
      </c>
      <c r="H2163">
        <v>0.91044829999999999</v>
      </c>
      <c r="I2163">
        <v>214.06219999999999</v>
      </c>
      <c r="J2163">
        <v>-462.97390000000001</v>
      </c>
      <c r="K2163">
        <v>1.1126799999999999</v>
      </c>
      <c r="L2163">
        <v>214.27629999999999</v>
      </c>
      <c r="M2163">
        <v>0.99561180000000005</v>
      </c>
      <c r="N2163">
        <v>0</v>
      </c>
      <c r="O2163">
        <v>-9.3539120000000003E-2</v>
      </c>
      <c r="P2163">
        <v>0.99724230000000003</v>
      </c>
      <c r="Q2163">
        <v>6.8346229999999994E-2</v>
      </c>
      <c r="R2163">
        <v>-2.8922239999999998E-2</v>
      </c>
      <c r="S2163">
        <v>3.0314030000000001</v>
      </c>
      <c r="T2163">
        <v>-0.773941199999999</v>
      </c>
      <c r="U2163">
        <v>-0.91259769999999896</v>
      </c>
      <c r="V2163">
        <v>-6.5084089999999997E-2</v>
      </c>
      <c r="W2163">
        <v>7.0569750000000001E-2</v>
      </c>
      <c r="X2163">
        <v>0.99538130000000002</v>
      </c>
      <c r="Y2163">
        <v>0.19447799999999901</v>
      </c>
      <c r="Z2163">
        <v>-1.013564E-3</v>
      </c>
      <c r="AA2163">
        <v>0.98090639999999996</v>
      </c>
      <c r="AB2163">
        <v>30</v>
      </c>
      <c r="AC2163">
        <v>0.49970000000001802</v>
      </c>
      <c r="AD2163">
        <v>-0.20223169999999899</v>
      </c>
      <c r="AE2163">
        <v>-0.21410000000000101</v>
      </c>
      <c r="AF2163">
        <v>0.146189435955869</v>
      </c>
      <c r="AG2163">
        <v>-0.20223169999999899</v>
      </c>
      <c r="AH2163">
        <v>0.45462357350632099</v>
      </c>
      <c r="AI2163">
        <v>112.951569170933</v>
      </c>
      <c r="AJ2163">
        <v>72.174208564304294</v>
      </c>
      <c r="AK2163">
        <v>0.51860544275744203</v>
      </c>
    </row>
    <row r="2164" spans="1:37" x14ac:dyDescent="0.2">
      <c r="A2164" t="str">
        <f>"20200111154107696"</f>
        <v>20200111154107696</v>
      </c>
      <c r="B2164" t="str">
        <f>"1578728467688758"</f>
        <v>1578728467688758</v>
      </c>
      <c r="C2164" t="s">
        <v>37</v>
      </c>
      <c r="D2164">
        <v>5.0807769999999897</v>
      </c>
      <c r="E2164">
        <v>0.60329690000000002</v>
      </c>
      <c r="F2164" t="s">
        <v>38</v>
      </c>
      <c r="G2164">
        <v>-462.20490000000001</v>
      </c>
      <c r="H2164">
        <v>0.91683999999999999</v>
      </c>
      <c r="I2164">
        <v>214.04859999999999</v>
      </c>
      <c r="J2164">
        <v>-462.68209999999999</v>
      </c>
      <c r="K2164">
        <v>1.11264599999999</v>
      </c>
      <c r="L2164">
        <v>214.25299999999999</v>
      </c>
      <c r="M2164">
        <v>0.99600359999999999</v>
      </c>
      <c r="N2164">
        <v>0</v>
      </c>
      <c r="O2164">
        <v>-8.9271690000000001E-2</v>
      </c>
      <c r="P2164">
        <v>0.99729669999999904</v>
      </c>
      <c r="Q2164">
        <v>6.9099430000000003E-2</v>
      </c>
      <c r="R2164">
        <v>-2.5000769999999999E-2</v>
      </c>
      <c r="S2164">
        <v>3.0352779999999999</v>
      </c>
      <c r="T2164">
        <v>-0.77328469999999905</v>
      </c>
      <c r="U2164">
        <v>-0.89736939999999998</v>
      </c>
      <c r="V2164">
        <v>-6.4729599999999998E-2</v>
      </c>
      <c r="W2164">
        <v>7.1273710000000004E-2</v>
      </c>
      <c r="X2164">
        <v>0.99535429999999903</v>
      </c>
      <c r="Y2164">
        <v>0.19371749999999999</v>
      </c>
      <c r="Z2164">
        <v>-1.9559949999999999E-3</v>
      </c>
      <c r="AA2164">
        <v>0.98105540000000002</v>
      </c>
      <c r="AB2164">
        <v>30</v>
      </c>
      <c r="AC2164">
        <v>0.47719999999998203</v>
      </c>
      <c r="AD2164">
        <v>-0.19580599999999901</v>
      </c>
      <c r="AE2164">
        <v>-0.204399999999992</v>
      </c>
      <c r="AF2164">
        <v>0.14093353536414699</v>
      </c>
      <c r="AG2164">
        <v>-0.19580599999999901</v>
      </c>
      <c r="AH2164">
        <v>0.43207345013951198</v>
      </c>
      <c r="AI2164">
        <v>113.30819863864301</v>
      </c>
      <c r="AJ2164">
        <v>71.934731460170198</v>
      </c>
      <c r="AK2164">
        <v>0.494863331983386</v>
      </c>
    </row>
    <row r="2165" spans="1:37" x14ac:dyDescent="0.2">
      <c r="A2165" t="str">
        <f>"20200111154107718"</f>
        <v>20200111154107718</v>
      </c>
      <c r="B2165" t="str">
        <f>"1578728467708278"</f>
        <v>1578728467708278</v>
      </c>
      <c r="C2165" t="s">
        <v>37</v>
      </c>
      <c r="D2165">
        <v>5.1584760000000003</v>
      </c>
      <c r="E2165">
        <v>0.6029118</v>
      </c>
      <c r="F2165" t="s">
        <v>38</v>
      </c>
      <c r="G2165">
        <v>-461.9341</v>
      </c>
      <c r="H2165">
        <v>0.92270730000000001</v>
      </c>
      <c r="I2165">
        <v>214.03579999999999</v>
      </c>
      <c r="J2165">
        <v>-462.38659999999999</v>
      </c>
      <c r="K2165">
        <v>1.1126129999999901</v>
      </c>
      <c r="L2165">
        <v>214.23050000000001</v>
      </c>
      <c r="M2165">
        <v>0.99637399999999998</v>
      </c>
      <c r="N2165">
        <v>0</v>
      </c>
      <c r="O2165">
        <v>-8.5039649999999994E-2</v>
      </c>
      <c r="P2165">
        <v>0.99733130000000003</v>
      </c>
      <c r="Q2165">
        <v>7.0030330000000002E-2</v>
      </c>
      <c r="R2165">
        <v>-2.0644989999999998E-2</v>
      </c>
      <c r="S2165">
        <v>3.0395810000000001</v>
      </c>
      <c r="T2165">
        <v>-0.77213920000000003</v>
      </c>
      <c r="U2165">
        <v>-0.88180539999999996</v>
      </c>
      <c r="V2165">
        <v>-6.4845539999999993E-2</v>
      </c>
      <c r="W2165">
        <v>7.2156919999999999E-2</v>
      </c>
      <c r="X2165">
        <v>0.99528309999999998</v>
      </c>
      <c r="Y2165">
        <v>0.1927924</v>
      </c>
      <c r="Z2165">
        <v>-2.8657909999999999E-3</v>
      </c>
      <c r="AA2165">
        <v>0.98123539999999998</v>
      </c>
      <c r="AB2165">
        <v>30</v>
      </c>
      <c r="AC2165">
        <v>0.45249999999998602</v>
      </c>
      <c r="AD2165">
        <v>-0.18990569999999901</v>
      </c>
      <c r="AE2165">
        <v>-0.194700000000011</v>
      </c>
      <c r="AF2165">
        <v>0.13539243911576401</v>
      </c>
      <c r="AG2165">
        <v>-0.18990569999999901</v>
      </c>
      <c r="AH2165">
        <v>0.40693973775280401</v>
      </c>
      <c r="AI2165">
        <v>113.883901746967</v>
      </c>
      <c r="AJ2165">
        <v>71.597261095619899</v>
      </c>
      <c r="AK2165">
        <v>0.46903649924555602</v>
      </c>
    </row>
    <row r="2166" spans="1:37" x14ac:dyDescent="0.2">
      <c r="A2166" t="str">
        <f>"20200111154107742"</f>
        <v>20200111154107742</v>
      </c>
      <c r="B2166" t="str">
        <f>"1578728467738534"</f>
        <v>1578728467738534</v>
      </c>
      <c r="C2166" t="s">
        <v>37</v>
      </c>
      <c r="D2166">
        <v>5.1897159999999998</v>
      </c>
      <c r="E2166">
        <v>0.52753139999999998</v>
      </c>
      <c r="F2166" t="s">
        <v>38</v>
      </c>
      <c r="G2166">
        <v>-461.66180000000003</v>
      </c>
      <c r="H2166">
        <v>0.92908590000000002</v>
      </c>
      <c r="I2166">
        <v>214.02420000000001</v>
      </c>
      <c r="J2166">
        <v>-462.0693</v>
      </c>
      <c r="K2166">
        <v>1.112571</v>
      </c>
      <c r="L2166">
        <v>214.20769999999999</v>
      </c>
      <c r="M2166">
        <v>0.99674459999999998</v>
      </c>
      <c r="N2166">
        <v>0</v>
      </c>
      <c r="O2166">
        <v>-8.0581689999999997E-2</v>
      </c>
      <c r="P2166">
        <v>0.99740300000000004</v>
      </c>
      <c r="Q2166">
        <v>7.0373930000000001E-2</v>
      </c>
      <c r="R2166">
        <v>-1.5330069999999999E-2</v>
      </c>
      <c r="S2166">
        <v>3.0443119999999899</v>
      </c>
      <c r="T2166">
        <v>-0.77135100000000001</v>
      </c>
      <c r="U2166">
        <v>-0.86441039999999902</v>
      </c>
      <c r="V2166">
        <v>-6.5693650000000006E-2</v>
      </c>
      <c r="W2166">
        <v>7.2450360000000005E-2</v>
      </c>
      <c r="X2166">
        <v>0.99520620000000004</v>
      </c>
      <c r="Y2166">
        <v>0.1915067</v>
      </c>
      <c r="Z2166">
        <v>-3.784627E-3</v>
      </c>
      <c r="AA2166">
        <v>0.98148400000000002</v>
      </c>
      <c r="AB2166">
        <v>30</v>
      </c>
      <c r="AC2166">
        <v>0.40749999999997</v>
      </c>
      <c r="AD2166">
        <v>-0.18348510000000001</v>
      </c>
      <c r="AE2166">
        <v>-0.18349999999998001</v>
      </c>
      <c r="AF2166">
        <v>0.12841938294474001</v>
      </c>
      <c r="AG2166">
        <v>-0.18348510000000001</v>
      </c>
      <c r="AH2166">
        <v>0.36023876379575998</v>
      </c>
      <c r="AI2166">
        <v>115.630280446312</v>
      </c>
      <c r="AJ2166">
        <v>70.379658451354004</v>
      </c>
      <c r="AK2166">
        <v>0.42418190293671698</v>
      </c>
    </row>
    <row r="2167" spans="1:37" x14ac:dyDescent="0.2">
      <c r="A2167" t="str">
        <f>"20200111154107763"</f>
        <v>20200111154107763</v>
      </c>
      <c r="B2167" t="str">
        <f>"1578728467758054"</f>
        <v>1578728467758054</v>
      </c>
      <c r="C2167" t="s">
        <v>37</v>
      </c>
      <c r="D2167">
        <v>5.1587819999999898</v>
      </c>
      <c r="E2167">
        <v>0.51214780000000004</v>
      </c>
      <c r="F2167" t="s">
        <v>38</v>
      </c>
      <c r="G2167">
        <v>-461.35829999999999</v>
      </c>
      <c r="H2167">
        <v>0.9779563</v>
      </c>
      <c r="I2167">
        <v>214.14869999999999</v>
      </c>
      <c r="J2167">
        <v>-461.77460000000002</v>
      </c>
      <c r="K2167">
        <v>1.1125370000000001</v>
      </c>
      <c r="L2167">
        <v>214.18770000000001</v>
      </c>
      <c r="M2167">
        <v>0.99706510000000004</v>
      </c>
      <c r="N2167">
        <v>0</v>
      </c>
      <c r="O2167">
        <v>-7.65155E-2</v>
      </c>
      <c r="P2167">
        <v>0.99749120000000002</v>
      </c>
      <c r="Q2167">
        <v>7.0037420000000003E-2</v>
      </c>
      <c r="R2167">
        <v>-1.02954E-2</v>
      </c>
      <c r="S2167">
        <v>3.0446469999999999</v>
      </c>
      <c r="T2167">
        <v>-0.57718239999999998</v>
      </c>
      <c r="U2167">
        <v>-0.25082399999999999</v>
      </c>
      <c r="V2167">
        <v>-6.6653100000000007E-2</v>
      </c>
      <c r="W2167">
        <v>7.2070839999999997E-2</v>
      </c>
      <c r="X2167">
        <v>0.99516990000000005</v>
      </c>
      <c r="Y2167">
        <v>6.8344950000000003E-3</v>
      </c>
      <c r="Z2167">
        <v>1.369075E-2</v>
      </c>
      <c r="AA2167">
        <v>0.99988290000000002</v>
      </c>
      <c r="AB2167">
        <v>30</v>
      </c>
      <c r="AC2167">
        <v>0.41630000000003498</v>
      </c>
      <c r="AD2167">
        <v>-0.1345807</v>
      </c>
      <c r="AE2167">
        <v>-3.9000000000015599E-2</v>
      </c>
      <c r="AF2167">
        <v>6.3720208929787404E-3</v>
      </c>
      <c r="AG2167">
        <v>-0.1345807</v>
      </c>
      <c r="AH2167">
        <v>0.37881827816356001</v>
      </c>
      <c r="AI2167">
        <v>109.55576525745499</v>
      </c>
      <c r="AJ2167">
        <v>89.036330878622906</v>
      </c>
      <c r="AK2167">
        <v>0.40206449151044699</v>
      </c>
    </row>
    <row r="2168" spans="1:37" x14ac:dyDescent="0.2">
      <c r="A2168" t="str">
        <f>"20200111154107785"</f>
        <v>20200111154107785</v>
      </c>
      <c r="B2168" t="str">
        <f>"1578728467778551"</f>
        <v>1578728467778551</v>
      </c>
      <c r="C2168" t="s">
        <v>37</v>
      </c>
      <c r="D2168">
        <v>5.1762879999999996</v>
      </c>
      <c r="E2168">
        <v>0.50379940000000001</v>
      </c>
      <c r="F2168" t="s">
        <v>38</v>
      </c>
      <c r="G2168">
        <v>-460.80939999999998</v>
      </c>
      <c r="H2168">
        <v>0.97805330000000001</v>
      </c>
      <c r="I2168">
        <v>214.1508</v>
      </c>
      <c r="J2168">
        <v>-461.47739999999999</v>
      </c>
      <c r="K2168">
        <v>1.112514</v>
      </c>
      <c r="L2168">
        <v>214.1687</v>
      </c>
      <c r="M2168">
        <v>0.99736639999999999</v>
      </c>
      <c r="N2168">
        <v>0</v>
      </c>
      <c r="O2168">
        <v>-7.2482820000000003E-2</v>
      </c>
      <c r="P2168">
        <v>0.99749120000000002</v>
      </c>
      <c r="Q2168">
        <v>7.0403779999999999E-2</v>
      </c>
      <c r="R2168">
        <v>-7.3926369999999996E-3</v>
      </c>
      <c r="S2168">
        <v>3.0360719999999999</v>
      </c>
      <c r="T2168">
        <v>-0.423104599999999</v>
      </c>
      <c r="U2168">
        <v>-0.115508999999999</v>
      </c>
      <c r="V2168">
        <v>-6.5523440000000002E-2</v>
      </c>
      <c r="W2168">
        <v>7.2416590000000003E-2</v>
      </c>
      <c r="X2168">
        <v>0.99521979999999999</v>
      </c>
      <c r="Y2168">
        <v>-3.3491599999999899E-2</v>
      </c>
      <c r="Z2168">
        <v>1.236057E-2</v>
      </c>
      <c r="AA2168">
        <v>0.99936259999999999</v>
      </c>
      <c r="AB2168">
        <v>31</v>
      </c>
      <c r="AC2168">
        <v>0.66800000000000603</v>
      </c>
      <c r="AD2168">
        <v>-0.13446069999999899</v>
      </c>
      <c r="AE2168">
        <v>-1.78999999999973E-2</v>
      </c>
      <c r="AF2168">
        <v>-2.93763746313963E-2</v>
      </c>
      <c r="AG2168">
        <v>-0.13446069999999899</v>
      </c>
      <c r="AH2168">
        <v>0.64156471149707694</v>
      </c>
      <c r="AI2168">
        <v>101.82482336117801</v>
      </c>
      <c r="AJ2168">
        <v>92.621664563900794</v>
      </c>
      <c r="AK2168">
        <v>0.65616151233465503</v>
      </c>
    </row>
    <row r="2169" spans="1:37" x14ac:dyDescent="0.2">
      <c r="A2169" t="str">
        <f>"20200111154107808"</f>
        <v>20200111154107808</v>
      </c>
      <c r="B2169" t="str">
        <f>"1578728467798272"</f>
        <v>1578728467798272</v>
      </c>
      <c r="C2169" t="s">
        <v>37</v>
      </c>
      <c r="D2169">
        <v>5.1691390000000004</v>
      </c>
      <c r="E2169">
        <v>0.499706499999999</v>
      </c>
      <c r="F2169" t="s">
        <v>38</v>
      </c>
      <c r="G2169">
        <v>-460.51389999999998</v>
      </c>
      <c r="H2169">
        <v>1.013825</v>
      </c>
      <c r="I2169">
        <v>214.15539999999999</v>
      </c>
      <c r="J2169">
        <v>-461.16879999999998</v>
      </c>
      <c r="K2169">
        <v>1.112487</v>
      </c>
      <c r="L2169">
        <v>214.15029999999999</v>
      </c>
      <c r="M2169">
        <v>0.99765839999999995</v>
      </c>
      <c r="N2169">
        <v>0</v>
      </c>
      <c r="O2169">
        <v>-6.8346589999999999E-2</v>
      </c>
      <c r="P2169">
        <v>0.99754159999999903</v>
      </c>
      <c r="Q2169">
        <v>6.9904770000000005E-2</v>
      </c>
      <c r="R2169">
        <v>-4.9040250000000002E-3</v>
      </c>
      <c r="S2169">
        <v>3.029175</v>
      </c>
      <c r="T2169">
        <v>-0.31063750000000001</v>
      </c>
      <c r="U2169">
        <v>-4.092407E-2</v>
      </c>
      <c r="V2169">
        <v>-6.3876639999999998E-2</v>
      </c>
      <c r="W2169">
        <v>7.1904380000000004E-2</v>
      </c>
      <c r="X2169">
        <v>0.99536399999999903</v>
      </c>
      <c r="Y2169">
        <v>-5.4221320000000003E-2</v>
      </c>
      <c r="Z2169">
        <v>9.75807699999999E-3</v>
      </c>
      <c r="AA2169">
        <v>0.99848130000000002</v>
      </c>
      <c r="AB2169">
        <v>31</v>
      </c>
      <c r="AC2169">
        <v>0.65489999999999704</v>
      </c>
      <c r="AD2169">
        <v>-9.8662E-2</v>
      </c>
      <c r="AE2169">
        <v>5.0999999999987696E-3</v>
      </c>
      <c r="AF2169">
        <v>-4.8742213129770701E-2</v>
      </c>
      <c r="AG2169">
        <v>-9.8662E-2</v>
      </c>
      <c r="AH2169">
        <v>0.63852883871506805</v>
      </c>
      <c r="AI2169">
        <v>98.758485403573005</v>
      </c>
      <c r="AJ2169">
        <v>94.365217918864303</v>
      </c>
      <c r="AK2169">
        <v>0.64794218218572697</v>
      </c>
    </row>
    <row r="2170" spans="1:37" x14ac:dyDescent="0.2">
      <c r="A2170" t="str">
        <f>"20200111154107831"</f>
        <v>20200111154107831</v>
      </c>
      <c r="B2170" t="str">
        <f>"1578728467828515"</f>
        <v>1578728467828515</v>
      </c>
      <c r="C2170" t="s">
        <v>37</v>
      </c>
      <c r="D2170">
        <v>5.1012849999999998</v>
      </c>
      <c r="E2170">
        <v>0.49678249999999902</v>
      </c>
      <c r="F2170" t="s">
        <v>44</v>
      </c>
      <c r="G2170">
        <v>-448.19499999999999</v>
      </c>
      <c r="H2170" s="1">
        <v>2.8448919999999998E-6</v>
      </c>
      <c r="I2170">
        <v>214.1431</v>
      </c>
      <c r="J2170">
        <v>-460.83760000000001</v>
      </c>
      <c r="K2170">
        <v>1.112465</v>
      </c>
      <c r="L2170">
        <v>214.1318</v>
      </c>
      <c r="M2170">
        <v>0.99794910000000003</v>
      </c>
      <c r="N2170">
        <v>0</v>
      </c>
      <c r="O2170">
        <v>-6.3962770000000002E-2</v>
      </c>
      <c r="P2170">
        <v>0.99766499999999902</v>
      </c>
      <c r="Q2170">
        <v>6.8282590000000004E-2</v>
      </c>
      <c r="R2170">
        <v>-1.3987089999999999E-3</v>
      </c>
      <c r="S2170">
        <v>3.0255740000000002</v>
      </c>
      <c r="T2170">
        <v>-0.25943889999999997</v>
      </c>
      <c r="U2170">
        <v>-1.66320799999999E-3</v>
      </c>
      <c r="V2170">
        <v>-6.2994060000000004E-2</v>
      </c>
      <c r="W2170">
        <v>7.0264869999999993E-2</v>
      </c>
      <c r="X2170">
        <v>0.99553729999999996</v>
      </c>
      <c r="Y2170">
        <v>-6.2948900000000002E-2</v>
      </c>
      <c r="Z2170">
        <v>8.1658080000000001E-3</v>
      </c>
      <c r="AA2170">
        <v>0.99798330000000002</v>
      </c>
      <c r="AB2170">
        <v>31</v>
      </c>
      <c r="AC2170">
        <v>12.6426</v>
      </c>
      <c r="AD2170">
        <v>-1.1124621551080001</v>
      </c>
      <c r="AE2170">
        <v>1.1300000000005601E-2</v>
      </c>
      <c r="AF2170">
        <v>-0.81363534166932805</v>
      </c>
      <c r="AG2170">
        <v>-1.1124621551080001</v>
      </c>
      <c r="AH2170">
        <v>12.519056223722901</v>
      </c>
      <c r="AI2170">
        <v>95.067415992465797</v>
      </c>
      <c r="AJ2170">
        <v>93.718523131713795</v>
      </c>
      <c r="AK2170">
        <v>12.5946950438864</v>
      </c>
    </row>
    <row r="2171" spans="1:37" x14ac:dyDescent="0.2">
      <c r="A2171" t="str">
        <f>"20200111154107855"</f>
        <v>20200111154107855</v>
      </c>
      <c r="B2171" t="str">
        <f>"1578728467848035"</f>
        <v>1578728467848035</v>
      </c>
      <c r="C2171" t="s">
        <v>37</v>
      </c>
      <c r="D2171">
        <v>5.1186419999999897</v>
      </c>
      <c r="E2171">
        <v>0.49611250000000001</v>
      </c>
      <c r="F2171" t="s">
        <v>44</v>
      </c>
      <c r="G2171">
        <v>-446.41039999999998</v>
      </c>
      <c r="H2171" s="1">
        <v>1.8892679999999901E-6</v>
      </c>
      <c r="I2171">
        <v>214.2791</v>
      </c>
      <c r="J2171">
        <v>-460.49650000000003</v>
      </c>
      <c r="K2171">
        <v>1.112447</v>
      </c>
      <c r="L2171">
        <v>214.11410000000001</v>
      </c>
      <c r="M2171">
        <v>0.99822489999999997</v>
      </c>
      <c r="N2171">
        <v>0</v>
      </c>
      <c r="O2171">
        <v>-5.9506219999999999E-2</v>
      </c>
      <c r="P2171">
        <v>0.99778619999999996</v>
      </c>
      <c r="Q2171">
        <v>6.6477869999999994E-2</v>
      </c>
      <c r="R2171">
        <v>1.841135E-3</v>
      </c>
      <c r="S2171">
        <v>3.02298</v>
      </c>
      <c r="T2171">
        <v>-0.233097899999999</v>
      </c>
      <c r="U2171">
        <v>3.0868530000000002E-2</v>
      </c>
      <c r="V2171">
        <v>-6.1773759999999997E-2</v>
      </c>
      <c r="W2171">
        <v>6.8449159999999995E-2</v>
      </c>
      <c r="X2171">
        <v>0.99574030000000002</v>
      </c>
      <c r="Y2171">
        <v>-6.9313730000000004E-2</v>
      </c>
      <c r="Z2171">
        <v>7.2481689999999996E-3</v>
      </c>
      <c r="AA2171">
        <v>0.99756859999999903</v>
      </c>
      <c r="AB2171">
        <v>31</v>
      </c>
      <c r="AC2171">
        <v>14.0861</v>
      </c>
      <c r="AD2171">
        <v>-1.1124451107319999</v>
      </c>
      <c r="AE2171">
        <v>0.16499999999999199</v>
      </c>
      <c r="AF2171">
        <v>-0.99670511668880601</v>
      </c>
      <c r="AG2171">
        <v>-1.1124451107319999</v>
      </c>
      <c r="AH2171">
        <v>13.9642368274113</v>
      </c>
      <c r="AI2171">
        <v>94.543274729582095</v>
      </c>
      <c r="AJ2171">
        <v>94.082594419246703</v>
      </c>
      <c r="AK2171">
        <v>14.043890678371699</v>
      </c>
    </row>
    <row r="2172" spans="1:37" x14ac:dyDescent="0.2">
      <c r="A2172" t="str">
        <f>"20200111154107879"</f>
        <v>20200111154107879</v>
      </c>
      <c r="B2172" t="str">
        <f>"1578728467868532"</f>
        <v>1578728467868532</v>
      </c>
      <c r="C2172" t="s">
        <v>37</v>
      </c>
      <c r="D2172">
        <v>5.1727249999999998</v>
      </c>
      <c r="E2172">
        <v>0.49511899999999998</v>
      </c>
      <c r="F2172" t="s">
        <v>44</v>
      </c>
      <c r="G2172">
        <v>-445.34739999999999</v>
      </c>
      <c r="H2172" s="1">
        <v>1.320918E-6</v>
      </c>
      <c r="I2172">
        <v>214.34039999999999</v>
      </c>
      <c r="J2172">
        <v>-460.1782</v>
      </c>
      <c r="K2172">
        <v>1.112428</v>
      </c>
      <c r="L2172">
        <v>214.09899999999999</v>
      </c>
      <c r="M2172">
        <v>0.99846069999999998</v>
      </c>
      <c r="N2172">
        <v>0</v>
      </c>
      <c r="O2172">
        <v>-5.5408220000000001E-2</v>
      </c>
      <c r="P2172">
        <v>0.99775979999999997</v>
      </c>
      <c r="Q2172">
        <v>6.675536E-2</v>
      </c>
      <c r="R2172">
        <v>4.4141639999999999E-3</v>
      </c>
      <c r="S2172">
        <v>3.0213930000000002</v>
      </c>
      <c r="T2172">
        <v>-0.2218715</v>
      </c>
      <c r="U2172">
        <v>4.5120239999999999E-2</v>
      </c>
      <c r="V2172">
        <v>-6.0254130000000003E-2</v>
      </c>
      <c r="W2172">
        <v>6.8722710000000006E-2</v>
      </c>
      <c r="X2172">
        <v>0.99581459999999999</v>
      </c>
      <c r="Y2172">
        <v>-6.9973709999999995E-2</v>
      </c>
      <c r="Z2172">
        <v>6.6276030000000001E-3</v>
      </c>
      <c r="AA2172">
        <v>0.99752680000000005</v>
      </c>
      <c r="AB2172">
        <v>31</v>
      </c>
      <c r="AC2172">
        <v>14.8308</v>
      </c>
      <c r="AD2172">
        <v>-1.1124266790819901</v>
      </c>
      <c r="AE2172">
        <v>0.24139999999997</v>
      </c>
      <c r="AF2172">
        <v>-1.05683554309479</v>
      </c>
      <c r="AG2172">
        <v>-1.1124266790819901</v>
      </c>
      <c r="AH2172">
        <v>14.711891144181299</v>
      </c>
      <c r="AI2172">
        <v>94.313069280075396</v>
      </c>
      <c r="AJ2172">
        <v>94.108811057500702</v>
      </c>
      <c r="AK2172">
        <v>14.791691435387699</v>
      </c>
    </row>
    <row r="2173" spans="1:37" x14ac:dyDescent="0.2">
      <c r="A2173" t="str">
        <f>"20200111154107898"</f>
        <v>20200111154107898</v>
      </c>
      <c r="B2173" t="str">
        <f>"1578728467888052"</f>
        <v>1578728467888052</v>
      </c>
      <c r="C2173" t="s">
        <v>37</v>
      </c>
      <c r="D2173">
        <v>5.155208</v>
      </c>
      <c r="E2173">
        <v>0.49464740000000001</v>
      </c>
      <c r="F2173" t="s">
        <v>44</v>
      </c>
      <c r="G2173">
        <v>-445.02289999999999</v>
      </c>
      <c r="H2173" s="1">
        <v>1.1453159999999899E-6</v>
      </c>
      <c r="I2173">
        <v>214.40610000000001</v>
      </c>
      <c r="J2173">
        <v>-459.90800000000002</v>
      </c>
      <c r="K2173">
        <v>1.1124149999999999</v>
      </c>
      <c r="L2173">
        <v>214.08709999999999</v>
      </c>
      <c r="M2173">
        <v>0.99864489999999995</v>
      </c>
      <c r="N2173">
        <v>0</v>
      </c>
      <c r="O2173">
        <v>-5.1984790000000003E-2</v>
      </c>
      <c r="P2173">
        <v>0.99771659999999995</v>
      </c>
      <c r="Q2173">
        <v>6.7259509999999995E-2</v>
      </c>
      <c r="R2173">
        <v>6.1508559999999997E-3</v>
      </c>
      <c r="S2173">
        <v>3.0213009999999998</v>
      </c>
      <c r="T2173">
        <v>-0.22176899999999999</v>
      </c>
      <c r="U2173">
        <v>6.1218259999999997E-2</v>
      </c>
      <c r="V2173">
        <v>-5.8572939999999997E-2</v>
      </c>
      <c r="W2173">
        <v>6.9229319999999997E-2</v>
      </c>
      <c r="X2173">
        <v>0.99587979999999998</v>
      </c>
      <c r="Y2173">
        <v>-7.1871879999999999E-2</v>
      </c>
      <c r="Z2173">
        <v>6.4434359999999899E-3</v>
      </c>
      <c r="AA2173">
        <v>0.99739310000000003</v>
      </c>
      <c r="AB2173">
        <v>31</v>
      </c>
      <c r="AC2173">
        <v>14.8851</v>
      </c>
      <c r="AD2173">
        <v>-1.1124138546839999</v>
      </c>
      <c r="AE2173">
        <v>0.31900000000001599</v>
      </c>
      <c r="AF2173">
        <v>-1.0863054522000399</v>
      </c>
      <c r="AG2173">
        <v>-1.1124138546839999</v>
      </c>
      <c r="AH2173">
        <v>14.7659590141416</v>
      </c>
      <c r="AI2173">
        <v>94.296749761736805</v>
      </c>
      <c r="AJ2173">
        <v>94.207569091725702</v>
      </c>
      <c r="AK2173">
        <v>14.8475947455096</v>
      </c>
    </row>
    <row r="2174" spans="1:37" x14ac:dyDescent="0.2">
      <c r="A2174" t="str">
        <f>"20200111154107920"</f>
        <v>20200111154107920</v>
      </c>
      <c r="B2174" t="str">
        <f>"1578728467909110"</f>
        <v>1578728467909110</v>
      </c>
      <c r="C2174" t="s">
        <v>37</v>
      </c>
      <c r="D2174">
        <v>5.0862350000000003</v>
      </c>
      <c r="E2174">
        <v>0.49471219999999999</v>
      </c>
      <c r="F2174" t="s">
        <v>44</v>
      </c>
      <c r="G2174">
        <v>-444.2799</v>
      </c>
      <c r="H2174" s="1">
        <v>7.4802959999999999E-7</v>
      </c>
      <c r="I2174">
        <v>214.45060000000001</v>
      </c>
      <c r="J2174">
        <v>-459.58530000000002</v>
      </c>
      <c r="K2174">
        <v>1.112401</v>
      </c>
      <c r="L2174">
        <v>214.07400000000001</v>
      </c>
      <c r="M2174">
        <v>0.99884609999999996</v>
      </c>
      <c r="N2174">
        <v>0</v>
      </c>
      <c r="O2174">
        <v>-4.796309E-2</v>
      </c>
      <c r="P2174">
        <v>0.99763469999999999</v>
      </c>
      <c r="Q2174">
        <v>6.8139930000000001E-2</v>
      </c>
      <c r="R2174">
        <v>9.0549089999999999E-3</v>
      </c>
      <c r="S2174">
        <v>3.0209349999999899</v>
      </c>
      <c r="T2174">
        <v>-0.21503169999999999</v>
      </c>
      <c r="U2174">
        <v>7.0266720000000005E-2</v>
      </c>
      <c r="V2174">
        <v>-5.7461970000000001E-2</v>
      </c>
      <c r="W2174">
        <v>7.0108870000000004E-2</v>
      </c>
      <c r="X2174">
        <v>0.99588299999999996</v>
      </c>
      <c r="Y2174">
        <v>-7.0876599999999998E-2</v>
      </c>
      <c r="Z2174">
        <v>5.9277569999999996E-3</v>
      </c>
      <c r="AA2174">
        <v>0.99746749999999995</v>
      </c>
      <c r="AB2174">
        <v>32</v>
      </c>
      <c r="AC2174">
        <v>15.305400000000001</v>
      </c>
      <c r="AD2174">
        <v>-1.1124002519703999</v>
      </c>
      <c r="AE2174">
        <v>0.37659999999999599</v>
      </c>
      <c r="AF2174">
        <v>-1.10443251111468</v>
      </c>
      <c r="AG2174">
        <v>-1.1124002519703999</v>
      </c>
      <c r="AH2174">
        <v>15.189533170356899</v>
      </c>
      <c r="AI2174">
        <v>94.177570105602896</v>
      </c>
      <c r="AJ2174">
        <v>94.158663677171106</v>
      </c>
      <c r="AK2174">
        <v>15.2702037781283</v>
      </c>
    </row>
    <row r="2175" spans="1:37" x14ac:dyDescent="0.2">
      <c r="A2175" t="str">
        <f>"20200111154107944"</f>
        <v>20200111154107944</v>
      </c>
      <c r="B2175" t="str">
        <f>"1578728467938392"</f>
        <v>1578728467938392</v>
      </c>
      <c r="C2175" t="s">
        <v>37</v>
      </c>
      <c r="D2175">
        <v>5.0853809999999999</v>
      </c>
      <c r="E2175">
        <v>0.49481069999999999</v>
      </c>
      <c r="F2175" t="s">
        <v>44</v>
      </c>
      <c r="G2175">
        <v>-443.10559999999998</v>
      </c>
      <c r="H2175" s="1">
        <v>1.2085689999999999E-7</v>
      </c>
      <c r="I2175">
        <v>214.5016</v>
      </c>
      <c r="J2175">
        <v>-459.26280000000003</v>
      </c>
      <c r="K2175">
        <v>1.1123719999999999</v>
      </c>
      <c r="L2175">
        <v>214.06209999999999</v>
      </c>
      <c r="M2175">
        <v>0.99902729999999995</v>
      </c>
      <c r="N2175">
        <v>0</v>
      </c>
      <c r="O2175">
        <v>-4.4029550000000001E-2</v>
      </c>
      <c r="P2175">
        <v>0.99750049999999901</v>
      </c>
      <c r="Q2175">
        <v>6.964352E-2</v>
      </c>
      <c r="R2175">
        <v>1.1941709999999999E-2</v>
      </c>
      <c r="S2175">
        <v>3.0203250000000001</v>
      </c>
      <c r="T2175">
        <v>-0.20387520000000001</v>
      </c>
      <c r="U2175">
        <v>7.8384399999999896E-2</v>
      </c>
      <c r="V2175">
        <v>-5.642494E-2</v>
      </c>
      <c r="W2175">
        <v>7.1613780000000002E-2</v>
      </c>
      <c r="X2175">
        <v>0.99583519999999903</v>
      </c>
      <c r="Y2175">
        <v>-6.9674669999999994E-2</v>
      </c>
      <c r="Z2175">
        <v>5.3163699999999999E-3</v>
      </c>
      <c r="AA2175">
        <v>0.99755559999999999</v>
      </c>
      <c r="AB2175">
        <v>32</v>
      </c>
      <c r="AC2175">
        <v>16.1572</v>
      </c>
      <c r="AD2175">
        <v>-1.1123718791431001</v>
      </c>
      <c r="AE2175">
        <v>0.43950000000000899</v>
      </c>
      <c r="AF2175">
        <v>-1.1450467333112699</v>
      </c>
      <c r="AG2175">
        <v>-1.1123718791431001</v>
      </c>
      <c r="AH2175">
        <v>16.046179273459099</v>
      </c>
      <c r="AI2175">
        <v>93.955553896933097</v>
      </c>
      <c r="AJ2175">
        <v>94.081677228842096</v>
      </c>
      <c r="AK2175">
        <v>16.125395266317099</v>
      </c>
    </row>
    <row r="2176" spans="1:37" x14ac:dyDescent="0.2">
      <c r="A2176" t="str">
        <f>"20200111154107964"</f>
        <v>20200111154107964</v>
      </c>
      <c r="B2176" t="str">
        <f>"1578728467957910"</f>
        <v>1578728467957910</v>
      </c>
      <c r="C2176" t="s">
        <v>37</v>
      </c>
      <c r="D2176">
        <v>5.0764149999999999</v>
      </c>
      <c r="E2176">
        <v>0.49499369999999998</v>
      </c>
      <c r="F2176" t="s">
        <v>44</v>
      </c>
      <c r="G2176">
        <v>-441.64409999999998</v>
      </c>
      <c r="H2176" s="1">
        <v>-6.5956239999999998E-7</v>
      </c>
      <c r="I2176">
        <v>214.56360000000001</v>
      </c>
      <c r="J2176">
        <v>-458.95929999999998</v>
      </c>
      <c r="K2176">
        <v>1.112336</v>
      </c>
      <c r="L2176">
        <v>214.05199999999999</v>
      </c>
      <c r="M2176">
        <v>0.999179699999999</v>
      </c>
      <c r="N2176">
        <v>0</v>
      </c>
      <c r="O2176">
        <v>-4.0422600000000003E-2</v>
      </c>
      <c r="P2176">
        <v>0.99736519999999995</v>
      </c>
      <c r="Q2176">
        <v>7.1040560000000003E-2</v>
      </c>
      <c r="R2176">
        <v>1.468534E-2</v>
      </c>
      <c r="S2176">
        <v>3.0197449999999999</v>
      </c>
      <c r="T2176">
        <v>-0.19065499999999999</v>
      </c>
      <c r="U2176">
        <v>8.5952760000000003E-2</v>
      </c>
      <c r="V2176">
        <v>-5.5569750000000001E-2</v>
      </c>
      <c r="W2176">
        <v>7.3013910000000001E-2</v>
      </c>
      <c r="X2176">
        <v>0.99578159999999905</v>
      </c>
      <c r="Y2176">
        <v>-6.8618189999999996E-2</v>
      </c>
      <c r="Z2176">
        <v>4.7124769999999996E-3</v>
      </c>
      <c r="AA2176">
        <v>0.99763179999999996</v>
      </c>
      <c r="AB2176">
        <v>32</v>
      </c>
      <c r="AC2176">
        <v>17.315200000000001</v>
      </c>
      <c r="AD2176">
        <v>-1.11233665956239</v>
      </c>
      <c r="AE2176">
        <v>0.51159999999998695</v>
      </c>
      <c r="AF2176">
        <v>-1.2061361477364401</v>
      </c>
      <c r="AG2176">
        <v>-1.11233665956239</v>
      </c>
      <c r="AH2176">
        <v>17.209408960137299</v>
      </c>
      <c r="AI2176">
        <v>93.689165637860597</v>
      </c>
      <c r="AJ2176">
        <v>94.009068076637206</v>
      </c>
      <c r="AK2176">
        <v>17.2874467174403</v>
      </c>
    </row>
    <row r="2177" spans="1:37" x14ac:dyDescent="0.2">
      <c r="A2177" t="str">
        <f>"20200111154107986"</f>
        <v>20200111154107986</v>
      </c>
      <c r="B2177" t="str">
        <f>"1578728467978406"</f>
        <v>1578728467978406</v>
      </c>
      <c r="C2177" t="s">
        <v>37</v>
      </c>
      <c r="D2177">
        <v>5.1399319999999999</v>
      </c>
      <c r="E2177">
        <v>0.4947899</v>
      </c>
      <c r="F2177" t="s">
        <v>44</v>
      </c>
      <c r="G2177">
        <v>-440.47070000000002</v>
      </c>
      <c r="H2177" s="1">
        <v>-1.2865000000000001E-6</v>
      </c>
      <c r="I2177">
        <v>214.62049999999999</v>
      </c>
      <c r="J2177">
        <v>-458.64440000000002</v>
      </c>
      <c r="K2177">
        <v>1.1122969999999901</v>
      </c>
      <c r="L2177">
        <v>214.04259999999999</v>
      </c>
      <c r="M2177">
        <v>0.99932129999999997</v>
      </c>
      <c r="N2177">
        <v>0</v>
      </c>
      <c r="O2177">
        <v>-3.6760220000000003E-2</v>
      </c>
      <c r="P2177">
        <v>0.99730830000000004</v>
      </c>
      <c r="Q2177">
        <v>7.1091870000000001E-2</v>
      </c>
      <c r="R2177">
        <v>1.795683E-2</v>
      </c>
      <c r="S2177">
        <v>3.0195310000000002</v>
      </c>
      <c r="T2177">
        <v>-0.1816652</v>
      </c>
      <c r="U2177">
        <v>9.2849730000000005E-2</v>
      </c>
      <c r="V2177">
        <v>-5.5181130000000002E-2</v>
      </c>
      <c r="W2177">
        <v>7.3066220000000001E-2</v>
      </c>
      <c r="X2177">
        <v>0.9957994</v>
      </c>
      <c r="Y2177">
        <v>-6.7269419999999996E-2</v>
      </c>
      <c r="Z2177">
        <v>4.2303200000000001E-3</v>
      </c>
      <c r="AA2177">
        <v>0.99772590000000005</v>
      </c>
      <c r="AB2177">
        <v>32</v>
      </c>
      <c r="AC2177">
        <v>18.1737</v>
      </c>
      <c r="AD2177">
        <v>-1.1122982865</v>
      </c>
      <c r="AE2177">
        <v>0.57789999999999897</v>
      </c>
      <c r="AF2177">
        <v>-1.2409367673243601</v>
      </c>
      <c r="AG2177">
        <v>-1.1122982865</v>
      </c>
      <c r="AH2177">
        <v>18.0725433023782</v>
      </c>
      <c r="AI2177">
        <v>93.513648667883501</v>
      </c>
      <c r="AJ2177">
        <v>93.928003516646399</v>
      </c>
      <c r="AK2177">
        <v>18.149213562989001</v>
      </c>
    </row>
    <row r="2178" spans="1:37" x14ac:dyDescent="0.2">
      <c r="A2178" t="str">
        <f>"20200111154108009"</f>
        <v>20200111154108009</v>
      </c>
      <c r="B2178" t="str">
        <f>"1578728467997926"</f>
        <v>1578728467997926</v>
      </c>
      <c r="C2178" t="s">
        <v>37</v>
      </c>
      <c r="D2178">
        <v>5.1042800000000002</v>
      </c>
      <c r="E2178">
        <v>0.49474459999999998</v>
      </c>
      <c r="F2178" t="s">
        <v>45</v>
      </c>
      <c r="G2178">
        <v>-439.88709999999998</v>
      </c>
      <c r="H2178" s="1">
        <v>6.5953210000000001E-6</v>
      </c>
      <c r="I2178">
        <v>214.68729999999999</v>
      </c>
      <c r="J2178">
        <v>-458.31990000000002</v>
      </c>
      <c r="K2178">
        <v>1.11226</v>
      </c>
      <c r="L2178">
        <v>214.0341</v>
      </c>
      <c r="M2178">
        <v>0.99944999999999995</v>
      </c>
      <c r="N2178">
        <v>0</v>
      </c>
      <c r="O2178">
        <v>-3.3077799999999997E-2</v>
      </c>
      <c r="P2178">
        <v>0.99725779999999997</v>
      </c>
      <c r="Q2178">
        <v>7.0811659999999998E-2</v>
      </c>
      <c r="R2178">
        <v>2.1514419999999999E-2</v>
      </c>
      <c r="S2178">
        <v>3.019012</v>
      </c>
      <c r="T2178">
        <v>-0.1790252</v>
      </c>
      <c r="U2178">
        <v>0.1037598</v>
      </c>
      <c r="V2178">
        <v>-5.5055949999999999E-2</v>
      </c>
      <c r="W2178">
        <v>7.2787530000000003E-2</v>
      </c>
      <c r="X2178">
        <v>0.99582669999999995</v>
      </c>
      <c r="Y2178">
        <v>-6.7212060000000004E-2</v>
      </c>
      <c r="Z2178">
        <v>3.9496840000000002E-3</v>
      </c>
      <c r="AA2178">
        <v>0.99773089999999998</v>
      </c>
      <c r="AB2178">
        <v>32</v>
      </c>
      <c r="AC2178">
        <v>18.4328</v>
      </c>
      <c r="AD2178">
        <v>-1.112253404679</v>
      </c>
      <c r="AE2178">
        <v>0.653199999999998</v>
      </c>
      <c r="AF2178">
        <v>-1.25798609279994</v>
      </c>
      <c r="AG2178">
        <v>-1.112253404679</v>
      </c>
      <c r="AH2178">
        <v>18.334434072680398</v>
      </c>
      <c r="AI2178">
        <v>93.4634550425924</v>
      </c>
      <c r="AJ2178">
        <v>93.925100921925406</v>
      </c>
      <c r="AK2178">
        <v>18.4111680621128</v>
      </c>
    </row>
    <row r="2179" spans="1:37" x14ac:dyDescent="0.2">
      <c r="A2179" t="str">
        <f>"20200111154108031"</f>
        <v>20200111154108031</v>
      </c>
      <c r="B2179" t="str">
        <f>"1578728468028593"</f>
        <v>1578728468028593</v>
      </c>
      <c r="C2179" t="s">
        <v>37</v>
      </c>
      <c r="D2179">
        <v>5.116358</v>
      </c>
      <c r="E2179">
        <v>0.49469150000000001</v>
      </c>
      <c r="F2179" t="s">
        <v>45</v>
      </c>
      <c r="G2179">
        <v>-439.26670000000001</v>
      </c>
      <c r="H2179" s="1">
        <v>6.3140970000000004E-6</v>
      </c>
      <c r="I2179">
        <v>214.75700000000001</v>
      </c>
      <c r="J2179">
        <v>-457.98500000000001</v>
      </c>
      <c r="K2179">
        <v>1.112201</v>
      </c>
      <c r="L2179">
        <v>214.02629999999999</v>
      </c>
      <c r="M2179">
        <v>0.99956509999999998</v>
      </c>
      <c r="N2179">
        <v>0</v>
      </c>
      <c r="O2179">
        <v>-2.9395419999999998E-2</v>
      </c>
      <c r="P2179">
        <v>0.9972299</v>
      </c>
      <c r="Q2179">
        <v>7.0053379999999998E-2</v>
      </c>
      <c r="R2179">
        <v>2.5008430000000002E-2</v>
      </c>
      <c r="S2179">
        <v>3.0183110000000002</v>
      </c>
      <c r="T2179">
        <v>-0.17619760000000001</v>
      </c>
      <c r="U2179">
        <v>0.1145325</v>
      </c>
      <c r="V2179">
        <v>-5.4863790000000003E-2</v>
      </c>
      <c r="W2179">
        <v>7.2033749999999994E-2</v>
      </c>
      <c r="X2179">
        <v>0.99589209999999995</v>
      </c>
      <c r="Y2179">
        <v>-6.7112489999999997E-2</v>
      </c>
      <c r="Z2179">
        <v>3.670497E-3</v>
      </c>
      <c r="AA2179">
        <v>0.99773869999999898</v>
      </c>
      <c r="AB2179">
        <v>33</v>
      </c>
      <c r="AC2179">
        <v>18.718299999999999</v>
      </c>
      <c r="AD2179">
        <v>-1.1121946859030001</v>
      </c>
      <c r="AE2179">
        <v>0.73070000000001301</v>
      </c>
      <c r="AF2179">
        <v>-1.2761196346175501</v>
      </c>
      <c r="AG2179">
        <v>-1.1121946859030001</v>
      </c>
      <c r="AH2179">
        <v>18.623084118669698</v>
      </c>
      <c r="AI2179">
        <v>93.409741840627802</v>
      </c>
      <c r="AJ2179">
        <v>93.919981864035805</v>
      </c>
      <c r="AK2179">
        <v>18.699858834554199</v>
      </c>
    </row>
    <row r="2180" spans="1:37" x14ac:dyDescent="0.2">
      <c r="A2180" t="str">
        <f>"20200111154108052"</f>
        <v>20200111154108052</v>
      </c>
      <c r="B2180" t="str">
        <f>"1578728468048113"</f>
        <v>1578728468048113</v>
      </c>
      <c r="C2180" t="s">
        <v>37</v>
      </c>
      <c r="D2180">
        <v>5.093153</v>
      </c>
      <c r="E2180">
        <v>0.494635099999999</v>
      </c>
      <c r="F2180" t="s">
        <v>45</v>
      </c>
      <c r="G2180">
        <v>-438.58</v>
      </c>
      <c r="H2180" s="1">
        <v>6.00294E-6</v>
      </c>
      <c r="I2180">
        <v>214.83260000000001</v>
      </c>
      <c r="J2180">
        <v>-457.66590000000002</v>
      </c>
      <c r="K2180">
        <v>1.112128</v>
      </c>
      <c r="L2180">
        <v>214.02</v>
      </c>
      <c r="M2180">
        <v>0.99965859999999995</v>
      </c>
      <c r="N2180">
        <v>0</v>
      </c>
      <c r="O2180">
        <v>-2.6021470000000001E-2</v>
      </c>
      <c r="P2180">
        <v>0.99727180000000004</v>
      </c>
      <c r="Q2180">
        <v>6.8599010000000002E-2</v>
      </c>
      <c r="R2180">
        <v>2.7259740000000001E-2</v>
      </c>
      <c r="S2180">
        <v>3.017334</v>
      </c>
      <c r="T2180">
        <v>-0.1729376</v>
      </c>
      <c r="U2180">
        <v>0.12536620000000001</v>
      </c>
      <c r="V2180">
        <v>-5.373054E-2</v>
      </c>
      <c r="W2180">
        <v>7.0593539999999996E-2</v>
      </c>
      <c r="X2180">
        <v>0.99605699999999997</v>
      </c>
      <c r="Y2180">
        <v>-6.7344909999999994E-2</v>
      </c>
      <c r="Z2180">
        <v>3.417144E-3</v>
      </c>
      <c r="AA2180">
        <v>0.9977239</v>
      </c>
      <c r="AB2180">
        <v>33</v>
      </c>
      <c r="AC2180">
        <v>19.085899999999999</v>
      </c>
      <c r="AD2180">
        <v>-1.11212199706</v>
      </c>
      <c r="AE2180">
        <v>0.81260000000000299</v>
      </c>
      <c r="AF2180">
        <v>-1.3045480639226501</v>
      </c>
      <c r="AG2180">
        <v>-1.11212199706</v>
      </c>
      <c r="AH2180">
        <v>18.993918499946499</v>
      </c>
      <c r="AI2180">
        <v>93.343068874146297</v>
      </c>
      <c r="AJ2180">
        <v>93.929041748679893</v>
      </c>
      <c r="AK2180">
        <v>19.071119552088199</v>
      </c>
    </row>
    <row r="2181" spans="1:37" x14ac:dyDescent="0.2">
      <c r="A2181" t="str">
        <f>"20200111154108075"</f>
        <v>20200111154108075</v>
      </c>
      <c r="B2181" t="str">
        <f>"1578728468068609"</f>
        <v>1578728468068609</v>
      </c>
      <c r="C2181" t="s">
        <v>37</v>
      </c>
      <c r="D2181">
        <v>5.0678470000000004</v>
      </c>
      <c r="E2181">
        <v>0.49464179999999902</v>
      </c>
      <c r="F2181" t="s">
        <v>45</v>
      </c>
      <c r="G2181">
        <v>-438.55180000000001</v>
      </c>
      <c r="H2181" s="1">
        <v>5.9880219999999901E-6</v>
      </c>
      <c r="I2181">
        <v>214.8605</v>
      </c>
      <c r="J2181">
        <v>-457.34460000000001</v>
      </c>
      <c r="K2181">
        <v>1.112033</v>
      </c>
      <c r="L2181">
        <v>214.0146</v>
      </c>
      <c r="M2181">
        <v>0.9997374</v>
      </c>
      <c r="N2181">
        <v>0</v>
      </c>
      <c r="O2181">
        <v>-2.278674E-2</v>
      </c>
      <c r="P2181">
        <v>0.99731479999999995</v>
      </c>
      <c r="Q2181">
        <v>6.7169439999999997E-2</v>
      </c>
      <c r="R2181">
        <v>2.9182010000000001E-2</v>
      </c>
      <c r="S2181">
        <v>3.0166629999999999</v>
      </c>
      <c r="T2181">
        <v>-0.1755196</v>
      </c>
      <c r="U2181">
        <v>0.1326599</v>
      </c>
      <c r="V2181">
        <v>-5.2404859999999998E-2</v>
      </c>
      <c r="W2181">
        <v>6.9182709999999994E-2</v>
      </c>
      <c r="X2181">
        <v>0.99622659999999996</v>
      </c>
      <c r="Y2181">
        <v>-6.6535869999999997E-2</v>
      </c>
      <c r="Z2181">
        <v>3.2572079999999902E-3</v>
      </c>
      <c r="AA2181">
        <v>0.99777870000000002</v>
      </c>
      <c r="AB2181">
        <v>33</v>
      </c>
      <c r="AC2181">
        <v>18.7928</v>
      </c>
      <c r="AD2181">
        <v>-1.112027011978</v>
      </c>
      <c r="AE2181">
        <v>0.84589999999999999</v>
      </c>
      <c r="AF2181">
        <v>-1.2694722657658799</v>
      </c>
      <c r="AG2181">
        <v>-1.112027011978</v>
      </c>
      <c r="AH2181">
        <v>18.703288854627601</v>
      </c>
      <c r="AI2181">
        <v>93.394792841122793</v>
      </c>
      <c r="AJ2181">
        <v>93.882954275525606</v>
      </c>
      <c r="AK2181">
        <v>18.779275222663799</v>
      </c>
    </row>
    <row r="2182" spans="1:37" x14ac:dyDescent="0.2">
      <c r="A2182" t="str">
        <f>"20200111154108098"</f>
        <v>20200111154108098</v>
      </c>
      <c r="B2182" t="str">
        <f>"1578728468088129"</f>
        <v>1578728468088129</v>
      </c>
      <c r="C2182" t="s">
        <v>37</v>
      </c>
      <c r="D2182">
        <v>5.0587119999999999</v>
      </c>
      <c r="E2182">
        <v>0.4946314</v>
      </c>
      <c r="F2182" t="s">
        <v>45</v>
      </c>
      <c r="G2182">
        <v>-438.5093</v>
      </c>
      <c r="H2182" s="1">
        <v>5.9675969999999902E-6</v>
      </c>
      <c r="I2182">
        <v>214.8784</v>
      </c>
      <c r="J2182">
        <v>-456.99880000000002</v>
      </c>
      <c r="K2182">
        <v>1.111904</v>
      </c>
      <c r="L2182">
        <v>214.00960000000001</v>
      </c>
      <c r="M2182">
        <v>0.99980659999999899</v>
      </c>
      <c r="N2182">
        <v>0</v>
      </c>
      <c r="O2182">
        <v>-1.9516430000000001E-2</v>
      </c>
      <c r="P2182">
        <v>0.99730919999999901</v>
      </c>
      <c r="Q2182">
        <v>6.6748790000000002E-2</v>
      </c>
      <c r="R2182">
        <v>3.0316579999999999E-2</v>
      </c>
      <c r="S2182">
        <v>3.016022</v>
      </c>
      <c r="T2182">
        <v>-0.17806440000000001</v>
      </c>
      <c r="U2182">
        <v>0.1383209</v>
      </c>
      <c r="V2182">
        <v>-5.0256080000000002E-2</v>
      </c>
      <c r="W2182">
        <v>6.8789779999999995E-2</v>
      </c>
      <c r="X2182">
        <v>0.99636449999999999</v>
      </c>
      <c r="Y2182">
        <v>-6.5153999999999906E-2</v>
      </c>
      <c r="Z2182">
        <v>3.0713619999999998E-3</v>
      </c>
      <c r="AA2182">
        <v>0.99787049999999999</v>
      </c>
      <c r="AB2182">
        <v>33</v>
      </c>
      <c r="AC2182">
        <v>18.4895</v>
      </c>
      <c r="AD2182">
        <v>-1.1118980324029999</v>
      </c>
      <c r="AE2182">
        <v>0.86879999999999302</v>
      </c>
      <c r="AF2182">
        <v>-1.2250640230622001</v>
      </c>
      <c r="AG2182">
        <v>-1.1118980324029999</v>
      </c>
      <c r="AH2182">
        <v>18.4026173914664</v>
      </c>
      <c r="AI2182">
        <v>93.450026973704396</v>
      </c>
      <c r="AJ2182">
        <v>93.808566241725401</v>
      </c>
      <c r="AK2182">
        <v>18.476834846687499</v>
      </c>
    </row>
    <row r="2183" spans="1:37" x14ac:dyDescent="0.2">
      <c r="A2183" t="str">
        <f>"20200111154108121"</f>
        <v>20200111154108121</v>
      </c>
      <c r="B2183" t="str">
        <f>"1578728468118945"</f>
        <v>1578728468118945</v>
      </c>
      <c r="C2183" t="s">
        <v>37</v>
      </c>
      <c r="D2183">
        <v>5.114617</v>
      </c>
      <c r="E2183">
        <v>0.49483699999999903</v>
      </c>
      <c r="F2183" t="s">
        <v>45</v>
      </c>
      <c r="G2183">
        <v>-438.12619999999998</v>
      </c>
      <c r="H2183" s="1">
        <v>5.7962630000000003E-6</v>
      </c>
      <c r="I2183">
        <v>214.89500000000001</v>
      </c>
      <c r="J2183">
        <v>-456.6524</v>
      </c>
      <c r="K2183">
        <v>1.1117489999999901</v>
      </c>
      <c r="L2183">
        <v>214.00559999999999</v>
      </c>
      <c r="M2183">
        <v>0.99986129999999995</v>
      </c>
      <c r="N2183">
        <v>0</v>
      </c>
      <c r="O2183">
        <v>-1.648349E-2</v>
      </c>
      <c r="P2183">
        <v>0.99733570000000005</v>
      </c>
      <c r="Q2183">
        <v>6.6090670000000004E-2</v>
      </c>
      <c r="R2183">
        <v>3.0879779999999999E-2</v>
      </c>
      <c r="S2183">
        <v>3.0156559999999999</v>
      </c>
      <c r="T2183">
        <v>-0.1776702</v>
      </c>
      <c r="U2183">
        <v>0.14147950000000001</v>
      </c>
      <c r="V2183">
        <v>-4.776702E-2</v>
      </c>
      <c r="W2183">
        <v>6.8164680000000005E-2</v>
      </c>
      <c r="X2183">
        <v>0.99652989999999997</v>
      </c>
      <c r="Y2183">
        <v>-6.318464E-2</v>
      </c>
      <c r="Z2183">
        <v>2.8284899999999999E-3</v>
      </c>
      <c r="AA2183">
        <v>0.99799780000000005</v>
      </c>
      <c r="AB2183">
        <v>33</v>
      </c>
      <c r="AC2183">
        <v>18.526199999999999</v>
      </c>
      <c r="AD2183">
        <v>-1.1117432037369901</v>
      </c>
      <c r="AE2183">
        <v>0.88940000000002295</v>
      </c>
      <c r="AF2183">
        <v>-1.19037963282396</v>
      </c>
      <c r="AG2183">
        <v>-1.1117432037369901</v>
      </c>
      <c r="AH2183">
        <v>18.442760845701201</v>
      </c>
      <c r="AI2183">
        <v>93.442511386634607</v>
      </c>
      <c r="AJ2183">
        <v>93.693007428724002</v>
      </c>
      <c r="AK2183">
        <v>18.514545747412399</v>
      </c>
    </row>
    <row r="2184" spans="1:37" x14ac:dyDescent="0.2">
      <c r="A2184" t="str">
        <f>"20200111154108144"</f>
        <v>20200111154108144</v>
      </c>
      <c r="B2184" t="str">
        <f>"1578728468138465"</f>
        <v>1578728468138465</v>
      </c>
      <c r="C2184" t="s">
        <v>37</v>
      </c>
      <c r="D2184">
        <v>5.067113</v>
      </c>
      <c r="E2184">
        <v>0.53536810000000001</v>
      </c>
      <c r="F2184" t="s">
        <v>45</v>
      </c>
      <c r="G2184">
        <v>-437.7355</v>
      </c>
      <c r="H2184" s="1">
        <v>5.6233780000000001E-6</v>
      </c>
      <c r="I2184">
        <v>214.8905</v>
      </c>
      <c r="J2184">
        <v>-456.32580000000002</v>
      </c>
      <c r="K2184">
        <v>1.1115790000000001</v>
      </c>
      <c r="L2184">
        <v>214.0025</v>
      </c>
      <c r="M2184">
        <v>0.99990080000000003</v>
      </c>
      <c r="N2184">
        <v>0</v>
      </c>
      <c r="O2184">
        <v>-1.388293E-2</v>
      </c>
      <c r="P2184">
        <v>0.99734049999999996</v>
      </c>
      <c r="Q2184">
        <v>6.577972E-2</v>
      </c>
      <c r="R2184">
        <v>3.1386259999999999E-2</v>
      </c>
      <c r="S2184">
        <v>3.0153500000000002</v>
      </c>
      <c r="T2184">
        <v>-0.17721139999999999</v>
      </c>
      <c r="U2184">
        <v>0.14105219999999999</v>
      </c>
      <c r="V2184">
        <v>-4.5651789999999998E-2</v>
      </c>
      <c r="W2184">
        <v>6.7884949999999999E-2</v>
      </c>
      <c r="X2184">
        <v>0.99664809999999904</v>
      </c>
      <c r="Y2184">
        <v>-6.0462259999999997E-2</v>
      </c>
      <c r="Z2184">
        <v>2.5889749999999999E-3</v>
      </c>
      <c r="AA2184">
        <v>0.99816709999999997</v>
      </c>
      <c r="AB2184">
        <v>33</v>
      </c>
      <c r="AC2184">
        <v>18.590299999999999</v>
      </c>
      <c r="AD2184">
        <v>-1.111573376622</v>
      </c>
      <c r="AE2184">
        <v>0.88800000000000501</v>
      </c>
      <c r="AF2184">
        <v>-1.1419296217939801</v>
      </c>
      <c r="AG2184">
        <v>-1.111573376622</v>
      </c>
      <c r="AH2184">
        <v>18.510152995196599</v>
      </c>
      <c r="AI2184">
        <v>93.430098681384607</v>
      </c>
      <c r="AJ2184">
        <v>93.530221106692906</v>
      </c>
      <c r="AK2184">
        <v>18.578626497626999</v>
      </c>
    </row>
    <row r="2185" spans="1:37" x14ac:dyDescent="0.2">
      <c r="A2185" t="str">
        <f>"20200111154108163"</f>
        <v>20200111154108163</v>
      </c>
      <c r="B2185" t="str">
        <f>"1578728468157985"</f>
        <v>1578728468157985</v>
      </c>
      <c r="C2185" t="s">
        <v>37</v>
      </c>
      <c r="D2185">
        <v>5.0839099999999897</v>
      </c>
      <c r="E2185">
        <v>0.55011619999999894</v>
      </c>
      <c r="F2185" t="s">
        <v>38</v>
      </c>
      <c r="G2185">
        <v>-455.29829999999998</v>
      </c>
      <c r="H2185">
        <v>1.045795</v>
      </c>
      <c r="I2185">
        <v>213.9408</v>
      </c>
      <c r="J2185">
        <v>-456.01190000000003</v>
      </c>
      <c r="K2185">
        <v>1.111394</v>
      </c>
      <c r="L2185">
        <v>214.00020000000001</v>
      </c>
      <c r="M2185">
        <v>0.99992939999999997</v>
      </c>
      <c r="N2185">
        <v>0</v>
      </c>
      <c r="O2185">
        <v>-1.1642670000000001E-2</v>
      </c>
      <c r="P2185">
        <v>0.99728919999999999</v>
      </c>
      <c r="Q2185">
        <v>6.6046830000000001E-2</v>
      </c>
      <c r="R2185">
        <v>3.2436119999999999E-2</v>
      </c>
      <c r="S2185">
        <v>3.02648899999999</v>
      </c>
      <c r="T2185">
        <v>-0.1940897</v>
      </c>
      <c r="U2185">
        <v>-0.18034359999999999</v>
      </c>
      <c r="V2185">
        <v>-4.4439960000000001E-2</v>
      </c>
      <c r="W2185">
        <v>6.8178489999999994E-2</v>
      </c>
      <c r="X2185">
        <v>0.99668289999999904</v>
      </c>
      <c r="Y2185">
        <v>4.77828E-2</v>
      </c>
      <c r="Z2185">
        <v>-7.8409110000000003E-4</v>
      </c>
      <c r="AA2185">
        <v>0.99885740000000001</v>
      </c>
      <c r="AB2185">
        <v>34</v>
      </c>
      <c r="AC2185">
        <v>0.71360000000004198</v>
      </c>
      <c r="AD2185">
        <v>-6.5598999999999894E-2</v>
      </c>
      <c r="AE2185">
        <v>-5.9400000000010701E-2</v>
      </c>
      <c r="AF2185">
        <v>5.06625609358798E-2</v>
      </c>
      <c r="AG2185">
        <v>-6.5598999999999894E-2</v>
      </c>
      <c r="AH2185">
        <v>0.70829888518982898</v>
      </c>
      <c r="AI2185">
        <v>95.277938387422694</v>
      </c>
      <c r="AJ2185">
        <v>85.908766986708102</v>
      </c>
      <c r="AK2185">
        <v>0.71313198963637603</v>
      </c>
    </row>
    <row r="2186" spans="1:37" x14ac:dyDescent="0.2">
      <c r="A2186" t="str">
        <f>"20200111154108188"</f>
        <v>20200111154108188</v>
      </c>
      <c r="B2186" t="str">
        <f>"1578728468178480"</f>
        <v>1578728468178480</v>
      </c>
      <c r="C2186" t="s">
        <v>37</v>
      </c>
      <c r="D2186">
        <v>5.0183109999999997</v>
      </c>
      <c r="E2186">
        <v>0.55538310000000002</v>
      </c>
      <c r="F2186" t="s">
        <v>38</v>
      </c>
      <c r="G2186">
        <v>-454.99290000000002</v>
      </c>
      <c r="H2186">
        <v>1.0494000000000001</v>
      </c>
      <c r="I2186">
        <v>213.9006</v>
      </c>
      <c r="J2186">
        <v>-455.65519999999998</v>
      </c>
      <c r="K2186">
        <v>1.111199</v>
      </c>
      <c r="L2186">
        <v>213.9982</v>
      </c>
      <c r="M2186">
        <v>0.99995339999999999</v>
      </c>
      <c r="N2186">
        <v>0</v>
      </c>
      <c r="O2186">
        <v>-9.3527390000000005E-3</v>
      </c>
      <c r="P2186">
        <v>0.99720249999999999</v>
      </c>
      <c r="Q2186">
        <v>6.6266859999999997E-2</v>
      </c>
      <c r="R2186">
        <v>3.4581540000000001E-2</v>
      </c>
      <c r="S2186">
        <v>3.0299990000000001</v>
      </c>
      <c r="T2186">
        <v>-0.1844652</v>
      </c>
      <c r="U2186">
        <v>-0.29533389999999998</v>
      </c>
      <c r="V2186">
        <v>-4.4271449999999997E-2</v>
      </c>
      <c r="W2186">
        <v>6.8420629999999996E-2</v>
      </c>
      <c r="X2186">
        <v>0.99667380000000005</v>
      </c>
      <c r="Y2186">
        <v>8.7553939999999997E-2</v>
      </c>
      <c r="Z2186">
        <v>-2.0889289999999998E-3</v>
      </c>
      <c r="AA2186">
        <v>0.99615759999999898</v>
      </c>
      <c r="AB2186">
        <v>34</v>
      </c>
      <c r="AC2186">
        <v>0.66229999999995903</v>
      </c>
      <c r="AD2186">
        <v>-6.1798999999999903E-2</v>
      </c>
      <c r="AE2186">
        <v>-9.7599999999999895E-2</v>
      </c>
      <c r="AF2186">
        <v>9.06290863248434E-2</v>
      </c>
      <c r="AG2186">
        <v>-6.1798999999999903E-2</v>
      </c>
      <c r="AH2186">
        <v>0.65758020317995503</v>
      </c>
      <c r="AI2186">
        <v>95.318868802031304</v>
      </c>
      <c r="AJ2186">
        <v>82.152811592987504</v>
      </c>
      <c r="AK2186">
        <v>0.666666686810783</v>
      </c>
    </row>
    <row r="2187" spans="1:37" x14ac:dyDescent="0.2">
      <c r="A2187" t="str">
        <f>"20200111154108209"</f>
        <v>20200111154108209</v>
      </c>
      <c r="B2187" t="str">
        <f>"1578728468198737"</f>
        <v>1578728468198737</v>
      </c>
      <c r="C2187" t="s">
        <v>37</v>
      </c>
      <c r="D2187">
        <v>5.0533970000000004</v>
      </c>
      <c r="E2187">
        <v>0.5566738</v>
      </c>
      <c r="F2187" t="s">
        <v>38</v>
      </c>
      <c r="G2187">
        <v>-454.68290000000002</v>
      </c>
      <c r="H2187">
        <v>1.054519</v>
      </c>
      <c r="I2187">
        <v>213.8914</v>
      </c>
      <c r="J2187">
        <v>-455.3245</v>
      </c>
      <c r="K2187">
        <v>1.111022</v>
      </c>
      <c r="L2187">
        <v>213.99680000000001</v>
      </c>
      <c r="M2187">
        <v>0.99996949999999996</v>
      </c>
      <c r="N2187">
        <v>0</v>
      </c>
      <c r="O2187">
        <v>-7.4479250000000002E-3</v>
      </c>
      <c r="P2187">
        <v>0.99716569999999904</v>
      </c>
      <c r="Q2187">
        <v>6.6178870000000001E-2</v>
      </c>
      <c r="R2187">
        <v>3.5792940000000002E-2</v>
      </c>
      <c r="S2187">
        <v>3.0316770000000002</v>
      </c>
      <c r="T2187">
        <v>-0.17692629999999901</v>
      </c>
      <c r="U2187">
        <v>-0.33175659999999901</v>
      </c>
      <c r="V2187">
        <v>-4.3556379999999999E-2</v>
      </c>
      <c r="W2187">
        <v>6.835687E-2</v>
      </c>
      <c r="X2187">
        <v>0.99670969999999903</v>
      </c>
      <c r="Y2187">
        <v>0.1012163</v>
      </c>
      <c r="Z2187">
        <v>-2.5092299999999999E-3</v>
      </c>
      <c r="AA2187">
        <v>0.99486129999999995</v>
      </c>
      <c r="AB2187">
        <v>34</v>
      </c>
      <c r="AC2187">
        <v>0.64159999999998196</v>
      </c>
      <c r="AD2187">
        <v>-5.6502999999999901E-2</v>
      </c>
      <c r="AE2187">
        <v>-0.10540000000000301</v>
      </c>
      <c r="AF2187">
        <v>9.9864321176207499E-2</v>
      </c>
      <c r="AG2187">
        <v>-5.6502999999999901E-2</v>
      </c>
      <c r="AH2187">
        <v>0.63755256024000895</v>
      </c>
      <c r="AI2187">
        <v>95.003899483371001</v>
      </c>
      <c r="AJ2187">
        <v>81.097697034390507</v>
      </c>
      <c r="AK2187">
        <v>0.64779529075285402</v>
      </c>
    </row>
    <row r="2188" spans="1:37" x14ac:dyDescent="0.2">
      <c r="A2188" t="str">
        <f>"20200111154108233"</f>
        <v>20200111154108233</v>
      </c>
      <c r="B2188" t="str">
        <f>"1578728468228004"</f>
        <v>1578728468228004</v>
      </c>
      <c r="C2188" t="s">
        <v>37</v>
      </c>
      <c r="D2188">
        <v>5.04826</v>
      </c>
      <c r="E2188">
        <v>0.55767690000000003</v>
      </c>
      <c r="F2188" t="s">
        <v>38</v>
      </c>
      <c r="G2188">
        <v>-454.3732</v>
      </c>
      <c r="H2188">
        <v>1.0572709999999901</v>
      </c>
      <c r="I2188">
        <v>213.89009999999999</v>
      </c>
      <c r="J2188">
        <v>-454.94209999999998</v>
      </c>
      <c r="K2188">
        <v>1.1108340000000001</v>
      </c>
      <c r="L2188">
        <v>213.9958</v>
      </c>
      <c r="M2188">
        <v>0.99998209999999998</v>
      </c>
      <c r="N2188">
        <v>0</v>
      </c>
      <c r="O2188">
        <v>-5.5092830000000002E-3</v>
      </c>
      <c r="P2188">
        <v>0.99707409999999996</v>
      </c>
      <c r="Q2188">
        <v>6.6337800000000002E-2</v>
      </c>
      <c r="R2188">
        <v>3.7984509999999999E-2</v>
      </c>
      <c r="S2188">
        <v>3.0320740000000002</v>
      </c>
      <c r="T2188">
        <v>-0.17146069999999999</v>
      </c>
      <c r="U2188">
        <v>-0.33952329999999997</v>
      </c>
      <c r="V2188">
        <v>-4.3784919999999998E-2</v>
      </c>
      <c r="W2188">
        <v>6.853861E-2</v>
      </c>
      <c r="X2188">
        <v>0.996687199999999</v>
      </c>
      <c r="Y2188">
        <v>0.105647</v>
      </c>
      <c r="Z2188">
        <v>-2.665153E-3</v>
      </c>
      <c r="AA2188">
        <v>0.99440010000000001</v>
      </c>
      <c r="AB2188">
        <v>34</v>
      </c>
      <c r="AC2188">
        <v>0.56889999999998497</v>
      </c>
      <c r="AD2188">
        <v>-5.3563000000000201E-2</v>
      </c>
      <c r="AE2188">
        <v>-0.10570000000001301</v>
      </c>
      <c r="AF2188">
        <v>0.101692773643993</v>
      </c>
      <c r="AG2188">
        <v>-5.3563000000000201E-2</v>
      </c>
      <c r="AH2188">
        <v>0.56463546425734501</v>
      </c>
      <c r="AI2188">
        <v>95.333723238150696</v>
      </c>
      <c r="AJ2188">
        <v>79.790287258701298</v>
      </c>
      <c r="AK2188">
        <v>0.57621491014856296</v>
      </c>
    </row>
    <row r="2189" spans="1:37" x14ac:dyDescent="0.2">
      <c r="A2189" t="str">
        <f>"20200111154108253"</f>
        <v>20200111154108253</v>
      </c>
      <c r="B2189" t="str">
        <f>"1578728468248500"</f>
        <v>1578728468248500</v>
      </c>
      <c r="C2189" t="s">
        <v>37</v>
      </c>
      <c r="D2189">
        <v>5.0053109999999998</v>
      </c>
      <c r="E2189">
        <v>0.55806180000000005</v>
      </c>
      <c r="F2189" t="s">
        <v>45</v>
      </c>
      <c r="G2189">
        <v>-434.65050000000002</v>
      </c>
      <c r="H2189" s="1">
        <v>4.533444E-6</v>
      </c>
      <c r="I2189">
        <v>211.70920000000001</v>
      </c>
      <c r="J2189">
        <v>-454.64519999999999</v>
      </c>
      <c r="K2189">
        <v>1.110692</v>
      </c>
      <c r="L2189">
        <v>213.99529999999999</v>
      </c>
      <c r="M2189">
        <v>0.99998849999999995</v>
      </c>
      <c r="N2189">
        <v>0</v>
      </c>
      <c r="O2189">
        <v>-4.187746E-3</v>
      </c>
      <c r="P2189">
        <v>0.99699309999999997</v>
      </c>
      <c r="Q2189">
        <v>6.6907350000000004E-2</v>
      </c>
      <c r="R2189">
        <v>3.9093250000000003E-2</v>
      </c>
      <c r="S2189">
        <v>3.032867</v>
      </c>
      <c r="T2189">
        <v>-0.16602890000000001</v>
      </c>
      <c r="U2189">
        <v>-0.34176640000000003</v>
      </c>
      <c r="V2189">
        <v>-4.3554540000000003E-2</v>
      </c>
      <c r="W2189">
        <v>6.9127999999999995E-2</v>
      </c>
      <c r="X2189">
        <v>0.996656599999999</v>
      </c>
      <c r="Y2189">
        <v>0.10766340000000001</v>
      </c>
      <c r="Z2189">
        <v>-2.7071019999999999E-3</v>
      </c>
      <c r="AA2189">
        <v>0.9941837</v>
      </c>
      <c r="AB2189">
        <v>34</v>
      </c>
      <c r="AC2189">
        <v>19.994699999999899</v>
      </c>
      <c r="AD2189">
        <v>-1.110687466556</v>
      </c>
      <c r="AE2189">
        <v>-2.28609999999997</v>
      </c>
      <c r="AF2189">
        <v>2.1956592760799398</v>
      </c>
      <c r="AG2189">
        <v>-1.110687466556</v>
      </c>
      <c r="AH2189">
        <v>19.9433531582089</v>
      </c>
      <c r="AI2189">
        <v>93.168524693618906</v>
      </c>
      <c r="AJ2189">
        <v>83.717335434035704</v>
      </c>
      <c r="AK2189">
        <v>20.094573434090101</v>
      </c>
    </row>
    <row r="2190" spans="1:37" x14ac:dyDescent="0.2">
      <c r="A2190" t="str">
        <f>"20200111154108276"</f>
        <v>20200111154108276</v>
      </c>
      <c r="B2190" t="str">
        <f>"1578728468268020"</f>
        <v>1578728468268020</v>
      </c>
      <c r="C2190" t="s">
        <v>37</v>
      </c>
      <c r="D2190">
        <v>4.9614960000000004</v>
      </c>
      <c r="E2190">
        <v>0.55889200000000006</v>
      </c>
      <c r="F2190" t="s">
        <v>45</v>
      </c>
      <c r="G2190">
        <v>-433.63380000000001</v>
      </c>
      <c r="H2190" s="1">
        <v>4.0904179999999999E-6</v>
      </c>
      <c r="I2190">
        <v>211.61920000000001</v>
      </c>
      <c r="J2190">
        <v>-454.27640000000002</v>
      </c>
      <c r="K2190">
        <v>1.1105160000000001</v>
      </c>
      <c r="L2190">
        <v>213.99510000000001</v>
      </c>
      <c r="M2190">
        <v>0.99999340000000003</v>
      </c>
      <c r="N2190">
        <v>0</v>
      </c>
      <c r="O2190">
        <v>-2.7496299999999999E-3</v>
      </c>
      <c r="P2190">
        <v>0.99687510000000001</v>
      </c>
      <c r="Q2190">
        <v>6.8127170000000001E-2</v>
      </c>
      <c r="R2190">
        <v>3.9990230000000002E-2</v>
      </c>
      <c r="S2190">
        <v>3.0332340000000002</v>
      </c>
      <c r="T2190">
        <v>-0.16034000000000001</v>
      </c>
      <c r="U2190">
        <v>-0.34301759999999998</v>
      </c>
      <c r="V2190">
        <v>-4.2992849999999999E-2</v>
      </c>
      <c r="W2190">
        <v>7.0373809999999995E-2</v>
      </c>
      <c r="X2190">
        <v>0.99659379999999997</v>
      </c>
      <c r="Y2190">
        <v>0.1094904</v>
      </c>
      <c r="Z2190">
        <v>-2.7379219999999998E-3</v>
      </c>
      <c r="AA2190">
        <v>0.99398410000000004</v>
      </c>
      <c r="AB2190">
        <v>35</v>
      </c>
      <c r="AC2190">
        <v>20.642600000000002</v>
      </c>
      <c r="AD2190">
        <v>-1.110511909582</v>
      </c>
      <c r="AE2190">
        <v>-2.3759000000000001</v>
      </c>
      <c r="AF2190">
        <v>2.3125261026809798</v>
      </c>
      <c r="AG2190">
        <v>-1.110511909582</v>
      </c>
      <c r="AH2190">
        <v>20.590243139224299</v>
      </c>
      <c r="AI2190">
        <v>93.067941616807303</v>
      </c>
      <c r="AJ2190">
        <v>83.591864996615698</v>
      </c>
      <c r="AK2190">
        <v>20.7494367684831</v>
      </c>
    </row>
    <row r="2191" spans="1:37" x14ac:dyDescent="0.2">
      <c r="A2191" t="str">
        <f>"20200111154108298"</f>
        <v>20200111154108298</v>
      </c>
      <c r="B2191" t="str">
        <f>"1578728468288516"</f>
        <v>1578728468288516</v>
      </c>
      <c r="C2191" t="s">
        <v>37</v>
      </c>
      <c r="D2191">
        <v>5.5189379999999897</v>
      </c>
      <c r="E2191">
        <v>0.55889200000000006</v>
      </c>
      <c r="F2191" t="s">
        <v>45</v>
      </c>
      <c r="G2191">
        <v>-431.5641</v>
      </c>
      <c r="H2191" s="1">
        <v>3.193385E-6</v>
      </c>
      <c r="I2191">
        <v>211.3819</v>
      </c>
      <c r="J2191">
        <v>-453.93770000000001</v>
      </c>
      <c r="K2191">
        <v>1.110366</v>
      </c>
      <c r="L2191">
        <v>213.99529999999999</v>
      </c>
      <c r="M2191">
        <v>0.99999579999999999</v>
      </c>
      <c r="N2191">
        <v>0</v>
      </c>
      <c r="O2191">
        <v>-1.609178E-3</v>
      </c>
      <c r="P2191">
        <v>0.99684130000000004</v>
      </c>
      <c r="Q2191">
        <v>6.9130990000000003E-2</v>
      </c>
      <c r="R2191">
        <v>3.9096550000000001E-2</v>
      </c>
      <c r="S2191">
        <v>3.0335079999999999</v>
      </c>
      <c r="T2191">
        <v>-0.14832300000000001</v>
      </c>
      <c r="U2191">
        <v>-0.34902949999999999</v>
      </c>
      <c r="V2191">
        <v>-4.0939200000000002E-2</v>
      </c>
      <c r="W2191">
        <v>7.1406890000000001E-2</v>
      </c>
      <c r="X2191">
        <v>0.99660680000000001</v>
      </c>
      <c r="Y2191">
        <v>0.112574299999999</v>
      </c>
      <c r="Z2191">
        <v>-2.6631100000000002E-3</v>
      </c>
      <c r="AA2191">
        <v>0.99363969999999902</v>
      </c>
      <c r="AB2191">
        <v>35</v>
      </c>
      <c r="AC2191">
        <v>22.3736</v>
      </c>
      <c r="AD2191">
        <v>-1.110362806615</v>
      </c>
      <c r="AE2191">
        <v>-2.61339999999998</v>
      </c>
      <c r="AF2191">
        <v>2.5711460058648901</v>
      </c>
      <c r="AG2191">
        <v>-1.110362806615</v>
      </c>
      <c r="AH2191">
        <v>22.323534482007901</v>
      </c>
      <c r="AI2191">
        <v>92.828849467491906</v>
      </c>
      <c r="AJ2191">
        <v>83.429824516374495</v>
      </c>
      <c r="AK2191">
        <v>22.498530821260001</v>
      </c>
    </row>
    <row r="2192" spans="1:37" x14ac:dyDescent="0.2">
      <c r="A2192" t="str">
        <f>"20200111154108322"</f>
        <v>20200111154108322</v>
      </c>
      <c r="B2192" t="str">
        <f>"1578728468318772"</f>
        <v>1578728468318772</v>
      </c>
      <c r="C2192" t="s">
        <v>37</v>
      </c>
      <c r="D2192">
        <v>3.0162419999999899</v>
      </c>
      <c r="E2192">
        <v>0.60002819999999901</v>
      </c>
      <c r="F2192" t="s">
        <v>45</v>
      </c>
      <c r="G2192">
        <v>-430.33760000000001</v>
      </c>
      <c r="H2192" s="1">
        <v>2.6614169999999999E-6</v>
      </c>
      <c r="I2192">
        <v>211.24520000000001</v>
      </c>
      <c r="J2192">
        <v>-453.56580000000002</v>
      </c>
      <c r="K2192">
        <v>1.11022</v>
      </c>
      <c r="L2192">
        <v>213.9957</v>
      </c>
      <c r="M2192">
        <v>0.99999709999999997</v>
      </c>
      <c r="N2192">
        <v>0</v>
      </c>
      <c r="O2192">
        <v>-5.2709149999999999E-4</v>
      </c>
      <c r="P2192">
        <v>0.99672109999999903</v>
      </c>
      <c r="Q2192">
        <v>7.1425569999999994E-2</v>
      </c>
      <c r="R2192">
        <v>3.8021680000000002E-2</v>
      </c>
      <c r="S2192">
        <v>3.033264</v>
      </c>
      <c r="T2192">
        <v>-0.14271210000000001</v>
      </c>
      <c r="U2192">
        <v>-0.35345460000000001</v>
      </c>
      <c r="V2192">
        <v>-3.876458E-2</v>
      </c>
      <c r="W2192">
        <v>7.3731500000000005E-2</v>
      </c>
      <c r="X2192">
        <v>0.99652450000000004</v>
      </c>
      <c r="Y2192">
        <v>0.1150944</v>
      </c>
      <c r="Z2192">
        <v>-2.6722320000000001E-3</v>
      </c>
      <c r="AA2192">
        <v>0.99335099999999998</v>
      </c>
      <c r="AB2192">
        <v>35</v>
      </c>
      <c r="AC2192">
        <v>23.228200000000001</v>
      </c>
      <c r="AD2192">
        <v>-1.1102173385830001</v>
      </c>
      <c r="AE2192">
        <v>-2.7504999999999802</v>
      </c>
      <c r="AF2192">
        <v>2.73210110555546</v>
      </c>
      <c r="AG2192">
        <v>-1.1102173385830001</v>
      </c>
      <c r="AH2192">
        <v>23.177430607896099</v>
      </c>
      <c r="AI2192">
        <v>92.723588800812294</v>
      </c>
      <c r="AJ2192">
        <v>83.277131879300597</v>
      </c>
      <c r="AK2192">
        <v>23.364294309345301</v>
      </c>
    </row>
    <row r="2193" spans="1:37" x14ac:dyDescent="0.2">
      <c r="A2193" t="str">
        <f>"20200111154108344"</f>
        <v>20200111154108344</v>
      </c>
      <c r="B2193" t="str">
        <f>"1578728468338292"</f>
        <v>1578728468338292</v>
      </c>
      <c r="C2193" t="s">
        <v>37</v>
      </c>
      <c r="D2193">
        <v>3.857307</v>
      </c>
      <c r="E2193">
        <v>0.59611329999999996</v>
      </c>
      <c r="F2193" t="s">
        <v>38</v>
      </c>
      <c r="G2193">
        <v>-452.92079999999999</v>
      </c>
      <c r="H2193">
        <v>0.8254011</v>
      </c>
      <c r="I2193">
        <v>213.8519</v>
      </c>
      <c r="J2193">
        <v>-453.22239999999999</v>
      </c>
      <c r="K2193">
        <v>1.110101</v>
      </c>
      <c r="L2193">
        <v>213.99629999999999</v>
      </c>
      <c r="M2193">
        <v>0.99999709999999997</v>
      </c>
      <c r="N2193">
        <v>0</v>
      </c>
      <c r="O2193">
        <v>3.179829E-4</v>
      </c>
      <c r="P2193">
        <v>0.99646539999999995</v>
      </c>
      <c r="Q2193">
        <v>7.5388699999999906E-2</v>
      </c>
      <c r="R2193">
        <v>3.7062680000000001E-2</v>
      </c>
      <c r="S2193">
        <v>3.135742</v>
      </c>
      <c r="T2193">
        <v>-1.384639</v>
      </c>
      <c r="U2193">
        <v>-0.69712830000000003</v>
      </c>
      <c r="V2193">
        <v>-3.6949030000000001E-2</v>
      </c>
      <c r="W2193">
        <v>7.7718789999999996E-2</v>
      </c>
      <c r="X2193">
        <v>0.99629040000000002</v>
      </c>
      <c r="Y2193">
        <v>0.19955149999999999</v>
      </c>
      <c r="Z2193">
        <v>-4.1784380000000003E-2</v>
      </c>
      <c r="AA2193">
        <v>0.97899599999999898</v>
      </c>
      <c r="AB2193">
        <v>35</v>
      </c>
      <c r="AC2193">
        <v>0.30160000000000697</v>
      </c>
      <c r="AD2193">
        <v>-0.28469990000000001</v>
      </c>
      <c r="AE2193">
        <v>-0.14439999999999001</v>
      </c>
      <c r="AF2193">
        <v>8.3770540248675293E-2</v>
      </c>
      <c r="AG2193">
        <v>-0.28469990000000001</v>
      </c>
      <c r="AH2193">
        <v>0.17482397613401199</v>
      </c>
      <c r="AI2193">
        <v>145.74824786807301</v>
      </c>
      <c r="AJ2193">
        <v>64.397620981695297</v>
      </c>
      <c r="AK2193">
        <v>0.34443425948193701</v>
      </c>
    </row>
    <row r="2194" spans="1:37" x14ac:dyDescent="0.2">
      <c r="A2194" t="str">
        <f>"20200111154108366"</f>
        <v>20200111154108366</v>
      </c>
      <c r="B2194" t="str">
        <f>"1578728468358788"</f>
        <v>1578728468358788</v>
      </c>
      <c r="C2194" t="s">
        <v>37</v>
      </c>
      <c r="D2194">
        <v>4.9552670000000001</v>
      </c>
      <c r="E2194">
        <v>0.5752081</v>
      </c>
      <c r="F2194" t="s">
        <v>44</v>
      </c>
      <c r="G2194">
        <v>-450.68099999999998</v>
      </c>
      <c r="H2194" s="1">
        <v>-1.12355E-6</v>
      </c>
      <c r="I2194">
        <v>213.45339999999999</v>
      </c>
      <c r="J2194">
        <v>-452.87490000000003</v>
      </c>
      <c r="K2194">
        <v>1.1099889999999999</v>
      </c>
      <c r="L2194">
        <v>213.99709999999999</v>
      </c>
      <c r="M2194">
        <v>0.99999649999999995</v>
      </c>
      <c r="N2194">
        <v>0</v>
      </c>
      <c r="O2194">
        <v>1.0414669999999999E-3</v>
      </c>
      <c r="P2194">
        <v>0.99619480000000005</v>
      </c>
      <c r="Q2194">
        <v>7.9220349999999995E-2</v>
      </c>
      <c r="R2194">
        <v>3.633538E-2</v>
      </c>
      <c r="S2194">
        <v>3.1393430000000002</v>
      </c>
      <c r="T2194">
        <v>-1.3713249999999999</v>
      </c>
      <c r="U2194">
        <v>-0.67073059999999995</v>
      </c>
      <c r="V2194">
        <v>-3.5486230000000001E-2</v>
      </c>
      <c r="W2194">
        <v>8.1573190000000004E-2</v>
      </c>
      <c r="X2194">
        <v>0.99603539999999902</v>
      </c>
      <c r="Y2194">
        <v>0.19299269999999999</v>
      </c>
      <c r="Z2194">
        <v>-4.0347710000000002E-2</v>
      </c>
      <c r="AA2194">
        <v>0.98037030000000003</v>
      </c>
      <c r="AB2194">
        <v>35</v>
      </c>
      <c r="AC2194">
        <v>2.1939000000000402</v>
      </c>
      <c r="AD2194">
        <v>-1.10999012354999</v>
      </c>
      <c r="AE2194">
        <v>-0.54370000000000096</v>
      </c>
      <c r="AF2194">
        <v>0.43989598191426599</v>
      </c>
      <c r="AG2194">
        <v>-1.10999012354999</v>
      </c>
      <c r="AH2194">
        <v>1.76715278334363</v>
      </c>
      <c r="AI2194">
        <v>121.36324845039699</v>
      </c>
      <c r="AJ2194">
        <v>76.021512798803698</v>
      </c>
      <c r="AK2194">
        <v>2.13270145800157</v>
      </c>
    </row>
    <row r="2195" spans="1:37" x14ac:dyDescent="0.2">
      <c r="A2195" t="str">
        <f>"20200111154108388"</f>
        <v>20200111154108388</v>
      </c>
      <c r="B2195" t="str">
        <f>"1578728468378308"</f>
        <v>1578728468378308</v>
      </c>
      <c r="C2195" t="s">
        <v>37</v>
      </c>
      <c r="D2195">
        <v>4.9112070000000001</v>
      </c>
      <c r="E2195">
        <v>0.57411590000000001</v>
      </c>
      <c r="F2195" t="s">
        <v>38</v>
      </c>
      <c r="G2195">
        <v>-451.94880000000001</v>
      </c>
      <c r="H2195">
        <v>0.87205759999999899</v>
      </c>
      <c r="I2195">
        <v>213.84729999999999</v>
      </c>
      <c r="J2195">
        <v>-452.51710000000003</v>
      </c>
      <c r="K2195">
        <v>1.1098859999999999</v>
      </c>
      <c r="L2195">
        <v>213.99809999999999</v>
      </c>
      <c r="M2195">
        <v>0.99999579999999999</v>
      </c>
      <c r="N2195">
        <v>0</v>
      </c>
      <c r="O2195">
        <v>1.6821169999999999E-3</v>
      </c>
      <c r="P2195">
        <v>0.99598030000000004</v>
      </c>
      <c r="Q2195">
        <v>8.2075519999999999E-2</v>
      </c>
      <c r="R2195">
        <v>3.5878800000000002E-2</v>
      </c>
      <c r="S2195">
        <v>3.0929259999999998</v>
      </c>
      <c r="T2195">
        <v>-0.79458359999999995</v>
      </c>
      <c r="U2195">
        <v>-0.50056460000000003</v>
      </c>
      <c r="V2195">
        <v>-3.437511E-2</v>
      </c>
      <c r="W2195">
        <v>8.4449049999999998E-2</v>
      </c>
      <c r="X2195">
        <v>0.99583469999999996</v>
      </c>
      <c r="Y2195">
        <v>0.1564181</v>
      </c>
      <c r="Z2195">
        <v>-2.0071909999999998E-2</v>
      </c>
      <c r="AA2195">
        <v>0.987487</v>
      </c>
      <c r="AB2195">
        <v>36</v>
      </c>
      <c r="AC2195">
        <v>0.56830000000002201</v>
      </c>
      <c r="AD2195">
        <v>-0.2378284</v>
      </c>
      <c r="AE2195">
        <v>-0.15080000000000299</v>
      </c>
      <c r="AF2195">
        <v>0.130417565443852</v>
      </c>
      <c r="AG2195">
        <v>-0.2378284</v>
      </c>
      <c r="AH2195">
        <v>0.48817341013751098</v>
      </c>
      <c r="AI2195">
        <v>115.205114523982</v>
      </c>
      <c r="AJ2195">
        <v>75.042508148499607</v>
      </c>
      <c r="AK2195">
        <v>0.55846608454600699</v>
      </c>
    </row>
    <row r="2196" spans="1:37" x14ac:dyDescent="0.2">
      <c r="A2196" t="str">
        <f>"20200111154108411"</f>
        <v>20200111154108411</v>
      </c>
      <c r="B2196" t="str">
        <f>"1578728468408564"</f>
        <v>1578728468408564</v>
      </c>
      <c r="C2196" t="s">
        <v>37</v>
      </c>
      <c r="D2196">
        <v>4.9570179999999997</v>
      </c>
      <c r="E2196">
        <v>0.5717004</v>
      </c>
      <c r="F2196" t="s">
        <v>38</v>
      </c>
      <c r="G2196">
        <v>-451.5976</v>
      </c>
      <c r="H2196">
        <v>0.94538609999999901</v>
      </c>
      <c r="I2196">
        <v>213.85140000000001</v>
      </c>
      <c r="J2196">
        <v>-452.15159999999997</v>
      </c>
      <c r="K2196">
        <v>1.109788</v>
      </c>
      <c r="L2196">
        <v>213.99930000000001</v>
      </c>
      <c r="M2196">
        <v>0.99999450000000001</v>
      </c>
      <c r="N2196">
        <v>0</v>
      </c>
      <c r="O2196">
        <v>2.242567E-3</v>
      </c>
      <c r="P2196">
        <v>0.99595689999999903</v>
      </c>
      <c r="Q2196">
        <v>8.275391E-2</v>
      </c>
      <c r="R2196">
        <v>3.4951049999999997E-2</v>
      </c>
      <c r="S2196">
        <v>3.0750730000000002</v>
      </c>
      <c r="T2196">
        <v>-0.55019259999999903</v>
      </c>
      <c r="U2196">
        <v>-0.48950199999999999</v>
      </c>
      <c r="V2196">
        <v>-3.2869250000000003E-2</v>
      </c>
      <c r="W2196">
        <v>8.5148879999999996E-2</v>
      </c>
      <c r="X2196">
        <v>0.99582590000000004</v>
      </c>
      <c r="Y2196">
        <v>0.1569526</v>
      </c>
      <c r="Z2196">
        <v>-1.4240910000000001E-2</v>
      </c>
      <c r="AA2196">
        <v>0.98750349999999998</v>
      </c>
      <c r="AB2196">
        <v>36</v>
      </c>
      <c r="AC2196">
        <v>0.55399999999997296</v>
      </c>
      <c r="AD2196">
        <v>-0.16440189999999999</v>
      </c>
      <c r="AE2196">
        <v>-0.14789999999999201</v>
      </c>
      <c r="AF2196">
        <v>0.13781317838754401</v>
      </c>
      <c r="AG2196">
        <v>-0.16440189999999999</v>
      </c>
      <c r="AH2196">
        <v>0.51161035997279802</v>
      </c>
      <c r="AI2196">
        <v>107.238173354758</v>
      </c>
      <c r="AJ2196">
        <v>74.9240012793652</v>
      </c>
      <c r="AK2196">
        <v>0.55476627267019696</v>
      </c>
    </row>
    <row r="2197" spans="1:37" x14ac:dyDescent="0.2">
      <c r="A2197" t="str">
        <f>"20200111154108431"</f>
        <v>20200111154108431</v>
      </c>
      <c r="B2197" t="str">
        <f>"1578728468428086"</f>
        <v>1578728468428086</v>
      </c>
      <c r="C2197" t="s">
        <v>37</v>
      </c>
      <c r="D2197">
        <v>4.9465459999999997</v>
      </c>
      <c r="E2197">
        <v>0.56927479999999997</v>
      </c>
      <c r="F2197" t="s">
        <v>38</v>
      </c>
      <c r="G2197">
        <v>-451.2466</v>
      </c>
      <c r="H2197">
        <v>1.0085139999999999</v>
      </c>
      <c r="I2197">
        <v>213.86009999999999</v>
      </c>
      <c r="J2197">
        <v>-451.81279999999998</v>
      </c>
      <c r="K2197">
        <v>1.1096999999999999</v>
      </c>
      <c r="L2197">
        <v>214.00049999999999</v>
      </c>
      <c r="M2197">
        <v>0.99999349999999998</v>
      </c>
      <c r="N2197">
        <v>0</v>
      </c>
      <c r="O2197">
        <v>2.6859990000000001E-3</v>
      </c>
      <c r="P2197">
        <v>0.9960561</v>
      </c>
      <c r="Q2197">
        <v>8.2746920000000002E-2</v>
      </c>
      <c r="R2197">
        <v>3.2024289999999997E-2</v>
      </c>
      <c r="S2197">
        <v>3.0570979999999999</v>
      </c>
      <c r="T2197">
        <v>-0.34209279999999997</v>
      </c>
      <c r="U2197">
        <v>-0.46974179999999999</v>
      </c>
      <c r="V2197">
        <v>-2.9482899999999999E-2</v>
      </c>
      <c r="W2197">
        <v>8.5163610000000001E-2</v>
      </c>
      <c r="X2197">
        <v>0.99593069999999895</v>
      </c>
      <c r="Y2197">
        <v>0.15357499999999999</v>
      </c>
      <c r="Z2197">
        <v>-8.814278E-3</v>
      </c>
      <c r="AA2197">
        <v>0.98809769999999897</v>
      </c>
      <c r="AB2197">
        <v>36</v>
      </c>
      <c r="AC2197">
        <v>0.56619999999998005</v>
      </c>
      <c r="AD2197">
        <v>-0.101186</v>
      </c>
      <c r="AE2197">
        <v>-0.140399999999999</v>
      </c>
      <c r="AF2197">
        <v>0.13777500792167099</v>
      </c>
      <c r="AG2197">
        <v>-0.101186</v>
      </c>
      <c r="AH2197">
        <v>0.54929397141074898</v>
      </c>
      <c r="AI2197">
        <v>100.13049585772799</v>
      </c>
      <c r="AJ2197">
        <v>75.919438850273096</v>
      </c>
      <c r="AK2197">
        <v>0.575277695058665</v>
      </c>
    </row>
    <row r="2198" spans="1:37" x14ac:dyDescent="0.2">
      <c r="A2198" t="str">
        <f>"20200111154108454"</f>
        <v>20200111154108454</v>
      </c>
      <c r="B2198" t="str">
        <f>"1578728468448580"</f>
        <v>1578728468448580</v>
      </c>
      <c r="C2198" t="s">
        <v>37</v>
      </c>
      <c r="D2198">
        <v>4.9741989999999996</v>
      </c>
      <c r="E2198">
        <v>0.56742419999999905</v>
      </c>
      <c r="F2198" t="s">
        <v>38</v>
      </c>
      <c r="G2198">
        <v>-450.91649999999998</v>
      </c>
      <c r="H2198">
        <v>1.023231</v>
      </c>
      <c r="I2198">
        <v>213.86590000000001</v>
      </c>
      <c r="J2198">
        <v>-451.45429999999999</v>
      </c>
      <c r="K2198">
        <v>1.109602</v>
      </c>
      <c r="L2198">
        <v>214.0018</v>
      </c>
      <c r="M2198">
        <v>0.999992199999999</v>
      </c>
      <c r="N2198">
        <v>0</v>
      </c>
      <c r="O2198">
        <v>3.0895369999999998E-3</v>
      </c>
      <c r="P2198">
        <v>0.99646780000000001</v>
      </c>
      <c r="Q2198">
        <v>7.9389399999999902E-2</v>
      </c>
      <c r="R2198">
        <v>2.7379750000000001E-2</v>
      </c>
      <c r="S2198">
        <v>3.051056</v>
      </c>
      <c r="T2198">
        <v>-0.29441990000000001</v>
      </c>
      <c r="U2198">
        <v>-0.457580599999999</v>
      </c>
      <c r="V2198">
        <v>-2.4413689999999998E-2</v>
      </c>
      <c r="W2198">
        <v>8.1830269999999997E-2</v>
      </c>
      <c r="X2198">
        <v>0.99634719999999999</v>
      </c>
      <c r="Y2198">
        <v>0.1506719</v>
      </c>
      <c r="Z2198">
        <v>-7.5086600000000003E-3</v>
      </c>
      <c r="AA2198">
        <v>0.98855530000000003</v>
      </c>
      <c r="AB2198">
        <v>36</v>
      </c>
      <c r="AC2198">
        <v>0.53780000000000405</v>
      </c>
      <c r="AD2198">
        <v>-8.6370999999999906E-2</v>
      </c>
      <c r="AE2198">
        <v>-0.135899999999992</v>
      </c>
      <c r="AF2198">
        <v>0.134304768820182</v>
      </c>
      <c r="AG2198">
        <v>-8.6370999999999906E-2</v>
      </c>
      <c r="AH2198">
        <v>0.52465754837414602</v>
      </c>
      <c r="AI2198">
        <v>99.061290838153596</v>
      </c>
      <c r="AJ2198">
        <v>75.641438642872899</v>
      </c>
      <c r="AK2198">
        <v>0.54841887607449502</v>
      </c>
    </row>
    <row r="2199" spans="1:37" x14ac:dyDescent="0.2">
      <c r="A2199" t="str">
        <f>"20200111154108476"</f>
        <v>20200111154108476</v>
      </c>
      <c r="B2199" t="str">
        <f>"1578728468468100"</f>
        <v>1578728468468100</v>
      </c>
      <c r="C2199" t="s">
        <v>37</v>
      </c>
      <c r="D2199">
        <v>4.9561070000000003</v>
      </c>
      <c r="E2199">
        <v>0.56617390000000001</v>
      </c>
      <c r="F2199" t="s">
        <v>38</v>
      </c>
      <c r="G2199">
        <v>-450.58800000000002</v>
      </c>
      <c r="H2199">
        <v>1.0314239999999999</v>
      </c>
      <c r="I2199">
        <v>213.8723</v>
      </c>
      <c r="J2199">
        <v>-451.08150000000001</v>
      </c>
      <c r="K2199">
        <v>1.109505</v>
      </c>
      <c r="L2199">
        <v>214.0033</v>
      </c>
      <c r="M2199">
        <v>0.99999090000000002</v>
      </c>
      <c r="N2199">
        <v>0</v>
      </c>
      <c r="O2199">
        <v>3.4575449999999998E-3</v>
      </c>
      <c r="P2199">
        <v>0.99684649999999997</v>
      </c>
      <c r="Q2199">
        <v>7.5888929999999993E-2</v>
      </c>
      <c r="R2199">
        <v>2.3198070000000001E-2</v>
      </c>
      <c r="S2199">
        <v>3.045013</v>
      </c>
      <c r="T2199">
        <v>-0.274752</v>
      </c>
      <c r="U2199">
        <v>-0.4544067</v>
      </c>
      <c r="V2199">
        <v>-1.9846220000000001E-2</v>
      </c>
      <c r="W2199">
        <v>7.8352469999999994E-2</v>
      </c>
      <c r="X2199">
        <v>0.99672819999999995</v>
      </c>
      <c r="Y2199">
        <v>0.1504027</v>
      </c>
      <c r="Z2199">
        <v>-7.04427E-3</v>
      </c>
      <c r="AA2199">
        <v>0.98859969999999997</v>
      </c>
      <c r="AB2199">
        <v>36</v>
      </c>
      <c r="AC2199">
        <v>0.49349999999998301</v>
      </c>
      <c r="AD2199">
        <v>-7.8080999999999998E-2</v>
      </c>
      <c r="AE2199">
        <v>-0.13100000000000001</v>
      </c>
      <c r="AF2199">
        <v>0.129673067783656</v>
      </c>
      <c r="AG2199">
        <v>-7.8080999999999998E-2</v>
      </c>
      <c r="AH2199">
        <v>0.48177756269230199</v>
      </c>
      <c r="AI2199">
        <v>98.894580880504904</v>
      </c>
      <c r="AJ2199">
        <v>74.935534493496405</v>
      </c>
      <c r="AK2199">
        <v>0.50499640294081305</v>
      </c>
    </row>
    <row r="2200" spans="1:37" x14ac:dyDescent="0.2">
      <c r="A2200" t="str">
        <f>"20200111154108499"</f>
        <v>20200111154108499</v>
      </c>
      <c r="B2200" t="str">
        <f>"1578728468488595"</f>
        <v>1578728468488595</v>
      </c>
      <c r="C2200" t="s">
        <v>37</v>
      </c>
      <c r="D2200">
        <v>4.9565289999999997</v>
      </c>
      <c r="E2200">
        <v>0.56532660000000001</v>
      </c>
      <c r="F2200" t="s">
        <v>38</v>
      </c>
      <c r="G2200">
        <v>-450.25880000000001</v>
      </c>
      <c r="H2200">
        <v>1.0380450000000001</v>
      </c>
      <c r="I2200">
        <v>213.87960000000001</v>
      </c>
      <c r="J2200">
        <v>-450.71499999999997</v>
      </c>
      <c r="K2200">
        <v>1.109434</v>
      </c>
      <c r="L2200">
        <v>214.00479999999999</v>
      </c>
      <c r="M2200">
        <v>0.99998969999999898</v>
      </c>
      <c r="N2200">
        <v>0</v>
      </c>
      <c r="O2200">
        <v>3.7827669999999998E-3</v>
      </c>
      <c r="P2200">
        <v>0.99703750000000002</v>
      </c>
      <c r="Q2200">
        <v>7.4252769999999996E-2</v>
      </c>
      <c r="R2200">
        <v>2.0070210000000002E-2</v>
      </c>
      <c r="S2200">
        <v>3.040222</v>
      </c>
      <c r="T2200">
        <v>-0.26436219999999999</v>
      </c>
      <c r="U2200">
        <v>-0.45547489999999902</v>
      </c>
      <c r="V2200">
        <v>-1.638102E-2</v>
      </c>
      <c r="W2200">
        <v>7.673468E-2</v>
      </c>
      <c r="X2200">
        <v>0.99691689999999999</v>
      </c>
      <c r="Y2200">
        <v>0.1513302</v>
      </c>
      <c r="Z2200">
        <v>-6.8573430000000001E-3</v>
      </c>
      <c r="AA2200">
        <v>0.98845949999999905</v>
      </c>
      <c r="AB2200">
        <v>36</v>
      </c>
      <c r="AC2200">
        <v>0.45619999999996702</v>
      </c>
      <c r="AD2200">
        <v>-7.1388999999999897E-2</v>
      </c>
      <c r="AE2200">
        <v>-0.125199999999978</v>
      </c>
      <c r="AF2200">
        <v>0.124098740394617</v>
      </c>
      <c r="AG2200">
        <v>-7.1388999999999897E-2</v>
      </c>
      <c r="AH2200">
        <v>0.44557614520036098</v>
      </c>
      <c r="AI2200">
        <v>98.773964949957403</v>
      </c>
      <c r="AJ2200">
        <v>74.436789870127299</v>
      </c>
      <c r="AK2200">
        <v>0.46801173901959298</v>
      </c>
    </row>
    <row r="2201" spans="1:37" x14ac:dyDescent="0.2">
      <c r="A2201" t="str">
        <f>"20200111154108522"</f>
        <v>20200111154108522</v>
      </c>
      <c r="B2201" t="str">
        <f>"1578728468518497"</f>
        <v>1578728468518497</v>
      </c>
      <c r="C2201" t="s">
        <v>37</v>
      </c>
      <c r="D2201">
        <v>4.8802979999999998</v>
      </c>
      <c r="E2201">
        <v>0.56402489999999905</v>
      </c>
      <c r="F2201" t="s">
        <v>38</v>
      </c>
      <c r="G2201">
        <v>-449.92770000000002</v>
      </c>
      <c r="H2201">
        <v>1.0443549999999999</v>
      </c>
      <c r="I2201">
        <v>213.88589999999999</v>
      </c>
      <c r="J2201">
        <v>-450.34660000000002</v>
      </c>
      <c r="K2201">
        <v>1.109391</v>
      </c>
      <c r="L2201">
        <v>214.00649999999999</v>
      </c>
      <c r="M2201">
        <v>0.99998860000000001</v>
      </c>
      <c r="N2201">
        <v>0</v>
      </c>
      <c r="O2201">
        <v>4.0937619999999999E-3</v>
      </c>
      <c r="P2201">
        <v>0.99705339999999998</v>
      </c>
      <c r="Q2201">
        <v>7.4622149999999998E-2</v>
      </c>
      <c r="R2201">
        <v>1.7786380000000001E-2</v>
      </c>
      <c r="S2201">
        <v>3.0368650000000001</v>
      </c>
      <c r="T2201">
        <v>-0.2509805</v>
      </c>
      <c r="U2201">
        <v>-0.4587097</v>
      </c>
      <c r="V2201">
        <v>-1.377983E-2</v>
      </c>
      <c r="W2201">
        <v>7.7120250000000001E-2</v>
      </c>
      <c r="X2201">
        <v>0.99692649999999905</v>
      </c>
      <c r="Y2201">
        <v>0.15287629999999999</v>
      </c>
      <c r="Z2201">
        <v>-6.606944E-3</v>
      </c>
      <c r="AA2201">
        <v>0.98822330000000003</v>
      </c>
      <c r="AB2201">
        <v>36</v>
      </c>
      <c r="AC2201">
        <v>0.41890000000000699</v>
      </c>
      <c r="AD2201">
        <v>-6.5036000000000094E-2</v>
      </c>
      <c r="AE2201">
        <v>-0.120599999999996</v>
      </c>
      <c r="AF2201">
        <v>0.119650574923493</v>
      </c>
      <c r="AG2201">
        <v>-6.5036000000000094E-2</v>
      </c>
      <c r="AH2201">
        <v>0.40929236098407901</v>
      </c>
      <c r="AI2201">
        <v>98.671655815159198</v>
      </c>
      <c r="AJ2201">
        <v>73.704499162578003</v>
      </c>
      <c r="AK2201">
        <v>0.43135388967232502</v>
      </c>
    </row>
    <row r="2202" spans="1:37" x14ac:dyDescent="0.2">
      <c r="A2202" t="str">
        <f>"20200111154108544"</f>
        <v>20200111154108544</v>
      </c>
      <c r="B2202" t="str">
        <f>"1578728468538016"</f>
        <v>1578728468538016</v>
      </c>
      <c r="C2202" t="s">
        <v>37</v>
      </c>
      <c r="D2202">
        <v>4.860182</v>
      </c>
      <c r="E2202">
        <v>0.56313990000000003</v>
      </c>
      <c r="F2202" t="s">
        <v>38</v>
      </c>
      <c r="G2202">
        <v>-449.59309999999999</v>
      </c>
      <c r="H2202">
        <v>1.05146299999999</v>
      </c>
      <c r="I2202">
        <v>213.8929</v>
      </c>
      <c r="J2202">
        <v>-449.9778</v>
      </c>
      <c r="K2202">
        <v>1.1093649999999999</v>
      </c>
      <c r="L2202">
        <v>214.00829999999999</v>
      </c>
      <c r="M2202">
        <v>0.99998719999999996</v>
      </c>
      <c r="N2202">
        <v>0</v>
      </c>
      <c r="O2202">
        <v>4.411824E-3</v>
      </c>
      <c r="P2202">
        <v>0.99705429999999995</v>
      </c>
      <c r="Q2202">
        <v>7.5165560000000006E-2</v>
      </c>
      <c r="R2202">
        <v>1.526431E-2</v>
      </c>
      <c r="S2202">
        <v>3.0344540000000002</v>
      </c>
      <c r="T2202">
        <v>-0.2334812</v>
      </c>
      <c r="U2202">
        <v>-0.4555206</v>
      </c>
      <c r="V2202">
        <v>-1.0937530000000001E-2</v>
      </c>
      <c r="W2202">
        <v>7.7679810000000002E-2</v>
      </c>
      <c r="X2202">
        <v>0.99691839999999998</v>
      </c>
      <c r="Y2202">
        <v>0.152361</v>
      </c>
      <c r="Z2202">
        <v>-6.1575780000000004E-3</v>
      </c>
      <c r="AA2202">
        <v>0.98830569999999895</v>
      </c>
      <c r="AB2202">
        <v>37</v>
      </c>
      <c r="AC2202">
        <v>0.38470000000000898</v>
      </c>
      <c r="AD2202">
        <v>-5.7902000000000099E-2</v>
      </c>
      <c r="AE2202">
        <v>-0.11539999999999299</v>
      </c>
      <c r="AF2202">
        <v>0.114711973704999</v>
      </c>
      <c r="AG2202">
        <v>-5.7902000000000099E-2</v>
      </c>
      <c r="AH2202">
        <v>0.37636488221984199</v>
      </c>
      <c r="AI2202">
        <v>98.371658676063703</v>
      </c>
      <c r="AJ2202">
        <v>73.049341672820006</v>
      </c>
      <c r="AK2202">
        <v>0.39769586757175601</v>
      </c>
    </row>
    <row r="2203" spans="1:37" x14ac:dyDescent="0.2">
      <c r="A2203" t="str">
        <f>"20200111154108568"</f>
        <v>20200111154108568</v>
      </c>
      <c r="B2203" t="str">
        <f>"1578728468558513"</f>
        <v>1578728468558513</v>
      </c>
      <c r="C2203" t="s">
        <v>37</v>
      </c>
      <c r="D2203">
        <v>5.0115809999999996</v>
      </c>
      <c r="E2203">
        <v>0.56244769999999999</v>
      </c>
      <c r="F2203" t="s">
        <v>38</v>
      </c>
      <c r="G2203">
        <v>-448.94009999999997</v>
      </c>
      <c r="H2203">
        <v>1.0312950000000001</v>
      </c>
      <c r="I2203">
        <v>213.85210000000001</v>
      </c>
      <c r="J2203">
        <v>-449.57650000000001</v>
      </c>
      <c r="K2203">
        <v>1.1093649999999999</v>
      </c>
      <c r="L2203">
        <v>214.0104</v>
      </c>
      <c r="M2203">
        <v>0.99998539999999903</v>
      </c>
      <c r="N2203">
        <v>0</v>
      </c>
      <c r="O2203">
        <v>4.7889270000000001E-3</v>
      </c>
      <c r="P2203">
        <v>0.99701469999999903</v>
      </c>
      <c r="Q2203">
        <v>7.6207120000000003E-2</v>
      </c>
      <c r="R2203">
        <v>1.2426120000000001E-2</v>
      </c>
      <c r="S2203">
        <v>3.0330509999999999</v>
      </c>
      <c r="T2203">
        <v>-0.2282962</v>
      </c>
      <c r="U2203">
        <v>-0.45538329999999899</v>
      </c>
      <c r="V2203">
        <v>-7.7242949999999999E-3</v>
      </c>
      <c r="W2203">
        <v>7.8738470000000005E-2</v>
      </c>
      <c r="X2203">
        <v>0.99686540000000001</v>
      </c>
      <c r="Y2203">
        <v>0.1527744</v>
      </c>
      <c r="Z2203">
        <v>-6.0676259999999996E-3</v>
      </c>
      <c r="AA2203">
        <v>0.98824239999999997</v>
      </c>
      <c r="AB2203">
        <v>37</v>
      </c>
      <c r="AC2203">
        <v>0.63640000000003705</v>
      </c>
      <c r="AD2203">
        <v>-7.8069999999999806E-2</v>
      </c>
      <c r="AE2203">
        <v>-0.158299999999996</v>
      </c>
      <c r="AF2203">
        <v>0.15909120470226801</v>
      </c>
      <c r="AG2203">
        <v>-7.8069999999999806E-2</v>
      </c>
      <c r="AH2203">
        <v>0.62675219330097298</v>
      </c>
      <c r="AI2203">
        <v>96.884224718171794</v>
      </c>
      <c r="AJ2203">
        <v>75.757177450394394</v>
      </c>
      <c r="AK2203">
        <v>0.65132422657321698</v>
      </c>
    </row>
    <row r="2204" spans="1:37" x14ac:dyDescent="0.2">
      <c r="A2204" t="str">
        <f>"20200111154108591"</f>
        <v>20200111154108591</v>
      </c>
      <c r="B2204" t="str">
        <f>"1578728468579009"</f>
        <v>1578728468579009</v>
      </c>
      <c r="C2204" t="s">
        <v>37</v>
      </c>
      <c r="D2204">
        <v>4.9893599999999996</v>
      </c>
      <c r="E2204">
        <v>0.56189319999999998</v>
      </c>
      <c r="F2204" t="s">
        <v>38</v>
      </c>
      <c r="G2204">
        <v>-448.60169999999999</v>
      </c>
      <c r="H2204">
        <v>1.039574</v>
      </c>
      <c r="I2204">
        <v>213.86269999999999</v>
      </c>
      <c r="J2204">
        <v>-449.19670000000002</v>
      </c>
      <c r="K2204">
        <v>1.1093789999999999</v>
      </c>
      <c r="L2204">
        <v>214.01249999999999</v>
      </c>
      <c r="M2204">
        <v>0.99998339999999997</v>
      </c>
      <c r="N2204">
        <v>0</v>
      </c>
      <c r="O2204">
        <v>5.1783910000000001E-3</v>
      </c>
      <c r="P2204">
        <v>0.99696689999999999</v>
      </c>
      <c r="Q2204">
        <v>7.7112420000000001E-2</v>
      </c>
      <c r="R2204">
        <v>1.053202E-2</v>
      </c>
      <c r="S2204">
        <v>3.0313110000000001</v>
      </c>
      <c r="T2204">
        <v>-0.2170975</v>
      </c>
      <c r="U2204">
        <v>-0.45846559999999997</v>
      </c>
      <c r="V2204">
        <v>-5.4446099999999999E-3</v>
      </c>
      <c r="W2204">
        <v>7.9659199999999999E-2</v>
      </c>
      <c r="X2204">
        <v>0.99680729999999995</v>
      </c>
      <c r="Y2204">
        <v>0.1542615</v>
      </c>
      <c r="Z2204">
        <v>-5.854181E-3</v>
      </c>
      <c r="AA2204">
        <v>0.98801269999999997</v>
      </c>
      <c r="AB2204">
        <v>37</v>
      </c>
      <c r="AC2204">
        <v>0.59500000000002695</v>
      </c>
      <c r="AD2204">
        <v>-6.9805000000000103E-2</v>
      </c>
      <c r="AE2204">
        <v>-0.14979999999999899</v>
      </c>
      <c r="AF2204">
        <v>0.150925652691388</v>
      </c>
      <c r="AG2204">
        <v>-6.9805000000000103E-2</v>
      </c>
      <c r="AH2204">
        <v>0.58662339485385395</v>
      </c>
      <c r="AI2204">
        <v>96.573859590334493</v>
      </c>
      <c r="AJ2204">
        <v>75.571931354454904</v>
      </c>
      <c r="AK2204">
        <v>0.60973625286281097</v>
      </c>
    </row>
    <row r="2205" spans="1:37" x14ac:dyDescent="0.2">
      <c r="A2205" t="str">
        <f>"20200111154108612"</f>
        <v>20200111154108612</v>
      </c>
      <c r="B2205" t="str">
        <f>"1578728468608810"</f>
        <v>1578728468608810</v>
      </c>
      <c r="C2205" t="s">
        <v>37</v>
      </c>
      <c r="D2205">
        <v>5.0365269999999898</v>
      </c>
      <c r="E2205">
        <v>0.56117030000000001</v>
      </c>
      <c r="F2205" t="s">
        <v>45</v>
      </c>
      <c r="G2205">
        <v>-433.09519999999998</v>
      </c>
      <c r="H2205" s="1">
        <v>3.8555760000000002E-6</v>
      </c>
      <c r="I2205">
        <v>211.5736</v>
      </c>
      <c r="J2205">
        <v>-448.84070000000003</v>
      </c>
      <c r="K2205">
        <v>1.1093930000000001</v>
      </c>
      <c r="L2205">
        <v>214.0147</v>
      </c>
      <c r="M2205">
        <v>0.99998120000000001</v>
      </c>
      <c r="N2205">
        <v>0</v>
      </c>
      <c r="O2205">
        <v>5.5802680000000002E-3</v>
      </c>
      <c r="P2205">
        <v>0.99694519999999998</v>
      </c>
      <c r="Q2205">
        <v>7.7597429999999995E-2</v>
      </c>
      <c r="R2205">
        <v>8.8934530000000008E-3</v>
      </c>
      <c r="S2205">
        <v>3.0301209999999998</v>
      </c>
      <c r="T2205">
        <v>-0.20877209999999999</v>
      </c>
      <c r="U2205">
        <v>-0.45898440000000001</v>
      </c>
      <c r="V2205">
        <v>-3.4096409999999902E-3</v>
      </c>
      <c r="W2205">
        <v>8.0158759999999996E-2</v>
      </c>
      <c r="X2205">
        <v>0.99677629999999995</v>
      </c>
      <c r="Y2205">
        <v>0.15490860000000001</v>
      </c>
      <c r="Z2205">
        <v>-5.6819660000000001E-3</v>
      </c>
      <c r="AA2205">
        <v>0.98791249999999997</v>
      </c>
      <c r="AB2205">
        <v>37</v>
      </c>
      <c r="AC2205">
        <v>15.7455</v>
      </c>
      <c r="AD2205">
        <v>-1.1093891444239901</v>
      </c>
      <c r="AE2205">
        <v>-2.4411</v>
      </c>
      <c r="AF2205">
        <v>2.51672593993213</v>
      </c>
      <c r="AG2205">
        <v>-1.1093891444239901</v>
      </c>
      <c r="AH2205">
        <v>15.6557377808711</v>
      </c>
      <c r="AI2205">
        <v>94.002079205665297</v>
      </c>
      <c r="AJ2205">
        <v>80.867592989059006</v>
      </c>
      <c r="AK2205">
        <v>15.895495563016899</v>
      </c>
    </row>
    <row r="2206" spans="1:37" x14ac:dyDescent="0.2">
      <c r="A2206" t="str">
        <f>"20200111154108633"</f>
        <v>20200111154108633</v>
      </c>
      <c r="B2206" t="str">
        <f>"1578728468628330"</f>
        <v>1578728468628330</v>
      </c>
      <c r="C2206" t="s">
        <v>37</v>
      </c>
      <c r="D2206">
        <v>5.0720470000000004</v>
      </c>
      <c r="E2206">
        <v>0.52432919999999905</v>
      </c>
      <c r="F2206" t="s">
        <v>45</v>
      </c>
      <c r="G2206">
        <v>-432.0958</v>
      </c>
      <c r="H2206" s="1">
        <v>3.4202249999999999E-6</v>
      </c>
      <c r="I2206">
        <v>211.4838</v>
      </c>
      <c r="J2206">
        <v>-448.49430000000001</v>
      </c>
      <c r="K2206">
        <v>1.1094120000000001</v>
      </c>
      <c r="L2206">
        <v>214.01689999999999</v>
      </c>
      <c r="M2206">
        <v>0.9999787</v>
      </c>
      <c r="N2206">
        <v>0</v>
      </c>
      <c r="O2206">
        <v>6.008617E-3</v>
      </c>
      <c r="P2206">
        <v>0.99698600000000004</v>
      </c>
      <c r="Q2206">
        <v>7.719181E-2</v>
      </c>
      <c r="R2206">
        <v>7.7792640000000001E-3</v>
      </c>
      <c r="S2206">
        <v>3.0289000000000001</v>
      </c>
      <c r="T2206">
        <v>-0.20067189999999999</v>
      </c>
      <c r="U2206">
        <v>-0.45779419999999998</v>
      </c>
      <c r="V2206">
        <v>-1.8716259999999999E-3</v>
      </c>
      <c r="W2206">
        <v>7.9768049999999993E-2</v>
      </c>
      <c r="X2206">
        <v>0.99681169999999997</v>
      </c>
      <c r="Y2206">
        <v>0.15503789999999901</v>
      </c>
      <c r="Z2206">
        <v>-5.4967749999999998E-3</v>
      </c>
      <c r="AA2206">
        <v>0.98789319999999903</v>
      </c>
      <c r="AB2206">
        <v>37</v>
      </c>
      <c r="AC2206">
        <v>16.398499999999999</v>
      </c>
      <c r="AD2206">
        <v>-1.109408579775</v>
      </c>
      <c r="AE2206">
        <v>-2.5330999999999899</v>
      </c>
      <c r="AF2206">
        <v>2.6198753520530502</v>
      </c>
      <c r="AG2206">
        <v>-1.109408579775</v>
      </c>
      <c r="AH2206">
        <v>16.310073090651802</v>
      </c>
      <c r="AI2206">
        <v>93.842154815748401</v>
      </c>
      <c r="AJ2206">
        <v>80.874571229841493</v>
      </c>
      <c r="AK2206">
        <v>16.556358853310002</v>
      </c>
    </row>
    <row r="2207" spans="1:37" x14ac:dyDescent="0.2">
      <c r="A2207" t="str">
        <f>"20200111154108655"</f>
        <v>20200111154108655</v>
      </c>
      <c r="B2207" t="str">
        <f>"1578728468648826"</f>
        <v>1578728468648826</v>
      </c>
      <c r="C2207" t="s">
        <v>37</v>
      </c>
      <c r="D2207">
        <v>5.141826</v>
      </c>
      <c r="E2207">
        <v>0.51646780000000003</v>
      </c>
      <c r="F2207" t="s">
        <v>45</v>
      </c>
      <c r="G2207">
        <v>-425.00560000000002</v>
      </c>
      <c r="H2207" s="1">
        <v>3.2428609999999999E-6</v>
      </c>
      <c r="I2207">
        <v>212.71549999999999</v>
      </c>
      <c r="J2207">
        <v>-448.10840000000002</v>
      </c>
      <c r="K2207">
        <v>1.1094329999999999</v>
      </c>
      <c r="L2207">
        <v>214.0197</v>
      </c>
      <c r="M2207">
        <v>0.99997539999999996</v>
      </c>
      <c r="N2207">
        <v>0</v>
      </c>
      <c r="O2207">
        <v>6.5239340000000003E-3</v>
      </c>
      <c r="P2207">
        <v>0.99702169999999901</v>
      </c>
      <c r="Q2207">
        <v>7.6753909999999995E-2</v>
      </c>
      <c r="R2207">
        <v>7.5012709999999899E-3</v>
      </c>
      <c r="S2207">
        <v>3.021423</v>
      </c>
      <c r="T2207">
        <v>-0.14270659999999999</v>
      </c>
      <c r="U2207">
        <v>-0.1674042</v>
      </c>
      <c r="V2207">
        <v>-1.084062E-3</v>
      </c>
      <c r="W2207">
        <v>7.9345959999999993E-2</v>
      </c>
      <c r="X2207">
        <v>0.99684660000000003</v>
      </c>
      <c r="Y2207">
        <v>6.1757779999999998E-2</v>
      </c>
      <c r="Z2207">
        <v>-1.7642739999999999E-3</v>
      </c>
      <c r="AA2207">
        <v>0.99808960000000002</v>
      </c>
      <c r="AB2207">
        <v>38</v>
      </c>
      <c r="AC2207">
        <v>23.102799999999998</v>
      </c>
      <c r="AD2207">
        <v>-1.1094297571389999</v>
      </c>
      <c r="AE2207">
        <v>-1.3042</v>
      </c>
      <c r="AF2207">
        <v>1.4515571451184599</v>
      </c>
      <c r="AG2207">
        <v>-1.1094297571389999</v>
      </c>
      <c r="AH2207">
        <v>23.0408350695159</v>
      </c>
      <c r="AI2207">
        <v>92.751250414496695</v>
      </c>
      <c r="AJ2207">
        <v>86.395168399304495</v>
      </c>
      <c r="AK2207">
        <v>23.113154982221801</v>
      </c>
    </row>
    <row r="2208" spans="1:37" x14ac:dyDescent="0.2">
      <c r="A2208" t="str">
        <f>"20200111154108679"</f>
        <v>20200111154108679</v>
      </c>
      <c r="B2208" t="str">
        <f>"1578728468668346"</f>
        <v>1578728468668346</v>
      </c>
      <c r="C2208" t="s">
        <v>37</v>
      </c>
      <c r="D2208">
        <v>5.0832930000000003</v>
      </c>
      <c r="E2208">
        <v>0.51574149999999996</v>
      </c>
      <c r="F2208" t="s">
        <v>45</v>
      </c>
      <c r="G2208">
        <v>-423.49079999999998</v>
      </c>
      <c r="H2208" s="1">
        <v>3.4726559999999999E-6</v>
      </c>
      <c r="I2208">
        <v>213.16059999999999</v>
      </c>
      <c r="J2208">
        <v>-447.7217</v>
      </c>
      <c r="K2208">
        <v>1.109459</v>
      </c>
      <c r="L2208">
        <v>214.02260000000001</v>
      </c>
      <c r="M2208">
        <v>0.99997159999999996</v>
      </c>
      <c r="N2208">
        <v>0</v>
      </c>
      <c r="O2208">
        <v>7.0716729999999997E-3</v>
      </c>
      <c r="P2208">
        <v>0.99699989999999905</v>
      </c>
      <c r="Q2208">
        <v>7.6976370000000002E-2</v>
      </c>
      <c r="R2208">
        <v>8.1017750000000003E-3</v>
      </c>
      <c r="S2208">
        <v>3.0202939999999998</v>
      </c>
      <c r="T2208">
        <v>-0.13611379999999901</v>
      </c>
      <c r="U2208">
        <v>-0.1053925</v>
      </c>
      <c r="V2208">
        <v>-1.1439320000000001E-3</v>
      </c>
      <c r="W2208">
        <v>7.9583150000000005E-2</v>
      </c>
      <c r="X2208">
        <v>0.99682760000000004</v>
      </c>
      <c r="Y2208">
        <v>4.1890419999999998E-2</v>
      </c>
      <c r="Z2208">
        <v>-1.2616050000000001E-3</v>
      </c>
      <c r="AA2208">
        <v>0.99912140000000005</v>
      </c>
      <c r="AB2208">
        <v>38</v>
      </c>
      <c r="AC2208">
        <v>24.230899999999998</v>
      </c>
      <c r="AD2208">
        <v>-1.1094555273440001</v>
      </c>
      <c r="AE2208">
        <v>-0.86200000000002297</v>
      </c>
      <c r="AF2208">
        <v>1.0311729776970799</v>
      </c>
      <c r="AG2208">
        <v>-1.1094555273440001</v>
      </c>
      <c r="AH2208">
        <v>24.173584096963101</v>
      </c>
      <c r="AI2208">
        <v>92.625382696005502</v>
      </c>
      <c r="AJ2208">
        <v>87.557413792073106</v>
      </c>
      <c r="AK2208">
        <v>24.220990429171898</v>
      </c>
    </row>
    <row r="2209" spans="1:37" x14ac:dyDescent="0.2">
      <c r="A2209" t="str">
        <f>"20200111154108701"</f>
        <v>20200111154108701</v>
      </c>
      <c r="B2209" t="str">
        <f>"1578728468698602"</f>
        <v>1578728468698602</v>
      </c>
      <c r="C2209" t="s">
        <v>37</v>
      </c>
      <c r="D2209">
        <v>5.0874819999999996</v>
      </c>
      <c r="E2209">
        <v>0.51521609999999995</v>
      </c>
      <c r="F2209" t="s">
        <v>45</v>
      </c>
      <c r="G2209">
        <v>-422.43509999999998</v>
      </c>
      <c r="H2209" s="1">
        <v>3.6562720000000001E-6</v>
      </c>
      <c r="I2209">
        <v>213.20240000000001</v>
      </c>
      <c r="J2209">
        <v>-447.34210000000002</v>
      </c>
      <c r="K2209">
        <v>1.1094759999999999</v>
      </c>
      <c r="L2209">
        <v>214.0257</v>
      </c>
      <c r="M2209">
        <v>0.99996749999999901</v>
      </c>
      <c r="N2209">
        <v>0</v>
      </c>
      <c r="O2209">
        <v>7.6316839999999997E-3</v>
      </c>
      <c r="P2209">
        <v>0.99696479999999998</v>
      </c>
      <c r="Q2209">
        <v>7.7330769999999993E-2</v>
      </c>
      <c r="R2209">
        <v>9.0299809999999994E-3</v>
      </c>
      <c r="S2209">
        <v>3.0200809999999998</v>
      </c>
      <c r="T2209">
        <v>-0.1325065</v>
      </c>
      <c r="U2209">
        <v>-9.7961430000000002E-2</v>
      </c>
      <c r="V2209">
        <v>-1.518443E-3</v>
      </c>
      <c r="W2209">
        <v>7.9951519999999998E-2</v>
      </c>
      <c r="X2209">
        <v>0.99679759999999995</v>
      </c>
      <c r="Y2209">
        <v>4.0000620000000001E-2</v>
      </c>
      <c r="Z2209">
        <v>-1.211466E-3</v>
      </c>
      <c r="AA2209">
        <v>0.9991989</v>
      </c>
      <c r="AB2209">
        <v>38</v>
      </c>
      <c r="AC2209">
        <v>24.907</v>
      </c>
      <c r="AD2209">
        <v>-1.1094723437280001</v>
      </c>
      <c r="AE2209">
        <v>-0.82329999999998804</v>
      </c>
      <c r="AF2209">
        <v>1.0113544585709899</v>
      </c>
      <c r="AG2209">
        <v>-1.1094723437280001</v>
      </c>
      <c r="AH2209">
        <v>24.850735930747401</v>
      </c>
      <c r="AI2209">
        <v>92.554186950962603</v>
      </c>
      <c r="AJ2209">
        <v>87.669510367909496</v>
      </c>
      <c r="AK2209">
        <v>24.8960407097616</v>
      </c>
    </row>
    <row r="2210" spans="1:37" x14ac:dyDescent="0.2">
      <c r="A2210" t="str">
        <f>"20200111154108724"</f>
        <v>20200111154108724</v>
      </c>
      <c r="B2210" t="str">
        <f>"1578728468718757"</f>
        <v>1578728468718757</v>
      </c>
      <c r="C2210" t="s">
        <v>37</v>
      </c>
      <c r="D2210">
        <v>5.111942</v>
      </c>
      <c r="E2210">
        <v>0.51479049999999904</v>
      </c>
      <c r="F2210" t="s">
        <v>45</v>
      </c>
      <c r="G2210">
        <v>-421.25049999999999</v>
      </c>
      <c r="H2210" s="1">
        <v>3.8630199999999998E-6</v>
      </c>
      <c r="I2210">
        <v>213.24109999999999</v>
      </c>
      <c r="J2210">
        <v>-446.95350000000002</v>
      </c>
      <c r="K2210">
        <v>1.109488</v>
      </c>
      <c r="L2210">
        <v>214.0291</v>
      </c>
      <c r="M2210">
        <v>0.99996280000000004</v>
      </c>
      <c r="N2210">
        <v>0</v>
      </c>
      <c r="O2210">
        <v>8.2204180000000002E-3</v>
      </c>
      <c r="P2210">
        <v>0.99701010000000001</v>
      </c>
      <c r="Q2210">
        <v>7.6630740000000003E-2</v>
      </c>
      <c r="R2210">
        <v>9.9385989999999994E-3</v>
      </c>
      <c r="S2210">
        <v>3.01992799999999</v>
      </c>
      <c r="T2210">
        <v>-0.1284139</v>
      </c>
      <c r="U2210">
        <v>-9.0820310000000001E-2</v>
      </c>
      <c r="V2210">
        <v>-1.841755E-3</v>
      </c>
      <c r="W2210">
        <v>7.9266110000000001E-2</v>
      </c>
      <c r="X2210">
        <v>0.99685179999999995</v>
      </c>
      <c r="Y2210">
        <v>3.823385E-2</v>
      </c>
      <c r="Z2210">
        <v>-1.1616650000000001E-3</v>
      </c>
      <c r="AA2210">
        <v>0.99926809999999999</v>
      </c>
      <c r="AB2210">
        <v>38</v>
      </c>
      <c r="AC2210">
        <v>25.702999999999999</v>
      </c>
      <c r="AD2210">
        <v>-1.1094841369799999</v>
      </c>
      <c r="AE2210">
        <v>-0.78800000000001003</v>
      </c>
      <c r="AF2210">
        <v>0.99740681160446398</v>
      </c>
      <c r="AG2210">
        <v>-1.1094841369799999</v>
      </c>
      <c r="AH2210">
        <v>25.6479098535006</v>
      </c>
      <c r="AI2210">
        <v>92.475103349550906</v>
      </c>
      <c r="AJ2210">
        <v>87.772979587253204</v>
      </c>
      <c r="AK2210">
        <v>25.691264181650102</v>
      </c>
    </row>
    <row r="2211" spans="1:37" x14ac:dyDescent="0.2">
      <c r="A2211" t="str">
        <f>"20200111154108746"</f>
        <v>20200111154108746</v>
      </c>
      <c r="B2211" t="str">
        <f>"1578728468738277"</f>
        <v>1578728468738277</v>
      </c>
      <c r="C2211" t="s">
        <v>37</v>
      </c>
      <c r="D2211">
        <v>5.145473</v>
      </c>
      <c r="E2211">
        <v>0.51447029999999905</v>
      </c>
      <c r="F2211" t="s">
        <v>45</v>
      </c>
      <c r="G2211">
        <v>-421.16309999999999</v>
      </c>
      <c r="H2211" s="1">
        <v>3.8728679999999998E-6</v>
      </c>
      <c r="I2211">
        <v>213.3056</v>
      </c>
      <c r="J2211">
        <v>-446.5659</v>
      </c>
      <c r="K2211">
        <v>1.1094919999999999</v>
      </c>
      <c r="L2211">
        <v>214.03280000000001</v>
      </c>
      <c r="M2211">
        <v>0.999957599999999</v>
      </c>
      <c r="N2211">
        <v>0</v>
      </c>
      <c r="O2211">
        <v>8.8267989999999998E-3</v>
      </c>
      <c r="P2211">
        <v>0.99704190000000004</v>
      </c>
      <c r="Q2211">
        <v>7.5913120000000001E-2</v>
      </c>
      <c r="R2211">
        <v>1.204269E-2</v>
      </c>
      <c r="S2211">
        <v>3.019806</v>
      </c>
      <c r="T2211">
        <v>-0.12991</v>
      </c>
      <c r="U2211">
        <v>-8.4716799999999995E-2</v>
      </c>
      <c r="V2211">
        <v>-3.3449509999999901E-3</v>
      </c>
      <c r="W2211">
        <v>7.8562119999999999E-2</v>
      </c>
      <c r="X2211">
        <v>0.9969036</v>
      </c>
      <c r="Y2211">
        <v>3.6822769999999998E-2</v>
      </c>
      <c r="Z2211">
        <v>-1.171006E-3</v>
      </c>
      <c r="AA2211">
        <v>0.99932109999999996</v>
      </c>
      <c r="AB2211">
        <v>38</v>
      </c>
      <c r="AC2211">
        <v>25.402799999999999</v>
      </c>
      <c r="AD2211">
        <v>-1.1094881271319901</v>
      </c>
      <c r="AE2211">
        <v>-0.72720000000000995</v>
      </c>
      <c r="AF2211">
        <v>0.94958792281941296</v>
      </c>
      <c r="AG2211">
        <v>-1.1094881271319901</v>
      </c>
      <c r="AH2211">
        <v>25.347079585450601</v>
      </c>
      <c r="AI2211">
        <v>92.504586651883201</v>
      </c>
      <c r="AJ2211">
        <v>87.854508335944502</v>
      </c>
      <c r="AK2211">
        <v>25.389114294094199</v>
      </c>
    </row>
    <row r="2212" spans="1:37" x14ac:dyDescent="0.2">
      <c r="A2212" t="str">
        <f>"20200111154108779"</f>
        <v>20200111154108779</v>
      </c>
      <c r="B2212" t="str">
        <f>"1578728468768533"</f>
        <v>1578728468768533</v>
      </c>
      <c r="C2212" t="s">
        <v>37</v>
      </c>
      <c r="D2212">
        <v>5.1640739999999896</v>
      </c>
      <c r="E2212">
        <v>0.51458919999999997</v>
      </c>
      <c r="F2212" t="s">
        <v>45</v>
      </c>
      <c r="G2212">
        <v>-420.4511</v>
      </c>
      <c r="H2212" s="1">
        <v>3.993362E-6</v>
      </c>
      <c r="I2212">
        <v>213.37200000000001</v>
      </c>
      <c r="J2212">
        <v>-445.99239999999998</v>
      </c>
      <c r="K2212">
        <v>1.109491</v>
      </c>
      <c r="L2212">
        <v>214.0386</v>
      </c>
      <c r="M2212">
        <v>0.99994879999999997</v>
      </c>
      <c r="N2212">
        <v>0</v>
      </c>
      <c r="O2212">
        <v>9.7564330000000001E-3</v>
      </c>
      <c r="P2212">
        <v>0.99708439999999998</v>
      </c>
      <c r="Q2212">
        <v>7.4512229999999999E-2</v>
      </c>
      <c r="R2212">
        <v>1.644255E-2</v>
      </c>
      <c r="S2212">
        <v>3.0195310000000002</v>
      </c>
      <c r="T2212">
        <v>-0.12828510000000001</v>
      </c>
      <c r="U2212">
        <v>-7.6400759999999998E-2</v>
      </c>
      <c r="V2212">
        <v>-6.8210249999999997E-3</v>
      </c>
      <c r="W2212">
        <v>7.7180139999999994E-2</v>
      </c>
      <c r="X2212">
        <v>0.99699380000000004</v>
      </c>
      <c r="Y2212">
        <v>3.5005880000000003E-2</v>
      </c>
      <c r="Z2212">
        <v>-1.157419E-3</v>
      </c>
      <c r="AA2212">
        <v>0.99938640000000001</v>
      </c>
      <c r="AB2212">
        <v>39</v>
      </c>
      <c r="AC2212">
        <v>25.5412999999999</v>
      </c>
      <c r="AD2212">
        <v>-1.109487006638</v>
      </c>
      <c r="AE2212">
        <v>-0.66659999999998798</v>
      </c>
      <c r="AF2212">
        <v>0.91403759182077104</v>
      </c>
      <c r="AG2212">
        <v>-1.109487006638</v>
      </c>
      <c r="AH2212">
        <v>25.485523729008399</v>
      </c>
      <c r="AI2212">
        <v>92.491141353331003</v>
      </c>
      <c r="AJ2212">
        <v>87.945968874667301</v>
      </c>
      <c r="AK2212">
        <v>25.526032709353998</v>
      </c>
    </row>
    <row r="2213" spans="1:37" x14ac:dyDescent="0.2">
      <c r="A2213" t="str">
        <f>"20200111154108801"</f>
        <v>20200111154108801</v>
      </c>
      <c r="B2213" t="str">
        <f>"1578728468788053"</f>
        <v>1578728468788053</v>
      </c>
      <c r="C2213" t="s">
        <v>37</v>
      </c>
      <c r="D2213">
        <v>5.1740930000000001</v>
      </c>
      <c r="E2213">
        <v>0.51452429999999905</v>
      </c>
      <c r="F2213" t="s">
        <v>45</v>
      </c>
      <c r="G2213">
        <v>-419.8793</v>
      </c>
      <c r="H2213" s="1">
        <v>4.058025E-6</v>
      </c>
      <c r="I2213">
        <v>213.4742</v>
      </c>
      <c r="J2213">
        <v>-445.60289999999998</v>
      </c>
      <c r="K2213">
        <v>1.109499</v>
      </c>
      <c r="L2213">
        <v>214.0429</v>
      </c>
      <c r="M2213">
        <v>0.99994209999999994</v>
      </c>
      <c r="N2213">
        <v>0</v>
      </c>
      <c r="O2213">
        <v>1.0417360000000001E-2</v>
      </c>
      <c r="P2213">
        <v>0.99724590000000002</v>
      </c>
      <c r="Q2213">
        <v>7.1549390000000004E-2</v>
      </c>
      <c r="R2213">
        <v>1.9531079999999999E-2</v>
      </c>
      <c r="S2213">
        <v>3.0194399999999999</v>
      </c>
      <c r="T2213">
        <v>-0.12828909999999999</v>
      </c>
      <c r="U2213">
        <v>-6.5261840000000002E-2</v>
      </c>
      <c r="V2213">
        <v>-9.2500169999999993E-3</v>
      </c>
      <c r="W2213">
        <v>7.4229870000000003E-2</v>
      </c>
      <c r="X2213">
        <v>0.99719829999999998</v>
      </c>
      <c r="Y2213">
        <v>3.1984409999999998E-2</v>
      </c>
      <c r="Z2213">
        <v>-1.121454E-3</v>
      </c>
      <c r="AA2213">
        <v>0.99948780000000004</v>
      </c>
      <c r="AB2213">
        <v>39</v>
      </c>
      <c r="AC2213">
        <v>25.723599999999902</v>
      </c>
      <c r="AD2213">
        <v>-1.109494941975</v>
      </c>
      <c r="AE2213">
        <v>-0.56870000000000598</v>
      </c>
      <c r="AF2213">
        <v>0.83508934467999796</v>
      </c>
      <c r="AG2213">
        <v>-1.109494941975</v>
      </c>
      <c r="AH2213">
        <v>25.668551460493699</v>
      </c>
      <c r="AI2213">
        <v>92.473699396804406</v>
      </c>
      <c r="AJ2213">
        <v>88.136621586178606</v>
      </c>
      <c r="AK2213">
        <v>25.7060865811947</v>
      </c>
    </row>
    <row r="2214" spans="1:37" x14ac:dyDescent="0.2">
      <c r="A2214" t="str">
        <f>"20200111154108825"</f>
        <v>20200111154108825</v>
      </c>
      <c r="B2214" t="str">
        <f>"1578728468818263"</f>
        <v>1578728468818263</v>
      </c>
      <c r="C2214" t="s">
        <v>37</v>
      </c>
      <c r="D2214">
        <v>5.2378330000000002</v>
      </c>
      <c r="E2214">
        <v>0.51494220000000002</v>
      </c>
      <c r="F2214" t="s">
        <v>45</v>
      </c>
      <c r="G2214">
        <v>-420.86430000000001</v>
      </c>
      <c r="H2214" s="1">
        <v>3.9013799999999999E-6</v>
      </c>
      <c r="I2214">
        <v>213.58590000000001</v>
      </c>
      <c r="J2214">
        <v>-445.20679999999999</v>
      </c>
      <c r="K2214">
        <v>1.109507</v>
      </c>
      <c r="L2214">
        <v>214.04750000000001</v>
      </c>
      <c r="M2214">
        <v>0.99993460000000001</v>
      </c>
      <c r="N2214">
        <v>0</v>
      </c>
      <c r="O2214">
        <v>1.1115130000000001E-2</v>
      </c>
      <c r="P2214">
        <v>0.99747889999999995</v>
      </c>
      <c r="Q2214">
        <v>6.7597450000000003E-2</v>
      </c>
      <c r="R2214">
        <v>2.159465E-2</v>
      </c>
      <c r="S2214">
        <v>3.019104</v>
      </c>
      <c r="T2214">
        <v>-0.13540269999999999</v>
      </c>
      <c r="U2214">
        <v>-5.577087E-2</v>
      </c>
      <c r="V2214">
        <v>-1.06144E-2</v>
      </c>
      <c r="W2214">
        <v>7.0291989999999999E-2</v>
      </c>
      <c r="X2214">
        <v>0.99746999999999997</v>
      </c>
      <c r="Y2214">
        <v>2.9540790000000001E-2</v>
      </c>
      <c r="Z2214">
        <v>-1.160255E-3</v>
      </c>
      <c r="AA2214">
        <v>0.99956290000000003</v>
      </c>
      <c r="AB2214">
        <v>39</v>
      </c>
      <c r="AC2214">
        <v>24.342499999999902</v>
      </c>
      <c r="AD2214">
        <v>-1.1095030986200001</v>
      </c>
      <c r="AE2214">
        <v>-0.46160000000000401</v>
      </c>
      <c r="AF2214">
        <v>0.73062523907478005</v>
      </c>
      <c r="AG2214">
        <v>-1.1095030986200001</v>
      </c>
      <c r="AH2214">
        <v>24.285432285968898</v>
      </c>
      <c r="AI2214">
        <v>92.614612020664097</v>
      </c>
      <c r="AJ2214">
        <v>88.276780942315597</v>
      </c>
      <c r="AK2214">
        <v>24.321739898333799</v>
      </c>
    </row>
    <row r="2215" spans="1:37" x14ac:dyDescent="0.2">
      <c r="A2215" t="str">
        <f>"20200111154108846"</f>
        <v>20200111154108846</v>
      </c>
      <c r="B2215" t="str">
        <f>"1578728468838757"</f>
        <v>1578728468838757</v>
      </c>
      <c r="C2215" t="s">
        <v>37</v>
      </c>
      <c r="D2215">
        <v>5.2824780000000002</v>
      </c>
      <c r="E2215">
        <v>0.54883249999999995</v>
      </c>
      <c r="F2215" t="s">
        <v>38</v>
      </c>
      <c r="G2215">
        <v>-444.13319999999999</v>
      </c>
      <c r="H2215">
        <v>1.056775</v>
      </c>
      <c r="I2215">
        <v>214.0282</v>
      </c>
      <c r="J2215">
        <v>-444.81199999999899</v>
      </c>
      <c r="K2215">
        <v>1.109513</v>
      </c>
      <c r="L2215">
        <v>214.05240000000001</v>
      </c>
      <c r="M2215">
        <v>0.99992630000000005</v>
      </c>
      <c r="N2215">
        <v>0</v>
      </c>
      <c r="O2215">
        <v>1.1832209999999999E-2</v>
      </c>
      <c r="P2215">
        <v>0.99772929999999904</v>
      </c>
      <c r="Q2215">
        <v>6.3119049999999996E-2</v>
      </c>
      <c r="R2215">
        <v>2.350126E-2</v>
      </c>
      <c r="S2215">
        <v>3.0187680000000001</v>
      </c>
      <c r="T2215">
        <v>-0.1483295</v>
      </c>
      <c r="U2215">
        <v>-5.3482059999999998E-2</v>
      </c>
      <c r="V2215">
        <v>-1.180089E-2</v>
      </c>
      <c r="W2215">
        <v>6.5828199999999906E-2</v>
      </c>
      <c r="X2215">
        <v>0.99776119999999902</v>
      </c>
      <c r="Y2215">
        <v>2.949305E-2</v>
      </c>
      <c r="Z2215">
        <v>-1.305084E-3</v>
      </c>
      <c r="AA2215">
        <v>0.99956409999999996</v>
      </c>
      <c r="AB2215">
        <v>39</v>
      </c>
      <c r="AC2215">
        <v>0.67879999999996699</v>
      </c>
      <c r="AD2215">
        <v>-5.2737999999999903E-2</v>
      </c>
      <c r="AE2215">
        <v>-2.42000000000075E-2</v>
      </c>
      <c r="AF2215">
        <v>3.2036904058208603E-2</v>
      </c>
      <c r="AG2215">
        <v>-5.2737999999999903E-2</v>
      </c>
      <c r="AH2215">
        <v>0.67440049202783303</v>
      </c>
      <c r="AI2215">
        <v>94.466403832781694</v>
      </c>
      <c r="AJ2215">
        <v>87.280250352059696</v>
      </c>
      <c r="AK2215">
        <v>0.67721760425510102</v>
      </c>
    </row>
    <row r="2216" spans="1:37" x14ac:dyDescent="0.2">
      <c r="A2216" t="str">
        <f>"20200111154108869"</f>
        <v>20200111154108869</v>
      </c>
      <c r="B2216" t="str">
        <f>"1578728468858278"</f>
        <v>1578728468858278</v>
      </c>
      <c r="C2216" t="s">
        <v>37</v>
      </c>
      <c r="D2216">
        <v>5.192971</v>
      </c>
      <c r="E2216">
        <v>0.55315170000000002</v>
      </c>
      <c r="F2216" t="s">
        <v>38</v>
      </c>
      <c r="G2216">
        <v>-443.83190000000002</v>
      </c>
      <c r="H2216">
        <v>0.9554222</v>
      </c>
      <c r="I2216">
        <v>213.95009999999999</v>
      </c>
      <c r="J2216">
        <v>-444.41019999999997</v>
      </c>
      <c r="K2216">
        <v>1.1095250000000001</v>
      </c>
      <c r="L2216">
        <v>214.05770000000001</v>
      </c>
      <c r="M2216">
        <v>0.9999171</v>
      </c>
      <c r="N2216">
        <v>0</v>
      </c>
      <c r="O2216">
        <v>1.2578539999999999E-2</v>
      </c>
      <c r="P2216">
        <v>0.99772359999999904</v>
      </c>
      <c r="Q2216">
        <v>6.2375640000000003E-2</v>
      </c>
      <c r="R2216">
        <v>2.563288E-2</v>
      </c>
      <c r="S2216">
        <v>3.0445859999999998</v>
      </c>
      <c r="T2216">
        <v>-0.47866579999999898</v>
      </c>
      <c r="U2216">
        <v>-0.31742859999999901</v>
      </c>
      <c r="V2216">
        <v>-1.319028E-2</v>
      </c>
      <c r="W2216">
        <v>6.5098779999999995E-2</v>
      </c>
      <c r="X2216">
        <v>0.997791599999999</v>
      </c>
      <c r="Y2216">
        <v>0.1146539</v>
      </c>
      <c r="Z2216">
        <v>-1.0894650000000001E-2</v>
      </c>
      <c r="AA2216">
        <v>0.9933457</v>
      </c>
      <c r="AB2216">
        <v>39</v>
      </c>
      <c r="AC2216">
        <v>0.57829999999995596</v>
      </c>
      <c r="AD2216">
        <v>-0.15410280000000001</v>
      </c>
      <c r="AE2216">
        <v>-0.107600000000019</v>
      </c>
      <c r="AF2216">
        <v>0.107488413297637</v>
      </c>
      <c r="AG2216">
        <v>-0.15410280000000001</v>
      </c>
      <c r="AH2216">
        <v>0.53984922510142397</v>
      </c>
      <c r="AI2216">
        <v>105.64011163899799</v>
      </c>
      <c r="AJ2216">
        <v>78.739206478536602</v>
      </c>
      <c r="AK2216">
        <v>0.57161054731669503</v>
      </c>
    </row>
    <row r="2217" spans="1:37" x14ac:dyDescent="0.2">
      <c r="A2217" t="str">
        <f>"20200111154108893"</f>
        <v>20200111154108893</v>
      </c>
      <c r="B2217" t="str">
        <f>"1578728468888534"</f>
        <v>1578728468888534</v>
      </c>
      <c r="C2217" t="s">
        <v>37</v>
      </c>
      <c r="D2217">
        <v>5.2565019999999896</v>
      </c>
      <c r="E2217">
        <v>0.55319929999999995</v>
      </c>
      <c r="F2217" t="s">
        <v>38</v>
      </c>
      <c r="G2217">
        <v>-443.49430000000001</v>
      </c>
      <c r="H2217">
        <v>0.91814680000000004</v>
      </c>
      <c r="I2217">
        <v>213.9537</v>
      </c>
      <c r="J2217">
        <v>-443.99380000000002</v>
      </c>
      <c r="K2217">
        <v>1.1095469999999901</v>
      </c>
      <c r="L2217">
        <v>214.0635</v>
      </c>
      <c r="M2217">
        <v>0.99990699999999999</v>
      </c>
      <c r="N2217">
        <v>0</v>
      </c>
      <c r="O2217">
        <v>1.336356E-2</v>
      </c>
      <c r="P2217">
        <v>0.99754080000000001</v>
      </c>
      <c r="Q2217">
        <v>6.4432630000000005E-2</v>
      </c>
      <c r="R2217">
        <v>2.7586969999999999E-2</v>
      </c>
      <c r="S2217">
        <v>3.055634</v>
      </c>
      <c r="T2217">
        <v>-0.63861599999999996</v>
      </c>
      <c r="U2217">
        <v>-0.34573359999999997</v>
      </c>
      <c r="V2217">
        <v>-1.4370620000000001E-2</v>
      </c>
      <c r="W2217">
        <v>6.7170369999999993E-2</v>
      </c>
      <c r="X2217">
        <v>0.99763799999999903</v>
      </c>
      <c r="Y2217">
        <v>0.122791699999999</v>
      </c>
      <c r="Z2217">
        <v>-1.541029E-2</v>
      </c>
      <c r="AA2217">
        <v>0.99231279999999999</v>
      </c>
      <c r="AB2217">
        <v>40</v>
      </c>
      <c r="AC2217">
        <v>0.49950000000001099</v>
      </c>
      <c r="AD2217">
        <v>-0.19140019999999899</v>
      </c>
      <c r="AE2217">
        <v>-0.109800000000007</v>
      </c>
      <c r="AF2217">
        <v>0.102157024590861</v>
      </c>
      <c r="AG2217">
        <v>-0.19140019999999899</v>
      </c>
      <c r="AH2217">
        <v>0.43680797439568902</v>
      </c>
      <c r="AI2217">
        <v>113.106301624303</v>
      </c>
      <c r="AJ2217">
        <v>76.836727600765499</v>
      </c>
      <c r="AK2217">
        <v>0.48772051497652102</v>
      </c>
    </row>
    <row r="2218" spans="1:37" x14ac:dyDescent="0.2">
      <c r="A2218" t="str">
        <f>"20200111154108913"</f>
        <v>20200111154108913</v>
      </c>
      <c r="B2218" t="str">
        <f>"1578728468908055"</f>
        <v>1578728468908055</v>
      </c>
      <c r="C2218" t="s">
        <v>37</v>
      </c>
      <c r="D2218">
        <v>5.1929489999999996</v>
      </c>
      <c r="E2218">
        <v>0.55344380000000004</v>
      </c>
      <c r="F2218" t="s">
        <v>38</v>
      </c>
      <c r="G2218">
        <v>-443.13709999999998</v>
      </c>
      <c r="H2218">
        <v>0.92290450000000002</v>
      </c>
      <c r="I2218">
        <v>213.9682</v>
      </c>
      <c r="J2218">
        <v>-443.6232</v>
      </c>
      <c r="K2218">
        <v>1.109564</v>
      </c>
      <c r="L2218">
        <v>214.06899999999999</v>
      </c>
      <c r="M2218">
        <v>0.99989709999999998</v>
      </c>
      <c r="N2218">
        <v>0</v>
      </c>
      <c r="O2218">
        <v>1.407012E-2</v>
      </c>
      <c r="P2218">
        <v>0.99726809999999999</v>
      </c>
      <c r="Q2218">
        <v>6.780079E-2</v>
      </c>
      <c r="R2218">
        <v>2.9312209999999998E-2</v>
      </c>
      <c r="S2218">
        <v>3.0598749999999999</v>
      </c>
      <c r="T2218">
        <v>-0.66659179999999996</v>
      </c>
      <c r="U2218">
        <v>-0.34049990000000002</v>
      </c>
      <c r="V2218">
        <v>-1.5403109999999999E-2</v>
      </c>
      <c r="W2218">
        <v>7.0551219999999998E-2</v>
      </c>
      <c r="X2218">
        <v>0.99738919999999998</v>
      </c>
      <c r="Y2218">
        <v>0.12142849999999999</v>
      </c>
      <c r="Z2218">
        <v>-1.605554E-2</v>
      </c>
      <c r="AA2218">
        <v>0.99247030000000003</v>
      </c>
      <c r="AB2218">
        <v>40</v>
      </c>
      <c r="AC2218">
        <v>0.48610000000002102</v>
      </c>
      <c r="AD2218">
        <v>-0.18665950000000001</v>
      </c>
      <c r="AE2218">
        <v>-0.10080000000002</v>
      </c>
      <c r="AF2218">
        <v>9.4298350982577495E-2</v>
      </c>
      <c r="AG2218">
        <v>-0.18665950000000001</v>
      </c>
      <c r="AH2218">
        <v>0.42460603842884997</v>
      </c>
      <c r="AI2218">
        <v>113.22661620768901</v>
      </c>
      <c r="AJ2218">
        <v>77.478720917752895</v>
      </c>
      <c r="AK2218">
        <v>0.47331198570131899</v>
      </c>
    </row>
    <row r="2219" spans="1:37" x14ac:dyDescent="0.2">
      <c r="A2219" t="str">
        <f>"20200111154108936"</f>
        <v>20200111154108936</v>
      </c>
      <c r="B2219" t="str">
        <f>"1578728468928549"</f>
        <v>1578728468928549</v>
      </c>
      <c r="C2219" t="s">
        <v>37</v>
      </c>
      <c r="D2219">
        <v>5.2082600000000001</v>
      </c>
      <c r="E2219">
        <v>0.55367</v>
      </c>
      <c r="F2219" t="s">
        <v>38</v>
      </c>
      <c r="G2219">
        <v>-442.77809999999999</v>
      </c>
      <c r="H2219">
        <v>0.92696309999999904</v>
      </c>
      <c r="I2219">
        <v>213.97559999999999</v>
      </c>
      <c r="J2219">
        <v>-443.21789999999999</v>
      </c>
      <c r="K2219">
        <v>1.109578</v>
      </c>
      <c r="L2219">
        <v>214.0752</v>
      </c>
      <c r="M2219">
        <v>0.99988589999999999</v>
      </c>
      <c r="N2219">
        <v>0</v>
      </c>
      <c r="O2219">
        <v>1.48472E-2</v>
      </c>
      <c r="P2219">
        <v>0.99712500000000004</v>
      </c>
      <c r="Q2219">
        <v>6.9040619999999997E-2</v>
      </c>
      <c r="R2219">
        <v>3.1225889999999999E-2</v>
      </c>
      <c r="S2219">
        <v>3.0631710000000001</v>
      </c>
      <c r="T2219">
        <v>-0.66200439999999905</v>
      </c>
      <c r="U2219">
        <v>-0.33798220000000001</v>
      </c>
      <c r="V2219">
        <v>-1.6548259999999999E-2</v>
      </c>
      <c r="W2219">
        <v>7.1804960000000001E-2</v>
      </c>
      <c r="X2219">
        <v>0.99728139999999998</v>
      </c>
      <c r="Y2219">
        <v>0.1213101</v>
      </c>
      <c r="Z2219">
        <v>-1.608453E-2</v>
      </c>
      <c r="AA2219">
        <v>0.99248429999999999</v>
      </c>
      <c r="AB2219">
        <v>40</v>
      </c>
      <c r="AC2219">
        <v>0.43979999999999098</v>
      </c>
      <c r="AD2219">
        <v>-0.1826149</v>
      </c>
      <c r="AE2219">
        <v>-9.9600000000009403E-2</v>
      </c>
      <c r="AF2219">
        <v>9.1167488032518798E-2</v>
      </c>
      <c r="AG2219">
        <v>-0.1826149</v>
      </c>
      <c r="AH2219">
        <v>0.37652336171117301</v>
      </c>
      <c r="AI2219">
        <v>115.238338301917</v>
      </c>
      <c r="AJ2219">
        <v>76.388945591616306</v>
      </c>
      <c r="AK2219">
        <v>0.42828676665343401</v>
      </c>
    </row>
    <row r="2220" spans="1:37" x14ac:dyDescent="0.2">
      <c r="A2220" t="str">
        <f>"20200111154108956"</f>
        <v>20200111154108956</v>
      </c>
      <c r="B2220" t="str">
        <f>"1578728468948069"</f>
        <v>1578728468948069</v>
      </c>
      <c r="C2220" t="s">
        <v>37</v>
      </c>
      <c r="D2220">
        <v>5.1740649999999997</v>
      </c>
      <c r="E2220">
        <v>0.55367500000000003</v>
      </c>
      <c r="F2220" t="s">
        <v>38</v>
      </c>
      <c r="G2220">
        <v>-442.41559999999998</v>
      </c>
      <c r="H2220">
        <v>0.93641409999999903</v>
      </c>
      <c r="I2220">
        <v>213.98759999999999</v>
      </c>
      <c r="J2220">
        <v>-442.8381</v>
      </c>
      <c r="K2220">
        <v>1.109588</v>
      </c>
      <c r="L2220">
        <v>214.0813</v>
      </c>
      <c r="M2220">
        <v>0.99987490000000001</v>
      </c>
      <c r="N2220">
        <v>0</v>
      </c>
      <c r="O2220">
        <v>1.557211E-2</v>
      </c>
      <c r="P2220">
        <v>0.99712179999999995</v>
      </c>
      <c r="Q2220">
        <v>6.8678349999999999E-2</v>
      </c>
      <c r="R2220">
        <v>3.2118210000000001E-2</v>
      </c>
      <c r="S2220">
        <v>3.06488</v>
      </c>
      <c r="T2220">
        <v>-0.66157010000000005</v>
      </c>
      <c r="U2220">
        <v>-0.33404539999999999</v>
      </c>
      <c r="V2220">
        <v>-1.6718920000000002E-2</v>
      </c>
      <c r="W2220">
        <v>7.1458720000000003E-2</v>
      </c>
      <c r="X2220">
        <v>0.99730339999999995</v>
      </c>
      <c r="Y2220">
        <v>0.1207133</v>
      </c>
      <c r="Z2220">
        <v>-1.6157390000000001E-2</v>
      </c>
      <c r="AA2220">
        <v>0.99255590000000005</v>
      </c>
      <c r="AB2220">
        <v>40</v>
      </c>
      <c r="AC2220">
        <v>0.42250000000001298</v>
      </c>
      <c r="AD2220">
        <v>-0.17317389999999999</v>
      </c>
      <c r="AE2220">
        <v>-9.3700000000012496E-2</v>
      </c>
      <c r="AF2220">
        <v>8.6428499133216805E-2</v>
      </c>
      <c r="AG2220">
        <v>-0.17317389999999999</v>
      </c>
      <c r="AH2220">
        <v>0.36288295092685402</v>
      </c>
      <c r="AI2220">
        <v>114.902218742789</v>
      </c>
      <c r="AJ2220">
        <v>76.603348960108093</v>
      </c>
      <c r="AK2220">
        <v>0.41127013163736098</v>
      </c>
    </row>
    <row r="2221" spans="1:37" x14ac:dyDescent="0.2">
      <c r="A2221" t="str">
        <f>"20200111154108981"</f>
        <v>20200111154108981</v>
      </c>
      <c r="B2221" t="str">
        <f>"1578728468968565"</f>
        <v>1578728468968565</v>
      </c>
      <c r="C2221" t="s">
        <v>37</v>
      </c>
      <c r="D2221">
        <v>5.1916729999999998</v>
      </c>
      <c r="E2221">
        <v>0.55367619999999995</v>
      </c>
      <c r="F2221" t="s">
        <v>38</v>
      </c>
      <c r="G2221">
        <v>-442.05410000000001</v>
      </c>
      <c r="H2221">
        <v>0.93997199999999903</v>
      </c>
      <c r="I2221">
        <v>213.99590000000001</v>
      </c>
      <c r="J2221">
        <v>-442.41789999999997</v>
      </c>
      <c r="K2221">
        <v>1.109586</v>
      </c>
      <c r="L2221">
        <v>214.0883</v>
      </c>
      <c r="M2221">
        <v>0.99986219999999904</v>
      </c>
      <c r="N2221">
        <v>0</v>
      </c>
      <c r="O2221">
        <v>1.6359789999999999E-2</v>
      </c>
      <c r="P2221">
        <v>0.9971759</v>
      </c>
      <c r="Q2221">
        <v>6.8058579999999994E-2</v>
      </c>
      <c r="R2221">
        <v>3.175679E-2</v>
      </c>
      <c r="S2221">
        <v>3.064972</v>
      </c>
      <c r="T2221">
        <v>-0.66320440000000003</v>
      </c>
      <c r="U2221">
        <v>-0.3312988</v>
      </c>
      <c r="V2221">
        <v>-1.557065E-2</v>
      </c>
      <c r="W2221">
        <v>7.0859439999999996E-2</v>
      </c>
      <c r="X2221">
        <v>0.99736480000000005</v>
      </c>
      <c r="Y2221">
        <v>0.1205823</v>
      </c>
      <c r="Z2221">
        <v>-1.635079E-2</v>
      </c>
      <c r="AA2221">
        <v>0.99256869999999997</v>
      </c>
      <c r="AB2221">
        <v>40</v>
      </c>
      <c r="AC2221">
        <v>0.36379999999996898</v>
      </c>
      <c r="AD2221">
        <v>-0.16961399999999999</v>
      </c>
      <c r="AE2221">
        <v>-9.2399999999997803E-2</v>
      </c>
      <c r="AF2221">
        <v>8.1663857062805795E-2</v>
      </c>
      <c r="AG2221">
        <v>-0.16961399999999999</v>
      </c>
      <c r="AH2221">
        <v>0.30081435541373103</v>
      </c>
      <c r="AI2221">
        <v>118.552999011938</v>
      </c>
      <c r="AJ2221">
        <v>74.811635483337895</v>
      </c>
      <c r="AK2221">
        <v>0.35486218588256602</v>
      </c>
    </row>
    <row r="2222" spans="1:37" x14ac:dyDescent="0.2">
      <c r="A2222" t="str">
        <f>"20200111154109002"</f>
        <v>20200111154109002</v>
      </c>
      <c r="B2222" t="str">
        <f>"1578728468998821"</f>
        <v>1578728468998821</v>
      </c>
      <c r="C2222" t="s">
        <v>37</v>
      </c>
      <c r="D2222">
        <v>5.2780019999999999</v>
      </c>
      <c r="E2222">
        <v>0.55410499999999996</v>
      </c>
      <c r="F2222" t="s">
        <v>38</v>
      </c>
      <c r="G2222">
        <v>-441.68790000000001</v>
      </c>
      <c r="H2222">
        <v>0.951038099999999</v>
      </c>
      <c r="I2222">
        <v>214.00909999999999</v>
      </c>
      <c r="J2222">
        <v>-442.02330000000001</v>
      </c>
      <c r="K2222">
        <v>1.1095889999999999</v>
      </c>
      <c r="L2222">
        <v>214.09530000000001</v>
      </c>
      <c r="M2222">
        <v>0.99985009999999996</v>
      </c>
      <c r="N2222">
        <v>0</v>
      </c>
      <c r="O2222">
        <v>1.7079440000000001E-2</v>
      </c>
      <c r="P2222">
        <v>0.99733169999999904</v>
      </c>
      <c r="Q2222">
        <v>6.6244209999999998E-2</v>
      </c>
      <c r="R2222">
        <v>3.0680120000000002E-2</v>
      </c>
      <c r="S2222">
        <v>3.0644230000000001</v>
      </c>
      <c r="T2222">
        <v>-0.66557369999999905</v>
      </c>
      <c r="U2222">
        <v>-0.33189390000000002</v>
      </c>
      <c r="V2222">
        <v>-1.376991E-2</v>
      </c>
      <c r="W2222">
        <v>6.9065689999999999E-2</v>
      </c>
      <c r="X2222">
        <v>0.99751699999999999</v>
      </c>
      <c r="Y2222">
        <v>0.1214462</v>
      </c>
      <c r="Z2222">
        <v>-1.6657180000000001E-2</v>
      </c>
      <c r="AA2222">
        <v>0.99245819999999996</v>
      </c>
      <c r="AB2222">
        <v>40</v>
      </c>
      <c r="AC2222">
        <v>0.33539999999999198</v>
      </c>
      <c r="AD2222">
        <v>-0.15855089999999999</v>
      </c>
      <c r="AE2222">
        <v>-8.6200000000019303E-2</v>
      </c>
      <c r="AF2222">
        <v>7.5987410821482096E-2</v>
      </c>
      <c r="AG2222">
        <v>-0.15855089999999999</v>
      </c>
      <c r="AH2222">
        <v>0.276019590019283</v>
      </c>
      <c r="AI2222">
        <v>118.97837727026599</v>
      </c>
      <c r="AJ2222">
        <v>74.607920698737303</v>
      </c>
      <c r="AK2222">
        <v>0.32726027649040401</v>
      </c>
    </row>
    <row r="2223" spans="1:37" x14ac:dyDescent="0.2">
      <c r="A2223" t="str">
        <f>"20200111154109024"</f>
        <v>20200111154109024</v>
      </c>
      <c r="B2223" t="str">
        <f>"1578728469018341"</f>
        <v>1578728469018341</v>
      </c>
      <c r="C2223" t="s">
        <v>37</v>
      </c>
      <c r="D2223">
        <v>5.1559540000000004</v>
      </c>
      <c r="E2223">
        <v>0.57278289999999998</v>
      </c>
      <c r="F2223" t="s">
        <v>38</v>
      </c>
      <c r="G2223">
        <v>-441.3227</v>
      </c>
      <c r="H2223">
        <v>0.95637510000000003</v>
      </c>
      <c r="I2223">
        <v>214.01750000000001</v>
      </c>
      <c r="J2223">
        <v>-441.63400000000001</v>
      </c>
      <c r="K2223">
        <v>1.1095790000000001</v>
      </c>
      <c r="L2223">
        <v>214.10239999999999</v>
      </c>
      <c r="M2223">
        <v>0.99983809999999995</v>
      </c>
      <c r="N2223">
        <v>0</v>
      </c>
      <c r="O2223">
        <v>1.77678E-2</v>
      </c>
      <c r="P2223">
        <v>0.99748029999999999</v>
      </c>
      <c r="Q2223">
        <v>6.504045E-2</v>
      </c>
      <c r="R2223">
        <v>2.8332130000000001E-2</v>
      </c>
      <c r="S2223">
        <v>3.062897</v>
      </c>
      <c r="T2223">
        <v>-0.66993159999999996</v>
      </c>
      <c r="U2223">
        <v>-0.33845520000000001</v>
      </c>
      <c r="V2223">
        <v>-1.07294E-2</v>
      </c>
      <c r="W2223">
        <v>6.7884949999999999E-2</v>
      </c>
      <c r="X2223">
        <v>0.99763550000000001</v>
      </c>
      <c r="Y2223">
        <v>0.1241593</v>
      </c>
      <c r="Z2223">
        <v>-1.721081E-2</v>
      </c>
      <c r="AA2223">
        <v>0.99211299999999902</v>
      </c>
      <c r="AB2223">
        <v>40</v>
      </c>
      <c r="AC2223">
        <v>0.31130000000001601</v>
      </c>
      <c r="AD2223">
        <v>-0.1532039</v>
      </c>
      <c r="AE2223">
        <v>-8.4899999999976203E-2</v>
      </c>
      <c r="AF2223">
        <v>7.3784131024168004E-2</v>
      </c>
      <c r="AG2223">
        <v>-0.1532039</v>
      </c>
      <c r="AH2223">
        <v>0.25276093246282699</v>
      </c>
      <c r="AI2223">
        <v>120.19248788199501</v>
      </c>
      <c r="AJ2223">
        <v>73.726803661181407</v>
      </c>
      <c r="AK2223">
        <v>0.30463686898614101</v>
      </c>
    </row>
    <row r="2224" spans="1:37" x14ac:dyDescent="0.2">
      <c r="A2224" t="str">
        <f>"20200111154109047"</f>
        <v>20200111154109047</v>
      </c>
      <c r="B2224" t="str">
        <f>"1578728469038837"</f>
        <v>1578728469038837</v>
      </c>
      <c r="C2224" t="s">
        <v>37</v>
      </c>
      <c r="D2224">
        <v>5.1311679999999997</v>
      </c>
      <c r="E2224">
        <v>0.57202030000000004</v>
      </c>
      <c r="F2224" t="s">
        <v>38</v>
      </c>
      <c r="G2224">
        <v>-440.62709999999998</v>
      </c>
      <c r="H2224">
        <v>0.86434249999999901</v>
      </c>
      <c r="I2224">
        <v>213.9402</v>
      </c>
      <c r="J2224">
        <v>-441.19459999999998</v>
      </c>
      <c r="K2224">
        <v>1.1095680000000001</v>
      </c>
      <c r="L2224">
        <v>214.11070000000001</v>
      </c>
      <c r="M2224">
        <v>0.9998243</v>
      </c>
      <c r="N2224">
        <v>0</v>
      </c>
      <c r="O2224">
        <v>1.8519509999999999E-2</v>
      </c>
      <c r="P2224">
        <v>0.99752240000000003</v>
      </c>
      <c r="Q2224">
        <v>6.5335409999999997E-2</v>
      </c>
      <c r="R2224">
        <v>2.608593E-2</v>
      </c>
      <c r="S2224">
        <v>3.0703429999999998</v>
      </c>
      <c r="T2224">
        <v>-0.74780040000000003</v>
      </c>
      <c r="U2224">
        <v>-0.4933167</v>
      </c>
      <c r="V2224">
        <v>-7.7322110000000001E-3</v>
      </c>
      <c r="W2224">
        <v>6.8205130000000003E-2</v>
      </c>
      <c r="X2224">
        <v>0.99764140000000001</v>
      </c>
      <c r="Y2224">
        <v>0.1714746</v>
      </c>
      <c r="Z2224">
        <v>-2.4875209999999998E-2</v>
      </c>
      <c r="AA2224">
        <v>0.98487440000000004</v>
      </c>
      <c r="AB2224">
        <v>41</v>
      </c>
      <c r="AC2224">
        <v>0.56749999999999501</v>
      </c>
      <c r="AD2224">
        <v>-0.24522550000000001</v>
      </c>
      <c r="AE2224">
        <v>-0.17050000000000401</v>
      </c>
      <c r="AF2224">
        <v>0.15451728170554299</v>
      </c>
      <c r="AG2224">
        <v>-0.24522550000000001</v>
      </c>
      <c r="AH2224">
        <v>0.48174005611966397</v>
      </c>
      <c r="AI2224">
        <v>115.860287782299</v>
      </c>
      <c r="AJ2224">
        <v>72.216447334589702</v>
      </c>
      <c r="AK2224">
        <v>0.56221403207861798</v>
      </c>
    </row>
    <row r="2225" spans="1:37" x14ac:dyDescent="0.2">
      <c r="A2225" t="str">
        <f>"20200111154109069"</f>
        <v>20200111154109069</v>
      </c>
      <c r="B2225" t="str">
        <f>"1578728469058357"</f>
        <v>1578728469058357</v>
      </c>
      <c r="C2225" t="s">
        <v>37</v>
      </c>
      <c r="D2225">
        <v>5.1874260000000003</v>
      </c>
      <c r="E2225">
        <v>0.57391239999999999</v>
      </c>
      <c r="F2225" t="s">
        <v>38</v>
      </c>
      <c r="G2225">
        <v>-440.25409999999999</v>
      </c>
      <c r="H2225">
        <v>0.88050249999999997</v>
      </c>
      <c r="I2225">
        <v>213.95920000000001</v>
      </c>
      <c r="J2225">
        <v>-440.79829999999998</v>
      </c>
      <c r="K2225">
        <v>1.10955</v>
      </c>
      <c r="L2225">
        <v>214.11850000000001</v>
      </c>
      <c r="M2225">
        <v>0.99981169999999997</v>
      </c>
      <c r="N2225">
        <v>0</v>
      </c>
      <c r="O2225">
        <v>1.9179249999999998E-2</v>
      </c>
      <c r="P2225">
        <v>0.99755640000000001</v>
      </c>
      <c r="Q2225">
        <v>6.5838499999999994E-2</v>
      </c>
      <c r="R2225">
        <v>2.3370970000000001E-2</v>
      </c>
      <c r="S2225">
        <v>3.0693359999999998</v>
      </c>
      <c r="T2225">
        <v>-0.7475212</v>
      </c>
      <c r="U2225">
        <v>-0.4937897</v>
      </c>
      <c r="V2225">
        <v>-4.3582619999999999E-3</v>
      </c>
      <c r="W2225">
        <v>6.8732210000000002E-2</v>
      </c>
      <c r="X2225">
        <v>0.997625599999999</v>
      </c>
      <c r="Y2225">
        <v>0.1722813</v>
      </c>
      <c r="Z2225">
        <v>-2.5127440000000001E-2</v>
      </c>
      <c r="AA2225">
        <v>0.98472729999999997</v>
      </c>
      <c r="AB2225">
        <v>41</v>
      </c>
      <c r="AC2225">
        <v>0.54419999999998903</v>
      </c>
      <c r="AD2225">
        <v>-0.22904749999999999</v>
      </c>
      <c r="AE2225">
        <v>-0.159300000000001</v>
      </c>
      <c r="AF2225">
        <v>0.14590187844438501</v>
      </c>
      <c r="AG2225">
        <v>-0.22904749999999999</v>
      </c>
      <c r="AH2225">
        <v>0.465148286860877</v>
      </c>
      <c r="AI2225">
        <v>115.16634019903699</v>
      </c>
      <c r="AJ2225">
        <v>72.585056579611802</v>
      </c>
      <c r="AK2225">
        <v>0.53862142935410495</v>
      </c>
    </row>
    <row r="2226" spans="1:37" x14ac:dyDescent="0.2">
      <c r="A2226" t="str">
        <f>"20200111154109092"</f>
        <v>20200111154109092</v>
      </c>
      <c r="B2226" t="str">
        <f>"1578728469088613"</f>
        <v>1578728469088613</v>
      </c>
      <c r="C2226" t="s">
        <v>37</v>
      </c>
      <c r="D2226">
        <v>5.1489269999999996</v>
      </c>
      <c r="E2226">
        <v>0.57598570000000004</v>
      </c>
      <c r="F2226" t="s">
        <v>38</v>
      </c>
      <c r="G2226">
        <v>-439.88130000000001</v>
      </c>
      <c r="H2226">
        <v>0.890607699999999</v>
      </c>
      <c r="I2226">
        <v>213.96379999999999</v>
      </c>
      <c r="J2226">
        <v>-440.3766</v>
      </c>
      <c r="K2226">
        <v>1.109534</v>
      </c>
      <c r="L2226">
        <v>214.12700000000001</v>
      </c>
      <c r="M2226">
        <v>0.99979850000000003</v>
      </c>
      <c r="N2226">
        <v>0</v>
      </c>
      <c r="O2226">
        <v>1.9861460000000001E-2</v>
      </c>
      <c r="P2226">
        <v>0.99759619999999904</v>
      </c>
      <c r="Q2226">
        <v>6.5611409999999995E-2</v>
      </c>
      <c r="R2226">
        <v>2.2287979999999999E-2</v>
      </c>
      <c r="S2226">
        <v>3.067841</v>
      </c>
      <c r="T2226">
        <v>-0.73242759999999996</v>
      </c>
      <c r="U2226">
        <v>-0.51692199999999999</v>
      </c>
      <c r="V2226">
        <v>-2.592001E-3</v>
      </c>
      <c r="W2226">
        <v>6.8527179999999993E-2</v>
      </c>
      <c r="X2226">
        <v>0.99764589999999997</v>
      </c>
      <c r="Y2226">
        <v>0.18023259999999999</v>
      </c>
      <c r="Z2226">
        <v>-2.5720409999999999E-2</v>
      </c>
      <c r="AA2226">
        <v>0.98328769999999999</v>
      </c>
      <c r="AB2226">
        <v>41</v>
      </c>
      <c r="AC2226">
        <v>0.49529999999998597</v>
      </c>
      <c r="AD2226">
        <v>-0.21892629999999999</v>
      </c>
      <c r="AE2226">
        <v>-0.163200000000017</v>
      </c>
      <c r="AF2226">
        <v>0.14708366871547299</v>
      </c>
      <c r="AG2226">
        <v>-0.21892629999999999</v>
      </c>
      <c r="AH2226">
        <v>0.41824985875752602</v>
      </c>
      <c r="AI2226">
        <v>116.279743231431</v>
      </c>
      <c r="AJ2226">
        <v>70.625031793246904</v>
      </c>
      <c r="AK2226">
        <v>0.49446463451412098</v>
      </c>
    </row>
    <row r="2227" spans="1:37" x14ac:dyDescent="0.2">
      <c r="A2227" t="str">
        <f>"20200111154109113"</f>
        <v>20200111154109113</v>
      </c>
      <c r="B2227" t="str">
        <f>"1578728469108133"</f>
        <v>1578728469108133</v>
      </c>
      <c r="C2227" t="s">
        <v>37</v>
      </c>
      <c r="D2227">
        <v>5.062246</v>
      </c>
      <c r="E2227">
        <v>0.57523380000000002</v>
      </c>
      <c r="F2227" t="s">
        <v>38</v>
      </c>
      <c r="G2227">
        <v>-439.50380000000001</v>
      </c>
      <c r="H2227">
        <v>0.90917729999999997</v>
      </c>
      <c r="I2227">
        <v>213.97389999999999</v>
      </c>
      <c r="J2227">
        <v>-439.99439999999998</v>
      </c>
      <c r="K2227">
        <v>1.109507</v>
      </c>
      <c r="L2227">
        <v>214.13489999999999</v>
      </c>
      <c r="M2227">
        <v>0.99978639999999996</v>
      </c>
      <c r="N2227">
        <v>0</v>
      </c>
      <c r="O2227">
        <v>2.0461239999999999E-2</v>
      </c>
      <c r="P2227">
        <v>0.99769789999999903</v>
      </c>
      <c r="Q2227">
        <v>6.4075480000000004E-2</v>
      </c>
      <c r="R2227">
        <v>2.2217509999999999E-2</v>
      </c>
      <c r="S2227">
        <v>3.0655209999999999</v>
      </c>
      <c r="T2227">
        <v>-0.70374950000000003</v>
      </c>
      <c r="U2227">
        <v>-0.53703310000000004</v>
      </c>
      <c r="V2227">
        <v>-1.9171589999999899E-3</v>
      </c>
      <c r="W2227">
        <v>6.7008620000000005E-2</v>
      </c>
      <c r="X2227">
        <v>0.99775059999999904</v>
      </c>
      <c r="Y2227">
        <v>0.18742210000000001</v>
      </c>
      <c r="Z2227">
        <v>-2.568747E-2</v>
      </c>
      <c r="AA2227">
        <v>0.98194349999999997</v>
      </c>
      <c r="AB2227">
        <v>41</v>
      </c>
      <c r="AC2227">
        <v>0.490599999999972</v>
      </c>
      <c r="AD2227">
        <v>-0.200329699999999</v>
      </c>
      <c r="AE2227">
        <v>-0.161000000000001</v>
      </c>
      <c r="AF2227">
        <v>0.148631518738813</v>
      </c>
      <c r="AG2227">
        <v>-0.200329699999999</v>
      </c>
      <c r="AH2227">
        <v>0.42346062918834398</v>
      </c>
      <c r="AI2227">
        <v>114.05502142554801</v>
      </c>
      <c r="AJ2227">
        <v>70.659307610383706</v>
      </c>
      <c r="AK2227">
        <v>0.49146945127574798</v>
      </c>
    </row>
    <row r="2228" spans="1:37" x14ac:dyDescent="0.2">
      <c r="A2228" t="str">
        <f>"20200111154109138"</f>
        <v>20200111154109138</v>
      </c>
      <c r="B2228" t="str">
        <f>"1578728469128629"</f>
        <v>1578728469128629</v>
      </c>
      <c r="C2228" t="s">
        <v>37</v>
      </c>
      <c r="D2228">
        <v>5.0555110000000001</v>
      </c>
      <c r="E2228">
        <v>0.57457950000000002</v>
      </c>
      <c r="F2228" t="s">
        <v>38</v>
      </c>
      <c r="G2228">
        <v>-439.13279999999997</v>
      </c>
      <c r="H2228">
        <v>0.90932019999999902</v>
      </c>
      <c r="I2228">
        <v>213.98500000000001</v>
      </c>
      <c r="J2228">
        <v>-439.52510000000001</v>
      </c>
      <c r="K2228">
        <v>1.10948</v>
      </c>
      <c r="L2228">
        <v>214.14500000000001</v>
      </c>
      <c r="M2228">
        <v>0.99977150000000004</v>
      </c>
      <c r="N2228">
        <v>0</v>
      </c>
      <c r="O2228">
        <v>2.117134E-2</v>
      </c>
      <c r="P2228">
        <v>0.99781690000000001</v>
      </c>
      <c r="Q2228">
        <v>6.2016540000000002E-2</v>
      </c>
      <c r="R2228">
        <v>2.270177E-2</v>
      </c>
      <c r="S2228">
        <v>3.0644840000000002</v>
      </c>
      <c r="T2228">
        <v>-0.7121094</v>
      </c>
      <c r="U2228">
        <v>-0.5320435</v>
      </c>
      <c r="V2228">
        <v>-1.6837860000000001E-3</v>
      </c>
      <c r="W2228">
        <v>6.4971260000000003E-2</v>
      </c>
      <c r="X2228">
        <v>0.99788569999999999</v>
      </c>
      <c r="Y2228">
        <v>0.1864999</v>
      </c>
      <c r="Z2228">
        <v>-2.605362E-2</v>
      </c>
      <c r="AA2228">
        <v>0.98210949999999997</v>
      </c>
      <c r="AB2228">
        <v>41</v>
      </c>
      <c r="AC2228">
        <v>0.39230000000003401</v>
      </c>
      <c r="AD2228">
        <v>-0.2001598</v>
      </c>
      <c r="AE2228">
        <v>-0.15999999999999601</v>
      </c>
      <c r="AF2228">
        <v>0.13756533466627899</v>
      </c>
      <c r="AG2228">
        <v>-0.2001598</v>
      </c>
      <c r="AH2228">
        <v>0.317875380084644</v>
      </c>
      <c r="AI2228">
        <v>120.023027684132</v>
      </c>
      <c r="AJ2228">
        <v>66.598728657842003</v>
      </c>
      <c r="AK2228">
        <v>0.40004115301033999</v>
      </c>
    </row>
    <row r="2229" spans="1:37" x14ac:dyDescent="0.2">
      <c r="A2229" t="str">
        <f>"20200111154109158"</f>
        <v>20200111154109158</v>
      </c>
      <c r="B2229" t="str">
        <f>"1578728469148149"</f>
        <v>1578728469148149</v>
      </c>
      <c r="C2229" t="s">
        <v>37</v>
      </c>
      <c r="D2229">
        <v>5.0181370000000003</v>
      </c>
      <c r="E2229">
        <v>0.57426549999999998</v>
      </c>
      <c r="F2229" t="s">
        <v>38</v>
      </c>
      <c r="G2229">
        <v>-438.75349999999997</v>
      </c>
      <c r="H2229">
        <v>0.9289366</v>
      </c>
      <c r="I2229">
        <v>214.01240000000001</v>
      </c>
      <c r="J2229">
        <v>-439.14109999999999</v>
      </c>
      <c r="K2229">
        <v>1.1094569999999999</v>
      </c>
      <c r="L2229">
        <v>214.15350000000001</v>
      </c>
      <c r="M2229">
        <v>0.99975959999999997</v>
      </c>
      <c r="N2229">
        <v>0</v>
      </c>
      <c r="O2229">
        <v>2.1727360000000001E-2</v>
      </c>
      <c r="P2229">
        <v>0.99782590000000004</v>
      </c>
      <c r="Q2229">
        <v>6.1440050000000003E-2</v>
      </c>
      <c r="R2229">
        <v>2.3847230000000001E-2</v>
      </c>
      <c r="S2229">
        <v>3.06311</v>
      </c>
      <c r="T2229">
        <v>-0.71664810000000001</v>
      </c>
      <c r="U2229">
        <v>-0.52618409999999904</v>
      </c>
      <c r="V2229">
        <v>-2.270565E-3</v>
      </c>
      <c r="W2229">
        <v>6.4410700000000001E-2</v>
      </c>
      <c r="X2229">
        <v>0.9979209</v>
      </c>
      <c r="Y2229">
        <v>0.18523919999999999</v>
      </c>
      <c r="Z2229">
        <v>-2.6213819999999999E-2</v>
      </c>
      <c r="AA2229">
        <v>0.98234379999999999</v>
      </c>
      <c r="AB2229">
        <v>42</v>
      </c>
      <c r="AC2229">
        <v>0.38760000000001998</v>
      </c>
      <c r="AD2229">
        <v>-0.180520399999999</v>
      </c>
      <c r="AE2229">
        <v>-0.14109999999999401</v>
      </c>
      <c r="AF2229">
        <v>0.12545899366181101</v>
      </c>
      <c r="AG2229">
        <v>-0.180520399999999</v>
      </c>
      <c r="AH2229">
        <v>0.32264609871173</v>
      </c>
      <c r="AI2229">
        <v>117.54043090171599</v>
      </c>
      <c r="AJ2229">
        <v>68.751729518479493</v>
      </c>
      <c r="AK2229">
        <v>0.39042038742961899</v>
      </c>
    </row>
    <row r="2230" spans="1:37" x14ac:dyDescent="0.2">
      <c r="A2230" t="str">
        <f>"20200111154109182"</f>
        <v>20200111154109182</v>
      </c>
      <c r="B2230" t="str">
        <f>"1578728469178405"</f>
        <v>1578728469178405</v>
      </c>
      <c r="C2230" t="s">
        <v>37</v>
      </c>
      <c r="D2230">
        <v>5.0004479999999996</v>
      </c>
      <c r="E2230">
        <v>0.57387690000000002</v>
      </c>
      <c r="F2230" t="s">
        <v>38</v>
      </c>
      <c r="G2230">
        <v>-438.37900000000002</v>
      </c>
      <c r="H2230">
        <v>0.93093570000000003</v>
      </c>
      <c r="I2230">
        <v>214.02379999999999</v>
      </c>
      <c r="J2230">
        <v>-438.70850000000002</v>
      </c>
      <c r="K2230">
        <v>1.109432</v>
      </c>
      <c r="L2230">
        <v>214.16329999999999</v>
      </c>
      <c r="M2230">
        <v>0.99974640000000004</v>
      </c>
      <c r="N2230">
        <v>0</v>
      </c>
      <c r="O2230">
        <v>2.2320309999999999E-2</v>
      </c>
      <c r="P2230">
        <v>0.99779499999999999</v>
      </c>
      <c r="Q2230">
        <v>6.1694899999999997E-2</v>
      </c>
      <c r="R2230">
        <v>2.4468759999999999E-2</v>
      </c>
      <c r="S2230">
        <v>3.0631409999999999</v>
      </c>
      <c r="T2230">
        <v>-0.71770449999999997</v>
      </c>
      <c r="U2230">
        <v>-0.52011109999999905</v>
      </c>
      <c r="V2230">
        <v>-2.2976479999999998E-3</v>
      </c>
      <c r="W2230">
        <v>6.4684800000000001E-2</v>
      </c>
      <c r="X2230">
        <v>0.99790309999999904</v>
      </c>
      <c r="Y2230">
        <v>0.18392809999999901</v>
      </c>
      <c r="Z2230">
        <v>-2.62411E-2</v>
      </c>
      <c r="AA2230">
        <v>0.98258939999999995</v>
      </c>
      <c r="AB2230">
        <v>42</v>
      </c>
      <c r="AC2230">
        <v>0.32949999999999502</v>
      </c>
      <c r="AD2230">
        <v>-0.178496299999999</v>
      </c>
      <c r="AE2230">
        <v>-0.13949999999999799</v>
      </c>
      <c r="AF2230">
        <v>0.117563619395602</v>
      </c>
      <c r="AG2230">
        <v>-0.178496299999999</v>
      </c>
      <c r="AH2230">
        <v>0.26128287118493698</v>
      </c>
      <c r="AI2230">
        <v>121.92268082356</v>
      </c>
      <c r="AJ2230">
        <v>65.774748055981604</v>
      </c>
      <c r="AK2230">
        <v>0.33756610092503098</v>
      </c>
    </row>
    <row r="2231" spans="1:37" x14ac:dyDescent="0.2">
      <c r="A2231" t="str">
        <f>"20200111154109203"</f>
        <v>20200111154109203</v>
      </c>
      <c r="B2231" t="str">
        <f>"1578728469198902"</f>
        <v>1578728469198902</v>
      </c>
      <c r="C2231" t="s">
        <v>37</v>
      </c>
      <c r="D2231">
        <v>4.9609230000000002</v>
      </c>
      <c r="E2231">
        <v>0.57343449999999996</v>
      </c>
      <c r="F2231" t="s">
        <v>38</v>
      </c>
      <c r="G2231">
        <v>-437.99889999999999</v>
      </c>
      <c r="H2231">
        <v>0.94385779999999997</v>
      </c>
      <c r="I2231">
        <v>214.04390000000001</v>
      </c>
      <c r="J2231">
        <v>-438.29809999999998</v>
      </c>
      <c r="K2231">
        <v>1.1094029999999999</v>
      </c>
      <c r="L2231">
        <v>214.1728</v>
      </c>
      <c r="M2231">
        <v>0.99973459999999903</v>
      </c>
      <c r="N2231">
        <v>0</v>
      </c>
      <c r="O2231">
        <v>2.2840240000000001E-2</v>
      </c>
      <c r="P2231">
        <v>0.99781039999999999</v>
      </c>
      <c r="Q2231">
        <v>6.105638E-2</v>
      </c>
      <c r="R2231">
        <v>2.5433339999999999E-2</v>
      </c>
      <c r="S2231">
        <v>3.0633849999999998</v>
      </c>
      <c r="T2231">
        <v>-0.71484380000000003</v>
      </c>
      <c r="U2231">
        <v>-0.51477050000000002</v>
      </c>
      <c r="V2231">
        <v>-2.7369550000000001E-3</v>
      </c>
      <c r="W2231">
        <v>6.4063819999999994E-2</v>
      </c>
      <c r="X2231">
        <v>0.997942</v>
      </c>
      <c r="Y2231">
        <v>0.18281729999999999</v>
      </c>
      <c r="Z2231">
        <v>-2.6132760000000001E-2</v>
      </c>
      <c r="AA2231">
        <v>0.98279950000000005</v>
      </c>
      <c r="AB2231">
        <v>42</v>
      </c>
      <c r="AC2231">
        <v>0.29919999999998398</v>
      </c>
      <c r="AD2231">
        <v>-0.1655452</v>
      </c>
      <c r="AE2231">
        <v>-0.128899999999987</v>
      </c>
      <c r="AF2231">
        <v>0.107851893242083</v>
      </c>
      <c r="AG2231">
        <v>-0.1655452</v>
      </c>
      <c r="AH2231">
        <v>0.23539639833673801</v>
      </c>
      <c r="AI2231">
        <v>122.59279085384</v>
      </c>
      <c r="AJ2231">
        <v>65.384103925059804</v>
      </c>
      <c r="AK2231">
        <v>0.30732508597387598</v>
      </c>
    </row>
    <row r="2232" spans="1:37" x14ac:dyDescent="0.2">
      <c r="A2232" t="str">
        <f>"20200111154109225"</f>
        <v>20200111154109225</v>
      </c>
      <c r="B2232" t="str">
        <f>"1578728469218421"</f>
        <v>1578728469218421</v>
      </c>
      <c r="C2232" t="s">
        <v>37</v>
      </c>
      <c r="D2232">
        <v>4.937932</v>
      </c>
      <c r="E2232">
        <v>0.5733587</v>
      </c>
      <c r="F2232" t="s">
        <v>38</v>
      </c>
      <c r="G2232">
        <v>-437.2713</v>
      </c>
      <c r="H2232">
        <v>0.86959240000000004</v>
      </c>
      <c r="I2232">
        <v>214.00239999999999</v>
      </c>
      <c r="J2232">
        <v>-437.8972</v>
      </c>
      <c r="K2232">
        <v>1.1093489999999999</v>
      </c>
      <c r="L2232">
        <v>214.18219999999999</v>
      </c>
      <c r="M2232">
        <v>0.9997241</v>
      </c>
      <c r="N2232">
        <v>0</v>
      </c>
      <c r="O2232">
        <v>2.3297740000000001E-2</v>
      </c>
      <c r="P2232">
        <v>0.99781980000000003</v>
      </c>
      <c r="Q2232">
        <v>6.0356519999999997E-2</v>
      </c>
      <c r="R2232">
        <v>2.6702690000000001E-2</v>
      </c>
      <c r="S2232">
        <v>3.0633240000000002</v>
      </c>
      <c r="T2232">
        <v>-0.71544969999999997</v>
      </c>
      <c r="U2232">
        <v>-0.50865169999999904</v>
      </c>
      <c r="V2232">
        <v>-3.542257E-3</v>
      </c>
      <c r="W2232">
        <v>6.3381430000000002E-2</v>
      </c>
      <c r="X2232">
        <v>0.99798310000000001</v>
      </c>
      <c r="Y2232">
        <v>0.18137439999999999</v>
      </c>
      <c r="Z2232">
        <v>-2.609858E-2</v>
      </c>
      <c r="AA2232">
        <v>0.98306779999999905</v>
      </c>
      <c r="AB2232">
        <v>42</v>
      </c>
      <c r="AC2232">
        <v>0.62590000000000101</v>
      </c>
      <c r="AD2232">
        <v>-0.23975659999999899</v>
      </c>
      <c r="AE2232">
        <v>-0.17979999999999999</v>
      </c>
      <c r="AF2232">
        <v>0.17113608729989599</v>
      </c>
      <c r="AG2232">
        <v>-0.23975659999999899</v>
      </c>
      <c r="AH2232">
        <v>0.54734887196192905</v>
      </c>
      <c r="AI2232">
        <v>112.68852594177901</v>
      </c>
      <c r="AJ2232">
        <v>72.637434353682195</v>
      </c>
      <c r="AK2232">
        <v>0.62157990255306195</v>
      </c>
    </row>
    <row r="2233" spans="1:37" x14ac:dyDescent="0.2">
      <c r="A2233" t="str">
        <f>"20200111154109247"</f>
        <v>20200111154109247</v>
      </c>
      <c r="B2233" t="str">
        <f>"1578728469238918"</f>
        <v>1578728469238918</v>
      </c>
      <c r="C2233" t="s">
        <v>37</v>
      </c>
      <c r="D2233">
        <v>4.9417039999999997</v>
      </c>
      <c r="E2233">
        <v>0.57333889999999998</v>
      </c>
      <c r="F2233" t="s">
        <v>38</v>
      </c>
      <c r="G2233">
        <v>-436.8904</v>
      </c>
      <c r="H2233">
        <v>0.87366999999999995</v>
      </c>
      <c r="I2233">
        <v>214.0154</v>
      </c>
      <c r="J2233">
        <v>-437.46780000000001</v>
      </c>
      <c r="K2233">
        <v>1.1093040000000001</v>
      </c>
      <c r="L2233">
        <v>214.1925</v>
      </c>
      <c r="M2233">
        <v>0.99971369999999904</v>
      </c>
      <c r="N2233">
        <v>0</v>
      </c>
      <c r="O2233">
        <v>2.37370999999999E-2</v>
      </c>
      <c r="P2233">
        <v>0.99781280000000006</v>
      </c>
      <c r="Q2233">
        <v>5.9850750000000001E-2</v>
      </c>
      <c r="R2233">
        <v>2.8073190000000001E-2</v>
      </c>
      <c r="S2233">
        <v>3.0634769999999998</v>
      </c>
      <c r="T2233">
        <v>-0.71724670000000001</v>
      </c>
      <c r="U2233">
        <v>-0.50570680000000001</v>
      </c>
      <c r="V2233">
        <v>-4.467019E-3</v>
      </c>
      <c r="W2233">
        <v>6.2893649999999995E-2</v>
      </c>
      <c r="X2233">
        <v>0.99801019999999896</v>
      </c>
      <c r="Y2233">
        <v>0.18085329999999999</v>
      </c>
      <c r="Z2233">
        <v>-2.6204249999999998E-2</v>
      </c>
      <c r="AA2233">
        <v>0.9831609</v>
      </c>
      <c r="AB2233">
        <v>42</v>
      </c>
      <c r="AC2233">
        <v>0.57740000000001102</v>
      </c>
      <c r="AD2233">
        <v>-0.23563400000000001</v>
      </c>
      <c r="AE2233">
        <v>-0.17709999999999501</v>
      </c>
      <c r="AF2233">
        <v>0.16555501888729099</v>
      </c>
      <c r="AG2233">
        <v>-0.23563400000000001</v>
      </c>
      <c r="AH2233">
        <v>0.49732947784326398</v>
      </c>
      <c r="AI2233">
        <v>114.20605360234001</v>
      </c>
      <c r="AJ2233">
        <v>71.588018012377603</v>
      </c>
      <c r="AK2233">
        <v>0.57468987790514003</v>
      </c>
    </row>
    <row r="2234" spans="1:37" x14ac:dyDescent="0.2">
      <c r="A2234" t="str">
        <f>"20200111154109271"</f>
        <v>20200111154109271</v>
      </c>
      <c r="B2234" t="str">
        <f>"1578728469268197"</f>
        <v>1578728469268197</v>
      </c>
      <c r="C2234" t="s">
        <v>37</v>
      </c>
      <c r="D2234">
        <v>4.894101</v>
      </c>
      <c r="E2234">
        <v>0.57300819999999997</v>
      </c>
      <c r="F2234" t="s">
        <v>38</v>
      </c>
      <c r="G2234">
        <v>-436.50619999999998</v>
      </c>
      <c r="H2234">
        <v>0.88385239999999998</v>
      </c>
      <c r="I2234">
        <v>214.035</v>
      </c>
      <c r="J2234">
        <v>-437.02809999999999</v>
      </c>
      <c r="K2234">
        <v>1.109256</v>
      </c>
      <c r="L2234">
        <v>214.20320000000001</v>
      </c>
      <c r="M2234">
        <v>0.99970419999999904</v>
      </c>
      <c r="N2234">
        <v>0</v>
      </c>
      <c r="O2234">
        <v>2.412709E-2</v>
      </c>
      <c r="P2234">
        <v>0.99776989999999999</v>
      </c>
      <c r="Q2234">
        <v>5.997396E-2</v>
      </c>
      <c r="R2234">
        <v>2.9306809999999999E-2</v>
      </c>
      <c r="S2234">
        <v>3.0637509999999999</v>
      </c>
      <c r="T2234">
        <v>-0.71835669999999996</v>
      </c>
      <c r="U2234">
        <v>-0.5020905</v>
      </c>
      <c r="V2234">
        <v>-5.3050099999999998E-3</v>
      </c>
      <c r="W2234">
        <v>6.3036430000000004E-2</v>
      </c>
      <c r="X2234">
        <v>0.99799709999999997</v>
      </c>
      <c r="Y2234">
        <v>0.18008550000000001</v>
      </c>
      <c r="Z2234">
        <v>-2.6245339999999999E-2</v>
      </c>
      <c r="AA2234">
        <v>0.98330069999999903</v>
      </c>
      <c r="AB2234">
        <v>42</v>
      </c>
      <c r="AC2234">
        <v>0.52190000000001602</v>
      </c>
      <c r="AD2234">
        <v>-0.22540360000000001</v>
      </c>
      <c r="AE2234">
        <v>-0.16820000000001301</v>
      </c>
      <c r="AF2234">
        <v>0.15461626438130899</v>
      </c>
      <c r="AG2234">
        <v>-0.22540360000000001</v>
      </c>
      <c r="AH2234">
        <v>0.44285678790424698</v>
      </c>
      <c r="AI2234">
        <v>115.66573502203801</v>
      </c>
      <c r="AJ2234">
        <v>70.754180191414804</v>
      </c>
      <c r="AK2234">
        <v>0.52041820365650004</v>
      </c>
    </row>
    <row r="2235" spans="1:37" x14ac:dyDescent="0.2">
      <c r="A2235" t="str">
        <f>"20200111154109292"</f>
        <v>20200111154109292</v>
      </c>
      <c r="B2235" t="str">
        <f>"1578728469288693"</f>
        <v>1578728469288693</v>
      </c>
      <c r="C2235" t="s">
        <v>37</v>
      </c>
      <c r="D2235">
        <v>4.8998790000000003</v>
      </c>
      <c r="E2235">
        <v>0.57289869999999898</v>
      </c>
      <c r="F2235" t="s">
        <v>38</v>
      </c>
      <c r="G2235">
        <v>-436.12</v>
      </c>
      <c r="H2235">
        <v>0.89549920000000005</v>
      </c>
      <c r="I2235">
        <v>214.0556</v>
      </c>
      <c r="J2235">
        <v>-436.61779999999999</v>
      </c>
      <c r="K2235">
        <v>1.109197</v>
      </c>
      <c r="L2235">
        <v>214.2133</v>
      </c>
      <c r="M2235">
        <v>0.9996969</v>
      </c>
      <c r="N2235">
        <v>0</v>
      </c>
      <c r="O2235">
        <v>2.4428200000000001E-2</v>
      </c>
      <c r="P2235">
        <v>0.99771339999999997</v>
      </c>
      <c r="Q2235">
        <v>6.0138820000000003E-2</v>
      </c>
      <c r="R2235">
        <v>3.0842720000000001E-2</v>
      </c>
      <c r="S2235">
        <v>3.0646360000000001</v>
      </c>
      <c r="T2235">
        <v>-0.72148429999999997</v>
      </c>
      <c r="U2235">
        <v>-0.49617</v>
      </c>
      <c r="V2235">
        <v>-6.5336580000000003E-3</v>
      </c>
      <c r="W2235">
        <v>6.3218679999999999E-2</v>
      </c>
      <c r="X2235">
        <v>0.99797829999999998</v>
      </c>
      <c r="Y2235">
        <v>0.17847479999999999</v>
      </c>
      <c r="Z2235">
        <v>-2.6236860000000001E-2</v>
      </c>
      <c r="AA2235">
        <v>0.98359459999999999</v>
      </c>
      <c r="AB2235">
        <v>43</v>
      </c>
      <c r="AC2235">
        <v>0.49779999999998298</v>
      </c>
      <c r="AD2235">
        <v>-0.21369779999999899</v>
      </c>
      <c r="AE2235">
        <v>-0.157700000000005</v>
      </c>
      <c r="AF2235">
        <v>0.14545322866970101</v>
      </c>
      <c r="AG2235">
        <v>-0.21369779999999899</v>
      </c>
      <c r="AH2235">
        <v>0.422962457845173</v>
      </c>
      <c r="AI2235">
        <v>115.537465844216</v>
      </c>
      <c r="AJ2235">
        <v>71.022337722634404</v>
      </c>
      <c r="AK2235">
        <v>0.49570216077974699</v>
      </c>
    </row>
    <row r="2236" spans="1:37" x14ac:dyDescent="0.2">
      <c r="A2236" t="str">
        <f>"20200111154109314"</f>
        <v>20200111154109314</v>
      </c>
      <c r="B2236" t="str">
        <f>"1578728469308213"</f>
        <v>1578728469308213</v>
      </c>
      <c r="C2236" t="s">
        <v>37</v>
      </c>
      <c r="D2236">
        <v>4.9129800000000001</v>
      </c>
      <c r="E2236">
        <v>0.57283539999999999</v>
      </c>
      <c r="F2236" t="s">
        <v>38</v>
      </c>
      <c r="G2236">
        <v>-435.73500000000001</v>
      </c>
      <c r="H2236">
        <v>0.90019559999999998</v>
      </c>
      <c r="I2236">
        <v>214.0718</v>
      </c>
      <c r="J2236">
        <v>-436.1884</v>
      </c>
      <c r="K2236">
        <v>1.1091340000000001</v>
      </c>
      <c r="L2236">
        <v>214.22389999999999</v>
      </c>
      <c r="M2236">
        <v>0.99969079999999999</v>
      </c>
      <c r="N2236">
        <v>0</v>
      </c>
      <c r="O2236">
        <v>2.4671640000000002E-2</v>
      </c>
      <c r="P2236">
        <v>0.99769769999999902</v>
      </c>
      <c r="Q2236">
        <v>5.9693959999999997E-2</v>
      </c>
      <c r="R2236">
        <v>3.2190669999999998E-2</v>
      </c>
      <c r="S2236">
        <v>3.0657649999999999</v>
      </c>
      <c r="T2236">
        <v>-0.7258291</v>
      </c>
      <c r="U2236">
        <v>-0.4910736</v>
      </c>
      <c r="V2236">
        <v>-7.6288429999999997E-3</v>
      </c>
      <c r="W2236">
        <v>6.2793230000000005E-2</v>
      </c>
      <c r="X2236">
        <v>0.99799740000000003</v>
      </c>
      <c r="Y2236">
        <v>0.177033</v>
      </c>
      <c r="Z2236">
        <v>-2.6273870000000001E-2</v>
      </c>
      <c r="AA2236">
        <v>0.98385419999999901</v>
      </c>
      <c r="AB2236">
        <v>43</v>
      </c>
      <c r="AC2236">
        <v>0.45339999999998698</v>
      </c>
      <c r="AD2236">
        <v>-0.2089384</v>
      </c>
      <c r="AE2236">
        <v>-0.15209999999998999</v>
      </c>
      <c r="AF2236">
        <v>0.137075071579883</v>
      </c>
      <c r="AG2236">
        <v>-0.2089384</v>
      </c>
      <c r="AH2236">
        <v>0.37746006749891797</v>
      </c>
      <c r="AI2236">
        <v>117.487607161917</v>
      </c>
      <c r="AJ2236">
        <v>70.041449324784793</v>
      </c>
      <c r="AK2236">
        <v>0.45268193336986401</v>
      </c>
    </row>
    <row r="2237" spans="1:37" x14ac:dyDescent="0.2">
      <c r="A2237" t="str">
        <f>"20200111154109336"</f>
        <v>20200111154109336</v>
      </c>
      <c r="B2237" t="str">
        <f>"1578728469328709"</f>
        <v>1578728469328709</v>
      </c>
      <c r="C2237" t="s">
        <v>37</v>
      </c>
      <c r="D2237">
        <v>4.9237849999999996</v>
      </c>
      <c r="E2237">
        <v>0.57288300000000003</v>
      </c>
      <c r="F2237" t="s">
        <v>38</v>
      </c>
      <c r="G2237">
        <v>-435.34730000000002</v>
      </c>
      <c r="H2237">
        <v>0.90845180000000003</v>
      </c>
      <c r="I2237">
        <v>214.09010000000001</v>
      </c>
      <c r="J2237">
        <v>-435.75810000000001</v>
      </c>
      <c r="K2237">
        <v>1.1090659999999899</v>
      </c>
      <c r="L2237">
        <v>214.2347</v>
      </c>
      <c r="M2237">
        <v>0.99968639999999998</v>
      </c>
      <c r="N2237">
        <v>0</v>
      </c>
      <c r="O2237">
        <v>2.4847399999999999E-2</v>
      </c>
      <c r="P2237">
        <v>0.99767030000000001</v>
      </c>
      <c r="Q2237">
        <v>5.9611419999999998E-2</v>
      </c>
      <c r="R2237">
        <v>3.3176079999999997E-2</v>
      </c>
      <c r="S2237">
        <v>3.0664060000000002</v>
      </c>
      <c r="T2237">
        <v>-0.73173390000000005</v>
      </c>
      <c r="U2237">
        <v>-0.48619079999999898</v>
      </c>
      <c r="V2237">
        <v>-8.4297820000000002E-3</v>
      </c>
      <c r="W2237">
        <v>6.273136E-2</v>
      </c>
      <c r="X2237">
        <v>0.99799479999999996</v>
      </c>
      <c r="Y2237">
        <v>0.17559330000000001</v>
      </c>
      <c r="Z2237">
        <v>-2.6352469999999999E-2</v>
      </c>
      <c r="AA2237">
        <v>0.98411009999999999</v>
      </c>
      <c r="AB2237">
        <v>43</v>
      </c>
      <c r="AC2237">
        <v>0.410799999999994</v>
      </c>
      <c r="AD2237">
        <v>-0.20061419999999899</v>
      </c>
      <c r="AE2237">
        <v>-0.14459999999999601</v>
      </c>
      <c r="AF2237">
        <v>0.12767151206508701</v>
      </c>
      <c r="AG2237">
        <v>-0.20061419999999899</v>
      </c>
      <c r="AH2237">
        <v>0.335820847139294</v>
      </c>
      <c r="AI2237">
        <v>119.17865902487399</v>
      </c>
      <c r="AJ2237">
        <v>69.184325447888995</v>
      </c>
      <c r="AK2237">
        <v>0.41148719738040301</v>
      </c>
    </row>
    <row r="2238" spans="1:37" x14ac:dyDescent="0.2">
      <c r="A2238" t="str">
        <f>"20200111154109359"</f>
        <v>20200111154109359</v>
      </c>
      <c r="B2238" t="str">
        <f>"1578728469348229"</f>
        <v>1578728469348229</v>
      </c>
      <c r="C2238" t="s">
        <v>37</v>
      </c>
      <c r="D2238">
        <v>4.948455</v>
      </c>
      <c r="E2238">
        <v>0.54997130000000005</v>
      </c>
      <c r="F2238" t="s">
        <v>38</v>
      </c>
      <c r="G2238">
        <v>-434.95800000000003</v>
      </c>
      <c r="H2238">
        <v>0.91712569999999904</v>
      </c>
      <c r="I2238">
        <v>214.10839999999999</v>
      </c>
      <c r="J2238">
        <v>-435.31199999999899</v>
      </c>
      <c r="K2238">
        <v>1.109</v>
      </c>
      <c r="L2238">
        <v>214.2458</v>
      </c>
      <c r="M2238">
        <v>0.99968330000000005</v>
      </c>
      <c r="N2238">
        <v>0</v>
      </c>
      <c r="O2238">
        <v>2.4972910000000001E-2</v>
      </c>
      <c r="P2238">
        <v>0.99767669999999997</v>
      </c>
      <c r="Q2238">
        <v>5.944559E-2</v>
      </c>
      <c r="R2238">
        <v>3.3282689999999997E-2</v>
      </c>
      <c r="S2238">
        <v>3.0670470000000001</v>
      </c>
      <c r="T2238">
        <v>-0.73584589999999905</v>
      </c>
      <c r="U2238">
        <v>-0.48280329999999899</v>
      </c>
      <c r="V2238">
        <v>-8.4017840000000007E-3</v>
      </c>
      <c r="W2238">
        <v>6.2587160000000003E-2</v>
      </c>
      <c r="X2238">
        <v>0.99800409999999995</v>
      </c>
      <c r="Y2238">
        <v>0.17458870000000001</v>
      </c>
      <c r="Z2238">
        <v>-2.6404799999999999E-2</v>
      </c>
      <c r="AA2238">
        <v>0.98428729999999998</v>
      </c>
      <c r="AB2238">
        <v>43</v>
      </c>
      <c r="AC2238">
        <v>0.35399999999992798</v>
      </c>
      <c r="AD2238">
        <v>-0.1918743</v>
      </c>
      <c r="AE2238">
        <v>-0.13740000000001301</v>
      </c>
      <c r="AF2238">
        <v>0.11646245496805301</v>
      </c>
      <c r="AG2238">
        <v>-0.1918743</v>
      </c>
      <c r="AH2238">
        <v>0.27917854922059299</v>
      </c>
      <c r="AI2238">
        <v>122.387055526342</v>
      </c>
      <c r="AJ2238">
        <v>67.355996774515205</v>
      </c>
      <c r="AK2238">
        <v>0.35821768906991602</v>
      </c>
    </row>
    <row r="2239" spans="1:37" x14ac:dyDescent="0.2">
      <c r="A2239" t="str">
        <f>"20200111154109383"</f>
        <v>20200111154109383</v>
      </c>
      <c r="B2239" t="str">
        <f>"1578728469378486"</f>
        <v>1578728469378486</v>
      </c>
      <c r="C2239" t="s">
        <v>37</v>
      </c>
      <c r="D2239">
        <v>4.9393500000000001</v>
      </c>
      <c r="E2239">
        <v>0.53876369999999996</v>
      </c>
      <c r="F2239" t="s">
        <v>38</v>
      </c>
      <c r="G2239">
        <v>-434.57330000000002</v>
      </c>
      <c r="H2239">
        <v>0.92002009999999901</v>
      </c>
      <c r="I2239">
        <v>214.17330000000001</v>
      </c>
      <c r="J2239">
        <v>-434.86520000000002</v>
      </c>
      <c r="K2239">
        <v>1.108943</v>
      </c>
      <c r="L2239">
        <v>214.25700000000001</v>
      </c>
      <c r="M2239">
        <v>0.99968109999999999</v>
      </c>
      <c r="N2239">
        <v>0</v>
      </c>
      <c r="O2239">
        <v>2.505127E-2</v>
      </c>
      <c r="P2239">
        <v>0.99768639999999997</v>
      </c>
      <c r="Q2239">
        <v>5.921676E-2</v>
      </c>
      <c r="R2239">
        <v>3.3393819999999998E-2</v>
      </c>
      <c r="S2239">
        <v>3.0637209999999899</v>
      </c>
      <c r="T2239">
        <v>-0.78387119999999999</v>
      </c>
      <c r="U2239">
        <v>-0.2992554</v>
      </c>
      <c r="V2239">
        <v>-8.4256850000000005E-3</v>
      </c>
      <c r="W2239">
        <v>6.2380150000000002E-2</v>
      </c>
      <c r="X2239">
        <v>0.99801689999999998</v>
      </c>
      <c r="Y2239">
        <v>0.1175628</v>
      </c>
      <c r="Z2239">
        <v>-2.1062730000000002E-2</v>
      </c>
      <c r="AA2239">
        <v>0.99284209999999995</v>
      </c>
      <c r="AB2239">
        <v>43</v>
      </c>
      <c r="AC2239">
        <v>0.29189999999999799</v>
      </c>
      <c r="AD2239">
        <v>-0.1889229</v>
      </c>
      <c r="AE2239">
        <v>-8.3699999999993197E-2</v>
      </c>
      <c r="AF2239">
        <v>6.5596181093110703E-2</v>
      </c>
      <c r="AG2239">
        <v>-0.1889229</v>
      </c>
      <c r="AH2239">
        <v>0.20886647245353901</v>
      </c>
      <c r="AI2239">
        <v>130.79281447823899</v>
      </c>
      <c r="AJ2239">
        <v>72.564687914957005</v>
      </c>
      <c r="AK2239">
        <v>0.289171098890596</v>
      </c>
    </row>
    <row r="2240" spans="1:37" x14ac:dyDescent="0.2">
      <c r="A2240" t="str">
        <f>"20200111154109402"</f>
        <v>20200111154109402</v>
      </c>
      <c r="B2240" t="str">
        <f>"1578728469398005"</f>
        <v>1578728469398005</v>
      </c>
      <c r="C2240" t="s">
        <v>37</v>
      </c>
      <c r="D2240">
        <v>4.9899629999999897</v>
      </c>
      <c r="E2240">
        <v>0.53898559999999995</v>
      </c>
      <c r="F2240" t="s">
        <v>38</v>
      </c>
      <c r="G2240">
        <v>-434.1771</v>
      </c>
      <c r="H2240">
        <v>0.93796369999999896</v>
      </c>
      <c r="I2240">
        <v>214.2099</v>
      </c>
      <c r="J2240">
        <v>-434.47239999999999</v>
      </c>
      <c r="K2240">
        <v>1.108897</v>
      </c>
      <c r="L2240">
        <v>214.26679999999999</v>
      </c>
      <c r="M2240">
        <v>0.99968029999999997</v>
      </c>
      <c r="N2240">
        <v>0</v>
      </c>
      <c r="O2240">
        <v>2.508109E-2</v>
      </c>
      <c r="P2240">
        <v>0.99770429999999999</v>
      </c>
      <c r="Q2240">
        <v>5.9399439999999998E-2</v>
      </c>
      <c r="R2240">
        <v>3.2527430000000003E-2</v>
      </c>
      <c r="S2240">
        <v>3.0590519999999999</v>
      </c>
      <c r="T2240">
        <v>-0.76026539999999998</v>
      </c>
      <c r="U2240">
        <v>-0.20896909999999999</v>
      </c>
      <c r="V2240">
        <v>-7.5228200000000004E-3</v>
      </c>
      <c r="W2240">
        <v>6.2582869999999999E-2</v>
      </c>
      <c r="X2240">
        <v>0.99801139999999999</v>
      </c>
      <c r="Y2240">
        <v>8.9677889999999996E-2</v>
      </c>
      <c r="Z2240">
        <v>-1.7098639999999998E-2</v>
      </c>
      <c r="AA2240">
        <v>0.99582399999999904</v>
      </c>
      <c r="AB2240">
        <v>43</v>
      </c>
      <c r="AC2240">
        <v>0.29529999999999701</v>
      </c>
      <c r="AD2240">
        <v>-0.17093330000000001</v>
      </c>
      <c r="AE2240">
        <v>-5.6899999999984602E-2</v>
      </c>
      <c r="AF2240">
        <v>4.8590528399103099E-2</v>
      </c>
      <c r="AG2240">
        <v>-0.17093330000000001</v>
      </c>
      <c r="AH2240">
        <v>0.22204447014036999</v>
      </c>
      <c r="AI2240">
        <v>126.943895818795</v>
      </c>
      <c r="AJ2240">
        <v>77.656406218159205</v>
      </c>
      <c r="AK2240">
        <v>0.28439933055285399</v>
      </c>
    </row>
    <row r="2241" spans="1:37" x14ac:dyDescent="0.2">
      <c r="A2241" t="str">
        <f>"20200111154109427"</f>
        <v>20200111154109427</v>
      </c>
      <c r="B2241" t="str">
        <f>"1578728469418501"</f>
        <v>1578728469418501</v>
      </c>
      <c r="C2241" t="s">
        <v>37</v>
      </c>
      <c r="D2241">
        <v>4.9107789999999998</v>
      </c>
      <c r="E2241">
        <v>0.53922019999999904</v>
      </c>
      <c r="F2241" t="s">
        <v>38</v>
      </c>
      <c r="G2241">
        <v>-433.786</v>
      </c>
      <c r="H2241">
        <v>0.93950319999999898</v>
      </c>
      <c r="I2241">
        <v>214.21870000000001</v>
      </c>
      <c r="J2241">
        <v>-433.99540000000002</v>
      </c>
      <c r="K2241">
        <v>1.108843</v>
      </c>
      <c r="L2241">
        <v>214.27879999999999</v>
      </c>
      <c r="M2241">
        <v>0.99968049999999997</v>
      </c>
      <c r="N2241">
        <v>0</v>
      </c>
      <c r="O2241">
        <v>2.5069729999999998E-2</v>
      </c>
      <c r="P2241">
        <v>0.99772359999999904</v>
      </c>
      <c r="Q2241">
        <v>5.9581780000000001E-2</v>
      </c>
      <c r="R2241">
        <v>3.1584769999999998E-2</v>
      </c>
      <c r="S2241">
        <v>3.0588069999999998</v>
      </c>
      <c r="T2241">
        <v>-0.75488889999999997</v>
      </c>
      <c r="U2241">
        <v>-0.2127686</v>
      </c>
      <c r="V2241">
        <v>-6.5838030000000001E-3</v>
      </c>
      <c r="W2241">
        <v>6.2788469999999999E-2</v>
      </c>
      <c r="X2241">
        <v>0.99800519999999904</v>
      </c>
      <c r="Y2241">
        <v>9.0914469999999997E-2</v>
      </c>
      <c r="Z2241">
        <v>-1.7129289999999998E-2</v>
      </c>
      <c r="AA2241">
        <v>0.99571139999999903</v>
      </c>
      <c r="AB2241">
        <v>44</v>
      </c>
      <c r="AC2241">
        <v>0.20940000000001599</v>
      </c>
      <c r="AD2241">
        <v>-0.16933980000000001</v>
      </c>
      <c r="AE2241">
        <v>-6.0099999999977102E-2</v>
      </c>
      <c r="AF2241">
        <v>4.0724588987467898E-2</v>
      </c>
      <c r="AG2241">
        <v>-0.16933980000000001</v>
      </c>
      <c r="AH2241">
        <v>0.12955140371625501</v>
      </c>
      <c r="AI2241">
        <v>141.272235929717</v>
      </c>
      <c r="AJ2241">
        <v>72.5494170983891</v>
      </c>
      <c r="AK2241">
        <v>0.21706687038120301</v>
      </c>
    </row>
    <row r="2242" spans="1:37" x14ac:dyDescent="0.2">
      <c r="A2242" t="str">
        <f>"20200111154109448"</f>
        <v>20200111154109448</v>
      </c>
      <c r="B2242" t="str">
        <f>"1578728469438997"</f>
        <v>1578728469438997</v>
      </c>
      <c r="C2242" t="s">
        <v>37</v>
      </c>
      <c r="D2242">
        <v>4.9512089999999898</v>
      </c>
      <c r="E2242">
        <v>0.53944799999999904</v>
      </c>
      <c r="F2242" t="s">
        <v>38</v>
      </c>
      <c r="G2242">
        <v>-433.02949999999998</v>
      </c>
      <c r="H2242">
        <v>0.87027600000000005</v>
      </c>
      <c r="I2242">
        <v>214.2099</v>
      </c>
      <c r="J2242">
        <v>-433.57159999999999</v>
      </c>
      <c r="K2242">
        <v>1.108795</v>
      </c>
      <c r="L2242">
        <v>214.2894</v>
      </c>
      <c r="M2242">
        <v>0.99968169999999901</v>
      </c>
      <c r="N2242">
        <v>0</v>
      </c>
      <c r="O2242">
        <v>2.502358E-2</v>
      </c>
      <c r="P2242">
        <v>0.99777099999999996</v>
      </c>
      <c r="Q2242">
        <v>5.9302649999999998E-2</v>
      </c>
      <c r="R2242">
        <v>3.0599000000000001E-2</v>
      </c>
      <c r="S2242">
        <v>3.0588380000000002</v>
      </c>
      <c r="T2242">
        <v>-0.75552580000000003</v>
      </c>
      <c r="U2242">
        <v>-0.2169952</v>
      </c>
      <c r="V2242">
        <v>-5.6359269999999998E-3</v>
      </c>
      <c r="W2242">
        <v>6.2530059999999998E-2</v>
      </c>
      <c r="X2242">
        <v>0.99802709999999994</v>
      </c>
      <c r="Y2242">
        <v>9.2194650000000003E-2</v>
      </c>
      <c r="Z2242">
        <v>-1.728675E-2</v>
      </c>
      <c r="AA2242">
        <v>0.99559089999999995</v>
      </c>
      <c r="AB2242">
        <v>44</v>
      </c>
      <c r="AC2242">
        <v>0.54210000000000402</v>
      </c>
      <c r="AD2242">
        <v>-0.23851899999999901</v>
      </c>
      <c r="AE2242">
        <v>-7.9499999999995893E-2</v>
      </c>
      <c r="AF2242">
        <v>7.8217071147101996E-2</v>
      </c>
      <c r="AG2242">
        <v>-0.23851899999999901</v>
      </c>
      <c r="AH2242">
        <v>0.45391643239742302</v>
      </c>
      <c r="AI2242">
        <v>117.376801164657</v>
      </c>
      <c r="AJ2242">
        <v>80.2230335557106</v>
      </c>
      <c r="AK2242">
        <v>0.51869967339515</v>
      </c>
    </row>
    <row r="2243" spans="1:37" x14ac:dyDescent="0.2">
      <c r="A2243" t="str">
        <f>"20200111154109471"</f>
        <v>20200111154109471</v>
      </c>
      <c r="B2243" t="str">
        <f>"1578728469468277"</f>
        <v>1578728469468277</v>
      </c>
      <c r="C2243" t="s">
        <v>37</v>
      </c>
      <c r="D2243">
        <v>5.0004179999999998</v>
      </c>
      <c r="E2243">
        <v>0.53974659999999997</v>
      </c>
      <c r="F2243" t="s">
        <v>38</v>
      </c>
      <c r="G2243">
        <v>-432.63260000000002</v>
      </c>
      <c r="H2243">
        <v>0.87668570000000001</v>
      </c>
      <c r="I2243">
        <v>214.22099999999901</v>
      </c>
      <c r="J2243">
        <v>-433.12880000000001</v>
      </c>
      <c r="K2243">
        <v>1.1087389999999999</v>
      </c>
      <c r="L2243">
        <v>214.3005</v>
      </c>
      <c r="M2243">
        <v>0.99968359999999901</v>
      </c>
      <c r="N2243">
        <v>0</v>
      </c>
      <c r="O2243">
        <v>2.4944930000000001E-2</v>
      </c>
      <c r="P2243">
        <v>0.99780789999999997</v>
      </c>
      <c r="Q2243">
        <v>5.917244E-2</v>
      </c>
      <c r="R2243">
        <v>2.963207E-2</v>
      </c>
      <c r="S2243">
        <v>3.0584410000000002</v>
      </c>
      <c r="T2243">
        <v>-0.75601819999999997</v>
      </c>
      <c r="U2243">
        <v>-0.2217712</v>
      </c>
      <c r="V2243">
        <v>-4.7398450000000003E-3</v>
      </c>
      <c r="W2243">
        <v>6.2421079999999997E-2</v>
      </c>
      <c r="X2243">
        <v>0.9980386</v>
      </c>
      <c r="Y2243">
        <v>9.3626600000000004E-2</v>
      </c>
      <c r="Z2243">
        <v>-1.7453969999999999E-2</v>
      </c>
      <c r="AA2243">
        <v>0.99545439999999996</v>
      </c>
      <c r="AB2243">
        <v>44</v>
      </c>
      <c r="AC2243">
        <v>0.49619999999998698</v>
      </c>
      <c r="AD2243">
        <v>-0.23205329999999899</v>
      </c>
      <c r="AE2243">
        <v>-7.9500000000024301E-2</v>
      </c>
      <c r="AF2243">
        <v>7.5709281786873694E-2</v>
      </c>
      <c r="AG2243">
        <v>-0.23205329999999899</v>
      </c>
      <c r="AH2243">
        <v>0.40722800543608501</v>
      </c>
      <c r="AI2243">
        <v>119.25914347619</v>
      </c>
      <c r="AJ2243">
        <v>79.468169161960105</v>
      </c>
      <c r="AK2243">
        <v>0.47477918846662398</v>
      </c>
    </row>
    <row r="2244" spans="1:37" x14ac:dyDescent="0.2">
      <c r="A2244" t="str">
        <f>"20200111154109492"</f>
        <v>20200111154109492</v>
      </c>
      <c r="B2244" t="str">
        <f>"1578728469488773"</f>
        <v>1578728469488773</v>
      </c>
      <c r="C2244" t="s">
        <v>37</v>
      </c>
      <c r="D2244">
        <v>4.974704</v>
      </c>
      <c r="E2244">
        <v>0.53975830000000002</v>
      </c>
      <c r="F2244" t="s">
        <v>38</v>
      </c>
      <c r="G2244">
        <v>-432.23289999999997</v>
      </c>
      <c r="H2244">
        <v>0.88684269999999998</v>
      </c>
      <c r="I2244">
        <v>214.23339999999999</v>
      </c>
      <c r="J2244">
        <v>-432.70870000000002</v>
      </c>
      <c r="K2244">
        <v>1.108692</v>
      </c>
      <c r="L2244">
        <v>214.3109</v>
      </c>
      <c r="M2244">
        <v>0.99968609999999902</v>
      </c>
      <c r="N2244">
        <v>0</v>
      </c>
      <c r="O2244">
        <v>2.484455E-2</v>
      </c>
      <c r="P2244">
        <v>0.99786679999999905</v>
      </c>
      <c r="Q2244">
        <v>5.8873410000000001E-2</v>
      </c>
      <c r="R2244">
        <v>2.8214969999999999E-2</v>
      </c>
      <c r="S2244">
        <v>3.0582579999999999</v>
      </c>
      <c r="T2244">
        <v>-0.75756309999999905</v>
      </c>
      <c r="U2244">
        <v>-0.227523799999999</v>
      </c>
      <c r="V2244">
        <v>-3.4154649999999999E-3</v>
      </c>
      <c r="W2244">
        <v>6.2142660000000002E-2</v>
      </c>
      <c r="X2244">
        <v>0.99806139999999999</v>
      </c>
      <c r="Y2244">
        <v>9.5330799999999993E-2</v>
      </c>
      <c r="Z2244">
        <v>-1.7671679999999999E-2</v>
      </c>
      <c r="AA2244">
        <v>0.99528879999999997</v>
      </c>
      <c r="AB2244">
        <v>44</v>
      </c>
      <c r="AC2244">
        <v>0.47580000000004902</v>
      </c>
      <c r="AD2244">
        <v>-0.2218493</v>
      </c>
      <c r="AE2244">
        <v>-7.7500000000014696E-2</v>
      </c>
      <c r="AF2244">
        <v>7.3690611487395599E-2</v>
      </c>
      <c r="AG2244">
        <v>-0.2218493</v>
      </c>
      <c r="AH2244">
        <v>0.39093376839442801</v>
      </c>
      <c r="AI2244">
        <v>119.14686469373</v>
      </c>
      <c r="AJ2244">
        <v>79.325062038327502</v>
      </c>
      <c r="AK2244">
        <v>0.45549602567195302</v>
      </c>
    </row>
    <row r="2245" spans="1:37" x14ac:dyDescent="0.2">
      <c r="A2245" t="str">
        <f>"20200111154109516"</f>
        <v>20200111154109516</v>
      </c>
      <c r="B2245" t="str">
        <f>"1578728469508293"</f>
        <v>1578728469508293</v>
      </c>
      <c r="C2245" t="s">
        <v>37</v>
      </c>
      <c r="D2245">
        <v>5.0221749999999998</v>
      </c>
      <c r="E2245">
        <v>0.53988659999999999</v>
      </c>
      <c r="F2245" t="s">
        <v>38</v>
      </c>
      <c r="G2245">
        <v>-431.83390000000003</v>
      </c>
      <c r="H2245">
        <v>0.89186699999999997</v>
      </c>
      <c r="I2245">
        <v>214.24430000000001</v>
      </c>
      <c r="J2245">
        <v>-432.24040000000002</v>
      </c>
      <c r="K2245">
        <v>1.1086389999999999</v>
      </c>
      <c r="L2245">
        <v>214.32249999999999</v>
      </c>
      <c r="M2245">
        <v>0.99968950000000001</v>
      </c>
      <c r="N2245">
        <v>0</v>
      </c>
      <c r="O2245">
        <v>2.470199E-2</v>
      </c>
      <c r="P2245">
        <v>0.99792250000000005</v>
      </c>
      <c r="Q2245">
        <v>5.7945740000000003E-2</v>
      </c>
      <c r="R2245">
        <v>2.8163939999999998E-2</v>
      </c>
      <c r="S2245">
        <v>3.0576779999999899</v>
      </c>
      <c r="T2245">
        <v>-0.75792209999999904</v>
      </c>
      <c r="U2245">
        <v>-0.231979399999999</v>
      </c>
      <c r="V2245">
        <v>-3.4989459999999902E-3</v>
      </c>
      <c r="W2245">
        <v>6.1237449999999999E-2</v>
      </c>
      <c r="X2245">
        <v>0.99811709999999998</v>
      </c>
      <c r="Y2245">
        <v>9.6606579999999997E-2</v>
      </c>
      <c r="Z2245">
        <v>-1.780294E-2</v>
      </c>
      <c r="AA2245">
        <v>0.99516340000000003</v>
      </c>
      <c r="AB2245">
        <v>44</v>
      </c>
      <c r="AC2245">
        <v>0.40649999999999398</v>
      </c>
      <c r="AD2245">
        <v>-0.21677199999999999</v>
      </c>
      <c r="AE2245">
        <v>-7.8199999999981104E-2</v>
      </c>
      <c r="AF2245">
        <v>6.9232447329966904E-2</v>
      </c>
      <c r="AG2245">
        <v>-0.21677199999999999</v>
      </c>
      <c r="AH2245">
        <v>0.31740470341279098</v>
      </c>
      <c r="AI2245">
        <v>123.713709598007</v>
      </c>
      <c r="AJ2245">
        <v>77.695342210848693</v>
      </c>
      <c r="AK2245">
        <v>0.39054958391458899</v>
      </c>
    </row>
    <row r="2246" spans="1:37" x14ac:dyDescent="0.2">
      <c r="A2246" t="str">
        <f>"20200111154109538"</f>
        <v>20200111154109538</v>
      </c>
      <c r="B2246" t="str">
        <f>"1578728469528789"</f>
        <v>1578728469528789</v>
      </c>
      <c r="C2246" t="s">
        <v>37</v>
      </c>
      <c r="D2246">
        <v>4.9973739999999998</v>
      </c>
      <c r="E2246">
        <v>0.539775</v>
      </c>
      <c r="F2246" t="s">
        <v>38</v>
      </c>
      <c r="G2246">
        <v>-431.42959999999999</v>
      </c>
      <c r="H2246">
        <v>0.90702609999999995</v>
      </c>
      <c r="I2246">
        <v>214.2603</v>
      </c>
      <c r="J2246">
        <v>-431.7937</v>
      </c>
      <c r="K2246">
        <v>1.108582</v>
      </c>
      <c r="L2246">
        <v>214.33349999999999</v>
      </c>
      <c r="M2246">
        <v>0.99969359999999996</v>
      </c>
      <c r="N2246">
        <v>0</v>
      </c>
      <c r="O2246">
        <v>2.4533920000000001E-2</v>
      </c>
      <c r="P2246">
        <v>0.99798589999999998</v>
      </c>
      <c r="Q2246">
        <v>5.6720550000000002E-2</v>
      </c>
      <c r="R2246">
        <v>2.8416239999999999E-2</v>
      </c>
      <c r="S2246">
        <v>3.0569459999999999</v>
      </c>
      <c r="T2246">
        <v>-0.76008549999999997</v>
      </c>
      <c r="U2246">
        <v>-0.2335052</v>
      </c>
      <c r="V2246">
        <v>-3.9109189999999997E-3</v>
      </c>
      <c r="W2246">
        <v>6.0034219999999999E-2</v>
      </c>
      <c r="X2246">
        <v>0.99818869999999904</v>
      </c>
      <c r="Y2246">
        <v>9.6924479999999993E-2</v>
      </c>
      <c r="Z2246">
        <v>-1.7853850000000001E-2</v>
      </c>
      <c r="AA2246">
        <v>0.99513159999999901</v>
      </c>
      <c r="AB2246">
        <v>44</v>
      </c>
      <c r="AC2246">
        <v>0.36410000000000697</v>
      </c>
      <c r="AD2246">
        <v>-0.20155589999999901</v>
      </c>
      <c r="AE2246">
        <v>-7.3199999999985693E-2</v>
      </c>
      <c r="AF2246">
        <v>6.3428654973088E-2</v>
      </c>
      <c r="AG2246">
        <v>-0.20155589999999901</v>
      </c>
      <c r="AH2246">
        <v>0.279786660548836</v>
      </c>
      <c r="AI2246">
        <v>125.09048143581499</v>
      </c>
      <c r="AJ2246">
        <v>77.226742438547603</v>
      </c>
      <c r="AK2246">
        <v>0.35061168052073599</v>
      </c>
    </row>
    <row r="2247" spans="1:37" x14ac:dyDescent="0.2">
      <c r="A2247" t="str">
        <f>"20200111154109560"</f>
        <v>20200111154109560</v>
      </c>
      <c r="B2247" t="str">
        <f>"1578728469558069"</f>
        <v>1578728469558069</v>
      </c>
      <c r="C2247" t="s">
        <v>37</v>
      </c>
      <c r="D2247">
        <v>5.0395599999999998</v>
      </c>
      <c r="E2247">
        <v>0.53967719999999997</v>
      </c>
      <c r="F2247" t="s">
        <v>38</v>
      </c>
      <c r="G2247">
        <v>-431.0256</v>
      </c>
      <c r="H2247">
        <v>0.91677529999999996</v>
      </c>
      <c r="I2247">
        <v>214.27440000000001</v>
      </c>
      <c r="J2247">
        <v>-431.34039999999999</v>
      </c>
      <c r="K2247">
        <v>1.1085320000000001</v>
      </c>
      <c r="L2247">
        <v>214.34450000000001</v>
      </c>
      <c r="M2247">
        <v>0.99969859999999899</v>
      </c>
      <c r="N2247">
        <v>0</v>
      </c>
      <c r="O2247">
        <v>2.432554E-2</v>
      </c>
      <c r="P2247">
        <v>0.99800639999999996</v>
      </c>
      <c r="Q2247">
        <v>5.6180279999999999E-2</v>
      </c>
      <c r="R2247">
        <v>2.8765760000000001E-2</v>
      </c>
      <c r="S2247">
        <v>3.0560909999999999</v>
      </c>
      <c r="T2247">
        <v>-0.76320049999999995</v>
      </c>
      <c r="U2247">
        <v>-0.23345949999999999</v>
      </c>
      <c r="V2247">
        <v>-4.4612829999999999E-3</v>
      </c>
      <c r="W2247">
        <v>5.9515869999999998E-2</v>
      </c>
      <c r="X2247">
        <v>0.99821740000000003</v>
      </c>
      <c r="Y2247">
        <v>9.6704689999999996E-2</v>
      </c>
      <c r="Z2247">
        <v>-1.7851530000000001E-2</v>
      </c>
      <c r="AA2247">
        <v>0.99515299999999995</v>
      </c>
      <c r="AB2247">
        <v>45</v>
      </c>
      <c r="AC2247">
        <v>0.31479999999999098</v>
      </c>
      <c r="AD2247">
        <v>-0.1917567</v>
      </c>
      <c r="AE2247">
        <v>-7.0099999999996498E-2</v>
      </c>
      <c r="AF2247">
        <v>5.7433220380106502E-2</v>
      </c>
      <c r="AG2247">
        <v>-0.1917567</v>
      </c>
      <c r="AH2247">
        <v>0.23125018727603699</v>
      </c>
      <c r="AI2247">
        <v>128.82602532310199</v>
      </c>
      <c r="AJ2247">
        <v>76.052246089240896</v>
      </c>
      <c r="AK2247">
        <v>0.30585267027332302</v>
      </c>
    </row>
    <row r="2248" spans="1:37" x14ac:dyDescent="0.2">
      <c r="A2248" t="str">
        <f>"20200111154109583"</f>
        <v>20200111154109583</v>
      </c>
      <c r="B2248" t="str">
        <f>"1578728469578565"</f>
        <v>1578728469578565</v>
      </c>
      <c r="C2248" t="s">
        <v>37</v>
      </c>
      <c r="D2248">
        <v>5.0662719999999997</v>
      </c>
      <c r="E2248">
        <v>0.53959559999999995</v>
      </c>
      <c r="F2248" t="s">
        <v>38</v>
      </c>
      <c r="G2248">
        <v>-430.61939999999998</v>
      </c>
      <c r="H2248">
        <v>0.92796469999999898</v>
      </c>
      <c r="I2248">
        <v>214.2893</v>
      </c>
      <c r="J2248">
        <v>-430.89530000000002</v>
      </c>
      <c r="K2248">
        <v>1.1084849999999999</v>
      </c>
      <c r="L2248">
        <v>214.3552</v>
      </c>
      <c r="M2248">
        <v>0.9997045</v>
      </c>
      <c r="N2248">
        <v>0</v>
      </c>
      <c r="O2248">
        <v>2.407482E-2</v>
      </c>
      <c r="P2248">
        <v>0.99799969999999905</v>
      </c>
      <c r="Q2248">
        <v>5.6493439999999999E-2</v>
      </c>
      <c r="R2248">
        <v>2.8383129999999999E-2</v>
      </c>
      <c r="S2248">
        <v>3.0557859999999999</v>
      </c>
      <c r="T2248">
        <v>-0.76536110000000002</v>
      </c>
      <c r="U2248">
        <v>-0.2322388</v>
      </c>
      <c r="V2248">
        <v>-4.3226849999999997E-3</v>
      </c>
      <c r="W2248">
        <v>5.9850970000000003E-2</v>
      </c>
      <c r="X2248">
        <v>0.99819799999999903</v>
      </c>
      <c r="Y2248">
        <v>9.6073080000000005E-2</v>
      </c>
      <c r="Z2248">
        <v>-1.7762989999999999E-2</v>
      </c>
      <c r="AA2248">
        <v>0.99521579999999998</v>
      </c>
      <c r="AB2248">
        <v>45</v>
      </c>
      <c r="AC2248">
        <v>0.27590000000003501</v>
      </c>
      <c r="AD2248">
        <v>-0.18052029999999999</v>
      </c>
      <c r="AE2248">
        <v>-6.5899999999999098E-2</v>
      </c>
      <c r="AF2248">
        <v>5.16180070647368E-2</v>
      </c>
      <c r="AG2248">
        <v>-0.18052029999999999</v>
      </c>
      <c r="AH2248">
        <v>0.19518430394794201</v>
      </c>
      <c r="AI2248">
        <v>131.80093232411701</v>
      </c>
      <c r="AJ2248">
        <v>75.186805413608795</v>
      </c>
      <c r="AK2248">
        <v>0.27083003871998401</v>
      </c>
    </row>
    <row r="2249" spans="1:37" x14ac:dyDescent="0.2">
      <c r="A2249" t="str">
        <f>"20200111154109605"</f>
        <v>20200111154109605</v>
      </c>
      <c r="B2249" t="str">
        <f>"1578728469598085"</f>
        <v>1578728469598085</v>
      </c>
      <c r="C2249" t="s">
        <v>37</v>
      </c>
      <c r="D2249">
        <v>5.0603819999999997</v>
      </c>
      <c r="E2249">
        <v>0.53950799999999999</v>
      </c>
      <c r="F2249" t="s">
        <v>38</v>
      </c>
      <c r="G2249">
        <v>-430.21230000000003</v>
      </c>
      <c r="H2249">
        <v>0.93769809999999998</v>
      </c>
      <c r="I2249">
        <v>214.303</v>
      </c>
      <c r="J2249">
        <v>-430.45420000000001</v>
      </c>
      <c r="K2249">
        <v>1.108428</v>
      </c>
      <c r="L2249">
        <v>214.3657</v>
      </c>
      <c r="M2249">
        <v>0.99971189999999999</v>
      </c>
      <c r="N2249">
        <v>0</v>
      </c>
      <c r="O2249">
        <v>2.376522E-2</v>
      </c>
      <c r="P2249">
        <v>0.99794689999999997</v>
      </c>
      <c r="Q2249">
        <v>5.7430160000000001E-2</v>
      </c>
      <c r="R2249">
        <v>2.834948E-2</v>
      </c>
      <c r="S2249">
        <v>3.0559080000000001</v>
      </c>
      <c r="T2249">
        <v>-0.76416099999999998</v>
      </c>
      <c r="U2249">
        <v>-0.23292539999999901</v>
      </c>
      <c r="V2249">
        <v>-4.5899169999999998E-3</v>
      </c>
      <c r="W2249">
        <v>6.080957E-2</v>
      </c>
      <c r="X2249">
        <v>0.99813879999999999</v>
      </c>
      <c r="Y2249">
        <v>9.6007529999999994E-2</v>
      </c>
      <c r="Z2249">
        <v>-1.7650909999999999E-2</v>
      </c>
      <c r="AA2249">
        <v>0.99522409999999994</v>
      </c>
      <c r="AB2249">
        <v>45</v>
      </c>
      <c r="AC2249">
        <v>0.24189999999998599</v>
      </c>
      <c r="AD2249">
        <v>-0.17072989999999999</v>
      </c>
      <c r="AE2249">
        <v>-6.2700000000006598E-2</v>
      </c>
      <c r="AF2249">
        <v>4.6654119028424E-2</v>
      </c>
      <c r="AG2249">
        <v>-0.17072989999999999</v>
      </c>
      <c r="AH2249">
        <v>0.163857079423089</v>
      </c>
      <c r="AI2249">
        <v>135.06054625633399</v>
      </c>
      <c r="AJ2249">
        <v>74.107050233902598</v>
      </c>
      <c r="AK2249">
        <v>0.24119379770921301</v>
      </c>
    </row>
    <row r="2250" spans="1:37" x14ac:dyDescent="0.2">
      <c r="A2250" t="str">
        <f>"20200111154109626"</f>
        <v>20200111154109626</v>
      </c>
      <c r="B2250" t="str">
        <f>"1578728469618581"</f>
        <v>1578728469618581</v>
      </c>
      <c r="C2250" t="s">
        <v>37</v>
      </c>
      <c r="D2250">
        <v>5.1534769999999996</v>
      </c>
      <c r="E2250">
        <v>0.5394719</v>
      </c>
      <c r="F2250" t="s">
        <v>38</v>
      </c>
      <c r="G2250">
        <v>-429.43639999999999</v>
      </c>
      <c r="H2250">
        <v>0.85516489999999901</v>
      </c>
      <c r="I2250">
        <v>214.28790000000001</v>
      </c>
      <c r="J2250">
        <v>-430.00420000000003</v>
      </c>
      <c r="K2250">
        <v>1.108365</v>
      </c>
      <c r="L2250">
        <v>214.37620000000001</v>
      </c>
      <c r="M2250">
        <v>0.99972090000000002</v>
      </c>
      <c r="N2250">
        <v>0</v>
      </c>
      <c r="O2250">
        <v>2.3380689999999999E-2</v>
      </c>
      <c r="P2250">
        <v>0.9979268</v>
      </c>
      <c r="Q2250">
        <v>5.7484460000000001E-2</v>
      </c>
      <c r="R2250">
        <v>2.8944279999999999E-2</v>
      </c>
      <c r="S2250">
        <v>3.05661</v>
      </c>
      <c r="T2250">
        <v>-0.76062189999999996</v>
      </c>
      <c r="U2250">
        <v>-0.2337341</v>
      </c>
      <c r="V2250">
        <v>-5.5589219999999896E-3</v>
      </c>
      <c r="W2250">
        <v>6.0886679999999999E-2</v>
      </c>
      <c r="X2250">
        <v>0.99812919999999905</v>
      </c>
      <c r="Y2250">
        <v>9.5918790000000004E-2</v>
      </c>
      <c r="Z2250">
        <v>-1.7462510000000001E-2</v>
      </c>
      <c r="AA2250">
        <v>0.99523600000000001</v>
      </c>
      <c r="AB2250">
        <v>45</v>
      </c>
      <c r="AC2250">
        <v>0.56780000000003295</v>
      </c>
      <c r="AD2250">
        <v>-0.25320009999999998</v>
      </c>
      <c r="AE2250">
        <v>-8.8300000000003806E-2</v>
      </c>
      <c r="AF2250">
        <v>8.5040133105794294E-2</v>
      </c>
      <c r="AG2250">
        <v>-0.25320009999999998</v>
      </c>
      <c r="AH2250">
        <v>0.47362198720811199</v>
      </c>
      <c r="AI2250">
        <v>117.752855970569</v>
      </c>
      <c r="AJ2250">
        <v>79.820849205724798</v>
      </c>
      <c r="AK2250">
        <v>0.54374617391354796</v>
      </c>
    </row>
    <row r="2251" spans="1:37" x14ac:dyDescent="0.2">
      <c r="A2251" t="str">
        <f>"20200111154109652"</f>
        <v>20200111154109652</v>
      </c>
      <c r="B2251" t="str">
        <f>"1578728469648838"</f>
        <v>1578728469648838</v>
      </c>
      <c r="C2251" t="s">
        <v>37</v>
      </c>
      <c r="D2251">
        <v>5.1145610000000001</v>
      </c>
      <c r="E2251">
        <v>0.56880940000000002</v>
      </c>
      <c r="F2251" t="s">
        <v>38</v>
      </c>
      <c r="G2251">
        <v>-429.02589999999998</v>
      </c>
      <c r="H2251">
        <v>0.8653016</v>
      </c>
      <c r="I2251">
        <v>214.30099999999999</v>
      </c>
      <c r="J2251">
        <v>-429.47919999999999</v>
      </c>
      <c r="K2251">
        <v>1.1082860000000001</v>
      </c>
      <c r="L2251">
        <v>214.38810000000001</v>
      </c>
      <c r="M2251">
        <v>0.99973319999999999</v>
      </c>
      <c r="N2251">
        <v>0</v>
      </c>
      <c r="O2251">
        <v>2.284885E-2</v>
      </c>
      <c r="P2251">
        <v>0.99791039999999998</v>
      </c>
      <c r="Q2251">
        <v>5.7851970000000003E-2</v>
      </c>
      <c r="R2251">
        <v>2.877178E-2</v>
      </c>
      <c r="S2251">
        <v>3.0567630000000001</v>
      </c>
      <c r="T2251">
        <v>-0.75943179999999999</v>
      </c>
      <c r="U2251">
        <v>-0.233810399999999</v>
      </c>
      <c r="V2251">
        <v>-5.9052669999999996E-3</v>
      </c>
      <c r="W2251">
        <v>6.1280759999999997E-2</v>
      </c>
      <c r="X2251">
        <v>0.99810309999999902</v>
      </c>
      <c r="Y2251">
        <v>9.545207E-2</v>
      </c>
      <c r="Z2251">
        <v>-1.7248099999999999E-2</v>
      </c>
      <c r="AA2251">
        <v>0.99528459999999996</v>
      </c>
      <c r="AB2251">
        <v>45</v>
      </c>
      <c r="AC2251">
        <v>0.45330000000001203</v>
      </c>
      <c r="AD2251">
        <v>-0.24298439999999999</v>
      </c>
      <c r="AE2251">
        <v>-8.71000000000208E-2</v>
      </c>
      <c r="AF2251">
        <v>7.6293583466568601E-2</v>
      </c>
      <c r="AG2251">
        <v>-0.24298439999999999</v>
      </c>
      <c r="AH2251">
        <v>0.35329318831239298</v>
      </c>
      <c r="AI2251">
        <v>123.911873575003</v>
      </c>
      <c r="AJ2251">
        <v>77.814116394900793</v>
      </c>
      <c r="AK2251">
        <v>0.43552061538975001</v>
      </c>
    </row>
    <row r="2252" spans="1:37" x14ac:dyDescent="0.2">
      <c r="A2252" t="str">
        <f>"20200111154109673"</f>
        <v>20200111154109673</v>
      </c>
      <c r="B2252" t="str">
        <f>"1578728469668360"</f>
        <v>1578728469668360</v>
      </c>
      <c r="C2252" t="s">
        <v>37</v>
      </c>
      <c r="D2252">
        <v>5.0825389999999997</v>
      </c>
      <c r="E2252">
        <v>0.56770209999999999</v>
      </c>
      <c r="F2252" t="s">
        <v>38</v>
      </c>
      <c r="G2252">
        <v>-428.60969999999998</v>
      </c>
      <c r="H2252">
        <v>0.87597950000000002</v>
      </c>
      <c r="I2252">
        <v>214.25470000000001</v>
      </c>
      <c r="J2252">
        <v>-429.06889999999999</v>
      </c>
      <c r="K2252">
        <v>1.1082160000000001</v>
      </c>
      <c r="L2252">
        <v>214.3972</v>
      </c>
      <c r="M2252">
        <v>0.99974390000000002</v>
      </c>
      <c r="N2252">
        <v>0</v>
      </c>
      <c r="O2252">
        <v>2.236606E-2</v>
      </c>
      <c r="P2252">
        <v>0.99788180000000004</v>
      </c>
      <c r="Q2252">
        <v>5.8577850000000001E-2</v>
      </c>
      <c r="R2252">
        <v>2.8295540000000001E-2</v>
      </c>
      <c r="S2252">
        <v>3.0673520000000001</v>
      </c>
      <c r="T2252">
        <v>-0.81950239999999996</v>
      </c>
      <c r="U2252">
        <v>-0.46957399999999999</v>
      </c>
      <c r="V2252">
        <v>-5.9011869999999996E-3</v>
      </c>
      <c r="W2252">
        <v>6.2027970000000002E-2</v>
      </c>
      <c r="X2252">
        <v>0.99805689999999903</v>
      </c>
      <c r="Y2252">
        <v>0.16690099999999999</v>
      </c>
      <c r="Z2252">
        <v>-2.763291E-2</v>
      </c>
      <c r="AA2252">
        <v>0.98558630000000003</v>
      </c>
      <c r="AB2252">
        <v>45</v>
      </c>
      <c r="AC2252">
        <v>0.45920000000000899</v>
      </c>
      <c r="AD2252">
        <v>-0.23223650000000001</v>
      </c>
      <c r="AE2252">
        <v>-0.142499999999984</v>
      </c>
      <c r="AF2252">
        <v>0.12384175721877801</v>
      </c>
      <c r="AG2252">
        <v>-0.23223650000000001</v>
      </c>
      <c r="AH2252">
        <v>0.369654869677846</v>
      </c>
      <c r="AI2252">
        <v>120.78269263580199</v>
      </c>
      <c r="AJ2252">
        <v>71.478122637392602</v>
      </c>
      <c r="AK2252">
        <v>0.453778905900032</v>
      </c>
    </row>
    <row r="2253" spans="1:37" x14ac:dyDescent="0.2">
      <c r="A2253" t="str">
        <f>"20200111154109694"</f>
        <v>20200111154109694</v>
      </c>
      <c r="B2253" t="str">
        <f>"1578728469688853"</f>
        <v>1578728469688853</v>
      </c>
      <c r="C2253" t="s">
        <v>37</v>
      </c>
      <c r="D2253">
        <v>5.0878579999999998</v>
      </c>
      <c r="E2253">
        <v>0.56669950000000002</v>
      </c>
      <c r="F2253" t="s">
        <v>38</v>
      </c>
      <c r="G2253">
        <v>-428.19959999999998</v>
      </c>
      <c r="H2253">
        <v>0.87849659999999996</v>
      </c>
      <c r="I2253">
        <v>214.26580000000001</v>
      </c>
      <c r="J2253">
        <v>-428.62990000000002</v>
      </c>
      <c r="K2253">
        <v>1.1081350000000001</v>
      </c>
      <c r="L2253">
        <v>214.4067</v>
      </c>
      <c r="M2253">
        <v>0.99975689999999995</v>
      </c>
      <c r="N2253">
        <v>0</v>
      </c>
      <c r="O2253">
        <v>2.177393E-2</v>
      </c>
      <c r="P2253">
        <v>0.99786589999999997</v>
      </c>
      <c r="Q2253">
        <v>5.8873469999999997E-2</v>
      </c>
      <c r="R2253">
        <v>2.8250830000000001E-2</v>
      </c>
      <c r="S2253">
        <v>3.067078</v>
      </c>
      <c r="T2253">
        <v>-0.81044229999999995</v>
      </c>
      <c r="U2253">
        <v>-0.46243289999999998</v>
      </c>
      <c r="V2253">
        <v>-6.4364560000000001E-3</v>
      </c>
      <c r="W2253">
        <v>6.2346829999999999E-2</v>
      </c>
      <c r="X2253">
        <v>0.99803379999999997</v>
      </c>
      <c r="Y2253">
        <v>0.16433049999999999</v>
      </c>
      <c r="Z2253">
        <v>-2.6859069999999999E-2</v>
      </c>
      <c r="AA2253">
        <v>0.98603960000000002</v>
      </c>
      <c r="AB2253">
        <v>46</v>
      </c>
      <c r="AC2253">
        <v>0.43030000000004498</v>
      </c>
      <c r="AD2253">
        <v>-0.22963839999999999</v>
      </c>
      <c r="AE2253">
        <v>-0.14089999999998701</v>
      </c>
      <c r="AF2253">
        <v>0.119498142005718</v>
      </c>
      <c r="AG2253">
        <v>-0.22963839999999999</v>
      </c>
      <c r="AH2253">
        <v>0.33974049200032702</v>
      </c>
      <c r="AI2253">
        <v>122.52281097833399</v>
      </c>
      <c r="AJ2253">
        <v>70.621514140589994</v>
      </c>
      <c r="AK2253">
        <v>0.42712668214711502</v>
      </c>
    </row>
    <row r="2254" spans="1:37" x14ac:dyDescent="0.2">
      <c r="A2254" t="str">
        <f>"20200111154109716"</f>
        <v>20200111154109716</v>
      </c>
      <c r="B2254" t="str">
        <f>"1578728469708373"</f>
        <v>1578728469708373</v>
      </c>
      <c r="C2254" t="s">
        <v>37</v>
      </c>
      <c r="D2254">
        <v>5.1101900000000002</v>
      </c>
      <c r="E2254">
        <v>0.566245</v>
      </c>
      <c r="F2254" t="s">
        <v>38</v>
      </c>
      <c r="G2254">
        <v>-427.786</v>
      </c>
      <c r="H2254">
        <v>0.88660289999999997</v>
      </c>
      <c r="I2254">
        <v>214.28110000000001</v>
      </c>
      <c r="J2254">
        <v>-428.17309999999998</v>
      </c>
      <c r="K2254">
        <v>1.1080410000000001</v>
      </c>
      <c r="L2254">
        <v>214.41630000000001</v>
      </c>
      <c r="M2254">
        <v>0.99977199999999899</v>
      </c>
      <c r="N2254">
        <v>0</v>
      </c>
      <c r="O2254">
        <v>2.107121E-2</v>
      </c>
      <c r="P2254">
        <v>0.99786769999999902</v>
      </c>
      <c r="Q2254">
        <v>5.8530140000000001E-2</v>
      </c>
      <c r="R2254">
        <v>2.8893720000000001E-2</v>
      </c>
      <c r="S2254">
        <v>3.06680299999999</v>
      </c>
      <c r="T2254">
        <v>-0.80511069999999996</v>
      </c>
      <c r="U2254">
        <v>-0.45555109999999899</v>
      </c>
      <c r="V2254">
        <v>-7.7676949999999998E-3</v>
      </c>
      <c r="W2254">
        <v>6.2029870000000001E-2</v>
      </c>
      <c r="X2254">
        <v>0.99804409999999899</v>
      </c>
      <c r="Y2254">
        <v>0.16167490000000001</v>
      </c>
      <c r="Z2254">
        <v>-2.6172979999999998E-2</v>
      </c>
      <c r="AA2254">
        <v>0.98649690000000001</v>
      </c>
      <c r="AB2254">
        <v>46</v>
      </c>
      <c r="AC2254">
        <v>0.38709999999997502</v>
      </c>
      <c r="AD2254">
        <v>-0.2214381</v>
      </c>
      <c r="AE2254">
        <v>-0.13519999999999699</v>
      </c>
      <c r="AF2254">
        <v>0.110963501611633</v>
      </c>
      <c r="AG2254">
        <v>-0.2214381</v>
      </c>
      <c r="AH2254">
        <v>0.29742063360961501</v>
      </c>
      <c r="AI2254">
        <v>124.898146935108</v>
      </c>
      <c r="AJ2254">
        <v>69.540154532550304</v>
      </c>
      <c r="AK2254">
        <v>0.387048787775223</v>
      </c>
    </row>
    <row r="2255" spans="1:37" x14ac:dyDescent="0.2">
      <c r="A2255" t="str">
        <f>"20200111154109738"</f>
        <v>20200111154109738</v>
      </c>
      <c r="B2255" t="str">
        <f>"1578728469728868"</f>
        <v>1578728469728868</v>
      </c>
      <c r="C2255" t="s">
        <v>37</v>
      </c>
      <c r="D2255">
        <v>5.1100659999999998</v>
      </c>
      <c r="E2255">
        <v>0.56590119999999999</v>
      </c>
      <c r="F2255" t="s">
        <v>38</v>
      </c>
      <c r="G2255">
        <v>-427.37009999999998</v>
      </c>
      <c r="H2255">
        <v>0.89764049999999995</v>
      </c>
      <c r="I2255">
        <v>214.298</v>
      </c>
      <c r="J2255">
        <v>-427.71940000000001</v>
      </c>
      <c r="K2255">
        <v>1.107942</v>
      </c>
      <c r="L2255">
        <v>214.4255</v>
      </c>
      <c r="M2255">
        <v>0.99978799999999901</v>
      </c>
      <c r="N2255">
        <v>0</v>
      </c>
      <c r="O2255">
        <v>2.0287799999999901E-2</v>
      </c>
      <c r="P2255">
        <v>0.99786949999999996</v>
      </c>
      <c r="Q2255">
        <v>5.838459E-2</v>
      </c>
      <c r="R2255">
        <v>2.912234E-2</v>
      </c>
      <c r="S2255">
        <v>3.066589</v>
      </c>
      <c r="T2255">
        <v>-0.80348180000000002</v>
      </c>
      <c r="U2255">
        <v>-0.4507294</v>
      </c>
      <c r="V2255">
        <v>-8.7647769999999996E-3</v>
      </c>
      <c r="W2255">
        <v>6.1910890000000003E-2</v>
      </c>
      <c r="X2255">
        <v>0.99804319999999902</v>
      </c>
      <c r="Y2255">
        <v>0.159513299999999</v>
      </c>
      <c r="Z2255">
        <v>-2.5648279999999999E-2</v>
      </c>
      <c r="AA2255">
        <v>0.98686249999999998</v>
      </c>
      <c r="AB2255">
        <v>46</v>
      </c>
      <c r="AC2255">
        <v>0.34930000000002698</v>
      </c>
      <c r="AD2255">
        <v>-0.210301499999999</v>
      </c>
      <c r="AE2255">
        <v>-0.127499999999997</v>
      </c>
      <c r="AF2255">
        <v>0.101950053935595</v>
      </c>
      <c r="AG2255">
        <v>-0.210301499999999</v>
      </c>
      <c r="AH2255">
        <v>0.26263393528326301</v>
      </c>
      <c r="AI2255">
        <v>126.74028198145</v>
      </c>
      <c r="AJ2255">
        <v>68.784629496781207</v>
      </c>
      <c r="AK2255">
        <v>0.351563818334728</v>
      </c>
    </row>
    <row r="2256" spans="1:37" x14ac:dyDescent="0.2">
      <c r="A2256" t="str">
        <f>"20200111154109762"</f>
        <v>20200111154109762</v>
      </c>
      <c r="B2256" t="str">
        <f>"1578728469758149"</f>
        <v>1578728469758149</v>
      </c>
      <c r="C2256" t="s">
        <v>37</v>
      </c>
      <c r="D2256">
        <v>5.1085709999999898</v>
      </c>
      <c r="E2256">
        <v>0.56595709999999999</v>
      </c>
      <c r="F2256" t="s">
        <v>38</v>
      </c>
      <c r="G2256">
        <v>-426.95319999999998</v>
      </c>
      <c r="H2256">
        <v>0.90734029999999999</v>
      </c>
      <c r="I2256">
        <v>214.31379999999999</v>
      </c>
      <c r="J2256">
        <v>-427.23689999999999</v>
      </c>
      <c r="K2256">
        <v>1.107837</v>
      </c>
      <c r="L2256">
        <v>214.4348</v>
      </c>
      <c r="M2256">
        <v>0.99980630000000004</v>
      </c>
      <c r="N2256">
        <v>0</v>
      </c>
      <c r="O2256">
        <v>1.9369959999999999E-2</v>
      </c>
      <c r="P2256">
        <v>0.99784569999999995</v>
      </c>
      <c r="Q2256">
        <v>5.8758499999999998E-2</v>
      </c>
      <c r="R2256">
        <v>2.91878E-2</v>
      </c>
      <c r="S2256">
        <v>3.0664060000000002</v>
      </c>
      <c r="T2256">
        <v>-0.80283609999999905</v>
      </c>
      <c r="U2256">
        <v>-0.44680789999999998</v>
      </c>
      <c r="V2256">
        <v>-9.7320419999999998E-3</v>
      </c>
      <c r="W2256">
        <v>6.2312569999999998E-2</v>
      </c>
      <c r="X2256">
        <v>0.99800919999999904</v>
      </c>
      <c r="Y2256">
        <v>0.15748529999999999</v>
      </c>
      <c r="Z2256">
        <v>-2.5136990000000001E-2</v>
      </c>
      <c r="AA2256">
        <v>0.98720129999999995</v>
      </c>
      <c r="AB2256">
        <v>46</v>
      </c>
      <c r="AC2256">
        <v>0.28370000000001</v>
      </c>
      <c r="AD2256">
        <v>-0.2004967</v>
      </c>
      <c r="AE2256">
        <v>-0.121000000000009</v>
      </c>
      <c r="AF2256">
        <v>8.8903484010070505E-2</v>
      </c>
      <c r="AG2256">
        <v>-0.2004967</v>
      </c>
      <c r="AH2256">
        <v>0.19774099913423701</v>
      </c>
      <c r="AI2256">
        <v>132.76171851469701</v>
      </c>
      <c r="AJ2256">
        <v>65.791525925456298</v>
      </c>
      <c r="AK2256">
        <v>0.29530367237578498</v>
      </c>
    </row>
    <row r="2257" spans="1:37" x14ac:dyDescent="0.2">
      <c r="A2257" t="str">
        <f>"20200111154109784"</f>
        <v>20200111154109784</v>
      </c>
      <c r="B2257" t="str">
        <f>"1578728469778646"</f>
        <v>1578728469778646</v>
      </c>
      <c r="C2257" t="s">
        <v>37</v>
      </c>
      <c r="D2257">
        <v>5.1027750000000003</v>
      </c>
      <c r="E2257">
        <v>0.56620649999999995</v>
      </c>
      <c r="F2257" t="s">
        <v>38</v>
      </c>
      <c r="G2257">
        <v>-426.53219999999999</v>
      </c>
      <c r="H2257">
        <v>0.92396990000000001</v>
      </c>
      <c r="I2257">
        <v>214.33179999999999</v>
      </c>
      <c r="J2257">
        <v>-426.78590000000003</v>
      </c>
      <c r="K2257">
        <v>1.1077509999999999</v>
      </c>
      <c r="L2257">
        <v>214.44299999999899</v>
      </c>
      <c r="M2257">
        <v>0.99982369999999898</v>
      </c>
      <c r="N2257">
        <v>0</v>
      </c>
      <c r="O2257">
        <v>1.8443350000000001E-2</v>
      </c>
      <c r="P2257">
        <v>0.99778909999999998</v>
      </c>
      <c r="Q2257">
        <v>5.925105E-2</v>
      </c>
      <c r="R2257">
        <v>3.0117140000000001E-2</v>
      </c>
      <c r="S2257">
        <v>3.0666199999999999</v>
      </c>
      <c r="T2257">
        <v>-0.800014</v>
      </c>
      <c r="U2257">
        <v>-0.44638059999999902</v>
      </c>
      <c r="V2257">
        <v>-1.1572860000000001E-2</v>
      </c>
      <c r="W2257">
        <v>6.2834169999999995E-2</v>
      </c>
      <c r="X2257">
        <v>0.99795689999999904</v>
      </c>
      <c r="Y2257">
        <v>0.15652939999999901</v>
      </c>
      <c r="Z2257">
        <v>-2.4691290000000001E-2</v>
      </c>
      <c r="AA2257">
        <v>0.98736460000000004</v>
      </c>
      <c r="AB2257">
        <v>46</v>
      </c>
      <c r="AC2257">
        <v>0.25370000000003701</v>
      </c>
      <c r="AD2257">
        <v>-0.183781099999999</v>
      </c>
      <c r="AE2257">
        <v>-0.111199999999996</v>
      </c>
      <c r="AF2257">
        <v>8.0447781659989004E-2</v>
      </c>
      <c r="AG2257">
        <v>-0.183781099999999</v>
      </c>
      <c r="AH2257">
        <v>0.17470313833128401</v>
      </c>
      <c r="AI2257">
        <v>133.697054936406</v>
      </c>
      <c r="AJ2257">
        <v>65.274744998188396</v>
      </c>
      <c r="AK2257">
        <v>0.26602354187932897</v>
      </c>
    </row>
    <row r="2258" spans="1:37" x14ac:dyDescent="0.2">
      <c r="A2258" t="str">
        <f>"20200111154109818"</f>
        <v>20200111154109818</v>
      </c>
      <c r="B2258" t="str">
        <f>"1578728469808901"</f>
        <v>1578728469808901</v>
      </c>
      <c r="C2258" t="s">
        <v>37</v>
      </c>
      <c r="D2258">
        <v>5.1140739999999996</v>
      </c>
      <c r="E2258">
        <v>0.56663450000000004</v>
      </c>
      <c r="F2258" t="s">
        <v>38</v>
      </c>
      <c r="G2258">
        <v>-425.73289999999997</v>
      </c>
      <c r="H2258">
        <v>0.8332849</v>
      </c>
      <c r="I2258">
        <v>214.2901</v>
      </c>
      <c r="J2258">
        <v>-426.05090000000001</v>
      </c>
      <c r="K2258">
        <v>1.107621</v>
      </c>
      <c r="L2258">
        <v>214.4555</v>
      </c>
      <c r="M2258">
        <v>0.99985199999999996</v>
      </c>
      <c r="N2258">
        <v>0</v>
      </c>
      <c r="O2258">
        <v>1.6828280000000001E-2</v>
      </c>
      <c r="P2258">
        <v>0.99770780000000003</v>
      </c>
      <c r="Q2258">
        <v>6.0662050000000002E-2</v>
      </c>
      <c r="R2258">
        <v>2.9992149999999999E-2</v>
      </c>
      <c r="S2258">
        <v>3.0675050000000001</v>
      </c>
      <c r="T2258">
        <v>-0.79945310000000003</v>
      </c>
      <c r="U2258">
        <v>-0.44447330000000002</v>
      </c>
      <c r="V2258">
        <v>-1.3039190000000001E-2</v>
      </c>
      <c r="W2258">
        <v>6.4287949999999996E-2</v>
      </c>
      <c r="X2258">
        <v>0.99784619999999902</v>
      </c>
      <c r="Y2258">
        <v>0.154425799999999</v>
      </c>
      <c r="Z2258">
        <v>-2.39882999999999E-2</v>
      </c>
      <c r="AA2258">
        <v>0.98771319999999996</v>
      </c>
      <c r="AB2258">
        <v>47</v>
      </c>
      <c r="AC2258">
        <v>0.31800000000003997</v>
      </c>
      <c r="AD2258">
        <v>-0.27433609999999897</v>
      </c>
      <c r="AE2258">
        <v>-0.16540000000000499</v>
      </c>
      <c r="AF2258">
        <v>0.10766258686126901</v>
      </c>
      <c r="AG2258">
        <v>-0.27433609999999897</v>
      </c>
      <c r="AH2258">
        <v>0.198749963027468</v>
      </c>
      <c r="AI2258">
        <v>140.51344594288301</v>
      </c>
      <c r="AJ2258">
        <v>61.5556545365381</v>
      </c>
      <c r="AK2258">
        <v>0.35546177878400698</v>
      </c>
    </row>
    <row r="2259" spans="1:37" x14ac:dyDescent="0.2">
      <c r="A2259" t="str">
        <f>"20200111154109841"</f>
        <v>20200111154109841</v>
      </c>
      <c r="B2259" t="str">
        <f>"1578728469838181"</f>
        <v>1578728469838181</v>
      </c>
      <c r="C2259" t="s">
        <v>37</v>
      </c>
      <c r="D2259">
        <v>5.0982659999999997</v>
      </c>
      <c r="E2259">
        <v>0.56710459999999996</v>
      </c>
      <c r="F2259" t="s">
        <v>38</v>
      </c>
      <c r="G2259">
        <v>-425.28579999999999</v>
      </c>
      <c r="H2259">
        <v>0.909184199999999</v>
      </c>
      <c r="I2259">
        <v>214.34350000000001</v>
      </c>
      <c r="J2259">
        <v>-425.57670000000002</v>
      </c>
      <c r="K2259">
        <v>1.107567</v>
      </c>
      <c r="L2259">
        <v>214.46299999999999</v>
      </c>
      <c r="M2259">
        <v>0.99986960000000003</v>
      </c>
      <c r="N2259">
        <v>0</v>
      </c>
      <c r="O2259">
        <v>1.5745519999999999E-2</v>
      </c>
      <c r="P2259">
        <v>0.99759609999999999</v>
      </c>
      <c r="Q2259">
        <v>6.230608E-2</v>
      </c>
      <c r="R2259">
        <v>3.034106E-2</v>
      </c>
      <c r="S2259">
        <v>3.0687259999999998</v>
      </c>
      <c r="T2259">
        <v>-0.79587350000000001</v>
      </c>
      <c r="U2259">
        <v>-0.44790649999999999</v>
      </c>
      <c r="V2259">
        <v>-1.445551E-2</v>
      </c>
      <c r="W2259">
        <v>6.5961430000000001E-2</v>
      </c>
      <c r="X2259">
        <v>0.99771739999999998</v>
      </c>
      <c r="Y2259">
        <v>0.15447179999999999</v>
      </c>
      <c r="Z2259">
        <v>-2.360421E-2</v>
      </c>
      <c r="AA2259">
        <v>0.98771520000000002</v>
      </c>
      <c r="AB2259">
        <v>47</v>
      </c>
      <c r="AC2259">
        <v>0.29090000000002098</v>
      </c>
      <c r="AD2259">
        <v>-0.1983828</v>
      </c>
      <c r="AE2259">
        <v>-0.11949999999998701</v>
      </c>
      <c r="AF2259">
        <v>8.8749986187312599E-2</v>
      </c>
      <c r="AG2259">
        <v>-0.1983828</v>
      </c>
      <c r="AH2259">
        <v>0.206722741847185</v>
      </c>
      <c r="AI2259">
        <v>131.40663945248201</v>
      </c>
      <c r="AJ2259">
        <v>66.765236468362104</v>
      </c>
      <c r="AK2259">
        <v>0.29994430713201797</v>
      </c>
    </row>
    <row r="2260" spans="1:37" x14ac:dyDescent="0.2">
      <c r="A2260" t="str">
        <f>"20200111154109863"</f>
        <v>20200111154109863</v>
      </c>
      <c r="B2260" t="str">
        <f>"1578728469858678"</f>
        <v>1578728469858678</v>
      </c>
      <c r="C2260" t="s">
        <v>37</v>
      </c>
      <c r="D2260">
        <v>5.0970750000000002</v>
      </c>
      <c r="E2260">
        <v>0.56751600000000002</v>
      </c>
      <c r="F2260" t="s">
        <v>38</v>
      </c>
      <c r="G2260">
        <v>-424.86040000000003</v>
      </c>
      <c r="H2260">
        <v>0.92297280000000004</v>
      </c>
      <c r="I2260">
        <v>214.35740000000001</v>
      </c>
      <c r="J2260">
        <v>-425.12630000000001</v>
      </c>
      <c r="K2260">
        <v>1.1075200000000001</v>
      </c>
      <c r="L2260">
        <v>214.46969999999999</v>
      </c>
      <c r="M2260">
        <v>0.99988539999999904</v>
      </c>
      <c r="N2260">
        <v>0</v>
      </c>
      <c r="O2260">
        <v>1.469759E-2</v>
      </c>
      <c r="P2260">
        <v>0.99748769999999998</v>
      </c>
      <c r="Q2260">
        <v>6.4085950000000003E-2</v>
      </c>
      <c r="R2260">
        <v>3.0189319999999999E-2</v>
      </c>
      <c r="S2260">
        <v>3.0703429999999998</v>
      </c>
      <c r="T2260">
        <v>-0.79114189999999995</v>
      </c>
      <c r="U2260">
        <v>-0.45060729999999999</v>
      </c>
      <c r="V2260">
        <v>-1.533759E-2</v>
      </c>
      <c r="W2260">
        <v>6.7766499999999993E-2</v>
      </c>
      <c r="X2260">
        <v>0.99758329999999995</v>
      </c>
      <c r="Y2260">
        <v>0.15432279999999901</v>
      </c>
      <c r="Z2260">
        <v>-2.3171770000000001E-2</v>
      </c>
      <c r="AA2260">
        <v>0.98774869999999904</v>
      </c>
      <c r="AB2260">
        <v>47</v>
      </c>
      <c r="AC2260">
        <v>0.26589999999998698</v>
      </c>
      <c r="AD2260">
        <v>-0.184547199999999</v>
      </c>
      <c r="AE2260">
        <v>-0.112299999999976</v>
      </c>
      <c r="AF2260">
        <v>8.2479491981082106E-2</v>
      </c>
      <c r="AG2260">
        <v>-0.184547199999999</v>
      </c>
      <c r="AH2260">
        <v>0.187552018218301</v>
      </c>
      <c r="AI2260">
        <v>132.01022851579199</v>
      </c>
      <c r="AJ2260">
        <v>66.261613335741899</v>
      </c>
      <c r="AK2260">
        <v>0.27574679538129798</v>
      </c>
    </row>
    <row r="2261" spans="1:37" x14ac:dyDescent="0.2">
      <c r="A2261" t="str">
        <f>"20200111154109885"</f>
        <v>20200111154109885</v>
      </c>
      <c r="B2261" t="str">
        <f>"1578728469878198"</f>
        <v>1578728469878198</v>
      </c>
      <c r="C2261" t="s">
        <v>37</v>
      </c>
      <c r="D2261">
        <v>5.1068899999999999</v>
      </c>
      <c r="E2261">
        <v>0.56789590000000001</v>
      </c>
      <c r="F2261" t="s">
        <v>38</v>
      </c>
      <c r="G2261">
        <v>-424.43579999999997</v>
      </c>
      <c r="H2261">
        <v>0.93069179999999996</v>
      </c>
      <c r="I2261">
        <v>214.3673</v>
      </c>
      <c r="J2261">
        <v>-424.65710000000001</v>
      </c>
      <c r="K2261">
        <v>1.1074790000000001</v>
      </c>
      <c r="L2261">
        <v>214.4761</v>
      </c>
      <c r="M2261">
        <v>0.99990089999999998</v>
      </c>
      <c r="N2261">
        <v>0</v>
      </c>
      <c r="O2261">
        <v>1.359671E-2</v>
      </c>
      <c r="P2261">
        <v>0.99740280000000003</v>
      </c>
      <c r="Q2261">
        <v>6.5552970000000002E-2</v>
      </c>
      <c r="R2261">
        <v>2.984732E-2</v>
      </c>
      <c r="S2261">
        <v>3.071777</v>
      </c>
      <c r="T2261">
        <v>-0.78651300000000002</v>
      </c>
      <c r="U2261">
        <v>-0.4534454</v>
      </c>
      <c r="V2261">
        <v>-1.6082760000000001E-2</v>
      </c>
      <c r="W2261">
        <v>6.9260249999999995E-2</v>
      </c>
      <c r="X2261">
        <v>0.99746900000000005</v>
      </c>
      <c r="Y2261">
        <v>0.15417059999999999</v>
      </c>
      <c r="Z2261">
        <v>-2.2733420000000001E-2</v>
      </c>
      <c r="AA2261">
        <v>0.98778269999999901</v>
      </c>
      <c r="AB2261">
        <v>47</v>
      </c>
      <c r="AC2261">
        <v>0.22130000000004199</v>
      </c>
      <c r="AD2261">
        <v>-0.17678720000000001</v>
      </c>
      <c r="AE2261">
        <v>-0.10880000000000201</v>
      </c>
      <c r="AF2261">
        <v>7.3845976556209003E-2</v>
      </c>
      <c r="AG2261">
        <v>-0.17678720000000001</v>
      </c>
      <c r="AH2261">
        <v>0.14518353162535499</v>
      </c>
      <c r="AI2261">
        <v>137.343729777683</v>
      </c>
      <c r="AJ2261">
        <v>63.040345455200502</v>
      </c>
      <c r="AK2261">
        <v>0.240385524091178</v>
      </c>
    </row>
    <row r="2262" spans="1:37" x14ac:dyDescent="0.2">
      <c r="A2262" t="str">
        <f>"20200111154109907"</f>
        <v>20200111154109907</v>
      </c>
      <c r="B2262" t="str">
        <f>"1578728469898693"</f>
        <v>1578728469898693</v>
      </c>
      <c r="C2262" t="s">
        <v>37</v>
      </c>
      <c r="D2262">
        <v>5.1283300000000001</v>
      </c>
      <c r="E2262">
        <v>0.54415729999999995</v>
      </c>
      <c r="F2262" t="s">
        <v>38</v>
      </c>
      <c r="G2262">
        <v>-423.62240000000003</v>
      </c>
      <c r="H2262">
        <v>0.84403419999999896</v>
      </c>
      <c r="I2262">
        <v>214.3219</v>
      </c>
      <c r="J2262">
        <v>-424.17520000000002</v>
      </c>
      <c r="K2262">
        <v>1.107445</v>
      </c>
      <c r="L2262">
        <v>214.4821</v>
      </c>
      <c r="M2262">
        <v>0.99991549999999996</v>
      </c>
      <c r="N2262">
        <v>0</v>
      </c>
      <c r="O2262">
        <v>1.2468460000000001E-2</v>
      </c>
      <c r="P2262">
        <v>0.99731950000000003</v>
      </c>
      <c r="Q2262">
        <v>6.6903829999999997E-2</v>
      </c>
      <c r="R2262">
        <v>2.9627649999999998E-2</v>
      </c>
      <c r="S2262">
        <v>3.072937</v>
      </c>
      <c r="T2262">
        <v>-0.78237749999999995</v>
      </c>
      <c r="U2262">
        <v>-0.45753480000000002</v>
      </c>
      <c r="V2262">
        <v>-1.697862E-2</v>
      </c>
      <c r="W2262">
        <v>7.0637779999999997E-2</v>
      </c>
      <c r="X2262">
        <v>0.99735750000000001</v>
      </c>
      <c r="Y2262">
        <v>0.15437790000000001</v>
      </c>
      <c r="Z2262">
        <v>-2.235171E-2</v>
      </c>
      <c r="AA2262">
        <v>0.98775900000000005</v>
      </c>
      <c r="AB2262">
        <v>47</v>
      </c>
      <c r="AC2262">
        <v>0.55279999999998997</v>
      </c>
      <c r="AD2262">
        <v>-0.2634108</v>
      </c>
      <c r="AE2262">
        <v>-0.16020000000000301</v>
      </c>
      <c r="AF2262">
        <v>0.13814400215241501</v>
      </c>
      <c r="AG2262">
        <v>-0.2634108</v>
      </c>
      <c r="AH2262">
        <v>0.45537502286651799</v>
      </c>
      <c r="AI2262">
        <v>118.966183671306</v>
      </c>
      <c r="AJ2262">
        <v>73.124135959184699</v>
      </c>
      <c r="AK2262">
        <v>0.54390755311726302</v>
      </c>
    </row>
    <row r="2263" spans="1:37" x14ac:dyDescent="0.2">
      <c r="A2263" t="str">
        <f>"20200111154109928"</f>
        <v>20200111154109928</v>
      </c>
      <c r="B2263" t="str">
        <f>"1578728469918212"</f>
        <v>1578728469918212</v>
      </c>
      <c r="C2263" t="s">
        <v>37</v>
      </c>
      <c r="D2263">
        <v>5.0847920000000002</v>
      </c>
      <c r="E2263">
        <v>0.498946</v>
      </c>
      <c r="F2263" t="s">
        <v>38</v>
      </c>
      <c r="G2263">
        <v>-423.18770000000001</v>
      </c>
      <c r="H2263">
        <v>0.87689479999999997</v>
      </c>
      <c r="I2263">
        <v>214.39490000000001</v>
      </c>
      <c r="J2263">
        <v>-423.71730000000002</v>
      </c>
      <c r="K2263">
        <v>1.107416</v>
      </c>
      <c r="L2263">
        <v>214.48740000000001</v>
      </c>
      <c r="M2263">
        <v>0.99992809999999899</v>
      </c>
      <c r="N2263">
        <v>0</v>
      </c>
      <c r="O2263">
        <v>1.140333E-2</v>
      </c>
      <c r="P2263">
        <v>0.99718839999999997</v>
      </c>
      <c r="Q2263">
        <v>6.8755750000000004E-2</v>
      </c>
      <c r="R2263">
        <v>2.9804799999999999E-2</v>
      </c>
      <c r="S2263">
        <v>3.0640259999999899</v>
      </c>
      <c r="T2263">
        <v>-0.71532299999999904</v>
      </c>
      <c r="U2263">
        <v>-0.26893620000000001</v>
      </c>
      <c r="V2263">
        <v>-1.8208370000000001E-2</v>
      </c>
      <c r="W2263">
        <v>7.2516460000000005E-2</v>
      </c>
      <c r="X2263">
        <v>0.997201</v>
      </c>
      <c r="Y2263">
        <v>9.5925090000000005E-2</v>
      </c>
      <c r="Z2263">
        <v>-1.365068E-2</v>
      </c>
      <c r="AA2263">
        <v>0.99529489999999998</v>
      </c>
      <c r="AB2263">
        <v>47</v>
      </c>
      <c r="AC2263">
        <v>0.52960000000001595</v>
      </c>
      <c r="AD2263">
        <v>-0.23052119999999901</v>
      </c>
      <c r="AE2263">
        <v>-9.2500000000001095E-2</v>
      </c>
      <c r="AF2263">
        <v>8.3230834299540604E-2</v>
      </c>
      <c r="AG2263">
        <v>-0.23052119999999901</v>
      </c>
      <c r="AH2263">
        <v>0.44643203440245399</v>
      </c>
      <c r="AI2263">
        <v>116.913119465317</v>
      </c>
      <c r="AJ2263">
        <v>79.4392692279838</v>
      </c>
      <c r="AK2263">
        <v>0.50928278664053805</v>
      </c>
    </row>
    <row r="2264" spans="1:37" x14ac:dyDescent="0.2">
      <c r="A2264" t="str">
        <f>"20200111154109952"</f>
        <v>20200111154109952</v>
      </c>
      <c r="B2264" t="str">
        <f>"1578728469948470"</f>
        <v>1578728469948470</v>
      </c>
      <c r="C2264" t="s">
        <v>37</v>
      </c>
      <c r="D2264">
        <v>5.1253640000000003</v>
      </c>
      <c r="E2264">
        <v>0.49362840000000002</v>
      </c>
      <c r="F2264" t="s">
        <v>38</v>
      </c>
      <c r="G2264">
        <v>-422.70870000000002</v>
      </c>
      <c r="H2264">
        <v>0.99221589999999904</v>
      </c>
      <c r="I2264">
        <v>214.51859999999999</v>
      </c>
      <c r="J2264">
        <v>-423.22030000000001</v>
      </c>
      <c r="K2264">
        <v>1.107386</v>
      </c>
      <c r="L2264">
        <v>214.49260000000001</v>
      </c>
      <c r="M2264">
        <v>0.99994050000000001</v>
      </c>
      <c r="N2264">
        <v>0</v>
      </c>
      <c r="O2264">
        <v>1.0263329999999999E-2</v>
      </c>
      <c r="P2264">
        <v>0.99708269999999899</v>
      </c>
      <c r="Q2264">
        <v>7.0303130000000005E-2</v>
      </c>
      <c r="R2264">
        <v>2.9727610000000002E-2</v>
      </c>
      <c r="S2264">
        <v>3.0295099999999899</v>
      </c>
      <c r="T2264">
        <v>-0.34604020000000002</v>
      </c>
      <c r="U2264">
        <v>9.3917849999999997E-2</v>
      </c>
      <c r="V2264">
        <v>-1.925936E-2</v>
      </c>
      <c r="W2264">
        <v>7.4091980000000002E-2</v>
      </c>
      <c r="X2264">
        <v>0.99706539999999999</v>
      </c>
      <c r="Y2264">
        <v>-2.065848E-2</v>
      </c>
      <c r="Z2264" s="1">
        <v>7.5564019999999998E-6</v>
      </c>
      <c r="AA2264">
        <v>0.99978659999999997</v>
      </c>
      <c r="AB2264">
        <v>48</v>
      </c>
      <c r="AC2264">
        <v>0.51159999999998695</v>
      </c>
      <c r="AD2264">
        <v>-0.1151701</v>
      </c>
      <c r="AE2264">
        <v>2.5999999999981999E-2</v>
      </c>
      <c r="AF2264">
        <v>-1.9749586321804201E-2</v>
      </c>
      <c r="AG2264">
        <v>-0.1151701</v>
      </c>
      <c r="AH2264">
        <v>0.487212608202025</v>
      </c>
      <c r="AI2264">
        <v>103.289242327667</v>
      </c>
      <c r="AJ2264">
        <v>92.321263353042596</v>
      </c>
      <c r="AK2264">
        <v>0.50102926429991301</v>
      </c>
    </row>
    <row r="2265" spans="1:37" x14ac:dyDescent="0.2">
      <c r="A2265" t="str">
        <f>"20200111154109972"</f>
        <v>20200111154109972</v>
      </c>
      <c r="B2265" t="str">
        <f>"1578728469967989"</f>
        <v>1578728469967989</v>
      </c>
      <c r="C2265" t="s">
        <v>37</v>
      </c>
      <c r="D2265">
        <v>5.116422</v>
      </c>
      <c r="E2265">
        <v>0.49311099999999902</v>
      </c>
      <c r="F2265" t="s">
        <v>45</v>
      </c>
      <c r="G2265">
        <v>-404.97480000000002</v>
      </c>
      <c r="H2265" s="1">
        <v>6.0505499999999899E-6</v>
      </c>
      <c r="I2265">
        <v>215.32079999999999</v>
      </c>
      <c r="J2265">
        <v>-422.77780000000001</v>
      </c>
      <c r="K2265">
        <v>1.1073709999999899</v>
      </c>
      <c r="L2265">
        <v>214.4967</v>
      </c>
      <c r="M2265">
        <v>0.99995000000000001</v>
      </c>
      <c r="N2265">
        <v>0</v>
      </c>
      <c r="O2265">
        <v>9.2698139999999995E-3</v>
      </c>
      <c r="P2265">
        <v>0.99708459999999999</v>
      </c>
      <c r="Q2265">
        <v>7.0616769999999995E-2</v>
      </c>
      <c r="R2265">
        <v>2.891318E-2</v>
      </c>
      <c r="S2265">
        <v>3.017639</v>
      </c>
      <c r="T2265">
        <v>-0.18315090000000001</v>
      </c>
      <c r="U2265">
        <v>0.13699339999999999</v>
      </c>
      <c r="V2265">
        <v>-1.9432399999999999E-2</v>
      </c>
      <c r="W2265">
        <v>7.4428170000000002E-2</v>
      </c>
      <c r="X2265">
        <v>0.99703709999999901</v>
      </c>
      <c r="Y2265">
        <v>-3.6039399999999999E-2</v>
      </c>
      <c r="Z2265">
        <v>5.3033189999999997E-4</v>
      </c>
      <c r="AA2265">
        <v>0.99935019999999997</v>
      </c>
      <c r="AB2265">
        <v>48</v>
      </c>
      <c r="AC2265">
        <v>17.802999999999901</v>
      </c>
      <c r="AD2265">
        <v>-1.10736494945</v>
      </c>
      <c r="AE2265">
        <v>0.82409999999998695</v>
      </c>
      <c r="AF2265">
        <v>-0.65649839152589595</v>
      </c>
      <c r="AG2265">
        <v>-1.10736494945</v>
      </c>
      <c r="AH2265">
        <v>17.741380308985999</v>
      </c>
      <c r="AI2265">
        <v>93.569164775062106</v>
      </c>
      <c r="AJ2265">
        <v>92.119194347743601</v>
      </c>
      <c r="AK2265">
        <v>17.788024694648499</v>
      </c>
    </row>
    <row r="2266" spans="1:37" x14ac:dyDescent="0.2">
      <c r="A2266" t="str">
        <f>"20200111154109995"</f>
        <v>20200111154109995</v>
      </c>
      <c r="B2266" t="str">
        <f>"1578728469988485"</f>
        <v>1578728469988485</v>
      </c>
      <c r="C2266" t="s">
        <v>37</v>
      </c>
      <c r="D2266">
        <v>5.144685</v>
      </c>
      <c r="E2266">
        <v>0.49312410000000001</v>
      </c>
      <c r="F2266" t="s">
        <v>45</v>
      </c>
      <c r="G2266">
        <v>-400.83980000000003</v>
      </c>
      <c r="H2266" s="1">
        <v>7.8453919999999992E-6</v>
      </c>
      <c r="I2266">
        <v>215.50899999999999</v>
      </c>
      <c r="J2266">
        <v>-422.29140000000001</v>
      </c>
      <c r="K2266">
        <v>1.107356</v>
      </c>
      <c r="L2266">
        <v>214.5008</v>
      </c>
      <c r="M2266">
        <v>0.9999593</v>
      </c>
      <c r="N2266">
        <v>0</v>
      </c>
      <c r="O2266">
        <v>8.2092550000000004E-3</v>
      </c>
      <c r="P2266">
        <v>0.99717330000000004</v>
      </c>
      <c r="Q2266">
        <v>6.9863270000000005E-2</v>
      </c>
      <c r="R2266">
        <v>2.765687E-2</v>
      </c>
      <c r="S2266">
        <v>3.0155639999999999</v>
      </c>
      <c r="T2266">
        <v>-0.15221660000000001</v>
      </c>
      <c r="U2266">
        <v>0.13914489999999999</v>
      </c>
      <c r="V2266">
        <v>-1.923472E-2</v>
      </c>
      <c r="W2266">
        <v>7.3697750000000006E-2</v>
      </c>
      <c r="X2266">
        <v>0.99709509999999901</v>
      </c>
      <c r="Y2266">
        <v>-3.7853409999999997E-2</v>
      </c>
      <c r="Z2266">
        <v>5.4037360000000001E-4</v>
      </c>
      <c r="AA2266">
        <v>0.99928309999999998</v>
      </c>
      <c r="AB2266">
        <v>48</v>
      </c>
      <c r="AC2266">
        <v>21.4515999999999</v>
      </c>
      <c r="AD2266">
        <v>-1.107348154608</v>
      </c>
      <c r="AE2266">
        <v>1.00820000000001</v>
      </c>
      <c r="AF2266">
        <v>-0.82985669012612995</v>
      </c>
      <c r="AG2266">
        <v>-1.107348154608</v>
      </c>
      <c r="AH2266">
        <v>21.4022488112379</v>
      </c>
      <c r="AI2266">
        <v>92.959611315652793</v>
      </c>
      <c r="AJ2266">
        <v>92.220489986894293</v>
      </c>
      <c r="AK2266">
        <v>21.446937689092</v>
      </c>
    </row>
    <row r="2267" spans="1:37" x14ac:dyDescent="0.2">
      <c r="A2267" t="str">
        <f>"20200111154110018"</f>
        <v>20200111154110018</v>
      </c>
      <c r="B2267" t="str">
        <f>"1578728470008981"</f>
        <v>1578728470008981</v>
      </c>
      <c r="C2267" t="s">
        <v>37</v>
      </c>
      <c r="D2267">
        <v>5.1118790000000001</v>
      </c>
      <c r="E2267">
        <v>0.49346200000000001</v>
      </c>
      <c r="F2267" t="s">
        <v>44</v>
      </c>
      <c r="G2267">
        <v>-399.83940000000001</v>
      </c>
      <c r="H2267" s="1">
        <v>3.6992329999999999E-6</v>
      </c>
      <c r="I2267">
        <v>215.50829999999999</v>
      </c>
      <c r="J2267">
        <v>-421.7919</v>
      </c>
      <c r="K2267">
        <v>1.107362</v>
      </c>
      <c r="L2267">
        <v>214.50450000000001</v>
      </c>
      <c r="M2267">
        <v>0.9999671</v>
      </c>
      <c r="N2267">
        <v>0</v>
      </c>
      <c r="O2267">
        <v>7.1629759999999997E-3</v>
      </c>
      <c r="P2267">
        <v>0.99720189999999997</v>
      </c>
      <c r="Q2267">
        <v>6.9877430000000004E-2</v>
      </c>
      <c r="R2267">
        <v>2.656965E-2</v>
      </c>
      <c r="S2267">
        <v>3.0151979999999998</v>
      </c>
      <c r="T2267">
        <v>-0.14871219999999999</v>
      </c>
      <c r="U2267">
        <v>0.13529969999999999</v>
      </c>
      <c r="V2267">
        <v>-1.9191400000000001E-2</v>
      </c>
      <c r="W2267">
        <v>7.3735800000000004E-2</v>
      </c>
      <c r="X2267">
        <v>0.99709309999999995</v>
      </c>
      <c r="Y2267">
        <v>-3.7633519999999997E-2</v>
      </c>
      <c r="Z2267">
        <v>5.7415109999999999E-4</v>
      </c>
      <c r="AA2267">
        <v>0.99929140000000005</v>
      </c>
      <c r="AB2267">
        <v>48</v>
      </c>
      <c r="AC2267">
        <v>21.952499999999901</v>
      </c>
      <c r="AD2267">
        <v>-1.107358300767</v>
      </c>
      <c r="AE2267">
        <v>1.00379999999998</v>
      </c>
      <c r="AF2267">
        <v>-0.84438379695737598</v>
      </c>
      <c r="AG2267">
        <v>-1.107358300767</v>
      </c>
      <c r="AH2267">
        <v>21.903509113221499</v>
      </c>
      <c r="AI2267">
        <v>92.892048568725698</v>
      </c>
      <c r="AJ2267">
        <v>92.207668326420503</v>
      </c>
      <c r="AK2267">
        <v>21.947731952887999</v>
      </c>
    </row>
    <row r="2268" spans="1:37" x14ac:dyDescent="0.2">
      <c r="A2268" t="str">
        <f>"20200111154110041"</f>
        <v>20200111154110041</v>
      </c>
      <c r="B2268" t="str">
        <f>"1578728470038261"</f>
        <v>1578728470038261</v>
      </c>
      <c r="C2268" t="s">
        <v>37</v>
      </c>
      <c r="D2268">
        <v>5.1633559999999896</v>
      </c>
      <c r="E2268">
        <v>0.49456420000000001</v>
      </c>
      <c r="F2268" t="s">
        <v>44</v>
      </c>
      <c r="G2268">
        <v>-399.363</v>
      </c>
      <c r="H2268" s="1">
        <v>3.445718E-6</v>
      </c>
      <c r="I2268">
        <v>215.4666</v>
      </c>
      <c r="J2268">
        <v>-421.31270000000001</v>
      </c>
      <c r="K2268">
        <v>1.1073839999999999</v>
      </c>
      <c r="L2268">
        <v>214.5076</v>
      </c>
      <c r="M2268">
        <v>0.99997359999999902</v>
      </c>
      <c r="N2268">
        <v>0</v>
      </c>
      <c r="O2268">
        <v>6.2088289999999999E-3</v>
      </c>
      <c r="P2268">
        <v>0.99719409999999897</v>
      </c>
      <c r="Q2268">
        <v>7.0329610000000001E-2</v>
      </c>
      <c r="R2268">
        <v>2.5651219999999999E-2</v>
      </c>
      <c r="S2268">
        <v>3.01544199999999</v>
      </c>
      <c r="T2268">
        <v>-0.14887819999999999</v>
      </c>
      <c r="U2268">
        <v>0.12934880000000001</v>
      </c>
      <c r="V2268">
        <v>-1.9226380000000001E-2</v>
      </c>
      <c r="W2268">
        <v>7.4209899999999995E-2</v>
      </c>
      <c r="X2268">
        <v>0.99705730000000004</v>
      </c>
      <c r="Y2268">
        <v>-3.6615080000000001E-2</v>
      </c>
      <c r="Z2268">
        <v>5.9670890000000003E-4</v>
      </c>
      <c r="AA2268">
        <v>0.99932929999999998</v>
      </c>
      <c r="AB2268">
        <v>48</v>
      </c>
      <c r="AC2268">
        <v>21.949699999999901</v>
      </c>
      <c r="AD2268">
        <v>-1.1073805542820001</v>
      </c>
      <c r="AE2268">
        <v>0.95900000000000296</v>
      </c>
      <c r="AF2268">
        <v>-0.82061389248531602</v>
      </c>
      <c r="AG2268">
        <v>-1.1073805542820001</v>
      </c>
      <c r="AH2268">
        <v>21.899596684366401</v>
      </c>
      <c r="AI2268">
        <v>92.8927406092605</v>
      </c>
      <c r="AJ2268">
        <v>92.145963033612901</v>
      </c>
      <c r="AK2268">
        <v>21.942926737116299</v>
      </c>
    </row>
    <row r="2269" spans="1:37" x14ac:dyDescent="0.2">
      <c r="A2269" t="str">
        <f>"20200111154110061"</f>
        <v>20200111154110061</v>
      </c>
      <c r="B2269" t="str">
        <f>"1578728470058757"</f>
        <v>1578728470058757</v>
      </c>
      <c r="C2269" t="s">
        <v>37</v>
      </c>
      <c r="D2269">
        <v>5.1275839999999997</v>
      </c>
      <c r="E2269">
        <v>0.49481320000000001</v>
      </c>
      <c r="F2269" t="s">
        <v>44</v>
      </c>
      <c r="G2269">
        <v>-398.23860000000002</v>
      </c>
      <c r="H2269" s="1">
        <v>2.8474020000000001E-6</v>
      </c>
      <c r="I2269">
        <v>215.40620000000001</v>
      </c>
      <c r="J2269">
        <v>-420.85230000000001</v>
      </c>
      <c r="K2269">
        <v>1.107416</v>
      </c>
      <c r="L2269">
        <v>214.51009999999999</v>
      </c>
      <c r="M2269">
        <v>0.99997839999999905</v>
      </c>
      <c r="N2269">
        <v>0</v>
      </c>
      <c r="O2269">
        <v>5.3478179999999998E-3</v>
      </c>
      <c r="P2269">
        <v>0.99717860000000003</v>
      </c>
      <c r="Q2269">
        <v>7.0930560000000004E-2</v>
      </c>
      <c r="R2269">
        <v>2.4580080000000001E-2</v>
      </c>
      <c r="S2269">
        <v>3.015625</v>
      </c>
      <c r="T2269">
        <v>-0.1447273</v>
      </c>
      <c r="U2269">
        <v>0.11744690000000001</v>
      </c>
      <c r="V2269">
        <v>-1.901678E-2</v>
      </c>
      <c r="W2269">
        <v>7.4830919999999995E-2</v>
      </c>
      <c r="X2269">
        <v>0.99701489999999904</v>
      </c>
      <c r="Y2269">
        <v>-3.3539869999999999E-2</v>
      </c>
      <c r="Z2269">
        <v>5.476589E-4</v>
      </c>
      <c r="AA2269">
        <v>0.99943719999999903</v>
      </c>
      <c r="AB2269">
        <v>48</v>
      </c>
      <c r="AC2269">
        <v>22.613699999999898</v>
      </c>
      <c r="AD2269">
        <v>-1.107413152598</v>
      </c>
      <c r="AE2269">
        <v>0.89610000000001799</v>
      </c>
      <c r="AF2269">
        <v>-0.77330076836246997</v>
      </c>
      <c r="AG2269">
        <v>-1.107413152598</v>
      </c>
      <c r="AH2269">
        <v>22.5641415120798</v>
      </c>
      <c r="AI2269">
        <v>92.808087775327095</v>
      </c>
      <c r="AJ2269">
        <v>91.962828327545097</v>
      </c>
      <c r="AK2269">
        <v>22.604531407354099</v>
      </c>
    </row>
    <row r="2270" spans="1:37" x14ac:dyDescent="0.2">
      <c r="A2270" t="str">
        <f>"20200111154110086"</f>
        <v>20200111154110086</v>
      </c>
      <c r="B2270" t="str">
        <f>"1578728470078277"</f>
        <v>1578728470078277</v>
      </c>
      <c r="C2270" t="s">
        <v>37</v>
      </c>
      <c r="D2270">
        <v>5.1438930000000003</v>
      </c>
      <c r="E2270">
        <v>0.49501919999999999</v>
      </c>
      <c r="F2270" t="s">
        <v>44</v>
      </c>
      <c r="G2270">
        <v>-397.42669999999998</v>
      </c>
      <c r="H2270" s="1">
        <v>2.41533099999999E-6</v>
      </c>
      <c r="I2270">
        <v>215.37970000000001</v>
      </c>
      <c r="J2270">
        <v>-420.34800000000001</v>
      </c>
      <c r="K2270">
        <v>1.1074580000000001</v>
      </c>
      <c r="L2270">
        <v>214.51249999999999</v>
      </c>
      <c r="M2270">
        <v>0.99998259999999894</v>
      </c>
      <c r="N2270">
        <v>0</v>
      </c>
      <c r="O2270">
        <v>4.4793020000000001E-3</v>
      </c>
      <c r="P2270">
        <v>0.99715089999999995</v>
      </c>
      <c r="Q2270">
        <v>7.1758929999999999E-2</v>
      </c>
      <c r="R2270">
        <v>2.326369E-2</v>
      </c>
      <c r="S2270">
        <v>3.0158689999999999</v>
      </c>
      <c r="T2270">
        <v>-0.14257120000000001</v>
      </c>
      <c r="U2270">
        <v>0.1119537</v>
      </c>
      <c r="V2270">
        <v>-1.857203E-2</v>
      </c>
      <c r="W2270">
        <v>7.5679659999999996E-2</v>
      </c>
      <c r="X2270">
        <v>0.99695919999999905</v>
      </c>
      <c r="Y2270">
        <v>-3.2588029999999997E-2</v>
      </c>
      <c r="Z2270">
        <v>5.5802469999999998E-4</v>
      </c>
      <c r="AA2270">
        <v>0.99946869999999999</v>
      </c>
      <c r="AB2270">
        <v>48</v>
      </c>
      <c r="AC2270">
        <v>22.921299999999999</v>
      </c>
      <c r="AD2270">
        <v>-1.107455584669</v>
      </c>
      <c r="AE2270">
        <v>0.86720000000002495</v>
      </c>
      <c r="AF2270">
        <v>-0.76274112537768102</v>
      </c>
      <c r="AG2270">
        <v>-1.107455584669</v>
      </c>
      <c r="AH2270">
        <v>22.871639425546501</v>
      </c>
      <c r="AI2270">
        <v>92.770585796984193</v>
      </c>
      <c r="AJ2270">
        <v>91.910036113576098</v>
      </c>
      <c r="AK2270">
        <v>22.911135325613401</v>
      </c>
    </row>
    <row r="2271" spans="1:37" x14ac:dyDescent="0.2">
      <c r="A2271" t="str">
        <f>"20200111154110108"</f>
        <v>20200111154110108</v>
      </c>
      <c r="B2271" t="str">
        <f>"1578728470098773"</f>
        <v>1578728470098773</v>
      </c>
      <c r="C2271" t="s">
        <v>37</v>
      </c>
      <c r="D2271">
        <v>5.1564050000000003</v>
      </c>
      <c r="E2271">
        <v>0.49525540000000001</v>
      </c>
      <c r="F2271" t="s">
        <v>44</v>
      </c>
      <c r="G2271">
        <v>-396.78129999999999</v>
      </c>
      <c r="H2271" s="1">
        <v>2.07190599999999E-6</v>
      </c>
      <c r="I2271">
        <v>215.34289999999999</v>
      </c>
      <c r="J2271">
        <v>-419.83839999999998</v>
      </c>
      <c r="K2271">
        <v>1.107521</v>
      </c>
      <c r="L2271">
        <v>214.5145</v>
      </c>
      <c r="M2271">
        <v>0.99998560000000003</v>
      </c>
      <c r="N2271">
        <v>0</v>
      </c>
      <c r="O2271">
        <v>3.6881329999999901E-3</v>
      </c>
      <c r="P2271">
        <v>0.99711779999999905</v>
      </c>
      <c r="Q2271">
        <v>7.2460789999999997E-2</v>
      </c>
      <c r="R2271">
        <v>2.249048E-2</v>
      </c>
      <c r="S2271">
        <v>3.0162960000000001</v>
      </c>
      <c r="T2271">
        <v>-0.14174329999999999</v>
      </c>
      <c r="U2271">
        <v>0.1062775</v>
      </c>
      <c r="V2271">
        <v>-1.8596189999999999E-2</v>
      </c>
      <c r="W2271">
        <v>7.6402819999999996E-2</v>
      </c>
      <c r="X2271">
        <v>0.9969036</v>
      </c>
      <c r="Y2271">
        <v>-3.1495809999999999E-2</v>
      </c>
      <c r="Z2271">
        <v>5.6623280000000001E-4</v>
      </c>
      <c r="AA2271">
        <v>0.99950369999999999</v>
      </c>
      <c r="AB2271">
        <v>49</v>
      </c>
      <c r="AC2271">
        <v>23.057099999999899</v>
      </c>
      <c r="AD2271">
        <v>-1.1075189280940001</v>
      </c>
      <c r="AE2271">
        <v>0.82839999999998704</v>
      </c>
      <c r="AF2271">
        <v>-0.74164711562396501</v>
      </c>
      <c r="AG2271">
        <v>-1.1075189280940001</v>
      </c>
      <c r="AH2271">
        <v>23.006984231415998</v>
      </c>
      <c r="AI2271">
        <v>92.754569820015206</v>
      </c>
      <c r="AJ2271">
        <v>91.846332379103004</v>
      </c>
      <c r="AK2271">
        <v>23.045562740901399</v>
      </c>
    </row>
    <row r="2272" spans="1:37" x14ac:dyDescent="0.2">
      <c r="A2272" t="str">
        <f>"20200111154110132"</f>
        <v>20200111154110132</v>
      </c>
      <c r="B2272" t="str">
        <f>"1578728470128053"</f>
        <v>1578728470128053</v>
      </c>
      <c r="C2272" t="s">
        <v>37</v>
      </c>
      <c r="D2272">
        <v>5.1554129999999896</v>
      </c>
      <c r="E2272">
        <v>0.49557889999999999</v>
      </c>
      <c r="F2272" t="s">
        <v>44</v>
      </c>
      <c r="G2272">
        <v>-395.87689999999998</v>
      </c>
      <c r="H2272" s="1">
        <v>1.590597E-6</v>
      </c>
      <c r="I2272">
        <v>215.3245</v>
      </c>
      <c r="J2272">
        <v>-419.31540000000001</v>
      </c>
      <c r="K2272">
        <v>1.1075870000000001</v>
      </c>
      <c r="L2272">
        <v>214.5162</v>
      </c>
      <c r="M2272">
        <v>0.99998790000000004</v>
      </c>
      <c r="N2272">
        <v>0</v>
      </c>
      <c r="O2272">
        <v>2.955896E-3</v>
      </c>
      <c r="P2272">
        <v>0.99703750000000002</v>
      </c>
      <c r="Q2272">
        <v>7.3901939999999999E-2</v>
      </c>
      <c r="R2272">
        <v>2.1324300000000001E-2</v>
      </c>
      <c r="S2272">
        <v>3.0165099999999998</v>
      </c>
      <c r="T2272">
        <v>-0.13942550000000001</v>
      </c>
      <c r="U2272">
        <v>0.1019745</v>
      </c>
      <c r="V2272">
        <v>-1.8168210000000001E-2</v>
      </c>
      <c r="W2272">
        <v>7.7864240000000001E-2</v>
      </c>
      <c r="X2272">
        <v>0.99679839999999997</v>
      </c>
      <c r="Y2272">
        <v>-3.0802079999999999E-2</v>
      </c>
      <c r="Z2272">
        <v>5.7475440000000005E-4</v>
      </c>
      <c r="AA2272">
        <v>0.99952529999999995</v>
      </c>
      <c r="AB2272">
        <v>49</v>
      </c>
      <c r="AC2272">
        <v>23.438500000000001</v>
      </c>
      <c r="AD2272">
        <v>-1.107585409403</v>
      </c>
      <c r="AE2272">
        <v>0.80830000000000202</v>
      </c>
      <c r="AF2272">
        <v>-0.73736955128915804</v>
      </c>
      <c r="AG2272">
        <v>-1.107585409403</v>
      </c>
      <c r="AH2272">
        <v>23.388621387019299</v>
      </c>
      <c r="AI2272">
        <v>92.709913960524602</v>
      </c>
      <c r="AJ2272">
        <v>91.805757315132098</v>
      </c>
      <c r="AK2272">
        <v>23.4264395433798</v>
      </c>
    </row>
    <row r="2273" spans="1:37" x14ac:dyDescent="0.2">
      <c r="A2273" t="str">
        <f>"20200111154110152"</f>
        <v>20200111154110152</v>
      </c>
      <c r="B2273" t="str">
        <f>"1578728470148549"</f>
        <v>1578728470148549</v>
      </c>
      <c r="C2273" t="s">
        <v>37</v>
      </c>
      <c r="D2273">
        <v>5.1390760000000002</v>
      </c>
      <c r="E2273">
        <v>0.49570799999999998</v>
      </c>
      <c r="F2273" t="s">
        <v>44</v>
      </c>
      <c r="G2273">
        <v>-394.6583</v>
      </c>
      <c r="H2273" s="1">
        <v>9.4210650000000002E-7</v>
      </c>
      <c r="I2273">
        <v>215.30439999999999</v>
      </c>
      <c r="J2273">
        <v>-418.87959999999998</v>
      </c>
      <c r="K2273">
        <v>1.107648</v>
      </c>
      <c r="L2273">
        <v>214.51740000000001</v>
      </c>
      <c r="M2273">
        <v>0.99998929999999997</v>
      </c>
      <c r="N2273">
        <v>0</v>
      </c>
      <c r="O2273">
        <v>2.4103010000000001E-3</v>
      </c>
      <c r="P2273">
        <v>0.99701569999999995</v>
      </c>
      <c r="Q2273">
        <v>7.4464470000000005E-2</v>
      </c>
      <c r="R2273">
        <v>2.0374949999999999E-2</v>
      </c>
      <c r="S2273">
        <v>3.016937</v>
      </c>
      <c r="T2273">
        <v>-0.13551939999999901</v>
      </c>
      <c r="U2273">
        <v>9.6435549999999995E-2</v>
      </c>
      <c r="V2273">
        <v>-1.7772409999999999E-2</v>
      </c>
      <c r="W2273">
        <v>7.8444219999999995E-2</v>
      </c>
      <c r="X2273">
        <v>0.99676010000000004</v>
      </c>
      <c r="Y2273">
        <v>-2.9511920000000001E-2</v>
      </c>
      <c r="Z2273">
        <v>5.5414050000000001E-4</v>
      </c>
      <c r="AA2273">
        <v>0.99956429999999996</v>
      </c>
      <c r="AB2273">
        <v>49</v>
      </c>
      <c r="AC2273">
        <v>24.2212999999999</v>
      </c>
      <c r="AD2273">
        <v>-1.1076470578935</v>
      </c>
      <c r="AE2273">
        <v>0.78699999999997705</v>
      </c>
      <c r="AF2273">
        <v>-0.72709768895094895</v>
      </c>
      <c r="AG2273">
        <v>-1.1076470578935</v>
      </c>
      <c r="AH2273">
        <v>24.172628639381699</v>
      </c>
      <c r="AI2273">
        <v>92.622408600888306</v>
      </c>
      <c r="AJ2273">
        <v>91.722902055579894</v>
      </c>
      <c r="AK2273">
        <v>24.208914234050098</v>
      </c>
    </row>
    <row r="2274" spans="1:37" x14ac:dyDescent="0.2">
      <c r="A2274" t="str">
        <f>"20200111154110173"</f>
        <v>20200111154110173</v>
      </c>
      <c r="B2274" t="str">
        <f>"1578728470168069"</f>
        <v>1578728470168069</v>
      </c>
      <c r="C2274" t="s">
        <v>37</v>
      </c>
      <c r="D2274">
        <v>5.238067</v>
      </c>
      <c r="E2274">
        <v>0.4958941</v>
      </c>
      <c r="F2274" t="s">
        <v>44</v>
      </c>
      <c r="G2274">
        <v>-393.981999999999</v>
      </c>
      <c r="H2274" s="1">
        <v>5.8224469999999995E-7</v>
      </c>
      <c r="I2274">
        <v>215.28280000000001</v>
      </c>
      <c r="J2274">
        <v>-418.40129999999999</v>
      </c>
      <c r="K2274">
        <v>1.1077129999999999</v>
      </c>
      <c r="L2274">
        <v>214.51840000000001</v>
      </c>
      <c r="M2274">
        <v>0.99999039999999995</v>
      </c>
      <c r="N2274">
        <v>0</v>
      </c>
      <c r="O2274">
        <v>1.8874989999999999E-3</v>
      </c>
      <c r="P2274">
        <v>0.99703459999999999</v>
      </c>
      <c r="Q2274">
        <v>7.4395409999999995E-2</v>
      </c>
      <c r="R2274">
        <v>1.9677819999999999E-2</v>
      </c>
      <c r="S2274">
        <v>3.0171199999999998</v>
      </c>
      <c r="T2274">
        <v>-0.13422590000000001</v>
      </c>
      <c r="U2274">
        <v>9.2758179999999996E-2</v>
      </c>
      <c r="V2274">
        <v>-1.7609449999999999E-2</v>
      </c>
      <c r="W2274">
        <v>7.8395270000000003E-2</v>
      </c>
      <c r="X2274">
        <v>0.99676679999999995</v>
      </c>
      <c r="Y2274">
        <v>-2.8816140000000001E-2</v>
      </c>
      <c r="Z2274">
        <v>5.5660970000000003E-4</v>
      </c>
      <c r="AA2274">
        <v>0.99958459999999905</v>
      </c>
      <c r="AB2274">
        <v>49</v>
      </c>
      <c r="AC2274">
        <v>24.4193</v>
      </c>
      <c r="AD2274">
        <v>-1.1077124177552999</v>
      </c>
      <c r="AE2274">
        <v>0.76439999999999397</v>
      </c>
      <c r="AF2274">
        <v>-0.71683327084561499</v>
      </c>
      <c r="AG2274">
        <v>-1.1077124177552999</v>
      </c>
      <c r="AH2274">
        <v>24.370600379636102</v>
      </c>
      <c r="AI2274">
        <v>92.601339806082606</v>
      </c>
      <c r="AJ2274">
        <v>91.6848038972295</v>
      </c>
      <c r="AK2274">
        <v>24.406290984140998</v>
      </c>
    </row>
    <row r="2275" spans="1:37" x14ac:dyDescent="0.2">
      <c r="A2275" t="str">
        <f>"20200111154110197"</f>
        <v>20200111154110197</v>
      </c>
      <c r="B2275" t="str">
        <f>"1578728470188565"</f>
        <v>1578728470188565</v>
      </c>
      <c r="C2275" t="s">
        <v>37</v>
      </c>
      <c r="D2275">
        <v>5.1637919999999999</v>
      </c>
      <c r="E2275">
        <v>0.49597059999999998</v>
      </c>
      <c r="F2275" t="s">
        <v>44</v>
      </c>
      <c r="G2275">
        <v>-393.68799999999999</v>
      </c>
      <c r="H2275" s="1">
        <v>4.2575400000000002E-7</v>
      </c>
      <c r="I2275">
        <v>215.2474</v>
      </c>
      <c r="J2275">
        <v>-417.8784</v>
      </c>
      <c r="K2275">
        <v>1.107788</v>
      </c>
      <c r="L2275">
        <v>214.51920000000001</v>
      </c>
      <c r="M2275">
        <v>0.99999099999999996</v>
      </c>
      <c r="N2275">
        <v>0</v>
      </c>
      <c r="O2275">
        <v>1.4096759999999999E-3</v>
      </c>
      <c r="P2275">
        <v>0.99706019999999895</v>
      </c>
      <c r="Q2275">
        <v>7.4188500000000004E-2</v>
      </c>
      <c r="R2275">
        <v>1.915532E-2</v>
      </c>
      <c r="S2275">
        <v>3.0172729999999999</v>
      </c>
      <c r="T2275">
        <v>-0.13524129999999901</v>
      </c>
      <c r="U2275">
        <v>8.9004520000000004E-2</v>
      </c>
      <c r="V2275">
        <v>-1.758024E-2</v>
      </c>
      <c r="W2275">
        <v>7.8210349999999998E-2</v>
      </c>
      <c r="X2275">
        <v>0.9967819</v>
      </c>
      <c r="Y2275">
        <v>-2.804968E-2</v>
      </c>
      <c r="Z2275">
        <v>5.6503469999999998E-4</v>
      </c>
      <c r="AA2275">
        <v>0.99960640000000001</v>
      </c>
      <c r="AB2275">
        <v>49</v>
      </c>
      <c r="AC2275">
        <v>24.190399999999901</v>
      </c>
      <c r="AD2275">
        <v>-1.1077875742459999</v>
      </c>
      <c r="AE2275">
        <v>0.72819999999998597</v>
      </c>
      <c r="AF2275">
        <v>-0.69264711607134</v>
      </c>
      <c r="AG2275">
        <v>-1.1077875742459999</v>
      </c>
      <c r="AH2275">
        <v>24.140821714446801</v>
      </c>
      <c r="AI2275">
        <v>92.626298424954399</v>
      </c>
      <c r="AJ2275">
        <v>91.643476437971799</v>
      </c>
      <c r="AK2275">
        <v>24.1761499496045</v>
      </c>
    </row>
    <row r="2276" spans="1:37" x14ac:dyDescent="0.2">
      <c r="A2276" t="str">
        <f>"20200111154110219"</f>
        <v>20200111154110219</v>
      </c>
      <c r="B2276" t="str">
        <f>"1578728470208087"</f>
        <v>1578728470208087</v>
      </c>
      <c r="C2276" t="s">
        <v>37</v>
      </c>
      <c r="D2276">
        <v>5.2334290000000001</v>
      </c>
      <c r="E2276">
        <v>0.49597449999999998</v>
      </c>
      <c r="F2276" t="s">
        <v>44</v>
      </c>
      <c r="G2276">
        <v>-393.21980000000002</v>
      </c>
      <c r="H2276" s="1">
        <v>1.7664970000000001E-7</v>
      </c>
      <c r="I2276">
        <v>215.2253</v>
      </c>
      <c r="J2276">
        <v>-417.39599999999899</v>
      </c>
      <c r="K2276">
        <v>1.107872</v>
      </c>
      <c r="L2276">
        <v>214.51990000000001</v>
      </c>
      <c r="M2276">
        <v>0.99999150000000003</v>
      </c>
      <c r="N2276">
        <v>0</v>
      </c>
      <c r="O2276">
        <v>1.0571350000000001E-3</v>
      </c>
      <c r="P2276">
        <v>0.99705509999999997</v>
      </c>
      <c r="Q2276">
        <v>7.4267310000000003E-2</v>
      </c>
      <c r="R2276">
        <v>1.9126629999999999E-2</v>
      </c>
      <c r="S2276">
        <v>3.0172729999999999</v>
      </c>
      <c r="T2276">
        <v>-0.13555110000000001</v>
      </c>
      <c r="U2276">
        <v>8.6395260000000001E-2</v>
      </c>
      <c r="V2276">
        <v>-1.791852E-2</v>
      </c>
      <c r="W2276">
        <v>7.8309219999999999E-2</v>
      </c>
      <c r="X2276">
        <v>0.99676810000000005</v>
      </c>
      <c r="Y2276">
        <v>-2.7538420000000001E-2</v>
      </c>
      <c r="Z2276">
        <v>5.7068539999999995E-4</v>
      </c>
      <c r="AA2276">
        <v>0.99962059999999997</v>
      </c>
      <c r="AB2276">
        <v>49</v>
      </c>
      <c r="AC2276">
        <v>24.176199999999898</v>
      </c>
      <c r="AD2276">
        <v>-1.1078718233503</v>
      </c>
      <c r="AE2276">
        <v>0.70539999999999703</v>
      </c>
      <c r="AF2276">
        <v>-0.67841848226771595</v>
      </c>
      <c r="AG2276">
        <v>-1.1078718233503</v>
      </c>
      <c r="AH2276">
        <v>24.126311945236999</v>
      </c>
      <c r="AI2276">
        <v>92.628117908336804</v>
      </c>
      <c r="AJ2276">
        <v>91.610701035058796</v>
      </c>
      <c r="AK2276">
        <v>24.1612615501124</v>
      </c>
    </row>
    <row r="2277" spans="1:37" x14ac:dyDescent="0.2">
      <c r="A2277" t="str">
        <f>"20200111154110242"</f>
        <v>20200111154110242</v>
      </c>
      <c r="B2277" t="str">
        <f>"1578728470238340"</f>
        <v>1578728470238340</v>
      </c>
      <c r="C2277" t="s">
        <v>37</v>
      </c>
      <c r="D2277">
        <v>5.2299169999999897</v>
      </c>
      <c r="E2277">
        <v>0.4960483</v>
      </c>
      <c r="F2277" t="s">
        <v>44</v>
      </c>
      <c r="G2277">
        <v>-392.72559999999999</v>
      </c>
      <c r="H2277" s="1">
        <v>-8.6328809999999898E-8</v>
      </c>
      <c r="I2277">
        <v>215.22409999999999</v>
      </c>
      <c r="J2277">
        <v>-416.8929</v>
      </c>
      <c r="K2277">
        <v>1.1079559999999999</v>
      </c>
      <c r="L2277">
        <v>214.5204</v>
      </c>
      <c r="M2277">
        <v>0.99999169999999904</v>
      </c>
      <c r="N2277">
        <v>0</v>
      </c>
      <c r="O2277">
        <v>7.761008E-4</v>
      </c>
      <c r="P2277">
        <v>0.99704689999999996</v>
      </c>
      <c r="Q2277">
        <v>7.4416759999999998E-2</v>
      </c>
      <c r="R2277">
        <v>1.8974359999999999E-2</v>
      </c>
      <c r="S2277">
        <v>3.0173030000000001</v>
      </c>
      <c r="T2277">
        <v>-0.13549820000000001</v>
      </c>
      <c r="U2277">
        <v>8.6135859999999995E-2</v>
      </c>
      <c r="V2277">
        <v>-1.8064190000000001E-2</v>
      </c>
      <c r="W2277">
        <v>7.8479380000000001E-2</v>
      </c>
      <c r="X2277">
        <v>0.99675210000000003</v>
      </c>
      <c r="Y2277">
        <v>-2.7732730000000001E-2</v>
      </c>
      <c r="Z2277">
        <v>5.8742959999999998E-4</v>
      </c>
      <c r="AA2277">
        <v>0.99961520000000004</v>
      </c>
      <c r="AB2277">
        <v>50</v>
      </c>
      <c r="AC2277">
        <v>24.167300000000001</v>
      </c>
      <c r="AD2277">
        <v>-1.10795608632881</v>
      </c>
      <c r="AE2277">
        <v>0.70369999999999699</v>
      </c>
      <c r="AF2277">
        <v>-0.683508005491133</v>
      </c>
      <c r="AG2277">
        <v>-1.10795608632881</v>
      </c>
      <c r="AH2277">
        <v>24.1171925917305</v>
      </c>
      <c r="AI2277">
        <v>92.629293543863795</v>
      </c>
      <c r="AJ2277">
        <v>91.623391430481803</v>
      </c>
      <c r="AK2277">
        <v>24.1523027554191</v>
      </c>
    </row>
    <row r="2278" spans="1:37" x14ac:dyDescent="0.2">
      <c r="A2278" t="str">
        <f>"20200111154110264"</f>
        <v>20200111154110264</v>
      </c>
      <c r="B2278" t="str">
        <f>"1578728470258837"</f>
        <v>1578728470258837</v>
      </c>
      <c r="C2278" t="s">
        <v>37</v>
      </c>
      <c r="D2278">
        <v>5.2355409999999996</v>
      </c>
      <c r="E2278">
        <v>0.49615049999999999</v>
      </c>
      <c r="F2278" t="s">
        <v>44</v>
      </c>
      <c r="G2278">
        <v>-392.15210000000002</v>
      </c>
      <c r="H2278" s="1">
        <v>-3.9154879999999902E-7</v>
      </c>
      <c r="I2278">
        <v>215.2159</v>
      </c>
      <c r="J2278">
        <v>-416.40100000000001</v>
      </c>
      <c r="K2278">
        <v>1.1080399999999999</v>
      </c>
      <c r="L2278">
        <v>214.52070000000001</v>
      </c>
      <c r="M2278">
        <v>0.99999159999999998</v>
      </c>
      <c r="N2278">
        <v>0</v>
      </c>
      <c r="O2278">
        <v>5.7882680000000001E-4</v>
      </c>
      <c r="P2278">
        <v>0.99700769999999905</v>
      </c>
      <c r="Q2278">
        <v>7.4881310000000006E-2</v>
      </c>
      <c r="R2278">
        <v>1.9201780000000002E-2</v>
      </c>
      <c r="S2278">
        <v>3.0173649999999999</v>
      </c>
      <c r="T2278">
        <v>-0.13512539999999901</v>
      </c>
      <c r="U2278">
        <v>8.4823609999999994E-2</v>
      </c>
      <c r="V2278">
        <v>-1.850502E-2</v>
      </c>
      <c r="W2278">
        <v>7.8964729999999997E-2</v>
      </c>
      <c r="X2278">
        <v>0.99670569999999903</v>
      </c>
      <c r="Y2278">
        <v>-2.7495160000000001E-2</v>
      </c>
      <c r="Z2278">
        <v>5.8931900000000004E-4</v>
      </c>
      <c r="AA2278">
        <v>0.99962169999999895</v>
      </c>
      <c r="AB2278">
        <v>50</v>
      </c>
      <c r="AC2278">
        <v>24.2488999999999</v>
      </c>
      <c r="AD2278">
        <v>-1.1080403915488</v>
      </c>
      <c r="AE2278">
        <v>0.69519999999999904</v>
      </c>
      <c r="AF2278">
        <v>-0.67974572243081299</v>
      </c>
      <c r="AG2278">
        <v>-1.1080403915488</v>
      </c>
      <c r="AH2278">
        <v>24.198813110077701</v>
      </c>
      <c r="AI2278">
        <v>92.620655182072497</v>
      </c>
      <c r="AJ2278">
        <v>91.609017851624799</v>
      </c>
      <c r="AK2278">
        <v>24.233703053659301</v>
      </c>
    </row>
    <row r="2279" spans="1:37" x14ac:dyDescent="0.2">
      <c r="A2279" t="str">
        <f>"20200111154110286"</f>
        <v>20200111154110286</v>
      </c>
      <c r="B2279" t="str">
        <f>"1578728470278357"</f>
        <v>1578728470278357</v>
      </c>
      <c r="C2279" t="s">
        <v>37</v>
      </c>
      <c r="D2279">
        <v>5.2392830000000004</v>
      </c>
      <c r="E2279">
        <v>0.4961817</v>
      </c>
      <c r="F2279" t="s">
        <v>44</v>
      </c>
      <c r="G2279">
        <v>-391.41419999999999</v>
      </c>
      <c r="H2279" s="1">
        <v>-7.8421339999999995E-7</v>
      </c>
      <c r="I2279">
        <v>215.22020000000001</v>
      </c>
      <c r="J2279">
        <v>-415.89769999999999</v>
      </c>
      <c r="K2279">
        <v>1.1081219999999901</v>
      </c>
      <c r="L2279">
        <v>214.52099999999999</v>
      </c>
      <c r="M2279">
        <v>0.99999169999999904</v>
      </c>
      <c r="N2279">
        <v>0</v>
      </c>
      <c r="O2279">
        <v>4.377618E-4</v>
      </c>
      <c r="P2279">
        <v>0.99703790000000003</v>
      </c>
      <c r="Q2279">
        <v>7.4375789999999997E-2</v>
      </c>
      <c r="R2279">
        <v>1.9599459999999999E-2</v>
      </c>
      <c r="S2279">
        <v>3.017395</v>
      </c>
      <c r="T2279">
        <v>-0.1338066</v>
      </c>
      <c r="U2279">
        <v>8.4472660000000005E-2</v>
      </c>
      <c r="V2279">
        <v>-1.9059909999999999E-2</v>
      </c>
      <c r="W2279">
        <v>7.8480820000000007E-2</v>
      </c>
      <c r="X2279">
        <v>0.99673339999999999</v>
      </c>
      <c r="Y2279">
        <v>-2.7520070000000001E-2</v>
      </c>
      <c r="Z2279">
        <v>5.9037130000000001E-4</v>
      </c>
      <c r="AA2279">
        <v>0.99962109999999904</v>
      </c>
      <c r="AB2279">
        <v>50</v>
      </c>
      <c r="AC2279">
        <v>24.4834999999999</v>
      </c>
      <c r="AD2279">
        <v>-1.1081227842133901</v>
      </c>
      <c r="AE2279">
        <v>0.69920000000001803</v>
      </c>
      <c r="AF2279">
        <v>-0.68707559994175305</v>
      </c>
      <c r="AG2279">
        <v>-1.1081227842133901</v>
      </c>
      <c r="AH2279">
        <v>24.4337927322468</v>
      </c>
      <c r="AI2279">
        <v>92.595677550970393</v>
      </c>
      <c r="AJ2279">
        <v>91.610726642295006</v>
      </c>
      <c r="AK2279">
        <v>24.468556072382501</v>
      </c>
    </row>
    <row r="2280" spans="1:37" x14ac:dyDescent="0.2">
      <c r="A2280" t="str">
        <f>"20200111154110308"</f>
        <v>20200111154110308</v>
      </c>
      <c r="B2280" t="str">
        <f>"1578728470298853"</f>
        <v>1578728470298853</v>
      </c>
      <c r="C2280" t="s">
        <v>37</v>
      </c>
      <c r="D2280">
        <v>5.2365680000000001</v>
      </c>
      <c r="E2280">
        <v>0.4962279</v>
      </c>
      <c r="F2280" t="s">
        <v>44</v>
      </c>
      <c r="G2280">
        <v>-391.26859999999999</v>
      </c>
      <c r="H2280" s="1">
        <v>-8.6172189999999997E-7</v>
      </c>
      <c r="I2280">
        <v>215.2158</v>
      </c>
      <c r="J2280">
        <v>-415.39729999999997</v>
      </c>
      <c r="K2280">
        <v>1.1081920000000001</v>
      </c>
      <c r="L2280">
        <v>214.52119999999999</v>
      </c>
      <c r="M2280">
        <v>0.99999150000000003</v>
      </c>
      <c r="N2280">
        <v>0</v>
      </c>
      <c r="O2280">
        <v>3.404239E-4</v>
      </c>
      <c r="P2280">
        <v>0.99704869999999901</v>
      </c>
      <c r="Q2280">
        <v>7.4103769999999999E-2</v>
      </c>
      <c r="R2280">
        <v>2.0064479999999999E-2</v>
      </c>
      <c r="S2280">
        <v>3.017334</v>
      </c>
      <c r="T2280">
        <v>-0.13575709999999999</v>
      </c>
      <c r="U2280">
        <v>8.5113530000000007E-2</v>
      </c>
      <c r="V2280">
        <v>-1.9636799999999999E-2</v>
      </c>
      <c r="W2280">
        <v>7.8231250000000002E-2</v>
      </c>
      <c r="X2280">
        <v>0.99674180000000001</v>
      </c>
      <c r="Y2280">
        <v>-2.78289E-2</v>
      </c>
      <c r="Z2280">
        <v>6.10298E-4</v>
      </c>
      <c r="AA2280">
        <v>0.99961250000000001</v>
      </c>
      <c r="AB2280">
        <v>50</v>
      </c>
      <c r="AC2280">
        <v>24.128699999999899</v>
      </c>
      <c r="AD2280">
        <v>-1.1081928617218999</v>
      </c>
      <c r="AE2280">
        <v>0.69460000000000799</v>
      </c>
      <c r="AF2280">
        <v>-0.68494227037811795</v>
      </c>
      <c r="AG2280">
        <v>-1.1081928617218999</v>
      </c>
      <c r="AH2280">
        <v>24.078186135522198</v>
      </c>
      <c r="AI2280">
        <v>92.634101122199596</v>
      </c>
      <c r="AJ2280">
        <v>91.629430082978899</v>
      </c>
      <c r="AK2280">
        <v>24.113404672699701</v>
      </c>
    </row>
    <row r="2281" spans="1:37" x14ac:dyDescent="0.2">
      <c r="A2281" t="str">
        <f>"20200111154110331"</f>
        <v>20200111154110331</v>
      </c>
      <c r="B2281" t="str">
        <f>"1578728470318372"</f>
        <v>1578728470318372</v>
      </c>
      <c r="C2281" t="s">
        <v>37</v>
      </c>
      <c r="D2281">
        <v>5.2974259999999997</v>
      </c>
      <c r="E2281">
        <v>0.49632349999999997</v>
      </c>
      <c r="F2281" t="s">
        <v>44</v>
      </c>
      <c r="G2281">
        <v>-391.01339999999999</v>
      </c>
      <c r="H2281" s="1">
        <v>-9.9751399999999994E-7</v>
      </c>
      <c r="I2281">
        <v>215.21459999999999</v>
      </c>
      <c r="J2281">
        <v>-414.88830000000002</v>
      </c>
      <c r="K2281">
        <v>1.1082559999999999</v>
      </c>
      <c r="L2281">
        <v>214.5214</v>
      </c>
      <c r="M2281">
        <v>0.99999139999999997</v>
      </c>
      <c r="N2281">
        <v>0</v>
      </c>
      <c r="O2281">
        <v>2.7282329999999999E-4</v>
      </c>
      <c r="P2281">
        <v>0.99705759999999899</v>
      </c>
      <c r="Q2281">
        <v>7.3748560000000005E-2</v>
      </c>
      <c r="R2281">
        <v>2.0919179999999999E-2</v>
      </c>
      <c r="S2281">
        <v>3.0173649999999999</v>
      </c>
      <c r="T2281">
        <v>-0.137132</v>
      </c>
      <c r="U2281">
        <v>8.5800169999999995E-2</v>
      </c>
      <c r="V2281">
        <v>-2.0571740000000002E-2</v>
      </c>
      <c r="W2281">
        <v>7.7898960000000003E-2</v>
      </c>
      <c r="X2281">
        <v>0.996749</v>
      </c>
      <c r="Y2281">
        <v>-2.8122540000000001E-2</v>
      </c>
      <c r="Z2281">
        <v>6.2620259999999995E-4</v>
      </c>
      <c r="AA2281">
        <v>0.9996043</v>
      </c>
      <c r="AB2281">
        <v>50</v>
      </c>
      <c r="AC2281">
        <v>23.8749</v>
      </c>
      <c r="AD2281">
        <v>-1.108256997514</v>
      </c>
      <c r="AE2281">
        <v>0.69319999999999005</v>
      </c>
      <c r="AF2281">
        <v>-0.68521107125443304</v>
      </c>
      <c r="AG2281">
        <v>-1.108256997514</v>
      </c>
      <c r="AH2281">
        <v>23.8237970340668</v>
      </c>
      <c r="AI2281">
        <v>92.662317561184295</v>
      </c>
      <c r="AJ2281">
        <v>91.647465437963405</v>
      </c>
      <c r="AK2281">
        <v>23.859401771736</v>
      </c>
    </row>
    <row r="2282" spans="1:37" x14ac:dyDescent="0.2">
      <c r="A2282" t="str">
        <f>"20200111154110352"</f>
        <v>20200111154110352</v>
      </c>
      <c r="B2282" t="str">
        <f>"1578728470348629"</f>
        <v>1578728470348629</v>
      </c>
      <c r="C2282" t="s">
        <v>37</v>
      </c>
      <c r="D2282">
        <v>5.2840699999999998</v>
      </c>
      <c r="E2282">
        <v>0.4964557</v>
      </c>
      <c r="F2282" t="s">
        <v>44</v>
      </c>
      <c r="G2282">
        <v>-390.74950000000001</v>
      </c>
      <c r="H2282" s="1">
        <v>-1.137962E-6</v>
      </c>
      <c r="I2282">
        <v>215.22219999999999</v>
      </c>
      <c r="J2282">
        <v>-414.41079999999999</v>
      </c>
      <c r="K2282">
        <v>1.1083080000000001</v>
      </c>
      <c r="L2282">
        <v>214.5215</v>
      </c>
      <c r="M2282">
        <v>0.99999119999999997</v>
      </c>
      <c r="N2282">
        <v>0</v>
      </c>
      <c r="O2282">
        <v>2.336494E-4</v>
      </c>
      <c r="P2282">
        <v>0.99700009999999994</v>
      </c>
      <c r="Q2282">
        <v>7.4404239999999996E-2</v>
      </c>
      <c r="R2282">
        <v>2.1319930000000001E-2</v>
      </c>
      <c r="S2282">
        <v>3.0172729999999999</v>
      </c>
      <c r="T2282">
        <v>-0.1385285</v>
      </c>
      <c r="U2282">
        <v>8.7600709999999998E-2</v>
      </c>
      <c r="V2282">
        <v>-2.1021189999999999E-2</v>
      </c>
      <c r="W2282">
        <v>7.8575420000000007E-2</v>
      </c>
      <c r="X2282">
        <v>0.99668650000000003</v>
      </c>
      <c r="Y2282">
        <v>-2.8757270000000001E-2</v>
      </c>
      <c r="Z2282">
        <v>6.4894349999999998E-4</v>
      </c>
      <c r="AA2282">
        <v>0.99958619999999898</v>
      </c>
      <c r="AB2282">
        <v>50</v>
      </c>
      <c r="AC2282">
        <v>23.661299999999901</v>
      </c>
      <c r="AD2282">
        <v>-1.108309137962</v>
      </c>
      <c r="AE2282">
        <v>0.700699999999983</v>
      </c>
      <c r="AF2282">
        <v>-0.69365091916827304</v>
      </c>
      <c r="AG2282">
        <v>-1.108309137962</v>
      </c>
      <c r="AH2282">
        <v>23.609707808532999</v>
      </c>
      <c r="AI2282">
        <v>92.686501870807504</v>
      </c>
      <c r="AJ2282">
        <v>91.682860337934798</v>
      </c>
      <c r="AK2282">
        <v>23.645883437656899</v>
      </c>
    </row>
    <row r="2283" spans="1:37" x14ac:dyDescent="0.2">
      <c r="A2283" t="str">
        <f>"20200111154110374"</f>
        <v>20200111154110374</v>
      </c>
      <c r="B2283" t="str">
        <f>"1578728470368149"</f>
        <v>1578728470368149</v>
      </c>
      <c r="C2283" t="s">
        <v>37</v>
      </c>
      <c r="D2283">
        <v>5.2507449999999896</v>
      </c>
      <c r="E2283">
        <v>0.49653739999999902</v>
      </c>
      <c r="F2283" t="s">
        <v>44</v>
      </c>
      <c r="G2283">
        <v>-390.20490000000001</v>
      </c>
      <c r="H2283" s="1">
        <v>-1.4277629999999999E-6</v>
      </c>
      <c r="I2283">
        <v>215.2217</v>
      </c>
      <c r="J2283">
        <v>-413.89819999999997</v>
      </c>
      <c r="K2283">
        <v>1.1083670000000001</v>
      </c>
      <c r="L2283">
        <v>214.52160000000001</v>
      </c>
      <c r="M2283">
        <v>0.99999130000000003</v>
      </c>
      <c r="N2283">
        <v>0</v>
      </c>
      <c r="O2283">
        <v>2.187964E-4</v>
      </c>
      <c r="P2283">
        <v>0.99699680000000002</v>
      </c>
      <c r="Q2283">
        <v>7.4362399999999995E-2</v>
      </c>
      <c r="R2283">
        <v>2.1628479999999999E-2</v>
      </c>
      <c r="S2283">
        <v>3.0174560000000001</v>
      </c>
      <c r="T2283">
        <v>-0.13815939999999999</v>
      </c>
      <c r="U2283">
        <v>8.7280269999999993E-2</v>
      </c>
      <c r="V2283">
        <v>-2.1355799999999901E-2</v>
      </c>
      <c r="W2283">
        <v>7.8555929999999996E-2</v>
      </c>
      <c r="X2283">
        <v>0.99668089999999998</v>
      </c>
      <c r="Y2283">
        <v>-2.8664539999999999E-2</v>
      </c>
      <c r="Z2283">
        <v>6.4573629999999896E-4</v>
      </c>
      <c r="AA2283">
        <v>0.9995889</v>
      </c>
      <c r="AB2283">
        <v>51</v>
      </c>
      <c r="AC2283">
        <v>23.693299999999901</v>
      </c>
      <c r="AD2283">
        <v>-1.1083684277629999</v>
      </c>
      <c r="AE2283">
        <v>0.70009999999999195</v>
      </c>
      <c r="AF2283">
        <v>-0.69339985025698103</v>
      </c>
      <c r="AG2283">
        <v>-1.1083684277629999</v>
      </c>
      <c r="AH2283">
        <v>23.641761249651498</v>
      </c>
      <c r="AI2283">
        <v>92.683012120064006</v>
      </c>
      <c r="AJ2283">
        <v>91.679972087340403</v>
      </c>
      <c r="AK2283">
        <v>23.677883328319702</v>
      </c>
    </row>
    <row r="2284" spans="1:37" x14ac:dyDescent="0.2">
      <c r="A2284" t="str">
        <f>"20200111154110398"</f>
        <v>20200111154110398</v>
      </c>
      <c r="B2284" t="str">
        <f>"1578728470388645"</f>
        <v>1578728470388645</v>
      </c>
      <c r="C2284" t="s">
        <v>37</v>
      </c>
      <c r="D2284">
        <v>5.245692</v>
      </c>
      <c r="E2284">
        <v>0.49662279999999998</v>
      </c>
      <c r="F2284" t="s">
        <v>44</v>
      </c>
      <c r="G2284">
        <v>-389.86219999999997</v>
      </c>
      <c r="H2284" s="1">
        <v>3.6850209999999998E-6</v>
      </c>
      <c r="I2284">
        <v>215.21889999999999</v>
      </c>
      <c r="J2284">
        <v>-413.37150000000003</v>
      </c>
      <c r="K2284">
        <v>1.1084309999999999</v>
      </c>
      <c r="L2284">
        <v>214.52170000000001</v>
      </c>
      <c r="M2284">
        <v>0.99999110000000002</v>
      </c>
      <c r="N2284">
        <v>0</v>
      </c>
      <c r="O2284">
        <v>2.393033E-4</v>
      </c>
      <c r="P2284">
        <v>0.99699989999999905</v>
      </c>
      <c r="Q2284">
        <v>7.4302989999999999E-2</v>
      </c>
      <c r="R2284">
        <v>2.1681389999999998E-2</v>
      </c>
      <c r="S2284">
        <v>3.0175169999999998</v>
      </c>
      <c r="T2284">
        <v>-0.1391454</v>
      </c>
      <c r="U2284">
        <v>8.753967E-2</v>
      </c>
      <c r="V2284">
        <v>-2.1400059999999999E-2</v>
      </c>
      <c r="W2284">
        <v>7.8519329999999998E-2</v>
      </c>
      <c r="X2284">
        <v>0.99668289999999904</v>
      </c>
      <c r="Y2284">
        <v>-2.872885E-2</v>
      </c>
      <c r="Z2284">
        <v>6.5086289999999997E-4</v>
      </c>
      <c r="AA2284">
        <v>0.99958709999999995</v>
      </c>
      <c r="AB2284">
        <v>51</v>
      </c>
      <c r="AC2284">
        <v>23.5093</v>
      </c>
      <c r="AD2284">
        <v>-1.108427314979</v>
      </c>
      <c r="AE2284">
        <v>0.69719999999998095</v>
      </c>
      <c r="AF2284">
        <v>-0.69004147837936203</v>
      </c>
      <c r="AG2284">
        <v>-1.108427314979</v>
      </c>
      <c r="AH2284">
        <v>23.457366796203399</v>
      </c>
      <c r="AI2284">
        <v>92.704208177724794</v>
      </c>
      <c r="AJ2284">
        <v>91.6849745483308</v>
      </c>
      <c r="AK2284">
        <v>23.493676284611201</v>
      </c>
    </row>
    <row r="2285" spans="1:37" x14ac:dyDescent="0.2">
      <c r="A2285" t="str">
        <f>"20200111154110420"</f>
        <v>20200111154110420</v>
      </c>
      <c r="B2285" t="str">
        <f>"1578728470408167"</f>
        <v>1578728470408167</v>
      </c>
      <c r="C2285" t="s">
        <v>37</v>
      </c>
      <c r="D2285">
        <v>5.2707660000000001</v>
      </c>
      <c r="E2285">
        <v>0.49674970000000002</v>
      </c>
      <c r="F2285" t="s">
        <v>44</v>
      </c>
      <c r="G2285">
        <v>-389.5301</v>
      </c>
      <c r="H2285" s="1">
        <v>3.5086639999999998E-6</v>
      </c>
      <c r="I2285">
        <v>215.21080000000001</v>
      </c>
      <c r="J2285">
        <v>-412.86360000000002</v>
      </c>
      <c r="K2285">
        <v>1.108492</v>
      </c>
      <c r="L2285">
        <v>214.52189999999999</v>
      </c>
      <c r="M2285">
        <v>0.99999099999999996</v>
      </c>
      <c r="N2285">
        <v>0</v>
      </c>
      <c r="O2285">
        <v>3.0536449999999998E-4</v>
      </c>
      <c r="P2285">
        <v>0.99697369999999996</v>
      </c>
      <c r="Q2285">
        <v>7.4628410000000006E-2</v>
      </c>
      <c r="R2285">
        <v>2.1779300000000001E-2</v>
      </c>
      <c r="S2285">
        <v>3.0175779999999999</v>
      </c>
      <c r="T2285">
        <v>-0.14029259999999999</v>
      </c>
      <c r="U2285">
        <v>8.7219240000000003E-2</v>
      </c>
      <c r="V2285">
        <v>-2.1445099999999901E-2</v>
      </c>
      <c r="W2285">
        <v>7.8866350000000002E-2</v>
      </c>
      <c r="X2285">
        <v>0.9966545</v>
      </c>
      <c r="Y2285">
        <v>-2.8555919999999999E-2</v>
      </c>
      <c r="Z2285">
        <v>6.491248E-4</v>
      </c>
      <c r="AA2285">
        <v>0.99959200000000004</v>
      </c>
      <c r="AB2285">
        <v>51</v>
      </c>
      <c r="AC2285">
        <v>23.333500000000001</v>
      </c>
      <c r="AD2285">
        <v>-1.108488491336</v>
      </c>
      <c r="AE2285">
        <v>0.68890000000001705</v>
      </c>
      <c r="AF2285">
        <v>-0.68024081738817999</v>
      </c>
      <c r="AG2285">
        <v>-1.108488491336</v>
      </c>
      <c r="AH2285">
        <v>23.2812128452012</v>
      </c>
      <c r="AI2285">
        <v>92.7248044256079</v>
      </c>
      <c r="AJ2285">
        <v>91.673617376952706</v>
      </c>
      <c r="AK2285">
        <v>23.317511570676398</v>
      </c>
    </row>
    <row r="2286" spans="1:37" x14ac:dyDescent="0.2">
      <c r="A2286" t="str">
        <f>"20200111154110441"</f>
        <v>20200111154110441</v>
      </c>
      <c r="B2286" t="str">
        <f>"1578728470438422"</f>
        <v>1578728470438422</v>
      </c>
      <c r="C2286" t="s">
        <v>37</v>
      </c>
      <c r="D2286">
        <v>5.2252479999999997</v>
      </c>
      <c r="E2286">
        <v>0.49688189999999999</v>
      </c>
      <c r="F2286" t="s">
        <v>44</v>
      </c>
      <c r="G2286">
        <v>-389.02620000000002</v>
      </c>
      <c r="H2286" s="1">
        <v>3.2407889999999999E-6</v>
      </c>
      <c r="I2286">
        <v>215.20480000000001</v>
      </c>
      <c r="J2286">
        <v>-412.37599999999998</v>
      </c>
      <c r="K2286">
        <v>1.1085639999999899</v>
      </c>
      <c r="L2286">
        <v>214.52199999999999</v>
      </c>
      <c r="M2286">
        <v>0.99999090000000002</v>
      </c>
      <c r="N2286">
        <v>0</v>
      </c>
      <c r="O2286">
        <v>4.29453E-4</v>
      </c>
      <c r="P2286">
        <v>0.99696549999999995</v>
      </c>
      <c r="Q2286">
        <v>7.480829E-2</v>
      </c>
      <c r="R2286">
        <v>2.1539610000000001E-2</v>
      </c>
      <c r="S2286">
        <v>3.0176699999999999</v>
      </c>
      <c r="T2286">
        <v>-0.1403277</v>
      </c>
      <c r="U2286">
        <v>8.64563E-2</v>
      </c>
      <c r="V2286">
        <v>-2.109546E-2</v>
      </c>
      <c r="W2286">
        <v>7.906647E-2</v>
      </c>
      <c r="X2286">
        <v>0.99664609999999998</v>
      </c>
      <c r="Y2286">
        <v>-2.8179030000000001E-2</v>
      </c>
      <c r="Z2286">
        <v>6.3474690000000003E-4</v>
      </c>
      <c r="AA2286">
        <v>0.99960269999999996</v>
      </c>
      <c r="AB2286">
        <v>51</v>
      </c>
      <c r="AC2286">
        <v>23.349799999999899</v>
      </c>
      <c r="AD2286">
        <v>-1.1085607592109901</v>
      </c>
      <c r="AE2286">
        <v>0.68279999999998597</v>
      </c>
      <c r="AF2286">
        <v>-0.67126048092639201</v>
      </c>
      <c r="AG2286">
        <v>-1.1085607592109901</v>
      </c>
      <c r="AH2286">
        <v>23.297623252539701</v>
      </c>
      <c r="AI2286">
        <v>92.7230972722963</v>
      </c>
      <c r="AJ2286">
        <v>91.650372430822202</v>
      </c>
      <c r="AK2286">
        <v>23.333639810526702</v>
      </c>
    </row>
    <row r="2287" spans="1:37" x14ac:dyDescent="0.2">
      <c r="A2287" t="str">
        <f>"20200111154110464"</f>
        <v>20200111154110464</v>
      </c>
      <c r="B2287" t="str">
        <f>"1578728470458917"</f>
        <v>1578728470458917</v>
      </c>
      <c r="C2287" t="s">
        <v>37</v>
      </c>
      <c r="D2287">
        <v>5.2967170000000001</v>
      </c>
      <c r="E2287">
        <v>0.4970349</v>
      </c>
      <c r="F2287" t="s">
        <v>44</v>
      </c>
      <c r="G2287">
        <v>-388.67149999999998</v>
      </c>
      <c r="H2287" s="1">
        <v>3.05275899999999E-6</v>
      </c>
      <c r="I2287">
        <v>215.1884</v>
      </c>
      <c r="J2287">
        <v>-411.85329999999999</v>
      </c>
      <c r="K2287">
        <v>1.1086549999999999</v>
      </c>
      <c r="L2287">
        <v>214.5223</v>
      </c>
      <c r="M2287">
        <v>0.99999069999999901</v>
      </c>
      <c r="N2287">
        <v>0</v>
      </c>
      <c r="O2287">
        <v>6.5101959999999996E-4</v>
      </c>
      <c r="P2287">
        <v>0.99693809999999905</v>
      </c>
      <c r="Q2287">
        <v>7.5183849999999997E-2</v>
      </c>
      <c r="R2287">
        <v>2.14960999999999E-2</v>
      </c>
      <c r="S2287">
        <v>3.0178829999999999</v>
      </c>
      <c r="T2287">
        <v>-0.14113399999999901</v>
      </c>
      <c r="U2287">
        <v>8.4838869999999997E-2</v>
      </c>
      <c r="V2287">
        <v>-2.0848619999999998E-2</v>
      </c>
      <c r="W2287">
        <v>7.9463370000000005E-2</v>
      </c>
      <c r="X2287">
        <v>0.99661979999999994</v>
      </c>
      <c r="Y2287">
        <v>-2.742093E-2</v>
      </c>
      <c r="Z2287">
        <v>6.1028269999999999E-4</v>
      </c>
      <c r="AA2287">
        <v>0.99962379999999995</v>
      </c>
      <c r="AB2287">
        <v>51</v>
      </c>
      <c r="AC2287">
        <v>23.181799999999999</v>
      </c>
      <c r="AD2287">
        <v>-1.1086519472409999</v>
      </c>
      <c r="AE2287">
        <v>0.66610000000000003</v>
      </c>
      <c r="AF2287">
        <v>-0.64952357808196304</v>
      </c>
      <c r="AG2287">
        <v>-1.1086519472409999</v>
      </c>
      <c r="AH2287">
        <v>23.129371851201899</v>
      </c>
      <c r="AI2287">
        <v>92.743158050492895</v>
      </c>
      <c r="AJ2287">
        <v>91.608568615267203</v>
      </c>
      <c r="AK2287">
        <v>23.165034691313899</v>
      </c>
    </row>
    <row r="2288" spans="1:37" x14ac:dyDescent="0.2">
      <c r="A2288" t="str">
        <f>"20200111154110487"</f>
        <v>20200111154110487</v>
      </c>
      <c r="B2288" t="str">
        <f>"1578728470478437"</f>
        <v>1578728470478437</v>
      </c>
      <c r="C2288" t="s">
        <v>37</v>
      </c>
      <c r="D2288">
        <v>5.2592040000000004</v>
      </c>
      <c r="E2288">
        <v>0.49722</v>
      </c>
      <c r="F2288" t="s">
        <v>44</v>
      </c>
      <c r="G2288">
        <v>-388.05520000000001</v>
      </c>
      <c r="H2288" s="1">
        <v>2.72498E-6</v>
      </c>
      <c r="I2288">
        <v>215.1842</v>
      </c>
      <c r="J2288">
        <v>-411.32900000000001</v>
      </c>
      <c r="K2288">
        <v>1.108765</v>
      </c>
      <c r="L2288">
        <v>214.52279999999999</v>
      </c>
      <c r="M2288">
        <v>0.9999903</v>
      </c>
      <c r="N2288">
        <v>0</v>
      </c>
      <c r="O2288">
        <v>9.8869150000000005E-4</v>
      </c>
      <c r="P2288">
        <v>0.99690540000000005</v>
      </c>
      <c r="Q2288">
        <v>7.5733419999999996E-2</v>
      </c>
      <c r="R2288">
        <v>2.10768E-2</v>
      </c>
      <c r="S2288">
        <v>3.0180359999999999</v>
      </c>
      <c r="T2288">
        <v>-0.14059759999999999</v>
      </c>
      <c r="U2288">
        <v>8.3938600000000002E-2</v>
      </c>
      <c r="V2288">
        <v>-2.0113949999999998E-2</v>
      </c>
      <c r="W2288">
        <v>8.0033759999999995E-2</v>
      </c>
      <c r="X2288">
        <v>0.99658919999999995</v>
      </c>
      <c r="Y2288">
        <v>-2.678529E-2</v>
      </c>
      <c r="Z2288">
        <v>5.7742329999999997E-4</v>
      </c>
      <c r="AA2288">
        <v>0.99964109999999995</v>
      </c>
      <c r="AB2288">
        <v>51</v>
      </c>
      <c r="AC2288">
        <v>23.273799999999898</v>
      </c>
      <c r="AD2288">
        <v>-1.1087622750199999</v>
      </c>
      <c r="AE2288">
        <v>0.66140000000001398</v>
      </c>
      <c r="AF2288">
        <v>-0.63694443737435902</v>
      </c>
      <c r="AG2288">
        <v>-1.1087622750199999</v>
      </c>
      <c r="AH2288">
        <v>23.2217817778028</v>
      </c>
      <c r="AI2288">
        <v>92.732579299865904</v>
      </c>
      <c r="AJ2288">
        <v>91.571157654759006</v>
      </c>
      <c r="AK2288">
        <v>23.256960268588401</v>
      </c>
    </row>
    <row r="2289" spans="1:37" x14ac:dyDescent="0.2">
      <c r="A2289" t="str">
        <f>"20200111154110509"</f>
        <v>20200111154110509</v>
      </c>
      <c r="B2289" t="str">
        <f>"1578728470498936"</f>
        <v>1578728470498936</v>
      </c>
      <c r="C2289" t="s">
        <v>37</v>
      </c>
      <c r="D2289">
        <v>5.2563649999999997</v>
      </c>
      <c r="E2289">
        <v>0.49743179999999998</v>
      </c>
      <c r="F2289" t="s">
        <v>44</v>
      </c>
      <c r="G2289">
        <v>-387.4862</v>
      </c>
      <c r="H2289" s="1">
        <v>2.4228989999999999E-6</v>
      </c>
      <c r="I2289">
        <v>215.1678</v>
      </c>
      <c r="J2289">
        <v>-410.80950000000001</v>
      </c>
      <c r="K2289">
        <v>1.108873</v>
      </c>
      <c r="L2289">
        <v>214.52359999999999</v>
      </c>
      <c r="M2289">
        <v>0.99998949999999998</v>
      </c>
      <c r="N2289">
        <v>0</v>
      </c>
      <c r="O2289">
        <v>1.426905E-3</v>
      </c>
      <c r="P2289">
        <v>0.99691019999999897</v>
      </c>
      <c r="Q2289">
        <v>7.576592E-2</v>
      </c>
      <c r="R2289">
        <v>2.0727120000000002E-2</v>
      </c>
      <c r="S2289">
        <v>3.0182799999999999</v>
      </c>
      <c r="T2289">
        <v>-0.14035899999999901</v>
      </c>
      <c r="U2289">
        <v>8.1649780000000005E-2</v>
      </c>
      <c r="V2289">
        <v>-1.9348770000000001E-2</v>
      </c>
      <c r="W2289">
        <v>8.0087939999999996E-2</v>
      </c>
      <c r="X2289">
        <v>0.99660000000000004</v>
      </c>
      <c r="Y2289">
        <v>-2.558935E-2</v>
      </c>
      <c r="Z2289">
        <v>5.2825309999999896E-4</v>
      </c>
      <c r="AA2289">
        <v>0.99967240000000002</v>
      </c>
      <c r="AB2289">
        <v>51</v>
      </c>
      <c r="AC2289">
        <v>23.3233</v>
      </c>
      <c r="AD2289">
        <v>-1.1088705771009999</v>
      </c>
      <c r="AE2289">
        <v>0.64420000000001199</v>
      </c>
      <c r="AF2289">
        <v>-0.60954214780106897</v>
      </c>
      <c r="AG2289">
        <v>-1.1088705771009999</v>
      </c>
      <c r="AH2289">
        <v>23.2716328104332</v>
      </c>
      <c r="AI2289">
        <v>92.727090710415396</v>
      </c>
      <c r="AJ2289">
        <v>91.500376425265401</v>
      </c>
      <c r="AK2289">
        <v>23.3060084366744</v>
      </c>
    </row>
    <row r="2290" spans="1:37" x14ac:dyDescent="0.2">
      <c r="A2290" t="str">
        <f>"20200111154110532"</f>
        <v>20200111154110532</v>
      </c>
      <c r="B2290" t="str">
        <f>"1578728470528213"</f>
        <v>1578728470528213</v>
      </c>
      <c r="C2290" t="s">
        <v>37</v>
      </c>
      <c r="D2290">
        <v>5.2509639999999997</v>
      </c>
      <c r="E2290">
        <v>0.49768790000000002</v>
      </c>
      <c r="F2290" t="s">
        <v>44</v>
      </c>
      <c r="G2290">
        <v>-387.2022</v>
      </c>
      <c r="H2290" s="1">
        <v>2.272858E-6</v>
      </c>
      <c r="I2290">
        <v>215.1431</v>
      </c>
      <c r="J2290">
        <v>-410.29469999999998</v>
      </c>
      <c r="K2290">
        <v>1.1089850000000001</v>
      </c>
      <c r="L2290">
        <v>214.52459999999999</v>
      </c>
      <c r="M2290">
        <v>0.99998869999999895</v>
      </c>
      <c r="N2290">
        <v>0</v>
      </c>
      <c r="O2290">
        <v>1.972578E-3</v>
      </c>
      <c r="P2290">
        <v>0.9969382</v>
      </c>
      <c r="Q2290">
        <v>7.5293849999999996E-2</v>
      </c>
      <c r="R2290">
        <v>2.1108169999999999E-2</v>
      </c>
      <c r="S2290">
        <v>3.0184329999999999</v>
      </c>
      <c r="T2290">
        <v>-0.1417805</v>
      </c>
      <c r="U2290">
        <v>7.920837E-2</v>
      </c>
      <c r="V2290">
        <v>-1.9208329999999999E-2</v>
      </c>
      <c r="W2290">
        <v>7.9637330000000006E-2</v>
      </c>
      <c r="X2290">
        <v>0.99663880000000005</v>
      </c>
      <c r="Y2290">
        <v>-2.4236029999999999E-2</v>
      </c>
      <c r="Z2290">
        <v>4.7620239999999998E-4</v>
      </c>
      <c r="AA2290">
        <v>0.99970609999999904</v>
      </c>
      <c r="AB2290">
        <v>52</v>
      </c>
      <c r="AC2290">
        <v>23.092499999999902</v>
      </c>
      <c r="AD2290">
        <v>-1.1089827271420001</v>
      </c>
      <c r="AE2290">
        <v>0.61850000000001104</v>
      </c>
      <c r="AF2290">
        <v>-0.57162923432578405</v>
      </c>
      <c r="AG2290">
        <v>-1.1089827271420001</v>
      </c>
      <c r="AH2290">
        <v>23.040575730372399</v>
      </c>
      <c r="AI2290">
        <v>92.754771877447396</v>
      </c>
      <c r="AJ2290">
        <v>91.421198220527401</v>
      </c>
      <c r="AK2290">
        <v>23.074330600423998</v>
      </c>
    </row>
    <row r="2291" spans="1:37" x14ac:dyDescent="0.2">
      <c r="A2291" t="str">
        <f>"20200111154110553"</f>
        <v>20200111154110553</v>
      </c>
      <c r="B2291" t="str">
        <f>"1578728470548709"</f>
        <v>1578728470548709</v>
      </c>
      <c r="C2291" t="s">
        <v>37</v>
      </c>
      <c r="D2291">
        <v>5.2771039999999996</v>
      </c>
      <c r="E2291">
        <v>0.49785390000000002</v>
      </c>
      <c r="F2291" t="s">
        <v>44</v>
      </c>
      <c r="G2291">
        <v>-387.27719999999999</v>
      </c>
      <c r="H2291" s="1">
        <v>2.3136319999999998E-6</v>
      </c>
      <c r="I2291">
        <v>215.12280000000001</v>
      </c>
      <c r="J2291">
        <v>-409.80189999999999</v>
      </c>
      <c r="K2291">
        <v>1.1091</v>
      </c>
      <c r="L2291">
        <v>214.5258</v>
      </c>
      <c r="M2291">
        <v>0.99998699999999996</v>
      </c>
      <c r="N2291">
        <v>0</v>
      </c>
      <c r="O2291">
        <v>2.6109169999999999E-3</v>
      </c>
      <c r="P2291">
        <v>0.99693860000000001</v>
      </c>
      <c r="Q2291">
        <v>7.5120000000000006E-2</v>
      </c>
      <c r="R2291">
        <v>2.169418E-2</v>
      </c>
      <c r="S2291">
        <v>3.0185240000000002</v>
      </c>
      <c r="T2291">
        <v>-0.14543249999999999</v>
      </c>
      <c r="U2291">
        <v>7.8445429999999997E-2</v>
      </c>
      <c r="V2291">
        <v>-1.9181009999999998E-2</v>
      </c>
      <c r="W2291">
        <v>7.9483819999999997E-2</v>
      </c>
      <c r="X2291">
        <v>0.99665159999999997</v>
      </c>
      <c r="Y2291">
        <v>-2.3345060000000001E-2</v>
      </c>
      <c r="Z2291">
        <v>4.362619E-4</v>
      </c>
      <c r="AA2291">
        <v>0.99972739999999904</v>
      </c>
      <c r="AB2291">
        <v>52</v>
      </c>
      <c r="AC2291">
        <v>22.524699999999999</v>
      </c>
      <c r="AD2291">
        <v>-1.109097686368</v>
      </c>
      <c r="AE2291">
        <v>0.59700000000000797</v>
      </c>
      <c r="AF2291">
        <v>-0.53688651314700897</v>
      </c>
      <c r="AG2291">
        <v>-1.109097686368</v>
      </c>
      <c r="AH2291">
        <v>22.471737552601699</v>
      </c>
      <c r="AI2291">
        <v>92.824748569618194</v>
      </c>
      <c r="AJ2291">
        <v>91.368629384025695</v>
      </c>
      <c r="AK2291">
        <v>22.505495627488699</v>
      </c>
    </row>
    <row r="2292" spans="1:37" x14ac:dyDescent="0.2">
      <c r="A2292" t="str">
        <f>"20200111154110576"</f>
        <v>20200111154110576</v>
      </c>
      <c r="B2292" t="str">
        <f>"1578728470568229"</f>
        <v>1578728470568229</v>
      </c>
      <c r="C2292" t="s">
        <v>37</v>
      </c>
      <c r="D2292">
        <v>5.2671429999999999</v>
      </c>
      <c r="E2292">
        <v>0.49800929999999999</v>
      </c>
      <c r="F2292" t="s">
        <v>44</v>
      </c>
      <c r="G2292">
        <v>-387.04840000000002</v>
      </c>
      <c r="H2292" s="1">
        <v>2.1919440000000001E-6</v>
      </c>
      <c r="I2292">
        <v>215.12099999999899</v>
      </c>
      <c r="J2292">
        <v>-409.25490000000002</v>
      </c>
      <c r="K2292">
        <v>1.1092360000000001</v>
      </c>
      <c r="L2292">
        <v>214.52760000000001</v>
      </c>
      <c r="M2292">
        <v>0.9999844</v>
      </c>
      <c r="N2292">
        <v>0</v>
      </c>
      <c r="O2292">
        <v>3.4588119999999999E-3</v>
      </c>
      <c r="P2292">
        <v>0.99694780000000005</v>
      </c>
      <c r="Q2292">
        <v>7.4851249999999994E-2</v>
      </c>
      <c r="R2292">
        <v>2.2199969999999999E-2</v>
      </c>
      <c r="S2292">
        <v>3.0185849999999999</v>
      </c>
      <c r="T2292">
        <v>-0.14713789999999999</v>
      </c>
      <c r="U2292">
        <v>7.8964229999999996E-2</v>
      </c>
      <c r="V2292">
        <v>-1.8868659999999999E-2</v>
      </c>
      <c r="W2292">
        <v>7.9237589999999997E-2</v>
      </c>
      <c r="X2292">
        <v>0.99667719999999904</v>
      </c>
      <c r="Y2292">
        <v>-2.26697999999999E-2</v>
      </c>
      <c r="Z2292">
        <v>3.8361910000000001E-4</v>
      </c>
      <c r="AA2292">
        <v>0.99974289999999999</v>
      </c>
      <c r="AB2292">
        <v>52</v>
      </c>
      <c r="AC2292">
        <v>22.206499999999998</v>
      </c>
      <c r="AD2292">
        <v>-1.109233808056</v>
      </c>
      <c r="AE2292">
        <v>0.59339999999997395</v>
      </c>
      <c r="AF2292">
        <v>-0.51530279425914904</v>
      </c>
      <c r="AG2292">
        <v>-1.109233808056</v>
      </c>
      <c r="AH2292">
        <v>22.153184925749098</v>
      </c>
      <c r="AI2292">
        <v>92.865693544690401</v>
      </c>
      <c r="AJ2292">
        <v>91.332510523754493</v>
      </c>
      <c r="AK2292">
        <v>22.186922701563301</v>
      </c>
    </row>
    <row r="2293" spans="1:37" x14ac:dyDescent="0.2">
      <c r="A2293" t="str">
        <f>"20200111154110598"</f>
        <v>20200111154110598</v>
      </c>
      <c r="B2293" t="str">
        <f>"1578728470588725"</f>
        <v>1578728470588725</v>
      </c>
      <c r="C2293" t="s">
        <v>37</v>
      </c>
      <c r="D2293">
        <v>5.2609589999999997</v>
      </c>
      <c r="E2293">
        <v>0.49814570000000002</v>
      </c>
      <c r="F2293" t="s">
        <v>44</v>
      </c>
      <c r="G2293">
        <v>-386.83859999999999</v>
      </c>
      <c r="H2293" s="1">
        <v>2.080462E-6</v>
      </c>
      <c r="I2293">
        <v>215.11799999999999</v>
      </c>
      <c r="J2293">
        <v>-408.73759999999999</v>
      </c>
      <c r="K2293">
        <v>1.1093770000000001</v>
      </c>
      <c r="L2293">
        <v>214.52979999999999</v>
      </c>
      <c r="M2293">
        <v>0.99998050000000005</v>
      </c>
      <c r="N2293">
        <v>0</v>
      </c>
      <c r="O2293">
        <v>4.3917089999999997E-3</v>
      </c>
      <c r="P2293">
        <v>0.99695859999999903</v>
      </c>
      <c r="Q2293">
        <v>7.4521270000000001E-2</v>
      </c>
      <c r="R2293">
        <v>2.2808930000000002E-2</v>
      </c>
      <c r="S2293">
        <v>3.0186459999999999</v>
      </c>
      <c r="T2293">
        <v>-0.14937310000000001</v>
      </c>
      <c r="U2293">
        <v>7.9498289999999999E-2</v>
      </c>
      <c r="V2293">
        <v>-1.8574460000000001E-2</v>
      </c>
      <c r="W2293">
        <v>7.8929089999999993E-2</v>
      </c>
      <c r="X2293">
        <v>0.99670720000000002</v>
      </c>
      <c r="Y2293">
        <v>-2.191471E-2</v>
      </c>
      <c r="Z2293">
        <v>3.2463750000000002E-4</v>
      </c>
      <c r="AA2293">
        <v>0.99975979999999998</v>
      </c>
      <c r="AB2293">
        <v>52</v>
      </c>
      <c r="AC2293">
        <v>21.899000000000001</v>
      </c>
      <c r="AD2293">
        <v>-1.1093749195379901</v>
      </c>
      <c r="AE2293">
        <v>0.58819999999999995</v>
      </c>
      <c r="AF2293">
        <v>-0.490760810675609</v>
      </c>
      <c r="AG2293">
        <v>-1.1093749195379901</v>
      </c>
      <c r="AH2293">
        <v>21.845350642405201</v>
      </c>
      <c r="AI2293">
        <v>92.906428602884702</v>
      </c>
      <c r="AJ2293">
        <v>91.286946350627503</v>
      </c>
      <c r="AK2293">
        <v>21.879006000616901</v>
      </c>
    </row>
    <row r="2294" spans="1:37" x14ac:dyDescent="0.2">
      <c r="A2294" t="str">
        <f>"20200111154110621"</f>
        <v>20200111154110621</v>
      </c>
      <c r="B2294" t="str">
        <f>"1578728470618558"</f>
        <v>1578728470618558</v>
      </c>
      <c r="C2294" t="s">
        <v>37</v>
      </c>
      <c r="D2294">
        <v>5.3066550000000001</v>
      </c>
      <c r="E2294">
        <v>0.4983245</v>
      </c>
      <c r="F2294" t="s">
        <v>44</v>
      </c>
      <c r="G2294">
        <v>-386.71800000000002</v>
      </c>
      <c r="H2294" s="1">
        <v>2.016482E-6</v>
      </c>
      <c r="I2294">
        <v>215.1131</v>
      </c>
      <c r="J2294">
        <v>-408.20839999999998</v>
      </c>
      <c r="K2294">
        <v>1.1095170000000001</v>
      </c>
      <c r="L2294">
        <v>214.5326</v>
      </c>
      <c r="M2294">
        <v>0.99997510000000001</v>
      </c>
      <c r="N2294">
        <v>0</v>
      </c>
      <c r="O2294">
        <v>5.4620140000000003E-3</v>
      </c>
      <c r="P2294">
        <v>0.99697860000000005</v>
      </c>
      <c r="Q2294">
        <v>7.4127869999999998E-2</v>
      </c>
      <c r="R2294">
        <v>2.3215409999999999E-2</v>
      </c>
      <c r="S2294">
        <v>3.0186769999999998</v>
      </c>
      <c r="T2294">
        <v>-0.15208459999999999</v>
      </c>
      <c r="U2294">
        <v>7.9956050000000001E-2</v>
      </c>
      <c r="V2294">
        <v>-1.7940500000000002E-2</v>
      </c>
      <c r="W2294">
        <v>7.8558299999999998E-2</v>
      </c>
      <c r="X2294">
        <v>0.99674810000000003</v>
      </c>
      <c r="Y2294">
        <v>-2.0997599999999901E-2</v>
      </c>
      <c r="Z2294">
        <v>2.5355730000000001E-4</v>
      </c>
      <c r="AA2294">
        <v>0.99977950000000004</v>
      </c>
      <c r="AB2294">
        <v>52</v>
      </c>
      <c r="AC2294">
        <v>21.490399999999902</v>
      </c>
      <c r="AD2294">
        <v>-1.109514983518</v>
      </c>
      <c r="AE2294">
        <v>0.58050000000000002</v>
      </c>
      <c r="AF2294">
        <v>-0.46187906587562699</v>
      </c>
      <c r="AG2294">
        <v>-1.109514983518</v>
      </c>
      <c r="AH2294">
        <v>21.436153922633999</v>
      </c>
      <c r="AI2294">
        <v>92.962244839372502</v>
      </c>
      <c r="AJ2294">
        <v>91.234345815592206</v>
      </c>
      <c r="AK2294">
        <v>21.469817203809701</v>
      </c>
    </row>
    <row r="2295" spans="1:37" x14ac:dyDescent="0.2">
      <c r="A2295" t="str">
        <f>"20200111154110642"</f>
        <v>20200111154110642</v>
      </c>
      <c r="B2295" t="str">
        <f>"1578728470638079"</f>
        <v>1578728470638079</v>
      </c>
      <c r="C2295" t="s">
        <v>37</v>
      </c>
      <c r="D2295">
        <v>5.3068919999999897</v>
      </c>
      <c r="E2295">
        <v>0.4984943</v>
      </c>
      <c r="F2295" t="s">
        <v>44</v>
      </c>
      <c r="G2295">
        <v>-386.62329999999997</v>
      </c>
      <c r="H2295" s="1">
        <v>1.9665670000000001E-6</v>
      </c>
      <c r="I2295">
        <v>215.10239999999999</v>
      </c>
      <c r="J2295">
        <v>-407.7054</v>
      </c>
      <c r="K2295">
        <v>1.109645</v>
      </c>
      <c r="L2295">
        <v>214.53569999999999</v>
      </c>
      <c r="M2295">
        <v>0.99996830000000003</v>
      </c>
      <c r="N2295">
        <v>0</v>
      </c>
      <c r="O2295">
        <v>6.5704989999999996E-3</v>
      </c>
      <c r="P2295">
        <v>0.99693929999999997</v>
      </c>
      <c r="Q2295">
        <v>7.4369329999999997E-2</v>
      </c>
      <c r="R2295">
        <v>2.4114630000000001E-2</v>
      </c>
      <c r="S2295">
        <v>3.0187680000000001</v>
      </c>
      <c r="T2295">
        <v>-0.15517030000000001</v>
      </c>
      <c r="U2295">
        <v>7.9696660000000002E-2</v>
      </c>
      <c r="V2295">
        <v>-1.7760950000000001E-2</v>
      </c>
      <c r="W2295">
        <v>7.8820699999999994E-2</v>
      </c>
      <c r="X2295">
        <v>0.99673060000000002</v>
      </c>
      <c r="Y2295">
        <v>-1.9804889999999999E-2</v>
      </c>
      <c r="Z2295">
        <v>1.7113130000000001E-4</v>
      </c>
      <c r="AA2295">
        <v>0.99980380000000002</v>
      </c>
      <c r="AB2295">
        <v>52</v>
      </c>
      <c r="AC2295">
        <v>21.082100000000001</v>
      </c>
      <c r="AD2295">
        <v>-1.1096430334330001</v>
      </c>
      <c r="AE2295">
        <v>0.56669999999999698</v>
      </c>
      <c r="AF2295">
        <v>-0.42698439548549</v>
      </c>
      <c r="AG2295">
        <v>-1.1096430334330001</v>
      </c>
      <c r="AH2295">
        <v>21.0271573650809</v>
      </c>
      <c r="AI2295">
        <v>93.0201835416416</v>
      </c>
      <c r="AJ2295">
        <v>91.163307126023895</v>
      </c>
      <c r="AK2295">
        <v>21.0607447682059</v>
      </c>
    </row>
    <row r="2296" spans="1:37" x14ac:dyDescent="0.2">
      <c r="A2296" t="str">
        <f>"20200111154110665"</f>
        <v>20200111154110665</v>
      </c>
      <c r="B2296" t="str">
        <f>"1578728470658575"</f>
        <v>1578728470658575</v>
      </c>
      <c r="C2296" t="s">
        <v>37</v>
      </c>
      <c r="D2296">
        <v>5.283245</v>
      </c>
      <c r="E2296">
        <v>0.49865169999999998</v>
      </c>
      <c r="F2296" t="s">
        <v>44</v>
      </c>
      <c r="G2296">
        <v>-386.16410000000002</v>
      </c>
      <c r="H2296" s="1">
        <v>1.721861E-6</v>
      </c>
      <c r="I2296">
        <v>215.11009999999999</v>
      </c>
      <c r="J2296">
        <v>-407.1789</v>
      </c>
      <c r="K2296">
        <v>1.109769</v>
      </c>
      <c r="L2296">
        <v>214.53960000000001</v>
      </c>
      <c r="M2296">
        <v>0.9999593</v>
      </c>
      <c r="N2296">
        <v>0</v>
      </c>
      <c r="O2296">
        <v>7.8043969999999898E-3</v>
      </c>
      <c r="P2296">
        <v>0.99690699999999999</v>
      </c>
      <c r="Q2296">
        <v>7.4491429999999997E-2</v>
      </c>
      <c r="R2296">
        <v>2.50532999999999E-2</v>
      </c>
      <c r="S2296">
        <v>3.0188899999999999</v>
      </c>
      <c r="T2296">
        <v>-0.15551019999999999</v>
      </c>
      <c r="U2296">
        <v>8.0490110000000004E-2</v>
      </c>
      <c r="V2296">
        <v>-1.7494119999999998E-2</v>
      </c>
      <c r="W2296">
        <v>7.8965220000000003E-2</v>
      </c>
      <c r="X2296">
        <v>0.99672380000000005</v>
      </c>
      <c r="Y2296">
        <v>-1.883555E-2</v>
      </c>
      <c r="Z2296" s="1">
        <v>8.3048510000000004E-5</v>
      </c>
      <c r="AA2296">
        <v>0.99982260000000001</v>
      </c>
      <c r="AB2296">
        <v>52</v>
      </c>
      <c r="AC2296">
        <v>21.014799999999902</v>
      </c>
      <c r="AD2296">
        <v>-1.109767278139</v>
      </c>
      <c r="AE2296">
        <v>0.57049999999998102</v>
      </c>
      <c r="AF2296">
        <v>-0.40534352389654799</v>
      </c>
      <c r="AG2296">
        <v>-1.109767278139</v>
      </c>
      <c r="AH2296">
        <v>20.960202222429</v>
      </c>
      <c r="AI2296">
        <v>93.030209850477306</v>
      </c>
      <c r="AJ2296">
        <v>91.107889053965806</v>
      </c>
      <c r="AK2296">
        <v>20.993474319157201</v>
      </c>
    </row>
    <row r="2297" spans="1:37" x14ac:dyDescent="0.2">
      <c r="A2297" t="str">
        <f>"20200111154110687"</f>
        <v>20200111154110687</v>
      </c>
      <c r="B2297" t="str">
        <f>"1578728470678094"</f>
        <v>1578728470678094</v>
      </c>
      <c r="C2297" t="s">
        <v>37</v>
      </c>
      <c r="D2297">
        <v>5.3091029999999897</v>
      </c>
      <c r="E2297">
        <v>0.49877659999999902</v>
      </c>
      <c r="F2297" t="s">
        <v>44</v>
      </c>
      <c r="G2297">
        <v>-385.65499999999997</v>
      </c>
      <c r="H2297" s="1">
        <v>1.4504450000000001E-6</v>
      </c>
      <c r="I2297">
        <v>215.12139999999999</v>
      </c>
      <c r="J2297">
        <v>-406.64359999999999</v>
      </c>
      <c r="K2297">
        <v>1.1098790000000001</v>
      </c>
      <c r="L2297">
        <v>214.54419999999999</v>
      </c>
      <c r="M2297">
        <v>0.99994810000000001</v>
      </c>
      <c r="N2297">
        <v>0</v>
      </c>
      <c r="O2297">
        <v>9.1086259999999999E-3</v>
      </c>
      <c r="P2297">
        <v>0.996884199999999</v>
      </c>
      <c r="Q2297">
        <v>7.4352909999999994E-2</v>
      </c>
      <c r="R2297">
        <v>2.6341320000000001E-2</v>
      </c>
      <c r="S2297">
        <v>3.0188599999999899</v>
      </c>
      <c r="T2297">
        <v>-0.15565209999999999</v>
      </c>
      <c r="U2297">
        <v>8.1603999999999996E-2</v>
      </c>
      <c r="V2297">
        <v>-1.7503310000000001E-2</v>
      </c>
      <c r="W2297">
        <v>7.8848760000000004E-2</v>
      </c>
      <c r="X2297">
        <v>0.99673289999999903</v>
      </c>
      <c r="Y2297">
        <v>-1.790334E-2</v>
      </c>
      <c r="Z2297" s="1">
        <v>-8.0713940000000006E-6</v>
      </c>
      <c r="AA2297">
        <v>0.999839699999999</v>
      </c>
      <c r="AB2297">
        <v>53</v>
      </c>
      <c r="AC2297">
        <v>20.988600000000002</v>
      </c>
      <c r="AD2297">
        <v>-1.109877549555</v>
      </c>
      <c r="AE2297">
        <v>0.57720000000000404</v>
      </c>
      <c r="AF2297">
        <v>-0.38492121551563901</v>
      </c>
      <c r="AG2297">
        <v>-1.109877549555</v>
      </c>
      <c r="AH2297">
        <v>20.934492031870398</v>
      </c>
      <c r="AI2297">
        <v>93.034279635915098</v>
      </c>
      <c r="AJ2297">
        <v>91.053375271238096</v>
      </c>
      <c r="AK2297">
        <v>20.9674259066201</v>
      </c>
    </row>
    <row r="2298" spans="1:37" x14ac:dyDescent="0.2">
      <c r="A2298" t="str">
        <f>"20200111154110709"</f>
        <v>20200111154110709</v>
      </c>
      <c r="B2298" t="str">
        <f>"1578728470698590"</f>
        <v>1578728470698590</v>
      </c>
      <c r="C2298" t="s">
        <v>37</v>
      </c>
      <c r="D2298">
        <v>5.3250580000000003</v>
      </c>
      <c r="E2298">
        <v>0.49885429999999997</v>
      </c>
      <c r="F2298" t="s">
        <v>44</v>
      </c>
      <c r="G2298">
        <v>-385.21050000000002</v>
      </c>
      <c r="H2298" s="1">
        <v>1.2129029999999999E-6</v>
      </c>
      <c r="I2298">
        <v>215.1439</v>
      </c>
      <c r="J2298">
        <v>-406.11399999999998</v>
      </c>
      <c r="K2298">
        <v>1.109969</v>
      </c>
      <c r="L2298">
        <v>214.54939999999999</v>
      </c>
      <c r="M2298">
        <v>0.99993509999999997</v>
      </c>
      <c r="N2298">
        <v>0</v>
      </c>
      <c r="O2298">
        <v>1.0428420000000001E-2</v>
      </c>
      <c r="P2298">
        <v>0.99684329999999999</v>
      </c>
      <c r="Q2298">
        <v>7.4349689999999996E-2</v>
      </c>
      <c r="R2298">
        <v>2.7848439999999999E-2</v>
      </c>
      <c r="S2298">
        <v>3.018799</v>
      </c>
      <c r="T2298">
        <v>-0.1563234</v>
      </c>
      <c r="U2298">
        <v>8.4457400000000002E-2</v>
      </c>
      <c r="V2298">
        <v>-1.771383E-2</v>
      </c>
      <c r="W2298">
        <v>7.8866820000000004E-2</v>
      </c>
      <c r="X2298">
        <v>0.99672780000000005</v>
      </c>
      <c r="Y2298">
        <v>-1.7530730000000001E-2</v>
      </c>
      <c r="Z2298" s="1">
        <v>-8.6022660000000003E-5</v>
      </c>
      <c r="AA2298">
        <v>0.99984629999999997</v>
      </c>
      <c r="AB2298">
        <v>53</v>
      </c>
      <c r="AC2298">
        <v>20.903500000000001</v>
      </c>
      <c r="AD2298">
        <v>-1.1099677870969999</v>
      </c>
      <c r="AE2298">
        <v>0.59450000000001002</v>
      </c>
      <c r="AF2298">
        <v>-0.37541724139403598</v>
      </c>
      <c r="AG2298">
        <v>-1.1099677870969999</v>
      </c>
      <c r="AH2298">
        <v>20.8498230540687</v>
      </c>
      <c r="AI2298">
        <v>93.046846684333005</v>
      </c>
      <c r="AJ2298">
        <v>91.031543497160001</v>
      </c>
      <c r="AK2298">
        <v>20.882722235846099</v>
      </c>
    </row>
    <row r="2299" spans="1:37" x14ac:dyDescent="0.2">
      <c r="A2299" t="str">
        <f>"20200111154110732"</f>
        <v>20200111154110732</v>
      </c>
      <c r="B2299" t="str">
        <f>"1578728470728492"</f>
        <v>1578728470728492</v>
      </c>
      <c r="C2299" t="s">
        <v>37</v>
      </c>
      <c r="D2299">
        <v>5.2815260000000004</v>
      </c>
      <c r="E2299">
        <v>0.49900709999999998</v>
      </c>
      <c r="F2299" t="s">
        <v>44</v>
      </c>
      <c r="G2299">
        <v>-384.77179999999998</v>
      </c>
      <c r="H2299" s="1">
        <v>9.7803319999999994E-7</v>
      </c>
      <c r="I2299">
        <v>215.17670000000001</v>
      </c>
      <c r="J2299">
        <v>-405.5967</v>
      </c>
      <c r="K2299">
        <v>1.1100449999999999</v>
      </c>
      <c r="L2299">
        <v>214.55510000000001</v>
      </c>
      <c r="M2299">
        <v>0.9999207</v>
      </c>
      <c r="N2299">
        <v>0</v>
      </c>
      <c r="O2299">
        <v>1.172313E-2</v>
      </c>
      <c r="P2299">
        <v>0.99681399999999998</v>
      </c>
      <c r="Q2299">
        <v>7.4115180000000003E-2</v>
      </c>
      <c r="R2299">
        <v>2.947876E-2</v>
      </c>
      <c r="S2299">
        <v>3.0187379999999999</v>
      </c>
      <c r="T2299">
        <v>-0.1569989</v>
      </c>
      <c r="U2299">
        <v>8.8729859999999994E-2</v>
      </c>
      <c r="V2299">
        <v>-1.806775E-2</v>
      </c>
      <c r="W2299">
        <v>7.8653379999999995E-2</v>
      </c>
      <c r="X2299">
        <v>0.99673829999999997</v>
      </c>
      <c r="Y2299">
        <v>-1.765212E-2</v>
      </c>
      <c r="Z2299">
        <v>-1.50507E-4</v>
      </c>
      <c r="AA2299">
        <v>0.99984419999999996</v>
      </c>
      <c r="AB2299">
        <v>53</v>
      </c>
      <c r="AC2299">
        <v>20.8249</v>
      </c>
      <c r="AD2299">
        <v>-1.1100440219668</v>
      </c>
      <c r="AE2299">
        <v>0.62160000000000004</v>
      </c>
      <c r="AF2299">
        <v>-0.37635331613214301</v>
      </c>
      <c r="AG2299">
        <v>-1.1100440219668</v>
      </c>
      <c r="AH2299">
        <v>20.771790087307501</v>
      </c>
      <c r="AI2299">
        <v>93.058474461685407</v>
      </c>
      <c r="AJ2299">
        <v>91.037999006403396</v>
      </c>
      <c r="AK2299">
        <v>20.804833644622899</v>
      </c>
    </row>
    <row r="2300" spans="1:37" x14ac:dyDescent="0.2">
      <c r="A2300" t="str">
        <f>"20200111154110754"</f>
        <v>20200111154110754</v>
      </c>
      <c r="B2300" t="str">
        <f>"1578728470748987"</f>
        <v>1578728470748987</v>
      </c>
      <c r="C2300" t="s">
        <v>37</v>
      </c>
      <c r="D2300">
        <v>5.3317379999999996</v>
      </c>
      <c r="E2300">
        <v>0.49912399999999901</v>
      </c>
      <c r="F2300" t="s">
        <v>44</v>
      </c>
      <c r="G2300">
        <v>-384.3664</v>
      </c>
      <c r="H2300" s="1">
        <v>7.609141E-7</v>
      </c>
      <c r="I2300">
        <v>215.20779999999999</v>
      </c>
      <c r="J2300">
        <v>-405.06150000000002</v>
      </c>
      <c r="K2300">
        <v>1.1101049999999999</v>
      </c>
      <c r="L2300">
        <v>214.5617</v>
      </c>
      <c r="M2300">
        <v>0.99990419999999902</v>
      </c>
      <c r="N2300">
        <v>0</v>
      </c>
      <c r="O2300">
        <v>1.3046540000000001E-2</v>
      </c>
      <c r="P2300">
        <v>0.99676929999999997</v>
      </c>
      <c r="Q2300">
        <v>7.4025419999999995E-2</v>
      </c>
      <c r="R2300">
        <v>3.11676E-2</v>
      </c>
      <c r="S2300">
        <v>3.0185550000000001</v>
      </c>
      <c r="T2300">
        <v>-0.1578273</v>
      </c>
      <c r="U2300">
        <v>9.2803960000000005E-2</v>
      </c>
      <c r="V2300">
        <v>-1.8449489999999999E-2</v>
      </c>
      <c r="W2300">
        <v>7.8584920000000003E-2</v>
      </c>
      <c r="X2300">
        <v>0.99673670000000003</v>
      </c>
      <c r="Y2300">
        <v>-1.768053E-2</v>
      </c>
      <c r="Z2300">
        <v>-2.196852E-4</v>
      </c>
      <c r="AA2300">
        <v>0.9998437</v>
      </c>
      <c r="AB2300">
        <v>53</v>
      </c>
      <c r="AC2300">
        <v>20.6951</v>
      </c>
      <c r="AD2300">
        <v>-1.1101042390858999</v>
      </c>
      <c r="AE2300">
        <v>0.64609999999998902</v>
      </c>
      <c r="AF2300">
        <v>-0.374964819437486</v>
      </c>
      <c r="AG2300">
        <v>-1.1101042390858999</v>
      </c>
      <c r="AH2300">
        <v>20.642430437289399</v>
      </c>
      <c r="AI2300">
        <v>93.077768286112203</v>
      </c>
      <c r="AJ2300">
        <v>91.040649705482394</v>
      </c>
      <c r="AK2300">
        <v>20.675658741519801</v>
      </c>
    </row>
    <row r="2301" spans="1:37" x14ac:dyDescent="0.2">
      <c r="A2301" t="str">
        <f>"20200111154110778"</f>
        <v>20200111154110778</v>
      </c>
      <c r="B2301" t="str">
        <f>"1578728470768508"</f>
        <v>1578728470768508</v>
      </c>
      <c r="C2301" t="s">
        <v>37</v>
      </c>
      <c r="D2301">
        <v>5.2862470000000004</v>
      </c>
      <c r="E2301">
        <v>0.49926619999999999</v>
      </c>
      <c r="F2301" t="s">
        <v>44</v>
      </c>
      <c r="G2301">
        <v>-383.8725</v>
      </c>
      <c r="H2301" s="1">
        <v>4.9653380000000003E-7</v>
      </c>
      <c r="I2301">
        <v>215.2433</v>
      </c>
      <c r="J2301">
        <v>-404.49970000000002</v>
      </c>
      <c r="K2301">
        <v>1.110147</v>
      </c>
      <c r="L2301">
        <v>214.5693</v>
      </c>
      <c r="M2301">
        <v>0.99988559999999904</v>
      </c>
      <c r="N2301">
        <v>0</v>
      </c>
      <c r="O2301">
        <v>1.4399250000000001E-2</v>
      </c>
      <c r="P2301">
        <v>0.9966988</v>
      </c>
      <c r="Q2301">
        <v>7.4179869999999995E-2</v>
      </c>
      <c r="R2301">
        <v>3.3001950000000002E-2</v>
      </c>
      <c r="S2301">
        <v>3.0184329999999999</v>
      </c>
      <c r="T2301">
        <v>-0.15813749999999999</v>
      </c>
      <c r="U2301">
        <v>9.7091670000000005E-2</v>
      </c>
      <c r="V2301">
        <v>-1.8945900000000002E-2</v>
      </c>
      <c r="W2301">
        <v>7.8762239999999997E-2</v>
      </c>
      <c r="X2301">
        <v>0.99671339999999997</v>
      </c>
      <c r="Y2301">
        <v>-1.774974E-2</v>
      </c>
      <c r="Z2301">
        <v>-2.8909770000000001E-4</v>
      </c>
      <c r="AA2301">
        <v>0.99984240000000002</v>
      </c>
      <c r="AB2301">
        <v>53</v>
      </c>
      <c r="AC2301">
        <v>20.627199999999998</v>
      </c>
      <c r="AD2301">
        <v>-1.1101465034661999</v>
      </c>
      <c r="AE2301">
        <v>0.67400000000000604</v>
      </c>
      <c r="AF2301">
        <v>-0.37582329945147103</v>
      </c>
      <c r="AG2301">
        <v>-1.1101465034661999</v>
      </c>
      <c r="AH2301">
        <v>20.575233144337901</v>
      </c>
      <c r="AI2301">
        <v>93.087912306999996</v>
      </c>
      <c r="AJ2301">
        <v>91.046437455372697</v>
      </c>
      <c r="AK2301">
        <v>20.608587708900099</v>
      </c>
    </row>
    <row r="2302" spans="1:37" x14ac:dyDescent="0.2">
      <c r="A2302" t="str">
        <f>"20200111154110800"</f>
        <v>20200111154110800</v>
      </c>
      <c r="B2302" t="str">
        <f>"1578728470789006"</f>
        <v>1578728470789006</v>
      </c>
      <c r="C2302" t="s">
        <v>37</v>
      </c>
      <c r="D2302">
        <v>5.2984730000000004</v>
      </c>
      <c r="E2302">
        <v>0.49938979999999999</v>
      </c>
      <c r="F2302" t="s">
        <v>44</v>
      </c>
      <c r="G2302">
        <v>-383.32330000000002</v>
      </c>
      <c r="H2302" s="1">
        <v>2.0257839999999899E-7</v>
      </c>
      <c r="I2302">
        <v>215.2826</v>
      </c>
      <c r="J2302">
        <v>-403.96690000000001</v>
      </c>
      <c r="K2302">
        <v>1.1101729999999901</v>
      </c>
      <c r="L2302">
        <v>214.5771</v>
      </c>
      <c r="M2302">
        <v>0.99986679999999994</v>
      </c>
      <c r="N2302">
        <v>0</v>
      </c>
      <c r="O2302">
        <v>1.5632730000000001E-2</v>
      </c>
      <c r="P2302">
        <v>0.99660179999999998</v>
      </c>
      <c r="Q2302">
        <v>7.4541430000000006E-2</v>
      </c>
      <c r="R2302">
        <v>3.5050419999999999E-2</v>
      </c>
      <c r="S2302">
        <v>3.0183409999999999</v>
      </c>
      <c r="T2302">
        <v>-0.15823309999999999</v>
      </c>
      <c r="U2302">
        <v>0.1016693</v>
      </c>
      <c r="V2302">
        <v>-1.977226E-2</v>
      </c>
      <c r="W2302">
        <v>7.9143930000000001E-2</v>
      </c>
      <c r="X2302">
        <v>0.99666710000000003</v>
      </c>
      <c r="Y2302">
        <v>-1.8033299999999999E-2</v>
      </c>
      <c r="Z2302">
        <v>-3.4643439999999998E-4</v>
      </c>
      <c r="AA2302">
        <v>0.99983729999999904</v>
      </c>
      <c r="AB2302">
        <v>53</v>
      </c>
      <c r="AC2302">
        <v>20.6435999999999</v>
      </c>
      <c r="AD2302">
        <v>-1.11017279742159</v>
      </c>
      <c r="AE2302">
        <v>0.70550000000000002</v>
      </c>
      <c r="AF2302">
        <v>-0.38159210460322202</v>
      </c>
      <c r="AG2302">
        <v>-1.11017279742159</v>
      </c>
      <c r="AH2302">
        <v>20.5926203105378</v>
      </c>
      <c r="AI2302">
        <v>93.085368041637594</v>
      </c>
      <c r="AJ2302">
        <v>91.0615994838126</v>
      </c>
      <c r="AK2302">
        <v>20.6260540925404</v>
      </c>
    </row>
    <row r="2303" spans="1:37" x14ac:dyDescent="0.2">
      <c r="A2303" t="str">
        <f>"20200111154110823"</f>
        <v>20200111154110823</v>
      </c>
      <c r="B2303" t="str">
        <f>"1578728470818497"</f>
        <v>1578728470818497</v>
      </c>
      <c r="C2303" t="s">
        <v>37</v>
      </c>
      <c r="D2303">
        <v>5.2444860000000002</v>
      </c>
      <c r="E2303">
        <v>0.49960729999999998</v>
      </c>
      <c r="F2303" t="s">
        <v>44</v>
      </c>
      <c r="G2303">
        <v>-382.63350000000003</v>
      </c>
      <c r="H2303" s="1">
        <v>-1.6651700000000001E-7</v>
      </c>
      <c r="I2303">
        <v>215.32939999999999</v>
      </c>
      <c r="J2303">
        <v>-403.4384</v>
      </c>
      <c r="K2303">
        <v>1.110188</v>
      </c>
      <c r="L2303">
        <v>214.5855</v>
      </c>
      <c r="M2303">
        <v>0.99984789999999901</v>
      </c>
      <c r="N2303">
        <v>0</v>
      </c>
      <c r="O2303">
        <v>1.6799069999999999E-2</v>
      </c>
      <c r="P2303">
        <v>0.99648169999999903</v>
      </c>
      <c r="Q2303">
        <v>7.4984480000000006E-2</v>
      </c>
      <c r="R2303">
        <v>3.7439699999999999E-2</v>
      </c>
      <c r="S2303">
        <v>3.0181879999999999</v>
      </c>
      <c r="T2303">
        <v>-0.15706429999999999</v>
      </c>
      <c r="U2303">
        <v>0.1064301</v>
      </c>
      <c r="V2303">
        <v>-2.100426E-2</v>
      </c>
      <c r="W2303">
        <v>7.9606449999999995E-2</v>
      </c>
      <c r="X2303">
        <v>0.99660499999999996</v>
      </c>
      <c r="Y2303">
        <v>-1.844498E-2</v>
      </c>
      <c r="Z2303">
        <v>-3.9380519999999899E-4</v>
      </c>
      <c r="AA2303">
        <v>0.99982979999999999</v>
      </c>
      <c r="AB2303">
        <v>54</v>
      </c>
      <c r="AC2303">
        <v>20.8048999999999</v>
      </c>
      <c r="AD2303">
        <v>-1.1101881665169999</v>
      </c>
      <c r="AE2303">
        <v>0.74389999999999601</v>
      </c>
      <c r="AF2303">
        <v>-0.39317009460109897</v>
      </c>
      <c r="AG2303">
        <v>-1.1101881665169999</v>
      </c>
      <c r="AH2303">
        <v>20.755435638195799</v>
      </c>
      <c r="AI2303">
        <v>93.061229882477903</v>
      </c>
      <c r="AJ2303">
        <v>91.085223818875804</v>
      </c>
      <c r="AK2303">
        <v>20.788824137494</v>
      </c>
    </row>
    <row r="2304" spans="1:37" x14ac:dyDescent="0.2">
      <c r="A2304" t="str">
        <f>"20200111154110857"</f>
        <v>20200111154110857</v>
      </c>
      <c r="B2304" t="str">
        <f>"1578728470848755"</f>
        <v>1578728470848755</v>
      </c>
      <c r="C2304" t="s">
        <v>37</v>
      </c>
      <c r="D2304">
        <v>5.2192540000000003</v>
      </c>
      <c r="E2304">
        <v>0.49976309999999902</v>
      </c>
      <c r="F2304" t="s">
        <v>44</v>
      </c>
      <c r="G2304">
        <v>-382.00580000000002</v>
      </c>
      <c r="H2304" s="1">
        <v>-5.0281449999999995E-7</v>
      </c>
      <c r="I2304">
        <v>215.3802</v>
      </c>
      <c r="J2304">
        <v>-402.60070000000002</v>
      </c>
      <c r="K2304">
        <v>1.1101719999999999</v>
      </c>
      <c r="L2304">
        <v>214.6001</v>
      </c>
      <c r="M2304">
        <v>0.99981749999999903</v>
      </c>
      <c r="N2304">
        <v>0</v>
      </c>
      <c r="O2304">
        <v>1.8509210000000002E-2</v>
      </c>
      <c r="P2304">
        <v>0.99633499999999997</v>
      </c>
      <c r="Q2304">
        <v>7.5468199999999999E-2</v>
      </c>
      <c r="R2304">
        <v>4.026685E-2</v>
      </c>
      <c r="S2304">
        <v>3.0181580000000001</v>
      </c>
      <c r="T2304">
        <v>-0.15633710000000001</v>
      </c>
      <c r="U2304">
        <v>0.11190799999999999</v>
      </c>
      <c r="V2304">
        <v>-2.2127689999999998E-2</v>
      </c>
      <c r="W2304">
        <v>8.0125970000000005E-2</v>
      </c>
      <c r="X2304">
        <v>0.99653910000000001</v>
      </c>
      <c r="Y2304">
        <v>-1.8549670000000001E-2</v>
      </c>
      <c r="Z2304">
        <v>-4.7773329999999998E-4</v>
      </c>
      <c r="AA2304">
        <v>0.99982780000000004</v>
      </c>
      <c r="AB2304">
        <v>54</v>
      </c>
      <c r="AC2304">
        <v>20.594899999999999</v>
      </c>
      <c r="AD2304">
        <v>-1.1101725028145</v>
      </c>
      <c r="AE2304">
        <v>0.78010000000000401</v>
      </c>
      <c r="AF2304">
        <v>-0.39761304651296597</v>
      </c>
      <c r="AG2304">
        <v>-1.1101725028145</v>
      </c>
      <c r="AH2304">
        <v>20.5461939810702</v>
      </c>
      <c r="AI2304">
        <v>93.092277413385006</v>
      </c>
      <c r="AJ2304">
        <v>91.108658185745199</v>
      </c>
      <c r="AK2304">
        <v>20.580006468136201</v>
      </c>
    </row>
    <row r="2305" spans="1:37" x14ac:dyDescent="0.2">
      <c r="A2305" t="str">
        <f>"20200111154110878"</f>
        <v>20200111154110878</v>
      </c>
      <c r="B2305" t="str">
        <f>"1578728470868274"</f>
        <v>1578728470868274</v>
      </c>
      <c r="C2305" t="s">
        <v>37</v>
      </c>
      <c r="D2305">
        <v>5.1698779999999998</v>
      </c>
      <c r="E2305">
        <v>0.49998379999999998</v>
      </c>
      <c r="F2305" t="s">
        <v>44</v>
      </c>
      <c r="G2305">
        <v>-381.041</v>
      </c>
      <c r="H2305" s="1">
        <v>-1.0193600000000001E-6</v>
      </c>
      <c r="I2305">
        <v>215.45189999999999</v>
      </c>
      <c r="J2305">
        <v>-402.09089999999998</v>
      </c>
      <c r="K2305">
        <v>1.110155</v>
      </c>
      <c r="L2305">
        <v>214.6096</v>
      </c>
      <c r="M2305">
        <v>0.99979899999999999</v>
      </c>
      <c r="N2305">
        <v>0</v>
      </c>
      <c r="O2305">
        <v>1.9478160000000001E-2</v>
      </c>
      <c r="P2305">
        <v>0.99623919999999999</v>
      </c>
      <c r="Q2305">
        <v>7.5732419999999995E-2</v>
      </c>
      <c r="R2305">
        <v>4.209939E-2</v>
      </c>
      <c r="S2305">
        <v>3.018005</v>
      </c>
      <c r="T2305">
        <v>-0.15540599999999999</v>
      </c>
      <c r="U2305">
        <v>0.119247399999999</v>
      </c>
      <c r="V2305">
        <v>-2.2992459999999999E-2</v>
      </c>
      <c r="W2305">
        <v>8.0411620000000003E-2</v>
      </c>
      <c r="X2305">
        <v>0.99649650000000001</v>
      </c>
      <c r="Y2305">
        <v>-2.0009809999999999E-2</v>
      </c>
      <c r="Z2305">
        <v>-4.8716079999999999E-4</v>
      </c>
      <c r="AA2305">
        <v>0.99979969999999996</v>
      </c>
      <c r="AB2305">
        <v>54</v>
      </c>
      <c r="AC2305">
        <v>21.049899999999901</v>
      </c>
      <c r="AD2305">
        <v>-1.11015601936</v>
      </c>
      <c r="AE2305">
        <v>0.84229999999999405</v>
      </c>
      <c r="AF2305">
        <v>-0.43092557927441699</v>
      </c>
      <c r="AG2305">
        <v>-1.11015601936</v>
      </c>
      <c r="AH2305">
        <v>21.003985317827599</v>
      </c>
      <c r="AI2305">
        <v>93.024891522681699</v>
      </c>
      <c r="AJ2305">
        <v>91.1753366450762</v>
      </c>
      <c r="AK2305">
        <v>21.037717140262899</v>
      </c>
    </row>
    <row r="2306" spans="1:37" x14ac:dyDescent="0.2">
      <c r="A2306" t="str">
        <f>"20200111154110900"</f>
        <v>20200111154110900</v>
      </c>
      <c r="B2306" t="str">
        <f>"1578728470888769"</f>
        <v>1578728470888769</v>
      </c>
      <c r="C2306" t="s">
        <v>37</v>
      </c>
      <c r="D2306">
        <v>5.1746850000000002</v>
      </c>
      <c r="E2306">
        <v>0.50015399999999999</v>
      </c>
      <c r="F2306" t="s">
        <v>44</v>
      </c>
      <c r="G2306">
        <v>-380.54649999999998</v>
      </c>
      <c r="H2306" s="1">
        <v>-1.2839619999999999E-6</v>
      </c>
      <c r="I2306">
        <v>215.48599999999999</v>
      </c>
      <c r="J2306">
        <v>-401.5539</v>
      </c>
      <c r="K2306">
        <v>1.1101190000000001</v>
      </c>
      <c r="L2306">
        <v>214.62010000000001</v>
      </c>
      <c r="M2306">
        <v>0.99977950000000004</v>
      </c>
      <c r="N2306">
        <v>0</v>
      </c>
      <c r="O2306">
        <v>2.044108E-2</v>
      </c>
      <c r="P2306">
        <v>0.99614380000000002</v>
      </c>
      <c r="Q2306">
        <v>7.6007560000000002E-2</v>
      </c>
      <c r="R2306">
        <v>4.3826259999999999E-2</v>
      </c>
      <c r="S2306">
        <v>3.017944</v>
      </c>
      <c r="T2306">
        <v>-0.1555116</v>
      </c>
      <c r="U2306">
        <v>0.1227722</v>
      </c>
      <c r="V2306">
        <v>-2.3756429999999999E-2</v>
      </c>
      <c r="W2306">
        <v>8.0711039999999998E-2</v>
      </c>
      <c r="X2306">
        <v>0.99645439999999996</v>
      </c>
      <c r="Y2306">
        <v>-2.0214510000000002E-2</v>
      </c>
      <c r="Z2306">
        <v>-5.3176669999999897E-4</v>
      </c>
      <c r="AA2306">
        <v>0.99979549999999995</v>
      </c>
      <c r="AB2306">
        <v>54</v>
      </c>
      <c r="AC2306">
        <v>21.007400000000001</v>
      </c>
      <c r="AD2306">
        <v>-1.1101202839619999</v>
      </c>
      <c r="AE2306">
        <v>0.86589999999998202</v>
      </c>
      <c r="AF2306">
        <v>-0.43508724056689502</v>
      </c>
      <c r="AG2306">
        <v>-1.1101202839619999</v>
      </c>
      <c r="AH2306">
        <v>20.962272565117701</v>
      </c>
      <c r="AI2306">
        <v>93.030787214687194</v>
      </c>
      <c r="AJ2306">
        <v>91.189044923152395</v>
      </c>
      <c r="AK2306">
        <v>20.996155339634299</v>
      </c>
    </row>
    <row r="2307" spans="1:37" x14ac:dyDescent="0.2">
      <c r="A2307" t="str">
        <f>"20200111154110921"</f>
        <v>20200111154110921</v>
      </c>
      <c r="B2307" t="str">
        <f>"1578728470919026"</f>
        <v>1578728470919026</v>
      </c>
      <c r="C2307" t="s">
        <v>37</v>
      </c>
      <c r="D2307">
        <v>5.1409690000000001</v>
      </c>
      <c r="E2307">
        <v>0.50038090000000002</v>
      </c>
      <c r="F2307" t="s">
        <v>44</v>
      </c>
      <c r="G2307">
        <v>-379.96359999999999</v>
      </c>
      <c r="H2307" s="1">
        <v>-1.595915E-6</v>
      </c>
      <c r="I2307">
        <v>215.52590000000001</v>
      </c>
      <c r="J2307">
        <v>-401.02890000000002</v>
      </c>
      <c r="K2307">
        <v>1.1100760000000001</v>
      </c>
      <c r="L2307">
        <v>214.6309</v>
      </c>
      <c r="M2307">
        <v>0.99976109999999896</v>
      </c>
      <c r="N2307">
        <v>0</v>
      </c>
      <c r="O2307">
        <v>2.1324820000000001E-2</v>
      </c>
      <c r="P2307">
        <v>0.99612129999999999</v>
      </c>
      <c r="Q2307">
        <v>7.5652369999999997E-2</v>
      </c>
      <c r="R2307">
        <v>4.4937350000000001E-2</v>
      </c>
      <c r="S2307">
        <v>3.0178829999999999</v>
      </c>
      <c r="T2307">
        <v>-0.15517229999999901</v>
      </c>
      <c r="U2307">
        <v>0.12661739999999999</v>
      </c>
      <c r="V2307">
        <v>-2.3978010000000001E-2</v>
      </c>
      <c r="W2307">
        <v>8.0382620000000002E-2</v>
      </c>
      <c r="X2307">
        <v>0.99647559999999902</v>
      </c>
      <c r="Y2307">
        <v>-2.0603920000000001E-2</v>
      </c>
      <c r="Z2307">
        <v>-5.6597430000000001E-4</v>
      </c>
      <c r="AA2307">
        <v>0.9997876</v>
      </c>
      <c r="AB2307">
        <v>54</v>
      </c>
      <c r="AC2307">
        <v>21.065300000000001</v>
      </c>
      <c r="AD2307">
        <v>-1.110077595915</v>
      </c>
      <c r="AE2307">
        <v>0.89500000000001001</v>
      </c>
      <c r="AF2307">
        <v>-0.444345864543427</v>
      </c>
      <c r="AG2307">
        <v>-1.110077595915</v>
      </c>
      <c r="AH2307">
        <v>21.0213251489334</v>
      </c>
      <c r="AI2307">
        <v>93.022148871596698</v>
      </c>
      <c r="AJ2307">
        <v>91.210929935445705</v>
      </c>
      <c r="AK2307">
        <v>21.055304000025</v>
      </c>
    </row>
    <row r="2308" spans="1:37" x14ac:dyDescent="0.2">
      <c r="A2308" t="str">
        <f>"20200111154110945"</f>
        <v>20200111154110945</v>
      </c>
      <c r="B2308" t="str">
        <f>"1578728470938546"</f>
        <v>1578728470938546</v>
      </c>
      <c r="C2308" t="s">
        <v>37</v>
      </c>
      <c r="D2308">
        <v>5.1316480000000002</v>
      </c>
      <c r="E2308">
        <v>0.5005655</v>
      </c>
      <c r="F2308" t="s">
        <v>44</v>
      </c>
      <c r="G2308">
        <v>-379.68549999999999</v>
      </c>
      <c r="H2308" s="1">
        <v>3.6173469999999999E-6</v>
      </c>
      <c r="I2308">
        <v>215.53880000000001</v>
      </c>
      <c r="J2308">
        <v>-400.46820000000002</v>
      </c>
      <c r="K2308">
        <v>1.1100289999999999</v>
      </c>
      <c r="L2308">
        <v>214.6429</v>
      </c>
      <c r="M2308">
        <v>0.99974169999999996</v>
      </c>
      <c r="N2308">
        <v>0</v>
      </c>
      <c r="O2308">
        <v>2.2206099999999999E-2</v>
      </c>
      <c r="P2308">
        <v>0.99613209999999996</v>
      </c>
      <c r="Q2308">
        <v>7.5534270000000001E-2</v>
      </c>
      <c r="R2308">
        <v>4.489667E-2</v>
      </c>
      <c r="S2308">
        <v>3.017792</v>
      </c>
      <c r="T2308">
        <v>-0.15695580000000001</v>
      </c>
      <c r="U2308">
        <v>0.12837219999999999</v>
      </c>
      <c r="V2308">
        <v>-2.3049219999999999E-2</v>
      </c>
      <c r="W2308">
        <v>8.0297080000000007E-2</v>
      </c>
      <c r="X2308">
        <v>0.99650439999999996</v>
      </c>
      <c r="Y2308">
        <v>-2.0305799999999999E-2</v>
      </c>
      <c r="Z2308">
        <v>-6.2598919999999896E-4</v>
      </c>
      <c r="AA2308">
        <v>0.99979359999999995</v>
      </c>
      <c r="AB2308">
        <v>54</v>
      </c>
      <c r="AC2308">
        <v>20.782699999999998</v>
      </c>
      <c r="AD2308">
        <v>-1.110025382653</v>
      </c>
      <c r="AE2308">
        <v>0.89590000000001102</v>
      </c>
      <c r="AF2308">
        <v>-0.43293819088811097</v>
      </c>
      <c r="AG2308">
        <v>-1.110025382653</v>
      </c>
      <c r="AH2308">
        <v>20.7384183003768</v>
      </c>
      <c r="AI2308">
        <v>93.063171055758204</v>
      </c>
      <c r="AJ2308">
        <v>91.195941184299201</v>
      </c>
      <c r="AK2308">
        <v>20.7726162393827</v>
      </c>
    </row>
    <row r="2309" spans="1:37" x14ac:dyDescent="0.2">
      <c r="A2309" t="str">
        <f>"20200111154110966"</f>
        <v>20200111154110966</v>
      </c>
      <c r="B2309" t="str">
        <f>"1578728470958066"</f>
        <v>1578728470958066</v>
      </c>
      <c r="C2309" t="s">
        <v>37</v>
      </c>
      <c r="D2309">
        <v>5.138039</v>
      </c>
      <c r="E2309">
        <v>0.51221729999999999</v>
      </c>
      <c r="F2309" t="s">
        <v>44</v>
      </c>
      <c r="G2309">
        <v>-379.23630000000003</v>
      </c>
      <c r="H2309" s="1">
        <v>3.37830999999999E-6</v>
      </c>
      <c r="I2309">
        <v>215.53890000000001</v>
      </c>
      <c r="J2309">
        <v>-399.91609999999997</v>
      </c>
      <c r="K2309">
        <v>1.1099699999999999</v>
      </c>
      <c r="L2309">
        <v>214.65520000000001</v>
      </c>
      <c r="M2309">
        <v>0.99972329999999998</v>
      </c>
      <c r="N2309">
        <v>0</v>
      </c>
      <c r="O2309">
        <v>2.3016669999999999E-2</v>
      </c>
      <c r="P2309">
        <v>0.99617230000000001</v>
      </c>
      <c r="Q2309">
        <v>7.5238349999999996E-2</v>
      </c>
      <c r="R2309">
        <v>4.4501199999999998E-2</v>
      </c>
      <c r="S2309">
        <v>3.01791399999999</v>
      </c>
      <c r="T2309">
        <v>-0.157779799999999</v>
      </c>
      <c r="U2309">
        <v>0.12736510000000001</v>
      </c>
      <c r="V2309">
        <v>-2.1833700000000001E-2</v>
      </c>
      <c r="W2309">
        <v>8.0035640000000005E-2</v>
      </c>
      <c r="X2309">
        <v>0.99655280000000002</v>
      </c>
      <c r="Y2309">
        <v>-1.9163110000000001E-2</v>
      </c>
      <c r="Z2309">
        <v>-7.0139999999999905E-4</v>
      </c>
      <c r="AA2309">
        <v>0.99981609999999999</v>
      </c>
      <c r="AB2309">
        <v>55</v>
      </c>
      <c r="AC2309">
        <v>20.679799999999901</v>
      </c>
      <c r="AD2309">
        <v>-1.1099666216899999</v>
      </c>
      <c r="AE2309">
        <v>0.88370000000000404</v>
      </c>
      <c r="AF2309">
        <v>-0.406311740174365</v>
      </c>
      <c r="AG2309">
        <v>-1.1099666216899999</v>
      </c>
      <c r="AH2309">
        <v>20.635321676388799</v>
      </c>
      <c r="AI2309">
        <v>93.078356906431196</v>
      </c>
      <c r="AJ2309">
        <v>91.128014401465805</v>
      </c>
      <c r="AK2309">
        <v>20.6691464705128</v>
      </c>
    </row>
    <row r="2310" spans="1:37" x14ac:dyDescent="0.2">
      <c r="A2310" t="str">
        <f>"20200111154110990"</f>
        <v>20200111154110990</v>
      </c>
      <c r="B2310" t="str">
        <f>"1578728470978561"</f>
        <v>1578728470978561</v>
      </c>
      <c r="C2310" t="s">
        <v>37</v>
      </c>
      <c r="D2310">
        <v>5.0820349999999896</v>
      </c>
      <c r="E2310">
        <v>0.51237339999999998</v>
      </c>
      <c r="F2310" t="s">
        <v>38</v>
      </c>
      <c r="G2310">
        <v>-398.79840000000002</v>
      </c>
      <c r="H2310">
        <v>1.048532</v>
      </c>
      <c r="I2310">
        <v>214.66739999999999</v>
      </c>
      <c r="J2310">
        <v>-399.3655</v>
      </c>
      <c r="K2310">
        <v>1.1099079999999999</v>
      </c>
      <c r="L2310">
        <v>214.66800000000001</v>
      </c>
      <c r="M2310">
        <v>0.99970519999999996</v>
      </c>
      <c r="N2310">
        <v>0</v>
      </c>
      <c r="O2310">
        <v>2.3780249999999999E-2</v>
      </c>
      <c r="P2310">
        <v>0.99627289999999902</v>
      </c>
      <c r="Q2310">
        <v>7.4228769999999999E-2</v>
      </c>
      <c r="R2310">
        <v>4.3938770000000002E-2</v>
      </c>
      <c r="S2310">
        <v>3.0226139999999999</v>
      </c>
      <c r="T2310">
        <v>-0.1662477</v>
      </c>
      <c r="U2310">
        <v>3.3615109999999997E-2</v>
      </c>
      <c r="V2310">
        <v>-2.0493810000000001E-2</v>
      </c>
      <c r="W2310">
        <v>7.9060759999999994E-2</v>
      </c>
      <c r="X2310">
        <v>0.99665910000000002</v>
      </c>
      <c r="Y2310">
        <v>1.260671E-2</v>
      </c>
      <c r="Z2310">
        <v>-1.653217E-3</v>
      </c>
      <c r="AA2310">
        <v>0.99991919999999901</v>
      </c>
      <c r="AB2310">
        <v>55</v>
      </c>
      <c r="AC2310">
        <v>0.56709999999998195</v>
      </c>
      <c r="AD2310">
        <v>-6.1375999999999799E-2</v>
      </c>
      <c r="AE2310">
        <v>-6.0000000001991696E-4</v>
      </c>
      <c r="AF2310">
        <v>1.3922692054437399E-2</v>
      </c>
      <c r="AG2310">
        <v>-6.1375999999999799E-2</v>
      </c>
      <c r="AH2310">
        <v>0.56036170131626495</v>
      </c>
      <c r="AI2310">
        <v>96.248734743817707</v>
      </c>
      <c r="AJ2310">
        <v>88.576727485785497</v>
      </c>
      <c r="AK2310">
        <v>0.56388482071439205</v>
      </c>
    </row>
    <row r="2311" spans="1:37" x14ac:dyDescent="0.2">
      <c r="A2311" t="str">
        <f>"20200111154111012"</f>
        <v>20200111154111012</v>
      </c>
      <c r="B2311" t="str">
        <f>"1578728471008818"</f>
        <v>1578728471008818</v>
      </c>
      <c r="C2311" t="s">
        <v>37</v>
      </c>
      <c r="D2311">
        <v>5.1521019999999904</v>
      </c>
      <c r="E2311">
        <v>0.51247920000000002</v>
      </c>
      <c r="F2311" t="s">
        <v>38</v>
      </c>
      <c r="G2311">
        <v>-398.29860000000002</v>
      </c>
      <c r="H2311">
        <v>1.0517399999999999</v>
      </c>
      <c r="I2311">
        <v>214.67850000000001</v>
      </c>
      <c r="J2311">
        <v>-398.81950000000001</v>
      </c>
      <c r="K2311">
        <v>1.1098490000000001</v>
      </c>
      <c r="L2311">
        <v>214.68099999999899</v>
      </c>
      <c r="M2311">
        <v>0.99968769999999996</v>
      </c>
      <c r="N2311">
        <v>0</v>
      </c>
      <c r="O2311">
        <v>2.4495900000000001E-2</v>
      </c>
      <c r="P2311">
        <v>0.99635479999999998</v>
      </c>
      <c r="Q2311">
        <v>7.3578969999999994E-2</v>
      </c>
      <c r="R2311">
        <v>4.3166049999999997E-2</v>
      </c>
      <c r="S2311">
        <v>3.0221559999999998</v>
      </c>
      <c r="T2311">
        <v>-0.16485999999999901</v>
      </c>
      <c r="U2311">
        <v>3.0822749999999999E-2</v>
      </c>
      <c r="V2311">
        <v>-1.899342E-2</v>
      </c>
      <c r="W2311">
        <v>7.844566E-2</v>
      </c>
      <c r="X2311">
        <v>0.9967374</v>
      </c>
      <c r="Y2311">
        <v>1.4242009999999999E-2</v>
      </c>
      <c r="Z2311">
        <v>-1.723266E-3</v>
      </c>
      <c r="AA2311">
        <v>0.99989709999999998</v>
      </c>
      <c r="AB2311">
        <v>55</v>
      </c>
      <c r="AC2311">
        <v>0.52089999999998304</v>
      </c>
      <c r="AD2311">
        <v>-5.8109000000000098E-2</v>
      </c>
      <c r="AE2311">
        <v>-2.4999999999692998E-3</v>
      </c>
      <c r="AF2311">
        <v>1.50717636148665E-2</v>
      </c>
      <c r="AG2311">
        <v>-5.8109000000000098E-2</v>
      </c>
      <c r="AH2311">
        <v>0.51428259768238804</v>
      </c>
      <c r="AI2311">
        <v>96.443788999702804</v>
      </c>
      <c r="AJ2311">
        <v>88.321348315978497</v>
      </c>
      <c r="AK2311">
        <v>0.51777447235104901</v>
      </c>
    </row>
    <row r="2312" spans="1:37" x14ac:dyDescent="0.2">
      <c r="A2312" t="str">
        <f>"20200111154111033"</f>
        <v>20200111154111033</v>
      </c>
      <c r="B2312" t="str">
        <f>"1578728471028338"</f>
        <v>1578728471028338</v>
      </c>
      <c r="C2312" t="s">
        <v>37</v>
      </c>
      <c r="D2312">
        <v>5.0907859999999996</v>
      </c>
      <c r="E2312">
        <v>0.51217709999999905</v>
      </c>
      <c r="F2312" t="s">
        <v>44</v>
      </c>
      <c r="G2312">
        <v>-379.11099999999999</v>
      </c>
      <c r="H2312" s="1">
        <v>3.3116260000000001E-6</v>
      </c>
      <c r="I2312">
        <v>214.8612</v>
      </c>
      <c r="J2312">
        <v>-398.31099999999998</v>
      </c>
      <c r="K2312">
        <v>1.109791</v>
      </c>
      <c r="L2312">
        <v>214.6935</v>
      </c>
      <c r="M2312">
        <v>0.99967199999999901</v>
      </c>
      <c r="N2312">
        <v>0</v>
      </c>
      <c r="O2312">
        <v>2.512559E-2</v>
      </c>
      <c r="P2312">
        <v>0.99641380000000002</v>
      </c>
      <c r="Q2312">
        <v>7.3202970000000006E-2</v>
      </c>
      <c r="R2312">
        <v>4.2439989999999997E-2</v>
      </c>
      <c r="S2312">
        <v>3.0223689999999999</v>
      </c>
      <c r="T2312">
        <v>-0.17019860000000001</v>
      </c>
      <c r="U2312">
        <v>2.7633669999999999E-2</v>
      </c>
      <c r="V2312">
        <v>-1.7627449999999999E-2</v>
      </c>
      <c r="W2312">
        <v>7.8101959999999998E-2</v>
      </c>
      <c r="X2312">
        <v>0.99678949999999999</v>
      </c>
      <c r="Y2312">
        <v>1.592006E-2</v>
      </c>
      <c r="Z2312">
        <v>-1.861501E-3</v>
      </c>
      <c r="AA2312">
        <v>0.99987159999999997</v>
      </c>
      <c r="AB2312">
        <v>55</v>
      </c>
      <c r="AC2312">
        <v>19.1999999999999</v>
      </c>
      <c r="AD2312">
        <v>-1.1097876883740001</v>
      </c>
      <c r="AE2312">
        <v>0.16769999999999599</v>
      </c>
      <c r="AF2312">
        <v>0.31372213703940699</v>
      </c>
      <c r="AG2312">
        <v>-1.1097876883740001</v>
      </c>
      <c r="AH2312">
        <v>19.134229360692899</v>
      </c>
      <c r="AI2312">
        <v>93.318998383266305</v>
      </c>
      <c r="AJ2312">
        <v>89.060670612223305</v>
      </c>
      <c r="AK2312">
        <v>19.168953636548199</v>
      </c>
    </row>
    <row r="2313" spans="1:37" x14ac:dyDescent="0.2">
      <c r="A2313" t="str">
        <f>"20200111154111056"</f>
        <v>20200111154111056</v>
      </c>
      <c r="B2313" t="str">
        <f>"1578728471048834"</f>
        <v>1578728471048834</v>
      </c>
      <c r="C2313" t="s">
        <v>37</v>
      </c>
      <c r="D2313">
        <v>5.1371459999999898</v>
      </c>
      <c r="E2313">
        <v>0.51215449999999996</v>
      </c>
      <c r="F2313" t="s">
        <v>44</v>
      </c>
      <c r="G2313">
        <v>-378.82760000000002</v>
      </c>
      <c r="H2313" s="1">
        <v>3.1608069999999999E-6</v>
      </c>
      <c r="I2313">
        <v>214.8741</v>
      </c>
      <c r="J2313">
        <v>-397.7296</v>
      </c>
      <c r="K2313">
        <v>1.1097269999999999</v>
      </c>
      <c r="L2313">
        <v>214.70820000000001</v>
      </c>
      <c r="M2313">
        <v>0.99965469999999901</v>
      </c>
      <c r="N2313">
        <v>0</v>
      </c>
      <c r="O2313">
        <v>2.5802869999999999E-2</v>
      </c>
      <c r="P2313">
        <v>0.99642330000000001</v>
      </c>
      <c r="Q2313">
        <v>7.2898309999999994E-2</v>
      </c>
      <c r="R2313">
        <v>4.2742719999999998E-2</v>
      </c>
      <c r="S2313">
        <v>3.0222470000000001</v>
      </c>
      <c r="T2313">
        <v>-0.17214869999999999</v>
      </c>
      <c r="U2313">
        <v>2.8015140000000001E-2</v>
      </c>
      <c r="V2313">
        <v>-1.7241869999999999E-2</v>
      </c>
      <c r="W2313">
        <v>7.7830029999999994E-2</v>
      </c>
      <c r="X2313">
        <v>0.99681749999999902</v>
      </c>
      <c r="Y2313">
        <v>1.6467430000000002E-2</v>
      </c>
      <c r="Z2313">
        <v>-1.9369820000000001E-3</v>
      </c>
      <c r="AA2313">
        <v>0.99986260000000005</v>
      </c>
      <c r="AB2313">
        <v>55</v>
      </c>
      <c r="AC2313">
        <v>18.901999999999902</v>
      </c>
      <c r="AD2313">
        <v>-1.109723839193</v>
      </c>
      <c r="AE2313">
        <v>0.165899999999993</v>
      </c>
      <c r="AF2313">
        <v>0.320781528063181</v>
      </c>
      <c r="AG2313">
        <v>-1.109723839193</v>
      </c>
      <c r="AH2313">
        <v>18.835071722620199</v>
      </c>
      <c r="AI2313">
        <v>93.371364174951097</v>
      </c>
      <c r="AJ2313">
        <v>89.024285585255896</v>
      </c>
      <c r="AK2313">
        <v>18.870461430083399</v>
      </c>
    </row>
    <row r="2314" spans="1:37" x14ac:dyDescent="0.2">
      <c r="A2314" t="str">
        <f>"20200111154111080"</f>
        <v>20200111154111080</v>
      </c>
      <c r="B2314" t="str">
        <f>"1578728471068353"</f>
        <v>1578728471068353</v>
      </c>
      <c r="C2314" t="s">
        <v>37</v>
      </c>
      <c r="D2314">
        <v>5.1157879999999896</v>
      </c>
      <c r="E2314">
        <v>0.51181169999999998</v>
      </c>
      <c r="F2314" t="s">
        <v>44</v>
      </c>
      <c r="G2314">
        <v>-378.5498</v>
      </c>
      <c r="H2314" s="1">
        <v>3.0130050000000001E-6</v>
      </c>
      <c r="I2314">
        <v>214.89340000000001</v>
      </c>
      <c r="J2314">
        <v>-397.15019999999998</v>
      </c>
      <c r="K2314">
        <v>1.109659</v>
      </c>
      <c r="L2314">
        <v>214.72319999999999</v>
      </c>
      <c r="M2314">
        <v>0.99963799999999903</v>
      </c>
      <c r="N2314">
        <v>0</v>
      </c>
      <c r="O2314">
        <v>2.6433760000000001E-2</v>
      </c>
      <c r="P2314">
        <v>0.99641270000000004</v>
      </c>
      <c r="Q2314">
        <v>7.2974559999999994E-2</v>
      </c>
      <c r="R2314">
        <v>4.2857390000000002E-2</v>
      </c>
      <c r="S2314">
        <v>3.0223080000000002</v>
      </c>
      <c r="T2314">
        <v>-0.17486849999999901</v>
      </c>
      <c r="U2314">
        <v>2.919006E-2</v>
      </c>
      <c r="V2314">
        <v>-1.6716020000000002E-2</v>
      </c>
      <c r="W2314">
        <v>7.7938419999999994E-2</v>
      </c>
      <c r="X2314">
        <v>0.99681799999999998</v>
      </c>
      <c r="Y2314">
        <v>1.6706349999999998E-2</v>
      </c>
      <c r="Z2314">
        <v>-2.0108539999999999E-3</v>
      </c>
      <c r="AA2314">
        <v>0.99985840000000004</v>
      </c>
      <c r="AB2314">
        <v>55</v>
      </c>
      <c r="AC2314">
        <v>18.600399999999901</v>
      </c>
      <c r="AD2314">
        <v>-1.109655986995</v>
      </c>
      <c r="AE2314">
        <v>0.170200000000022</v>
      </c>
      <c r="AF2314">
        <v>0.32040392832554898</v>
      </c>
      <c r="AG2314">
        <v>-1.109655986995</v>
      </c>
      <c r="AH2314">
        <v>18.532447237393399</v>
      </c>
      <c r="AI2314">
        <v>93.426062453588003</v>
      </c>
      <c r="AJ2314">
        <v>89.009522927032194</v>
      </c>
      <c r="AK2314">
        <v>18.568403154109099</v>
      </c>
    </row>
    <row r="2315" spans="1:37" x14ac:dyDescent="0.2">
      <c r="A2315" t="str">
        <f>"20200111154111101"</f>
        <v>20200111154111101</v>
      </c>
      <c r="B2315" t="str">
        <f>"1578728471098609"</f>
        <v>1578728471098609</v>
      </c>
      <c r="C2315" t="s">
        <v>37</v>
      </c>
      <c r="D2315">
        <v>5.1316160000000002</v>
      </c>
      <c r="E2315">
        <v>0.51091109999999995</v>
      </c>
      <c r="F2315" t="s">
        <v>44</v>
      </c>
      <c r="G2315">
        <v>-378.13990000000001</v>
      </c>
      <c r="H2315" s="1">
        <v>2.79484899999999E-6</v>
      </c>
      <c r="I2315">
        <v>214.92840000000001</v>
      </c>
      <c r="J2315">
        <v>-396.60660000000001</v>
      </c>
      <c r="K2315">
        <v>1.1095979999999901</v>
      </c>
      <c r="L2315">
        <v>214.73759999999999</v>
      </c>
      <c r="M2315">
        <v>0.99962309999999999</v>
      </c>
      <c r="N2315">
        <v>0</v>
      </c>
      <c r="O2315">
        <v>2.6984540000000001E-2</v>
      </c>
      <c r="P2315">
        <v>0.99644580000000005</v>
      </c>
      <c r="Q2315">
        <v>7.2317880000000001E-2</v>
      </c>
      <c r="R2315">
        <v>4.3195299999999999E-2</v>
      </c>
      <c r="S2315">
        <v>3.0223080000000002</v>
      </c>
      <c r="T2315">
        <v>-0.17641560000000001</v>
      </c>
      <c r="U2315">
        <v>3.2623289999999999E-2</v>
      </c>
      <c r="V2315">
        <v>-1.649057E-2</v>
      </c>
      <c r="W2315">
        <v>7.7311850000000001E-2</v>
      </c>
      <c r="X2315">
        <v>0.99687060000000005</v>
      </c>
      <c r="Y2315">
        <v>1.612036E-2</v>
      </c>
      <c r="Z2315">
        <v>-2.0436209999999998E-3</v>
      </c>
      <c r="AA2315">
        <v>0.99986799999999998</v>
      </c>
      <c r="AB2315">
        <v>55</v>
      </c>
      <c r="AC2315">
        <v>18.466699999999999</v>
      </c>
      <c r="AD2315">
        <v>-1.1095952051510001</v>
      </c>
      <c r="AE2315">
        <v>0.19080000000002401</v>
      </c>
      <c r="AF2315">
        <v>0.30648483540881299</v>
      </c>
      <c r="AG2315">
        <v>-1.1095952051510001</v>
      </c>
      <c r="AH2315">
        <v>18.3987050486142</v>
      </c>
      <c r="AI2315">
        <v>93.450755186707696</v>
      </c>
      <c r="AJ2315">
        <v>89.045657641444095</v>
      </c>
      <c r="AK2315">
        <v>18.434681498185199</v>
      </c>
    </row>
    <row r="2316" spans="1:37" x14ac:dyDescent="0.2">
      <c r="A2316" t="str">
        <f>"20200111154111124"</f>
        <v>20200111154111124</v>
      </c>
      <c r="B2316" t="str">
        <f>"1578728471118131"</f>
        <v>1578728471118131</v>
      </c>
      <c r="C2316" t="s">
        <v>37</v>
      </c>
      <c r="D2316">
        <v>5.1613350000000002</v>
      </c>
      <c r="E2316">
        <v>0.51111269999999998</v>
      </c>
      <c r="F2316" t="s">
        <v>44</v>
      </c>
      <c r="G2316">
        <v>-378.12729999999999</v>
      </c>
      <c r="H2316" s="1">
        <v>2.7881869999999899E-6</v>
      </c>
      <c r="I2316">
        <v>214.9864</v>
      </c>
      <c r="J2316">
        <v>-396.051999999999</v>
      </c>
      <c r="K2316">
        <v>1.1095330000000001</v>
      </c>
      <c r="L2316">
        <v>214.7526</v>
      </c>
      <c r="M2316">
        <v>0.99960890000000002</v>
      </c>
      <c r="N2316">
        <v>0</v>
      </c>
      <c r="O2316">
        <v>2.7504239999999999E-2</v>
      </c>
      <c r="P2316">
        <v>0.99645349999999999</v>
      </c>
      <c r="Q2316">
        <v>7.1459729999999999E-2</v>
      </c>
      <c r="R2316">
        <v>4.4431659999999998E-2</v>
      </c>
      <c r="S2316">
        <v>3.022125</v>
      </c>
      <c r="T2316">
        <v>-0.18146479999999901</v>
      </c>
      <c r="U2316">
        <v>4.0695189999999999E-2</v>
      </c>
      <c r="V2316">
        <v>-1.7194709999999998E-2</v>
      </c>
      <c r="W2316">
        <v>7.6481750000000001E-2</v>
      </c>
      <c r="X2316">
        <v>0.99692269999999905</v>
      </c>
      <c r="Y2316">
        <v>1.3968E-2</v>
      </c>
      <c r="Z2316">
        <v>-2.0686929999999999E-3</v>
      </c>
      <c r="AA2316">
        <v>0.99990029999999996</v>
      </c>
      <c r="AB2316">
        <v>55</v>
      </c>
      <c r="AC2316">
        <v>17.924699999999898</v>
      </c>
      <c r="AD2316">
        <v>-1.1095302118129999</v>
      </c>
      <c r="AE2316">
        <v>0.23380000000000201</v>
      </c>
      <c r="AF2316">
        <v>0.25831044331060199</v>
      </c>
      <c r="AG2316">
        <v>-1.1095302118129999</v>
      </c>
      <c r="AH2316">
        <v>17.855944945744099</v>
      </c>
      <c r="AI2316">
        <v>93.555294522673293</v>
      </c>
      <c r="AJ2316">
        <v>89.171196710781302</v>
      </c>
      <c r="AK2316">
        <v>17.892248362950198</v>
      </c>
    </row>
    <row r="2317" spans="1:37" x14ac:dyDescent="0.2">
      <c r="A2317" t="str">
        <f>"20200111154111145"</f>
        <v>20200111154111145</v>
      </c>
      <c r="B2317" t="str">
        <f>"1578728471138626"</f>
        <v>1578728471138626</v>
      </c>
      <c r="C2317" t="s">
        <v>37</v>
      </c>
      <c r="D2317">
        <v>5.1228610000000003</v>
      </c>
      <c r="E2317">
        <v>0.51123509999999905</v>
      </c>
      <c r="F2317" t="s">
        <v>38</v>
      </c>
      <c r="G2317">
        <v>-394.84750000000003</v>
      </c>
      <c r="H2317">
        <v>1.0362879999999901</v>
      </c>
      <c r="I2317">
        <v>214.76949999999999</v>
      </c>
      <c r="J2317">
        <v>-395.5265</v>
      </c>
      <c r="K2317">
        <v>1.1094790000000001</v>
      </c>
      <c r="L2317">
        <v>214.7671</v>
      </c>
      <c r="M2317">
        <v>0.99959609999999999</v>
      </c>
      <c r="N2317">
        <v>0</v>
      </c>
      <c r="O2317">
        <v>2.795653E-2</v>
      </c>
      <c r="P2317">
        <v>0.99639999999999995</v>
      </c>
      <c r="Q2317">
        <v>7.1479429999999997E-2</v>
      </c>
      <c r="R2317">
        <v>4.5584230000000003E-2</v>
      </c>
      <c r="S2317">
        <v>3.0219419999999899</v>
      </c>
      <c r="T2317">
        <v>-0.1837654</v>
      </c>
      <c r="U2317">
        <v>4.2770389999999998E-2</v>
      </c>
      <c r="V2317">
        <v>-1.788725E-2</v>
      </c>
      <c r="W2317">
        <v>7.6527390000000001E-2</v>
      </c>
      <c r="X2317">
        <v>0.99690699999999999</v>
      </c>
      <c r="Y2317">
        <v>1.373079E-2</v>
      </c>
      <c r="Z2317">
        <v>-2.1152459999999999E-3</v>
      </c>
      <c r="AA2317">
        <v>0.99990349999999995</v>
      </c>
      <c r="AB2317">
        <v>56</v>
      </c>
      <c r="AC2317">
        <v>0.67899999999997296</v>
      </c>
      <c r="AD2317">
        <v>-7.31910000000002E-2</v>
      </c>
      <c r="AE2317">
        <v>2.3999999999944001E-3</v>
      </c>
      <c r="AF2317">
        <v>1.6393196130452599E-2</v>
      </c>
      <c r="AG2317">
        <v>-7.31910000000002E-2</v>
      </c>
      <c r="AH2317">
        <v>0.67100525613461504</v>
      </c>
      <c r="AI2317">
        <v>96.223178881697507</v>
      </c>
      <c r="AJ2317">
        <v>88.600496584868495</v>
      </c>
      <c r="AK2317">
        <v>0.67518420680629998</v>
      </c>
    </row>
    <row r="2318" spans="1:37" x14ac:dyDescent="0.2">
      <c r="A2318" t="str">
        <f>"20200111154111167"</f>
        <v>20200111154111167</v>
      </c>
      <c r="B2318" t="str">
        <f>"1578728471158149"</f>
        <v>1578728471158149</v>
      </c>
      <c r="C2318" t="s">
        <v>37</v>
      </c>
      <c r="D2318">
        <v>5.1220410000000003</v>
      </c>
      <c r="E2318">
        <v>0.51121679999999903</v>
      </c>
      <c r="F2318" t="s">
        <v>38</v>
      </c>
      <c r="G2318">
        <v>-394.34660000000002</v>
      </c>
      <c r="H2318">
        <v>1.03794599999999</v>
      </c>
      <c r="I2318">
        <v>214.78450000000001</v>
      </c>
      <c r="J2318">
        <v>-394.94330000000002</v>
      </c>
      <c r="K2318">
        <v>1.109415</v>
      </c>
      <c r="L2318">
        <v>214.7834</v>
      </c>
      <c r="M2318">
        <v>0.999583</v>
      </c>
      <c r="N2318">
        <v>0</v>
      </c>
      <c r="O2318">
        <v>2.84187999999999E-2</v>
      </c>
      <c r="P2318">
        <v>0.99632049999999905</v>
      </c>
      <c r="Q2318">
        <v>7.2373080000000006E-2</v>
      </c>
      <c r="R2318">
        <v>4.5908369999999997E-2</v>
      </c>
      <c r="S2318">
        <v>3.0219119999999999</v>
      </c>
      <c r="T2318">
        <v>-0.1833475</v>
      </c>
      <c r="U2318">
        <v>4.5501710000000001E-2</v>
      </c>
      <c r="V2318">
        <v>-1.7742899999999999E-2</v>
      </c>
      <c r="W2318">
        <v>7.7451619999999999E-2</v>
      </c>
      <c r="X2318">
        <v>0.99683820000000001</v>
      </c>
      <c r="Y2318">
        <v>1.3289820000000001E-2</v>
      </c>
      <c r="Z2318">
        <v>-2.125091E-3</v>
      </c>
      <c r="AA2318">
        <v>0.99990939999999995</v>
      </c>
      <c r="AB2318">
        <v>56</v>
      </c>
      <c r="AC2318">
        <v>0.59669999999999801</v>
      </c>
      <c r="AD2318">
        <v>-7.1469000000000199E-2</v>
      </c>
      <c r="AE2318">
        <v>1.1000000000080899E-3</v>
      </c>
      <c r="AF2318">
        <v>1.5633885299179098E-2</v>
      </c>
      <c r="AG2318">
        <v>-7.1469000000000199E-2</v>
      </c>
      <c r="AH2318">
        <v>0.58805419888177102</v>
      </c>
      <c r="AI2318">
        <v>96.927018302108195</v>
      </c>
      <c r="AJ2318">
        <v>88.477105180267102</v>
      </c>
      <c r="AK2318">
        <v>0.59258752699751405</v>
      </c>
    </row>
    <row r="2319" spans="1:37" x14ac:dyDescent="0.2">
      <c r="A2319" t="str">
        <f>"20200111154111191"</f>
        <v>20200111154111191</v>
      </c>
      <c r="B2319" t="str">
        <f>"1578728471178641"</f>
        <v>1578728471178641</v>
      </c>
      <c r="C2319" t="s">
        <v>37</v>
      </c>
      <c r="D2319">
        <v>5.1586790000000002</v>
      </c>
      <c r="E2319">
        <v>0.51127250000000002</v>
      </c>
      <c r="F2319" t="s">
        <v>38</v>
      </c>
      <c r="G2319">
        <v>-393.84129999999999</v>
      </c>
      <c r="H2319">
        <v>1.043868</v>
      </c>
      <c r="I2319">
        <v>214.80029999999999</v>
      </c>
      <c r="J2319">
        <v>-394.37299999999999</v>
      </c>
      <c r="K2319">
        <v>1.109351</v>
      </c>
      <c r="L2319">
        <v>214.7996</v>
      </c>
      <c r="M2319">
        <v>0.99957099999999899</v>
      </c>
      <c r="N2319">
        <v>0</v>
      </c>
      <c r="O2319">
        <v>2.8833089999999999E-2</v>
      </c>
      <c r="P2319">
        <v>0.99631170000000002</v>
      </c>
      <c r="Q2319">
        <v>7.2033490000000006E-2</v>
      </c>
      <c r="R2319">
        <v>4.6629339999999998E-2</v>
      </c>
      <c r="S2319">
        <v>3.02200299999999</v>
      </c>
      <c r="T2319">
        <v>-0.17982039999999999</v>
      </c>
      <c r="U2319">
        <v>4.6783449999999997E-2</v>
      </c>
      <c r="V2319">
        <v>-1.8038990000000001E-2</v>
      </c>
      <c r="W2319">
        <v>7.7141660000000001E-2</v>
      </c>
      <c r="X2319">
        <v>0.99685689999999905</v>
      </c>
      <c r="Y2319">
        <v>1.328291E-2</v>
      </c>
      <c r="Z2319">
        <v>-2.1086249999999998E-3</v>
      </c>
      <c r="AA2319">
        <v>0.99990959999999995</v>
      </c>
      <c r="AB2319">
        <v>56</v>
      </c>
      <c r="AC2319">
        <v>0.53170000000005702</v>
      </c>
      <c r="AD2319">
        <v>-6.5482999999999902E-2</v>
      </c>
      <c r="AE2319">
        <v>6.9999999999481501E-4</v>
      </c>
      <c r="AF2319">
        <v>1.4412442605218999E-2</v>
      </c>
      <c r="AG2319">
        <v>-6.5482999999999902E-2</v>
      </c>
      <c r="AH2319">
        <v>0.52355788810009696</v>
      </c>
      <c r="AI2319">
        <v>97.1264674459742</v>
      </c>
      <c r="AJ2319">
        <v>88.423166451110603</v>
      </c>
      <c r="AK2319">
        <v>0.52783387915392699</v>
      </c>
    </row>
    <row r="2320" spans="1:37" x14ac:dyDescent="0.2">
      <c r="A2320" t="str">
        <f>"20200111154111212"</f>
        <v>20200111154111212</v>
      </c>
      <c r="B2320" t="str">
        <f>"1578728471208897"</f>
        <v>1578728471208897</v>
      </c>
      <c r="C2320" t="s">
        <v>37</v>
      </c>
      <c r="D2320">
        <v>5.1655739999999897</v>
      </c>
      <c r="E2320">
        <v>0.51138989999999995</v>
      </c>
      <c r="F2320" t="s">
        <v>38</v>
      </c>
      <c r="G2320">
        <v>-393.33580000000001</v>
      </c>
      <c r="H2320">
        <v>1.0473809999999999</v>
      </c>
      <c r="I2320">
        <v>214.81599999999901</v>
      </c>
      <c r="J2320">
        <v>-393.83350000000002</v>
      </c>
      <c r="K2320">
        <v>1.1092839999999999</v>
      </c>
      <c r="L2320">
        <v>214.8152</v>
      </c>
      <c r="M2320">
        <v>0.99956049999999996</v>
      </c>
      <c r="N2320">
        <v>0</v>
      </c>
      <c r="O2320">
        <v>2.919064E-2</v>
      </c>
      <c r="P2320">
        <v>0.996309</v>
      </c>
      <c r="Q2320">
        <v>7.156962E-2</v>
      </c>
      <c r="R2320">
        <v>4.7395920000000001E-2</v>
      </c>
      <c r="S2320">
        <v>3.0219119999999999</v>
      </c>
      <c r="T2320">
        <v>-0.18060870000000001</v>
      </c>
      <c r="U2320">
        <v>4.8248289999999999E-2</v>
      </c>
      <c r="V2320">
        <v>-1.843794E-2</v>
      </c>
      <c r="W2320">
        <v>7.6705679999999998E-2</v>
      </c>
      <c r="X2320">
        <v>0.99688330000000003</v>
      </c>
      <c r="Y2320">
        <v>1.315448E-2</v>
      </c>
      <c r="Z2320">
        <v>-2.1354120000000002E-3</v>
      </c>
      <c r="AA2320">
        <v>0.999911199999999</v>
      </c>
      <c r="AB2320">
        <v>56</v>
      </c>
      <c r="AC2320">
        <v>0.49770000000000802</v>
      </c>
      <c r="AD2320">
        <v>-6.1903E-2</v>
      </c>
      <c r="AE2320">
        <v>7.9999999996971296E-4</v>
      </c>
      <c r="AF2320">
        <v>1.35195703468746E-2</v>
      </c>
      <c r="AG2320">
        <v>-6.1903E-2</v>
      </c>
      <c r="AH2320">
        <v>0.48993206743328399</v>
      </c>
      <c r="AI2320">
        <v>97.198461119458699</v>
      </c>
      <c r="AJ2320">
        <v>88.419336379041198</v>
      </c>
      <c r="AK2320">
        <v>0.49401233880422002</v>
      </c>
    </row>
    <row r="2321" spans="1:37" x14ac:dyDescent="0.2">
      <c r="A2321" t="str">
        <f>"20200111154111235"</f>
        <v>20200111154111235</v>
      </c>
      <c r="B2321" t="str">
        <f>"1578728471228417"</f>
        <v>1578728471228417</v>
      </c>
      <c r="C2321" t="s">
        <v>37</v>
      </c>
      <c r="D2321">
        <v>5.1609860000000003</v>
      </c>
      <c r="E2321">
        <v>0.51144899999999904</v>
      </c>
      <c r="F2321" t="s">
        <v>38</v>
      </c>
      <c r="G2321">
        <v>-392.83109999999999</v>
      </c>
      <c r="H2321">
        <v>1.0487070000000001</v>
      </c>
      <c r="I2321">
        <v>214.83150000000001</v>
      </c>
      <c r="J2321">
        <v>-393.26900000000001</v>
      </c>
      <c r="K2321">
        <v>1.109224</v>
      </c>
      <c r="L2321">
        <v>214.83170000000001</v>
      </c>
      <c r="M2321">
        <v>0.99955039999999995</v>
      </c>
      <c r="N2321">
        <v>0</v>
      </c>
      <c r="O2321">
        <v>2.9528860000000001E-2</v>
      </c>
      <c r="P2321">
        <v>0.99632889999999996</v>
      </c>
      <c r="Q2321">
        <v>7.1175340000000004E-2</v>
      </c>
      <c r="R2321">
        <v>4.7570149999999999E-2</v>
      </c>
      <c r="S2321">
        <v>3.021881</v>
      </c>
      <c r="T2321">
        <v>-0.1827232</v>
      </c>
      <c r="U2321">
        <v>4.9621579999999998E-2</v>
      </c>
      <c r="V2321">
        <v>-1.8263519999999998E-2</v>
      </c>
      <c r="W2321">
        <v>7.6341969999999995E-2</v>
      </c>
      <c r="X2321">
        <v>0.99691439999999998</v>
      </c>
      <c r="Y2321">
        <v>1.303619E-2</v>
      </c>
      <c r="Z2321">
        <v>-2.1772269999999999E-3</v>
      </c>
      <c r="AA2321">
        <v>0.99991269999999999</v>
      </c>
      <c r="AB2321">
        <v>56</v>
      </c>
      <c r="AC2321">
        <v>0.437900000000013</v>
      </c>
      <c r="AD2321">
        <v>-6.0516999999999897E-2</v>
      </c>
      <c r="AE2321">
        <v>-2.0000000000663901E-4</v>
      </c>
      <c r="AF2321">
        <v>1.28846939639261E-2</v>
      </c>
      <c r="AG2321">
        <v>-6.0516999999999897E-2</v>
      </c>
      <c r="AH2321">
        <v>0.42950021852519898</v>
      </c>
      <c r="AI2321">
        <v>98.016674298884297</v>
      </c>
      <c r="AJ2321">
        <v>88.281683660927001</v>
      </c>
      <c r="AK2321">
        <v>0.43393405068136598</v>
      </c>
    </row>
    <row r="2322" spans="1:37" x14ac:dyDescent="0.2">
      <c r="A2322" t="str">
        <f>"20200111154111256"</f>
        <v>20200111154111256</v>
      </c>
      <c r="B2322" t="str">
        <f>"1578728471248914"</f>
        <v>1578728471248914</v>
      </c>
      <c r="C2322" t="s">
        <v>37</v>
      </c>
      <c r="D2322">
        <v>5.1642339999999898</v>
      </c>
      <c r="E2322">
        <v>0.51150890000000004</v>
      </c>
      <c r="F2322" t="s">
        <v>44</v>
      </c>
      <c r="G2322">
        <v>-375.0308</v>
      </c>
      <c r="H2322" s="1">
        <v>1.1403459999999999E-6</v>
      </c>
      <c r="I2322">
        <v>215.1337</v>
      </c>
      <c r="J2322">
        <v>-392.70929999999998</v>
      </c>
      <c r="K2322">
        <v>1.1091690000000001</v>
      </c>
      <c r="L2322">
        <v>214.84819999999999</v>
      </c>
      <c r="M2322">
        <v>0.99954129999999997</v>
      </c>
      <c r="N2322">
        <v>0</v>
      </c>
      <c r="O2322">
        <v>2.982887E-2</v>
      </c>
      <c r="P2322">
        <v>0.99634829999999996</v>
      </c>
      <c r="Q2322">
        <v>7.0987040000000001E-2</v>
      </c>
      <c r="R2322">
        <v>4.7448379999999998E-2</v>
      </c>
      <c r="S2322">
        <v>3.0217900000000002</v>
      </c>
      <c r="T2322">
        <v>-0.18378129999999901</v>
      </c>
      <c r="U2322">
        <v>5.0033569999999999E-2</v>
      </c>
      <c r="V2322">
        <v>-1.7831630000000001E-2</v>
      </c>
      <c r="W2322">
        <v>7.6184130000000003E-2</v>
      </c>
      <c r="X2322">
        <v>0.99693430000000005</v>
      </c>
      <c r="Y2322">
        <v>1.3197769999999999E-2</v>
      </c>
      <c r="Z2322">
        <v>-2.2130029999999998E-3</v>
      </c>
      <c r="AA2322">
        <v>0.99991049999999904</v>
      </c>
      <c r="AB2322">
        <v>56</v>
      </c>
      <c r="AC2322">
        <v>17.6784999999999</v>
      </c>
      <c r="AD2322">
        <v>-1.109167859654</v>
      </c>
      <c r="AE2322">
        <v>0.28550000000001302</v>
      </c>
      <c r="AF2322">
        <v>0.24101545975466401</v>
      </c>
      <c r="AG2322">
        <v>-1.109167859654</v>
      </c>
      <c r="AH2322">
        <v>17.6098474211358</v>
      </c>
      <c r="AI2322">
        <v>93.603714906707495</v>
      </c>
      <c r="AJ2322">
        <v>89.215875857722395</v>
      </c>
      <c r="AK2322">
        <v>17.6463896587492</v>
      </c>
    </row>
    <row r="2323" spans="1:37" x14ac:dyDescent="0.2">
      <c r="A2323" t="str">
        <f>"20200111154111280"</f>
        <v>20200111154111280</v>
      </c>
      <c r="B2323" t="str">
        <f>"1578728471268433"</f>
        <v>1578728471268433</v>
      </c>
      <c r="C2323" t="s">
        <v>37</v>
      </c>
      <c r="D2323">
        <v>5.1480509999999997</v>
      </c>
      <c r="E2323">
        <v>0.51163930000000002</v>
      </c>
      <c r="F2323" t="s">
        <v>44</v>
      </c>
      <c r="G2323">
        <v>-374.5138</v>
      </c>
      <c r="H2323" s="1">
        <v>8.6521379999999997E-7</v>
      </c>
      <c r="I2323">
        <v>215.14580000000001</v>
      </c>
      <c r="J2323">
        <v>-392.12290000000002</v>
      </c>
      <c r="K2323">
        <v>1.10911</v>
      </c>
      <c r="L2323">
        <v>214.8657</v>
      </c>
      <c r="M2323">
        <v>0.9995328</v>
      </c>
      <c r="N2323">
        <v>0</v>
      </c>
      <c r="O2323">
        <v>3.0107809999999999E-2</v>
      </c>
      <c r="P2323">
        <v>0.99638359999999904</v>
      </c>
      <c r="Q2323">
        <v>7.0469420000000005E-2</v>
      </c>
      <c r="R2323">
        <v>4.7474759999999998E-2</v>
      </c>
      <c r="S2323">
        <v>3.0217900000000002</v>
      </c>
      <c r="T2323">
        <v>-0.18420339999999999</v>
      </c>
      <c r="U2323">
        <v>4.9423219999999997E-2</v>
      </c>
      <c r="V2323">
        <v>-1.75675E-2</v>
      </c>
      <c r="W2323">
        <v>7.5697730000000005E-2</v>
      </c>
      <c r="X2323">
        <v>0.99697599999999997</v>
      </c>
      <c r="Y2323">
        <v>1.367696E-2</v>
      </c>
      <c r="Z2323">
        <v>-2.249652E-3</v>
      </c>
      <c r="AA2323">
        <v>0.99990389999999996</v>
      </c>
      <c r="AB2323">
        <v>56</v>
      </c>
      <c r="AC2323">
        <v>17.609100000000002</v>
      </c>
      <c r="AD2323">
        <v>-1.1091091347862001</v>
      </c>
      <c r="AE2323">
        <v>0.28010000000000401</v>
      </c>
      <c r="AF2323">
        <v>0.249217342823841</v>
      </c>
      <c r="AG2323">
        <v>-1.1091091347862001</v>
      </c>
      <c r="AH2323">
        <v>17.5399846855771</v>
      </c>
      <c r="AI2323">
        <v>93.617813333671194</v>
      </c>
      <c r="AJ2323">
        <v>89.185966156835505</v>
      </c>
      <c r="AK2323">
        <v>17.576782843487301</v>
      </c>
    </row>
    <row r="2324" spans="1:37" x14ac:dyDescent="0.2">
      <c r="A2324" t="str">
        <f>"20200111154111301"</f>
        <v>20200111154111301</v>
      </c>
      <c r="B2324" t="str">
        <f>"1578728471298689"</f>
        <v>1578728471298689</v>
      </c>
      <c r="C2324" t="s">
        <v>37</v>
      </c>
      <c r="D2324">
        <v>5.153715</v>
      </c>
      <c r="E2324">
        <v>0.51167299999999905</v>
      </c>
      <c r="F2324" t="s">
        <v>44</v>
      </c>
      <c r="G2324">
        <v>-374.0394</v>
      </c>
      <c r="H2324" s="1">
        <v>6.1277030000000003E-7</v>
      </c>
      <c r="I2324">
        <v>215.1541</v>
      </c>
      <c r="J2324">
        <v>-391.58629999999999</v>
      </c>
      <c r="K2324">
        <v>1.1090580000000001</v>
      </c>
      <c r="L2324">
        <v>214.8818</v>
      </c>
      <c r="M2324">
        <v>0.99952600000000003</v>
      </c>
      <c r="N2324">
        <v>0</v>
      </c>
      <c r="O2324">
        <v>3.0332169999999999E-2</v>
      </c>
      <c r="P2324">
        <v>0.99636689999999895</v>
      </c>
      <c r="Q2324">
        <v>7.0679870000000006E-2</v>
      </c>
      <c r="R2324">
        <v>4.7514769999999998E-2</v>
      </c>
      <c r="S2324">
        <v>3.0216669999999999</v>
      </c>
      <c r="T2324">
        <v>-0.18532650000000001</v>
      </c>
      <c r="U2324">
        <v>4.8187260000000003E-2</v>
      </c>
      <c r="V2324">
        <v>-1.7375599999999901E-2</v>
      </c>
      <c r="W2324">
        <v>7.5936899999999904E-2</v>
      </c>
      <c r="X2324">
        <v>0.99696119999999899</v>
      </c>
      <c r="Y2324">
        <v>1.430703E-2</v>
      </c>
      <c r="Z2324">
        <v>-2.2964869999999998E-3</v>
      </c>
      <c r="AA2324">
        <v>0.99989499999999998</v>
      </c>
      <c r="AB2324">
        <v>57</v>
      </c>
      <c r="AC2324">
        <v>17.546899999999901</v>
      </c>
      <c r="AD2324">
        <v>-1.1090573872297</v>
      </c>
      <c r="AE2324">
        <v>0.27230000000000099</v>
      </c>
      <c r="AF2324">
        <v>0.25903366287945501</v>
      </c>
      <c r="AG2324">
        <v>-1.1090573872297</v>
      </c>
      <c r="AH2324">
        <v>17.477282156233301</v>
      </c>
      <c r="AI2324">
        <v>93.6305570193976</v>
      </c>
      <c r="AJ2324">
        <v>89.150872034107607</v>
      </c>
      <c r="AK2324">
        <v>17.5143512096584</v>
      </c>
    </row>
    <row r="2325" spans="1:37" x14ac:dyDescent="0.2">
      <c r="A2325" t="str">
        <f>"20200111154111323"</f>
        <v>20200111154111323</v>
      </c>
      <c r="B2325" t="str">
        <f>"1578728471318210"</f>
        <v>1578728471318210</v>
      </c>
      <c r="C2325" t="s">
        <v>37</v>
      </c>
      <c r="D2325">
        <v>5.1738479999999996</v>
      </c>
      <c r="E2325">
        <v>0.51174339999999996</v>
      </c>
      <c r="F2325" t="s">
        <v>44</v>
      </c>
      <c r="G2325">
        <v>-373.39429999999999</v>
      </c>
      <c r="H2325" s="1">
        <v>2.6947299999999901E-7</v>
      </c>
      <c r="I2325">
        <v>215.16839999999999</v>
      </c>
      <c r="J2325">
        <v>-391.03719999999998</v>
      </c>
      <c r="K2325">
        <v>1.109002</v>
      </c>
      <c r="L2325">
        <v>214.89850000000001</v>
      </c>
      <c r="M2325">
        <v>0.99951970000000001</v>
      </c>
      <c r="N2325">
        <v>0</v>
      </c>
      <c r="O2325">
        <v>3.0533879999999999E-2</v>
      </c>
      <c r="P2325">
        <v>0.99639859999999902</v>
      </c>
      <c r="Q2325">
        <v>7.0492219999999994E-2</v>
      </c>
      <c r="R2325">
        <v>4.7125559999999997E-2</v>
      </c>
      <c r="S2325">
        <v>3.0217290000000001</v>
      </c>
      <c r="T2325">
        <v>-0.18421670000000001</v>
      </c>
      <c r="U2325">
        <v>4.7592160000000001E-2</v>
      </c>
      <c r="V2325">
        <v>-1.6774910000000001E-2</v>
      </c>
      <c r="W2325">
        <v>7.5779040000000006E-2</v>
      </c>
      <c r="X2325">
        <v>0.99698349999999902</v>
      </c>
      <c r="Y2325">
        <v>1.4705889999999999E-2</v>
      </c>
      <c r="Z2325">
        <v>-2.3071459999999999E-3</v>
      </c>
      <c r="AA2325">
        <v>0.99988920000000003</v>
      </c>
      <c r="AB2325">
        <v>57</v>
      </c>
      <c r="AC2325">
        <v>17.642899999999901</v>
      </c>
      <c r="AD2325">
        <v>-1.1090017305269999</v>
      </c>
      <c r="AE2325">
        <v>0.26989999999997799</v>
      </c>
      <c r="AF2325">
        <v>0.26788140216860101</v>
      </c>
      <c r="AG2325">
        <v>-1.1090017305269999</v>
      </c>
      <c r="AH2325">
        <v>17.573495238834901</v>
      </c>
      <c r="AI2325">
        <v>93.610529244271504</v>
      </c>
      <c r="AJ2325">
        <v>89.126679985935596</v>
      </c>
      <c r="AK2325">
        <v>17.6104906289771</v>
      </c>
    </row>
    <row r="2326" spans="1:37" x14ac:dyDescent="0.2">
      <c r="A2326" t="str">
        <f>"20200111154111347"</f>
        <v>20200111154111347</v>
      </c>
      <c r="B2326" t="str">
        <f>"1578728471338706"</f>
        <v>1578728471338706</v>
      </c>
      <c r="C2326" t="s">
        <v>37</v>
      </c>
      <c r="D2326">
        <v>5.163017</v>
      </c>
      <c r="E2326">
        <v>0.51175579999999998</v>
      </c>
      <c r="F2326" t="s">
        <v>44</v>
      </c>
      <c r="G2326">
        <v>-372.84629999999999</v>
      </c>
      <c r="H2326" s="1">
        <v>-2.214998E-8</v>
      </c>
      <c r="I2326">
        <v>215.17009999999999</v>
      </c>
      <c r="J2326">
        <v>-390.42930000000001</v>
      </c>
      <c r="K2326">
        <v>1.1089469999999999</v>
      </c>
      <c r="L2326">
        <v>214.917</v>
      </c>
      <c r="M2326">
        <v>0.99951369999999895</v>
      </c>
      <c r="N2326">
        <v>0</v>
      </c>
      <c r="O2326">
        <v>3.0724769999999998E-2</v>
      </c>
      <c r="P2326">
        <v>0.99641689999999905</v>
      </c>
      <c r="Q2326">
        <v>7.0186810000000002E-2</v>
      </c>
      <c r="R2326">
        <v>4.7195609999999999E-2</v>
      </c>
      <c r="S2326">
        <v>3.0216669999999999</v>
      </c>
      <c r="T2326">
        <v>-0.18421479999999901</v>
      </c>
      <c r="U2326">
        <v>4.5120239999999999E-2</v>
      </c>
      <c r="V2326">
        <v>-1.6644519999999999E-2</v>
      </c>
      <c r="W2326">
        <v>7.5505630000000004E-2</v>
      </c>
      <c r="X2326">
        <v>0.99700650000000002</v>
      </c>
      <c r="Y2326">
        <v>1.5712090000000001E-2</v>
      </c>
      <c r="Z2326">
        <v>-2.3494509999999998E-3</v>
      </c>
      <c r="AA2326">
        <v>0.99987380000000003</v>
      </c>
      <c r="AB2326">
        <v>57</v>
      </c>
      <c r="AC2326">
        <v>17.582999999999998</v>
      </c>
      <c r="AD2326">
        <v>-1.10894702214998</v>
      </c>
      <c r="AE2326">
        <v>0.253099999999989</v>
      </c>
      <c r="AF2326">
        <v>0.28612290090414699</v>
      </c>
      <c r="AG2326">
        <v>-1.10894702214998</v>
      </c>
      <c r="AH2326">
        <v>17.512828151354</v>
      </c>
      <c r="AI2326">
        <v>93.622762731484798</v>
      </c>
      <c r="AJ2326">
        <v>89.063990344641596</v>
      </c>
      <c r="AK2326">
        <v>17.550235886483499</v>
      </c>
    </row>
    <row r="2327" spans="1:37" x14ac:dyDescent="0.2">
      <c r="A2327" t="str">
        <f>"20200111154111369"</f>
        <v>20200111154111369</v>
      </c>
      <c r="B2327" t="str">
        <f>"1578728471358226"</f>
        <v>1578728471358226</v>
      </c>
      <c r="C2327" t="s">
        <v>37</v>
      </c>
      <c r="D2327">
        <v>5.1644319999999997</v>
      </c>
      <c r="E2327">
        <v>0.51185879999999995</v>
      </c>
      <c r="F2327" t="s">
        <v>38</v>
      </c>
      <c r="G2327">
        <v>-389.28289999999998</v>
      </c>
      <c r="H2327">
        <v>1.0387949999999999</v>
      </c>
      <c r="I2327">
        <v>214.93389999999999</v>
      </c>
      <c r="J2327">
        <v>-389.84289999999999</v>
      </c>
      <c r="K2327">
        <v>1.1088929999999999</v>
      </c>
      <c r="L2327">
        <v>214.935</v>
      </c>
      <c r="M2327">
        <v>0.99950859999999997</v>
      </c>
      <c r="N2327">
        <v>0</v>
      </c>
      <c r="O2327">
        <v>3.0883299999999898E-2</v>
      </c>
      <c r="P2327">
        <v>0.99647339999999995</v>
      </c>
      <c r="Q2327">
        <v>6.9591550000000002E-2</v>
      </c>
      <c r="R2327">
        <v>4.6882420000000001E-2</v>
      </c>
      <c r="S2327">
        <v>3.02169799999999</v>
      </c>
      <c r="T2327">
        <v>-0.18504519999999999</v>
      </c>
      <c r="U2327">
        <v>4.5410159999999998E-2</v>
      </c>
      <c r="V2327">
        <v>-1.616219E-2</v>
      </c>
      <c r="W2327">
        <v>7.4940759999999995E-2</v>
      </c>
      <c r="X2327">
        <v>0.99705699999999997</v>
      </c>
      <c r="Y2327">
        <v>1.5773740000000001E-2</v>
      </c>
      <c r="Z2327">
        <v>-2.3715770000000001E-3</v>
      </c>
      <c r="AA2327">
        <v>0.99987280000000001</v>
      </c>
      <c r="AB2327">
        <v>57</v>
      </c>
      <c r="AC2327">
        <v>0.56000000000000205</v>
      </c>
      <c r="AD2327">
        <v>-7.0097999999999994E-2</v>
      </c>
      <c r="AE2327">
        <v>-1.1000000000080899E-3</v>
      </c>
      <c r="AF2327">
        <v>1.811060220177E-2</v>
      </c>
      <c r="AG2327">
        <v>-7.0097999999999994E-2</v>
      </c>
      <c r="AH2327">
        <v>0.55106442432153702</v>
      </c>
      <c r="AI2327">
        <v>97.245490351274398</v>
      </c>
      <c r="AJ2327">
        <v>88.117665237148998</v>
      </c>
      <c r="AK2327">
        <v>0.55580007490907901</v>
      </c>
    </row>
    <row r="2328" spans="1:37" x14ac:dyDescent="0.2">
      <c r="A2328" t="str">
        <f>"20200111154111390"</f>
        <v>20200111154111390</v>
      </c>
      <c r="B2328" t="str">
        <f>"1578728471378724"</f>
        <v>1578728471378724</v>
      </c>
      <c r="C2328" t="s">
        <v>37</v>
      </c>
      <c r="D2328">
        <v>5.1591529999999999</v>
      </c>
      <c r="E2328">
        <v>0.51187130000000003</v>
      </c>
      <c r="F2328" t="s">
        <v>38</v>
      </c>
      <c r="G2328">
        <v>-388.7681</v>
      </c>
      <c r="H2328">
        <v>1.042538</v>
      </c>
      <c r="I2328">
        <v>214.95050000000001</v>
      </c>
      <c r="J2328">
        <v>-389.30399999999997</v>
      </c>
      <c r="K2328">
        <v>1.108849</v>
      </c>
      <c r="L2328">
        <v>214.95169999999999</v>
      </c>
      <c r="M2328">
        <v>0.99950439999999996</v>
      </c>
      <c r="N2328">
        <v>0</v>
      </c>
      <c r="O2328">
        <v>3.1010469999999998E-2</v>
      </c>
      <c r="P2328">
        <v>0.99652240000000003</v>
      </c>
      <c r="Q2328">
        <v>6.9135500000000003E-2</v>
      </c>
      <c r="R2328">
        <v>4.6511459999999998E-2</v>
      </c>
      <c r="S2328">
        <v>3.0215450000000001</v>
      </c>
      <c r="T2328">
        <v>-0.1865262</v>
      </c>
      <c r="U2328">
        <v>4.3685910000000001E-2</v>
      </c>
      <c r="V2328">
        <v>-1.56554E-2</v>
      </c>
      <c r="W2328">
        <v>7.4512809999999999E-2</v>
      </c>
      <c r="X2328">
        <v>0.99709709999999996</v>
      </c>
      <c r="Y2328">
        <v>1.646767E-2</v>
      </c>
      <c r="Z2328">
        <v>-2.4198919999999999E-3</v>
      </c>
      <c r="AA2328">
        <v>0.99986149999999996</v>
      </c>
      <c r="AB2328">
        <v>57</v>
      </c>
      <c r="AC2328">
        <v>0.53590000000002602</v>
      </c>
      <c r="AD2328">
        <v>-6.6310999999999995E-2</v>
      </c>
      <c r="AE2328">
        <v>-1.1999999999829901E-3</v>
      </c>
      <c r="AF2328">
        <v>1.7549478467372301E-2</v>
      </c>
      <c r="AG2328">
        <v>-6.6310999999999995E-2</v>
      </c>
      <c r="AH2328">
        <v>0.52752809964332104</v>
      </c>
      <c r="AI2328">
        <v>97.160659543409594</v>
      </c>
      <c r="AJ2328">
        <v>88.094622151207702</v>
      </c>
      <c r="AK2328">
        <v>0.53196901115456896</v>
      </c>
    </row>
    <row r="2329" spans="1:37" x14ac:dyDescent="0.2">
      <c r="A2329" t="str">
        <f>"20200111154111412"</f>
        <v>20200111154111412</v>
      </c>
      <c r="B2329" t="str">
        <f>"1578728471408977"</f>
        <v>1578728471408977</v>
      </c>
      <c r="C2329" t="s">
        <v>37</v>
      </c>
      <c r="D2329">
        <v>5.146045</v>
      </c>
      <c r="E2329">
        <v>0.51187490000000002</v>
      </c>
      <c r="F2329" t="s">
        <v>38</v>
      </c>
      <c r="G2329">
        <v>-388.25360000000001</v>
      </c>
      <c r="H2329">
        <v>1.0436080000000001</v>
      </c>
      <c r="I2329">
        <v>214.96610000000001</v>
      </c>
      <c r="J2329">
        <v>-388.73570000000001</v>
      </c>
      <c r="K2329">
        <v>1.1088100000000001</v>
      </c>
      <c r="L2329">
        <v>214.9693</v>
      </c>
      <c r="M2329">
        <v>0.99950079999999997</v>
      </c>
      <c r="N2329">
        <v>0</v>
      </c>
      <c r="O2329">
        <v>3.1127189999999999E-2</v>
      </c>
      <c r="P2329">
        <v>0.99650890000000003</v>
      </c>
      <c r="Q2329">
        <v>6.9245870000000001E-2</v>
      </c>
      <c r="R2329">
        <v>4.6640760000000003E-2</v>
      </c>
      <c r="S2329">
        <v>3.021515</v>
      </c>
      <c r="T2329">
        <v>-0.18780749999999999</v>
      </c>
      <c r="U2329">
        <v>4.2480469999999999E-2</v>
      </c>
      <c r="V2329">
        <v>-1.5661890000000001E-2</v>
      </c>
      <c r="W2329">
        <v>7.4652140000000006E-2</v>
      </c>
      <c r="X2329">
        <v>0.99708660000000005</v>
      </c>
      <c r="Y2329">
        <v>1.698065E-2</v>
      </c>
      <c r="Z2329">
        <v>-2.4596890000000001E-3</v>
      </c>
      <c r="AA2329">
        <v>0.99985279999999999</v>
      </c>
      <c r="AB2329">
        <v>57</v>
      </c>
      <c r="AC2329">
        <v>0.48210000000000203</v>
      </c>
      <c r="AD2329">
        <v>-6.5201999999999899E-2</v>
      </c>
      <c r="AE2329">
        <v>-3.19999999999254E-3</v>
      </c>
      <c r="AF2329">
        <v>1.7878085817438601E-2</v>
      </c>
      <c r="AG2329">
        <v>-6.5201999999999899E-2</v>
      </c>
      <c r="AH2329">
        <v>0.47311323958068302</v>
      </c>
      <c r="AI2329">
        <v>97.841250265153107</v>
      </c>
      <c r="AJ2329">
        <v>87.8359267341351</v>
      </c>
      <c r="AK2329">
        <v>0.47791951647011099</v>
      </c>
    </row>
    <row r="2330" spans="1:37" x14ac:dyDescent="0.2">
      <c r="A2330" t="str">
        <f>"20200111154111435"</f>
        <v>20200111154111435</v>
      </c>
      <c r="B2330" t="str">
        <f>"1578728471428497"</f>
        <v>1578728471428497</v>
      </c>
      <c r="C2330" t="s">
        <v>37</v>
      </c>
      <c r="D2330">
        <v>5.1969919999999998</v>
      </c>
      <c r="E2330">
        <v>0.51189240000000003</v>
      </c>
      <c r="F2330" t="s">
        <v>38</v>
      </c>
      <c r="G2330">
        <v>-387.73590000000002</v>
      </c>
      <c r="H2330">
        <v>1.04698</v>
      </c>
      <c r="I2330">
        <v>214.98330000000001</v>
      </c>
      <c r="J2330">
        <v>-388.16329999999999</v>
      </c>
      <c r="K2330">
        <v>1.108776</v>
      </c>
      <c r="L2330">
        <v>214.9871</v>
      </c>
      <c r="M2330">
        <v>0.99949739999999998</v>
      </c>
      <c r="N2330">
        <v>0</v>
      </c>
      <c r="O2330">
        <v>3.122867E-2</v>
      </c>
      <c r="P2330">
        <v>0.9964596</v>
      </c>
      <c r="Q2330">
        <v>6.9763549999999994E-2</v>
      </c>
      <c r="R2330">
        <v>4.691799E-2</v>
      </c>
      <c r="S2330">
        <v>3.021515</v>
      </c>
      <c r="T2330">
        <v>-0.18689700000000001</v>
      </c>
      <c r="U2330">
        <v>4.2602540000000001E-2</v>
      </c>
      <c r="V2330">
        <v>-1.5832880000000001E-2</v>
      </c>
      <c r="W2330">
        <v>7.5198009999999996E-2</v>
      </c>
      <c r="X2330">
        <v>0.99704289999999995</v>
      </c>
      <c r="Y2330">
        <v>1.7042359999999999E-2</v>
      </c>
      <c r="Z2330">
        <v>-2.455961E-3</v>
      </c>
      <c r="AA2330">
        <v>0.99985179999999996</v>
      </c>
      <c r="AB2330">
        <v>57</v>
      </c>
      <c r="AC2330">
        <v>0.42739999999997702</v>
      </c>
      <c r="AD2330">
        <v>-6.17959999999999E-2</v>
      </c>
      <c r="AE2330">
        <v>-3.7999999999840301E-3</v>
      </c>
      <c r="AF2330">
        <v>1.6794417660748E-2</v>
      </c>
      <c r="AG2330">
        <v>-6.17959999999999E-2</v>
      </c>
      <c r="AH2330">
        <v>0.418328371643718</v>
      </c>
      <c r="AI2330">
        <v>98.3963676005027</v>
      </c>
      <c r="AJ2330">
        <v>87.701009899504598</v>
      </c>
      <c r="AK2330">
        <v>0.42320139957548297</v>
      </c>
    </row>
    <row r="2331" spans="1:37" x14ac:dyDescent="0.2">
      <c r="A2331" t="str">
        <f>"20200111154111457"</f>
        <v>20200111154111457</v>
      </c>
      <c r="B2331" t="str">
        <f>"1578728471448993"</f>
        <v>1578728471448993</v>
      </c>
      <c r="C2331" t="s">
        <v>37</v>
      </c>
      <c r="D2331">
        <v>5.1739689999999996</v>
      </c>
      <c r="E2331">
        <v>0.5119224</v>
      </c>
      <c r="F2331" t="s">
        <v>38</v>
      </c>
      <c r="G2331">
        <v>-387.21170000000001</v>
      </c>
      <c r="H2331">
        <v>1.050538</v>
      </c>
      <c r="I2331">
        <v>215.00049999999999</v>
      </c>
      <c r="J2331">
        <v>-387.5625</v>
      </c>
      <c r="K2331">
        <v>1.108741</v>
      </c>
      <c r="L2331">
        <v>215.0059</v>
      </c>
      <c r="M2331">
        <v>0.99949440000000001</v>
      </c>
      <c r="N2331">
        <v>0</v>
      </c>
      <c r="O2331">
        <v>3.1318150000000003E-2</v>
      </c>
      <c r="P2331">
        <v>0.99638989999999905</v>
      </c>
      <c r="Q2331">
        <v>7.04404E-2</v>
      </c>
      <c r="R2331">
        <v>4.7385450000000003E-2</v>
      </c>
      <c r="S2331">
        <v>3.0215450000000001</v>
      </c>
      <c r="T2331">
        <v>-0.18498339999999999</v>
      </c>
      <c r="U2331">
        <v>4.304504E-2</v>
      </c>
      <c r="V2331">
        <v>-1.620665E-2</v>
      </c>
      <c r="W2331">
        <v>7.5904079999999999E-2</v>
      </c>
      <c r="X2331">
        <v>0.99698339999999996</v>
      </c>
      <c r="Y2331">
        <v>1.6987439999999999E-2</v>
      </c>
      <c r="Z2331">
        <v>-2.4346250000000002E-3</v>
      </c>
      <c r="AA2331">
        <v>0.99985270000000004</v>
      </c>
      <c r="AB2331">
        <v>58</v>
      </c>
      <c r="AC2331">
        <v>0.35079999999999201</v>
      </c>
      <c r="AD2331">
        <v>-5.8202999999999998E-2</v>
      </c>
      <c r="AE2331">
        <v>-5.4000000000087303E-3</v>
      </c>
      <c r="AF2331">
        <v>1.59450940614605E-2</v>
      </c>
      <c r="AG2331">
        <v>-5.8202999999999998E-2</v>
      </c>
      <c r="AH2331">
        <v>0.34107205457599699</v>
      </c>
      <c r="AI2331">
        <v>99.673717684916099</v>
      </c>
      <c r="AJ2331">
        <v>87.323375257492501</v>
      </c>
      <c r="AK2331">
        <v>0.34636971814279699</v>
      </c>
    </row>
    <row r="2332" spans="1:37" x14ac:dyDescent="0.2">
      <c r="A2332" t="str">
        <f>"20200111154111480"</f>
        <v>20200111154111480</v>
      </c>
      <c r="B2332" t="str">
        <f>"1578728471468513"</f>
        <v>1578728471468513</v>
      </c>
      <c r="C2332" t="s">
        <v>37</v>
      </c>
      <c r="D2332">
        <v>5.2170589999999999</v>
      </c>
      <c r="E2332">
        <v>0.52137529999999999</v>
      </c>
      <c r="F2332" t="s">
        <v>44</v>
      </c>
      <c r="G2332">
        <v>-369.19240000000002</v>
      </c>
      <c r="H2332" s="1">
        <v>3.3549669999999998E-6</v>
      </c>
      <c r="I2332">
        <v>215.27449999999999</v>
      </c>
      <c r="J2332">
        <v>-386.98469999999998</v>
      </c>
      <c r="K2332">
        <v>1.108711</v>
      </c>
      <c r="L2332">
        <v>215.024</v>
      </c>
      <c r="M2332">
        <v>0.99949209999999999</v>
      </c>
      <c r="N2332">
        <v>0</v>
      </c>
      <c r="O2332">
        <v>3.1387730000000003E-2</v>
      </c>
      <c r="P2332">
        <v>0.99632909999999997</v>
      </c>
      <c r="Q2332">
        <v>7.0707629999999994E-2</v>
      </c>
      <c r="R2332">
        <v>4.8260129999999998E-2</v>
      </c>
      <c r="S2332">
        <v>3.0216669999999999</v>
      </c>
      <c r="T2332">
        <v>-0.182374799999999</v>
      </c>
      <c r="U2332">
        <v>4.4189449999999998E-2</v>
      </c>
      <c r="V2332">
        <v>-1.700778E-2</v>
      </c>
      <c r="W2332">
        <v>7.6200290000000004E-2</v>
      </c>
      <c r="X2332">
        <v>0.99694749999999999</v>
      </c>
      <c r="Y2332">
        <v>1.6681990000000001E-2</v>
      </c>
      <c r="Z2332">
        <v>-2.395234E-3</v>
      </c>
      <c r="AA2332">
        <v>0.99985800000000002</v>
      </c>
      <c r="AB2332">
        <v>58</v>
      </c>
      <c r="AC2332">
        <v>17.792299999999901</v>
      </c>
      <c r="AD2332">
        <v>-1.108707645033</v>
      </c>
      <c r="AE2332">
        <v>0.25049999999998801</v>
      </c>
      <c r="AF2332">
        <v>0.30690034837246399</v>
      </c>
      <c r="AG2332">
        <v>-1.108707645033</v>
      </c>
      <c r="AH2332">
        <v>17.722592340238901</v>
      </c>
      <c r="AI2332">
        <v>93.579166414730196</v>
      </c>
      <c r="AJ2332">
        <v>89.007913910411602</v>
      </c>
      <c r="AK2332">
        <v>17.7598901946008</v>
      </c>
    </row>
    <row r="2333" spans="1:37" x14ac:dyDescent="0.2">
      <c r="A2333" t="str">
        <f>"20200111154111501"</f>
        <v>20200111154111501</v>
      </c>
      <c r="B2333" t="str">
        <f>"1578728471498769"</f>
        <v>1578728471498769</v>
      </c>
      <c r="C2333" t="s">
        <v>37</v>
      </c>
      <c r="D2333">
        <v>5.1806289999999997</v>
      </c>
      <c r="E2333">
        <v>0.51430109999999996</v>
      </c>
      <c r="F2333" t="s">
        <v>44</v>
      </c>
      <c r="G2333">
        <v>-367.60160000000002</v>
      </c>
      <c r="H2333" s="1">
        <v>2.508384E-6</v>
      </c>
      <c r="I2333">
        <v>214.83920000000001</v>
      </c>
      <c r="J2333">
        <v>-386.43959999999998</v>
      </c>
      <c r="K2333">
        <v>1.108681</v>
      </c>
      <c r="L2333">
        <v>215.0411</v>
      </c>
      <c r="M2333">
        <v>0.99949030000000005</v>
      </c>
      <c r="N2333">
        <v>0</v>
      </c>
      <c r="O2333">
        <v>3.1439580000000002E-2</v>
      </c>
      <c r="P2333">
        <v>0.99626959999999998</v>
      </c>
      <c r="Q2333">
        <v>7.0768269999999994E-2</v>
      </c>
      <c r="R2333">
        <v>4.9387769999999998E-2</v>
      </c>
      <c r="S2333">
        <v>3.02475</v>
      </c>
      <c r="T2333">
        <v>-0.1730148</v>
      </c>
      <c r="U2333">
        <v>-2.8823850000000002E-2</v>
      </c>
      <c r="V2333">
        <v>-1.8079629999999999E-2</v>
      </c>
      <c r="W2333">
        <v>7.6287779999999999E-2</v>
      </c>
      <c r="X2333">
        <v>0.99692190000000003</v>
      </c>
      <c r="Y2333">
        <v>4.0844690000000003E-2</v>
      </c>
      <c r="Z2333">
        <v>-2.9638690000000001E-3</v>
      </c>
      <c r="AA2333">
        <v>0.99916109999999903</v>
      </c>
      <c r="AB2333">
        <v>58</v>
      </c>
      <c r="AC2333">
        <v>18.837999999999901</v>
      </c>
      <c r="AD2333">
        <v>-1.108678491616</v>
      </c>
      <c r="AE2333">
        <v>-0.201899999999994</v>
      </c>
      <c r="AF2333">
        <v>0.79132747095454903</v>
      </c>
      <c r="AG2333">
        <v>-1.108678491616</v>
      </c>
      <c r="AH2333">
        <v>18.757376807823299</v>
      </c>
      <c r="AI2333">
        <v>93.379604937074305</v>
      </c>
      <c r="AJ2333">
        <v>87.5842648423491</v>
      </c>
      <c r="AK2333">
        <v>18.806768778148101</v>
      </c>
    </row>
    <row r="2334" spans="1:37" x14ac:dyDescent="0.2">
      <c r="A2334" t="str">
        <f>"20200111154111525"</f>
        <v>20200111154111525</v>
      </c>
      <c r="B2334" t="str">
        <f>"1578728471518289"</f>
        <v>1578728471518289</v>
      </c>
      <c r="C2334" t="s">
        <v>37</v>
      </c>
      <c r="D2334">
        <v>5.22227</v>
      </c>
      <c r="E2334">
        <v>0.51459469999999996</v>
      </c>
      <c r="F2334" t="s">
        <v>44</v>
      </c>
      <c r="G2334">
        <v>-361.51780000000002</v>
      </c>
      <c r="H2334" s="1">
        <v>-7.2910869999999899E-7</v>
      </c>
      <c r="I2334">
        <v>215.29730000000001</v>
      </c>
      <c r="J2334">
        <v>-385.84640000000002</v>
      </c>
      <c r="K2334">
        <v>1.1086499999999999</v>
      </c>
      <c r="L2334">
        <v>215.05969999999999</v>
      </c>
      <c r="M2334">
        <v>0.99948869999999901</v>
      </c>
      <c r="N2334">
        <v>0</v>
      </c>
      <c r="O2334">
        <v>3.1483959999999998E-2</v>
      </c>
      <c r="P2334">
        <v>0.9962261</v>
      </c>
      <c r="Q2334">
        <v>7.0719599999999994E-2</v>
      </c>
      <c r="R2334">
        <v>5.0319990000000002E-2</v>
      </c>
      <c r="S2334">
        <v>3.01922599999999</v>
      </c>
      <c r="T2334">
        <v>-0.13431419999999999</v>
      </c>
      <c r="U2334">
        <v>3.1036379999999999E-2</v>
      </c>
      <c r="V2334">
        <v>-1.896289E-2</v>
      </c>
      <c r="W2334">
        <v>7.6268269999999999E-2</v>
      </c>
      <c r="X2334">
        <v>0.99690699999999999</v>
      </c>
      <c r="Y2334">
        <v>2.11568E-2</v>
      </c>
      <c r="Z2334">
        <v>-1.870016E-3</v>
      </c>
      <c r="AA2334">
        <v>0.99977439999999995</v>
      </c>
      <c r="AB2334">
        <v>58</v>
      </c>
      <c r="AC2334">
        <v>24.328599999999899</v>
      </c>
      <c r="AD2334">
        <v>-1.1086507291087</v>
      </c>
      <c r="AE2334">
        <v>0.23760000000001399</v>
      </c>
      <c r="AF2334">
        <v>0.52739528125325896</v>
      </c>
      <c r="AG2334">
        <v>-1.1086507291087</v>
      </c>
      <c r="AH2334">
        <v>24.273617536663799</v>
      </c>
      <c r="AI2334">
        <v>92.614440857561405</v>
      </c>
      <c r="AJ2334">
        <v>88.755324781940502</v>
      </c>
      <c r="AK2334">
        <v>24.304644834641699</v>
      </c>
    </row>
    <row r="2335" spans="1:37" x14ac:dyDescent="0.2">
      <c r="A2335" t="str">
        <f>"20200111154111547"</f>
        <v>20200111154111547</v>
      </c>
      <c r="B2335" t="str">
        <f>"1578728471538785"</f>
        <v>1578728471538785</v>
      </c>
      <c r="C2335" t="s">
        <v>37</v>
      </c>
      <c r="D2335">
        <v>5.1780839999999904</v>
      </c>
      <c r="E2335">
        <v>0.51466690000000004</v>
      </c>
      <c r="F2335" t="s">
        <v>44</v>
      </c>
      <c r="G2335">
        <v>-359.1866</v>
      </c>
      <c r="H2335" s="1">
        <v>3.320324E-6</v>
      </c>
      <c r="I2335">
        <v>215.33850000000001</v>
      </c>
      <c r="J2335">
        <v>-385.2396</v>
      </c>
      <c r="K2335">
        <v>1.1086129999999901</v>
      </c>
      <c r="L2335">
        <v>215.0788</v>
      </c>
      <c r="M2335">
        <v>0.99948749999999997</v>
      </c>
      <c r="N2335">
        <v>0</v>
      </c>
      <c r="O2335">
        <v>3.1518520000000001E-2</v>
      </c>
      <c r="P2335">
        <v>0.99622109999999997</v>
      </c>
      <c r="Q2335">
        <v>7.0356879999999997E-2</v>
      </c>
      <c r="R2335">
        <v>5.0930330000000003E-2</v>
      </c>
      <c r="S2335">
        <v>3.0186769999999998</v>
      </c>
      <c r="T2335">
        <v>-0.1255317</v>
      </c>
      <c r="U2335">
        <v>3.1570429999999997E-2</v>
      </c>
      <c r="V2335">
        <v>-1.9532870000000001E-2</v>
      </c>
      <c r="W2335">
        <v>7.5935459999999996E-2</v>
      </c>
      <c r="X2335">
        <v>0.99692139999999996</v>
      </c>
      <c r="Y2335">
        <v>2.1019299999999901E-2</v>
      </c>
      <c r="Z2335">
        <v>-1.7467429999999901E-3</v>
      </c>
      <c r="AA2335">
        <v>0.99977759999999904</v>
      </c>
      <c r="AB2335">
        <v>58</v>
      </c>
      <c r="AC2335">
        <v>26.053000000000001</v>
      </c>
      <c r="AD2335">
        <v>-1.1086096796760001</v>
      </c>
      <c r="AE2335">
        <v>0.25970000000000898</v>
      </c>
      <c r="AF2335">
        <v>0.56057896388751305</v>
      </c>
      <c r="AG2335">
        <v>-1.1086096796760001</v>
      </c>
      <c r="AH2335">
        <v>26.001165989112799</v>
      </c>
      <c r="AI2335">
        <v>92.440870414396798</v>
      </c>
      <c r="AJ2335">
        <v>88.764907943309595</v>
      </c>
      <c r="AK2335">
        <v>26.030825899114699</v>
      </c>
    </row>
    <row r="2336" spans="1:37" x14ac:dyDescent="0.2">
      <c r="A2336" t="str">
        <f>"20200111154111570"</f>
        <v>20200111154111570</v>
      </c>
      <c r="B2336" t="str">
        <f>"1578728471558305"</f>
        <v>1578728471558305</v>
      </c>
      <c r="C2336" t="s">
        <v>37</v>
      </c>
      <c r="D2336">
        <v>5.227436</v>
      </c>
      <c r="E2336">
        <v>0.51438349999999999</v>
      </c>
      <c r="F2336" t="s">
        <v>44</v>
      </c>
      <c r="G2336">
        <v>-358.00979999999998</v>
      </c>
      <c r="H2336" s="1">
        <v>2.6923259999999999E-6</v>
      </c>
      <c r="I2336">
        <v>215.3785</v>
      </c>
      <c r="J2336">
        <v>-384.65370000000001</v>
      </c>
      <c r="K2336">
        <v>1.1085860000000001</v>
      </c>
      <c r="L2336">
        <v>215.09729999999999</v>
      </c>
      <c r="M2336">
        <v>0.9994866</v>
      </c>
      <c r="N2336">
        <v>0</v>
      </c>
      <c r="O2336">
        <v>3.1544879999999997E-2</v>
      </c>
      <c r="P2336">
        <v>0.99623729999999999</v>
      </c>
      <c r="Q2336">
        <v>6.9843199999999994E-2</v>
      </c>
      <c r="R2336">
        <v>5.1315739999999999E-2</v>
      </c>
      <c r="S2336">
        <v>3.0183719999999998</v>
      </c>
      <c r="T2336">
        <v>-0.1228875</v>
      </c>
      <c r="U2336">
        <v>3.3218379999999999E-2</v>
      </c>
      <c r="V2336">
        <v>-1.988728E-2</v>
      </c>
      <c r="W2336">
        <v>7.5450959999999997E-2</v>
      </c>
      <c r="X2336">
        <v>0.99695119999999904</v>
      </c>
      <c r="Y2336">
        <v>2.0501109999999999E-2</v>
      </c>
      <c r="Z2336">
        <v>-1.7006739999999999E-3</v>
      </c>
      <c r="AA2336">
        <v>0.99978840000000002</v>
      </c>
      <c r="AB2336">
        <v>58</v>
      </c>
      <c r="AC2336">
        <v>26.643899999999999</v>
      </c>
      <c r="AD2336">
        <v>-1.1085833076739999</v>
      </c>
      <c r="AE2336">
        <v>0.281200000000012</v>
      </c>
      <c r="AF2336">
        <v>0.55846510200814803</v>
      </c>
      <c r="AG2336">
        <v>-1.1085833076739999</v>
      </c>
      <c r="AH2336">
        <v>26.593477596802</v>
      </c>
      <c r="AI2336">
        <v>92.386540605669396</v>
      </c>
      <c r="AJ2336">
        <v>88.796960992320905</v>
      </c>
      <c r="AK2336">
        <v>26.622432099863101</v>
      </c>
    </row>
    <row r="2337" spans="1:37" x14ac:dyDescent="0.2">
      <c r="A2337" t="str">
        <f>"20200111154111591"</f>
        <v>20200111154111591</v>
      </c>
      <c r="B2337" t="str">
        <f>"1578728471588561"</f>
        <v>1578728471588561</v>
      </c>
      <c r="C2337" t="s">
        <v>37</v>
      </c>
      <c r="D2337">
        <v>5.2461500000000001</v>
      </c>
      <c r="E2337">
        <v>0.51424229999999904</v>
      </c>
      <c r="F2337" t="s">
        <v>44</v>
      </c>
      <c r="G2337">
        <v>-358.0865</v>
      </c>
      <c r="H2337" s="1">
        <v>2.7314420000000001E-6</v>
      </c>
      <c r="I2337">
        <v>215.41730000000001</v>
      </c>
      <c r="J2337">
        <v>-384.09519999999998</v>
      </c>
      <c r="K2337">
        <v>1.108562</v>
      </c>
      <c r="L2337">
        <v>215.11490000000001</v>
      </c>
      <c r="M2337">
        <v>0.99948570000000003</v>
      </c>
      <c r="N2337">
        <v>0</v>
      </c>
      <c r="O2337">
        <v>3.1565070000000001E-2</v>
      </c>
      <c r="P2337">
        <v>0.99628399999999995</v>
      </c>
      <c r="Q2337">
        <v>6.9208469999999994E-2</v>
      </c>
      <c r="R2337">
        <v>5.1268099999999997E-2</v>
      </c>
      <c r="S2337">
        <v>3.0182799999999999</v>
      </c>
      <c r="T2337">
        <v>-0.12594520000000001</v>
      </c>
      <c r="U2337">
        <v>3.6346440000000001E-2</v>
      </c>
      <c r="V2337">
        <v>-1.9814499999999999E-2</v>
      </c>
      <c r="W2337">
        <v>7.4844229999999998E-2</v>
      </c>
      <c r="X2337">
        <v>0.99699839999999995</v>
      </c>
      <c r="Y2337">
        <v>1.948366E-2</v>
      </c>
      <c r="Z2337">
        <v>-1.722615E-3</v>
      </c>
      <c r="AA2337">
        <v>0.99980869999999999</v>
      </c>
      <c r="AB2337">
        <v>58</v>
      </c>
      <c r="AC2337">
        <v>26.008699999999902</v>
      </c>
      <c r="AD2337">
        <v>-1.1085592685579999</v>
      </c>
      <c r="AE2337">
        <v>0.302400000000005</v>
      </c>
      <c r="AF2337">
        <v>0.51778971982126598</v>
      </c>
      <c r="AG2337">
        <v>-1.1085592685579999</v>
      </c>
      <c r="AH2337">
        <v>25.9581333780257</v>
      </c>
      <c r="AI2337">
        <v>92.444882558257206</v>
      </c>
      <c r="AJ2337">
        <v>88.857266375821695</v>
      </c>
      <c r="AK2337">
        <v>25.9869524630579</v>
      </c>
    </row>
    <row r="2338" spans="1:37" x14ac:dyDescent="0.2">
      <c r="A2338" t="str">
        <f>"20200111154111613"</f>
        <v>20200111154111613</v>
      </c>
      <c r="B2338" t="str">
        <f>"1578728471609057"</f>
        <v>1578728471609057</v>
      </c>
      <c r="C2338" t="s">
        <v>37</v>
      </c>
      <c r="D2338">
        <v>5.237933</v>
      </c>
      <c r="E2338">
        <v>0.51412089999999999</v>
      </c>
      <c r="F2338" t="s">
        <v>44</v>
      </c>
      <c r="G2338">
        <v>-358.92160000000001</v>
      </c>
      <c r="H2338" s="1">
        <v>3.1756379999999999E-6</v>
      </c>
      <c r="I2338">
        <v>215.42189999999999</v>
      </c>
      <c r="J2338">
        <v>-383.51609999999999</v>
      </c>
      <c r="K2338">
        <v>1.108535</v>
      </c>
      <c r="L2338">
        <v>215.13319999999999</v>
      </c>
      <c r="M2338">
        <v>0.99948499999999996</v>
      </c>
      <c r="N2338">
        <v>0</v>
      </c>
      <c r="O2338">
        <v>3.1581989999999997E-2</v>
      </c>
      <c r="P2338">
        <v>0.99628819999999996</v>
      </c>
      <c r="Q2338">
        <v>6.8921570000000001E-2</v>
      </c>
      <c r="R2338">
        <v>5.1572930000000003E-2</v>
      </c>
      <c r="S2338">
        <v>3.0185550000000001</v>
      </c>
      <c r="T2338">
        <v>-0.13292679999999901</v>
      </c>
      <c r="U2338">
        <v>3.6804199999999898E-2</v>
      </c>
      <c r="V2338">
        <v>-2.0099180000000001E-2</v>
      </c>
      <c r="W2338">
        <v>7.4585559999999995E-2</v>
      </c>
      <c r="X2338">
        <v>0.99701200000000001</v>
      </c>
      <c r="Y2338">
        <v>1.934514E-2</v>
      </c>
      <c r="Z2338">
        <v>-1.8155439999999899E-3</v>
      </c>
      <c r="AA2338">
        <v>0.99981119999999901</v>
      </c>
      <c r="AB2338">
        <v>59</v>
      </c>
      <c r="AC2338">
        <v>24.594499999999901</v>
      </c>
      <c r="AD2338">
        <v>-1.1085318243619999</v>
      </c>
      <c r="AE2338">
        <v>0.28870000000000501</v>
      </c>
      <c r="AF2338">
        <v>0.48721018202261202</v>
      </c>
      <c r="AG2338">
        <v>-1.1085318243619999</v>
      </c>
      <c r="AH2338">
        <v>24.541499272648402</v>
      </c>
      <c r="AI2338">
        <v>92.585765607791203</v>
      </c>
      <c r="AJ2338">
        <v>88.862684777031106</v>
      </c>
      <c r="AK2338">
        <v>24.571353302504299</v>
      </c>
    </row>
    <row r="2339" spans="1:37" x14ac:dyDescent="0.2">
      <c r="A2339" t="str">
        <f>"20200111154111637"</f>
        <v>20200111154111637</v>
      </c>
      <c r="B2339" t="str">
        <f>"1578728471628578"</f>
        <v>1578728471628578</v>
      </c>
      <c r="C2339" t="s">
        <v>37</v>
      </c>
      <c r="D2339">
        <v>5.2437059999999898</v>
      </c>
      <c r="E2339">
        <v>0.51402060000000005</v>
      </c>
      <c r="F2339" t="s">
        <v>44</v>
      </c>
      <c r="G2339">
        <v>-358.9128</v>
      </c>
      <c r="H2339" s="1">
        <v>3.16989399999999E-6</v>
      </c>
      <c r="I2339">
        <v>215.44630000000001</v>
      </c>
      <c r="J2339">
        <v>-382.89960000000002</v>
      </c>
      <c r="K2339">
        <v>1.108511</v>
      </c>
      <c r="L2339">
        <v>215.15270000000001</v>
      </c>
      <c r="M2339">
        <v>0.99948440000000005</v>
      </c>
      <c r="N2339">
        <v>0</v>
      </c>
      <c r="O2339">
        <v>3.1596520000000003E-2</v>
      </c>
      <c r="P2339">
        <v>0.99634739999999999</v>
      </c>
      <c r="Q2339">
        <v>6.8333210000000005E-2</v>
      </c>
      <c r="R2339">
        <v>5.1209289999999998E-2</v>
      </c>
      <c r="S2339">
        <v>3.0185550000000001</v>
      </c>
      <c r="T2339">
        <v>-0.13600499999999999</v>
      </c>
      <c r="U2339">
        <v>3.8406370000000002E-2</v>
      </c>
      <c r="V2339">
        <v>-1.9716339999999999E-2</v>
      </c>
      <c r="W2339">
        <v>7.4027300000000004E-2</v>
      </c>
      <c r="X2339">
        <v>0.99706130000000004</v>
      </c>
      <c r="Y2339">
        <v>1.882729E-2</v>
      </c>
      <c r="Z2339">
        <v>-1.846531E-3</v>
      </c>
      <c r="AA2339">
        <v>0.99982109999999902</v>
      </c>
      <c r="AB2339">
        <v>59</v>
      </c>
      <c r="AC2339">
        <v>23.986799999999999</v>
      </c>
      <c r="AD2339">
        <v>-1.1085078301060001</v>
      </c>
      <c r="AE2339">
        <v>0.29359999999999697</v>
      </c>
      <c r="AF2339">
        <v>0.46346869038423799</v>
      </c>
      <c r="AG2339">
        <v>-1.1085078301060001</v>
      </c>
      <c r="AH2339">
        <v>23.932994841174601</v>
      </c>
      <c r="AI2339">
        <v>92.651384886423898</v>
      </c>
      <c r="AJ2339">
        <v>88.890590945663504</v>
      </c>
      <c r="AK2339">
        <v>23.963134913947801</v>
      </c>
    </row>
    <row r="2340" spans="1:37" x14ac:dyDescent="0.2">
      <c r="A2340" t="str">
        <f>"20200111154111658"</f>
        <v>20200111154111658</v>
      </c>
      <c r="B2340" t="str">
        <f>"1578728471649090"</f>
        <v>1578728471649090</v>
      </c>
      <c r="C2340" t="s">
        <v>37</v>
      </c>
      <c r="D2340">
        <v>5.3005170000000001</v>
      </c>
      <c r="E2340">
        <v>0.51508279999999995</v>
      </c>
      <c r="F2340" t="s">
        <v>44</v>
      </c>
      <c r="G2340">
        <v>-358.69310000000002</v>
      </c>
      <c r="H2340" s="1">
        <v>3.0524869999999998E-6</v>
      </c>
      <c r="I2340">
        <v>215.4572</v>
      </c>
      <c r="J2340">
        <v>-382.31189999999998</v>
      </c>
      <c r="K2340">
        <v>1.10849</v>
      </c>
      <c r="L2340">
        <v>215.1713</v>
      </c>
      <c r="M2340">
        <v>0.99948400000000004</v>
      </c>
      <c r="N2340">
        <v>0</v>
      </c>
      <c r="O2340">
        <v>3.1608329999999997E-2</v>
      </c>
      <c r="P2340">
        <v>0.99639979999999995</v>
      </c>
      <c r="Q2340">
        <v>6.7794690000000005E-2</v>
      </c>
      <c r="R2340">
        <v>5.0909089999999997E-2</v>
      </c>
      <c r="S2340">
        <v>3.0185240000000002</v>
      </c>
      <c r="T2340">
        <v>-0.13822979999999899</v>
      </c>
      <c r="U2340">
        <v>3.7963869999999997E-2</v>
      </c>
      <c r="V2340">
        <v>-1.9399960000000001E-2</v>
      </c>
      <c r="W2340">
        <v>7.3517990000000005E-2</v>
      </c>
      <c r="X2340">
        <v>0.99710519999999903</v>
      </c>
      <c r="Y2340">
        <v>1.8983670000000001E-2</v>
      </c>
      <c r="Z2340">
        <v>-1.880846E-3</v>
      </c>
      <c r="AA2340">
        <v>0.99981799999999998</v>
      </c>
      <c r="AB2340">
        <v>59</v>
      </c>
      <c r="AC2340">
        <v>23.618799999999901</v>
      </c>
      <c r="AD2340">
        <v>-1.1084869475129999</v>
      </c>
      <c r="AE2340">
        <v>0.28589999999999799</v>
      </c>
      <c r="AF2340">
        <v>0.45979325580070701</v>
      </c>
      <c r="AG2340">
        <v>-1.1084869475129999</v>
      </c>
      <c r="AH2340">
        <v>23.5641390739843</v>
      </c>
      <c r="AI2340">
        <v>92.692768760405002</v>
      </c>
      <c r="AJ2340">
        <v>88.882162836303493</v>
      </c>
      <c r="AK2340">
        <v>23.5946774389684</v>
      </c>
    </row>
    <row r="2341" spans="1:37" x14ac:dyDescent="0.2">
      <c r="A2341" t="str">
        <f>"20200111154111681"</f>
        <v>20200111154111681</v>
      </c>
      <c r="B2341" t="str">
        <f>"1578728471678353"</f>
        <v>1578728471678353</v>
      </c>
      <c r="C2341" t="s">
        <v>37</v>
      </c>
      <c r="D2341">
        <v>5.2922890000000002</v>
      </c>
      <c r="E2341">
        <v>0.56071539999999997</v>
      </c>
      <c r="F2341" t="s">
        <v>44</v>
      </c>
      <c r="G2341">
        <v>-358.75729999999999</v>
      </c>
      <c r="H2341" s="1">
        <v>3.089352E-6</v>
      </c>
      <c r="I2341">
        <v>215.39580000000001</v>
      </c>
      <c r="J2341">
        <v>-381.7303</v>
      </c>
      <c r="K2341">
        <v>1.1084769999999999</v>
      </c>
      <c r="L2341">
        <v>215.18960000000001</v>
      </c>
      <c r="M2341">
        <v>0.99948329999999996</v>
      </c>
      <c r="N2341">
        <v>0</v>
      </c>
      <c r="O2341">
        <v>3.1618599999999997E-2</v>
      </c>
      <c r="P2341">
        <v>0.99644920000000003</v>
      </c>
      <c r="Q2341">
        <v>6.7403260000000007E-2</v>
      </c>
      <c r="R2341">
        <v>5.0457780000000001E-2</v>
      </c>
      <c r="S2341">
        <v>3.0190429999999999</v>
      </c>
      <c r="T2341">
        <v>-0.1420776</v>
      </c>
      <c r="U2341">
        <v>2.8778080000000001E-2</v>
      </c>
      <c r="V2341">
        <v>-1.8935469999999999E-2</v>
      </c>
      <c r="W2341">
        <v>7.3154670000000005E-2</v>
      </c>
      <c r="X2341">
        <v>0.99714080000000005</v>
      </c>
      <c r="Y2341">
        <v>2.2031350000000002E-2</v>
      </c>
      <c r="Z2341">
        <v>-2.0050160000000001E-3</v>
      </c>
      <c r="AA2341">
        <v>0.99975530000000001</v>
      </c>
      <c r="AB2341">
        <v>59</v>
      </c>
      <c r="AC2341">
        <v>22.972999999999999</v>
      </c>
      <c r="AD2341">
        <v>-1.1084739106479999</v>
      </c>
      <c r="AE2341">
        <v>0.206199999999995</v>
      </c>
      <c r="AF2341">
        <v>0.519080915911592</v>
      </c>
      <c r="AG2341">
        <v>-1.1084739106479999</v>
      </c>
      <c r="AH2341">
        <v>22.9146880484106</v>
      </c>
      <c r="AI2341">
        <v>92.768754950653999</v>
      </c>
      <c r="AJ2341">
        <v>88.702314427666394</v>
      </c>
      <c r="AK2341">
        <v>22.947354700788999</v>
      </c>
    </row>
    <row r="2342" spans="1:37" x14ac:dyDescent="0.2">
      <c r="A2342" t="str">
        <f>"20200111154111702"</f>
        <v>20200111154111702</v>
      </c>
      <c r="B2342" t="str">
        <f>"1578728471698850"</f>
        <v>1578728471698850</v>
      </c>
      <c r="C2342" t="s">
        <v>37</v>
      </c>
      <c r="D2342">
        <v>5.2785349999999998</v>
      </c>
      <c r="E2342">
        <v>0.56234399999999996</v>
      </c>
      <c r="F2342" t="s">
        <v>38</v>
      </c>
      <c r="G2342">
        <v>-380.94029999999998</v>
      </c>
      <c r="H2342">
        <v>1.0512049999999999</v>
      </c>
      <c r="I2342">
        <v>215.1018</v>
      </c>
      <c r="J2342">
        <v>-381.17250000000001</v>
      </c>
      <c r="K2342">
        <v>1.10846</v>
      </c>
      <c r="L2342">
        <v>215.2073</v>
      </c>
      <c r="M2342">
        <v>0.99948289999999995</v>
      </c>
      <c r="N2342">
        <v>0</v>
      </c>
      <c r="O2342">
        <v>3.1626559999999998E-2</v>
      </c>
      <c r="P2342">
        <v>0.99648599999999998</v>
      </c>
      <c r="Q2342">
        <v>6.710903E-2</v>
      </c>
      <c r="R2342">
        <v>5.0119199999999899E-2</v>
      </c>
      <c r="S2342">
        <v>3.042694</v>
      </c>
      <c r="T2342">
        <v>-0.22074949999999999</v>
      </c>
      <c r="U2342">
        <v>-0.33685300000000001</v>
      </c>
      <c r="V2342">
        <v>-1.8585879999999999E-2</v>
      </c>
      <c r="W2342">
        <v>7.2887880000000002E-2</v>
      </c>
      <c r="X2342">
        <v>0.99716689999999997</v>
      </c>
      <c r="Y2342">
        <v>0.14096800000000001</v>
      </c>
      <c r="Z2342">
        <v>-7.3767719999999898E-3</v>
      </c>
      <c r="AA2342">
        <v>0.9899867</v>
      </c>
      <c r="AB2342">
        <v>59</v>
      </c>
      <c r="AC2342">
        <v>0.23220000000003399</v>
      </c>
      <c r="AD2342">
        <v>-5.7255E-2</v>
      </c>
      <c r="AE2342">
        <v>-0.10550000000000601</v>
      </c>
      <c r="AF2342">
        <v>0.107379499954858</v>
      </c>
      <c r="AG2342">
        <v>-5.7255E-2</v>
      </c>
      <c r="AH2342">
        <v>0.217772257047599</v>
      </c>
      <c r="AI2342">
        <v>103.26824292699099</v>
      </c>
      <c r="AJ2342">
        <v>63.752940179847101</v>
      </c>
      <c r="AK2342">
        <v>0.24946592547913399</v>
      </c>
    </row>
    <row r="2343" spans="1:37" x14ac:dyDescent="0.2">
      <c r="A2343" t="str">
        <f>"20200111154111726"</f>
        <v>20200111154111726</v>
      </c>
      <c r="B2343" t="str">
        <f>"1578728471718370"</f>
        <v>1578728471718370</v>
      </c>
      <c r="C2343" t="s">
        <v>37</v>
      </c>
      <c r="D2343">
        <v>5.3194589999999904</v>
      </c>
      <c r="E2343">
        <v>0.56276689999999996</v>
      </c>
      <c r="F2343" t="s">
        <v>44</v>
      </c>
      <c r="G2343">
        <v>-364.97579999999999</v>
      </c>
      <c r="H2343" s="1">
        <v>1.111084E-6</v>
      </c>
      <c r="I2343">
        <v>213.33969999999999</v>
      </c>
      <c r="J2343">
        <v>-380.54360000000003</v>
      </c>
      <c r="K2343">
        <v>1.1084459999999901</v>
      </c>
      <c r="L2343">
        <v>215.22720000000001</v>
      </c>
      <c r="M2343">
        <v>0.9994828</v>
      </c>
      <c r="N2343">
        <v>0</v>
      </c>
      <c r="O2343">
        <v>3.162943E-2</v>
      </c>
      <c r="P2343">
        <v>0.99646749999999995</v>
      </c>
      <c r="Q2343">
        <v>6.7721409999999996E-2</v>
      </c>
      <c r="R2343">
        <v>4.9663239999999997E-2</v>
      </c>
      <c r="S2343">
        <v>3.0422669999999998</v>
      </c>
      <c r="T2343">
        <v>-0.2082051</v>
      </c>
      <c r="U2343">
        <v>-0.35079959999999999</v>
      </c>
      <c r="V2343">
        <v>-1.812571E-2</v>
      </c>
      <c r="W2343">
        <v>7.3530830000000005E-2</v>
      </c>
      <c r="X2343">
        <v>0.99712819999999902</v>
      </c>
      <c r="Y2343">
        <v>0.14550479999999999</v>
      </c>
      <c r="Z2343">
        <v>-7.1125529999999998E-3</v>
      </c>
      <c r="AA2343">
        <v>0.98933199999999999</v>
      </c>
      <c r="AB2343">
        <v>59</v>
      </c>
      <c r="AC2343">
        <v>15.5678</v>
      </c>
      <c r="AD2343">
        <v>-1.1084448889159999</v>
      </c>
      <c r="AE2343">
        <v>-1.8875000000000099</v>
      </c>
      <c r="AF2343">
        <v>2.3671379335793898</v>
      </c>
      <c r="AG2343">
        <v>-1.1084448889159999</v>
      </c>
      <c r="AH2343">
        <v>15.423252076632</v>
      </c>
      <c r="AI2343">
        <v>94.063274185474</v>
      </c>
      <c r="AJ2343">
        <v>81.274415601971597</v>
      </c>
      <c r="AK2343">
        <v>15.6431677318786</v>
      </c>
    </row>
    <row r="2344" spans="1:37" x14ac:dyDescent="0.2">
      <c r="A2344" t="str">
        <f>"20200111154111748"</f>
        <v>20200111154111748</v>
      </c>
      <c r="B2344" t="str">
        <f>"1578728471738868"</f>
        <v>1578728471738868</v>
      </c>
      <c r="C2344" t="s">
        <v>37</v>
      </c>
      <c r="D2344">
        <v>5.3497170000000001</v>
      </c>
      <c r="E2344">
        <v>0.56263830000000004</v>
      </c>
      <c r="F2344" t="s">
        <v>44</v>
      </c>
      <c r="G2344">
        <v>-363.52390000000003</v>
      </c>
      <c r="H2344" s="1">
        <v>3.3845799999999902E-7</v>
      </c>
      <c r="I2344">
        <v>213.23740000000001</v>
      </c>
      <c r="J2344">
        <v>-379.95249999999999</v>
      </c>
      <c r="K2344">
        <v>1.1084369999999999</v>
      </c>
      <c r="L2344">
        <v>215.24590000000001</v>
      </c>
      <c r="M2344">
        <v>0.9994828</v>
      </c>
      <c r="N2344">
        <v>0</v>
      </c>
      <c r="O2344">
        <v>3.1622289999999997E-2</v>
      </c>
      <c r="P2344">
        <v>0.99646900000000005</v>
      </c>
      <c r="Q2344">
        <v>6.8321820000000005E-2</v>
      </c>
      <c r="R2344">
        <v>4.8805370000000001E-2</v>
      </c>
      <c r="S2344">
        <v>3.0418090000000002</v>
      </c>
      <c r="T2344">
        <v>-0.19810420000000001</v>
      </c>
      <c r="U2344">
        <v>-0.35562129999999997</v>
      </c>
      <c r="V2344">
        <v>-1.727333E-2</v>
      </c>
      <c r="W2344">
        <v>7.4159500000000003E-2</v>
      </c>
      <c r="X2344">
        <v>0.99709680000000001</v>
      </c>
      <c r="Y2344">
        <v>0.14709720000000001</v>
      </c>
      <c r="Z2344">
        <v>-6.8198019999999998E-3</v>
      </c>
      <c r="AA2344">
        <v>0.98909849999999999</v>
      </c>
      <c r="AB2344">
        <v>59</v>
      </c>
      <c r="AC2344">
        <v>16.4285999999999</v>
      </c>
      <c r="AD2344">
        <v>-1.108436661542</v>
      </c>
      <c r="AE2344">
        <v>-2.00849999999999</v>
      </c>
      <c r="AF2344">
        <v>2.5157308802593601</v>
      </c>
      <c r="AG2344">
        <v>-1.108436661542</v>
      </c>
      <c r="AH2344">
        <v>16.2838336451555</v>
      </c>
      <c r="AI2344">
        <v>93.848584573236096</v>
      </c>
      <c r="AJ2344">
        <v>81.217662158705295</v>
      </c>
      <c r="AK2344">
        <v>16.514259652725599</v>
      </c>
    </row>
    <row r="2345" spans="1:37" x14ac:dyDescent="0.2">
      <c r="A2345" t="str">
        <f>"20200111154111770"</f>
        <v>20200111154111770</v>
      </c>
      <c r="B2345" t="str">
        <f>"1578728471758385"</f>
        <v>1578728471758385</v>
      </c>
      <c r="C2345" t="s">
        <v>37</v>
      </c>
      <c r="D2345">
        <v>5.3341839999999996</v>
      </c>
      <c r="E2345">
        <v>0.56297019999999998</v>
      </c>
      <c r="F2345" t="s">
        <v>44</v>
      </c>
      <c r="G2345">
        <v>-362.74040000000002</v>
      </c>
      <c r="H2345" s="1">
        <v>-7.8497810000000005E-8</v>
      </c>
      <c r="I2345">
        <v>213.22540000000001</v>
      </c>
      <c r="J2345">
        <v>-379.3621</v>
      </c>
      <c r="K2345">
        <v>1.1084309999999999</v>
      </c>
      <c r="L2345">
        <v>215.2646</v>
      </c>
      <c r="M2345">
        <v>0.99948309999999996</v>
      </c>
      <c r="N2345">
        <v>0</v>
      </c>
      <c r="O2345">
        <v>3.1605649999999999E-2</v>
      </c>
      <c r="P2345">
        <v>0.99645130000000004</v>
      </c>
      <c r="Q2345">
        <v>6.8931069999999997E-2</v>
      </c>
      <c r="R2345">
        <v>4.8306889999999998E-2</v>
      </c>
      <c r="S2345">
        <v>3.0415040000000002</v>
      </c>
      <c r="T2345">
        <v>-0.1958685</v>
      </c>
      <c r="U2345">
        <v>-0.35704039999999998</v>
      </c>
      <c r="V2345">
        <v>-1.6789470000000001E-2</v>
      </c>
      <c r="W2345">
        <v>7.4796680000000004E-2</v>
      </c>
      <c r="X2345">
        <v>0.99705739999999998</v>
      </c>
      <c r="Y2345">
        <v>0.14755489999999999</v>
      </c>
      <c r="Z2345">
        <v>-6.7570929999999996E-3</v>
      </c>
      <c r="AA2345">
        <v>0.98903079999999999</v>
      </c>
      <c r="AB2345">
        <v>60</v>
      </c>
      <c r="AC2345">
        <v>16.621699999999901</v>
      </c>
      <c r="AD2345">
        <v>-1.10843107849781</v>
      </c>
      <c r="AE2345">
        <v>-2.0391999999999899</v>
      </c>
      <c r="AF2345">
        <v>2.5523479657246502</v>
      </c>
      <c r="AG2345">
        <v>-1.10843107849781</v>
      </c>
      <c r="AH2345">
        <v>16.476758862458599</v>
      </c>
      <c r="AI2345">
        <v>93.803398859854894</v>
      </c>
      <c r="AJ2345">
        <v>81.194529395388997</v>
      </c>
      <c r="AK2345">
        <v>16.7100772650974</v>
      </c>
    </row>
    <row r="2346" spans="1:37" x14ac:dyDescent="0.2">
      <c r="A2346" t="str">
        <f>"20200111154111792"</f>
        <v>20200111154111792</v>
      </c>
      <c r="B2346" t="str">
        <f>"1578728471788642"</f>
        <v>1578728471788642</v>
      </c>
      <c r="C2346" t="s">
        <v>37</v>
      </c>
      <c r="D2346">
        <v>5.3327210000000003</v>
      </c>
      <c r="E2346">
        <v>0.56315990000000005</v>
      </c>
      <c r="F2346" t="s">
        <v>44</v>
      </c>
      <c r="G2346">
        <v>-361.60579999999999</v>
      </c>
      <c r="H2346" s="1">
        <v>-6.822359E-7</v>
      </c>
      <c r="I2346">
        <v>213.1557</v>
      </c>
      <c r="J2346">
        <v>-378.77800000000002</v>
      </c>
      <c r="K2346">
        <v>1.1084129999999901</v>
      </c>
      <c r="L2346">
        <v>215.28299999999999</v>
      </c>
      <c r="M2346">
        <v>0.99948400000000004</v>
      </c>
      <c r="N2346">
        <v>0</v>
      </c>
      <c r="O2346">
        <v>3.1576609999999998E-2</v>
      </c>
      <c r="P2346">
        <v>0.99644349999999904</v>
      </c>
      <c r="Q2346">
        <v>6.9099079999999993E-2</v>
      </c>
      <c r="R2346">
        <v>4.823057E-2</v>
      </c>
      <c r="S2346">
        <v>3.04129</v>
      </c>
      <c r="T2346">
        <v>-0.18985260000000001</v>
      </c>
      <c r="U2346">
        <v>-0.36120609999999997</v>
      </c>
      <c r="V2346">
        <v>-1.6740250000000002E-2</v>
      </c>
      <c r="W2346">
        <v>7.4992589999999998E-2</v>
      </c>
      <c r="X2346">
        <v>0.99704359999999903</v>
      </c>
      <c r="Y2346">
        <v>0.14888970000000001</v>
      </c>
      <c r="Z2346">
        <v>-6.5895769999999897E-3</v>
      </c>
      <c r="AA2346">
        <v>0.98883189999999999</v>
      </c>
      <c r="AB2346">
        <v>60</v>
      </c>
      <c r="AC2346">
        <v>17.1722</v>
      </c>
      <c r="AD2346">
        <v>-1.1084136822358901</v>
      </c>
      <c r="AE2346">
        <v>-2.1272999999999902</v>
      </c>
      <c r="AF2346">
        <v>2.6575834369733999</v>
      </c>
      <c r="AG2346">
        <v>-1.1084136822358901</v>
      </c>
      <c r="AH2346">
        <v>17.026596493786801</v>
      </c>
      <c r="AI2346">
        <v>93.680205258876398</v>
      </c>
      <c r="AJ2346">
        <v>81.128611880856198</v>
      </c>
      <c r="AK2346">
        <v>17.268361786159002</v>
      </c>
    </row>
    <row r="2347" spans="1:37" x14ac:dyDescent="0.2">
      <c r="A2347" t="str">
        <f>"20200111154111814"</f>
        <v>20200111154111814</v>
      </c>
      <c r="B2347" t="str">
        <f>"1578728471808162"</f>
        <v>1578728471808162</v>
      </c>
      <c r="C2347" t="s">
        <v>37</v>
      </c>
      <c r="D2347">
        <v>5.5163539999999998</v>
      </c>
      <c r="E2347">
        <v>0.56333809999999995</v>
      </c>
      <c r="F2347" t="s">
        <v>44</v>
      </c>
      <c r="G2347">
        <v>-360.74529999999999</v>
      </c>
      <c r="H2347" s="1">
        <v>-1.1401539999999999E-6</v>
      </c>
      <c r="I2347">
        <v>213.13</v>
      </c>
      <c r="J2347">
        <v>-378.17809999999997</v>
      </c>
      <c r="K2347">
        <v>1.108393</v>
      </c>
      <c r="L2347">
        <v>215.30189999999999</v>
      </c>
      <c r="M2347">
        <v>0.99948519999999896</v>
      </c>
      <c r="N2347">
        <v>0</v>
      </c>
      <c r="O2347">
        <v>3.1530929999999999E-2</v>
      </c>
      <c r="P2347">
        <v>0.99643709999999996</v>
      </c>
      <c r="Q2347">
        <v>6.9176379999999996E-2</v>
      </c>
      <c r="R2347">
        <v>4.8249060000000003E-2</v>
      </c>
      <c r="S2347">
        <v>3.041229</v>
      </c>
      <c r="T2347">
        <v>-0.18693589999999999</v>
      </c>
      <c r="U2347">
        <v>-0.36311339999999998</v>
      </c>
      <c r="V2347">
        <v>-1.6800969999999998E-2</v>
      </c>
      <c r="W2347">
        <v>7.5098620000000005E-2</v>
      </c>
      <c r="X2347">
        <v>0.99703449999999905</v>
      </c>
      <c r="Y2347">
        <v>0.14946789999999999</v>
      </c>
      <c r="Z2347">
        <v>-6.5033199999999999E-3</v>
      </c>
      <c r="AA2347">
        <v>0.98874519999999899</v>
      </c>
      <c r="AB2347">
        <v>60</v>
      </c>
      <c r="AC2347">
        <v>17.432799999999901</v>
      </c>
      <c r="AD2347">
        <v>-1.1083941401540001</v>
      </c>
      <c r="AE2347">
        <v>-2.1718999999999902</v>
      </c>
      <c r="AF2347">
        <v>2.7097153976797101</v>
      </c>
      <c r="AG2347">
        <v>-1.1083941401540001</v>
      </c>
      <c r="AH2347">
        <v>17.2868339145368</v>
      </c>
      <c r="AI2347">
        <v>93.624520654538003</v>
      </c>
      <c r="AJ2347">
        <v>81.091364310216093</v>
      </c>
      <c r="AK2347">
        <v>17.532989531027798</v>
      </c>
    </row>
    <row r="2348" spans="1:37" x14ac:dyDescent="0.2">
      <c r="A2348" t="str">
        <f>"20200111154111838"</f>
        <v>20200111154111838</v>
      </c>
      <c r="B2348" t="str">
        <f>"1578728471828658"</f>
        <v>1578728471828658</v>
      </c>
      <c r="C2348" t="s">
        <v>37</v>
      </c>
      <c r="D2348">
        <v>5.3776089999999996</v>
      </c>
      <c r="E2348">
        <v>0.59203309999999998</v>
      </c>
      <c r="F2348" t="s">
        <v>44</v>
      </c>
      <c r="G2348">
        <v>-360.07909999999998</v>
      </c>
      <c r="H2348" s="1">
        <v>-1.494697E-6</v>
      </c>
      <c r="I2348">
        <v>213.13319999999999</v>
      </c>
      <c r="J2348">
        <v>-377.551999999999</v>
      </c>
      <c r="K2348">
        <v>1.1083700000000001</v>
      </c>
      <c r="L2348">
        <v>215.32159999999999</v>
      </c>
      <c r="M2348">
        <v>0.99948719999999902</v>
      </c>
      <c r="N2348">
        <v>0</v>
      </c>
      <c r="O2348">
        <v>3.1462509999999999E-2</v>
      </c>
      <c r="P2348">
        <v>0.99646440000000003</v>
      </c>
      <c r="Q2348">
        <v>6.8865029999999994E-2</v>
      </c>
      <c r="R2348">
        <v>4.812992E-2</v>
      </c>
      <c r="S2348">
        <v>3.04129</v>
      </c>
      <c r="T2348">
        <v>-0.1862509</v>
      </c>
      <c r="U2348">
        <v>-0.36442570000000002</v>
      </c>
      <c r="V2348">
        <v>-1.6746170000000001E-2</v>
      </c>
      <c r="W2348">
        <v>7.4818090000000004E-2</v>
      </c>
      <c r="X2348">
        <v>0.99705659999999896</v>
      </c>
      <c r="Y2348">
        <v>0.1498205</v>
      </c>
      <c r="Z2348">
        <v>-6.4858160000000002E-3</v>
      </c>
      <c r="AA2348">
        <v>0.98869189999999996</v>
      </c>
      <c r="AB2348">
        <v>60</v>
      </c>
      <c r="AC2348">
        <v>17.4728999999999</v>
      </c>
      <c r="AD2348">
        <v>-1.108371494697</v>
      </c>
      <c r="AE2348">
        <v>-2.1884000000000001</v>
      </c>
      <c r="AF2348">
        <v>2.72626695193616</v>
      </c>
      <c r="AG2348">
        <v>-1.108371494697</v>
      </c>
      <c r="AH2348">
        <v>17.326752340523601</v>
      </c>
      <c r="AI2348">
        <v>93.615790363766607</v>
      </c>
      <c r="AJ2348">
        <v>81.058142585290398</v>
      </c>
      <c r="AK2348">
        <v>17.574907269551002</v>
      </c>
    </row>
    <row r="2349" spans="1:37" x14ac:dyDescent="0.2">
      <c r="A2349" t="str">
        <f>"20200111154111860"</f>
        <v>20200111154111860</v>
      </c>
      <c r="B2349" t="str">
        <f>"1578728471848177"</f>
        <v>1578728471848177</v>
      </c>
      <c r="C2349" t="s">
        <v>37</v>
      </c>
      <c r="D2349">
        <v>5.3824360000000002</v>
      </c>
      <c r="E2349">
        <v>0.59594969999999903</v>
      </c>
      <c r="F2349" t="s">
        <v>44</v>
      </c>
      <c r="G2349">
        <v>-356.53449999999998</v>
      </c>
      <c r="H2349" s="1">
        <v>2.08828499999999E-6</v>
      </c>
      <c r="I2349">
        <v>211.23609999999999</v>
      </c>
      <c r="J2349">
        <v>-376.93610000000001</v>
      </c>
      <c r="K2349">
        <v>1.108344</v>
      </c>
      <c r="L2349">
        <v>215.34099999999901</v>
      </c>
      <c r="M2349">
        <v>0.99948989999999904</v>
      </c>
      <c r="N2349">
        <v>0</v>
      </c>
      <c r="O2349">
        <v>3.1373680000000001E-2</v>
      </c>
      <c r="P2349">
        <v>0.99650740000000004</v>
      </c>
      <c r="Q2349">
        <v>6.8596710000000005E-2</v>
      </c>
      <c r="R2349">
        <v>4.7624350000000003E-2</v>
      </c>
      <c r="S2349">
        <v>3.0504150000000001</v>
      </c>
      <c r="T2349">
        <v>-0.16086510000000001</v>
      </c>
      <c r="U2349">
        <v>-0.5929565</v>
      </c>
      <c r="V2349">
        <v>-1.632428E-2</v>
      </c>
      <c r="W2349">
        <v>7.4579859999999998E-2</v>
      </c>
      <c r="X2349">
        <v>0.99708140000000001</v>
      </c>
      <c r="Y2349">
        <v>0.22117909999999999</v>
      </c>
      <c r="Z2349">
        <v>-7.413139E-3</v>
      </c>
      <c r="AA2349">
        <v>0.97520509999999905</v>
      </c>
      <c r="AB2349">
        <v>60</v>
      </c>
      <c r="AC2349">
        <v>20.401599999999998</v>
      </c>
      <c r="AD2349">
        <v>-1.108341911715</v>
      </c>
      <c r="AE2349">
        <v>-4.1048999999999802</v>
      </c>
      <c r="AF2349">
        <v>4.7295484629025104</v>
      </c>
      <c r="AG2349">
        <v>-1.108341911715</v>
      </c>
      <c r="AH2349">
        <v>20.205455407094501</v>
      </c>
      <c r="AI2349">
        <v>93.057259292241397</v>
      </c>
      <c r="AJ2349">
        <v>76.825801042600801</v>
      </c>
      <c r="AK2349">
        <v>20.7811808775221</v>
      </c>
    </row>
    <row r="2350" spans="1:37" x14ac:dyDescent="0.2">
      <c r="A2350" t="str">
        <f>"20200111154111893"</f>
        <v>20200111154111893</v>
      </c>
      <c r="B2350" t="str">
        <f>"1578728471888193"</f>
        <v>1578728471888193</v>
      </c>
      <c r="C2350" t="s">
        <v>37</v>
      </c>
      <c r="D2350">
        <v>5.4150429999999998</v>
      </c>
      <c r="E2350">
        <v>0.59407989999999999</v>
      </c>
      <c r="F2350" t="s">
        <v>44</v>
      </c>
      <c r="G2350">
        <v>-354.13</v>
      </c>
      <c r="H2350" s="1">
        <v>8.3374059999999995E-7</v>
      </c>
      <c r="I2350">
        <v>210.66480000000001</v>
      </c>
      <c r="J2350">
        <v>-376.07769999999999</v>
      </c>
      <c r="K2350">
        <v>1.1083019999999999</v>
      </c>
      <c r="L2350">
        <v>215.36779999999999</v>
      </c>
      <c r="M2350">
        <v>0.99949469999999996</v>
      </c>
      <c r="N2350">
        <v>0</v>
      </c>
      <c r="O2350">
        <v>3.121202E-2</v>
      </c>
      <c r="P2350">
        <v>0.99654949999999998</v>
      </c>
      <c r="Q2350">
        <v>6.8746870000000002E-2</v>
      </c>
      <c r="R2350">
        <v>4.6516309999999998E-2</v>
      </c>
      <c r="S2350">
        <v>3.050659</v>
      </c>
      <c r="T2350">
        <v>-0.1482579</v>
      </c>
      <c r="U2350">
        <v>-0.62550349999999999</v>
      </c>
      <c r="V2350">
        <v>-1.5370780000000001E-2</v>
      </c>
      <c r="W2350">
        <v>7.4771009999999999E-2</v>
      </c>
      <c r="X2350">
        <v>0.99708220000000003</v>
      </c>
      <c r="Y2350">
        <v>0.2310412</v>
      </c>
      <c r="Z2350">
        <v>-7.0545919999999897E-3</v>
      </c>
      <c r="AA2350">
        <v>0.97291839999999996</v>
      </c>
      <c r="AB2350">
        <v>60</v>
      </c>
      <c r="AC2350">
        <v>21.947700000000001</v>
      </c>
      <c r="AD2350">
        <v>-1.1083011662594</v>
      </c>
      <c r="AE2350">
        <v>-4.7029999999999701</v>
      </c>
      <c r="AF2350">
        <v>5.3726542528555497</v>
      </c>
      <c r="AG2350">
        <v>-1.1083011662594</v>
      </c>
      <c r="AH2350">
        <v>21.737217454350901</v>
      </c>
      <c r="AI2350">
        <v>92.833649167694304</v>
      </c>
      <c r="AJ2350">
        <v>76.116799185402499</v>
      </c>
      <c r="AK2350">
        <v>22.4187503633364</v>
      </c>
    </row>
    <row r="2351" spans="1:37" x14ac:dyDescent="0.2">
      <c r="A2351" t="str">
        <f>"20200111154111915"</f>
        <v>20200111154111915</v>
      </c>
      <c r="B2351" t="str">
        <f>"1578728471908689"</f>
        <v>1578728471908689</v>
      </c>
      <c r="C2351" t="s">
        <v>37</v>
      </c>
      <c r="D2351">
        <v>5.4131519999999904</v>
      </c>
      <c r="E2351">
        <v>0.59387369999999995</v>
      </c>
      <c r="F2351" t="s">
        <v>44</v>
      </c>
      <c r="G2351">
        <v>-351.31650000000002</v>
      </c>
      <c r="H2351" s="1">
        <v>-6.5108019999999996E-7</v>
      </c>
      <c r="I2351">
        <v>210.3811</v>
      </c>
      <c r="J2351">
        <v>-375.4563</v>
      </c>
      <c r="K2351">
        <v>1.108276</v>
      </c>
      <c r="L2351">
        <v>215.38720000000001</v>
      </c>
      <c r="M2351">
        <v>0.99949869999999996</v>
      </c>
      <c r="N2351">
        <v>0</v>
      </c>
      <c r="O2351">
        <v>3.1072140000000002E-2</v>
      </c>
      <c r="P2351">
        <v>0.99662819999999996</v>
      </c>
      <c r="Q2351">
        <v>6.813603E-2</v>
      </c>
      <c r="R2351">
        <v>4.5712759999999998E-2</v>
      </c>
      <c r="S2351">
        <v>3.0484619999999998</v>
      </c>
      <c r="T2351">
        <v>-0.13644800000000001</v>
      </c>
      <c r="U2351">
        <v>-0.61393739999999997</v>
      </c>
      <c r="V2351">
        <v>-1.4700090000000001E-2</v>
      </c>
      <c r="W2351">
        <v>7.4190409999999998E-2</v>
      </c>
      <c r="X2351">
        <v>0.99713580000000002</v>
      </c>
      <c r="Y2351">
        <v>0.2275451</v>
      </c>
      <c r="Z2351">
        <v>-6.4165630000000001E-3</v>
      </c>
      <c r="AA2351">
        <v>0.97374640000000001</v>
      </c>
      <c r="AB2351">
        <v>60</v>
      </c>
      <c r="AC2351">
        <v>24.139799999999902</v>
      </c>
      <c r="AD2351">
        <v>-1.1082766510802</v>
      </c>
      <c r="AE2351">
        <v>-5.0061</v>
      </c>
      <c r="AF2351">
        <v>5.74216748742516</v>
      </c>
      <c r="AG2351">
        <v>-1.1082766510802</v>
      </c>
      <c r="AH2351">
        <v>23.924242227091501</v>
      </c>
      <c r="AI2351">
        <v>92.579152286568899</v>
      </c>
      <c r="AJ2351">
        <v>76.503475629118498</v>
      </c>
      <c r="AK2351">
        <v>24.628644516690699</v>
      </c>
    </row>
    <row r="2352" spans="1:37" x14ac:dyDescent="0.2">
      <c r="A2352" t="str">
        <f>"20200111154111937"</f>
        <v>20200111154111937</v>
      </c>
      <c r="B2352" t="str">
        <f>"1578728471928213"</f>
        <v>1578728471928213</v>
      </c>
      <c r="C2352" t="s">
        <v>37</v>
      </c>
      <c r="D2352">
        <v>5.4390780000000003</v>
      </c>
      <c r="E2352">
        <v>0.59376870000000004</v>
      </c>
      <c r="F2352" t="s">
        <v>44</v>
      </c>
      <c r="G2352">
        <v>-350.56459999999998</v>
      </c>
      <c r="H2352" s="1">
        <v>-1.0506139999999999E-6</v>
      </c>
      <c r="I2352">
        <v>210.36750000000001</v>
      </c>
      <c r="J2352">
        <v>-374.84820000000002</v>
      </c>
      <c r="K2352">
        <v>1.108244</v>
      </c>
      <c r="L2352">
        <v>215.40610000000001</v>
      </c>
      <c r="M2352">
        <v>0.99950339999999904</v>
      </c>
      <c r="N2352">
        <v>0</v>
      </c>
      <c r="O2352">
        <v>3.091874E-2</v>
      </c>
      <c r="P2352">
        <v>0.99667499999999998</v>
      </c>
      <c r="Q2352">
        <v>6.790736E-2</v>
      </c>
      <c r="R2352">
        <v>4.5032229999999999E-2</v>
      </c>
      <c r="S2352">
        <v>3.0476070000000002</v>
      </c>
      <c r="T2352">
        <v>-0.1356918</v>
      </c>
      <c r="U2352">
        <v>-0.61457819999999996</v>
      </c>
      <c r="V2352">
        <v>-1.4167300000000001E-2</v>
      </c>
      <c r="W2352">
        <v>7.3990689999999998E-2</v>
      </c>
      <c r="X2352">
        <v>0.99715830000000005</v>
      </c>
      <c r="Y2352">
        <v>0.22764799999999999</v>
      </c>
      <c r="Z2352">
        <v>-6.3781580000000001E-3</v>
      </c>
      <c r="AA2352">
        <v>0.97372259999999999</v>
      </c>
      <c r="AB2352">
        <v>60</v>
      </c>
      <c r="AC2352">
        <v>24.2836</v>
      </c>
      <c r="AD2352">
        <v>-1.108245050614</v>
      </c>
      <c r="AE2352">
        <v>-5.0385999999999997</v>
      </c>
      <c r="AF2352">
        <v>5.7754905330115598</v>
      </c>
      <c r="AG2352">
        <v>-1.108245050614</v>
      </c>
      <c r="AH2352">
        <v>24.068139766787901</v>
      </c>
      <c r="AI2352">
        <v>92.563709112761401</v>
      </c>
      <c r="AJ2352">
        <v>76.506209297531896</v>
      </c>
      <c r="AK2352">
        <v>24.776195224908001</v>
      </c>
    </row>
    <row r="2353" spans="1:37" x14ac:dyDescent="0.2">
      <c r="A2353" t="str">
        <f>"20200111154111960"</f>
        <v>20200111154111960</v>
      </c>
      <c r="B2353" t="str">
        <f>"1578728471948708"</f>
        <v>1578728471948708</v>
      </c>
      <c r="C2353" t="s">
        <v>37</v>
      </c>
      <c r="D2353">
        <v>5.4011149999999999</v>
      </c>
      <c r="E2353">
        <v>0.5937791</v>
      </c>
      <c r="F2353" t="s">
        <v>44</v>
      </c>
      <c r="G2353">
        <v>-349.5136</v>
      </c>
      <c r="H2353" s="1">
        <v>3.5258970000000001E-6</v>
      </c>
      <c r="I2353">
        <v>210.2878</v>
      </c>
      <c r="J2353">
        <v>-374.24650000000003</v>
      </c>
      <c r="K2353">
        <v>1.1082239999999901</v>
      </c>
      <c r="L2353">
        <v>215.4246</v>
      </c>
      <c r="M2353">
        <v>0.99950830000000002</v>
      </c>
      <c r="N2353">
        <v>0</v>
      </c>
      <c r="O2353">
        <v>3.0754139999999999E-2</v>
      </c>
      <c r="P2353">
        <v>0.99669200000000002</v>
      </c>
      <c r="Q2353">
        <v>6.8173629999999999E-2</v>
      </c>
      <c r="R2353">
        <v>4.4246790000000001E-2</v>
      </c>
      <c r="S2353">
        <v>3.0469059999999999</v>
      </c>
      <c r="T2353">
        <v>-0.13328470000000001</v>
      </c>
      <c r="U2353">
        <v>-0.61555479999999996</v>
      </c>
      <c r="V2353">
        <v>-1.3542210000000001E-2</v>
      </c>
      <c r="W2353">
        <v>7.4285509999999999E-2</v>
      </c>
      <c r="X2353">
        <v>0.99714509999999901</v>
      </c>
      <c r="Y2353">
        <v>0.2278395</v>
      </c>
      <c r="Z2353">
        <v>-6.2633519999999998E-3</v>
      </c>
      <c r="AA2353">
        <v>0.9736785</v>
      </c>
      <c r="AB2353">
        <v>61</v>
      </c>
      <c r="AC2353">
        <v>24.732900000000001</v>
      </c>
      <c r="AD2353">
        <v>-1.108220474103</v>
      </c>
      <c r="AE2353">
        <v>-5.1367999999999903</v>
      </c>
      <c r="AF2353">
        <v>5.8836990534069704</v>
      </c>
      <c r="AG2353">
        <v>-1.108220474103</v>
      </c>
      <c r="AH2353">
        <v>24.516033736244999</v>
      </c>
      <c r="AI2353">
        <v>92.516859671714499</v>
      </c>
      <c r="AJ2353">
        <v>76.504596074016206</v>
      </c>
      <c r="AK2353">
        <v>25.2365207056556</v>
      </c>
    </row>
    <row r="2354" spans="1:37" x14ac:dyDescent="0.2">
      <c r="A2354" t="str">
        <f>"20200111154111981"</f>
        <v>20200111154111981</v>
      </c>
      <c r="B2354" t="str">
        <f>"1578728471968225"</f>
        <v>1578728471968225</v>
      </c>
      <c r="C2354" t="s">
        <v>37</v>
      </c>
      <c r="D2354">
        <v>5.4479379999999997</v>
      </c>
      <c r="E2354">
        <v>0.59396199999999999</v>
      </c>
      <c r="F2354" t="s">
        <v>44</v>
      </c>
      <c r="G2354">
        <v>-348.52539999999999</v>
      </c>
      <c r="H2354" s="1">
        <v>3.0000180000000001E-6</v>
      </c>
      <c r="I2354">
        <v>210.2056</v>
      </c>
      <c r="J2354">
        <v>-373.66410000000002</v>
      </c>
      <c r="K2354">
        <v>1.1082080000000001</v>
      </c>
      <c r="L2354">
        <v>215.4425</v>
      </c>
      <c r="M2354">
        <v>0.99951329999999905</v>
      </c>
      <c r="N2354">
        <v>0</v>
      </c>
      <c r="O2354">
        <v>3.058526E-2</v>
      </c>
      <c r="P2354">
        <v>0.99663809999999997</v>
      </c>
      <c r="Q2354">
        <v>6.9041480000000002E-2</v>
      </c>
      <c r="R2354">
        <v>4.4113340000000001E-2</v>
      </c>
      <c r="S2354">
        <v>3.0463259999999899</v>
      </c>
      <c r="T2354">
        <v>-0.1312545</v>
      </c>
      <c r="U2354">
        <v>-0.6181335</v>
      </c>
      <c r="V2354">
        <v>-1.3574579999999999E-2</v>
      </c>
      <c r="W2354">
        <v>7.518089E-2</v>
      </c>
      <c r="X2354">
        <v>0.99707749999999995</v>
      </c>
      <c r="Y2354">
        <v>0.2285094</v>
      </c>
      <c r="Z2354">
        <v>-6.1757490000000003E-3</v>
      </c>
      <c r="AA2354">
        <v>0.97352209999999995</v>
      </c>
      <c r="AB2354">
        <v>61</v>
      </c>
      <c r="AC2354">
        <v>25.1387</v>
      </c>
      <c r="AD2354">
        <v>-1.1082049999820001</v>
      </c>
      <c r="AE2354">
        <v>-5.2368999999999897</v>
      </c>
      <c r="AF2354">
        <v>5.9921774043821001</v>
      </c>
      <c r="AG2354">
        <v>-1.1082049999820001</v>
      </c>
      <c r="AH2354">
        <v>24.920348670416999</v>
      </c>
      <c r="AI2354">
        <v>92.475784185752005</v>
      </c>
      <c r="AJ2354">
        <v>76.479717395199998</v>
      </c>
      <c r="AK2354">
        <v>25.654591913003198</v>
      </c>
    </row>
    <row r="2355" spans="1:37" x14ac:dyDescent="0.2">
      <c r="A2355" t="str">
        <f>"20200111154112006"</f>
        <v>20200111154112006</v>
      </c>
      <c r="B2355" t="str">
        <f>"1578728471998481"</f>
        <v>1578728471998481</v>
      </c>
      <c r="C2355" t="s">
        <v>37</v>
      </c>
      <c r="D2355">
        <v>5.4383049999999997</v>
      </c>
      <c r="E2355">
        <v>0.59427600000000003</v>
      </c>
      <c r="F2355" t="s">
        <v>44</v>
      </c>
      <c r="G2355">
        <v>-347.08749999999998</v>
      </c>
      <c r="H2355" s="1">
        <v>2.2348140000000001E-6</v>
      </c>
      <c r="I2355">
        <v>210.03450000000001</v>
      </c>
      <c r="J2355">
        <v>-373.046999999999</v>
      </c>
      <c r="K2355">
        <v>1.1081889999999901</v>
      </c>
      <c r="L2355">
        <v>215.4614</v>
      </c>
      <c r="M2355">
        <v>0.99951880000000004</v>
      </c>
      <c r="N2355">
        <v>0</v>
      </c>
      <c r="O2355">
        <v>3.0399099999999998E-2</v>
      </c>
      <c r="P2355">
        <v>0.99658639999999998</v>
      </c>
      <c r="Q2355">
        <v>6.9987599999999997E-2</v>
      </c>
      <c r="R2355">
        <v>4.3787670000000001E-2</v>
      </c>
      <c r="S2355">
        <v>3.04638699999999</v>
      </c>
      <c r="T2355">
        <v>-0.12703</v>
      </c>
      <c r="U2355">
        <v>-0.6199036</v>
      </c>
      <c r="V2355">
        <v>-1.3432380000000001E-2</v>
      </c>
      <c r="W2355">
        <v>7.6155600000000004E-2</v>
      </c>
      <c r="X2355">
        <v>0.99700549999999999</v>
      </c>
      <c r="Y2355">
        <v>0.228882</v>
      </c>
      <c r="Z2355">
        <v>-5.9766899999999998E-3</v>
      </c>
      <c r="AA2355">
        <v>0.97343579999999996</v>
      </c>
      <c r="AB2355">
        <v>61</v>
      </c>
      <c r="AC2355">
        <v>25.959499999999899</v>
      </c>
      <c r="AD2355">
        <v>-1.10818676518599</v>
      </c>
      <c r="AE2355">
        <v>-5.4268999999999803</v>
      </c>
      <c r="AF2355">
        <v>6.20272201237412</v>
      </c>
      <c r="AG2355">
        <v>-1.10818676518599</v>
      </c>
      <c r="AH2355">
        <v>25.737587019612501</v>
      </c>
      <c r="AI2355">
        <v>92.396927997824704</v>
      </c>
      <c r="AJ2355">
        <v>76.4501804520485</v>
      </c>
      <c r="AK2355">
        <v>26.497645628648801</v>
      </c>
    </row>
    <row r="2356" spans="1:37" x14ac:dyDescent="0.2">
      <c r="A2356" t="str">
        <f>"20200111154112027"</f>
        <v>20200111154112027</v>
      </c>
      <c r="B2356" t="str">
        <f>"1578728472018978"</f>
        <v>1578728472018978</v>
      </c>
      <c r="C2356" t="s">
        <v>37</v>
      </c>
      <c r="D2356">
        <v>5.4763419999999998</v>
      </c>
      <c r="E2356">
        <v>0.59447629999999996</v>
      </c>
      <c r="F2356" t="s">
        <v>44</v>
      </c>
      <c r="G2356">
        <v>-345.51260000000002</v>
      </c>
      <c r="H2356" s="1">
        <v>1.39673399999999E-6</v>
      </c>
      <c r="I2356">
        <v>209.82550000000001</v>
      </c>
      <c r="J2356">
        <v>-372.40440000000001</v>
      </c>
      <c r="K2356">
        <v>1.108169</v>
      </c>
      <c r="L2356">
        <v>215.48089999999999</v>
      </c>
      <c r="M2356">
        <v>0.99952469999999904</v>
      </c>
      <c r="N2356">
        <v>0</v>
      </c>
      <c r="O2356">
        <v>3.0199409999999999E-2</v>
      </c>
      <c r="P2356">
        <v>0.99655839999999996</v>
      </c>
      <c r="Q2356">
        <v>7.0304229999999995E-2</v>
      </c>
      <c r="R2356">
        <v>4.392041E-2</v>
      </c>
      <c r="S2356">
        <v>3.0462950000000002</v>
      </c>
      <c r="T2356">
        <v>-0.1226052</v>
      </c>
      <c r="U2356">
        <v>-0.62353519999999996</v>
      </c>
      <c r="V2356">
        <v>-1.376195E-2</v>
      </c>
      <c r="W2356">
        <v>7.6502669999999995E-2</v>
      </c>
      <c r="X2356">
        <v>0.99697440000000004</v>
      </c>
      <c r="Y2356">
        <v>0.22982150000000001</v>
      </c>
      <c r="Z2356">
        <v>-5.7789099999999999E-3</v>
      </c>
      <c r="AA2356">
        <v>0.97321559999999996</v>
      </c>
      <c r="AB2356">
        <v>61</v>
      </c>
      <c r="AC2356">
        <v>26.8917999999999</v>
      </c>
      <c r="AD2356">
        <v>-1.1081676032659999</v>
      </c>
      <c r="AE2356">
        <v>-5.6553999999999798</v>
      </c>
      <c r="AF2356">
        <v>6.4544562202668496</v>
      </c>
      <c r="AG2356">
        <v>-1.1081676032659999</v>
      </c>
      <c r="AH2356">
        <v>26.665377525701398</v>
      </c>
      <c r="AI2356">
        <v>92.313025521996593</v>
      </c>
      <c r="AJ2356">
        <v>76.393052963802504</v>
      </c>
      <c r="AK2356">
        <v>27.457793049049901</v>
      </c>
    </row>
    <row r="2357" spans="1:37" x14ac:dyDescent="0.2">
      <c r="A2357" t="str">
        <f>"20200111154112051"</f>
        <v>20200111154112051</v>
      </c>
      <c r="B2357" t="str">
        <f>"1578728472048258"</f>
        <v>1578728472048258</v>
      </c>
      <c r="C2357" t="s">
        <v>37</v>
      </c>
      <c r="D2357">
        <v>5.4022239999999897</v>
      </c>
      <c r="E2357">
        <v>0.5742505</v>
      </c>
      <c r="F2357" t="s">
        <v>44</v>
      </c>
      <c r="G2357">
        <v>-344.26929999999999</v>
      </c>
      <c r="H2357" s="1">
        <v>7.3510059999999896E-7</v>
      </c>
      <c r="I2357">
        <v>209.71129999999999</v>
      </c>
      <c r="J2357">
        <v>-371.76639999999998</v>
      </c>
      <c r="K2357">
        <v>1.1081490000000001</v>
      </c>
      <c r="L2357">
        <v>215.50020000000001</v>
      </c>
      <c r="M2357">
        <v>0.99953060000000005</v>
      </c>
      <c r="N2357">
        <v>0</v>
      </c>
      <c r="O2357">
        <v>2.9997820000000001E-2</v>
      </c>
      <c r="P2357">
        <v>0.99654849999999995</v>
      </c>
      <c r="Q2357">
        <v>7.010798E-2</v>
      </c>
      <c r="R2357">
        <v>4.4454220000000003E-2</v>
      </c>
      <c r="S2357">
        <v>3.0463559999999998</v>
      </c>
      <c r="T2357">
        <v>-0.119988</v>
      </c>
      <c r="U2357">
        <v>-0.62471009999999905</v>
      </c>
      <c r="V2357">
        <v>-1.449376E-2</v>
      </c>
      <c r="W2357">
        <v>7.6337219999999997E-2</v>
      </c>
      <c r="X2357">
        <v>0.99697669999999905</v>
      </c>
      <c r="Y2357">
        <v>0.22999020000000001</v>
      </c>
      <c r="Z2357">
        <v>-5.6507419999999899E-3</v>
      </c>
      <c r="AA2357">
        <v>0.973176499999999</v>
      </c>
      <c r="AB2357">
        <v>61</v>
      </c>
      <c r="AC2357">
        <v>27.4970999999999</v>
      </c>
      <c r="AD2357">
        <v>-1.1081482648994001</v>
      </c>
      <c r="AE2357">
        <v>-5.7889000000000097</v>
      </c>
      <c r="AF2357">
        <v>6.6008979606645504</v>
      </c>
      <c r="AG2357">
        <v>-1.1081482648994001</v>
      </c>
      <c r="AH2357">
        <v>27.268658750682899</v>
      </c>
      <c r="AI2357">
        <v>92.261859496099504</v>
      </c>
      <c r="AJ2357">
        <v>76.392228807905099</v>
      </c>
      <c r="AK2357">
        <v>28.078098164322</v>
      </c>
    </row>
    <row r="2358" spans="1:37" x14ac:dyDescent="0.2">
      <c r="A2358" t="str">
        <f>"20200111154112071"</f>
        <v>20200111154112071</v>
      </c>
      <c r="B2358" t="str">
        <f>"1578728472068753"</f>
        <v>1578728472068753</v>
      </c>
      <c r="C2358" t="s">
        <v>37</v>
      </c>
      <c r="D2358">
        <v>5.4187810000000001</v>
      </c>
      <c r="E2358">
        <v>0.55368319999999904</v>
      </c>
      <c r="F2358" t="s">
        <v>44</v>
      </c>
      <c r="G2358">
        <v>-354.64659999999998</v>
      </c>
      <c r="H2358" s="1">
        <v>1.0110050000000001E-6</v>
      </c>
      <c r="I2358">
        <v>212.89869999999999</v>
      </c>
      <c r="J2358">
        <v>-371.21140000000003</v>
      </c>
      <c r="K2358">
        <v>1.1081319999999999</v>
      </c>
      <c r="L2358">
        <v>215.51689999999999</v>
      </c>
      <c r="M2358">
        <v>0.99953579999999997</v>
      </c>
      <c r="N2358">
        <v>0</v>
      </c>
      <c r="O2358">
        <v>2.9820590000000001E-2</v>
      </c>
      <c r="P2358">
        <v>0.99654259999999995</v>
      </c>
      <c r="Q2358">
        <v>6.9948759999999999E-2</v>
      </c>
      <c r="R2358">
        <v>4.4838049999999997E-2</v>
      </c>
      <c r="S2358">
        <v>3.0448909999999998</v>
      </c>
      <c r="T2358">
        <v>-0.1970935</v>
      </c>
      <c r="U2358">
        <v>-0.46270749999999999</v>
      </c>
      <c r="V2358">
        <v>-1.505154E-2</v>
      </c>
      <c r="W2358">
        <v>7.6205040000000002E-2</v>
      </c>
      <c r="X2358">
        <v>0.99697860000000005</v>
      </c>
      <c r="Y2358">
        <v>0.179225</v>
      </c>
      <c r="Z2358">
        <v>-7.6796950000000003E-3</v>
      </c>
      <c r="AA2358">
        <v>0.98377809999999899</v>
      </c>
      <c r="AB2358">
        <v>61</v>
      </c>
      <c r="AC2358">
        <v>16.564800000000002</v>
      </c>
      <c r="AD2358">
        <v>-1.108130988995</v>
      </c>
      <c r="AE2358">
        <v>-2.6181999999999999</v>
      </c>
      <c r="AF2358">
        <v>3.0974933194362899</v>
      </c>
      <c r="AG2358">
        <v>-1.108130988995</v>
      </c>
      <c r="AH2358">
        <v>16.407717325026098</v>
      </c>
      <c r="AI2358">
        <v>93.796863746954202</v>
      </c>
      <c r="AJ2358">
        <v>79.309363475330898</v>
      </c>
      <c r="AK2358">
        <v>16.734264458609601</v>
      </c>
    </row>
    <row r="2359" spans="1:37" x14ac:dyDescent="0.2">
      <c r="A2359" t="str">
        <f>"20200111154112095"</f>
        <v>20200111154112095</v>
      </c>
      <c r="B2359" t="str">
        <f>"1578728472088273"</f>
        <v>1578728472088273</v>
      </c>
      <c r="C2359" t="s">
        <v>37</v>
      </c>
      <c r="D2359">
        <v>5.3733219999999999</v>
      </c>
      <c r="E2359">
        <v>0.54490419999999995</v>
      </c>
      <c r="F2359" t="s">
        <v>38</v>
      </c>
      <c r="G2359">
        <v>-370.14980000000003</v>
      </c>
      <c r="H2359">
        <v>1.0435969999999899</v>
      </c>
      <c r="I2359">
        <v>215.4128</v>
      </c>
      <c r="J2359">
        <v>-370.57760000000002</v>
      </c>
      <c r="K2359">
        <v>1.108114</v>
      </c>
      <c r="L2359">
        <v>215.53579999999999</v>
      </c>
      <c r="M2359">
        <v>0.99954159999999903</v>
      </c>
      <c r="N2359">
        <v>0</v>
      </c>
      <c r="O2359">
        <v>2.9617290000000001E-2</v>
      </c>
      <c r="P2359">
        <v>0.9965659</v>
      </c>
      <c r="Q2359">
        <v>6.9495539999999995E-2</v>
      </c>
      <c r="R2359">
        <v>4.5023809999999997E-2</v>
      </c>
      <c r="S2359">
        <v>3.036743</v>
      </c>
      <c r="T2359">
        <v>-0.1846787</v>
      </c>
      <c r="U2359">
        <v>-0.29711909999999903</v>
      </c>
      <c r="V2359">
        <v>-1.543711E-2</v>
      </c>
      <c r="W2359">
        <v>7.5782370000000002E-2</v>
      </c>
      <c r="X2359">
        <v>0.99700489999999997</v>
      </c>
      <c r="Y2359">
        <v>0.1265249</v>
      </c>
      <c r="Z2359">
        <v>-5.6303239999999999E-3</v>
      </c>
      <c r="AA2359">
        <v>0.99194749999999998</v>
      </c>
      <c r="AB2359">
        <v>61</v>
      </c>
      <c r="AC2359">
        <v>0.42779999999999002</v>
      </c>
      <c r="AD2359">
        <v>-6.4517000000000102E-2</v>
      </c>
      <c r="AE2359">
        <v>-0.12299999999999001</v>
      </c>
      <c r="AF2359">
        <v>0.132826232811498</v>
      </c>
      <c r="AG2359">
        <v>-6.4517000000000102E-2</v>
      </c>
      <c r="AH2359">
        <v>0.41524608608596397</v>
      </c>
      <c r="AI2359">
        <v>98.417769483137207</v>
      </c>
      <c r="AJ2359">
        <v>72.261901547118796</v>
      </c>
      <c r="AK2359">
        <v>0.44072050487991299</v>
      </c>
    </row>
    <row r="2360" spans="1:37" x14ac:dyDescent="0.2">
      <c r="A2360" t="str">
        <f>"20200111154112117"</f>
        <v>20200111154112117</v>
      </c>
      <c r="B2360" t="str">
        <f>"1578728472108769"</f>
        <v>1578728472108769</v>
      </c>
      <c r="C2360" t="s">
        <v>37</v>
      </c>
      <c r="D2360">
        <v>5.275334</v>
      </c>
      <c r="E2360">
        <v>0.54116909999999996</v>
      </c>
      <c r="F2360" t="s">
        <v>38</v>
      </c>
      <c r="G2360">
        <v>-369.59679999999997</v>
      </c>
      <c r="H2360">
        <v>1.052495</v>
      </c>
      <c r="I2360">
        <v>215.4623</v>
      </c>
      <c r="J2360">
        <v>-369.93959999999998</v>
      </c>
      <c r="K2360">
        <v>1.1080969999999899</v>
      </c>
      <c r="L2360">
        <v>215.5547</v>
      </c>
      <c r="M2360">
        <v>0.99954750000000003</v>
      </c>
      <c r="N2360">
        <v>0</v>
      </c>
      <c r="O2360">
        <v>2.9412110000000002E-2</v>
      </c>
      <c r="P2360">
        <v>0.99663099999999905</v>
      </c>
      <c r="Q2360">
        <v>6.8972359999999996E-2</v>
      </c>
      <c r="R2360">
        <v>4.4378439999999998E-2</v>
      </c>
      <c r="S2360">
        <v>3.032562</v>
      </c>
      <c r="T2360">
        <v>-0.17210599999999901</v>
      </c>
      <c r="U2360">
        <v>-0.226577799999999</v>
      </c>
      <c r="V2360">
        <v>-1.499317E-2</v>
      </c>
      <c r="W2360">
        <v>7.5288809999999998E-2</v>
      </c>
      <c r="X2360">
        <v>0.99704899999999996</v>
      </c>
      <c r="Y2360">
        <v>0.10359309999999999</v>
      </c>
      <c r="Z2360">
        <v>-4.5990179999999999E-3</v>
      </c>
      <c r="AA2360">
        <v>0.99460910000000002</v>
      </c>
      <c r="AB2360">
        <v>61</v>
      </c>
      <c r="AC2360">
        <v>0.34280000000001098</v>
      </c>
      <c r="AD2360">
        <v>-5.56019999999997E-2</v>
      </c>
      <c r="AE2360">
        <v>-9.2399999999997803E-2</v>
      </c>
      <c r="AF2360">
        <v>9.9990262491798904E-2</v>
      </c>
      <c r="AG2360">
        <v>-5.56019999999997E-2</v>
      </c>
      <c r="AH2360">
        <v>0.33179608816920397</v>
      </c>
      <c r="AI2360">
        <v>99.115481600989696</v>
      </c>
      <c r="AJ2360">
        <v>73.229263629578298</v>
      </c>
      <c r="AK2360">
        <v>0.35096763258392499</v>
      </c>
    </row>
    <row r="2361" spans="1:37" x14ac:dyDescent="0.2">
      <c r="A2361" t="str">
        <f>"20200111154112140"</f>
        <v>20200111154112140</v>
      </c>
      <c r="B2361" t="str">
        <f>"1578728472128289"</f>
        <v>1578728472128289</v>
      </c>
      <c r="C2361" t="s">
        <v>37</v>
      </c>
      <c r="D2361">
        <v>5.2632649999999996</v>
      </c>
      <c r="E2361">
        <v>0.53948079999999998</v>
      </c>
      <c r="F2361" t="s">
        <v>44</v>
      </c>
      <c r="G2361">
        <v>-350.08789999999999</v>
      </c>
      <c r="H2361" s="1">
        <v>-1.474285E-6</v>
      </c>
      <c r="I2361">
        <v>214.2561</v>
      </c>
      <c r="J2361">
        <v>-369.31740000000002</v>
      </c>
      <c r="K2361">
        <v>1.1080840000000001</v>
      </c>
      <c r="L2361">
        <v>215.57299999999901</v>
      </c>
      <c r="M2361">
        <v>0.99955289999999997</v>
      </c>
      <c r="N2361">
        <v>0</v>
      </c>
      <c r="O2361">
        <v>2.9219120000000001E-2</v>
      </c>
      <c r="P2361">
        <v>0.99670230000000004</v>
      </c>
      <c r="Q2361">
        <v>6.8498519999999993E-2</v>
      </c>
      <c r="R2361">
        <v>4.3503809999999997E-2</v>
      </c>
      <c r="S2361">
        <v>3.0306700000000002</v>
      </c>
      <c r="T2361">
        <v>-0.16916779999999901</v>
      </c>
      <c r="U2361">
        <v>-0.198257399999999</v>
      </c>
      <c r="V2361">
        <v>-1.4308080000000001E-2</v>
      </c>
      <c r="W2361">
        <v>7.4843759999999995E-2</v>
      </c>
      <c r="X2361">
        <v>0.9970926</v>
      </c>
      <c r="Y2361">
        <v>9.421562E-2</v>
      </c>
      <c r="Z2361">
        <v>-4.252863E-3</v>
      </c>
      <c r="AA2361">
        <v>0.9955427</v>
      </c>
      <c r="AB2361">
        <v>62</v>
      </c>
      <c r="AC2361">
        <v>19.229500000000002</v>
      </c>
      <c r="AD2361">
        <v>-1.1080854742849999</v>
      </c>
      <c r="AE2361">
        <v>-1.31689999999997</v>
      </c>
      <c r="AF2361">
        <v>1.8720309130620101</v>
      </c>
      <c r="AG2361">
        <v>-1.1080854742849999</v>
      </c>
      <c r="AH2361">
        <v>19.119618464253499</v>
      </c>
      <c r="AI2361">
        <v>93.301139971563202</v>
      </c>
      <c r="AJ2361">
        <v>84.4079075015092</v>
      </c>
      <c r="AK2361">
        <v>19.242976988408099</v>
      </c>
    </row>
    <row r="2362" spans="1:37" x14ac:dyDescent="0.2">
      <c r="A2362" t="str">
        <f>"20200111154112161"</f>
        <v>20200111154112161</v>
      </c>
      <c r="B2362" t="str">
        <f>"1578728472158545"</f>
        <v>1578728472158545</v>
      </c>
      <c r="C2362" t="s">
        <v>37</v>
      </c>
      <c r="D2362">
        <v>5.296373</v>
      </c>
      <c r="E2362">
        <v>0.53797379999999995</v>
      </c>
      <c r="F2362" t="s">
        <v>44</v>
      </c>
      <c r="G2362">
        <v>-349.5951</v>
      </c>
      <c r="H2362" s="1">
        <v>3.5692410000000001E-6</v>
      </c>
      <c r="I2362">
        <v>214.35480000000001</v>
      </c>
      <c r="J2362">
        <v>-368.73939999999999</v>
      </c>
      <c r="K2362">
        <v>1.108079</v>
      </c>
      <c r="L2362">
        <v>215.59</v>
      </c>
      <c r="M2362">
        <v>0.99955740000000004</v>
      </c>
      <c r="N2362">
        <v>0</v>
      </c>
      <c r="O2362">
        <v>2.9058580000000001E-2</v>
      </c>
      <c r="P2362">
        <v>0.99681559999999902</v>
      </c>
      <c r="Q2362">
        <v>6.7728209999999997E-2</v>
      </c>
      <c r="R2362">
        <v>4.2090830000000003E-2</v>
      </c>
      <c r="S2362">
        <v>3.02975499999999</v>
      </c>
      <c r="T2362">
        <v>-0.17022399999999999</v>
      </c>
      <c r="U2362">
        <v>-0.18714900000000001</v>
      </c>
      <c r="V2362">
        <v>-1.30536E-2</v>
      </c>
      <c r="W2362">
        <v>7.4099109999999996E-2</v>
      </c>
      <c r="X2362">
        <v>0.99716539999999998</v>
      </c>
      <c r="Y2362">
        <v>9.0442899999999896E-2</v>
      </c>
      <c r="Z2362">
        <v>-4.166332E-3</v>
      </c>
      <c r="AA2362">
        <v>0.99589289999999997</v>
      </c>
      <c r="AB2362">
        <v>62</v>
      </c>
      <c r="AC2362">
        <v>19.144299999999902</v>
      </c>
      <c r="AD2362">
        <v>-1.1080754307589999</v>
      </c>
      <c r="AE2362">
        <v>-1.2351999999999901</v>
      </c>
      <c r="AF2362">
        <v>1.7850405347443901</v>
      </c>
      <c r="AG2362">
        <v>-1.1080754307589999</v>
      </c>
      <c r="AH2362">
        <v>19.036810237762101</v>
      </c>
      <c r="AI2362">
        <v>93.316739664910997</v>
      </c>
      <c r="AJ2362">
        <v>84.643161832179004</v>
      </c>
      <c r="AK2362">
        <v>19.152397889024201</v>
      </c>
    </row>
    <row r="2363" spans="1:37" x14ac:dyDescent="0.2">
      <c r="A2363" t="str">
        <f>"20200111154112182"</f>
        <v>20200111154112182</v>
      </c>
      <c r="B2363" t="str">
        <f>"1578728472178065"</f>
        <v>1578728472178065</v>
      </c>
      <c r="C2363" t="s">
        <v>37</v>
      </c>
      <c r="D2363">
        <v>5.3010699999999904</v>
      </c>
      <c r="E2363">
        <v>0.53753130000000005</v>
      </c>
      <c r="F2363" t="s">
        <v>44</v>
      </c>
      <c r="G2363">
        <v>-348.83099999999899</v>
      </c>
      <c r="H2363" s="1">
        <v>3.1626220000000002E-6</v>
      </c>
      <c r="I2363">
        <v>214.41099999999901</v>
      </c>
      <c r="J2363">
        <v>-368.13209999999998</v>
      </c>
      <c r="K2363">
        <v>1.108088</v>
      </c>
      <c r="L2363">
        <v>215.60769999999999</v>
      </c>
      <c r="M2363">
        <v>0.99956129999999999</v>
      </c>
      <c r="N2363">
        <v>0</v>
      </c>
      <c r="O2363">
        <v>2.8919879999999999E-2</v>
      </c>
      <c r="P2363">
        <v>0.996923</v>
      </c>
      <c r="Q2363">
        <v>6.6860420000000004E-2</v>
      </c>
      <c r="R2363">
        <v>4.0920570000000003E-2</v>
      </c>
      <c r="S2363">
        <v>3.0286249999999999</v>
      </c>
      <c r="T2363">
        <v>-0.168569</v>
      </c>
      <c r="U2363">
        <v>-0.17935179999999901</v>
      </c>
      <c r="V2363">
        <v>-1.2022059999999999E-2</v>
      </c>
      <c r="W2363">
        <v>7.325835E-2</v>
      </c>
      <c r="X2363">
        <v>0.99724049999999997</v>
      </c>
      <c r="Y2363">
        <v>8.7780419999999998E-2</v>
      </c>
      <c r="Z2363">
        <v>-4.0460440000000004E-3</v>
      </c>
      <c r="AA2363">
        <v>0.99613169999999995</v>
      </c>
      <c r="AB2363">
        <v>62</v>
      </c>
      <c r="AC2363">
        <v>19.301100000000002</v>
      </c>
      <c r="AD2363">
        <v>-1.1080848373779999</v>
      </c>
      <c r="AE2363">
        <v>-1.1967000000000201</v>
      </c>
      <c r="AF2363">
        <v>1.7486549107731</v>
      </c>
      <c r="AG2363">
        <v>-1.1080848373779999</v>
      </c>
      <c r="AH2363">
        <v>19.195392564847801</v>
      </c>
      <c r="AI2363">
        <v>93.2902301004452</v>
      </c>
      <c r="AJ2363">
        <v>84.794856907387199</v>
      </c>
      <c r="AK2363">
        <v>19.306701989786099</v>
      </c>
    </row>
    <row r="2364" spans="1:37" x14ac:dyDescent="0.2">
      <c r="A2364" t="str">
        <f>"20200111154112206"</f>
        <v>20200111154112206</v>
      </c>
      <c r="B2364" t="str">
        <f>"1578728472198561"</f>
        <v>1578728472198561</v>
      </c>
      <c r="C2364" t="s">
        <v>37</v>
      </c>
      <c r="D2364">
        <v>5.2970480000000002</v>
      </c>
      <c r="E2364">
        <v>0.53703819999999902</v>
      </c>
      <c r="F2364" t="s">
        <v>44</v>
      </c>
      <c r="G2364">
        <v>-348.40230000000003</v>
      </c>
      <c r="H2364" s="1">
        <v>2.9344919999999998E-6</v>
      </c>
      <c r="I2364">
        <v>214.43969999999999</v>
      </c>
      <c r="J2364">
        <v>-367.4864</v>
      </c>
      <c r="K2364">
        <v>1.108106</v>
      </c>
      <c r="L2364">
        <v>215.62639999999999</v>
      </c>
      <c r="M2364">
        <v>0.99956420000000001</v>
      </c>
      <c r="N2364">
        <v>0</v>
      </c>
      <c r="O2364">
        <v>2.881011E-2</v>
      </c>
      <c r="P2364">
        <v>0.99692109999999901</v>
      </c>
      <c r="Q2364">
        <v>6.7148760000000002E-2</v>
      </c>
      <c r="R2364">
        <v>4.0489219999999999E-2</v>
      </c>
      <c r="S2364">
        <v>3.0280149999999999</v>
      </c>
      <c r="T2364">
        <v>-0.17006189999999999</v>
      </c>
      <c r="U2364">
        <v>-0.17926029999999901</v>
      </c>
      <c r="V2364">
        <v>-1.1703669999999999E-2</v>
      </c>
      <c r="W2364">
        <v>7.3574600000000004E-2</v>
      </c>
      <c r="X2364">
        <v>0.99722109999999997</v>
      </c>
      <c r="Y2364">
        <v>8.7649969999999994E-2</v>
      </c>
      <c r="Z2364">
        <v>-4.072834E-3</v>
      </c>
      <c r="AA2364">
        <v>0.996143</v>
      </c>
      <c r="AB2364">
        <v>62</v>
      </c>
      <c r="AC2364">
        <v>19.0840999999999</v>
      </c>
      <c r="AD2364">
        <v>-1.108103065508</v>
      </c>
      <c r="AE2364">
        <v>-1.1867000000000001</v>
      </c>
      <c r="AF2364">
        <v>1.7302228878760699</v>
      </c>
      <c r="AG2364">
        <v>-1.108103065508</v>
      </c>
      <c r="AH2364">
        <v>18.978250445879201</v>
      </c>
      <c r="AI2364">
        <v>93.327824853533997</v>
      </c>
      <c r="AJ2364">
        <v>84.7908174582264</v>
      </c>
      <c r="AK2364">
        <v>19.089147535498601</v>
      </c>
    </row>
    <row r="2365" spans="1:37" x14ac:dyDescent="0.2">
      <c r="A2365" t="str">
        <f>"20200111154112228"</f>
        <v>20200111154112228</v>
      </c>
      <c r="B2365" t="str">
        <f>"1578728472218081"</f>
        <v>1578728472218081</v>
      </c>
      <c r="C2365" t="s">
        <v>37</v>
      </c>
      <c r="D2365">
        <v>5.3583379999999998</v>
      </c>
      <c r="E2365">
        <v>0.53621260000000004</v>
      </c>
      <c r="F2365" t="s">
        <v>38</v>
      </c>
      <c r="G2365">
        <v>-366.28289999999998</v>
      </c>
      <c r="H2365">
        <v>1.0401940000000001</v>
      </c>
      <c r="I2365">
        <v>215.55609999999999</v>
      </c>
      <c r="J2365">
        <v>-366.85120000000001</v>
      </c>
      <c r="K2365">
        <v>1.108128</v>
      </c>
      <c r="L2365">
        <v>215.6448</v>
      </c>
      <c r="M2365">
        <v>0.99956630000000002</v>
      </c>
      <c r="N2365">
        <v>0</v>
      </c>
      <c r="O2365">
        <v>2.873763E-2</v>
      </c>
      <c r="P2365">
        <v>0.99692630000000004</v>
      </c>
      <c r="Q2365">
        <v>6.7273410000000006E-2</v>
      </c>
      <c r="R2365">
        <v>4.0157640000000001E-2</v>
      </c>
      <c r="S2365">
        <v>3.0279539999999998</v>
      </c>
      <c r="T2365">
        <v>-0.17088809999999999</v>
      </c>
      <c r="U2365">
        <v>-0.1767273</v>
      </c>
      <c r="V2365">
        <v>-1.1449610000000001E-2</v>
      </c>
      <c r="W2365">
        <v>7.3727230000000005E-2</v>
      </c>
      <c r="X2365">
        <v>0.99721269999999995</v>
      </c>
      <c r="Y2365">
        <v>8.6748229999999996E-2</v>
      </c>
      <c r="Z2365">
        <v>-4.063278E-3</v>
      </c>
      <c r="AA2365">
        <v>0.99622199999999905</v>
      </c>
      <c r="AB2365">
        <v>62</v>
      </c>
      <c r="AC2365">
        <v>0.56830000000002201</v>
      </c>
      <c r="AD2365">
        <v>-6.7933999999999897E-2</v>
      </c>
      <c r="AE2365">
        <v>-8.8700000000017099E-2</v>
      </c>
      <c r="AF2365">
        <v>0.103550790721586</v>
      </c>
      <c r="AG2365">
        <v>-6.7933999999999897E-2</v>
      </c>
      <c r="AH2365">
        <v>0.55773592471508004</v>
      </c>
      <c r="AI2365">
        <v>96.829025528607701</v>
      </c>
      <c r="AJ2365">
        <v>79.482069533137803</v>
      </c>
      <c r="AK2365">
        <v>0.57132053729307797</v>
      </c>
    </row>
    <row r="2366" spans="1:37" x14ac:dyDescent="0.2">
      <c r="A2366" t="str">
        <f>"20200111154112250"</f>
        <v>20200111154112250</v>
      </c>
      <c r="B2366" t="str">
        <f>"1578728472238577"</f>
        <v>1578728472238577</v>
      </c>
      <c r="C2366" t="s">
        <v>37</v>
      </c>
      <c r="D2366">
        <v>5.3222620000000003</v>
      </c>
      <c r="E2366">
        <v>0.4942317</v>
      </c>
      <c r="F2366" t="s">
        <v>38</v>
      </c>
      <c r="G2366">
        <v>-365.7244</v>
      </c>
      <c r="H2366">
        <v>1.043577</v>
      </c>
      <c r="I2366">
        <v>215.58080000000001</v>
      </c>
      <c r="J2366">
        <v>-366.24599999999998</v>
      </c>
      <c r="K2366">
        <v>1.108155</v>
      </c>
      <c r="L2366">
        <v>215.66220000000001</v>
      </c>
      <c r="M2366">
        <v>0.99956699999999998</v>
      </c>
      <c r="N2366">
        <v>0</v>
      </c>
      <c r="O2366">
        <v>2.8703739999999998E-2</v>
      </c>
      <c r="P2366">
        <v>0.99691169999999996</v>
      </c>
      <c r="Q2366">
        <v>6.7169989999999999E-2</v>
      </c>
      <c r="R2366">
        <v>4.0687109999999999E-2</v>
      </c>
      <c r="S2366">
        <v>3.027863</v>
      </c>
      <c r="T2366">
        <v>-0.17357049999999999</v>
      </c>
      <c r="U2366">
        <v>-0.17094419999999999</v>
      </c>
      <c r="V2366">
        <v>-1.201791E-2</v>
      </c>
      <c r="W2366">
        <v>7.3650670000000001E-2</v>
      </c>
      <c r="X2366">
        <v>0.99721170000000003</v>
      </c>
      <c r="Y2366">
        <v>8.4816929999999999E-2</v>
      </c>
      <c r="Z2366">
        <v>-4.0700889999999998E-3</v>
      </c>
      <c r="AA2366">
        <v>0.9963883</v>
      </c>
      <c r="AB2366">
        <v>62</v>
      </c>
      <c r="AC2366">
        <v>0.52159999999997797</v>
      </c>
      <c r="AD2366">
        <v>-6.4577999999999997E-2</v>
      </c>
      <c r="AE2366">
        <v>-8.1400000000002096E-2</v>
      </c>
      <c r="AF2366">
        <v>9.4918298387873704E-2</v>
      </c>
      <c r="AG2366">
        <v>-6.4577999999999997E-2</v>
      </c>
      <c r="AH2366">
        <v>0.51139607559965705</v>
      </c>
      <c r="AI2366">
        <v>97.077475234393603</v>
      </c>
      <c r="AJ2366">
        <v>79.485200444448395</v>
      </c>
      <c r="AK2366">
        <v>0.52412379033161605</v>
      </c>
    </row>
    <row r="2367" spans="1:37" x14ac:dyDescent="0.2">
      <c r="A2367" t="str">
        <f>"20200111154112271"</f>
        <v>20200111154112271</v>
      </c>
      <c r="B2367" t="str">
        <f>"1578728472268833"</f>
        <v>1578728472268833</v>
      </c>
      <c r="C2367" t="s">
        <v>37</v>
      </c>
      <c r="D2367">
        <v>5.2615980000000002</v>
      </c>
      <c r="E2367">
        <v>0.48740329999999898</v>
      </c>
      <c r="F2367" t="s">
        <v>44</v>
      </c>
      <c r="G2367">
        <v>-346.62360000000001</v>
      </c>
      <c r="H2367" s="1">
        <v>1.98795899999999E-6</v>
      </c>
      <c r="I2367">
        <v>216.7381</v>
      </c>
      <c r="J2367">
        <v>-365.66329999999999</v>
      </c>
      <c r="K2367">
        <v>1.108182</v>
      </c>
      <c r="L2367">
        <v>215.67910000000001</v>
      </c>
      <c r="M2367">
        <v>0.99956639999999997</v>
      </c>
      <c r="N2367">
        <v>0</v>
      </c>
      <c r="O2367">
        <v>2.8718569999999999E-2</v>
      </c>
      <c r="P2367">
        <v>0.99687839999999905</v>
      </c>
      <c r="Q2367">
        <v>6.7011559999999998E-2</v>
      </c>
      <c r="R2367">
        <v>4.1754359999999997E-2</v>
      </c>
      <c r="S2367">
        <v>3.014008</v>
      </c>
      <c r="T2367">
        <v>-0.17021240000000001</v>
      </c>
      <c r="U2367">
        <v>0.1652527</v>
      </c>
      <c r="V2367">
        <v>-1.3077460000000001E-2</v>
      </c>
      <c r="W2367">
        <v>7.3518E-2</v>
      </c>
      <c r="X2367">
        <v>0.99720810000000004</v>
      </c>
      <c r="Y2367">
        <v>-2.6051540000000002E-2</v>
      </c>
      <c r="Z2367">
        <v>-8.844123E-4</v>
      </c>
      <c r="AA2367">
        <v>0.999660199999999</v>
      </c>
      <c r="AB2367">
        <v>62</v>
      </c>
      <c r="AC2367">
        <v>19.0396999999999</v>
      </c>
      <c r="AD2367">
        <v>-1.1081800120409999</v>
      </c>
      <c r="AE2367">
        <v>1.0589999999999899</v>
      </c>
      <c r="AF2367">
        <v>-0.51003617013368296</v>
      </c>
      <c r="AG2367">
        <v>-1.1081800120409999</v>
      </c>
      <c r="AH2367">
        <v>18.998099400459601</v>
      </c>
      <c r="AI2367">
        <v>93.337143266187695</v>
      </c>
      <c r="AJ2367">
        <v>91.537832896256006</v>
      </c>
      <c r="AK2367">
        <v>19.037226180924399</v>
      </c>
    </row>
    <row r="2368" spans="1:37" x14ac:dyDescent="0.2">
      <c r="A2368" t="str">
        <f>"20200111154112296"</f>
        <v>20200111154112296</v>
      </c>
      <c r="B2368" t="str">
        <f>"1578728472288354"</f>
        <v>1578728472288354</v>
      </c>
      <c r="C2368" t="s">
        <v>37</v>
      </c>
      <c r="D2368">
        <v>5.2428470000000003</v>
      </c>
      <c r="E2368">
        <v>0.48734659999999902</v>
      </c>
      <c r="F2368" t="s">
        <v>44</v>
      </c>
      <c r="G2368">
        <v>-345.0659</v>
      </c>
      <c r="H2368" s="1">
        <v>1.1590099999999999E-6</v>
      </c>
      <c r="I2368">
        <v>217.20480000000001</v>
      </c>
      <c r="J2368">
        <v>-364.98110000000003</v>
      </c>
      <c r="K2368">
        <v>1.108241</v>
      </c>
      <c r="L2368">
        <v>215.69880000000001</v>
      </c>
      <c r="M2368">
        <v>0.99956329999999904</v>
      </c>
      <c r="N2368">
        <v>0</v>
      </c>
      <c r="O2368">
        <v>2.8816660000000001E-2</v>
      </c>
      <c r="P2368">
        <v>0.9968439</v>
      </c>
      <c r="Q2368">
        <v>6.6786869999999998E-2</v>
      </c>
      <c r="R2368">
        <v>4.2921499999999897E-2</v>
      </c>
      <c r="S2368">
        <v>3.0109560000000002</v>
      </c>
      <c r="T2368">
        <v>-0.1619951</v>
      </c>
      <c r="U2368">
        <v>0.22303770000000001</v>
      </c>
      <c r="V2368">
        <v>-1.415801E-2</v>
      </c>
      <c r="W2368">
        <v>7.3322559999999995E-2</v>
      </c>
      <c r="X2368">
        <v>0.99720779999999998</v>
      </c>
      <c r="Y2368">
        <v>-4.5080389999999998E-2</v>
      </c>
      <c r="Z2368">
        <v>-3.3644140000000001E-4</v>
      </c>
      <c r="AA2368">
        <v>0.99898330000000002</v>
      </c>
      <c r="AB2368">
        <v>62</v>
      </c>
      <c r="AC2368">
        <v>19.915199999999999</v>
      </c>
      <c r="AD2368">
        <v>-1.1082398409899901</v>
      </c>
      <c r="AE2368">
        <v>1.506</v>
      </c>
      <c r="AF2368">
        <v>-0.92861344053136297</v>
      </c>
      <c r="AG2368">
        <v>-1.1082398409899901</v>
      </c>
      <c r="AH2368">
        <v>19.889087756519999</v>
      </c>
      <c r="AI2368">
        <v>93.185816724021095</v>
      </c>
      <c r="AJ2368">
        <v>92.673175400134795</v>
      </c>
      <c r="AK2368">
        <v>19.9415729132294</v>
      </c>
    </row>
    <row r="2369" spans="1:37" x14ac:dyDescent="0.2">
      <c r="A2369" t="str">
        <f>"20200111154112318"</f>
        <v>20200111154112318</v>
      </c>
      <c r="B2369" t="str">
        <f>"1578728472308849"</f>
        <v>1578728472308849</v>
      </c>
      <c r="C2369" t="s">
        <v>37</v>
      </c>
      <c r="D2369">
        <v>5.2632199999999996</v>
      </c>
      <c r="E2369">
        <v>0.48790240000000001</v>
      </c>
      <c r="F2369" t="s">
        <v>44</v>
      </c>
      <c r="G2369">
        <v>-344.19310000000002</v>
      </c>
      <c r="H2369" s="1">
        <v>6.9456180000000001E-7</v>
      </c>
      <c r="I2369">
        <v>217.2653</v>
      </c>
      <c r="J2369">
        <v>-364.34750000000003</v>
      </c>
      <c r="K2369">
        <v>1.108317</v>
      </c>
      <c r="L2369">
        <v>215.71719999999999</v>
      </c>
      <c r="M2369">
        <v>0.99955769999999899</v>
      </c>
      <c r="N2369">
        <v>0</v>
      </c>
      <c r="O2369">
        <v>2.9002440000000001E-2</v>
      </c>
      <c r="P2369">
        <v>0.99674889999999905</v>
      </c>
      <c r="Q2369">
        <v>6.7370849999999996E-2</v>
      </c>
      <c r="R2369">
        <v>4.4192330000000002E-2</v>
      </c>
      <c r="S2369">
        <v>3.0104980000000001</v>
      </c>
      <c r="T2369">
        <v>-0.160494</v>
      </c>
      <c r="U2369">
        <v>0.22685239999999901</v>
      </c>
      <c r="V2369">
        <v>-1.525953E-2</v>
      </c>
      <c r="W2369">
        <v>7.3932189999999995E-2</v>
      </c>
      <c r="X2369">
        <v>0.99714650000000005</v>
      </c>
      <c r="Y2369">
        <v>-4.6163849999999999E-2</v>
      </c>
      <c r="Z2369">
        <v>-3.1441230000000002E-4</v>
      </c>
      <c r="AA2369">
        <v>0.99893390000000004</v>
      </c>
      <c r="AB2369">
        <v>63</v>
      </c>
      <c r="AC2369">
        <v>20.154399999999999</v>
      </c>
      <c r="AD2369">
        <v>-1.1083163054381999</v>
      </c>
      <c r="AE2369">
        <v>1.5481</v>
      </c>
      <c r="AF2369">
        <v>-0.96002320662885898</v>
      </c>
      <c r="AG2369">
        <v>-1.1083163054381999</v>
      </c>
      <c r="AH2369">
        <v>20.1303033415074</v>
      </c>
      <c r="AI2369">
        <v>93.147787934766896</v>
      </c>
      <c r="AJ2369">
        <v>92.730392727197</v>
      </c>
      <c r="AK2369">
        <v>20.183635009860598</v>
      </c>
    </row>
    <row r="2370" spans="1:37" x14ac:dyDescent="0.2">
      <c r="A2370" t="str">
        <f>"20200111154112341"</f>
        <v>20200111154112341</v>
      </c>
      <c r="B2370" t="str">
        <f>"1578728472327949"</f>
        <v>1578728472327949</v>
      </c>
      <c r="C2370" t="s">
        <v>37</v>
      </c>
      <c r="D2370">
        <v>5.2745699999999998</v>
      </c>
      <c r="E2370">
        <v>0.48848549999999902</v>
      </c>
      <c r="F2370" t="s">
        <v>44</v>
      </c>
      <c r="G2370">
        <v>-343.11849999999998</v>
      </c>
      <c r="H2370" s="1">
        <v>1.2272859999999999E-7</v>
      </c>
      <c r="I2370">
        <v>217.31299999999999</v>
      </c>
      <c r="J2370">
        <v>-363.71080000000001</v>
      </c>
      <c r="K2370">
        <v>1.1084160000000001</v>
      </c>
      <c r="L2370">
        <v>215.73589999999999</v>
      </c>
      <c r="M2370">
        <v>0.99954900000000002</v>
      </c>
      <c r="N2370">
        <v>0</v>
      </c>
      <c r="O2370">
        <v>2.929462E-2</v>
      </c>
      <c r="P2370">
        <v>0.99667640000000002</v>
      </c>
      <c r="Q2370">
        <v>6.8588209999999997E-2</v>
      </c>
      <c r="R2370">
        <v>4.395363E-2</v>
      </c>
      <c r="S2370">
        <v>3.010345</v>
      </c>
      <c r="T2370">
        <v>-0.15716350000000001</v>
      </c>
      <c r="U2370">
        <v>0.22628779999999901</v>
      </c>
      <c r="V2370">
        <v>-1.474892E-2</v>
      </c>
      <c r="W2370">
        <v>7.5175179999999994E-2</v>
      </c>
      <c r="X2370">
        <v>0.99706130000000004</v>
      </c>
      <c r="Y2370">
        <v>-4.569136E-2</v>
      </c>
      <c r="Z2370">
        <v>-3.3543329999999999E-4</v>
      </c>
      <c r="AA2370">
        <v>0.9989555</v>
      </c>
      <c r="AB2370">
        <v>63</v>
      </c>
      <c r="AC2370">
        <v>20.592300000000002</v>
      </c>
      <c r="AD2370">
        <v>-1.1084158772713999</v>
      </c>
      <c r="AE2370">
        <v>1.5770999999999999</v>
      </c>
      <c r="AF2370">
        <v>-0.97037127346412899</v>
      </c>
      <c r="AG2370">
        <v>-1.1084158772713999</v>
      </c>
      <c r="AH2370">
        <v>20.5704119472549</v>
      </c>
      <c r="AI2370">
        <v>93.080922937431893</v>
      </c>
      <c r="AJ2370">
        <v>92.700820608213604</v>
      </c>
      <c r="AK2370">
        <v>20.623095156768301</v>
      </c>
    </row>
    <row r="2371" spans="1:37" x14ac:dyDescent="0.2">
      <c r="A2371" t="str">
        <f>"20200111154112363"</f>
        <v>20200111154112363</v>
      </c>
      <c r="B2371" t="str">
        <f>"1578728472358205"</f>
        <v>1578728472358205</v>
      </c>
      <c r="C2371" t="s">
        <v>37</v>
      </c>
      <c r="D2371">
        <v>5.273244</v>
      </c>
      <c r="E2371">
        <v>0.48879060000000002</v>
      </c>
      <c r="F2371" t="s">
        <v>44</v>
      </c>
      <c r="G2371">
        <v>-341.98410000000001</v>
      </c>
      <c r="H2371" s="1">
        <v>-4.8094180000000004E-7</v>
      </c>
      <c r="I2371">
        <v>217.3365</v>
      </c>
      <c r="J2371">
        <v>-363.11</v>
      </c>
      <c r="K2371">
        <v>1.108522</v>
      </c>
      <c r="L2371">
        <v>215.75360000000001</v>
      </c>
      <c r="M2371">
        <v>0.99953749999999997</v>
      </c>
      <c r="N2371">
        <v>0</v>
      </c>
      <c r="O2371">
        <v>2.9676330000000001E-2</v>
      </c>
      <c r="P2371">
        <v>0.99667299999999903</v>
      </c>
      <c r="Q2371">
        <v>6.9201150000000003E-2</v>
      </c>
      <c r="R2371">
        <v>4.3062650000000001E-2</v>
      </c>
      <c r="S2371">
        <v>3.010834</v>
      </c>
      <c r="T2371">
        <v>-0.15360219999999999</v>
      </c>
      <c r="U2371">
        <v>0.22181699999999999</v>
      </c>
      <c r="V2371">
        <v>-1.3496910000000001E-2</v>
      </c>
      <c r="W2371">
        <v>7.5811840000000005E-2</v>
      </c>
      <c r="X2371">
        <v>0.99703079999999999</v>
      </c>
      <c r="Y2371">
        <v>-4.382639E-2</v>
      </c>
      <c r="Z2371">
        <v>-3.947108E-4</v>
      </c>
      <c r="AA2371">
        <v>0.99903909999999996</v>
      </c>
      <c r="AB2371">
        <v>63</v>
      </c>
      <c r="AC2371">
        <v>21.125900000000001</v>
      </c>
      <c r="AD2371">
        <v>-1.1085224809417999</v>
      </c>
      <c r="AE2371">
        <v>1.58289999999999</v>
      </c>
      <c r="AF2371">
        <v>-0.95264149788141095</v>
      </c>
      <c r="AG2371">
        <v>-1.1085224809417999</v>
      </c>
      <c r="AH2371">
        <v>21.105783801934098</v>
      </c>
      <c r="AI2371">
        <v>93.003486249903105</v>
      </c>
      <c r="AJ2371">
        <v>92.584377629375595</v>
      </c>
      <c r="AK2371">
        <v>21.156333751579499</v>
      </c>
    </row>
    <row r="2372" spans="1:37" x14ac:dyDescent="0.2">
      <c r="A2372" t="str">
        <f>"20200111154112383"</f>
        <v>20200111154112383</v>
      </c>
      <c r="B2372" t="str">
        <f>"1578728472378702"</f>
        <v>1578728472378702</v>
      </c>
      <c r="C2372" t="s">
        <v>37</v>
      </c>
      <c r="D2372">
        <v>5.1900379999999897</v>
      </c>
      <c r="E2372">
        <v>0.48873169999999999</v>
      </c>
      <c r="F2372" t="s">
        <v>44</v>
      </c>
      <c r="G2372">
        <v>-340.70420000000001</v>
      </c>
      <c r="H2372" s="1">
        <v>-1.1620559999999999E-6</v>
      </c>
      <c r="I2372">
        <v>217.36940000000001</v>
      </c>
      <c r="J2372">
        <v>-362.52480000000003</v>
      </c>
      <c r="K2372">
        <v>1.108627</v>
      </c>
      <c r="L2372">
        <v>215.77119999999999</v>
      </c>
      <c r="M2372">
        <v>0.9995233</v>
      </c>
      <c r="N2372">
        <v>0</v>
      </c>
      <c r="O2372">
        <v>3.0147779999999999E-2</v>
      </c>
      <c r="P2372">
        <v>0.99673089999999998</v>
      </c>
      <c r="Q2372">
        <v>6.8545430000000004E-2</v>
      </c>
      <c r="R2372">
        <v>4.2768710000000001E-2</v>
      </c>
      <c r="S2372">
        <v>3.0109560000000002</v>
      </c>
      <c r="T2372">
        <v>-0.14896609999999999</v>
      </c>
      <c r="U2372">
        <v>0.21713260000000001</v>
      </c>
      <c r="V2372">
        <v>-1.275111E-2</v>
      </c>
      <c r="W2372">
        <v>7.5180880000000005E-2</v>
      </c>
      <c r="X2372">
        <v>0.99708839999999999</v>
      </c>
      <c r="Y2372">
        <v>-4.1810140000000003E-2</v>
      </c>
      <c r="Z2372">
        <v>-4.558691E-4</v>
      </c>
      <c r="AA2372">
        <v>0.999125499999999</v>
      </c>
      <c r="AB2372">
        <v>63</v>
      </c>
      <c r="AC2372">
        <v>21.820599999999999</v>
      </c>
      <c r="AD2372">
        <v>-1.1086281620559999</v>
      </c>
      <c r="AE2372">
        <v>1.5982000000000101</v>
      </c>
      <c r="AF2372">
        <v>-0.93720998382439502</v>
      </c>
      <c r="AG2372">
        <v>-1.1086281620559999</v>
      </c>
      <c r="AH2372">
        <v>21.8028848284244</v>
      </c>
      <c r="AI2372">
        <v>92.908174960662706</v>
      </c>
      <c r="AJ2372">
        <v>92.461377924347602</v>
      </c>
      <c r="AK2372">
        <v>21.8511602849144</v>
      </c>
    </row>
    <row r="2373" spans="1:37" x14ac:dyDescent="0.2">
      <c r="A2373" t="str">
        <f>"20200111154112407"</f>
        <v>20200111154112407</v>
      </c>
      <c r="B2373" t="str">
        <f>"1578728472398221"</f>
        <v>1578728472398221</v>
      </c>
      <c r="C2373" t="s">
        <v>37</v>
      </c>
      <c r="D2373">
        <v>5.2533149999999997</v>
      </c>
      <c r="E2373">
        <v>0.48876320000000001</v>
      </c>
      <c r="F2373" t="s">
        <v>44</v>
      </c>
      <c r="G2373">
        <v>-339.82209999999998</v>
      </c>
      <c r="H2373" s="1">
        <v>3.5682450000000002E-6</v>
      </c>
      <c r="I2373">
        <v>217.4023</v>
      </c>
      <c r="J2373">
        <v>-361.8535</v>
      </c>
      <c r="K2373">
        <v>1.1087480000000001</v>
      </c>
      <c r="L2373">
        <v>215.79169999999999</v>
      </c>
      <c r="M2373">
        <v>0.99950309999999898</v>
      </c>
      <c r="N2373">
        <v>0</v>
      </c>
      <c r="O2373">
        <v>3.0804040000000001E-2</v>
      </c>
      <c r="P2373">
        <v>0.99675899999999995</v>
      </c>
      <c r="Q2373">
        <v>6.8117129999999998E-2</v>
      </c>
      <c r="R2373">
        <v>4.2800240000000003E-2</v>
      </c>
      <c r="S2373">
        <v>3.0107119999999998</v>
      </c>
      <c r="T2373">
        <v>-0.14701919999999999</v>
      </c>
      <c r="U2373">
        <v>0.21630859999999999</v>
      </c>
      <c r="V2373">
        <v>-1.215098E-2</v>
      </c>
      <c r="W2373">
        <v>7.4780509999999994E-2</v>
      </c>
      <c r="X2373">
        <v>0.99712599999999996</v>
      </c>
      <c r="Y2373">
        <v>-4.0890120000000002E-2</v>
      </c>
      <c r="Z2373">
        <v>-5.0434039999999996E-4</v>
      </c>
      <c r="AA2373">
        <v>0.99916349999999998</v>
      </c>
      <c r="AB2373">
        <v>63</v>
      </c>
      <c r="AC2373">
        <v>22.031400000000001</v>
      </c>
      <c r="AD2373">
        <v>-1.1087444317549999</v>
      </c>
      <c r="AE2373">
        <v>1.6106</v>
      </c>
      <c r="AF2373">
        <v>-0.92882445982096495</v>
      </c>
      <c r="AG2373">
        <v>-1.1087444317549999</v>
      </c>
      <c r="AH2373">
        <v>22.015097878404099</v>
      </c>
      <c r="AI2373">
        <v>92.880588010812204</v>
      </c>
      <c r="AJ2373">
        <v>92.415895634153699</v>
      </c>
      <c r="AK2373">
        <v>22.062560225137499</v>
      </c>
    </row>
    <row r="2374" spans="1:37" x14ac:dyDescent="0.2">
      <c r="A2374" t="str">
        <f>"20200111154112429"</f>
        <v>20200111154112429</v>
      </c>
      <c r="B2374" t="str">
        <f>"1578728472418381"</f>
        <v>1578728472418381</v>
      </c>
      <c r="C2374" t="s">
        <v>37</v>
      </c>
      <c r="D2374">
        <v>5.3025390000000003</v>
      </c>
      <c r="E2374">
        <v>0.48903779999999902</v>
      </c>
      <c r="F2374" t="s">
        <v>44</v>
      </c>
      <c r="G2374">
        <v>-338.9128</v>
      </c>
      <c r="H2374" s="1">
        <v>3.08297799999999E-6</v>
      </c>
      <c r="I2374">
        <v>217.43469999999999</v>
      </c>
      <c r="J2374">
        <v>-361.22140000000002</v>
      </c>
      <c r="K2374">
        <v>1.108865</v>
      </c>
      <c r="L2374">
        <v>215.81129999999999</v>
      </c>
      <c r="M2374">
        <v>0.99948090000000001</v>
      </c>
      <c r="N2374">
        <v>0</v>
      </c>
      <c r="O2374">
        <v>3.1505489999999997E-2</v>
      </c>
      <c r="P2374">
        <v>0.99675340000000001</v>
      </c>
      <c r="Q2374">
        <v>6.7556840000000007E-2</v>
      </c>
      <c r="R2374">
        <v>4.3804179999999998E-2</v>
      </c>
      <c r="S2374">
        <v>3.010437</v>
      </c>
      <c r="T2374">
        <v>-0.14549699999999999</v>
      </c>
      <c r="U2374">
        <v>0.21560670000000001</v>
      </c>
      <c r="V2374">
        <v>-1.247622E-2</v>
      </c>
      <c r="W2374">
        <v>7.4245560000000002E-2</v>
      </c>
      <c r="X2374">
        <v>0.99716190000000005</v>
      </c>
      <c r="Y2374">
        <v>-3.9965750000000001E-2</v>
      </c>
      <c r="Z2374">
        <v>-5.552806E-4</v>
      </c>
      <c r="AA2374">
        <v>0.99920089999999995</v>
      </c>
      <c r="AB2374">
        <v>63</v>
      </c>
      <c r="AC2374">
        <v>22.308599999999998</v>
      </c>
      <c r="AD2374">
        <v>-1.108861917022</v>
      </c>
      <c r="AE2374">
        <v>1.6234</v>
      </c>
      <c r="AF2374">
        <v>-0.917479940423925</v>
      </c>
      <c r="AG2374">
        <v>-1.108861917022</v>
      </c>
      <c r="AH2374">
        <v>22.2938820864021</v>
      </c>
      <c r="AI2374">
        <v>92.845049289856107</v>
      </c>
      <c r="AJ2374">
        <v>92.356614308399799</v>
      </c>
      <c r="AK2374">
        <v>22.340289225399601</v>
      </c>
    </row>
    <row r="2375" spans="1:37" x14ac:dyDescent="0.2">
      <c r="A2375" t="str">
        <f>"20200111154112451"</f>
        <v>20200111154112451</v>
      </c>
      <c r="B2375" t="str">
        <f>"1578728472448631"</f>
        <v>1578728472448631</v>
      </c>
      <c r="C2375" t="s">
        <v>37</v>
      </c>
      <c r="D2375">
        <v>5.5682339999999897</v>
      </c>
      <c r="E2375">
        <v>0.48926320000000001</v>
      </c>
      <c r="F2375" t="s">
        <v>44</v>
      </c>
      <c r="G2375">
        <v>-338.28429999999997</v>
      </c>
      <c r="H2375" s="1">
        <v>2.74760899999999E-6</v>
      </c>
      <c r="I2375">
        <v>217.45480000000001</v>
      </c>
      <c r="J2375">
        <v>-360.60109999999997</v>
      </c>
      <c r="K2375">
        <v>1.1089789999999999</v>
      </c>
      <c r="L2375">
        <v>215.83099999999999</v>
      </c>
      <c r="M2375">
        <v>0.99945689999999998</v>
      </c>
      <c r="N2375">
        <v>0</v>
      </c>
      <c r="O2375">
        <v>3.2257099999999997E-2</v>
      </c>
      <c r="P2375">
        <v>0.9966969</v>
      </c>
      <c r="Q2375">
        <v>6.7558270000000004E-2</v>
      </c>
      <c r="R2375">
        <v>4.507063E-2</v>
      </c>
      <c r="S2375">
        <v>3.0101619999999998</v>
      </c>
      <c r="T2375">
        <v>-0.14552190000000001</v>
      </c>
      <c r="U2375">
        <v>0.21568299999999899</v>
      </c>
      <c r="V2375">
        <v>-1.301397E-2</v>
      </c>
      <c r="W2375">
        <v>7.4271229999999994E-2</v>
      </c>
      <c r="X2375">
        <v>0.99715319999999996</v>
      </c>
      <c r="Y2375">
        <v>-3.924772E-2</v>
      </c>
      <c r="Z2375">
        <v>-6.089833E-4</v>
      </c>
      <c r="AA2375">
        <v>0.99922929999999999</v>
      </c>
      <c r="AB2375">
        <v>63</v>
      </c>
      <c r="AC2375">
        <v>22.316800000000001</v>
      </c>
      <c r="AD2375">
        <v>-1.1089762523909901</v>
      </c>
      <c r="AE2375">
        <v>1.6238000000000099</v>
      </c>
      <c r="AF2375">
        <v>-0.90085056760546001</v>
      </c>
      <c r="AG2375">
        <v>-1.1089762523909901</v>
      </c>
      <c r="AH2375">
        <v>22.302783084098198</v>
      </c>
      <c r="AI2375">
        <v>92.844296538150601</v>
      </c>
      <c r="AJ2375">
        <v>92.313024917304205</v>
      </c>
      <c r="AK2375">
        <v>22.348500919969101</v>
      </c>
    </row>
    <row r="2376" spans="1:37" x14ac:dyDescent="0.2">
      <c r="A2376" t="str">
        <f>"20200111154112473"</f>
        <v>20200111154112473</v>
      </c>
      <c r="B2376" t="str">
        <f>"1578728472468151"</f>
        <v>1578728472468151</v>
      </c>
      <c r="C2376" t="s">
        <v>37</v>
      </c>
      <c r="D2376">
        <v>5.2789250000000001</v>
      </c>
      <c r="E2376">
        <v>0.48945159999999999</v>
      </c>
      <c r="F2376" t="s">
        <v>44</v>
      </c>
      <c r="G2376">
        <v>-337.3023</v>
      </c>
      <c r="H2376" s="1">
        <v>2.2224609999999999E-6</v>
      </c>
      <c r="I2376">
        <v>217.51390000000001</v>
      </c>
      <c r="J2376">
        <v>-359.99130000000002</v>
      </c>
      <c r="K2376">
        <v>1.109081</v>
      </c>
      <c r="L2376">
        <v>215.85079999999999</v>
      </c>
      <c r="M2376">
        <v>0.99943110000000002</v>
      </c>
      <c r="N2376">
        <v>0</v>
      </c>
      <c r="O2376">
        <v>3.3041649999999999E-2</v>
      </c>
      <c r="P2376">
        <v>0.99662199999999901</v>
      </c>
      <c r="Q2376">
        <v>6.7606810000000003E-2</v>
      </c>
      <c r="R2376">
        <v>4.662935E-2</v>
      </c>
      <c r="S2376">
        <v>3.009827</v>
      </c>
      <c r="T2376">
        <v>-0.14326159999999999</v>
      </c>
      <c r="U2376">
        <v>0.21740719999999999</v>
      </c>
      <c r="V2376">
        <v>-1.3810319999999999E-2</v>
      </c>
      <c r="W2376">
        <v>7.434259E-2</v>
      </c>
      <c r="X2376">
        <v>0.997137099999999</v>
      </c>
      <c r="Y2376">
        <v>-3.9042130000000001E-2</v>
      </c>
      <c r="Z2376">
        <v>-6.4170669999999896E-4</v>
      </c>
      <c r="AA2376">
        <v>0.99923739999999905</v>
      </c>
      <c r="AB2376">
        <v>63</v>
      </c>
      <c r="AC2376">
        <v>22.689</v>
      </c>
      <c r="AD2376">
        <v>-1.1090787775390001</v>
      </c>
      <c r="AE2376">
        <v>1.66310000000001</v>
      </c>
      <c r="AF2376">
        <v>-0.91032918571088595</v>
      </c>
      <c r="AG2376">
        <v>-1.1090787775390001</v>
      </c>
      <c r="AH2376">
        <v>22.677666424799899</v>
      </c>
      <c r="AI2376">
        <v>92.797639176462496</v>
      </c>
      <c r="AJ2376">
        <v>92.298738802290103</v>
      </c>
      <c r="AK2376">
        <v>22.723012771981601</v>
      </c>
    </row>
    <row r="2377" spans="1:37" x14ac:dyDescent="0.2">
      <c r="A2377" t="str">
        <f>"20200111154112496"</f>
        <v>20200111154112496</v>
      </c>
      <c r="B2377" t="str">
        <f>"1578728472488648"</f>
        <v>1578728472488648</v>
      </c>
      <c r="C2377" t="s">
        <v>37</v>
      </c>
      <c r="D2377">
        <v>5.1972659999999999</v>
      </c>
      <c r="E2377">
        <v>0.48969620000000003</v>
      </c>
      <c r="F2377" t="s">
        <v>44</v>
      </c>
      <c r="G2377">
        <v>-336.30189999999999</v>
      </c>
      <c r="H2377" s="1">
        <v>1.68697999999999E-6</v>
      </c>
      <c r="I2377">
        <v>217.58619999999999</v>
      </c>
      <c r="J2377">
        <v>-359.3098</v>
      </c>
      <c r="K2377">
        <v>1.109181</v>
      </c>
      <c r="L2377">
        <v>215.8734</v>
      </c>
      <c r="M2377">
        <v>0.99940039999999997</v>
      </c>
      <c r="N2377">
        <v>0</v>
      </c>
      <c r="O2377">
        <v>3.3948770000000003E-2</v>
      </c>
      <c r="P2377">
        <v>0.99652809999999903</v>
      </c>
      <c r="Q2377">
        <v>6.7422499999999996E-2</v>
      </c>
      <c r="R2377">
        <v>4.8845020000000003E-2</v>
      </c>
      <c r="S2377">
        <v>3.009369</v>
      </c>
      <c r="T2377">
        <v>-0.14089160000000001</v>
      </c>
      <c r="U2377">
        <v>0.22045899999999999</v>
      </c>
      <c r="V2377">
        <v>-1.5140860000000001E-2</v>
      </c>
      <c r="W2377">
        <v>7.4182330000000005E-2</v>
      </c>
      <c r="X2377">
        <v>0.99712969999999901</v>
      </c>
      <c r="Y2377">
        <v>-3.915515E-2</v>
      </c>
      <c r="Z2377">
        <v>-6.7087470000000004E-4</v>
      </c>
      <c r="AA2377">
        <v>0.99923289999999998</v>
      </c>
      <c r="AB2377">
        <v>64</v>
      </c>
      <c r="AC2377">
        <v>23.007899999999999</v>
      </c>
      <c r="AD2377">
        <v>-1.1091793130200001</v>
      </c>
      <c r="AE2377">
        <v>1.7127999999999799</v>
      </c>
      <c r="AF2377">
        <v>-0.92855851288214397</v>
      </c>
      <c r="AG2377">
        <v>-1.1091793130200001</v>
      </c>
      <c r="AH2377">
        <v>22.999627651819399</v>
      </c>
      <c r="AI2377">
        <v>92.758761362317799</v>
      </c>
      <c r="AJ2377">
        <v>92.311933344633999</v>
      </c>
      <c r="AK2377">
        <v>23.0450726139584</v>
      </c>
    </row>
    <row r="2378" spans="1:37" x14ac:dyDescent="0.2">
      <c r="A2378" t="str">
        <f>"20200111154112518"</f>
        <v>20200111154112518</v>
      </c>
      <c r="B2378" t="str">
        <f>"1578728472509143"</f>
        <v>1578728472509143</v>
      </c>
      <c r="C2378" t="s">
        <v>37</v>
      </c>
      <c r="D2378">
        <v>5.2580799999999996</v>
      </c>
      <c r="E2378">
        <v>0.48991899999999899</v>
      </c>
      <c r="F2378" t="s">
        <v>44</v>
      </c>
      <c r="G2378">
        <v>-335.4246</v>
      </c>
      <c r="H2378" s="1">
        <v>1.2169360000000001E-6</v>
      </c>
      <c r="I2378">
        <v>217.65880000000001</v>
      </c>
      <c r="J2378">
        <v>-358.68049999999999</v>
      </c>
      <c r="K2378">
        <v>1.1092549999999901</v>
      </c>
      <c r="L2378">
        <v>215.8947</v>
      </c>
      <c r="M2378">
        <v>0.99937160000000003</v>
      </c>
      <c r="N2378">
        <v>0</v>
      </c>
      <c r="O2378">
        <v>3.4784089999999997E-2</v>
      </c>
      <c r="P2378">
        <v>0.99641619999999997</v>
      </c>
      <c r="Q2378">
        <v>6.7125099999999993E-2</v>
      </c>
      <c r="R2378">
        <v>5.1471080000000002E-2</v>
      </c>
      <c r="S2378">
        <v>3.0088810000000001</v>
      </c>
      <c r="T2378">
        <v>-0.13972660000000001</v>
      </c>
      <c r="U2378">
        <v>0.22491459999999999</v>
      </c>
      <c r="V2378">
        <v>-1.6948910000000001E-2</v>
      </c>
      <c r="W2378">
        <v>7.3905559999999995E-2</v>
      </c>
      <c r="X2378">
        <v>0.99712119999999904</v>
      </c>
      <c r="Y2378">
        <v>-3.9803659999999998E-2</v>
      </c>
      <c r="Z2378">
        <v>-6.8904149999999902E-4</v>
      </c>
      <c r="AA2378">
        <v>0.99920730000000002</v>
      </c>
      <c r="AB2378">
        <v>64</v>
      </c>
      <c r="AC2378">
        <v>23.2559</v>
      </c>
      <c r="AD2378">
        <v>-1.1092537830639999</v>
      </c>
      <c r="AE2378">
        <v>1.76410000000001</v>
      </c>
      <c r="AF2378">
        <v>-0.95192498086788901</v>
      </c>
      <c r="AG2378">
        <v>-1.1092537830639999</v>
      </c>
      <c r="AH2378">
        <v>23.250595894154898</v>
      </c>
      <c r="AI2378">
        <v>92.729148389208106</v>
      </c>
      <c r="AJ2378">
        <v>92.344492151621296</v>
      </c>
      <c r="AK2378">
        <v>23.296497903284401</v>
      </c>
    </row>
    <row r="2379" spans="1:37" x14ac:dyDescent="0.2">
      <c r="A2379" t="str">
        <f>"20200111154112540"</f>
        <v>20200111154112540</v>
      </c>
      <c r="B2379" t="str">
        <f>"1578728472528395"</f>
        <v>1578728472528395</v>
      </c>
      <c r="C2379" t="s">
        <v>37</v>
      </c>
      <c r="D2379">
        <v>5.3492879999999996</v>
      </c>
      <c r="E2379">
        <v>0.490149</v>
      </c>
      <c r="F2379" t="s">
        <v>44</v>
      </c>
      <c r="G2379">
        <v>-334.52330000000001</v>
      </c>
      <c r="H2379" s="1">
        <v>7.3344060000000004E-7</v>
      </c>
      <c r="I2379">
        <v>217.74690000000001</v>
      </c>
      <c r="J2379">
        <v>-358.06699999999898</v>
      </c>
      <c r="K2379">
        <v>1.10931</v>
      </c>
      <c r="L2379">
        <v>215.91589999999999</v>
      </c>
      <c r="M2379">
        <v>0.9993438</v>
      </c>
      <c r="N2379">
        <v>0</v>
      </c>
      <c r="O2379">
        <v>3.5565560000000003E-2</v>
      </c>
      <c r="P2379">
        <v>0.99628090000000002</v>
      </c>
      <c r="Q2379">
        <v>6.7168969999999995E-2</v>
      </c>
      <c r="R2379">
        <v>5.3970850000000001E-2</v>
      </c>
      <c r="S2379">
        <v>3.0081790000000002</v>
      </c>
      <c r="T2379">
        <v>-0.1381299</v>
      </c>
      <c r="U2379">
        <v>0.23065189999999899</v>
      </c>
      <c r="V2379">
        <v>-1.8681860000000002E-2</v>
      </c>
      <c r="W2379">
        <v>7.3968809999999996E-2</v>
      </c>
      <c r="X2379">
        <v>0.99708560000000002</v>
      </c>
      <c r="Y2379">
        <v>-4.0934209999999999E-2</v>
      </c>
      <c r="Z2379">
        <v>-6.9114039999999995E-4</v>
      </c>
      <c r="AA2379">
        <v>0.99916159999999998</v>
      </c>
      <c r="AB2379">
        <v>64</v>
      </c>
      <c r="AC2379">
        <v>23.543699999999902</v>
      </c>
      <c r="AD2379">
        <v>-1.1093092665594</v>
      </c>
      <c r="AE2379">
        <v>1.83100000000001</v>
      </c>
      <c r="AF2379">
        <v>-0.99029173088608402</v>
      </c>
      <c r="AG2379">
        <v>-1.1093092665594</v>
      </c>
      <c r="AH2379">
        <v>23.5419770057104</v>
      </c>
      <c r="AI2379">
        <v>92.695429002154</v>
      </c>
      <c r="AJ2379">
        <v>92.4087231946624</v>
      </c>
      <c r="AK2379">
        <v>23.588894126231001</v>
      </c>
    </row>
    <row r="2380" spans="1:37" x14ac:dyDescent="0.2">
      <c r="A2380" t="str">
        <f>"20200111154112561"</f>
        <v>20200111154112561</v>
      </c>
      <c r="B2380" t="str">
        <f>"1578728472558652"</f>
        <v>1578728472558652</v>
      </c>
      <c r="C2380" t="s">
        <v>37</v>
      </c>
      <c r="D2380">
        <v>5.3041799999999997</v>
      </c>
      <c r="E2380">
        <v>0.4904963</v>
      </c>
      <c r="F2380" t="s">
        <v>44</v>
      </c>
      <c r="G2380">
        <v>-333.74470000000002</v>
      </c>
      <c r="H2380" s="1">
        <v>3.1573059999999999E-7</v>
      </c>
      <c r="I2380">
        <v>217.82390000000001</v>
      </c>
      <c r="J2380">
        <v>-357.44970000000001</v>
      </c>
      <c r="K2380">
        <v>1.109337</v>
      </c>
      <c r="L2380">
        <v>215.9376</v>
      </c>
      <c r="M2380">
        <v>0.99931769999999998</v>
      </c>
      <c r="N2380">
        <v>0</v>
      </c>
      <c r="O2380">
        <v>3.6288719999999997E-2</v>
      </c>
      <c r="P2380">
        <v>0.99614999999999998</v>
      </c>
      <c r="Q2380">
        <v>6.7589099999999999E-2</v>
      </c>
      <c r="R2380">
        <v>5.5830419999999999E-2</v>
      </c>
      <c r="S2380">
        <v>3.0076900000000002</v>
      </c>
      <c r="T2380">
        <v>-0.13717650000000001</v>
      </c>
      <c r="U2380">
        <v>0.23594670000000001</v>
      </c>
      <c r="V2380">
        <v>-1.9829409999999999E-2</v>
      </c>
      <c r="W2380">
        <v>7.4410569999999995E-2</v>
      </c>
      <c r="X2380">
        <v>0.99703050000000004</v>
      </c>
      <c r="Y2380">
        <v>-4.1971700000000001E-2</v>
      </c>
      <c r="Z2380">
        <v>-6.9569229999999905E-4</v>
      </c>
      <c r="AA2380">
        <v>0.99911859999999997</v>
      </c>
      <c r="AB2380">
        <v>64</v>
      </c>
      <c r="AC2380">
        <v>23.704999999999899</v>
      </c>
      <c r="AD2380">
        <v>-1.1093366842693999</v>
      </c>
      <c r="AE2380">
        <v>1.8863000000000001</v>
      </c>
      <c r="AF2380">
        <v>-1.02258769833384</v>
      </c>
      <c r="AG2380">
        <v>-1.1093366842693999</v>
      </c>
      <c r="AH2380">
        <v>23.7062485957428</v>
      </c>
      <c r="AI2380">
        <v>92.676722735430602</v>
      </c>
      <c r="AJ2380">
        <v>92.469967367698203</v>
      </c>
      <c r="AK2380">
        <v>23.754210910131398</v>
      </c>
    </row>
    <row r="2381" spans="1:37" x14ac:dyDescent="0.2">
      <c r="A2381" t="str">
        <f>"20200111154112585"</f>
        <v>20200111154112585</v>
      </c>
      <c r="B2381" t="str">
        <f>"1578728472579147"</f>
        <v>1578728472579147</v>
      </c>
      <c r="C2381" t="s">
        <v>37</v>
      </c>
      <c r="D2381">
        <v>5.3094710000000003</v>
      </c>
      <c r="E2381">
        <v>0.49074089999999998</v>
      </c>
      <c r="F2381" t="s">
        <v>44</v>
      </c>
      <c r="G2381">
        <v>-332.65820000000002</v>
      </c>
      <c r="H2381" s="1">
        <v>-2.6598029999999998E-7</v>
      </c>
      <c r="I2381">
        <v>217.90559999999999</v>
      </c>
      <c r="J2381">
        <v>-356.78019999999998</v>
      </c>
      <c r="K2381">
        <v>1.109327</v>
      </c>
      <c r="L2381">
        <v>215.96170000000001</v>
      </c>
      <c r="M2381">
        <v>0.99929269999999903</v>
      </c>
      <c r="N2381">
        <v>0</v>
      </c>
      <c r="O2381">
        <v>3.6965919999999999E-2</v>
      </c>
      <c r="P2381">
        <v>0.9960696</v>
      </c>
      <c r="Q2381">
        <v>6.7645339999999998E-2</v>
      </c>
      <c r="R2381">
        <v>5.7180679999999998E-2</v>
      </c>
      <c r="S2381">
        <v>3.007355</v>
      </c>
      <c r="T2381">
        <v>-0.1345691</v>
      </c>
      <c r="U2381">
        <v>0.23872379999999899</v>
      </c>
      <c r="V2381">
        <v>-2.05057999999999E-2</v>
      </c>
      <c r="W2381">
        <v>7.4493299999999998E-2</v>
      </c>
      <c r="X2381">
        <v>0.99701059999999997</v>
      </c>
      <c r="Y2381">
        <v>-4.2220859999999999E-2</v>
      </c>
      <c r="Z2381">
        <v>-7.0716699999999997E-4</v>
      </c>
      <c r="AA2381">
        <v>0.99910810000000005</v>
      </c>
      <c r="AB2381">
        <v>64</v>
      </c>
      <c r="AC2381">
        <v>24.1219999999999</v>
      </c>
      <c r="AD2381">
        <v>-1.1093272659803</v>
      </c>
      <c r="AE2381">
        <v>1.94389999999998</v>
      </c>
      <c r="AF2381">
        <v>-1.0486546739912199</v>
      </c>
      <c r="AG2381">
        <v>-1.1093272659803</v>
      </c>
      <c r="AH2381">
        <v>24.1266756194801</v>
      </c>
      <c r="AI2381">
        <v>92.630085119905601</v>
      </c>
      <c r="AJ2381">
        <v>92.488767821868606</v>
      </c>
      <c r="AK2381">
        <v>24.174920063072499</v>
      </c>
    </row>
    <row r="2382" spans="1:37" x14ac:dyDescent="0.2">
      <c r="A2382" t="str">
        <f>"20200111154112609"</f>
        <v>20200111154112609</v>
      </c>
      <c r="B2382" t="str">
        <f>"1578728472598667"</f>
        <v>1578728472598667</v>
      </c>
      <c r="C2382" t="s">
        <v>37</v>
      </c>
      <c r="D2382">
        <v>5.3444500000000001</v>
      </c>
      <c r="E2382">
        <v>0.49086970000000002</v>
      </c>
      <c r="F2382" t="s">
        <v>44</v>
      </c>
      <c r="G2382">
        <v>-331.7405</v>
      </c>
      <c r="H2382" s="1">
        <v>-7.5690999999999997E-7</v>
      </c>
      <c r="I2382">
        <v>217.96440000000001</v>
      </c>
      <c r="J2382">
        <v>-356.10180000000003</v>
      </c>
      <c r="K2382">
        <v>1.109283</v>
      </c>
      <c r="L2382">
        <v>215.9864</v>
      </c>
      <c r="M2382">
        <v>0.99927180000000004</v>
      </c>
      <c r="N2382">
        <v>0</v>
      </c>
      <c r="O2382">
        <v>3.7516420000000002E-2</v>
      </c>
      <c r="P2382">
        <v>0.99600359999999999</v>
      </c>
      <c r="Q2382">
        <v>6.7305879999999998E-2</v>
      </c>
      <c r="R2382">
        <v>5.8709909999999997E-2</v>
      </c>
      <c r="S2382">
        <v>3.00705</v>
      </c>
      <c r="T2382">
        <v>-0.1332207</v>
      </c>
      <c r="U2382">
        <v>0.240509</v>
      </c>
      <c r="V2382">
        <v>-2.1479910000000001E-2</v>
      </c>
      <c r="W2382">
        <v>7.4195159999999996E-2</v>
      </c>
      <c r="X2382">
        <v>0.99701240000000002</v>
      </c>
      <c r="Y2382">
        <v>-4.2268460000000001E-2</v>
      </c>
      <c r="Z2382">
        <v>-7.233939E-4</v>
      </c>
      <c r="AA2382">
        <v>0.99910599999999905</v>
      </c>
      <c r="AB2382">
        <v>64</v>
      </c>
      <c r="AC2382">
        <v>24.3613</v>
      </c>
      <c r="AD2382">
        <v>-1.10928375691</v>
      </c>
      <c r="AE2382">
        <v>1.978</v>
      </c>
      <c r="AF2382">
        <v>-1.06045221975346</v>
      </c>
      <c r="AG2382">
        <v>-1.10928375691</v>
      </c>
      <c r="AH2382">
        <v>24.368164168805102</v>
      </c>
      <c r="AI2382">
        <v>92.603949007259502</v>
      </c>
      <c r="AJ2382">
        <v>92.491821872384193</v>
      </c>
      <c r="AK2382">
        <v>24.416439018037799</v>
      </c>
    </row>
    <row r="2383" spans="1:37" x14ac:dyDescent="0.2">
      <c r="A2383" t="str">
        <f>"20200111154112630"</f>
        <v>20200111154112630</v>
      </c>
      <c r="B2383" t="str">
        <f>"1578728472618187"</f>
        <v>1578728472618187</v>
      </c>
      <c r="C2383" t="s">
        <v>37</v>
      </c>
      <c r="D2383">
        <v>5.3635429999999999</v>
      </c>
      <c r="E2383">
        <v>0.49099419999999999</v>
      </c>
      <c r="F2383" t="s">
        <v>44</v>
      </c>
      <c r="G2383">
        <v>-331.03089999999997</v>
      </c>
      <c r="H2383" s="1">
        <v>-1.136873E-6</v>
      </c>
      <c r="I2383">
        <v>218.01730000000001</v>
      </c>
      <c r="J2383">
        <v>-355.46859999999998</v>
      </c>
      <c r="K2383">
        <v>1.109253</v>
      </c>
      <c r="L2383">
        <v>216.00980000000001</v>
      </c>
      <c r="M2383">
        <v>0.99925580000000003</v>
      </c>
      <c r="N2383">
        <v>0</v>
      </c>
      <c r="O2383">
        <v>3.7917020000000003E-2</v>
      </c>
      <c r="P2383">
        <v>0.99597999999999998</v>
      </c>
      <c r="Q2383">
        <v>6.6636890000000004E-2</v>
      </c>
      <c r="R2383">
        <v>5.9860669999999998E-2</v>
      </c>
      <c r="S2383">
        <v>3.0066830000000002</v>
      </c>
      <c r="T2383">
        <v>-0.13303319999999999</v>
      </c>
      <c r="U2383">
        <v>0.24356079999999899</v>
      </c>
      <c r="V2383">
        <v>-2.2219599999999999E-2</v>
      </c>
      <c r="W2383">
        <v>7.3647340000000006E-2</v>
      </c>
      <c r="X2383">
        <v>0.99703679999999995</v>
      </c>
      <c r="Y2383">
        <v>-4.2884899999999997E-2</v>
      </c>
      <c r="Z2383">
        <v>-7.2648489999999999E-4</v>
      </c>
      <c r="AA2383">
        <v>0.99907979999999996</v>
      </c>
      <c r="AB2383">
        <v>64</v>
      </c>
      <c r="AC2383">
        <v>24.4377</v>
      </c>
      <c r="AD2383">
        <v>-1.109254136873</v>
      </c>
      <c r="AE2383">
        <v>2.0074999999999901</v>
      </c>
      <c r="AF2383">
        <v>-1.0772237403629501</v>
      </c>
      <c r="AG2383">
        <v>-1.109254136873</v>
      </c>
      <c r="AH2383">
        <v>24.446215882636402</v>
      </c>
      <c r="AI2383">
        <v>92.595515328358701</v>
      </c>
      <c r="AJ2383">
        <v>92.523109204845198</v>
      </c>
      <c r="AK2383">
        <v>24.495067395445901</v>
      </c>
    </row>
    <row r="2384" spans="1:37" x14ac:dyDescent="0.2">
      <c r="A2384" t="str">
        <f>"20200111154112652"</f>
        <v>20200111154112652</v>
      </c>
      <c r="B2384" t="str">
        <f>"1578728472648444"</f>
        <v>1578728472648444</v>
      </c>
      <c r="C2384" t="s">
        <v>37</v>
      </c>
      <c r="D2384">
        <v>5.3398129999999897</v>
      </c>
      <c r="E2384">
        <v>0.49115609999999998</v>
      </c>
      <c r="F2384" t="s">
        <v>44</v>
      </c>
      <c r="G2384">
        <v>-330.58199999999999</v>
      </c>
      <c r="H2384" s="1">
        <v>-1.3770389999999999E-6</v>
      </c>
      <c r="I2384">
        <v>218.04679999999999</v>
      </c>
      <c r="J2384">
        <v>-354.86959999999999</v>
      </c>
      <c r="K2384">
        <v>1.1092500000000001</v>
      </c>
      <c r="L2384">
        <v>216.03219999999999</v>
      </c>
      <c r="M2384">
        <v>0.99924329999999995</v>
      </c>
      <c r="N2384">
        <v>0</v>
      </c>
      <c r="O2384">
        <v>3.8197750000000003E-2</v>
      </c>
      <c r="P2384">
        <v>0.99598220000000004</v>
      </c>
      <c r="Q2384">
        <v>6.6447060000000002E-2</v>
      </c>
      <c r="R2384">
        <v>6.0035199999999997E-2</v>
      </c>
      <c r="S2384">
        <v>3.0062869999999999</v>
      </c>
      <c r="T2384">
        <v>-0.13399720000000001</v>
      </c>
      <c r="U2384">
        <v>0.24606320000000001</v>
      </c>
      <c r="V2384">
        <v>-2.2103499999999901E-2</v>
      </c>
      <c r="W2384">
        <v>7.3706789999999994E-2</v>
      </c>
      <c r="X2384">
        <v>0.997035</v>
      </c>
      <c r="Y2384">
        <v>-4.3440579999999999E-2</v>
      </c>
      <c r="Z2384">
        <v>-7.319246E-4</v>
      </c>
      <c r="AA2384">
        <v>0.99905569999999899</v>
      </c>
      <c r="AB2384">
        <v>64</v>
      </c>
      <c r="AC2384">
        <v>24.287600000000001</v>
      </c>
      <c r="AD2384">
        <v>-1.109251377039</v>
      </c>
      <c r="AE2384">
        <v>2.0146000000000002</v>
      </c>
      <c r="AF2384">
        <v>-1.08312920750791</v>
      </c>
      <c r="AG2384">
        <v>-1.109251377039</v>
      </c>
      <c r="AH2384">
        <v>24.296495771819899</v>
      </c>
      <c r="AI2384">
        <v>92.6114215129505</v>
      </c>
      <c r="AJ2384">
        <v>92.552535603848497</v>
      </c>
      <c r="AK2384">
        <v>24.345909600745699</v>
      </c>
    </row>
    <row r="2385" spans="1:37" x14ac:dyDescent="0.2">
      <c r="A2385" t="str">
        <f>"20200111154112675"</f>
        <v>20200111154112675</v>
      </c>
      <c r="B2385" t="str">
        <f>"1578728472668939"</f>
        <v>1578728472668939</v>
      </c>
      <c r="C2385" t="s">
        <v>37</v>
      </c>
      <c r="D2385">
        <v>5.379346</v>
      </c>
      <c r="E2385">
        <v>0.49130159999999901</v>
      </c>
      <c r="F2385" t="s">
        <v>44</v>
      </c>
      <c r="G2385">
        <v>-329.79289999999997</v>
      </c>
      <c r="H2385" s="1">
        <v>3.674517E-6</v>
      </c>
      <c r="I2385">
        <v>218.07810000000001</v>
      </c>
      <c r="J2385">
        <v>-354.19900000000001</v>
      </c>
      <c r="K2385">
        <v>1.1092759999999999</v>
      </c>
      <c r="L2385">
        <v>216.0575</v>
      </c>
      <c r="M2385">
        <v>0.99923169999999994</v>
      </c>
      <c r="N2385">
        <v>0</v>
      </c>
      <c r="O2385">
        <v>3.840934E-2</v>
      </c>
      <c r="P2385">
        <v>0.99600449999999996</v>
      </c>
      <c r="Q2385">
        <v>6.5577269999999993E-2</v>
      </c>
      <c r="R2385">
        <v>6.0619770000000003E-2</v>
      </c>
      <c r="S2385">
        <v>3.0062259999999998</v>
      </c>
      <c r="T2385">
        <v>-0.1329777</v>
      </c>
      <c r="U2385">
        <v>0.24526979999999901</v>
      </c>
      <c r="V2385">
        <v>-2.2461680000000001E-2</v>
      </c>
      <c r="W2385">
        <v>7.3304949999999994E-2</v>
      </c>
      <c r="X2385">
        <v>0.99705659999999896</v>
      </c>
      <c r="Y2385">
        <v>-4.2969340000000002E-2</v>
      </c>
      <c r="Z2385">
        <v>-7.4611869999999996E-4</v>
      </c>
      <c r="AA2385">
        <v>0.99907610000000002</v>
      </c>
      <c r="AB2385">
        <v>64</v>
      </c>
      <c r="AC2385">
        <v>24.406099999999999</v>
      </c>
      <c r="AD2385">
        <v>-1.1092723254829999</v>
      </c>
      <c r="AE2385">
        <v>2.0206</v>
      </c>
      <c r="AF2385">
        <v>-1.0794435366833499</v>
      </c>
      <c r="AG2385">
        <v>-1.1092723254829999</v>
      </c>
      <c r="AH2385">
        <v>24.415608247885</v>
      </c>
      <c r="AI2385">
        <v>92.598790477014205</v>
      </c>
      <c r="AJ2385">
        <v>92.531467127762497</v>
      </c>
      <c r="AK2385">
        <v>24.464619546503499</v>
      </c>
    </row>
    <row r="2386" spans="1:37" x14ac:dyDescent="0.2">
      <c r="A2386" t="str">
        <f>"20200111154112697"</f>
        <v>20200111154112697</v>
      </c>
      <c r="B2386" t="str">
        <f>"1578728472689435"</f>
        <v>1578728472689435</v>
      </c>
      <c r="C2386" t="s">
        <v>37</v>
      </c>
      <c r="D2386">
        <v>5.3627199999999897</v>
      </c>
      <c r="E2386">
        <v>0.49144009999999999</v>
      </c>
      <c r="F2386" t="s">
        <v>44</v>
      </c>
      <c r="G2386">
        <v>-329.61250000000001</v>
      </c>
      <c r="H2386" s="1">
        <v>3.5785210000000001E-6</v>
      </c>
      <c r="I2386">
        <v>218.0692</v>
      </c>
      <c r="J2386">
        <v>-353.55279999999999</v>
      </c>
      <c r="K2386">
        <v>1.109321</v>
      </c>
      <c r="L2386">
        <v>216.08199999999999</v>
      </c>
      <c r="M2386">
        <v>0.99922310000000003</v>
      </c>
      <c r="N2386">
        <v>0</v>
      </c>
      <c r="O2386">
        <v>3.850021E-2</v>
      </c>
      <c r="P2386">
        <v>0.99601139999999999</v>
      </c>
      <c r="Q2386">
        <v>6.4984020000000003E-2</v>
      </c>
      <c r="R2386">
        <v>6.1143040000000003E-2</v>
      </c>
      <c r="S2386">
        <v>3.0060119999999899</v>
      </c>
      <c r="T2386">
        <v>-0.13562279999999999</v>
      </c>
      <c r="U2386">
        <v>0.24595639999999999</v>
      </c>
      <c r="V2386">
        <v>-2.2878099999999998E-2</v>
      </c>
      <c r="W2386">
        <v>7.3340139999999998E-2</v>
      </c>
      <c r="X2386">
        <v>0.99704459999999995</v>
      </c>
      <c r="Y2386">
        <v>-4.3110500000000003E-2</v>
      </c>
      <c r="Z2386">
        <v>-7.619069E-4</v>
      </c>
      <c r="AA2386">
        <v>0.99907000000000001</v>
      </c>
      <c r="AB2386">
        <v>64</v>
      </c>
      <c r="AC2386">
        <v>23.940299999999901</v>
      </c>
      <c r="AD2386">
        <v>-1.109317421479</v>
      </c>
      <c r="AE2386">
        <v>1.9872000000000001</v>
      </c>
      <c r="AF2386">
        <v>-1.0617232741067699</v>
      </c>
      <c r="AG2386">
        <v>-1.109317421479</v>
      </c>
      <c r="AH2386">
        <v>23.947992637044401</v>
      </c>
      <c r="AI2386">
        <v>92.649556752538999</v>
      </c>
      <c r="AJ2386">
        <v>92.538519789942796</v>
      </c>
      <c r="AK2386">
        <v>23.9971705164653</v>
      </c>
    </row>
    <row r="2387" spans="1:37" x14ac:dyDescent="0.2">
      <c r="A2387" t="str">
        <f>"20200111154112719"</f>
        <v>20200111154112719</v>
      </c>
      <c r="B2387" t="str">
        <f>"1578728472708958"</f>
        <v>1578728472708958</v>
      </c>
      <c r="C2387" t="s">
        <v>37</v>
      </c>
      <c r="D2387">
        <v>5.36165</v>
      </c>
      <c r="E2387">
        <v>0.49155599999999999</v>
      </c>
      <c r="F2387" t="s">
        <v>44</v>
      </c>
      <c r="G2387">
        <v>-329.03059999999999</v>
      </c>
      <c r="H2387" s="1">
        <v>3.2688719999999998E-6</v>
      </c>
      <c r="I2387">
        <v>218.09280000000001</v>
      </c>
      <c r="J2387">
        <v>-352.91910000000001</v>
      </c>
      <c r="K2387">
        <v>1.109308</v>
      </c>
      <c r="L2387">
        <v>216.1062</v>
      </c>
      <c r="M2387">
        <v>0.99921949999999904</v>
      </c>
      <c r="N2387">
        <v>0</v>
      </c>
      <c r="O2387">
        <v>3.847602E-2</v>
      </c>
      <c r="P2387">
        <v>0.99604749999999997</v>
      </c>
      <c r="Q2387">
        <v>6.4405050000000005E-2</v>
      </c>
      <c r="R2387">
        <v>6.1172360000000002E-2</v>
      </c>
      <c r="S2387">
        <v>3.0057680000000002</v>
      </c>
      <c r="T2387">
        <v>-0.13597319999999999</v>
      </c>
      <c r="U2387">
        <v>0.24647520000000001</v>
      </c>
      <c r="V2387">
        <v>-2.291193E-2</v>
      </c>
      <c r="W2387">
        <v>7.3298290000000002E-2</v>
      </c>
      <c r="X2387">
        <v>0.99704680000000001</v>
      </c>
      <c r="Y2387">
        <v>-4.3312169999999997E-2</v>
      </c>
      <c r="Z2387">
        <v>-7.5829409999999999E-4</v>
      </c>
      <c r="AA2387">
        <v>0.99906130000000004</v>
      </c>
      <c r="AB2387">
        <v>64</v>
      </c>
      <c r="AC2387">
        <v>23.888500000000001</v>
      </c>
      <c r="AD2387">
        <v>-1.109304731128</v>
      </c>
      <c r="AE2387">
        <v>1.9866000000000099</v>
      </c>
      <c r="AF2387">
        <v>-1.06367975004712</v>
      </c>
      <c r="AG2387">
        <v>-1.109304731128</v>
      </c>
      <c r="AH2387">
        <v>23.896074293844599</v>
      </c>
      <c r="AI2387">
        <v>92.655253860608497</v>
      </c>
      <c r="AJ2387">
        <v>92.548709719938103</v>
      </c>
      <c r="AK2387">
        <v>23.9454450418886</v>
      </c>
    </row>
    <row r="2388" spans="1:37" x14ac:dyDescent="0.2">
      <c r="A2388" t="str">
        <f>"20200111154112741"</f>
        <v>20200111154112741</v>
      </c>
      <c r="B2388" t="str">
        <f>"1578728472738235"</f>
        <v>1578728472738235</v>
      </c>
      <c r="C2388" t="s">
        <v>37</v>
      </c>
      <c r="D2388">
        <v>5.4030139999999998</v>
      </c>
      <c r="E2388">
        <v>0.491695299999999</v>
      </c>
      <c r="F2388" t="s">
        <v>44</v>
      </c>
      <c r="G2388">
        <v>-328.53730000000002</v>
      </c>
      <c r="H2388" s="1">
        <v>3.006332E-6</v>
      </c>
      <c r="I2388">
        <v>218.09989999999999</v>
      </c>
      <c r="J2388">
        <v>-352.29579999999999</v>
      </c>
      <c r="K2388">
        <v>1.109226</v>
      </c>
      <c r="L2388">
        <v>216.13</v>
      </c>
      <c r="M2388">
        <v>0.99922080000000002</v>
      </c>
      <c r="N2388">
        <v>0</v>
      </c>
      <c r="O2388">
        <v>3.8351860000000002E-2</v>
      </c>
      <c r="P2388">
        <v>0.99610180000000004</v>
      </c>
      <c r="Q2388">
        <v>6.3925040000000002E-2</v>
      </c>
      <c r="R2388">
        <v>6.0790230000000001E-2</v>
      </c>
      <c r="S2388">
        <v>3.005646</v>
      </c>
      <c r="T2388">
        <v>-0.13674839999999999</v>
      </c>
      <c r="U2388">
        <v>0.245773299999999</v>
      </c>
      <c r="V2388">
        <v>-2.2630620000000001E-2</v>
      </c>
      <c r="W2388">
        <v>7.3208410000000002E-2</v>
      </c>
      <c r="X2388">
        <v>0.9970599</v>
      </c>
      <c r="Y2388">
        <v>-4.320765E-2</v>
      </c>
      <c r="Z2388">
        <v>-7.5940220000000002E-4</v>
      </c>
      <c r="AA2388">
        <v>0.9990658</v>
      </c>
      <c r="AB2388">
        <v>64</v>
      </c>
      <c r="AC2388">
        <v>23.758499999999898</v>
      </c>
      <c r="AD2388">
        <v>-1.109222993668</v>
      </c>
      <c r="AE2388">
        <v>1.96989999999999</v>
      </c>
      <c r="AF2388">
        <v>-1.0549445621050499</v>
      </c>
      <c r="AG2388">
        <v>-1.109222993668</v>
      </c>
      <c r="AH2388">
        <v>23.765124375868499</v>
      </c>
      <c r="AI2388">
        <v>92.6696816757443</v>
      </c>
      <c r="AJ2388">
        <v>92.541716809701597</v>
      </c>
      <c r="AK2388">
        <v>23.814374236567701</v>
      </c>
    </row>
    <row r="2389" spans="1:37" x14ac:dyDescent="0.2">
      <c r="A2389" t="str">
        <f>"20200111154112762"</f>
        <v>20200111154112762</v>
      </c>
      <c r="B2389" t="str">
        <f>"1578728472758731"</f>
        <v>1578728472758731</v>
      </c>
      <c r="C2389" t="s">
        <v>37</v>
      </c>
      <c r="D2389">
        <v>5.3853359999999997</v>
      </c>
      <c r="E2389">
        <v>0.4917782</v>
      </c>
      <c r="F2389" t="s">
        <v>44</v>
      </c>
      <c r="G2389">
        <v>-327.96910000000003</v>
      </c>
      <c r="H2389" s="1">
        <v>2.7039620000000001E-6</v>
      </c>
      <c r="I2389">
        <v>218.10299999999901</v>
      </c>
      <c r="J2389">
        <v>-351.67809999999997</v>
      </c>
      <c r="K2389">
        <v>1.1091169999999999</v>
      </c>
      <c r="L2389">
        <v>216.15360000000001</v>
      </c>
      <c r="M2389">
        <v>0.99922540000000004</v>
      </c>
      <c r="N2389">
        <v>0</v>
      </c>
      <c r="O2389">
        <v>3.8146279999999998E-2</v>
      </c>
      <c r="P2389">
        <v>0.99619349999999995</v>
      </c>
      <c r="Q2389">
        <v>6.3314049999999997E-2</v>
      </c>
      <c r="R2389">
        <v>5.9918069999999997E-2</v>
      </c>
      <c r="S2389">
        <v>3.0057070000000001</v>
      </c>
      <c r="T2389">
        <v>-0.1370507</v>
      </c>
      <c r="U2389">
        <v>0.2437744</v>
      </c>
      <c r="V2389">
        <v>-2.1936899999999999E-2</v>
      </c>
      <c r="W2389">
        <v>7.2946369999999996E-2</v>
      </c>
      <c r="X2389">
        <v>0.99709459999999905</v>
      </c>
      <c r="Y2389">
        <v>-4.2751599999999897E-2</v>
      </c>
      <c r="Z2389">
        <v>-7.6212909999999999E-4</v>
      </c>
      <c r="AA2389">
        <v>0.99908539999999901</v>
      </c>
      <c r="AB2389">
        <v>64</v>
      </c>
      <c r="AC2389">
        <v>23.7089999999999</v>
      </c>
      <c r="AD2389">
        <v>-1.1091142960379901</v>
      </c>
      <c r="AE2389">
        <v>1.9493999999999601</v>
      </c>
      <c r="AF2389">
        <v>-1.0412652079820499</v>
      </c>
      <c r="AG2389">
        <v>-1.1091142960379901</v>
      </c>
      <c r="AH2389">
        <v>23.714559615016</v>
      </c>
      <c r="AI2389">
        <v>92.675160739301205</v>
      </c>
      <c r="AJ2389">
        <v>92.514143494333993</v>
      </c>
      <c r="AK2389">
        <v>23.763305861962401</v>
      </c>
    </row>
    <row r="2390" spans="1:37" x14ac:dyDescent="0.2">
      <c r="A2390" t="str">
        <f>"20200111154112786"</f>
        <v>20200111154112786</v>
      </c>
      <c r="B2390" t="str">
        <f>"1578728472778251"</f>
        <v>1578728472778251</v>
      </c>
      <c r="C2390" t="s">
        <v>37</v>
      </c>
      <c r="D2390">
        <v>5.400728</v>
      </c>
      <c r="E2390">
        <v>0.49183209999999999</v>
      </c>
      <c r="F2390" t="s">
        <v>44</v>
      </c>
      <c r="G2390">
        <v>-327.5367</v>
      </c>
      <c r="H2390" s="1">
        <v>2.4738980000000001E-6</v>
      </c>
      <c r="I2390">
        <v>218.0865</v>
      </c>
      <c r="J2390">
        <v>-351.00529999999998</v>
      </c>
      <c r="K2390">
        <v>1.1089959999999901</v>
      </c>
      <c r="L2390">
        <v>216.17920000000001</v>
      </c>
      <c r="M2390">
        <v>0.99923300000000004</v>
      </c>
      <c r="N2390">
        <v>0</v>
      </c>
      <c r="O2390">
        <v>3.784676E-2</v>
      </c>
      <c r="P2390">
        <v>0.99627099999999902</v>
      </c>
      <c r="Q2390">
        <v>6.2891299999999997E-2</v>
      </c>
      <c r="R2390">
        <v>5.9066569999999999E-2</v>
      </c>
      <c r="S2390">
        <v>3.0057680000000002</v>
      </c>
      <c r="T2390">
        <v>-0.13809279999999999</v>
      </c>
      <c r="U2390">
        <v>0.2406616</v>
      </c>
      <c r="V2390">
        <v>-2.1354990000000001E-2</v>
      </c>
      <c r="W2390">
        <v>7.2916889999999998E-2</v>
      </c>
      <c r="X2390">
        <v>0.99710940000000003</v>
      </c>
      <c r="Y2390">
        <v>-4.202169E-2</v>
      </c>
      <c r="Z2390">
        <v>-7.7096580000000003E-4</v>
      </c>
      <c r="AA2390">
        <v>0.99911640000000002</v>
      </c>
      <c r="AB2390">
        <v>64</v>
      </c>
      <c r="AC2390">
        <v>23.468599999999899</v>
      </c>
      <c r="AD2390">
        <v>-1.1089935261020001</v>
      </c>
      <c r="AE2390">
        <v>1.90729999999999</v>
      </c>
      <c r="AF2390">
        <v>-1.01542549977534</v>
      </c>
      <c r="AG2390">
        <v>-1.1089935261020001</v>
      </c>
      <c r="AH2390">
        <v>23.471904856712701</v>
      </c>
      <c r="AI2390">
        <v>92.7025580836074</v>
      </c>
      <c r="AJ2390">
        <v>92.477146249049895</v>
      </c>
      <c r="AK2390">
        <v>23.5200185626862</v>
      </c>
    </row>
    <row r="2391" spans="1:37" x14ac:dyDescent="0.2">
      <c r="A2391" t="str">
        <f>"20200111154112809"</f>
        <v>20200111154112809</v>
      </c>
      <c r="B2391" t="str">
        <f>"1578728472798747"</f>
        <v>1578728472798747</v>
      </c>
      <c r="C2391" t="s">
        <v>37</v>
      </c>
      <c r="D2391">
        <v>5.4206149999999997</v>
      </c>
      <c r="E2391">
        <v>0.49186949999999902</v>
      </c>
      <c r="F2391" t="s">
        <v>44</v>
      </c>
      <c r="G2391">
        <v>-326.93090000000001</v>
      </c>
      <c r="H2391" s="1">
        <v>2.1514989999999998E-6</v>
      </c>
      <c r="I2391">
        <v>218.08410000000001</v>
      </c>
      <c r="J2391">
        <v>-350.34469999999999</v>
      </c>
      <c r="K2391">
        <v>1.108881</v>
      </c>
      <c r="L2391">
        <v>216.20410000000001</v>
      </c>
      <c r="M2391">
        <v>0.99924169999999901</v>
      </c>
      <c r="N2391">
        <v>0</v>
      </c>
      <c r="O2391">
        <v>3.7511259999999998E-2</v>
      </c>
      <c r="P2391">
        <v>0.99636979999999997</v>
      </c>
      <c r="Q2391">
        <v>6.2995640000000006E-2</v>
      </c>
      <c r="R2391">
        <v>5.726316E-2</v>
      </c>
      <c r="S2391">
        <v>3.0058590000000001</v>
      </c>
      <c r="T2391">
        <v>-0.13846549999999999</v>
      </c>
      <c r="U2391">
        <v>0.23783869999999999</v>
      </c>
      <c r="V2391">
        <v>-1.98575E-2</v>
      </c>
      <c r="W2391">
        <v>7.3417179999999999E-2</v>
      </c>
      <c r="X2391">
        <v>0.99710359999999998</v>
      </c>
      <c r="Y2391">
        <v>-4.1422430000000003E-2</v>
      </c>
      <c r="Z2391">
        <v>-7.7143470000000001E-4</v>
      </c>
      <c r="AA2391">
        <v>0.99914150000000002</v>
      </c>
      <c r="AB2391">
        <v>64</v>
      </c>
      <c r="AC2391">
        <v>23.413799999999899</v>
      </c>
      <c r="AD2391">
        <v>-1.1088788485009999</v>
      </c>
      <c r="AE2391">
        <v>1.8799999999999899</v>
      </c>
      <c r="AF2391">
        <v>-0.99812331811444099</v>
      </c>
      <c r="AG2391">
        <v>-1.1088788485009999</v>
      </c>
      <c r="AH2391">
        <v>23.415660406784099</v>
      </c>
      <c r="AI2391">
        <v>92.708833878261601</v>
      </c>
      <c r="AJ2391">
        <v>92.440830333633002</v>
      </c>
      <c r="AK2391">
        <v>23.463141621374</v>
      </c>
    </row>
    <row r="2392" spans="1:37" x14ac:dyDescent="0.2">
      <c r="A2392" t="str">
        <f>"20200111154112831"</f>
        <v>20200111154112831</v>
      </c>
      <c r="B2392" t="str">
        <f>"1578728472818843"</f>
        <v>1578728472818843</v>
      </c>
      <c r="C2392" t="s">
        <v>37</v>
      </c>
      <c r="D2392">
        <v>5.3681449999999904</v>
      </c>
      <c r="E2392">
        <v>0.491905599999999</v>
      </c>
      <c r="F2392" t="s">
        <v>44</v>
      </c>
      <c r="G2392">
        <v>-326.10239999999999</v>
      </c>
      <c r="H2392" s="1">
        <v>1.7106190000000001E-6</v>
      </c>
      <c r="I2392">
        <v>218.07820000000001</v>
      </c>
      <c r="J2392">
        <v>-349.70319999999998</v>
      </c>
      <c r="K2392">
        <v>1.1087819999999999</v>
      </c>
      <c r="L2392">
        <v>216.22810000000001</v>
      </c>
      <c r="M2392">
        <v>0.99925090000000005</v>
      </c>
      <c r="N2392">
        <v>0</v>
      </c>
      <c r="O2392">
        <v>3.7159949999999997E-2</v>
      </c>
      <c r="P2392">
        <v>0.99643099999999996</v>
      </c>
      <c r="Q2392">
        <v>6.3098269999999998E-2</v>
      </c>
      <c r="R2392">
        <v>5.606937E-2</v>
      </c>
      <c r="S2392">
        <v>3.006256</v>
      </c>
      <c r="T2392">
        <v>-0.13751089999999999</v>
      </c>
      <c r="U2392">
        <v>0.23240659999999999</v>
      </c>
      <c r="V2392">
        <v>-1.8988640000000001E-2</v>
      </c>
      <c r="W2392">
        <v>7.3890810000000001E-2</v>
      </c>
      <c r="X2392">
        <v>0.99708560000000002</v>
      </c>
      <c r="Y2392">
        <v>-3.9969949999999997E-2</v>
      </c>
      <c r="Z2392">
        <v>-7.8323049999999995E-4</v>
      </c>
      <c r="AA2392">
        <v>0.99920059999999999</v>
      </c>
      <c r="AB2392">
        <v>64</v>
      </c>
      <c r="AC2392">
        <v>23.6007999999999</v>
      </c>
      <c r="AD2392">
        <v>-1.1087802893809999</v>
      </c>
      <c r="AE2392">
        <v>1.8500999999999901</v>
      </c>
      <c r="AF2392">
        <v>-0.96963918800149296</v>
      </c>
      <c r="AG2392">
        <v>-1.1087802893809999</v>
      </c>
      <c r="AH2392">
        <v>23.601476864618299</v>
      </c>
      <c r="AI2392">
        <v>92.687472807385902</v>
      </c>
      <c r="AJ2392">
        <v>92.352607322509797</v>
      </c>
      <c r="AK2392">
        <v>23.647395291578</v>
      </c>
    </row>
    <row r="2393" spans="1:37" x14ac:dyDescent="0.2">
      <c r="A2393" t="str">
        <f>"20200111154112853"</f>
        <v>20200111154112853</v>
      </c>
      <c r="B2393" t="str">
        <f>"1578728472849090"</f>
        <v>1578728472849090</v>
      </c>
      <c r="C2393" t="s">
        <v>37</v>
      </c>
      <c r="D2393">
        <v>5.3878769999999996</v>
      </c>
      <c r="E2393">
        <v>0.49198569999999903</v>
      </c>
      <c r="F2393" t="s">
        <v>44</v>
      </c>
      <c r="G2393">
        <v>-325.31360000000001</v>
      </c>
      <c r="H2393" s="1">
        <v>1.2908269999999899E-6</v>
      </c>
      <c r="I2393">
        <v>218.08250000000001</v>
      </c>
      <c r="J2393">
        <v>-349.06909999999999</v>
      </c>
      <c r="K2393">
        <v>1.1086940000000001</v>
      </c>
      <c r="L2393">
        <v>216.2516</v>
      </c>
      <c r="M2393">
        <v>0.99926059999999906</v>
      </c>
      <c r="N2393">
        <v>0</v>
      </c>
      <c r="O2393">
        <v>3.6794069999999998E-2</v>
      </c>
      <c r="P2393">
        <v>0.99654449999999895</v>
      </c>
      <c r="Q2393">
        <v>6.247627E-2</v>
      </c>
      <c r="R2393">
        <v>5.4733869999999997E-2</v>
      </c>
      <c r="S2393">
        <v>3.0065309999999998</v>
      </c>
      <c r="T2393">
        <v>-0.13668039999999901</v>
      </c>
      <c r="U2393">
        <v>0.22859189999999999</v>
      </c>
      <c r="V2393">
        <v>-1.799342E-2</v>
      </c>
      <c r="W2393">
        <v>7.3609309999999997E-2</v>
      </c>
      <c r="X2393">
        <v>0.99712479999999903</v>
      </c>
      <c r="Y2393">
        <v>-3.9068829999999999E-2</v>
      </c>
      <c r="Z2393">
        <v>-7.8234910000000003E-4</v>
      </c>
      <c r="AA2393">
        <v>0.99923619999999902</v>
      </c>
      <c r="AB2393">
        <v>64</v>
      </c>
      <c r="AC2393">
        <v>23.755499999999898</v>
      </c>
      <c r="AD2393">
        <v>-1.1086927091729999</v>
      </c>
      <c r="AE2393">
        <v>1.83090000000001</v>
      </c>
      <c r="AF2393">
        <v>-0.95347957574211795</v>
      </c>
      <c r="AG2393">
        <v>-1.1086927091729999</v>
      </c>
      <c r="AH2393">
        <v>23.755344967988002</v>
      </c>
      <c r="AI2393">
        <v>92.669982478855104</v>
      </c>
      <c r="AJ2393">
        <v>92.298474180478195</v>
      </c>
      <c r="AK2393">
        <v>23.8003096066594</v>
      </c>
    </row>
    <row r="2394" spans="1:37" x14ac:dyDescent="0.2">
      <c r="A2394" t="str">
        <f>"20200111154112876"</f>
        <v>20200111154112876</v>
      </c>
      <c r="B2394" t="str">
        <f>"1578728472868610"</f>
        <v>1578728472868610</v>
      </c>
      <c r="C2394" t="s">
        <v>37</v>
      </c>
      <c r="D2394">
        <v>5.3701040000000004</v>
      </c>
      <c r="E2394">
        <v>0.49204340000000002</v>
      </c>
      <c r="F2394" t="s">
        <v>44</v>
      </c>
      <c r="G2394">
        <v>-324.88389999999998</v>
      </c>
      <c r="H2394" s="1">
        <v>1.0621989999999999E-6</v>
      </c>
      <c r="I2394">
        <v>218.05</v>
      </c>
      <c r="J2394">
        <v>-348.41480000000001</v>
      </c>
      <c r="K2394">
        <v>1.108603</v>
      </c>
      <c r="L2394">
        <v>216.2757</v>
      </c>
      <c r="M2394">
        <v>0.99927160000000004</v>
      </c>
      <c r="N2394">
        <v>0</v>
      </c>
      <c r="O2394">
        <v>3.6399889999999997E-2</v>
      </c>
      <c r="P2394">
        <v>0.99659940000000002</v>
      </c>
      <c r="Q2394">
        <v>6.2476219999999999E-2</v>
      </c>
      <c r="R2394">
        <v>5.3725589999999997E-2</v>
      </c>
      <c r="S2394">
        <v>3.0067439999999999</v>
      </c>
      <c r="T2394">
        <v>-0.13783489999999901</v>
      </c>
      <c r="U2394">
        <v>0.22357179999999999</v>
      </c>
      <c r="V2394">
        <v>-1.735778E-2</v>
      </c>
      <c r="W2394">
        <v>7.3926000000000006E-2</v>
      </c>
      <c r="X2394">
        <v>0.99711260000000002</v>
      </c>
      <c r="Y2394">
        <v>-3.7799369999999999E-2</v>
      </c>
      <c r="Z2394">
        <v>-7.9998919999999896E-4</v>
      </c>
      <c r="AA2394">
        <v>0.99928499999999998</v>
      </c>
      <c r="AB2394">
        <v>64</v>
      </c>
      <c r="AC2394">
        <v>23.530899999999999</v>
      </c>
      <c r="AD2394">
        <v>-1.1086019378009999</v>
      </c>
      <c r="AE2394">
        <v>1.77430000000001</v>
      </c>
      <c r="AF2394">
        <v>-0.91452720321397196</v>
      </c>
      <c r="AG2394">
        <v>-1.1086019378009999</v>
      </c>
      <c r="AH2394">
        <v>23.5279653238245</v>
      </c>
      <c r="AI2394">
        <v>92.695662118223595</v>
      </c>
      <c r="AJ2394">
        <v>92.225954654157505</v>
      </c>
      <c r="AK2394">
        <v>23.571816021278501</v>
      </c>
    </row>
    <row r="2395" spans="1:37" x14ac:dyDescent="0.2">
      <c r="A2395" t="str">
        <f>"20200111154112898"</f>
        <v>20200111154112898</v>
      </c>
      <c r="B2395" t="str">
        <f>"1578728472889117"</f>
        <v>1578728472889117</v>
      </c>
      <c r="C2395" t="s">
        <v>37</v>
      </c>
      <c r="D2395">
        <v>5.4017929999999996</v>
      </c>
      <c r="E2395">
        <v>0.49209920000000001</v>
      </c>
      <c r="F2395" t="s">
        <v>44</v>
      </c>
      <c r="G2395">
        <v>-324.05419999999998</v>
      </c>
      <c r="H2395" s="1">
        <v>6.2063739999999997E-7</v>
      </c>
      <c r="I2395">
        <v>218.05969999999999</v>
      </c>
      <c r="J2395">
        <v>-347.76620000000003</v>
      </c>
      <c r="K2395">
        <v>1.1085290000000001</v>
      </c>
      <c r="L2395">
        <v>216.29920000000001</v>
      </c>
      <c r="M2395">
        <v>0.99928309999999998</v>
      </c>
      <c r="N2395">
        <v>0</v>
      </c>
      <c r="O2395">
        <v>3.599509E-2</v>
      </c>
      <c r="P2395">
        <v>0.99667510000000004</v>
      </c>
      <c r="Q2395">
        <v>6.2631759999999995E-2</v>
      </c>
      <c r="R2395">
        <v>5.2116429999999998E-2</v>
      </c>
      <c r="S2395">
        <v>3.0069889999999999</v>
      </c>
      <c r="T2395">
        <v>-0.13684189999999999</v>
      </c>
      <c r="U2395">
        <v>0.22021479999999899</v>
      </c>
      <c r="V2395">
        <v>-1.6134369999999999E-2</v>
      </c>
      <c r="W2395">
        <v>7.4358750000000001E-2</v>
      </c>
      <c r="X2395">
        <v>0.99710100000000002</v>
      </c>
      <c r="Y2395">
        <v>-3.7088860000000001E-2</v>
      </c>
      <c r="Z2395">
        <v>-7.9198339999999895E-4</v>
      </c>
      <c r="AA2395">
        <v>0.99931170000000002</v>
      </c>
      <c r="AB2395">
        <v>64</v>
      </c>
      <c r="AC2395">
        <v>23.712</v>
      </c>
      <c r="AD2395">
        <v>-1.1085283793626</v>
      </c>
      <c r="AE2395">
        <v>1.76049999999997</v>
      </c>
      <c r="AF2395">
        <v>-0.90382016219807604</v>
      </c>
      <c r="AG2395">
        <v>-1.1085283793626</v>
      </c>
      <c r="AH2395">
        <v>23.7084738580551</v>
      </c>
      <c r="AI2395">
        <v>92.675067671233293</v>
      </c>
      <c r="AJ2395">
        <v>92.183186331794403</v>
      </c>
      <c r="AK2395">
        <v>23.751578026133899</v>
      </c>
    </row>
    <row r="2396" spans="1:37" x14ac:dyDescent="0.2">
      <c r="A2396" t="str">
        <f>"20200111154112930"</f>
        <v>20200111154112930</v>
      </c>
      <c r="B2396" t="str">
        <f>"1578728472919188"</f>
        <v>1578728472919188</v>
      </c>
      <c r="C2396" t="s">
        <v>37</v>
      </c>
      <c r="D2396">
        <v>5.3977510000000004</v>
      </c>
      <c r="E2396">
        <v>0.50895479999999904</v>
      </c>
      <c r="F2396" t="s">
        <v>44</v>
      </c>
      <c r="G2396">
        <v>-323.3211</v>
      </c>
      <c r="H2396" s="1">
        <v>2.3053159999999999E-7</v>
      </c>
      <c r="I2396">
        <v>218.04910000000001</v>
      </c>
      <c r="J2396">
        <v>-346.8553</v>
      </c>
      <c r="K2396">
        <v>1.1084419999999999</v>
      </c>
      <c r="L2396">
        <v>216.33179999999999</v>
      </c>
      <c r="M2396">
        <v>0.99930019999999997</v>
      </c>
      <c r="N2396">
        <v>0</v>
      </c>
      <c r="O2396">
        <v>3.5406399999999998E-2</v>
      </c>
      <c r="P2396">
        <v>0.99681529999999996</v>
      </c>
      <c r="Q2396">
        <v>6.1834640000000003E-2</v>
      </c>
      <c r="R2396">
        <v>5.0361160000000002E-2</v>
      </c>
      <c r="S2396">
        <v>3.0073240000000001</v>
      </c>
      <c r="T2396">
        <v>-0.136375</v>
      </c>
      <c r="U2396">
        <v>0.21528629999999899</v>
      </c>
      <c r="V2396">
        <v>-1.494528E-2</v>
      </c>
      <c r="W2396">
        <v>7.3894630000000003E-2</v>
      </c>
      <c r="X2396">
        <v>0.99715409999999904</v>
      </c>
      <c r="Y2396">
        <v>-3.6040540000000003E-2</v>
      </c>
      <c r="Z2396">
        <v>-7.8636739999999998E-4</v>
      </c>
      <c r="AA2396">
        <v>0.99934999999999996</v>
      </c>
      <c r="AB2396">
        <v>64</v>
      </c>
      <c r="AC2396">
        <v>23.534199999999998</v>
      </c>
      <c r="AD2396">
        <v>-1.1084417694683999</v>
      </c>
      <c r="AE2396">
        <v>1.71730000000002</v>
      </c>
      <c r="AF2396">
        <v>-0.88095726016337605</v>
      </c>
      <c r="AG2396">
        <v>-1.1084417694683999</v>
      </c>
      <c r="AH2396">
        <v>23.528332418050798</v>
      </c>
      <c r="AI2396">
        <v>92.695377605981705</v>
      </c>
      <c r="AJ2396">
        <v>92.144289883015503</v>
      </c>
      <c r="AK2396">
        <v>23.570896360232801</v>
      </c>
    </row>
    <row r="2397" spans="1:37" x14ac:dyDescent="0.2">
      <c r="A2397" t="str">
        <f>"20200111154112952"</f>
        <v>20200111154112952</v>
      </c>
      <c r="B2397" t="str">
        <f>"1578728472948434"</f>
        <v>1578728472948434</v>
      </c>
      <c r="C2397" t="s">
        <v>37</v>
      </c>
      <c r="D2397">
        <v>5.3445019999999896</v>
      </c>
      <c r="E2397">
        <v>0.50823209999999996</v>
      </c>
      <c r="F2397" t="s">
        <v>45</v>
      </c>
      <c r="G2397">
        <v>-318.58089999999999</v>
      </c>
      <c r="H2397" s="1">
        <v>4.7109120000000004E-6</v>
      </c>
      <c r="I2397">
        <v>217.0471</v>
      </c>
      <c r="J2397">
        <v>-346.22480000000002</v>
      </c>
      <c r="K2397">
        <v>1.1084000000000001</v>
      </c>
      <c r="L2397">
        <v>216.35400000000001</v>
      </c>
      <c r="M2397">
        <v>0.99931250000000005</v>
      </c>
      <c r="N2397">
        <v>0</v>
      </c>
      <c r="O2397">
        <v>3.498888E-2</v>
      </c>
      <c r="P2397">
        <v>0.99689369999999999</v>
      </c>
      <c r="Q2397">
        <v>6.1194579999999998E-2</v>
      </c>
      <c r="R2397">
        <v>4.9581220000000002E-2</v>
      </c>
      <c r="S2397">
        <v>3.0130619999999899</v>
      </c>
      <c r="T2397">
        <v>-0.118120699999999</v>
      </c>
      <c r="U2397">
        <v>7.6232910000000001E-2</v>
      </c>
      <c r="V2397">
        <v>-1.4570609999999999E-2</v>
      </c>
      <c r="W2397">
        <v>7.3450959999999996E-2</v>
      </c>
      <c r="X2397">
        <v>0.99719239999999998</v>
      </c>
      <c r="Y2397">
        <v>9.6688190000000004E-3</v>
      </c>
      <c r="Z2397">
        <v>-1.5600810000000001E-3</v>
      </c>
      <c r="AA2397">
        <v>0.99995199999999995</v>
      </c>
      <c r="AB2397">
        <v>64</v>
      </c>
      <c r="AC2397">
        <v>27.643899999999999</v>
      </c>
      <c r="AD2397">
        <v>-1.108395289088</v>
      </c>
      <c r="AE2397">
        <v>0.69309999999998695</v>
      </c>
      <c r="AF2397">
        <v>0.27418572882634401</v>
      </c>
      <c r="AG2397">
        <v>-1.108395289088</v>
      </c>
      <c r="AH2397">
        <v>27.606869535812201</v>
      </c>
      <c r="AI2397">
        <v>92.299034839776397</v>
      </c>
      <c r="AJ2397">
        <v>89.4309688558685</v>
      </c>
      <c r="AK2397">
        <v>27.630471648130101</v>
      </c>
    </row>
    <row r="2398" spans="1:37" x14ac:dyDescent="0.2">
      <c r="A2398" t="str">
        <f>"20200111154112975"</f>
        <v>20200111154112975</v>
      </c>
      <c r="B2398" t="str">
        <f>"1578728472968929"</f>
        <v>1578728472968929</v>
      </c>
      <c r="C2398" t="s">
        <v>37</v>
      </c>
      <c r="D2398">
        <v>5.3222779999999998</v>
      </c>
      <c r="E2398">
        <v>0.50799059999999996</v>
      </c>
      <c r="F2398" t="s">
        <v>45</v>
      </c>
      <c r="G2398">
        <v>-318.65800000000002</v>
      </c>
      <c r="H2398" s="1">
        <v>4.7451149999999999E-6</v>
      </c>
      <c r="I2398">
        <v>217.08179999999999</v>
      </c>
      <c r="J2398">
        <v>-345.55180000000001</v>
      </c>
      <c r="K2398">
        <v>1.108358</v>
      </c>
      <c r="L2398">
        <v>216.3775</v>
      </c>
      <c r="M2398">
        <v>0.99932609999999999</v>
      </c>
      <c r="N2398">
        <v>0</v>
      </c>
      <c r="O2398">
        <v>3.4535459999999997E-2</v>
      </c>
      <c r="P2398">
        <v>0.9969384</v>
      </c>
      <c r="Q2398">
        <v>6.0902810000000002E-2</v>
      </c>
      <c r="R2398">
        <v>4.903983E-2</v>
      </c>
      <c r="S2398">
        <v>3.012756</v>
      </c>
      <c r="T2398">
        <v>-0.1211357</v>
      </c>
      <c r="U2398">
        <v>7.9544069999999995E-2</v>
      </c>
      <c r="V2398">
        <v>-1.447182E-2</v>
      </c>
      <c r="W2398">
        <v>7.3342039999999997E-2</v>
      </c>
      <c r="X2398">
        <v>0.99720189999999997</v>
      </c>
      <c r="Y2398">
        <v>8.1142009999999997E-3</v>
      </c>
      <c r="Z2398">
        <v>-1.5505600000000001E-3</v>
      </c>
      <c r="AA2398">
        <v>0.99996589999999996</v>
      </c>
      <c r="AB2398">
        <v>64</v>
      </c>
      <c r="AC2398">
        <v>26.893799999999999</v>
      </c>
      <c r="AD2398">
        <v>-1.1083532548849999</v>
      </c>
      <c r="AE2398">
        <v>0.70429999999998905</v>
      </c>
      <c r="AF2398">
        <v>0.22460056829361599</v>
      </c>
      <c r="AG2398">
        <v>-1.1083532548849999</v>
      </c>
      <c r="AH2398">
        <v>26.856496766723598</v>
      </c>
      <c r="AI2398">
        <v>92.363142578861002</v>
      </c>
      <c r="AJ2398">
        <v>89.520847236547993</v>
      </c>
      <c r="AK2398">
        <v>26.880295960683299</v>
      </c>
    </row>
    <row r="2399" spans="1:37" x14ac:dyDescent="0.2">
      <c r="A2399" t="str">
        <f>"20200111154112999"</f>
        <v>20200111154112999</v>
      </c>
      <c r="B2399" t="str">
        <f>"1578728472988449"</f>
        <v>1578728472988449</v>
      </c>
      <c r="C2399" t="s">
        <v>37</v>
      </c>
      <c r="D2399">
        <v>5.273288</v>
      </c>
      <c r="E2399">
        <v>0.50755799999999995</v>
      </c>
      <c r="F2399" t="s">
        <v>44</v>
      </c>
      <c r="G2399">
        <v>-320.26339999999999</v>
      </c>
      <c r="H2399" s="1">
        <v>-1.3966399999999999E-6</v>
      </c>
      <c r="I2399">
        <v>217.04599999999999</v>
      </c>
      <c r="J2399">
        <v>-344.88869999999997</v>
      </c>
      <c r="K2399">
        <v>1.1083209999999999</v>
      </c>
      <c r="L2399">
        <v>216.40020000000001</v>
      </c>
      <c r="M2399">
        <v>0.99933969999999905</v>
      </c>
      <c r="N2399">
        <v>0</v>
      </c>
      <c r="O2399">
        <v>3.40827E-2</v>
      </c>
      <c r="P2399">
        <v>0.99695590000000001</v>
      </c>
      <c r="Q2399">
        <v>6.0594889999999998E-2</v>
      </c>
      <c r="R2399">
        <v>4.9064919999999998E-2</v>
      </c>
      <c r="S2399">
        <v>3.0133969999999999</v>
      </c>
      <c r="T2399">
        <v>-0.13207339999999901</v>
      </c>
      <c r="U2399">
        <v>7.9666139999999996E-2</v>
      </c>
      <c r="V2399">
        <v>-1.494178E-2</v>
      </c>
      <c r="W2399">
        <v>7.3191770000000003E-2</v>
      </c>
      <c r="X2399">
        <v>0.99720599999999904</v>
      </c>
      <c r="Y2399">
        <v>7.6207799999999997E-3</v>
      </c>
      <c r="Z2399">
        <v>-1.6594539999999899E-3</v>
      </c>
      <c r="AA2399">
        <v>0.99996960000000001</v>
      </c>
      <c r="AB2399">
        <v>64</v>
      </c>
      <c r="AC2399">
        <v>24.6252999999999</v>
      </c>
      <c r="AD2399">
        <v>-1.10832239664</v>
      </c>
      <c r="AE2399">
        <v>0.64579999999997995</v>
      </c>
      <c r="AF2399">
        <v>0.19354671480647401</v>
      </c>
      <c r="AG2399">
        <v>-1.10832239664</v>
      </c>
      <c r="AH2399">
        <v>24.5832398188723</v>
      </c>
      <c r="AI2399">
        <v>92.581322048401006</v>
      </c>
      <c r="AJ2399">
        <v>89.548912964361094</v>
      </c>
      <c r="AK2399">
        <v>24.608972324294498</v>
      </c>
    </row>
    <row r="2400" spans="1:37" x14ac:dyDescent="0.2">
      <c r="A2400" t="str">
        <f>"20200111154113019"</f>
        <v>20200111154113019</v>
      </c>
      <c r="B2400" t="str">
        <f>"1578728473008948"</f>
        <v>1578728473008948</v>
      </c>
      <c r="C2400" t="s">
        <v>37</v>
      </c>
      <c r="D2400">
        <v>5.2509420000000002</v>
      </c>
      <c r="E2400">
        <v>0.50731570000000004</v>
      </c>
      <c r="F2400" t="s">
        <v>44</v>
      </c>
      <c r="G2400">
        <v>-321.27289999999999</v>
      </c>
      <c r="H2400" s="1">
        <v>-8.5939020000000001E-7</v>
      </c>
      <c r="I2400">
        <v>217.05189999999999</v>
      </c>
      <c r="J2400">
        <v>-344.29880000000003</v>
      </c>
      <c r="K2400">
        <v>1.1082920000000001</v>
      </c>
      <c r="L2400">
        <v>216.4203</v>
      </c>
      <c r="M2400">
        <v>0.99935169999999995</v>
      </c>
      <c r="N2400">
        <v>0</v>
      </c>
      <c r="O2400">
        <v>3.3675629999999998E-2</v>
      </c>
      <c r="P2400">
        <v>0.9969713</v>
      </c>
      <c r="Q2400">
        <v>5.992455E-2</v>
      </c>
      <c r="R2400">
        <v>4.9574519999999997E-2</v>
      </c>
      <c r="S2400">
        <v>3.0136720000000001</v>
      </c>
      <c r="T2400">
        <v>-0.14143620000000001</v>
      </c>
      <c r="U2400">
        <v>8.3160399999999995E-2</v>
      </c>
      <c r="V2400">
        <v>-1.585251E-2</v>
      </c>
      <c r="W2400">
        <v>7.2658200000000006E-2</v>
      </c>
      <c r="X2400">
        <v>0.99723090000000003</v>
      </c>
      <c r="Y2400">
        <v>6.0536419999999997E-3</v>
      </c>
      <c r="Z2400">
        <v>-1.7209479999999999E-3</v>
      </c>
      <c r="AA2400">
        <v>0.99998019999999999</v>
      </c>
      <c r="AB2400">
        <v>64</v>
      </c>
      <c r="AC2400">
        <v>23.0259</v>
      </c>
      <c r="AD2400">
        <v>-1.1082928593901999</v>
      </c>
      <c r="AE2400">
        <v>0.63159999999999095</v>
      </c>
      <c r="AF2400">
        <v>0.14389972144796301</v>
      </c>
      <c r="AG2400">
        <v>-1.1082928593901999</v>
      </c>
      <c r="AH2400">
        <v>22.980908608228301</v>
      </c>
      <c r="AI2400">
        <v>92.760991783214394</v>
      </c>
      <c r="AJ2400">
        <v>89.641235292397297</v>
      </c>
      <c r="AK2400">
        <v>23.008067729641098</v>
      </c>
    </row>
    <row r="2401" spans="1:37" x14ac:dyDescent="0.2">
      <c r="A2401" t="str">
        <f>"20200111154113041"</f>
        <v>20200111154113041</v>
      </c>
      <c r="B2401" t="str">
        <f>"1578728473038894"</f>
        <v>1578728473038894</v>
      </c>
      <c r="C2401" t="s">
        <v>37</v>
      </c>
      <c r="D2401">
        <v>5.1960930000000003</v>
      </c>
      <c r="E2401">
        <v>0.50735379999999997</v>
      </c>
      <c r="F2401" t="s">
        <v>44</v>
      </c>
      <c r="G2401">
        <v>-321.68380000000002</v>
      </c>
      <c r="H2401" s="1">
        <v>-6.4074709999999897E-7</v>
      </c>
      <c r="I2401">
        <v>217.06659999999999</v>
      </c>
      <c r="J2401">
        <v>-343.66019999999997</v>
      </c>
      <c r="K2401">
        <v>1.1080649999999901</v>
      </c>
      <c r="L2401">
        <v>216.4417</v>
      </c>
      <c r="M2401">
        <v>0.99937549999999997</v>
      </c>
      <c r="N2401">
        <v>0</v>
      </c>
      <c r="O2401">
        <v>3.3231650000000001E-2</v>
      </c>
      <c r="P2401">
        <v>0.99690959999999995</v>
      </c>
      <c r="Q2401">
        <v>6.0350559999999998E-2</v>
      </c>
      <c r="R2401">
        <v>5.029074E-2</v>
      </c>
      <c r="S2401">
        <v>3.0137330000000002</v>
      </c>
      <c r="T2401">
        <v>-0.1476942</v>
      </c>
      <c r="U2401">
        <v>8.6135859999999995E-2</v>
      </c>
      <c r="V2401">
        <v>-1.701455E-2</v>
      </c>
      <c r="W2401">
        <v>7.2364750000000005E-2</v>
      </c>
      <c r="X2401">
        <v>0.99723309999999998</v>
      </c>
      <c r="Y2401">
        <v>4.6214359999999996E-3</v>
      </c>
      <c r="Z2401">
        <v>-1.7401279999999901E-3</v>
      </c>
      <c r="AA2401">
        <v>0.99998779999999998</v>
      </c>
      <c r="AB2401">
        <v>64</v>
      </c>
      <c r="AC2401">
        <v>21.976399999999899</v>
      </c>
      <c r="AD2401">
        <v>-1.1080656407470999</v>
      </c>
      <c r="AE2401">
        <v>0.62489999999999601</v>
      </c>
      <c r="AF2401">
        <v>0.10554181916424001</v>
      </c>
      <c r="AG2401">
        <v>-1.1080656407470999</v>
      </c>
      <c r="AH2401">
        <v>21.929323382138801</v>
      </c>
      <c r="AI2401">
        <v>92.892601892347997</v>
      </c>
      <c r="AJ2401">
        <v>89.724248030573705</v>
      </c>
      <c r="AK2401">
        <v>21.957553883304399</v>
      </c>
    </row>
    <row r="2402" spans="1:37" x14ac:dyDescent="0.2">
      <c r="A2402" t="str">
        <f>"20200111154113065"</f>
        <v>20200111154113065</v>
      </c>
      <c r="B2402" t="str">
        <f>"1578728473058415"</f>
        <v>1578728473058415</v>
      </c>
      <c r="C2402" t="s">
        <v>37</v>
      </c>
      <c r="D2402">
        <v>5.1610740000000002</v>
      </c>
      <c r="E2402">
        <v>0.50714309999999996</v>
      </c>
      <c r="F2402" t="s">
        <v>44</v>
      </c>
      <c r="G2402">
        <v>-321.20949999999999</v>
      </c>
      <c r="H2402" s="1">
        <v>-8.9313559999999898E-7</v>
      </c>
      <c r="I2402">
        <v>217.09549999999999</v>
      </c>
      <c r="J2402">
        <v>-342.98180000000002</v>
      </c>
      <c r="K2402">
        <v>1.1077649999999899</v>
      </c>
      <c r="L2402">
        <v>216.46420000000001</v>
      </c>
      <c r="M2402">
        <v>0.99940479999999998</v>
      </c>
      <c r="N2402">
        <v>0</v>
      </c>
      <c r="O2402">
        <v>3.2764929999999998E-2</v>
      </c>
      <c r="P2402">
        <v>0.99678929999999999</v>
      </c>
      <c r="Q2402">
        <v>6.186125E-2</v>
      </c>
      <c r="R2402">
        <v>5.083534E-2</v>
      </c>
      <c r="S2402">
        <v>3.0139469999999999</v>
      </c>
      <c r="T2402">
        <v>-0.14875539999999901</v>
      </c>
      <c r="U2402">
        <v>8.7768550000000001E-2</v>
      </c>
      <c r="V2402">
        <v>-1.8030819999999999E-2</v>
      </c>
      <c r="W2402">
        <v>7.2657230000000003E-2</v>
      </c>
      <c r="X2402">
        <v>0.99719400000000002</v>
      </c>
      <c r="Y2402">
        <v>3.61588599999999E-3</v>
      </c>
      <c r="Z2402">
        <v>-1.7046539999999899E-3</v>
      </c>
      <c r="AA2402">
        <v>0.99999199999999999</v>
      </c>
      <c r="AB2402">
        <v>64</v>
      </c>
      <c r="AC2402">
        <v>21.772300000000001</v>
      </c>
      <c r="AD2402">
        <v>-1.10776589313559</v>
      </c>
      <c r="AE2402">
        <v>0.63129999999998099</v>
      </c>
      <c r="AF2402">
        <v>8.2235730604507395E-2</v>
      </c>
      <c r="AG2402">
        <v>-1.10776589313559</v>
      </c>
      <c r="AH2402">
        <v>21.725101224930501</v>
      </c>
      <c r="AI2402">
        <v>92.918970749729795</v>
      </c>
      <c r="AJ2402">
        <v>89.7831200998219</v>
      </c>
      <c r="AK2402">
        <v>21.7534808989932</v>
      </c>
    </row>
    <row r="2403" spans="1:37" x14ac:dyDescent="0.2">
      <c r="A2403" t="str">
        <f>"20200111154113087"</f>
        <v>20200111154113087</v>
      </c>
      <c r="B2403" t="str">
        <f>"1578728473078910"</f>
        <v>1578728473078910</v>
      </c>
      <c r="C2403" t="s">
        <v>37</v>
      </c>
      <c r="D2403">
        <v>5.1602459999999999</v>
      </c>
      <c r="E2403">
        <v>0.50696600000000003</v>
      </c>
      <c r="F2403" t="s">
        <v>44</v>
      </c>
      <c r="G2403">
        <v>-320.0523</v>
      </c>
      <c r="H2403" s="1">
        <v>-1.5089539999999899E-6</v>
      </c>
      <c r="I2403">
        <v>217.15629999999999</v>
      </c>
      <c r="J2403">
        <v>-342.30880000000002</v>
      </c>
      <c r="K2403">
        <v>1.107634</v>
      </c>
      <c r="L2403">
        <v>216.4863</v>
      </c>
      <c r="M2403">
        <v>0.9994286</v>
      </c>
      <c r="N2403">
        <v>0</v>
      </c>
      <c r="O2403">
        <v>3.229456E-2</v>
      </c>
      <c r="P2403">
        <v>0.9966933</v>
      </c>
      <c r="Q2403">
        <v>6.3377829999999996E-2</v>
      </c>
      <c r="R2403">
        <v>5.0855520000000001E-2</v>
      </c>
      <c r="S2403">
        <v>3.0140380000000002</v>
      </c>
      <c r="T2403">
        <v>-0.14561370000000001</v>
      </c>
      <c r="U2403">
        <v>9.0972899999999995E-2</v>
      </c>
      <c r="V2403">
        <v>-1.852436E-2</v>
      </c>
      <c r="W2403">
        <v>7.337486E-2</v>
      </c>
      <c r="X2403">
        <v>0.99713240000000003</v>
      </c>
      <c r="Y2403">
        <v>2.0878369999999999E-3</v>
      </c>
      <c r="Z2403">
        <v>-1.60902299999999E-3</v>
      </c>
      <c r="AA2403">
        <v>0.99999649999999995</v>
      </c>
      <c r="AB2403">
        <v>65</v>
      </c>
      <c r="AC2403">
        <v>22.256499999999999</v>
      </c>
      <c r="AD2403">
        <v>-1.107635508954</v>
      </c>
      <c r="AE2403">
        <v>0.66999999999998705</v>
      </c>
      <c r="AF2403">
        <v>4.9027839576625099E-2</v>
      </c>
      <c r="AG2403">
        <v>-1.107635508954</v>
      </c>
      <c r="AH2403">
        <v>22.2115657546764</v>
      </c>
      <c r="AI2403">
        <v>92.854826126824506</v>
      </c>
      <c r="AJ2403">
        <v>89.873530585134901</v>
      </c>
      <c r="AK2403">
        <v>22.239220162228399</v>
      </c>
    </row>
    <row r="2404" spans="1:37" x14ac:dyDescent="0.2">
      <c r="A2404" t="str">
        <f>"20200111154113109"</f>
        <v>20200111154113109</v>
      </c>
      <c r="B2404" t="str">
        <f>"1578728473098430"</f>
        <v>1578728473098430</v>
      </c>
      <c r="C2404" t="s">
        <v>37</v>
      </c>
      <c r="D2404">
        <v>5.1772939999999998</v>
      </c>
      <c r="E2404">
        <v>0.50689680000000004</v>
      </c>
      <c r="F2404" t="s">
        <v>45</v>
      </c>
      <c r="G2404">
        <v>-318.79149999999998</v>
      </c>
      <c r="H2404" s="1">
        <v>4.8043199999999996E-6</v>
      </c>
      <c r="I2404">
        <v>217.20740000000001</v>
      </c>
      <c r="J2404">
        <v>-341.70209999999997</v>
      </c>
      <c r="K2404">
        <v>1.1076569999999999</v>
      </c>
      <c r="L2404">
        <v>216.50599999999901</v>
      </c>
      <c r="M2404">
        <v>0.99944509999999898</v>
      </c>
      <c r="N2404">
        <v>0</v>
      </c>
      <c r="O2404">
        <v>3.1864870000000003E-2</v>
      </c>
      <c r="P2404">
        <v>0.99665459999999995</v>
      </c>
      <c r="Q2404">
        <v>6.4069029999999999E-2</v>
      </c>
      <c r="R2404">
        <v>5.0746520000000003E-2</v>
      </c>
      <c r="S2404">
        <v>3.0142519999999999</v>
      </c>
      <c r="T2404">
        <v>-0.1419666</v>
      </c>
      <c r="U2404">
        <v>9.2422489999999996E-2</v>
      </c>
      <c r="V2404">
        <v>-1.8844240000000002E-2</v>
      </c>
      <c r="W2404">
        <v>7.3793339999999999E-2</v>
      </c>
      <c r="X2404">
        <v>0.99709550000000002</v>
      </c>
      <c r="Y2404">
        <v>1.182951E-3</v>
      </c>
      <c r="Z2404">
        <v>-1.5271359999999999E-3</v>
      </c>
      <c r="AA2404">
        <v>0.99999819999999995</v>
      </c>
      <c r="AB2404">
        <v>65</v>
      </c>
      <c r="AC2404">
        <v>22.910599999999899</v>
      </c>
      <c r="AD2404">
        <v>-1.1076521956799901</v>
      </c>
      <c r="AE2404">
        <v>0.701400000000035</v>
      </c>
      <c r="AF2404">
        <v>2.89662214970135E-2</v>
      </c>
      <c r="AG2404">
        <v>-1.1076521956799901</v>
      </c>
      <c r="AH2404">
        <v>22.867914137575401</v>
      </c>
      <c r="AI2404">
        <v>92.773063731472007</v>
      </c>
      <c r="AJ2404">
        <v>89.927424891372993</v>
      </c>
      <c r="AK2404">
        <v>22.894742397155401</v>
      </c>
    </row>
    <row r="2405" spans="1:37" x14ac:dyDescent="0.2">
      <c r="A2405" t="str">
        <f>"20200111154113131"</f>
        <v>20200111154113131</v>
      </c>
      <c r="B2405" t="str">
        <f>"1578728473118926"</f>
        <v>1578728473118926</v>
      </c>
      <c r="C2405" t="s">
        <v>37</v>
      </c>
      <c r="D2405">
        <v>5.1409640000000003</v>
      </c>
      <c r="E2405">
        <v>0.50689150000000005</v>
      </c>
      <c r="F2405" t="s">
        <v>45</v>
      </c>
      <c r="G2405">
        <v>-318.12720000000002</v>
      </c>
      <c r="H2405" s="1">
        <v>4.509731E-6</v>
      </c>
      <c r="I2405">
        <v>217.2287</v>
      </c>
      <c r="J2405">
        <v>-341.06</v>
      </c>
      <c r="K2405">
        <v>1.1076919999999999</v>
      </c>
      <c r="L2405">
        <v>216.5266</v>
      </c>
      <c r="M2405">
        <v>0.99946080000000004</v>
      </c>
      <c r="N2405">
        <v>0</v>
      </c>
      <c r="O2405">
        <v>3.1404950000000001E-2</v>
      </c>
      <c r="P2405">
        <v>0.99665389999999998</v>
      </c>
      <c r="Q2405">
        <v>6.4435119999999999E-2</v>
      </c>
      <c r="R2405">
        <v>5.0291699999999898E-2</v>
      </c>
      <c r="S2405">
        <v>3.014465</v>
      </c>
      <c r="T2405">
        <v>-0.14163299999999901</v>
      </c>
      <c r="U2405">
        <v>9.2407230000000007E-2</v>
      </c>
      <c r="V2405">
        <v>-1.8845339999999999E-2</v>
      </c>
      <c r="W2405">
        <v>7.4022550000000006E-2</v>
      </c>
      <c r="X2405">
        <v>0.99707849999999998</v>
      </c>
      <c r="Y2405">
        <v>7.3114860000000003E-4</v>
      </c>
      <c r="Z2405">
        <v>-1.491257E-3</v>
      </c>
      <c r="AA2405">
        <v>0.99999859999999896</v>
      </c>
      <c r="AB2405">
        <v>65</v>
      </c>
      <c r="AC2405">
        <v>22.932799999999901</v>
      </c>
      <c r="AD2405">
        <v>-1.1076874902689999</v>
      </c>
      <c r="AE2405">
        <v>0.70210000000000095</v>
      </c>
      <c r="AF2405">
        <v>1.8439877913945399E-2</v>
      </c>
      <c r="AG2405">
        <v>-1.1076874902689999</v>
      </c>
      <c r="AH2405">
        <v>22.8901841435436</v>
      </c>
      <c r="AI2405">
        <v>92.770459465187301</v>
      </c>
      <c r="AJ2405">
        <v>89.953843667485003</v>
      </c>
      <c r="AK2405">
        <v>22.916977150805302</v>
      </c>
    </row>
    <row r="2406" spans="1:37" x14ac:dyDescent="0.2">
      <c r="A2406" t="str">
        <f>"20200111154113153"</f>
        <v>20200111154113153</v>
      </c>
      <c r="B2406" t="str">
        <f>"1578728473148994"</f>
        <v>1578728473148994</v>
      </c>
      <c r="C2406" t="s">
        <v>37</v>
      </c>
      <c r="D2406">
        <v>5.1251389999999999</v>
      </c>
      <c r="E2406">
        <v>0.50690939999999995</v>
      </c>
      <c r="F2406" t="s">
        <v>45</v>
      </c>
      <c r="G2406">
        <v>-317.17099999999999</v>
      </c>
      <c r="H2406" s="1">
        <v>4.0856719999999998E-6</v>
      </c>
      <c r="I2406">
        <v>217.24719999999999</v>
      </c>
      <c r="J2406">
        <v>-340.39420000000001</v>
      </c>
      <c r="K2406">
        <v>1.1076870000000001</v>
      </c>
      <c r="L2406">
        <v>216.54769999999999</v>
      </c>
      <c r="M2406">
        <v>0.99947779999999997</v>
      </c>
      <c r="N2406">
        <v>0</v>
      </c>
      <c r="O2406">
        <v>3.0930650000000001E-2</v>
      </c>
      <c r="P2406">
        <v>0.99664779999999997</v>
      </c>
      <c r="Q2406">
        <v>6.4873319999999998E-2</v>
      </c>
      <c r="R2406">
        <v>4.9846210000000002E-2</v>
      </c>
      <c r="S2406">
        <v>3.014526</v>
      </c>
      <c r="T2406">
        <v>-0.13977790000000001</v>
      </c>
      <c r="U2406">
        <v>9.092712E-2</v>
      </c>
      <c r="V2406">
        <v>-1.886881E-2</v>
      </c>
      <c r="W2406">
        <v>7.4240810000000004E-2</v>
      </c>
      <c r="X2406">
        <v>0.9970618</v>
      </c>
      <c r="Y2406">
        <v>7.4909529999999996E-4</v>
      </c>
      <c r="Z2406">
        <v>-1.4501779999999899E-3</v>
      </c>
      <c r="AA2406">
        <v>0.99999869999999902</v>
      </c>
      <c r="AB2406">
        <v>65</v>
      </c>
      <c r="AC2406">
        <v>23.223199999999999</v>
      </c>
      <c r="AD2406">
        <v>-1.107682914328</v>
      </c>
      <c r="AE2406">
        <v>0.69950000000000001</v>
      </c>
      <c r="AF2406">
        <v>1.9131303346268402E-2</v>
      </c>
      <c r="AG2406">
        <v>-1.107682914328</v>
      </c>
      <c r="AH2406">
        <v>23.181034723390201</v>
      </c>
      <c r="AI2406">
        <v>92.735740548216995</v>
      </c>
      <c r="AJ2406">
        <v>89.952713815300399</v>
      </c>
      <c r="AK2406">
        <v>23.2074922878903</v>
      </c>
    </row>
    <row r="2407" spans="1:37" x14ac:dyDescent="0.2">
      <c r="A2407" t="str">
        <f>"20200111154113176"</f>
        <v>20200111154113176</v>
      </c>
      <c r="B2407" t="str">
        <f>"1578728473168514"</f>
        <v>1578728473168514</v>
      </c>
      <c r="C2407" t="s">
        <v>37</v>
      </c>
      <c r="D2407">
        <v>5.1167220000000002</v>
      </c>
      <c r="E2407">
        <v>0.50693710000000003</v>
      </c>
      <c r="F2407" t="s">
        <v>45</v>
      </c>
      <c r="G2407">
        <v>-316.38929999999999</v>
      </c>
      <c r="H2407" s="1">
        <v>3.7390550000000002E-6</v>
      </c>
      <c r="I2407">
        <v>217.25659999999999</v>
      </c>
      <c r="J2407">
        <v>-339.71969999999999</v>
      </c>
      <c r="K2407">
        <v>1.107637</v>
      </c>
      <c r="L2407">
        <v>216.56870000000001</v>
      </c>
      <c r="M2407">
        <v>0.99949489999999996</v>
      </c>
      <c r="N2407">
        <v>0</v>
      </c>
      <c r="O2407">
        <v>3.0458519999999999E-2</v>
      </c>
      <c r="P2407">
        <v>0.99663489999999999</v>
      </c>
      <c r="Q2407">
        <v>6.5409620000000002E-2</v>
      </c>
      <c r="R2407">
        <v>4.9404049999999998E-2</v>
      </c>
      <c r="S2407">
        <v>3.014618</v>
      </c>
      <c r="T2407">
        <v>-0.1391068</v>
      </c>
      <c r="U2407">
        <v>8.9035030000000001E-2</v>
      </c>
      <c r="V2407">
        <v>-1.8893179999999999E-2</v>
      </c>
      <c r="W2407">
        <v>7.4489979999999997E-2</v>
      </c>
      <c r="X2407">
        <v>0.99704280000000001</v>
      </c>
      <c r="Y2407">
        <v>9.0530699999999897E-4</v>
      </c>
      <c r="Z2407">
        <v>-1.425036E-3</v>
      </c>
      <c r="AA2407">
        <v>0.99999859999999896</v>
      </c>
      <c r="AB2407">
        <v>65</v>
      </c>
      <c r="AC2407">
        <v>23.330400000000001</v>
      </c>
      <c r="AD2407">
        <v>-1.1076332609449999</v>
      </c>
      <c r="AE2407">
        <v>0.68789999999998397</v>
      </c>
      <c r="AF2407">
        <v>2.3006051420671601E-2</v>
      </c>
      <c r="AG2407">
        <v>-1.1076332609449999</v>
      </c>
      <c r="AH2407">
        <v>23.288082837256599</v>
      </c>
      <c r="AI2407">
        <v>92.723061880824901</v>
      </c>
      <c r="AJ2407">
        <v>89.943398122117998</v>
      </c>
      <c r="AK2407">
        <v>23.314420064717002</v>
      </c>
    </row>
    <row r="2408" spans="1:37" x14ac:dyDescent="0.2">
      <c r="A2408" t="str">
        <f>"20200111154113198"</f>
        <v>20200111154113198</v>
      </c>
      <c r="B2408" t="str">
        <f>"1578728473189013"</f>
        <v>1578728473189013</v>
      </c>
      <c r="C2408" t="s">
        <v>37</v>
      </c>
      <c r="D2408">
        <v>5.1302320000000003</v>
      </c>
      <c r="E2408">
        <v>0.50704159999999998</v>
      </c>
      <c r="F2408" t="s">
        <v>45</v>
      </c>
      <c r="G2408">
        <v>-315.37810000000002</v>
      </c>
      <c r="H2408" s="1">
        <v>3.29059E-6</v>
      </c>
      <c r="I2408">
        <v>217.27529999999999</v>
      </c>
      <c r="J2408">
        <v>-339.07679999999999</v>
      </c>
      <c r="K2408">
        <v>1.10759599999999</v>
      </c>
      <c r="L2408">
        <v>216.58840000000001</v>
      </c>
      <c r="M2408">
        <v>0.99951080000000003</v>
      </c>
      <c r="N2408">
        <v>0</v>
      </c>
      <c r="O2408">
        <v>3.0013439999999999E-2</v>
      </c>
      <c r="P2408">
        <v>0.99669110000000005</v>
      </c>
      <c r="Q2408">
        <v>6.5029669999999998E-2</v>
      </c>
      <c r="R2408">
        <v>4.8763300000000002E-2</v>
      </c>
      <c r="S2408">
        <v>3.0148009999999998</v>
      </c>
      <c r="T2408">
        <v>-0.13718449999999999</v>
      </c>
      <c r="U2408">
        <v>8.7509160000000002E-2</v>
      </c>
      <c r="V2408">
        <v>-1.8692029999999998E-2</v>
      </c>
      <c r="W2408">
        <v>7.3843259999999994E-2</v>
      </c>
      <c r="X2408">
        <v>0.9970947</v>
      </c>
      <c r="Y2408">
        <v>9.6873149999999997E-4</v>
      </c>
      <c r="Z2408">
        <v>-1.386504E-3</v>
      </c>
      <c r="AA2408">
        <v>0.99999859999999896</v>
      </c>
      <c r="AB2408">
        <v>65</v>
      </c>
      <c r="AC2408">
        <v>23.698699999999899</v>
      </c>
      <c r="AD2408">
        <v>-1.10759270940999</v>
      </c>
      <c r="AE2408">
        <v>0.68689999999997997</v>
      </c>
      <c r="AF2408">
        <v>2.4662672674559901E-2</v>
      </c>
      <c r="AG2408">
        <v>-1.10759270940999</v>
      </c>
      <c r="AH2408">
        <v>23.657009333393699</v>
      </c>
      <c r="AI2408">
        <v>92.680560542101802</v>
      </c>
      <c r="AJ2408">
        <v>89.940268589155494</v>
      </c>
      <c r="AK2408">
        <v>23.682936060751398</v>
      </c>
    </row>
    <row r="2409" spans="1:37" x14ac:dyDescent="0.2">
      <c r="A2409" t="str">
        <f>"20200111154113219"</f>
        <v>20200111154113219</v>
      </c>
      <c r="B2409" t="str">
        <f>"1578728473208530"</f>
        <v>1578728473208530</v>
      </c>
      <c r="C2409" t="s">
        <v>37</v>
      </c>
      <c r="D2409">
        <v>5.1282319999999997</v>
      </c>
      <c r="E2409">
        <v>0.50714009999999998</v>
      </c>
      <c r="F2409" t="s">
        <v>45</v>
      </c>
      <c r="G2409">
        <v>-314.91090000000003</v>
      </c>
      <c r="H2409" s="1">
        <v>3.0834269999999899E-6</v>
      </c>
      <c r="I2409">
        <v>217.26859999999999</v>
      </c>
      <c r="J2409">
        <v>-338.4538</v>
      </c>
      <c r="K2409">
        <v>1.1075569999999999</v>
      </c>
      <c r="L2409">
        <v>216.60730000000001</v>
      </c>
      <c r="M2409">
        <v>0.99952559999999901</v>
      </c>
      <c r="N2409">
        <v>0</v>
      </c>
      <c r="O2409">
        <v>2.9582560000000001E-2</v>
      </c>
      <c r="P2409">
        <v>0.99674019999999997</v>
      </c>
      <c r="Q2409">
        <v>6.490572E-2</v>
      </c>
      <c r="R2409">
        <v>4.791807E-2</v>
      </c>
      <c r="S2409">
        <v>3.0148619999999999</v>
      </c>
      <c r="T2409">
        <v>-0.13817989999999999</v>
      </c>
      <c r="U2409">
        <v>8.485413E-2</v>
      </c>
      <c r="V2409">
        <v>-1.8273620000000001E-2</v>
      </c>
      <c r="W2409">
        <v>7.3492329999999995E-2</v>
      </c>
      <c r="X2409">
        <v>0.99712839999999903</v>
      </c>
      <c r="Y2409">
        <v>1.4176099999999999E-3</v>
      </c>
      <c r="Z2409">
        <v>-1.3870999999999901E-3</v>
      </c>
      <c r="AA2409">
        <v>0.99999799999999905</v>
      </c>
      <c r="AB2409">
        <v>65</v>
      </c>
      <c r="AC2409">
        <v>23.5428999999999</v>
      </c>
      <c r="AD2409">
        <v>-1.107553916573</v>
      </c>
      <c r="AE2409">
        <v>0.66129999999998201</v>
      </c>
      <c r="AF2409">
        <v>3.5396000591556898E-2</v>
      </c>
      <c r="AG2409">
        <v>-1.107553916573</v>
      </c>
      <c r="AH2409">
        <v>23.500190806668499</v>
      </c>
      <c r="AI2409">
        <v>92.698325808031797</v>
      </c>
      <c r="AJ2409">
        <v>89.913701129978307</v>
      </c>
      <c r="AK2409">
        <v>23.526302227609101</v>
      </c>
    </row>
    <row r="2410" spans="1:37" x14ac:dyDescent="0.2">
      <c r="A2410" t="str">
        <f>"20200111154113243"</f>
        <v>20200111154113243</v>
      </c>
      <c r="B2410" t="str">
        <f>"1578728473238317"</f>
        <v>1578728473238317</v>
      </c>
      <c r="C2410" t="s">
        <v>37</v>
      </c>
      <c r="D2410">
        <v>5.1325149999999997</v>
      </c>
      <c r="E2410">
        <v>0.50739339999999999</v>
      </c>
      <c r="F2410" t="s">
        <v>45</v>
      </c>
      <c r="G2410">
        <v>-314.37990000000002</v>
      </c>
      <c r="H2410" s="1">
        <v>2.8479379999999899E-6</v>
      </c>
      <c r="I2410">
        <v>217.2567</v>
      </c>
      <c r="J2410">
        <v>-337.79880000000003</v>
      </c>
      <c r="K2410">
        <v>1.1075349999999999</v>
      </c>
      <c r="L2410">
        <v>216.6268</v>
      </c>
      <c r="M2410">
        <v>0.99954069999999995</v>
      </c>
      <c r="N2410">
        <v>0</v>
      </c>
      <c r="O2410">
        <v>2.91247E-2</v>
      </c>
      <c r="P2410">
        <v>0.99678269999999902</v>
      </c>
      <c r="Q2410">
        <v>6.4592910000000003E-2</v>
      </c>
      <c r="R2410">
        <v>4.7456070000000003E-2</v>
      </c>
      <c r="S2410">
        <v>3.014923</v>
      </c>
      <c r="T2410">
        <v>-0.13870550000000001</v>
      </c>
      <c r="U2410">
        <v>8.1329349999999995E-2</v>
      </c>
      <c r="V2410">
        <v>-1.8265759999999999E-2</v>
      </c>
      <c r="W2410">
        <v>7.2975399999999996E-2</v>
      </c>
      <c r="X2410">
        <v>0.99716649999999996</v>
      </c>
      <c r="Y2410">
        <v>2.127763E-3</v>
      </c>
      <c r="Z2410">
        <v>-1.387653E-3</v>
      </c>
      <c r="AA2410">
        <v>0.99999680000000002</v>
      </c>
      <c r="AB2410">
        <v>66</v>
      </c>
      <c r="AC2410">
        <v>23.418900000000001</v>
      </c>
      <c r="AD2410">
        <v>-1.1075321520619901</v>
      </c>
      <c r="AE2410">
        <v>0.62989999999999202</v>
      </c>
      <c r="AF2410">
        <v>5.23426071930033E-2</v>
      </c>
      <c r="AG2410">
        <v>-1.1075321520619901</v>
      </c>
      <c r="AH2410">
        <v>23.375069120924799</v>
      </c>
      <c r="AI2410">
        <v>92.712690896912804</v>
      </c>
      <c r="AJ2410">
        <v>89.871700680208093</v>
      </c>
      <c r="AK2410">
        <v>23.401350893151299</v>
      </c>
    </row>
    <row r="2411" spans="1:37" x14ac:dyDescent="0.2">
      <c r="A2411" t="str">
        <f>"20200111154113266"</f>
        <v>20200111154113266</v>
      </c>
      <c r="B2411" t="str">
        <f>"1578728473258813"</f>
        <v>1578728473258813</v>
      </c>
      <c r="C2411" t="s">
        <v>37</v>
      </c>
      <c r="D2411">
        <v>5.1199009999999996</v>
      </c>
      <c r="E2411">
        <v>0.507517</v>
      </c>
      <c r="F2411" t="s">
        <v>45</v>
      </c>
      <c r="G2411">
        <v>-313.89780000000002</v>
      </c>
      <c r="H2411" s="1">
        <v>2.63416299999999E-6</v>
      </c>
      <c r="I2411">
        <v>217.24019999999999</v>
      </c>
      <c r="J2411">
        <v>-337.0992</v>
      </c>
      <c r="K2411">
        <v>1.10751</v>
      </c>
      <c r="L2411">
        <v>216.6473</v>
      </c>
      <c r="M2411">
        <v>0.99955680000000002</v>
      </c>
      <c r="N2411">
        <v>0</v>
      </c>
      <c r="O2411">
        <v>2.862466E-2</v>
      </c>
      <c r="P2411">
        <v>0.99682539999999997</v>
      </c>
      <c r="Q2411">
        <v>6.4052600000000001E-2</v>
      </c>
      <c r="R2411">
        <v>4.729411E-2</v>
      </c>
      <c r="S2411">
        <v>3.0150450000000002</v>
      </c>
      <c r="T2411">
        <v>-0.13971220000000001</v>
      </c>
      <c r="U2411">
        <v>7.7377319999999999E-2</v>
      </c>
      <c r="V2411">
        <v>-1.8601489999999998E-2</v>
      </c>
      <c r="W2411">
        <v>7.2250620000000002E-2</v>
      </c>
      <c r="X2411">
        <v>0.99721299999999902</v>
      </c>
      <c r="Y2411">
        <v>2.9375829999999901E-3</v>
      </c>
      <c r="Z2411">
        <v>-1.3932910000000001E-3</v>
      </c>
      <c r="AA2411">
        <v>0.99999470000000001</v>
      </c>
      <c r="AB2411">
        <v>66</v>
      </c>
      <c r="AC2411">
        <v>23.2013999999999</v>
      </c>
      <c r="AD2411">
        <v>-1.107507365837</v>
      </c>
      <c r="AE2411">
        <v>0.59289999999998599</v>
      </c>
      <c r="AF2411">
        <v>7.1334912567255895E-2</v>
      </c>
      <c r="AG2411">
        <v>-1.107507365837</v>
      </c>
      <c r="AH2411">
        <v>23.156135521117399</v>
      </c>
      <c r="AI2411">
        <v>92.738232329755903</v>
      </c>
      <c r="AJ2411">
        <v>89.823494879399504</v>
      </c>
      <c r="AK2411">
        <v>23.182714972744002</v>
      </c>
    </row>
    <row r="2412" spans="1:37" x14ac:dyDescent="0.2">
      <c r="A2412" t="str">
        <f>"20200111154113289"</f>
        <v>20200111154113289</v>
      </c>
      <c r="B2412" t="str">
        <f>"1578728473278333"</f>
        <v>1578728473278333</v>
      </c>
      <c r="C2412" t="s">
        <v>37</v>
      </c>
      <c r="D2412">
        <v>5.1284700000000001</v>
      </c>
      <c r="E2412">
        <v>0.50761080000000003</v>
      </c>
      <c r="F2412" t="s">
        <v>45</v>
      </c>
      <c r="G2412">
        <v>-313.48520000000002</v>
      </c>
      <c r="H2412" s="1">
        <v>2.45117799999999E-6</v>
      </c>
      <c r="I2412">
        <v>217.2388</v>
      </c>
      <c r="J2412">
        <v>-336.42110000000002</v>
      </c>
      <c r="K2412">
        <v>1.107488</v>
      </c>
      <c r="L2412">
        <v>216.6669</v>
      </c>
      <c r="M2412">
        <v>0.99957229999999997</v>
      </c>
      <c r="N2412">
        <v>0</v>
      </c>
      <c r="O2412">
        <v>2.8128070000000002E-2</v>
      </c>
      <c r="P2412">
        <v>0.99685400000000002</v>
      </c>
      <c r="Q2412">
        <v>6.3767210000000005E-2</v>
      </c>
      <c r="R2412">
        <v>4.7075970000000002E-2</v>
      </c>
      <c r="S2412">
        <v>3.0150450000000002</v>
      </c>
      <c r="T2412">
        <v>-0.141407</v>
      </c>
      <c r="U2412">
        <v>7.5515750000000006E-2</v>
      </c>
      <c r="V2412">
        <v>-1.8876460000000001E-2</v>
      </c>
      <c r="W2412">
        <v>7.1811639999999996E-2</v>
      </c>
      <c r="X2412">
        <v>0.9972396</v>
      </c>
      <c r="Y2412">
        <v>3.0573609999999898E-3</v>
      </c>
      <c r="Z2412">
        <v>-1.38973E-3</v>
      </c>
      <c r="AA2412">
        <v>0.9999943</v>
      </c>
      <c r="AB2412">
        <v>66</v>
      </c>
      <c r="AC2412">
        <v>22.9359</v>
      </c>
      <c r="AD2412">
        <v>-1.1074855488219999</v>
      </c>
      <c r="AE2412">
        <v>0.57189999999999896</v>
      </c>
      <c r="AF2412">
        <v>7.3318715137581397E-2</v>
      </c>
      <c r="AG2412">
        <v>-1.1074855488219999</v>
      </c>
      <c r="AH2412">
        <v>22.889576263409399</v>
      </c>
      <c r="AI2412">
        <v>92.770015328578907</v>
      </c>
      <c r="AJ2412">
        <v>89.816473729294501</v>
      </c>
      <c r="AK2412">
        <v>22.916470090161699</v>
      </c>
    </row>
    <row r="2413" spans="1:37" x14ac:dyDescent="0.2">
      <c r="A2413" t="str">
        <f>"20200111154113309"</f>
        <v>20200111154113309</v>
      </c>
      <c r="B2413" t="str">
        <f>"1578728473298832"</f>
        <v>1578728473298832</v>
      </c>
      <c r="C2413" t="s">
        <v>37</v>
      </c>
      <c r="D2413">
        <v>5.1189919999999898</v>
      </c>
      <c r="E2413">
        <v>0.50775300000000001</v>
      </c>
      <c r="F2413" t="s">
        <v>45</v>
      </c>
      <c r="G2413">
        <v>-313.04270000000002</v>
      </c>
      <c r="H2413" s="1">
        <v>2.2549709999999998E-6</v>
      </c>
      <c r="I2413">
        <v>217.24090000000001</v>
      </c>
      <c r="J2413">
        <v>-335.80860000000001</v>
      </c>
      <c r="K2413">
        <v>1.107461</v>
      </c>
      <c r="L2413">
        <v>216.6842</v>
      </c>
      <c r="M2413">
        <v>0.99958590000000003</v>
      </c>
      <c r="N2413">
        <v>0</v>
      </c>
      <c r="O2413">
        <v>2.7670420000000001E-2</v>
      </c>
      <c r="P2413">
        <v>0.99685480000000004</v>
      </c>
      <c r="Q2413">
        <v>6.3099150000000007E-2</v>
      </c>
      <c r="R2413">
        <v>4.7947690000000001E-2</v>
      </c>
      <c r="S2413">
        <v>3.0151059999999998</v>
      </c>
      <c r="T2413">
        <v>-0.1428326</v>
      </c>
      <c r="U2413">
        <v>7.403564E-2</v>
      </c>
      <c r="V2413">
        <v>-2.0203329999999999E-2</v>
      </c>
      <c r="W2413">
        <v>7.1024950000000003E-2</v>
      </c>
      <c r="X2413">
        <v>0.99726990000000004</v>
      </c>
      <c r="Y2413">
        <v>3.0903770000000001E-3</v>
      </c>
      <c r="Z2413">
        <v>-1.3828320000000001E-3</v>
      </c>
      <c r="AA2413">
        <v>0.9999943</v>
      </c>
      <c r="AB2413">
        <v>66</v>
      </c>
      <c r="AC2413">
        <v>22.765899999999899</v>
      </c>
      <c r="AD2413">
        <v>-1.1074587450290001</v>
      </c>
      <c r="AE2413">
        <v>0.55670000000000597</v>
      </c>
      <c r="AF2413">
        <v>7.33014798435868E-2</v>
      </c>
      <c r="AG2413">
        <v>-1.1074587450290001</v>
      </c>
      <c r="AH2413">
        <v>22.7188575670822</v>
      </c>
      <c r="AI2413">
        <v>92.790729914772399</v>
      </c>
      <c r="AJ2413">
        <v>89.815138114176804</v>
      </c>
      <c r="AK2413">
        <v>22.745951884505899</v>
      </c>
    </row>
    <row r="2414" spans="1:37" x14ac:dyDescent="0.2">
      <c r="A2414" t="str">
        <f>"20200111154113332"</f>
        <v>20200111154113332</v>
      </c>
      <c r="B2414" t="str">
        <f>"1578728473329085"</f>
        <v>1578728473329085</v>
      </c>
      <c r="C2414" t="s">
        <v>37</v>
      </c>
      <c r="D2414">
        <v>5.1482479999999997</v>
      </c>
      <c r="E2414">
        <v>0.50788759999999999</v>
      </c>
      <c r="F2414" t="s">
        <v>45</v>
      </c>
      <c r="G2414">
        <v>-312.86279999999999</v>
      </c>
      <c r="H2414" s="1">
        <v>2.17517599999999E-6</v>
      </c>
      <c r="I2414">
        <v>217.25810000000001</v>
      </c>
      <c r="J2414">
        <v>-335.15820000000002</v>
      </c>
      <c r="K2414">
        <v>1.10744</v>
      </c>
      <c r="L2414">
        <v>216.70240000000001</v>
      </c>
      <c r="M2414">
        <v>0.999600499999999</v>
      </c>
      <c r="N2414">
        <v>0</v>
      </c>
      <c r="O2414">
        <v>2.7169209999999999E-2</v>
      </c>
      <c r="P2414">
        <v>0.9968167</v>
      </c>
      <c r="Q2414">
        <v>6.2866930000000001E-2</v>
      </c>
      <c r="R2414">
        <v>4.9036099999999999E-2</v>
      </c>
      <c r="S2414">
        <v>3.015015</v>
      </c>
      <c r="T2414">
        <v>-0.14551710000000001</v>
      </c>
      <c r="U2414">
        <v>7.5408939999999994E-2</v>
      </c>
      <c r="V2414">
        <v>-2.1791169999999999E-2</v>
      </c>
      <c r="W2414">
        <v>7.0684880000000005E-2</v>
      </c>
      <c r="X2414">
        <v>0.99726059999999905</v>
      </c>
      <c r="Y2414">
        <v>2.1333810000000002E-3</v>
      </c>
      <c r="Z2414">
        <v>-1.3615839999999899E-3</v>
      </c>
      <c r="AA2414">
        <v>0.99999680000000002</v>
      </c>
      <c r="AB2414">
        <v>66</v>
      </c>
      <c r="AC2414">
        <v>22.295400000000001</v>
      </c>
      <c r="AD2414">
        <v>-1.107437824824</v>
      </c>
      <c r="AE2414">
        <v>0.55570000000000097</v>
      </c>
      <c r="AF2414">
        <v>5.0148281805225098E-2</v>
      </c>
      <c r="AG2414">
        <v>-1.107437824824</v>
      </c>
      <c r="AH2414">
        <v>22.247412296681301</v>
      </c>
      <c r="AI2414">
        <v>92.849725677092493</v>
      </c>
      <c r="AJ2414">
        <v>89.870848798388707</v>
      </c>
      <c r="AK2414">
        <v>22.275014866090402</v>
      </c>
    </row>
    <row r="2415" spans="1:37" x14ac:dyDescent="0.2">
      <c r="A2415" t="str">
        <f>"20200111154113355"</f>
        <v>20200111154113355</v>
      </c>
      <c r="B2415" t="str">
        <f>"1578728473348606"</f>
        <v>1578728473348606</v>
      </c>
      <c r="C2415" t="s">
        <v>37</v>
      </c>
      <c r="D2415">
        <v>5.2613629999999896</v>
      </c>
      <c r="E2415">
        <v>0.5078992</v>
      </c>
      <c r="F2415" t="s">
        <v>45</v>
      </c>
      <c r="G2415">
        <v>-312.48140000000001</v>
      </c>
      <c r="H2415" s="1">
        <v>2.0060279999999999E-6</v>
      </c>
      <c r="I2415">
        <v>217.2852</v>
      </c>
      <c r="J2415">
        <v>-334.47719999999998</v>
      </c>
      <c r="K2415">
        <v>1.107416</v>
      </c>
      <c r="L2415">
        <v>216.72099999999901</v>
      </c>
      <c r="M2415">
        <v>0.99961610000000001</v>
      </c>
      <c r="N2415">
        <v>0</v>
      </c>
      <c r="O2415">
        <v>2.6621789999999999E-2</v>
      </c>
      <c r="P2415">
        <v>0.99674969999999996</v>
      </c>
      <c r="Q2415">
        <v>6.3625089999999995E-2</v>
      </c>
      <c r="R2415">
        <v>4.9416269999999998E-2</v>
      </c>
      <c r="S2415">
        <v>3.0150759999999899</v>
      </c>
      <c r="T2415">
        <v>-0.14724329999999999</v>
      </c>
      <c r="U2415">
        <v>7.7499390000000001E-2</v>
      </c>
      <c r="V2415">
        <v>-2.2713569999999999E-2</v>
      </c>
      <c r="W2415">
        <v>7.1346010000000001E-2</v>
      </c>
      <c r="X2415">
        <v>0.997193</v>
      </c>
      <c r="Y2415">
        <v>8.9466009999999996E-4</v>
      </c>
      <c r="Z2415">
        <v>-1.3207469999999999E-3</v>
      </c>
      <c r="AA2415">
        <v>0.99999869999999902</v>
      </c>
      <c r="AB2415">
        <v>66</v>
      </c>
      <c r="AC2415">
        <v>21.9957999999999</v>
      </c>
      <c r="AD2415">
        <v>-1.107413993972</v>
      </c>
      <c r="AE2415">
        <v>0.56420000000002701</v>
      </c>
      <c r="AF2415">
        <v>2.15302622765071E-2</v>
      </c>
      <c r="AG2415">
        <v>-1.107413993972</v>
      </c>
      <c r="AH2415">
        <v>21.947428833862599</v>
      </c>
      <c r="AI2415">
        <v>92.888554866320305</v>
      </c>
      <c r="AJ2415">
        <v>89.943793290144498</v>
      </c>
      <c r="AK2415">
        <v>21.975360332056098</v>
      </c>
    </row>
    <row r="2416" spans="1:37" x14ac:dyDescent="0.2">
      <c r="A2416" t="str">
        <f>"20200111154113378"</f>
        <v>20200111154113378</v>
      </c>
      <c r="B2416" t="str">
        <f>"1578728473368125"</f>
        <v>1578728473368125</v>
      </c>
      <c r="C2416" t="s">
        <v>37</v>
      </c>
      <c r="D2416">
        <v>5.1918839999999999</v>
      </c>
      <c r="E2416">
        <v>0.53239080000000005</v>
      </c>
      <c r="F2416" t="s">
        <v>45</v>
      </c>
      <c r="G2416">
        <v>-311.50330000000002</v>
      </c>
      <c r="H2416" s="1">
        <v>1.572279E-6</v>
      </c>
      <c r="I2416">
        <v>217.31880000000001</v>
      </c>
      <c r="J2416">
        <v>-333.77429999999998</v>
      </c>
      <c r="K2416">
        <v>1.1073809999999999</v>
      </c>
      <c r="L2416">
        <v>216.73990000000001</v>
      </c>
      <c r="M2416">
        <v>0.99963239999999998</v>
      </c>
      <c r="N2416">
        <v>0</v>
      </c>
      <c r="O2416">
        <v>2.602486E-2</v>
      </c>
      <c r="P2416">
        <v>0.99672879999999997</v>
      </c>
      <c r="Q2416">
        <v>6.4266299999999998E-2</v>
      </c>
      <c r="R2416">
        <v>4.9004989999999998E-2</v>
      </c>
      <c r="S2416">
        <v>3.0151669999999999</v>
      </c>
      <c r="T2416">
        <v>-0.14534029999999901</v>
      </c>
      <c r="U2416">
        <v>7.846069E-2</v>
      </c>
      <c r="V2416">
        <v>-2.2892389999999999E-2</v>
      </c>
      <c r="W2416">
        <v>7.1902930000000004E-2</v>
      </c>
      <c r="X2416">
        <v>0.9971489</v>
      </c>
      <c r="Y2416" s="1">
        <v>-1.774543E-5</v>
      </c>
      <c r="Z2416">
        <v>-1.2529349999999999E-3</v>
      </c>
      <c r="AA2416">
        <v>0.99999919999999998</v>
      </c>
      <c r="AB2416">
        <v>66</v>
      </c>
      <c r="AC2416">
        <v>22.270999999999901</v>
      </c>
      <c r="AD2416">
        <v>-1.1073794277209901</v>
      </c>
      <c r="AE2416">
        <v>0.57890000000000397</v>
      </c>
      <c r="AF2416">
        <v>9.1023813231238995E-4</v>
      </c>
      <c r="AG2416">
        <v>-1.1073794277209901</v>
      </c>
      <c r="AH2416">
        <v>22.223614614132899</v>
      </c>
      <c r="AI2416">
        <v>92.852629256395801</v>
      </c>
      <c r="AJ2416">
        <v>89.997653270891803</v>
      </c>
      <c r="AK2416">
        <v>22.2511873063659</v>
      </c>
    </row>
    <row r="2417" spans="1:37" x14ac:dyDescent="0.2">
      <c r="A2417" t="str">
        <f>"20200111154113399"</f>
        <v>20200111154113399</v>
      </c>
      <c r="B2417" t="str">
        <f>"1578728473388620"</f>
        <v>1578728473388620</v>
      </c>
      <c r="C2417" t="s">
        <v>37</v>
      </c>
      <c r="D2417">
        <v>5.1752940000000001</v>
      </c>
      <c r="E2417">
        <v>0.53484370000000003</v>
      </c>
      <c r="F2417" t="s">
        <v>45</v>
      </c>
      <c r="G2417">
        <v>-311.96319999999997</v>
      </c>
      <c r="H2417" s="1">
        <v>1.776237E-6</v>
      </c>
      <c r="I2417">
        <v>215.8878</v>
      </c>
      <c r="J2417">
        <v>-333.14850000000001</v>
      </c>
      <c r="K2417">
        <v>1.1073360000000001</v>
      </c>
      <c r="L2417">
        <v>216.75630000000001</v>
      </c>
      <c r="M2417">
        <v>0.99964759999999997</v>
      </c>
      <c r="N2417">
        <v>0</v>
      </c>
      <c r="O2417">
        <v>2.545716E-2</v>
      </c>
      <c r="P2417">
        <v>0.99674580000000002</v>
      </c>
      <c r="Q2417">
        <v>6.4366519999999997E-2</v>
      </c>
      <c r="R2417">
        <v>4.8527710000000002E-2</v>
      </c>
      <c r="S2417">
        <v>3.0255429999999999</v>
      </c>
      <c r="T2417">
        <v>-0.1536111</v>
      </c>
      <c r="U2417">
        <v>-0.1181946</v>
      </c>
      <c r="V2417">
        <v>-2.2975059999999999E-2</v>
      </c>
      <c r="W2417">
        <v>7.1940519999999994E-2</v>
      </c>
      <c r="X2417">
        <v>0.99714429999999998</v>
      </c>
      <c r="Y2417">
        <v>6.4346100000000003E-2</v>
      </c>
      <c r="Z2417">
        <v>-2.9230630000000001E-3</v>
      </c>
      <c r="AA2417">
        <v>0.99792340000000002</v>
      </c>
      <c r="AB2417">
        <v>66</v>
      </c>
      <c r="AC2417">
        <v>21.185300000000002</v>
      </c>
      <c r="AD2417">
        <v>-1.1073342237629999</v>
      </c>
      <c r="AE2417">
        <v>-0.86850000000001104</v>
      </c>
      <c r="AF2417">
        <v>1.4037227503584999</v>
      </c>
      <c r="AG2417">
        <v>-1.1073342237629999</v>
      </c>
      <c r="AH2417">
        <v>21.098777438722799</v>
      </c>
      <c r="AI2417">
        <v>92.997702179106398</v>
      </c>
      <c r="AJ2417">
        <v>86.193663999265297</v>
      </c>
      <c r="AK2417">
        <v>21.174395765918501</v>
      </c>
    </row>
    <row r="2418" spans="1:37" x14ac:dyDescent="0.2">
      <c r="A2418" t="str">
        <f>"20200111154113421"</f>
        <v>20200111154113421</v>
      </c>
      <c r="B2418" t="str">
        <f>"1578728473408144"</f>
        <v>1578728473408144</v>
      </c>
      <c r="C2418" t="s">
        <v>37</v>
      </c>
      <c r="D2418">
        <v>5.202833</v>
      </c>
      <c r="E2418">
        <v>0.5353658</v>
      </c>
      <c r="F2418" t="s">
        <v>45</v>
      </c>
      <c r="G2418">
        <v>-310.42989999999998</v>
      </c>
      <c r="H2418" s="1">
        <v>1.0962899999999999E-6</v>
      </c>
      <c r="I2418">
        <v>215.70959999999999</v>
      </c>
      <c r="J2418">
        <v>-332.5095</v>
      </c>
      <c r="K2418">
        <v>1.107283</v>
      </c>
      <c r="L2418">
        <v>216.77269999999999</v>
      </c>
      <c r="M2418">
        <v>0.99966359999999999</v>
      </c>
      <c r="N2418">
        <v>0</v>
      </c>
      <c r="O2418">
        <v>2.483453E-2</v>
      </c>
      <c r="P2418">
        <v>0.99682649999999995</v>
      </c>
      <c r="Q2418">
        <v>6.3921790000000006E-2</v>
      </c>
      <c r="R2418">
        <v>4.7442159999999997E-2</v>
      </c>
      <c r="S2418">
        <v>3.0260929999999999</v>
      </c>
      <c r="T2418">
        <v>-0.14749589999999899</v>
      </c>
      <c r="U2418">
        <v>-0.1394196</v>
      </c>
      <c r="V2418">
        <v>-2.2502769999999998E-2</v>
      </c>
      <c r="W2418">
        <v>7.1443019999999996E-2</v>
      </c>
      <c r="X2418">
        <v>0.99719080000000004</v>
      </c>
      <c r="Y2418">
        <v>7.0705149999999994E-2</v>
      </c>
      <c r="Z2418">
        <v>-2.9304229999999902E-3</v>
      </c>
      <c r="AA2418">
        <v>0.99749299999999996</v>
      </c>
      <c r="AB2418">
        <v>66</v>
      </c>
      <c r="AC2418">
        <v>22.079599999999999</v>
      </c>
      <c r="AD2418">
        <v>-1.1072819037099999</v>
      </c>
      <c r="AE2418">
        <v>-1.0630999999999899</v>
      </c>
      <c r="AF2418">
        <v>1.60709147024673</v>
      </c>
      <c r="AG2418">
        <v>-1.1072819037099999</v>
      </c>
      <c r="AH2418">
        <v>21.991207943378001</v>
      </c>
      <c r="AI2418">
        <v>92.874818907434602</v>
      </c>
      <c r="AJ2418">
        <v>85.820322164982599</v>
      </c>
      <c r="AK2418">
        <v>22.077636717205799</v>
      </c>
    </row>
    <row r="2419" spans="1:37" x14ac:dyDescent="0.2">
      <c r="A2419" t="str">
        <f>"20200111154113444"</f>
        <v>20200111154113444</v>
      </c>
      <c r="B2419" t="str">
        <f>"1578728473438905"</f>
        <v>1578728473438905</v>
      </c>
      <c r="C2419" t="s">
        <v>37</v>
      </c>
      <c r="D2419">
        <v>5.2103820000000001</v>
      </c>
      <c r="E2419">
        <v>0.53532690000000005</v>
      </c>
      <c r="F2419" t="s">
        <v>45</v>
      </c>
      <c r="G2419">
        <v>-309.87040000000002</v>
      </c>
      <c r="H2419" s="1">
        <v>9.0242069999999995E-7</v>
      </c>
      <c r="I2419">
        <v>215.673</v>
      </c>
      <c r="J2419">
        <v>-331.80529999999999</v>
      </c>
      <c r="K2419">
        <v>1.1072139999999999</v>
      </c>
      <c r="L2419">
        <v>216.7903</v>
      </c>
      <c r="M2419">
        <v>0.99968230000000002</v>
      </c>
      <c r="N2419">
        <v>0</v>
      </c>
      <c r="O2419">
        <v>2.4087480000000001E-2</v>
      </c>
      <c r="P2419">
        <v>0.99683790000000005</v>
      </c>
      <c r="Q2419">
        <v>6.4200300000000002E-2</v>
      </c>
      <c r="R2419">
        <v>4.6825749999999999E-2</v>
      </c>
      <c r="S2419">
        <v>3.026062</v>
      </c>
      <c r="T2419">
        <v>-0.14800479999999899</v>
      </c>
      <c r="U2419">
        <v>-0.14698789999999901</v>
      </c>
      <c r="V2419">
        <v>-2.2620790000000002E-2</v>
      </c>
      <c r="W2419">
        <v>7.1675119999999995E-2</v>
      </c>
      <c r="X2419">
        <v>0.99717149999999999</v>
      </c>
      <c r="Y2419">
        <v>7.2447349999999994E-2</v>
      </c>
      <c r="Z2419">
        <v>-2.9464449999999998E-3</v>
      </c>
      <c r="AA2419">
        <v>0.99736789999999997</v>
      </c>
      <c r="AB2419">
        <v>67</v>
      </c>
      <c r="AC2419">
        <v>21.934899999999899</v>
      </c>
      <c r="AD2419">
        <v>-1.1072130975793</v>
      </c>
      <c r="AE2419">
        <v>-1.1173</v>
      </c>
      <c r="AF2419">
        <v>1.6411760076086299</v>
      </c>
      <c r="AG2419">
        <v>-1.1072130975793</v>
      </c>
      <c r="AH2419">
        <v>21.846102898784</v>
      </c>
      <c r="AI2419">
        <v>92.893266542624801</v>
      </c>
      <c r="AJ2419">
        <v>85.703757354399002</v>
      </c>
      <c r="AK2419">
        <v>21.935623797732699</v>
      </c>
    </row>
    <row r="2420" spans="1:37" x14ac:dyDescent="0.2">
      <c r="A2420" t="str">
        <f>"20200111154113467"</f>
        <v>20200111154113467</v>
      </c>
      <c r="B2420" t="str">
        <f>"1578728473458424"</f>
        <v>1578728473458424</v>
      </c>
      <c r="C2420" t="s">
        <v>37</v>
      </c>
      <c r="D2420">
        <v>5.2440639999999998</v>
      </c>
      <c r="E2420">
        <v>0.53518369999999904</v>
      </c>
      <c r="F2420" t="s">
        <v>38</v>
      </c>
      <c r="G2420">
        <v>-330.51659999999998</v>
      </c>
      <c r="H2420">
        <v>1.045639</v>
      </c>
      <c r="I2420">
        <v>216.7269</v>
      </c>
      <c r="J2420">
        <v>-331.11020000000002</v>
      </c>
      <c r="K2420">
        <v>1.1071389999999901</v>
      </c>
      <c r="L2420">
        <v>216.80709999999999</v>
      </c>
      <c r="M2420">
        <v>0.99970159999999997</v>
      </c>
      <c r="N2420">
        <v>0</v>
      </c>
      <c r="O2420">
        <v>2.328067E-2</v>
      </c>
      <c r="P2420">
        <v>0.99688480000000002</v>
      </c>
      <c r="Q2420">
        <v>6.4037170000000004E-2</v>
      </c>
      <c r="R2420">
        <v>4.6046129999999998E-2</v>
      </c>
      <c r="S2420">
        <v>3.0258180000000001</v>
      </c>
      <c r="T2420">
        <v>-0.14461689999999999</v>
      </c>
      <c r="U2420">
        <v>-0.14869689999999999</v>
      </c>
      <c r="V2420">
        <v>-2.2634899999999999E-2</v>
      </c>
      <c r="W2420">
        <v>7.1476789999999998E-2</v>
      </c>
      <c r="X2420">
        <v>0.997185399999999</v>
      </c>
      <c r="Y2420">
        <v>7.2214650000000005E-2</v>
      </c>
      <c r="Z2420">
        <v>-2.835195E-3</v>
      </c>
      <c r="AA2420">
        <v>0.99738510000000002</v>
      </c>
      <c r="AB2420">
        <v>67</v>
      </c>
      <c r="AC2420">
        <v>0.59360000000003699</v>
      </c>
      <c r="AD2420">
        <v>-6.1499999999999798E-2</v>
      </c>
      <c r="AE2420">
        <v>-8.0199999999990695E-2</v>
      </c>
      <c r="AF2420">
        <v>9.3017493303679602E-2</v>
      </c>
      <c r="AG2420">
        <v>-6.1499999999999798E-2</v>
      </c>
      <c r="AH2420">
        <v>0.58540088779431099</v>
      </c>
      <c r="AI2420">
        <v>95.923505384800805</v>
      </c>
      <c r="AJ2420">
        <v>80.971444279191502</v>
      </c>
      <c r="AK2420">
        <v>0.595926760173486</v>
      </c>
    </row>
    <row r="2421" spans="1:37" x14ac:dyDescent="0.2">
      <c r="A2421" t="str">
        <f>"20200111154113489"</f>
        <v>20200111154113489</v>
      </c>
      <c r="B2421" t="str">
        <f>"1578728473478921"</f>
        <v>1578728473478921</v>
      </c>
      <c r="C2421" t="s">
        <v>37</v>
      </c>
      <c r="D2421">
        <v>5.2622210000000003</v>
      </c>
      <c r="E2421">
        <v>0.53507269999999996</v>
      </c>
      <c r="F2421" t="s">
        <v>38</v>
      </c>
      <c r="G2421">
        <v>-329.9135</v>
      </c>
      <c r="H2421">
        <v>1.05044</v>
      </c>
      <c r="I2421">
        <v>216.7475</v>
      </c>
      <c r="J2421">
        <v>-330.45499999999998</v>
      </c>
      <c r="K2421">
        <v>1.107057</v>
      </c>
      <c r="L2421">
        <v>216.82239999999999</v>
      </c>
      <c r="M2421">
        <v>0.99972059999999996</v>
      </c>
      <c r="N2421">
        <v>0</v>
      </c>
      <c r="O2421">
        <v>2.2464069999999999E-2</v>
      </c>
      <c r="P2421">
        <v>0.99687019999999904</v>
      </c>
      <c r="Q2421">
        <v>6.4224409999999996E-2</v>
      </c>
      <c r="R2421">
        <v>4.6100580000000002E-2</v>
      </c>
      <c r="S2421">
        <v>3.0255130000000001</v>
      </c>
      <c r="T2421">
        <v>-0.14343939999999999</v>
      </c>
      <c r="U2421">
        <v>-0.1500244</v>
      </c>
      <c r="V2421">
        <v>-2.3492409999999998E-2</v>
      </c>
      <c r="W2421">
        <v>7.1640880000000004E-2</v>
      </c>
      <c r="X2421">
        <v>0.99715379999999998</v>
      </c>
      <c r="Y2421">
        <v>7.1844500000000006E-2</v>
      </c>
      <c r="Z2421">
        <v>-2.7649520000000002E-3</v>
      </c>
      <c r="AA2421">
        <v>0.99741199999999997</v>
      </c>
      <c r="AB2421">
        <v>67</v>
      </c>
      <c r="AC2421">
        <v>0.54149999999998499</v>
      </c>
      <c r="AD2421">
        <v>-5.6616999999999897E-2</v>
      </c>
      <c r="AE2421">
        <v>-7.4899999999985298E-2</v>
      </c>
      <c r="AF2421">
        <v>8.6121916757217407E-2</v>
      </c>
      <c r="AG2421">
        <v>-5.6616999999999897E-2</v>
      </c>
      <c r="AH2421">
        <v>0.53395318439576001</v>
      </c>
      <c r="AI2421">
        <v>95.976000516603307</v>
      </c>
      <c r="AJ2421">
        <v>80.837607418019303</v>
      </c>
      <c r="AK2421">
        <v>0.54380922423337896</v>
      </c>
    </row>
    <row r="2422" spans="1:37" x14ac:dyDescent="0.2">
      <c r="A2422" t="str">
        <f>"20200111154113511"</f>
        <v>20200111154113511</v>
      </c>
      <c r="B2422" t="str">
        <f>"1578728473498441"</f>
        <v>1578728473498441</v>
      </c>
      <c r="C2422" t="s">
        <v>37</v>
      </c>
      <c r="D2422">
        <v>5.2247440000000003</v>
      </c>
      <c r="E2422">
        <v>0.53497419999999996</v>
      </c>
      <c r="F2422" t="s">
        <v>38</v>
      </c>
      <c r="G2422">
        <v>-329.31139999999999</v>
      </c>
      <c r="H2422">
        <v>1.053037</v>
      </c>
      <c r="I2422">
        <v>216.76589999999999</v>
      </c>
      <c r="J2422">
        <v>-329.82080000000002</v>
      </c>
      <c r="K2422">
        <v>1.106978</v>
      </c>
      <c r="L2422">
        <v>216.83680000000001</v>
      </c>
      <c r="M2422">
        <v>0.9997393</v>
      </c>
      <c r="N2422">
        <v>0</v>
      </c>
      <c r="O2422">
        <v>2.1618430000000001E-2</v>
      </c>
      <c r="P2422">
        <v>0.99687559999999997</v>
      </c>
      <c r="Q2422">
        <v>6.4392370000000004E-2</v>
      </c>
      <c r="R2422">
        <v>4.5747650000000001E-2</v>
      </c>
      <c r="S2422">
        <v>3.0255130000000001</v>
      </c>
      <c r="T2422">
        <v>-0.14299479999999901</v>
      </c>
      <c r="U2422">
        <v>-0.14909359999999999</v>
      </c>
      <c r="V2422">
        <v>-2.3969999999999901E-2</v>
      </c>
      <c r="W2422">
        <v>7.1792140000000004E-2</v>
      </c>
      <c r="X2422">
        <v>0.99713149999999995</v>
      </c>
      <c r="Y2422">
        <v>7.0697549999999998E-2</v>
      </c>
      <c r="Z2422">
        <v>-2.6894140000000002E-3</v>
      </c>
      <c r="AA2422">
        <v>0.997494199999999</v>
      </c>
      <c r="AB2422">
        <v>67</v>
      </c>
      <c r="AC2422">
        <v>0.50940000000002705</v>
      </c>
      <c r="AD2422">
        <v>-5.3941000000000003E-2</v>
      </c>
      <c r="AE2422">
        <v>-7.0900000000023E-2</v>
      </c>
      <c r="AF2422">
        <v>8.1005109468980305E-2</v>
      </c>
      <c r="AG2422">
        <v>-5.3941000000000003E-2</v>
      </c>
      <c r="AH2422">
        <v>0.50222376171599303</v>
      </c>
      <c r="AI2422">
        <v>96.0526796552153</v>
      </c>
      <c r="AJ2422">
        <v>80.837510970027395</v>
      </c>
      <c r="AK2422">
        <v>0.51156638481554295</v>
      </c>
    </row>
    <row r="2423" spans="1:37" x14ac:dyDescent="0.2">
      <c r="A2423" t="str">
        <f>"20200111154113533"</f>
        <v>20200111154113533</v>
      </c>
      <c r="B2423" t="str">
        <f>"1578728473528697"</f>
        <v>1578728473528697</v>
      </c>
      <c r="C2423" t="s">
        <v>37</v>
      </c>
      <c r="D2423">
        <v>5.3065220000000002</v>
      </c>
      <c r="E2423">
        <v>0.53473340000000003</v>
      </c>
      <c r="F2423" t="s">
        <v>38</v>
      </c>
      <c r="G2423">
        <v>-328.709</v>
      </c>
      <c r="H2423">
        <v>1.054578</v>
      </c>
      <c r="I2423">
        <v>216.78139999999999</v>
      </c>
      <c r="J2423">
        <v>-329.15230000000003</v>
      </c>
      <c r="K2423">
        <v>1.106892</v>
      </c>
      <c r="L2423">
        <v>216.85140000000001</v>
      </c>
      <c r="M2423">
        <v>0.99975970000000003</v>
      </c>
      <c r="N2423">
        <v>0</v>
      </c>
      <c r="O2423">
        <v>2.0662409999999999E-2</v>
      </c>
      <c r="P2423">
        <v>0.99687649999999906</v>
      </c>
      <c r="Q2423">
        <v>6.4831479999999997E-2</v>
      </c>
      <c r="R2423">
        <v>4.5100960000000002E-2</v>
      </c>
      <c r="S2423">
        <v>3.025452</v>
      </c>
      <c r="T2423">
        <v>-0.14274719999999999</v>
      </c>
      <c r="U2423">
        <v>-0.14950559999999999</v>
      </c>
      <c r="V2423">
        <v>-2.4262140000000001E-2</v>
      </c>
      <c r="W2423">
        <v>7.2218740000000003E-2</v>
      </c>
      <c r="X2423">
        <v>0.99709369999999997</v>
      </c>
      <c r="Y2423">
        <v>6.9882490000000005E-2</v>
      </c>
      <c r="Z2423">
        <v>-2.620542E-3</v>
      </c>
      <c r="AA2423">
        <v>0.99755179999999999</v>
      </c>
      <c r="AB2423">
        <v>67</v>
      </c>
      <c r="AC2423">
        <v>0.44330000000002201</v>
      </c>
      <c r="AD2423">
        <v>-5.2313999999999902E-2</v>
      </c>
      <c r="AE2423">
        <v>-7.00000000000216E-2</v>
      </c>
      <c r="AF2423">
        <v>7.8083969269015494E-2</v>
      </c>
      <c r="AG2423">
        <v>-5.2313999999999902E-2</v>
      </c>
      <c r="AH2423">
        <v>0.435836948200019</v>
      </c>
      <c r="AI2423">
        <v>96.738253922979098</v>
      </c>
      <c r="AJ2423">
        <v>79.842724795840695</v>
      </c>
      <c r="AK2423">
        <v>0.44585614974912102</v>
      </c>
    </row>
    <row r="2424" spans="1:37" x14ac:dyDescent="0.2">
      <c r="A2424" t="str">
        <f>"20200111154113557"</f>
        <v>20200111154113557</v>
      </c>
      <c r="B2424" t="str">
        <f>"1578728473548220"</f>
        <v>1578728473548220</v>
      </c>
      <c r="C2424" t="s">
        <v>37</v>
      </c>
      <c r="D2424">
        <v>5.3520070000000004</v>
      </c>
      <c r="E2424">
        <v>0.53451009999999999</v>
      </c>
      <c r="F2424" t="s">
        <v>45</v>
      </c>
      <c r="G2424">
        <v>-305.78230000000002</v>
      </c>
      <c r="H2424" s="1">
        <v>1.6275739999999901E-6</v>
      </c>
      <c r="I2424">
        <v>215.69649999999999</v>
      </c>
      <c r="J2424">
        <v>-328.43509999999998</v>
      </c>
      <c r="K2424">
        <v>1.106795</v>
      </c>
      <c r="L2424">
        <v>216.8664</v>
      </c>
      <c r="M2424">
        <v>0.99978180000000005</v>
      </c>
      <c r="N2424">
        <v>0</v>
      </c>
      <c r="O2424">
        <v>1.9562889999999999E-2</v>
      </c>
      <c r="P2424">
        <v>0.99690299999999998</v>
      </c>
      <c r="Q2424">
        <v>6.5116259999999995E-2</v>
      </c>
      <c r="R2424">
        <v>4.4096299999999998E-2</v>
      </c>
      <c r="S2424">
        <v>3.0254819999999998</v>
      </c>
      <c r="T2424">
        <v>-0.14329829999999999</v>
      </c>
      <c r="U2424">
        <v>-0.14952089999999901</v>
      </c>
      <c r="V2424">
        <v>-2.4337250000000001E-2</v>
      </c>
      <c r="W2424">
        <v>7.2494580000000003E-2</v>
      </c>
      <c r="X2424">
        <v>0.99707179999999995</v>
      </c>
      <c r="Y2424">
        <v>6.8791560000000002E-2</v>
      </c>
      <c r="Z2424">
        <v>-2.5527929999999998E-3</v>
      </c>
      <c r="AA2424">
        <v>0.99762779999999995</v>
      </c>
      <c r="AB2424">
        <v>67</v>
      </c>
      <c r="AC2424">
        <v>22.6527999999999</v>
      </c>
      <c r="AD2424">
        <v>-1.106793372426</v>
      </c>
      <c r="AE2424">
        <v>-1.1699000000000099</v>
      </c>
      <c r="AF2424">
        <v>1.6090114049923001</v>
      </c>
      <c r="AG2424">
        <v>-1.106793372426</v>
      </c>
      <c r="AH2424">
        <v>22.571837206804702</v>
      </c>
      <c r="AI2424">
        <v>92.800113941299102</v>
      </c>
      <c r="AJ2424">
        <v>85.922623171763604</v>
      </c>
      <c r="AK2424">
        <v>22.656163491666799</v>
      </c>
    </row>
    <row r="2425" spans="1:37" x14ac:dyDescent="0.2">
      <c r="A2425" t="str">
        <f>"20200111154113579"</f>
        <v>20200111154113579</v>
      </c>
      <c r="B2425" t="str">
        <f>"1578728473568713"</f>
        <v>1578728473568713</v>
      </c>
      <c r="C2425" t="s">
        <v>37</v>
      </c>
      <c r="D2425">
        <v>5.3228910000000003</v>
      </c>
      <c r="E2425">
        <v>0.53432729999999995</v>
      </c>
      <c r="F2425" t="s">
        <v>45</v>
      </c>
      <c r="G2425">
        <v>-305.12290000000002</v>
      </c>
      <c r="H2425" s="1">
        <v>1.7445419999999899E-6</v>
      </c>
      <c r="I2425">
        <v>215.7028</v>
      </c>
      <c r="J2425">
        <v>-327.76369999999997</v>
      </c>
      <c r="K2425">
        <v>1.1067009999999999</v>
      </c>
      <c r="L2425">
        <v>216.87970000000001</v>
      </c>
      <c r="M2425">
        <v>0.99980279999999999</v>
      </c>
      <c r="N2425">
        <v>0</v>
      </c>
      <c r="O2425">
        <v>1.8465220000000001E-2</v>
      </c>
      <c r="P2425">
        <v>0.99691980000000002</v>
      </c>
      <c r="Q2425">
        <v>6.5626820000000002E-2</v>
      </c>
      <c r="R2425">
        <v>4.2941529999999999E-2</v>
      </c>
      <c r="S2425">
        <v>3.0253909999999999</v>
      </c>
      <c r="T2425">
        <v>-0.14363629999999999</v>
      </c>
      <c r="U2425">
        <v>-0.151001</v>
      </c>
      <c r="V2425">
        <v>-2.425838E-2</v>
      </c>
      <c r="W2425">
        <v>7.3001549999999998E-2</v>
      </c>
      <c r="X2425">
        <v>0.99703679999999995</v>
      </c>
      <c r="Y2425">
        <v>6.8186060000000007E-2</v>
      </c>
      <c r="Z2425">
        <v>-2.4924389999999999E-3</v>
      </c>
      <c r="AA2425">
        <v>0.99766949999999999</v>
      </c>
      <c r="AB2425">
        <v>67</v>
      </c>
      <c r="AC2425">
        <v>22.640799999999899</v>
      </c>
      <c r="AD2425">
        <v>-1.106699255458</v>
      </c>
      <c r="AE2425">
        <v>-1.17690000000001</v>
      </c>
      <c r="AF2425">
        <v>1.5909867023347699</v>
      </c>
      <c r="AG2425">
        <v>-1.106699255458</v>
      </c>
      <c r="AH2425">
        <v>22.561445895832701</v>
      </c>
      <c r="AI2425">
        <v>92.8013148694194</v>
      </c>
      <c r="AJ2425">
        <v>85.966297017304498</v>
      </c>
      <c r="AK2425">
        <v>22.6445327361733</v>
      </c>
    </row>
    <row r="2426" spans="1:37" x14ac:dyDescent="0.2">
      <c r="A2426" t="str">
        <f>"20200111154113600"</f>
        <v>20200111154113600</v>
      </c>
      <c r="B2426" t="str">
        <f>"1578728473588233"</f>
        <v>1578728473588233</v>
      </c>
      <c r="C2426" t="s">
        <v>37</v>
      </c>
      <c r="D2426">
        <v>5.3205489999999998</v>
      </c>
      <c r="E2426">
        <v>0.53418730000000003</v>
      </c>
      <c r="F2426" t="s">
        <v>45</v>
      </c>
      <c r="G2426">
        <v>-304.3426</v>
      </c>
      <c r="H2426" s="1">
        <v>1.8829579999999999E-6</v>
      </c>
      <c r="I2426">
        <v>215.69579999999999</v>
      </c>
      <c r="J2426">
        <v>-327.11739999999998</v>
      </c>
      <c r="K2426">
        <v>1.106609</v>
      </c>
      <c r="L2426">
        <v>216.89189999999999</v>
      </c>
      <c r="M2426">
        <v>0.99982299999999902</v>
      </c>
      <c r="N2426">
        <v>0</v>
      </c>
      <c r="O2426">
        <v>1.7350649999999999E-2</v>
      </c>
      <c r="P2426">
        <v>0.99693569999999998</v>
      </c>
      <c r="Q2426">
        <v>6.6432969999999994E-2</v>
      </c>
      <c r="R2426">
        <v>4.1307740000000003E-2</v>
      </c>
      <c r="S2426">
        <v>3.025299</v>
      </c>
      <c r="T2426">
        <v>-0.1429521</v>
      </c>
      <c r="U2426">
        <v>-0.15292359999999999</v>
      </c>
      <c r="V2426">
        <v>-2.3716879999999999E-2</v>
      </c>
      <c r="W2426">
        <v>7.3806159999999996E-2</v>
      </c>
      <c r="X2426">
        <v>0.99699059999999995</v>
      </c>
      <c r="Y2426">
        <v>6.7710489999999998E-2</v>
      </c>
      <c r="Z2426">
        <v>-2.4167849999999999E-3</v>
      </c>
      <c r="AA2426">
        <v>0.99770210000000004</v>
      </c>
      <c r="AB2426">
        <v>67</v>
      </c>
      <c r="AC2426">
        <v>22.7747999999999</v>
      </c>
      <c r="AD2426">
        <v>-1.106607117042</v>
      </c>
      <c r="AE2426">
        <v>-1.1960999999999999</v>
      </c>
      <c r="AF2426">
        <v>1.5873507078226601</v>
      </c>
      <c r="AG2426">
        <v>-1.106607117042</v>
      </c>
      <c r="AH2426">
        <v>22.697179378925298</v>
      </c>
      <c r="AI2426">
        <v>92.784470498942198</v>
      </c>
      <c r="AJ2426">
        <v>85.999474188850996</v>
      </c>
      <c r="AK2426">
        <v>22.7795130180657</v>
      </c>
    </row>
    <row r="2427" spans="1:37" x14ac:dyDescent="0.2">
      <c r="A2427" t="str">
        <f>"20200111154113623"</f>
        <v>20200111154113623</v>
      </c>
      <c r="B2427" t="str">
        <f>"1578728473618489"</f>
        <v>1578728473618489</v>
      </c>
      <c r="C2427" t="s">
        <v>37</v>
      </c>
      <c r="D2427">
        <v>5.3438939999999997</v>
      </c>
      <c r="E2427">
        <v>0.53396149999999998</v>
      </c>
      <c r="F2427" t="s">
        <v>45</v>
      </c>
      <c r="G2427">
        <v>-303.47730000000001</v>
      </c>
      <c r="H2427" s="1">
        <v>2.0364429999999998E-6</v>
      </c>
      <c r="I2427">
        <v>215.66720000000001</v>
      </c>
      <c r="J2427">
        <v>-326.44279999999998</v>
      </c>
      <c r="K2427">
        <v>1.1065119999999999</v>
      </c>
      <c r="L2427">
        <v>216.90389999999999</v>
      </c>
      <c r="M2427">
        <v>0.99984319999999904</v>
      </c>
      <c r="N2427">
        <v>0</v>
      </c>
      <c r="O2427">
        <v>1.6138070000000001E-2</v>
      </c>
      <c r="P2427">
        <v>0.99697569999999902</v>
      </c>
      <c r="Q2427">
        <v>6.6857050000000001E-2</v>
      </c>
      <c r="R2427">
        <v>3.9624039999999999E-2</v>
      </c>
      <c r="S2427">
        <v>3.0251459999999999</v>
      </c>
      <c r="T2427">
        <v>-0.14160899999999901</v>
      </c>
      <c r="U2427">
        <v>-0.156723</v>
      </c>
      <c r="V2427">
        <v>-2.32240999999999E-2</v>
      </c>
      <c r="W2427">
        <v>7.423225E-2</v>
      </c>
      <c r="X2427">
        <v>0.99697049999999998</v>
      </c>
      <c r="Y2427">
        <v>6.7755889999999999E-2</v>
      </c>
      <c r="Z2427">
        <v>-2.3385089999999999E-3</v>
      </c>
      <c r="AA2427">
        <v>0.99769920000000001</v>
      </c>
      <c r="AB2427">
        <v>68</v>
      </c>
      <c r="AC2427">
        <v>22.965499999999899</v>
      </c>
      <c r="AD2427">
        <v>-1.1065099635569999</v>
      </c>
      <c r="AE2427">
        <v>-1.2366999999999799</v>
      </c>
      <c r="AF2427">
        <v>1.6034560576728401</v>
      </c>
      <c r="AG2427">
        <v>-1.1065099635569999</v>
      </c>
      <c r="AH2427">
        <v>22.889567345933301</v>
      </c>
      <c r="AI2427">
        <v>92.760838987701405</v>
      </c>
      <c r="AJ2427">
        <v>85.992871966831999</v>
      </c>
      <c r="AK2427">
        <v>22.9723252830956</v>
      </c>
    </row>
    <row r="2428" spans="1:37" x14ac:dyDescent="0.2">
      <c r="A2428" t="str">
        <f>"20200111154113645"</f>
        <v>20200111154113645</v>
      </c>
      <c r="B2428" t="str">
        <f>"1578728473638985"</f>
        <v>1578728473638985</v>
      </c>
      <c r="C2428" t="s">
        <v>37</v>
      </c>
      <c r="D2428">
        <v>5.2915109999999999</v>
      </c>
      <c r="E2428">
        <v>0.49575039999999998</v>
      </c>
      <c r="F2428" t="s">
        <v>45</v>
      </c>
      <c r="G2428">
        <v>-302.88310000000001</v>
      </c>
      <c r="H2428" s="1">
        <v>2.1418520000000001E-6</v>
      </c>
      <c r="I2428">
        <v>215.65710000000001</v>
      </c>
      <c r="J2428">
        <v>-325.74579999999997</v>
      </c>
      <c r="K2428">
        <v>1.1064209999999901</v>
      </c>
      <c r="L2428">
        <v>216.91540000000001</v>
      </c>
      <c r="M2428">
        <v>0.99986330000000001</v>
      </c>
      <c r="N2428">
        <v>0</v>
      </c>
      <c r="O2428">
        <v>1.4840519999999999E-2</v>
      </c>
      <c r="P2428">
        <v>0.99701240000000002</v>
      </c>
      <c r="Q2428">
        <v>6.7278829999999998E-2</v>
      </c>
      <c r="R2428">
        <v>3.7950320000000003E-2</v>
      </c>
      <c r="S2428">
        <v>3.024994</v>
      </c>
      <c r="T2428">
        <v>-0.14207210000000001</v>
      </c>
      <c r="U2428">
        <v>-0.16008</v>
      </c>
      <c r="V2428">
        <v>-2.282499E-2</v>
      </c>
      <c r="W2428">
        <v>7.4658779999999994E-2</v>
      </c>
      <c r="X2428">
        <v>0.996947899999999</v>
      </c>
      <c r="Y2428">
        <v>6.7568920000000005E-2</v>
      </c>
      <c r="Z2428">
        <v>-2.2809420000000002E-3</v>
      </c>
      <c r="AA2428">
        <v>0.99771200000000004</v>
      </c>
      <c r="AB2428">
        <v>68</v>
      </c>
      <c r="AC2428">
        <v>22.862699999999901</v>
      </c>
      <c r="AD2428">
        <v>-1.1064188581479999</v>
      </c>
      <c r="AE2428">
        <v>-1.25829999999999</v>
      </c>
      <c r="AF2428">
        <v>1.5937435410380001</v>
      </c>
      <c r="AG2428">
        <v>-1.1064188581479999</v>
      </c>
      <c r="AH2428">
        <v>22.788299073113301</v>
      </c>
      <c r="AI2428">
        <v>92.772882882553702</v>
      </c>
      <c r="AJ2428">
        <v>85.999423439798505</v>
      </c>
      <c r="AK2428">
        <v>22.870740167513599</v>
      </c>
    </row>
    <row r="2429" spans="1:37" x14ac:dyDescent="0.2">
      <c r="A2429" t="str">
        <f>"20200111154113668"</f>
        <v>20200111154113668</v>
      </c>
      <c r="B2429" t="str">
        <f>"1578728473658504"</f>
        <v>1578728473658504</v>
      </c>
      <c r="C2429" t="s">
        <v>37</v>
      </c>
      <c r="D2429">
        <v>5.339067</v>
      </c>
      <c r="E2429">
        <v>0.48963409999999902</v>
      </c>
      <c r="F2429" t="s">
        <v>45</v>
      </c>
      <c r="G2429">
        <v>-305.3603</v>
      </c>
      <c r="H2429" s="1">
        <v>1.702429E-6</v>
      </c>
      <c r="I2429">
        <v>217.85589999999999</v>
      </c>
      <c r="J2429">
        <v>-325.04840000000002</v>
      </c>
      <c r="K2429">
        <v>1.106341</v>
      </c>
      <c r="L2429">
        <v>216.92599999999999</v>
      </c>
      <c r="M2429">
        <v>0.99988199999999905</v>
      </c>
      <c r="N2429">
        <v>0</v>
      </c>
      <c r="O2429">
        <v>1.351222E-2</v>
      </c>
      <c r="P2429">
        <v>0.99704119999999996</v>
      </c>
      <c r="Q2429">
        <v>6.7628899999999895E-2</v>
      </c>
      <c r="R2429">
        <v>3.6542499999999999E-2</v>
      </c>
      <c r="S2429">
        <v>3.0147400000000002</v>
      </c>
      <c r="T2429">
        <v>-0.16362479999999999</v>
      </c>
      <c r="U2429">
        <v>0.13908389999999901</v>
      </c>
      <c r="V2429">
        <v>-2.2724080000000001E-2</v>
      </c>
      <c r="W2429">
        <v>7.5016360000000004E-2</v>
      </c>
      <c r="X2429">
        <v>0.99692329999999996</v>
      </c>
      <c r="Y2429">
        <v>-3.2555210000000001E-2</v>
      </c>
      <c r="Z2429">
        <v>1.4995540000000001E-4</v>
      </c>
      <c r="AA2429">
        <v>0.99946990000000002</v>
      </c>
      <c r="AB2429">
        <v>68</v>
      </c>
      <c r="AC2429">
        <v>19.688099999999999</v>
      </c>
      <c r="AD2429">
        <v>-1.106339297571</v>
      </c>
      <c r="AE2429">
        <v>0.92990000000000295</v>
      </c>
      <c r="AF2429">
        <v>-0.66169328883796297</v>
      </c>
      <c r="AG2429">
        <v>-1.106339297571</v>
      </c>
      <c r="AH2429">
        <v>19.636998370685401</v>
      </c>
      <c r="AI2429">
        <v>93.222783238950896</v>
      </c>
      <c r="AJ2429">
        <v>91.929922936479102</v>
      </c>
      <c r="AK2429">
        <v>19.679266491923599</v>
      </c>
    </row>
    <row r="2430" spans="1:37" x14ac:dyDescent="0.2">
      <c r="A2430" t="str">
        <f>"20200111154113690"</f>
        <v>20200111154113690</v>
      </c>
      <c r="B2430" t="str">
        <f>"1578728473679001"</f>
        <v>1578728473679001</v>
      </c>
      <c r="C2430" t="s">
        <v>37</v>
      </c>
      <c r="D2430">
        <v>5.2692569999999996</v>
      </c>
      <c r="E2430">
        <v>0.48718539999999999</v>
      </c>
      <c r="F2430" t="s">
        <v>45</v>
      </c>
      <c r="G2430">
        <v>-304.37950000000001</v>
      </c>
      <c r="H2430" s="1">
        <v>1.876411E-6</v>
      </c>
      <c r="I2430">
        <v>218.18450000000001</v>
      </c>
      <c r="J2430">
        <v>-324.39139999999998</v>
      </c>
      <c r="K2430">
        <v>1.106276</v>
      </c>
      <c r="L2430">
        <v>216.93530000000001</v>
      </c>
      <c r="M2430">
        <v>0.99989839999999997</v>
      </c>
      <c r="N2430">
        <v>0</v>
      </c>
      <c r="O2430">
        <v>1.2241139999999999E-2</v>
      </c>
      <c r="P2430">
        <v>0.99705330000000003</v>
      </c>
      <c r="Q2430">
        <v>6.8086419999999995E-2</v>
      </c>
      <c r="R2430">
        <v>3.5346019999999999E-2</v>
      </c>
      <c r="S2430">
        <v>3.0130919999999999</v>
      </c>
      <c r="T2430">
        <v>-0.1612809</v>
      </c>
      <c r="U2430">
        <v>0.18345639999999999</v>
      </c>
      <c r="V2430">
        <v>-2.2779839999999999E-2</v>
      </c>
      <c r="W2430">
        <v>7.5482820000000006E-2</v>
      </c>
      <c r="X2430">
        <v>0.99688679999999996</v>
      </c>
      <c r="Y2430">
        <v>-4.849879E-2</v>
      </c>
      <c r="Z2430">
        <v>6.4176529999999997E-4</v>
      </c>
      <c r="AA2430">
        <v>0.99882299999999902</v>
      </c>
      <c r="AB2430">
        <v>68</v>
      </c>
      <c r="AC2430">
        <v>20.011899999999901</v>
      </c>
      <c r="AD2430">
        <v>-1.1062741235889999</v>
      </c>
      <c r="AE2430">
        <v>1.2492000000000001</v>
      </c>
      <c r="AF2430">
        <v>-1.00108398787329</v>
      </c>
      <c r="AG2430">
        <v>-1.1062741235889999</v>
      </c>
      <c r="AH2430">
        <v>19.964917218853699</v>
      </c>
      <c r="AI2430">
        <v>93.167596243302697</v>
      </c>
      <c r="AJ2430">
        <v>92.870529778995603</v>
      </c>
      <c r="AK2430">
        <v>20.020587682258</v>
      </c>
    </row>
    <row r="2431" spans="1:37" x14ac:dyDescent="0.2">
      <c r="A2431" t="str">
        <f>"20200111154113711"</f>
        <v>20200111154113711</v>
      </c>
      <c r="B2431" t="str">
        <f>"1578728473708281"</f>
        <v>1578728473708281</v>
      </c>
      <c r="C2431" t="s">
        <v>37</v>
      </c>
      <c r="D2431">
        <v>5.2599080000000002</v>
      </c>
      <c r="E2431">
        <v>0.48627989999999999</v>
      </c>
      <c r="F2431" t="s">
        <v>45</v>
      </c>
      <c r="G2431">
        <v>-303.41739999999999</v>
      </c>
      <c r="H2431" s="1">
        <v>2.047076E-6</v>
      </c>
      <c r="I2431">
        <v>218.3229</v>
      </c>
      <c r="J2431">
        <v>-323.74579999999997</v>
      </c>
      <c r="K2431">
        <v>1.1062299999999901</v>
      </c>
      <c r="L2431">
        <v>216.9436</v>
      </c>
      <c r="M2431">
        <v>0.99991299999999905</v>
      </c>
      <c r="N2431">
        <v>0</v>
      </c>
      <c r="O2431">
        <v>1.0980220000000001E-2</v>
      </c>
      <c r="P2431">
        <v>0.99713549999999995</v>
      </c>
      <c r="Q2431">
        <v>6.7402409999999996E-2</v>
      </c>
      <c r="R2431">
        <v>3.4319370000000002E-2</v>
      </c>
      <c r="S2431">
        <v>3.0126650000000001</v>
      </c>
      <c r="T2431">
        <v>-0.15890289999999899</v>
      </c>
      <c r="U2431">
        <v>0.1993103</v>
      </c>
      <c r="V2431">
        <v>-2.300015E-2</v>
      </c>
      <c r="W2431">
        <v>7.4809529999999999E-2</v>
      </c>
      <c r="X2431">
        <v>0.99693259999999995</v>
      </c>
      <c r="Y2431">
        <v>-5.4991730000000003E-2</v>
      </c>
      <c r="Z2431">
        <v>8.6960919999999999E-4</v>
      </c>
      <c r="AA2431">
        <v>0.99848649999999906</v>
      </c>
      <c r="AB2431">
        <v>68</v>
      </c>
      <c r="AC2431">
        <v>20.328399999999899</v>
      </c>
      <c r="AD2431">
        <v>-1.10622795292399</v>
      </c>
      <c r="AE2431">
        <v>1.3793</v>
      </c>
      <c r="AF2431">
        <v>-1.15260301264501</v>
      </c>
      <c r="AG2431">
        <v>-1.10622795292399</v>
      </c>
      <c r="AH2431">
        <v>20.282532390651198</v>
      </c>
      <c r="AI2431">
        <v>93.1168526470546</v>
      </c>
      <c r="AJ2431">
        <v>93.252470462552196</v>
      </c>
      <c r="AK2431">
        <v>20.345352151447301</v>
      </c>
    </row>
    <row r="2432" spans="1:37" x14ac:dyDescent="0.2">
      <c r="A2432" t="str">
        <f>"20200111154113734"</f>
        <v>20200111154113734</v>
      </c>
      <c r="B2432" t="str">
        <f>"1578728473728777"</f>
        <v>1578728473728777</v>
      </c>
      <c r="C2432" t="s">
        <v>37</v>
      </c>
      <c r="D2432">
        <v>5.2897730000000003</v>
      </c>
      <c r="E2432">
        <v>0.48574070000000003</v>
      </c>
      <c r="F2432" t="s">
        <v>45</v>
      </c>
      <c r="G2432">
        <v>-302.92619999999999</v>
      </c>
      <c r="H2432" s="1">
        <v>2.1342050000000002E-6</v>
      </c>
      <c r="I2432">
        <v>218.34630000000001</v>
      </c>
      <c r="J2432">
        <v>-323.03660000000002</v>
      </c>
      <c r="K2432">
        <v>1.1061780000000001</v>
      </c>
      <c r="L2432">
        <v>216.95189999999999</v>
      </c>
      <c r="M2432">
        <v>0.99992719999999902</v>
      </c>
      <c r="N2432">
        <v>0</v>
      </c>
      <c r="O2432">
        <v>9.5895649999999995E-3</v>
      </c>
      <c r="P2432">
        <v>0.99712909999999899</v>
      </c>
      <c r="Q2432">
        <v>6.8055550000000006E-2</v>
      </c>
      <c r="R2432">
        <v>3.3199140000000002E-2</v>
      </c>
      <c r="S2432">
        <v>3.0124209999999998</v>
      </c>
      <c r="T2432">
        <v>-0.16006119999999999</v>
      </c>
      <c r="U2432">
        <v>0.2029572</v>
      </c>
      <c r="V2432">
        <v>-2.3250920000000001E-2</v>
      </c>
      <c r="W2432">
        <v>7.5478530000000002E-2</v>
      </c>
      <c r="X2432">
        <v>0.99687630000000005</v>
      </c>
      <c r="Y2432">
        <v>-5.758245E-2</v>
      </c>
      <c r="Z2432">
        <v>1.0184180000000001E-3</v>
      </c>
      <c r="AA2432">
        <v>0.99834020000000001</v>
      </c>
      <c r="AB2432">
        <v>68</v>
      </c>
      <c r="AC2432">
        <v>20.110399999999998</v>
      </c>
      <c r="AD2432">
        <v>-1.106175865795</v>
      </c>
      <c r="AE2432">
        <v>1.3944000000000101</v>
      </c>
      <c r="AF2432">
        <v>-1.19787381272385</v>
      </c>
      <c r="AG2432">
        <v>-1.106175865795</v>
      </c>
      <c r="AH2432">
        <v>20.062437461298</v>
      </c>
      <c r="AI2432">
        <v>93.150303646795606</v>
      </c>
      <c r="AJ2432">
        <v>93.416919299065299</v>
      </c>
      <c r="AK2432">
        <v>20.128584739265001</v>
      </c>
    </row>
    <row r="2433" spans="1:37" x14ac:dyDescent="0.2">
      <c r="A2433" t="str">
        <f>"20200111154113758"</f>
        <v>20200111154113758</v>
      </c>
      <c r="B2433" t="str">
        <f>"1578728473748296"</f>
        <v>1578728473748296</v>
      </c>
      <c r="C2433" t="s">
        <v>37</v>
      </c>
      <c r="D2433">
        <v>5.3517460000000003</v>
      </c>
      <c r="E2433">
        <v>0.48529679999999997</v>
      </c>
      <c r="F2433" t="s">
        <v>45</v>
      </c>
      <c r="G2433">
        <v>-302.47469999999998</v>
      </c>
      <c r="H2433" s="1">
        <v>2.21428599999999E-6</v>
      </c>
      <c r="I2433">
        <v>218.3399</v>
      </c>
      <c r="J2433">
        <v>-322.31790000000001</v>
      </c>
      <c r="K2433">
        <v>1.106133</v>
      </c>
      <c r="L2433">
        <v>216.95939999999999</v>
      </c>
      <c r="M2433">
        <v>0.99993960000000004</v>
      </c>
      <c r="N2433">
        <v>0</v>
      </c>
      <c r="O2433">
        <v>8.1853050000000004E-3</v>
      </c>
      <c r="P2433">
        <v>0.99701450000000003</v>
      </c>
      <c r="Q2433">
        <v>7.0197889999999999E-2</v>
      </c>
      <c r="R2433">
        <v>3.2161799999999997E-2</v>
      </c>
      <c r="S2433">
        <v>3.0129389999999998</v>
      </c>
      <c r="T2433">
        <v>-0.16208839999999999</v>
      </c>
      <c r="U2433">
        <v>0.20338439999999999</v>
      </c>
      <c r="V2433">
        <v>-2.3593030000000001E-2</v>
      </c>
      <c r="W2433">
        <v>7.764509E-2</v>
      </c>
      <c r="X2433">
        <v>0.99670179999999997</v>
      </c>
      <c r="Y2433">
        <v>-5.9107880000000002E-2</v>
      </c>
      <c r="Z2433">
        <v>1.147466E-3</v>
      </c>
      <c r="AA2433">
        <v>0.998251</v>
      </c>
      <c r="AB2433">
        <v>68</v>
      </c>
      <c r="AC2433">
        <v>19.8432</v>
      </c>
      <c r="AD2433">
        <v>-1.1061307857139999</v>
      </c>
      <c r="AE2433">
        <v>1.3805000000000101</v>
      </c>
      <c r="AF2433">
        <v>-1.21427174972635</v>
      </c>
      <c r="AG2433">
        <v>-1.1061307857139999</v>
      </c>
      <c r="AH2433">
        <v>19.7926290362253</v>
      </c>
      <c r="AI2433">
        <v>93.192714108883493</v>
      </c>
      <c r="AJ2433">
        <v>93.510678515956698</v>
      </c>
      <c r="AK2433">
        <v>19.8606683010144</v>
      </c>
    </row>
    <row r="2434" spans="1:37" x14ac:dyDescent="0.2">
      <c r="A2434" t="str">
        <f>"20200111154113779"</f>
        <v>20200111154113779</v>
      </c>
      <c r="B2434" t="str">
        <f>"1578728473768797"</f>
        <v>1578728473768797</v>
      </c>
      <c r="C2434" t="s">
        <v>37</v>
      </c>
      <c r="D2434">
        <v>5.337396</v>
      </c>
      <c r="E2434">
        <v>0.48497809999999902</v>
      </c>
      <c r="F2434" t="s">
        <v>45</v>
      </c>
      <c r="G2434">
        <v>-301.19920000000002</v>
      </c>
      <c r="H2434" s="1">
        <v>2.44053699999999E-6</v>
      </c>
      <c r="I2434">
        <v>218.38499999999999</v>
      </c>
      <c r="J2434">
        <v>-321.6506</v>
      </c>
      <c r="K2434">
        <v>1.1061019999999999</v>
      </c>
      <c r="L2434">
        <v>216.96539999999999</v>
      </c>
      <c r="M2434">
        <v>0.99994910000000004</v>
      </c>
      <c r="N2434">
        <v>0</v>
      </c>
      <c r="O2434">
        <v>6.8941280000000002E-3</v>
      </c>
      <c r="P2434">
        <v>0.99692230000000004</v>
      </c>
      <c r="Q2434">
        <v>7.2116550000000001E-2</v>
      </c>
      <c r="R2434">
        <v>3.0745479999999999E-2</v>
      </c>
      <c r="S2434">
        <v>3.01355</v>
      </c>
      <c r="T2434">
        <v>-0.15784020000000001</v>
      </c>
      <c r="U2434">
        <v>0.20343020000000001</v>
      </c>
      <c r="V2434">
        <v>-2.3445400000000002E-2</v>
      </c>
      <c r="W2434">
        <v>7.9602640000000002E-2</v>
      </c>
      <c r="X2434">
        <v>0.99655090000000002</v>
      </c>
      <c r="Y2434">
        <v>-6.039862E-2</v>
      </c>
      <c r="Z2434">
        <v>1.2184450000000001E-3</v>
      </c>
      <c r="AA2434">
        <v>0.998173599999999</v>
      </c>
      <c r="AB2434">
        <v>68</v>
      </c>
      <c r="AC2434">
        <v>20.4513999999999</v>
      </c>
      <c r="AD2434">
        <v>-1.1060995594630001</v>
      </c>
      <c r="AE2434">
        <v>1.4196</v>
      </c>
      <c r="AF2434">
        <v>-1.2748566505702601</v>
      </c>
      <c r="AG2434">
        <v>-1.1060995594630001</v>
      </c>
      <c r="AH2434">
        <v>20.401311173603499</v>
      </c>
      <c r="AI2434">
        <v>93.097341905060503</v>
      </c>
      <c r="AJ2434">
        <v>93.575704102139198</v>
      </c>
      <c r="AK2434">
        <v>20.471009093768298</v>
      </c>
    </row>
    <row r="2435" spans="1:37" x14ac:dyDescent="0.2">
      <c r="A2435" t="str">
        <f>"20200111154113801"</f>
        <v>20200111154113801</v>
      </c>
      <c r="B2435" t="str">
        <f>"1578728473788313"</f>
        <v>1578728473788313</v>
      </c>
      <c r="C2435" t="s">
        <v>37</v>
      </c>
      <c r="D2435">
        <v>5.3435699999999997</v>
      </c>
      <c r="E2435">
        <v>0.48458659999999998</v>
      </c>
      <c r="F2435" t="s">
        <v>45</v>
      </c>
      <c r="G2435">
        <v>-300.07279999999997</v>
      </c>
      <c r="H2435" s="1">
        <v>2.6403489999999998E-6</v>
      </c>
      <c r="I2435">
        <v>218.4076</v>
      </c>
      <c r="J2435">
        <v>-321.01089999999999</v>
      </c>
      <c r="K2435">
        <v>1.106087</v>
      </c>
      <c r="L2435">
        <v>216.97040000000001</v>
      </c>
      <c r="M2435">
        <v>0.99995619999999996</v>
      </c>
      <c r="N2435">
        <v>0</v>
      </c>
      <c r="O2435">
        <v>5.6726679999999996E-3</v>
      </c>
      <c r="P2435">
        <v>0.99694509999999903</v>
      </c>
      <c r="Q2435">
        <v>7.2361540000000002E-2</v>
      </c>
      <c r="R2435">
        <v>2.9400280000000001E-2</v>
      </c>
      <c r="S2435">
        <v>3.014221</v>
      </c>
      <c r="T2435">
        <v>-0.15451199999999901</v>
      </c>
      <c r="U2435">
        <v>0.2014618</v>
      </c>
      <c r="V2435">
        <v>-2.33089E-2</v>
      </c>
      <c r="W2435">
        <v>7.9919680000000007E-2</v>
      </c>
      <c r="X2435">
        <v>0.99652870000000005</v>
      </c>
      <c r="Y2435">
        <v>-6.0954790000000002E-2</v>
      </c>
      <c r="Z2435">
        <v>1.2692739999999999E-3</v>
      </c>
      <c r="AA2435">
        <v>0.99813969999999896</v>
      </c>
      <c r="AB2435">
        <v>68</v>
      </c>
      <c r="AC2435">
        <v>20.938099999999999</v>
      </c>
      <c r="AD2435">
        <v>-1.1060843596509999</v>
      </c>
      <c r="AE2435">
        <v>1.43719999999998</v>
      </c>
      <c r="AF2435">
        <v>-1.31474692899866</v>
      </c>
      <c r="AG2435">
        <v>-1.1060843596509999</v>
      </c>
      <c r="AH2435">
        <v>20.8878990671727</v>
      </c>
      <c r="AI2435">
        <v>93.025197174988193</v>
      </c>
      <c r="AJ2435">
        <v>93.601616664983297</v>
      </c>
      <c r="AK2435">
        <v>20.958442440657901</v>
      </c>
    </row>
    <row r="2436" spans="1:37" x14ac:dyDescent="0.2">
      <c r="A2436" t="str">
        <f>"20200111154113825"</f>
        <v>20200111154113825</v>
      </c>
      <c r="B2436" t="str">
        <f>"1578728473818570"</f>
        <v>1578728473818570</v>
      </c>
      <c r="C2436" t="s">
        <v>37</v>
      </c>
      <c r="D2436">
        <v>5.354063</v>
      </c>
      <c r="E2436">
        <v>0.48414550000000001</v>
      </c>
      <c r="F2436" t="s">
        <v>45</v>
      </c>
      <c r="G2436">
        <v>-299.59620000000001</v>
      </c>
      <c r="H2436" s="1">
        <v>2.5966139999999998E-6</v>
      </c>
      <c r="I2436">
        <v>218.3929</v>
      </c>
      <c r="J2436">
        <v>-320.2731</v>
      </c>
      <c r="K2436">
        <v>1.1060809999999901</v>
      </c>
      <c r="L2436">
        <v>216.9752</v>
      </c>
      <c r="M2436">
        <v>0.99996189999999996</v>
      </c>
      <c r="N2436">
        <v>0</v>
      </c>
      <c r="O2436">
        <v>4.2897489999999998E-3</v>
      </c>
      <c r="P2436">
        <v>0.99700480000000002</v>
      </c>
      <c r="Q2436">
        <v>7.182993E-2</v>
      </c>
      <c r="R2436">
        <v>2.8673540000000001E-2</v>
      </c>
      <c r="S2436">
        <v>3.0145869999999899</v>
      </c>
      <c r="T2436">
        <v>-0.1557055</v>
      </c>
      <c r="U2436">
        <v>0.20024110000000001</v>
      </c>
      <c r="V2436">
        <v>-2.3954900000000001E-2</v>
      </c>
      <c r="W2436">
        <v>7.9550839999999998E-2</v>
      </c>
      <c r="X2436">
        <v>0.99654290000000001</v>
      </c>
      <c r="Y2436">
        <v>-6.1920469999999998E-2</v>
      </c>
      <c r="Z2436">
        <v>1.375121E-3</v>
      </c>
      <c r="AA2436">
        <v>0.99808009999999903</v>
      </c>
      <c r="AB2436">
        <v>69</v>
      </c>
      <c r="AC2436">
        <v>20.6768999999999</v>
      </c>
      <c r="AD2436">
        <v>-1.1060784033859901</v>
      </c>
      <c r="AE2436">
        <v>1.41769999999999</v>
      </c>
      <c r="AF2436">
        <v>-1.3252112692395399</v>
      </c>
      <c r="AG2436">
        <v>-1.1060784033859901</v>
      </c>
      <c r="AH2436">
        <v>20.624050934704599</v>
      </c>
      <c r="AI2436">
        <v>93.063555218276903</v>
      </c>
      <c r="AJ2436">
        <v>93.676521787301098</v>
      </c>
      <c r="AK2436">
        <v>20.696160786480299</v>
      </c>
    </row>
    <row r="2437" spans="1:37" x14ac:dyDescent="0.2">
      <c r="A2437" t="str">
        <f>"20200111154113847"</f>
        <v>20200111154113847</v>
      </c>
      <c r="B2437" t="str">
        <f>"1578728473839065"</f>
        <v>1578728473839065</v>
      </c>
      <c r="C2437" t="s">
        <v>37</v>
      </c>
      <c r="D2437">
        <v>5.3791229999999999</v>
      </c>
      <c r="E2437">
        <v>0.48375200000000002</v>
      </c>
      <c r="F2437" t="s">
        <v>45</v>
      </c>
      <c r="G2437">
        <v>-299.54790000000003</v>
      </c>
      <c r="H2437" s="1">
        <v>2.5880579999999999E-6</v>
      </c>
      <c r="I2437">
        <v>218.35659999999999</v>
      </c>
      <c r="J2437">
        <v>-319.57260000000002</v>
      </c>
      <c r="K2437">
        <v>1.1060989999999999</v>
      </c>
      <c r="L2437">
        <v>216.9787</v>
      </c>
      <c r="M2437">
        <v>0.99996459999999998</v>
      </c>
      <c r="N2437">
        <v>0</v>
      </c>
      <c r="O2437">
        <v>3.0042440000000001E-3</v>
      </c>
      <c r="P2437">
        <v>0.99706309999999998</v>
      </c>
      <c r="Q2437">
        <v>7.0992369999999999E-2</v>
      </c>
      <c r="R2437">
        <v>2.873187E-2</v>
      </c>
      <c r="S2437">
        <v>3.0148619999999999</v>
      </c>
      <c r="T2437">
        <v>-0.16090009999999999</v>
      </c>
      <c r="U2437">
        <v>0.20094300000000001</v>
      </c>
      <c r="V2437">
        <v>-2.5292269999999999E-2</v>
      </c>
      <c r="W2437">
        <v>7.8975669999999998E-2</v>
      </c>
      <c r="X2437">
        <v>0.99655559999999999</v>
      </c>
      <c r="Y2437">
        <v>-6.3419690000000001E-2</v>
      </c>
      <c r="Z2437">
        <v>1.5292050000000001E-3</v>
      </c>
      <c r="AA2437">
        <v>0.99798580000000003</v>
      </c>
      <c r="AB2437">
        <v>69</v>
      </c>
      <c r="AC2437">
        <v>20.024699999999999</v>
      </c>
      <c r="AD2437">
        <v>-1.106096411942</v>
      </c>
      <c r="AE2437">
        <v>1.3778999999999799</v>
      </c>
      <c r="AF2437">
        <v>-1.3137433885234</v>
      </c>
      <c r="AG2437">
        <v>-1.106096411942</v>
      </c>
      <c r="AH2437">
        <v>19.968112055639399</v>
      </c>
      <c r="AI2437">
        <v>93.163726986510298</v>
      </c>
      <c r="AJ2437">
        <v>93.764182874281005</v>
      </c>
      <c r="AK2437">
        <v>20.041828011186301</v>
      </c>
    </row>
    <row r="2438" spans="1:37" x14ac:dyDescent="0.2">
      <c r="A2438" t="str">
        <f>"20200111154113871"</f>
        <v>20200111154113871</v>
      </c>
      <c r="B2438" t="str">
        <f>"1578728473858585"</f>
        <v>1578728473858585</v>
      </c>
      <c r="C2438" t="s">
        <v>37</v>
      </c>
      <c r="D2438">
        <v>5.4971170000000003</v>
      </c>
      <c r="E2438">
        <v>0.48343999999999998</v>
      </c>
      <c r="F2438" t="s">
        <v>45</v>
      </c>
      <c r="G2438">
        <v>-299.41370000000001</v>
      </c>
      <c r="H2438" s="1">
        <v>2.564241E-6</v>
      </c>
      <c r="I2438">
        <v>218.34099999999901</v>
      </c>
      <c r="J2438">
        <v>-318.8664</v>
      </c>
      <c r="K2438">
        <v>1.106125</v>
      </c>
      <c r="L2438">
        <v>216.9813</v>
      </c>
      <c r="M2438">
        <v>0.99996509999999905</v>
      </c>
      <c r="N2438">
        <v>0</v>
      </c>
      <c r="O2438">
        <v>1.7280850000000001E-3</v>
      </c>
      <c r="P2438">
        <v>0.99718030000000002</v>
      </c>
      <c r="Q2438">
        <v>6.9138340000000006E-2</v>
      </c>
      <c r="R2438">
        <v>2.917935E-2</v>
      </c>
      <c r="S2438">
        <v>3.0147400000000002</v>
      </c>
      <c r="T2438">
        <v>-0.1654156</v>
      </c>
      <c r="U2438">
        <v>0.20372009999999999</v>
      </c>
      <c r="V2438">
        <v>-2.7015190000000001E-2</v>
      </c>
      <c r="W2438">
        <v>7.7457330000000005E-2</v>
      </c>
      <c r="X2438">
        <v>0.9966296</v>
      </c>
      <c r="Y2438">
        <v>-6.5600980000000003E-2</v>
      </c>
      <c r="Z2438">
        <v>1.701691E-3</v>
      </c>
      <c r="AA2438">
        <v>0.99784450000000002</v>
      </c>
      <c r="AB2438">
        <v>69</v>
      </c>
      <c r="AC2438">
        <v>19.4527</v>
      </c>
      <c r="AD2438">
        <v>-1.106122435759</v>
      </c>
      <c r="AE2438">
        <v>1.3596999999999699</v>
      </c>
      <c r="AF2438">
        <v>-1.3218278347811301</v>
      </c>
      <c r="AG2438">
        <v>-1.106122435759</v>
      </c>
      <c r="AH2438">
        <v>19.392623304112799</v>
      </c>
      <c r="AI2438">
        <v>93.256976384295996</v>
      </c>
      <c r="AJ2438">
        <v>93.899327751247796</v>
      </c>
      <c r="AK2438">
        <v>19.469067113832399</v>
      </c>
    </row>
    <row r="2439" spans="1:37" x14ac:dyDescent="0.2">
      <c r="A2439" t="str">
        <f>"20200111154113892"</f>
        <v>20200111154113892</v>
      </c>
      <c r="B2439" t="str">
        <f>"1578728473888842"</f>
        <v>1578728473888842</v>
      </c>
      <c r="C2439" t="s">
        <v>37</v>
      </c>
      <c r="D2439">
        <v>5.6039320000000004</v>
      </c>
      <c r="E2439">
        <v>0.48323109999999903</v>
      </c>
      <c r="F2439" t="s">
        <v>45</v>
      </c>
      <c r="G2439">
        <v>-299.56450000000001</v>
      </c>
      <c r="H2439" s="1">
        <v>2.590999E-6</v>
      </c>
      <c r="I2439">
        <v>218.3109</v>
      </c>
      <c r="J2439">
        <v>-318.185</v>
      </c>
      <c r="K2439">
        <v>1.1061639999999999</v>
      </c>
      <c r="L2439">
        <v>216.983</v>
      </c>
      <c r="M2439">
        <v>0.99996289999999999</v>
      </c>
      <c r="N2439">
        <v>0</v>
      </c>
      <c r="O2439">
        <v>5.1976680000000001E-4</v>
      </c>
      <c r="P2439">
        <v>0.99736639999999999</v>
      </c>
      <c r="Q2439">
        <v>6.6403489999999996E-2</v>
      </c>
      <c r="R2439">
        <v>2.9170350000000001E-2</v>
      </c>
      <c r="S2439">
        <v>3.0143740000000001</v>
      </c>
      <c r="T2439">
        <v>-0.17274300000000001</v>
      </c>
      <c r="U2439">
        <v>0.20764160000000001</v>
      </c>
      <c r="V2439">
        <v>-2.82192E-2</v>
      </c>
      <c r="W2439">
        <v>7.5137129999999996E-2</v>
      </c>
      <c r="X2439">
        <v>0.99677380000000004</v>
      </c>
      <c r="Y2439">
        <v>-6.8092089999999994E-2</v>
      </c>
      <c r="Z2439">
        <v>1.917429E-3</v>
      </c>
      <c r="AA2439">
        <v>0.99767719999999904</v>
      </c>
      <c r="AB2439">
        <v>69</v>
      </c>
      <c r="AC2439">
        <v>18.6205</v>
      </c>
      <c r="AD2439">
        <v>-1.1061614090009999</v>
      </c>
      <c r="AE2439">
        <v>1.3278999999999901</v>
      </c>
      <c r="AF2439">
        <v>-1.31360884763172</v>
      </c>
      <c r="AG2439">
        <v>-1.1061614090009999</v>
      </c>
      <c r="AH2439">
        <v>18.5560344084105</v>
      </c>
      <c r="AI2439">
        <v>93.402979863005697</v>
      </c>
      <c r="AJ2439">
        <v>94.049296888833695</v>
      </c>
      <c r="AK2439">
        <v>18.635331342196601</v>
      </c>
    </row>
    <row r="2440" spans="1:37" x14ac:dyDescent="0.2">
      <c r="A2440" t="str">
        <f>"20200111154113913"</f>
        <v>20200111154113913</v>
      </c>
      <c r="B2440" t="str">
        <f>"1578728473908361"</f>
        <v>1578728473908361</v>
      </c>
      <c r="C2440" t="s">
        <v>37</v>
      </c>
      <c r="D2440">
        <v>5.3065290000000003</v>
      </c>
      <c r="E2440">
        <v>0.48300649999999901</v>
      </c>
      <c r="F2440" t="s">
        <v>45</v>
      </c>
      <c r="G2440">
        <v>-299.5027</v>
      </c>
      <c r="H2440" s="1">
        <v>2.580036E-6</v>
      </c>
      <c r="I2440">
        <v>218.2824</v>
      </c>
      <c r="J2440">
        <v>-317.56079999999997</v>
      </c>
      <c r="K2440">
        <v>1.1062299999999901</v>
      </c>
      <c r="L2440">
        <v>216.9837</v>
      </c>
      <c r="M2440">
        <v>0.99995859999999903</v>
      </c>
      <c r="N2440">
        <v>0</v>
      </c>
      <c r="O2440">
        <v>-5.6076770000000001E-4</v>
      </c>
      <c r="P2440">
        <v>0.99758670000000005</v>
      </c>
      <c r="Q2440">
        <v>6.3025369999999997E-2</v>
      </c>
      <c r="R2440">
        <v>2.9134130000000001E-2</v>
      </c>
      <c r="S2440">
        <v>3.0136720000000001</v>
      </c>
      <c r="T2440">
        <v>-0.17843689999999901</v>
      </c>
      <c r="U2440">
        <v>0.20960999999999999</v>
      </c>
      <c r="V2440">
        <v>-2.9275389999999998E-2</v>
      </c>
      <c r="W2440">
        <v>7.2247749999999999E-2</v>
      </c>
      <c r="X2440">
        <v>0.99695699999999998</v>
      </c>
      <c r="Y2440">
        <v>-6.9822149999999999E-2</v>
      </c>
      <c r="Z2440">
        <v>2.0958970000000002E-3</v>
      </c>
      <c r="AA2440">
        <v>0.99755729999999998</v>
      </c>
      <c r="AB2440">
        <v>69</v>
      </c>
      <c r="AC2440">
        <v>18.0580999999999</v>
      </c>
      <c r="AD2440">
        <v>-1.1062274199640001</v>
      </c>
      <c r="AE2440">
        <v>1.29869999999999</v>
      </c>
      <c r="AF2440">
        <v>-1.30395841712224</v>
      </c>
      <c r="AG2440">
        <v>-1.1062274199640001</v>
      </c>
      <c r="AH2440">
        <v>17.990204271814701</v>
      </c>
      <c r="AI2440">
        <v>93.509534536016403</v>
      </c>
      <c r="AJ2440">
        <v>94.145638913436301</v>
      </c>
      <c r="AK2440">
        <v>18.071289284383798</v>
      </c>
    </row>
    <row r="2441" spans="1:37" x14ac:dyDescent="0.2">
      <c r="A2441" t="str">
        <f>"20200111154113935"</f>
        <v>20200111154113935</v>
      </c>
      <c r="B2441" t="str">
        <f>"1578728473928857"</f>
        <v>1578728473928857</v>
      </c>
      <c r="C2441" t="s">
        <v>37</v>
      </c>
      <c r="D2441">
        <v>5.3982999999999999</v>
      </c>
      <c r="E2441">
        <v>0.48280699999999999</v>
      </c>
      <c r="F2441" t="s">
        <v>45</v>
      </c>
      <c r="G2441">
        <v>-299.86700000000002</v>
      </c>
      <c r="H2441" s="1">
        <v>2.6446480000000001E-6</v>
      </c>
      <c r="I2441">
        <v>218.22370000000001</v>
      </c>
      <c r="J2441">
        <v>-316.83929999999998</v>
      </c>
      <c r="K2441">
        <v>1.1063459999999901</v>
      </c>
      <c r="L2441">
        <v>216.9836</v>
      </c>
      <c r="M2441">
        <v>0.99995089999999998</v>
      </c>
      <c r="N2441">
        <v>0</v>
      </c>
      <c r="O2441">
        <v>-1.768497E-3</v>
      </c>
      <c r="P2441">
        <v>0.99780349999999995</v>
      </c>
      <c r="Q2441">
        <v>5.975246E-2</v>
      </c>
      <c r="R2441">
        <v>2.860395E-2</v>
      </c>
      <c r="S2441">
        <v>3.0130309999999998</v>
      </c>
      <c r="T2441">
        <v>-0.1883764</v>
      </c>
      <c r="U2441">
        <v>0.211166399999999</v>
      </c>
      <c r="V2441">
        <v>-2.996453E-2</v>
      </c>
      <c r="W2441">
        <v>6.9651249999999998E-2</v>
      </c>
      <c r="X2441">
        <v>0.99712129999999999</v>
      </c>
      <c r="Y2441">
        <v>-7.1534609999999998E-2</v>
      </c>
      <c r="Z2441">
        <v>2.341615E-3</v>
      </c>
      <c r="AA2441">
        <v>0.99743539999999997</v>
      </c>
      <c r="AB2441">
        <v>69</v>
      </c>
      <c r="AC2441">
        <v>16.972299999999901</v>
      </c>
      <c r="AD2441">
        <v>-1.1063433553519999</v>
      </c>
      <c r="AE2441">
        <v>1.24010000000001</v>
      </c>
      <c r="AF2441">
        <v>-1.2647693373597699</v>
      </c>
      <c r="AG2441">
        <v>-1.1063433553519999</v>
      </c>
      <c r="AH2441">
        <v>16.898657207637399</v>
      </c>
      <c r="AI2441">
        <v>93.735351458442906</v>
      </c>
      <c r="AJ2441">
        <v>94.280286109821802</v>
      </c>
      <c r="AK2441">
        <v>16.9819978953565</v>
      </c>
    </row>
    <row r="2442" spans="1:37" x14ac:dyDescent="0.2">
      <c r="A2442" t="str">
        <f>"20200111154113969"</f>
        <v>20200111154113969</v>
      </c>
      <c r="B2442" t="str">
        <f>"1578728473959116"</f>
        <v>1578728473959116</v>
      </c>
      <c r="C2442" t="s">
        <v>37</v>
      </c>
      <c r="D2442">
        <v>5.3353570000000001</v>
      </c>
      <c r="E2442">
        <v>0.48280689999999998</v>
      </c>
      <c r="F2442" t="s">
        <v>45</v>
      </c>
      <c r="G2442">
        <v>-300.1798</v>
      </c>
      <c r="H2442" s="1">
        <v>2.6213619999999998E-6</v>
      </c>
      <c r="I2442">
        <v>218.15049999999999</v>
      </c>
      <c r="J2442">
        <v>-315.82589999999999</v>
      </c>
      <c r="K2442">
        <v>1.106525</v>
      </c>
      <c r="L2442">
        <v>216.9819</v>
      </c>
      <c r="M2442">
        <v>0.99993659999999995</v>
      </c>
      <c r="N2442">
        <v>0</v>
      </c>
      <c r="O2442">
        <v>-3.3881509999999998E-3</v>
      </c>
      <c r="P2442">
        <v>0.99794400000000005</v>
      </c>
      <c r="Q2442">
        <v>5.8470840000000003E-2</v>
      </c>
      <c r="R2442">
        <v>2.624812E-2</v>
      </c>
      <c r="S2442">
        <v>3.012543</v>
      </c>
      <c r="T2442">
        <v>-0.20006019999999999</v>
      </c>
      <c r="U2442">
        <v>0.2110138</v>
      </c>
      <c r="V2442">
        <v>-2.923243E-2</v>
      </c>
      <c r="W2442">
        <v>6.9355379999999994E-2</v>
      </c>
      <c r="X2442">
        <v>0.99716369999999899</v>
      </c>
      <c r="Y2442">
        <v>-7.3085890000000001E-2</v>
      </c>
      <c r="Z2442">
        <v>2.6456589999999999E-3</v>
      </c>
      <c r="AA2442">
        <v>0.99732209999999999</v>
      </c>
      <c r="AB2442">
        <v>69</v>
      </c>
      <c r="AC2442">
        <v>15.646099999999899</v>
      </c>
      <c r="AD2442">
        <v>-1.1065223786380001</v>
      </c>
      <c r="AE2442">
        <v>1.1685999999999901</v>
      </c>
      <c r="AF2442">
        <v>-1.21556168299418</v>
      </c>
      <c r="AG2442">
        <v>-1.1065223786380001</v>
      </c>
      <c r="AH2442">
        <v>15.564634489970199</v>
      </c>
      <c r="AI2442">
        <v>94.054131727500803</v>
      </c>
      <c r="AJ2442">
        <v>94.465602645343296</v>
      </c>
      <c r="AK2442">
        <v>15.6511925675317</v>
      </c>
    </row>
    <row r="2443" spans="1:37" x14ac:dyDescent="0.2">
      <c r="A2443" t="str">
        <f>"20200111154113991"</f>
        <v>20200111154113991</v>
      </c>
      <c r="B2443" t="str">
        <f>"1578728473988393"</f>
        <v>1578728473988393</v>
      </c>
      <c r="C2443" t="s">
        <v>37</v>
      </c>
      <c r="D2443">
        <v>5.3705040000000004</v>
      </c>
      <c r="E2443">
        <v>0.48288189999999998</v>
      </c>
      <c r="F2443" t="s">
        <v>45</v>
      </c>
      <c r="G2443">
        <v>-299.36399999999998</v>
      </c>
      <c r="H2443" s="1">
        <v>2.5554300000000001E-6</v>
      </c>
      <c r="I2443">
        <v>218.09649999999999</v>
      </c>
      <c r="J2443">
        <v>-315.14999999999998</v>
      </c>
      <c r="K2443">
        <v>1.106649</v>
      </c>
      <c r="L2443">
        <v>216.97970000000001</v>
      </c>
      <c r="M2443">
        <v>0.99992590000000003</v>
      </c>
      <c r="N2443">
        <v>0</v>
      </c>
      <c r="O2443">
        <v>-4.4161590000000002E-3</v>
      </c>
      <c r="P2443">
        <v>0.99796240000000003</v>
      </c>
      <c r="Q2443">
        <v>5.8566569999999998E-2</v>
      </c>
      <c r="R2443">
        <v>2.5326189999999998E-2</v>
      </c>
      <c r="S2443">
        <v>3.0126949999999999</v>
      </c>
      <c r="T2443">
        <v>-0.20250499999999999</v>
      </c>
      <c r="U2443">
        <v>0.203994799999999</v>
      </c>
      <c r="V2443">
        <v>-2.933941E-2</v>
      </c>
      <c r="W2443">
        <v>7.0055590000000001E-2</v>
      </c>
      <c r="X2443">
        <v>0.99711159999999999</v>
      </c>
      <c r="Y2443">
        <v>-7.1791519999999998E-2</v>
      </c>
      <c r="Z2443">
        <v>2.7035459999999998E-3</v>
      </c>
      <c r="AA2443">
        <v>0.99741599999999997</v>
      </c>
      <c r="AB2443">
        <v>69</v>
      </c>
      <c r="AC2443">
        <v>15.7859999999999</v>
      </c>
      <c r="AD2443">
        <v>-1.1066464445699999</v>
      </c>
      <c r="AE2443">
        <v>1.11679999999998</v>
      </c>
      <c r="AF2443">
        <v>-1.18073334112313</v>
      </c>
      <c r="AG2443">
        <v>-1.1066464445699999</v>
      </c>
      <c r="AH2443">
        <v>15.7041212297068</v>
      </c>
      <c r="AI2443">
        <v>94.019578433872994</v>
      </c>
      <c r="AJ2443">
        <v>94.299762494458705</v>
      </c>
      <c r="AK2443">
        <v>15.787280360259899</v>
      </c>
    </row>
    <row r="2444" spans="1:37" x14ac:dyDescent="0.2">
      <c r="A2444" t="str">
        <f>"20200111154114013"</f>
        <v>20200111154114013</v>
      </c>
      <c r="B2444" t="str">
        <f>"1578728474008889"</f>
        <v>1578728474008889</v>
      </c>
      <c r="C2444" t="s">
        <v>37</v>
      </c>
      <c r="D2444">
        <v>5.3963979999999996</v>
      </c>
      <c r="E2444">
        <v>0.50315049999999995</v>
      </c>
      <c r="F2444" t="s">
        <v>45</v>
      </c>
      <c r="G2444">
        <v>-298.56580000000002</v>
      </c>
      <c r="H2444" s="1">
        <v>2.413844E-6</v>
      </c>
      <c r="I2444">
        <v>218.08250000000001</v>
      </c>
      <c r="J2444">
        <v>-314.46800000000002</v>
      </c>
      <c r="K2444">
        <v>1.106768</v>
      </c>
      <c r="L2444">
        <v>216.9768</v>
      </c>
      <c r="M2444">
        <v>0.99991479999999999</v>
      </c>
      <c r="N2444">
        <v>0</v>
      </c>
      <c r="O2444">
        <v>-5.409975E-3</v>
      </c>
      <c r="P2444">
        <v>0.99789039999999996</v>
      </c>
      <c r="Q2444">
        <v>5.9821840000000001E-2</v>
      </c>
      <c r="R2444">
        <v>2.5229720000000001E-2</v>
      </c>
      <c r="S2444">
        <v>3.01287799999999</v>
      </c>
      <c r="T2444">
        <v>-0.20104620000000001</v>
      </c>
      <c r="U2444">
        <v>0.2003479</v>
      </c>
      <c r="V2444">
        <v>-3.023317E-2</v>
      </c>
      <c r="W2444">
        <v>7.186062E-2</v>
      </c>
      <c r="X2444">
        <v>0.99695630000000002</v>
      </c>
      <c r="Y2444">
        <v>-7.1577630000000003E-2</v>
      </c>
      <c r="Z2444">
        <v>2.7431199999999999E-3</v>
      </c>
      <c r="AA2444">
        <v>0.99743130000000002</v>
      </c>
      <c r="AB2444">
        <v>69</v>
      </c>
      <c r="AC2444">
        <v>15.902199999999899</v>
      </c>
      <c r="AD2444">
        <v>-1.106765586156</v>
      </c>
      <c r="AE2444">
        <v>1.1057000000000099</v>
      </c>
      <c r="AF2444">
        <v>-1.1860031300656599</v>
      </c>
      <c r="AG2444">
        <v>-1.106765586156</v>
      </c>
      <c r="AH2444">
        <v>15.8197242499146</v>
      </c>
      <c r="AI2444">
        <v>93.990792947298303</v>
      </c>
      <c r="AJ2444">
        <v>94.287438314691599</v>
      </c>
      <c r="AK2444">
        <v>15.902679297230399</v>
      </c>
    </row>
    <row r="2445" spans="1:37" x14ac:dyDescent="0.2">
      <c r="A2445" t="str">
        <f>"20200111154114036"</f>
        <v>20200111154114036</v>
      </c>
      <c r="B2445" t="str">
        <f>"1578728474028408"</f>
        <v>1578728474028408</v>
      </c>
      <c r="C2445" t="s">
        <v>37</v>
      </c>
      <c r="D2445">
        <v>5.3964129999999999</v>
      </c>
      <c r="E2445">
        <v>0.5027739</v>
      </c>
      <c r="F2445" t="s">
        <v>45</v>
      </c>
      <c r="G2445">
        <v>-299.19959999999998</v>
      </c>
      <c r="H2445" s="1">
        <v>2.5262749999999998E-6</v>
      </c>
      <c r="I2445">
        <v>217.1652</v>
      </c>
      <c r="J2445">
        <v>-313.76710000000003</v>
      </c>
      <c r="K2445">
        <v>1.106897</v>
      </c>
      <c r="L2445">
        <v>216.97299999999899</v>
      </c>
      <c r="M2445">
        <v>0.99990270000000003</v>
      </c>
      <c r="N2445">
        <v>0</v>
      </c>
      <c r="O2445">
        <v>-6.3765890000000002E-3</v>
      </c>
      <c r="P2445">
        <v>0.99781169999999997</v>
      </c>
      <c r="Q2445">
        <v>6.1124369999999997E-2</v>
      </c>
      <c r="R2445">
        <v>2.521578E-2</v>
      </c>
      <c r="S2445">
        <v>3.0185240000000002</v>
      </c>
      <c r="T2445">
        <v>-0.21880479999999899</v>
      </c>
      <c r="U2445">
        <v>3.7246700000000001E-2</v>
      </c>
      <c r="V2445">
        <v>-3.1186459999999999E-2</v>
      </c>
      <c r="W2445">
        <v>7.3665899999999895E-2</v>
      </c>
      <c r="X2445">
        <v>0.99679519999999899</v>
      </c>
      <c r="Y2445">
        <v>-1.864913E-2</v>
      </c>
      <c r="Z2445">
        <v>1.1366379999999999E-3</v>
      </c>
      <c r="AA2445">
        <v>0.99982539999999998</v>
      </c>
      <c r="AB2445">
        <v>69</v>
      </c>
      <c r="AC2445">
        <v>14.567500000000001</v>
      </c>
      <c r="AD2445">
        <v>-1.1068944737249999</v>
      </c>
      <c r="AE2445">
        <v>0.192200000000013</v>
      </c>
      <c r="AF2445">
        <v>-0.28345793062442898</v>
      </c>
      <c r="AG2445">
        <v>-1.1068944737249999</v>
      </c>
      <c r="AH2445">
        <v>14.482378037082199</v>
      </c>
      <c r="AI2445">
        <v>94.369810428750498</v>
      </c>
      <c r="AJ2445">
        <v>91.121284752474693</v>
      </c>
      <c r="AK2445">
        <v>14.5273823307352</v>
      </c>
    </row>
    <row r="2446" spans="1:37" x14ac:dyDescent="0.2">
      <c r="A2446" t="str">
        <f>"20200111154114058"</f>
        <v>20200111154114058</v>
      </c>
      <c r="B2446" t="str">
        <f>"1578728474048907"</f>
        <v>1578728474048907</v>
      </c>
      <c r="C2446" t="s">
        <v>37</v>
      </c>
      <c r="D2446">
        <v>5.4377810000000002</v>
      </c>
      <c r="E2446">
        <v>0.50205409999999995</v>
      </c>
      <c r="F2446" t="s">
        <v>45</v>
      </c>
      <c r="G2446">
        <v>-297.79840000000002</v>
      </c>
      <c r="H2446" s="1">
        <v>2.27772099999999E-6</v>
      </c>
      <c r="I2446">
        <v>217.1891</v>
      </c>
      <c r="J2446">
        <v>-313.08839999999998</v>
      </c>
      <c r="K2446">
        <v>1.107024</v>
      </c>
      <c r="L2446">
        <v>216.96879999999999</v>
      </c>
      <c r="M2446">
        <v>0.99989119999999998</v>
      </c>
      <c r="N2446">
        <v>0</v>
      </c>
      <c r="O2446">
        <v>-7.2559019999999998E-3</v>
      </c>
      <c r="P2446">
        <v>0.99780519999999995</v>
      </c>
      <c r="Q2446">
        <v>6.1214940000000002E-2</v>
      </c>
      <c r="R2446">
        <v>2.5251989999999998E-2</v>
      </c>
      <c r="S2446">
        <v>3.0183719999999998</v>
      </c>
      <c r="T2446">
        <v>-0.20922299999999999</v>
      </c>
      <c r="U2446">
        <v>4.0832519999999997E-2</v>
      </c>
      <c r="V2446">
        <v>-3.211348E-2</v>
      </c>
      <c r="W2446">
        <v>7.4189930000000001E-2</v>
      </c>
      <c r="X2446">
        <v>0.99672689999999997</v>
      </c>
      <c r="Y2446">
        <v>-2.071514E-2</v>
      </c>
      <c r="Z2446">
        <v>1.2194300000000001E-3</v>
      </c>
      <c r="AA2446">
        <v>0.99978459999999902</v>
      </c>
      <c r="AB2446">
        <v>69</v>
      </c>
      <c r="AC2446">
        <v>15.2899999999999</v>
      </c>
      <c r="AD2446">
        <v>-1.107021722279</v>
      </c>
      <c r="AE2446">
        <v>0.22030000000000799</v>
      </c>
      <c r="AF2446">
        <v>-0.32951911008921903</v>
      </c>
      <c r="AG2446">
        <v>-1.107021722279</v>
      </c>
      <c r="AH2446">
        <v>15.2082934437807</v>
      </c>
      <c r="AI2446">
        <v>94.162281543769595</v>
      </c>
      <c r="AJ2446">
        <v>91.241237269042998</v>
      </c>
      <c r="AK2446">
        <v>15.2520906570101</v>
      </c>
    </row>
    <row r="2447" spans="1:37" x14ac:dyDescent="0.2">
      <c r="A2447" t="str">
        <f>"20200111154114080"</f>
        <v>20200111154114080</v>
      </c>
      <c r="B2447" t="str">
        <f>"1578728474068425"</f>
        <v>1578728474068425</v>
      </c>
      <c r="C2447" t="s">
        <v>37</v>
      </c>
      <c r="D2447">
        <v>5.4060059999999996</v>
      </c>
      <c r="E2447">
        <v>0.50118529999999994</v>
      </c>
      <c r="F2447" t="s">
        <v>45</v>
      </c>
      <c r="G2447">
        <v>-296.91000000000003</v>
      </c>
      <c r="H2447" s="1">
        <v>2.1201260000000001E-6</v>
      </c>
      <c r="I2447">
        <v>217.22130000000001</v>
      </c>
      <c r="J2447">
        <v>-312.43079999999998</v>
      </c>
      <c r="K2447">
        <v>1.107154</v>
      </c>
      <c r="L2447">
        <v>216.9641</v>
      </c>
      <c r="M2447">
        <v>0.99988029999999894</v>
      </c>
      <c r="N2447">
        <v>0</v>
      </c>
      <c r="O2447">
        <v>-8.0521269999999992E-3</v>
      </c>
      <c r="P2447">
        <v>0.99779240000000002</v>
      </c>
      <c r="Q2447">
        <v>6.1314109999999998E-2</v>
      </c>
      <c r="R2447">
        <v>2.5516359999999998E-2</v>
      </c>
      <c r="S2447">
        <v>3.0180660000000001</v>
      </c>
      <c r="T2447">
        <v>-0.20651410000000001</v>
      </c>
      <c r="U2447">
        <v>4.7119139999999997E-2</v>
      </c>
      <c r="V2447">
        <v>-3.3187370000000001E-2</v>
      </c>
      <c r="W2447">
        <v>7.4661630000000007E-2</v>
      </c>
      <c r="X2447">
        <v>0.99665649999999995</v>
      </c>
      <c r="Y2447">
        <v>-2.3587839999999999E-2</v>
      </c>
      <c r="Z2447">
        <v>1.3563689999999901E-3</v>
      </c>
      <c r="AA2447">
        <v>0.99972090000000002</v>
      </c>
      <c r="AB2447">
        <v>69</v>
      </c>
      <c r="AC2447">
        <v>15.5207999999999</v>
      </c>
      <c r="AD2447">
        <v>-1.1071518798740001</v>
      </c>
      <c r="AE2447">
        <v>0.25720000000001098</v>
      </c>
      <c r="AF2447">
        <v>-0.38024369881023701</v>
      </c>
      <c r="AG2447">
        <v>-1.1071518798740001</v>
      </c>
      <c r="AH2447">
        <v>15.439682946574001</v>
      </c>
      <c r="AI2447">
        <v>94.100317661198304</v>
      </c>
      <c r="AJ2447">
        <v>91.410777420948705</v>
      </c>
      <c r="AK2447">
        <v>15.4839975473494</v>
      </c>
    </row>
    <row r="2448" spans="1:37" x14ac:dyDescent="0.2">
      <c r="A2448" t="str">
        <f>"20200111154114103"</f>
        <v>20200111154114103</v>
      </c>
      <c r="B2448" t="str">
        <f>"1578728474098682"</f>
        <v>1578728474098682</v>
      </c>
      <c r="C2448" t="s">
        <v>37</v>
      </c>
      <c r="D2448">
        <v>5.5009199999999998</v>
      </c>
      <c r="E2448">
        <v>0.50076589999999999</v>
      </c>
      <c r="F2448" t="s">
        <v>45</v>
      </c>
      <c r="G2448">
        <v>-296.12360000000001</v>
      </c>
      <c r="H2448" s="1">
        <v>1.980626E-6</v>
      </c>
      <c r="I2448">
        <v>217.25970000000001</v>
      </c>
      <c r="J2448">
        <v>-311.7133</v>
      </c>
      <c r="K2448">
        <v>1.1072949999999999</v>
      </c>
      <c r="L2448">
        <v>216.95830000000001</v>
      </c>
      <c r="M2448">
        <v>0.9998686</v>
      </c>
      <c r="N2448">
        <v>0</v>
      </c>
      <c r="O2448">
        <v>-8.8599400000000002E-3</v>
      </c>
      <c r="P2448">
        <v>0.99780489999999999</v>
      </c>
      <c r="Q2448">
        <v>6.1155170000000002E-2</v>
      </c>
      <c r="R2448">
        <v>2.5405899999999999E-2</v>
      </c>
      <c r="S2448">
        <v>3.0178529999999899</v>
      </c>
      <c r="T2448">
        <v>-0.20489199999999999</v>
      </c>
      <c r="U2448">
        <v>5.4718019999999999E-2</v>
      </c>
      <c r="V2448">
        <v>-3.3902090000000003E-2</v>
      </c>
      <c r="W2448">
        <v>7.4859449999999994E-2</v>
      </c>
      <c r="X2448">
        <v>0.99661759999999999</v>
      </c>
      <c r="Y2448">
        <v>-2.690474E-2</v>
      </c>
      <c r="Z2448">
        <v>1.5130529999999899E-3</v>
      </c>
      <c r="AA2448">
        <v>0.99963679999999999</v>
      </c>
      <c r="AB2448">
        <v>68</v>
      </c>
      <c r="AC2448">
        <v>15.589699999999899</v>
      </c>
      <c r="AD2448">
        <v>-1.107293019374</v>
      </c>
      <c r="AE2448">
        <v>0.301400000000001</v>
      </c>
      <c r="AF2448">
        <v>-0.43731931039140098</v>
      </c>
      <c r="AG2448">
        <v>-1.107293019374</v>
      </c>
      <c r="AH2448">
        <v>15.5082097557141</v>
      </c>
      <c r="AI2448">
        <v>94.082395878059401</v>
      </c>
      <c r="AJ2448">
        <v>91.615267830836103</v>
      </c>
      <c r="AK2448">
        <v>15.553839263578</v>
      </c>
    </row>
    <row r="2449" spans="1:37" x14ac:dyDescent="0.2">
      <c r="A2449" t="str">
        <f>"20200111154114126"</f>
        <v>20200111154114126</v>
      </c>
      <c r="B2449" t="str">
        <f>"1578728474119178"</f>
        <v>1578728474119178</v>
      </c>
      <c r="C2449" t="s">
        <v>37</v>
      </c>
      <c r="D2449">
        <v>5.4802569999999999</v>
      </c>
      <c r="E2449">
        <v>0.50046179999999996</v>
      </c>
      <c r="F2449" t="s">
        <v>38</v>
      </c>
      <c r="G2449">
        <v>-310.37299999999999</v>
      </c>
      <c r="H2449">
        <v>1.0187280000000001</v>
      </c>
      <c r="I2449">
        <v>216.9836</v>
      </c>
      <c r="J2449">
        <v>-311.01960000000003</v>
      </c>
      <c r="K2449">
        <v>1.107429</v>
      </c>
      <c r="L2449">
        <v>216.9522</v>
      </c>
      <c r="M2449">
        <v>0.99985780000000002</v>
      </c>
      <c r="N2449">
        <v>0</v>
      </c>
      <c r="O2449">
        <v>-9.5735630000000002E-3</v>
      </c>
      <c r="P2449">
        <v>0.99780119999999894</v>
      </c>
      <c r="Q2449">
        <v>6.161668E-2</v>
      </c>
      <c r="R2449">
        <v>2.4418039999999998E-2</v>
      </c>
      <c r="S2449">
        <v>3.017334</v>
      </c>
      <c r="T2449">
        <v>-0.1994716</v>
      </c>
      <c r="U2449">
        <v>5.7571410000000003E-2</v>
      </c>
      <c r="V2449">
        <v>-3.3643079999999999E-2</v>
      </c>
      <c r="W2449">
        <v>7.5613570000000005E-2</v>
      </c>
      <c r="X2449">
        <v>0.9965695</v>
      </c>
      <c r="Y2449">
        <v>-2.8565400000000001E-2</v>
      </c>
      <c r="Z2449">
        <v>1.575309E-3</v>
      </c>
      <c r="AA2449">
        <v>0.99959069999999905</v>
      </c>
      <c r="AB2449">
        <v>68</v>
      </c>
      <c r="AC2449">
        <v>0.64660000000003404</v>
      </c>
      <c r="AD2449">
        <v>-8.8700999999999905E-2</v>
      </c>
      <c r="AE2449">
        <v>3.1399999999990699E-2</v>
      </c>
      <c r="AF2449">
        <v>-3.6896714910696599E-2</v>
      </c>
      <c r="AG2449">
        <v>-8.8700999999999905E-2</v>
      </c>
      <c r="AH2449">
        <v>0.634360086530107</v>
      </c>
      <c r="AI2449">
        <v>97.946659490098497</v>
      </c>
      <c r="AJ2449">
        <v>93.328782797522194</v>
      </c>
      <c r="AK2449">
        <v>0.64159329357053396</v>
      </c>
    </row>
    <row r="2450" spans="1:37" x14ac:dyDescent="0.2">
      <c r="A2450" t="str">
        <f>"20200111154114148"</f>
        <v>20200111154114148</v>
      </c>
      <c r="B2450" t="str">
        <f>"1578728474138697"</f>
        <v>1578728474138697</v>
      </c>
      <c r="C2450" t="s">
        <v>37</v>
      </c>
      <c r="D2450">
        <v>5.5420280000000002</v>
      </c>
      <c r="E2450">
        <v>0.50028490000000003</v>
      </c>
      <c r="F2450" t="s">
        <v>45</v>
      </c>
      <c r="G2450">
        <v>-293.6318</v>
      </c>
      <c r="H2450" s="1">
        <v>1.538632E-6</v>
      </c>
      <c r="I2450">
        <v>217.28110000000001</v>
      </c>
      <c r="J2450">
        <v>-310.33890000000002</v>
      </c>
      <c r="K2450">
        <v>1.107559</v>
      </c>
      <c r="L2450">
        <v>216.94569999999999</v>
      </c>
      <c r="M2450">
        <v>0.99984769999999901</v>
      </c>
      <c r="N2450">
        <v>0</v>
      </c>
      <c r="O2450">
        <v>-1.022293E-2</v>
      </c>
      <c r="P2450">
        <v>0.99779130000000005</v>
      </c>
      <c r="Q2450">
        <v>6.2295820000000002E-2</v>
      </c>
      <c r="R2450">
        <v>2.3058740000000001E-2</v>
      </c>
      <c r="S2450">
        <v>3.0171199999999998</v>
      </c>
      <c r="T2450">
        <v>-0.1921602</v>
      </c>
      <c r="U2450">
        <v>5.7083130000000003E-2</v>
      </c>
      <c r="V2450">
        <v>-3.2946929999999999E-2</v>
      </c>
      <c r="W2450">
        <v>7.654213E-2</v>
      </c>
      <c r="X2450">
        <v>0.99652180000000001</v>
      </c>
      <c r="Y2450">
        <v>-2.9057929999999999E-2</v>
      </c>
      <c r="Z2450">
        <v>1.574783E-3</v>
      </c>
      <c r="AA2450">
        <v>0.99957649999999998</v>
      </c>
      <c r="AB2450">
        <v>68</v>
      </c>
      <c r="AC2450">
        <v>16.707100000000001</v>
      </c>
      <c r="AD2450">
        <v>-1.1075574613679999</v>
      </c>
      <c r="AE2450">
        <v>0.33540000000002101</v>
      </c>
      <c r="AF2450">
        <v>-0.50398111233431997</v>
      </c>
      <c r="AG2450">
        <v>-1.1075574613679999</v>
      </c>
      <c r="AH2450">
        <v>16.6297441838853</v>
      </c>
      <c r="AI2450">
        <v>93.8085851398302</v>
      </c>
      <c r="AJ2450">
        <v>91.735874876837997</v>
      </c>
      <c r="AK2450">
        <v>16.674203792484001</v>
      </c>
    </row>
    <row r="2451" spans="1:37" x14ac:dyDescent="0.2">
      <c r="A2451" t="str">
        <f>"20200111154114169"</f>
        <v>20200111154114169</v>
      </c>
      <c r="B2451" t="str">
        <f>"1578728474158217"</f>
        <v>1578728474158217</v>
      </c>
      <c r="C2451" t="s">
        <v>37</v>
      </c>
      <c r="D2451">
        <v>5.5120740000000001</v>
      </c>
      <c r="E2451">
        <v>0.50010480000000002</v>
      </c>
      <c r="F2451" t="s">
        <v>45</v>
      </c>
      <c r="G2451">
        <v>-292.40929999999997</v>
      </c>
      <c r="H2451" s="1">
        <v>1.3217869999999901E-6</v>
      </c>
      <c r="I2451">
        <v>217.2704</v>
      </c>
      <c r="J2451">
        <v>-309.68529999999998</v>
      </c>
      <c r="K2451">
        <v>1.1076820000000001</v>
      </c>
      <c r="L2451">
        <v>216.93899999999999</v>
      </c>
      <c r="M2451">
        <v>0.99983840000000002</v>
      </c>
      <c r="N2451">
        <v>0</v>
      </c>
      <c r="O2451">
        <v>-1.0801430000000001E-2</v>
      </c>
      <c r="P2451">
        <v>0.99779249999999997</v>
      </c>
      <c r="Q2451">
        <v>6.2704079999999995E-2</v>
      </c>
      <c r="R2451">
        <v>2.187441E-2</v>
      </c>
      <c r="S2451">
        <v>3.016937</v>
      </c>
      <c r="T2451">
        <v>-0.18636449999999999</v>
      </c>
      <c r="U2451">
        <v>5.4641719999999998E-2</v>
      </c>
      <c r="V2451">
        <v>-3.2355210000000002E-2</v>
      </c>
      <c r="W2451">
        <v>7.7160190000000003E-2</v>
      </c>
      <c r="X2451">
        <v>0.99649359999999998</v>
      </c>
      <c r="Y2451">
        <v>-2.8832880000000002E-2</v>
      </c>
      <c r="Z2451">
        <v>1.556242E-3</v>
      </c>
      <c r="AA2451">
        <v>0.999583</v>
      </c>
      <c r="AB2451">
        <v>68</v>
      </c>
      <c r="AC2451">
        <v>17.276</v>
      </c>
      <c r="AD2451">
        <v>-1.107680678213</v>
      </c>
      <c r="AE2451">
        <v>0.33139999999997299</v>
      </c>
      <c r="AF2451">
        <v>-0.51588543610575499</v>
      </c>
      <c r="AG2451">
        <v>-1.107680678213</v>
      </c>
      <c r="AH2451">
        <v>17.200726585637899</v>
      </c>
      <c r="AI2451">
        <v>93.682955321658795</v>
      </c>
      <c r="AJ2451">
        <v>91.717904188682098</v>
      </c>
      <c r="AK2451">
        <v>17.244074035503999</v>
      </c>
    </row>
    <row r="2452" spans="1:37" x14ac:dyDescent="0.2">
      <c r="A2452" t="str">
        <f>"20200111154114191"</f>
        <v>20200111154114191</v>
      </c>
      <c r="B2452" t="str">
        <f>"1578728474188473"</f>
        <v>1578728474188473</v>
      </c>
      <c r="C2452" t="s">
        <v>37</v>
      </c>
      <c r="D2452">
        <v>5.3555359999999999</v>
      </c>
      <c r="E2452">
        <v>0.4999673</v>
      </c>
      <c r="F2452" t="s">
        <v>45</v>
      </c>
      <c r="G2452">
        <v>-291.37450000000001</v>
      </c>
      <c r="H2452" s="1">
        <v>1.1382270000000001E-6</v>
      </c>
      <c r="I2452">
        <v>217.25960000000001</v>
      </c>
      <c r="J2452">
        <v>-309.02099999999899</v>
      </c>
      <c r="K2452">
        <v>1.1077969999999999</v>
      </c>
      <c r="L2452">
        <v>216.93190000000001</v>
      </c>
      <c r="M2452">
        <v>0.99982959999999999</v>
      </c>
      <c r="N2452">
        <v>0</v>
      </c>
      <c r="O2452">
        <v>-1.1344099999999999E-2</v>
      </c>
      <c r="P2452">
        <v>0.99776549999999997</v>
      </c>
      <c r="Q2452">
        <v>6.3400150000000002E-2</v>
      </c>
      <c r="R2452">
        <v>2.1086190000000001E-2</v>
      </c>
      <c r="S2452">
        <v>3.0169679999999999</v>
      </c>
      <c r="T2452">
        <v>-0.1825069</v>
      </c>
      <c r="U2452">
        <v>5.282593E-2</v>
      </c>
      <c r="V2452">
        <v>-3.2122530000000003E-2</v>
      </c>
      <c r="W2452">
        <v>7.8043479999999998E-2</v>
      </c>
      <c r="X2452">
        <v>0.99643230000000005</v>
      </c>
      <c r="Y2452">
        <v>-2.8776039999999999E-2</v>
      </c>
      <c r="Z2452">
        <v>1.5551650000000001E-3</v>
      </c>
      <c r="AA2452">
        <v>0.99958469999999999</v>
      </c>
      <c r="AB2452">
        <v>68</v>
      </c>
      <c r="AC2452">
        <v>17.6464999999999</v>
      </c>
      <c r="AD2452">
        <v>-1.1077958617729999</v>
      </c>
      <c r="AE2452">
        <v>0.327699999999993</v>
      </c>
      <c r="AF2452">
        <v>-0.52581230866664996</v>
      </c>
      <c r="AG2452">
        <v>-1.1077958617729999</v>
      </c>
      <c r="AH2452">
        <v>17.572418045995999</v>
      </c>
      <c r="AI2452">
        <v>93.605642582720506</v>
      </c>
      <c r="AJ2452">
        <v>91.713926870153799</v>
      </c>
      <c r="AK2452">
        <v>17.615151609865698</v>
      </c>
    </row>
    <row r="2453" spans="1:37" x14ac:dyDescent="0.2">
      <c r="A2453" t="str">
        <f>"20200111154114213"</f>
        <v>20200111154114213</v>
      </c>
      <c r="B2453" t="str">
        <f>"1578728474208969"</f>
        <v>1578728474208969</v>
      </c>
      <c r="C2453" t="s">
        <v>37</v>
      </c>
      <c r="D2453">
        <v>5.5132779999999997</v>
      </c>
      <c r="E2453">
        <v>0.49976379999999998</v>
      </c>
      <c r="F2453" t="s">
        <v>45</v>
      </c>
      <c r="G2453">
        <v>-289.86590000000001</v>
      </c>
      <c r="H2453" s="1">
        <v>2.4004879999999998E-6</v>
      </c>
      <c r="I2453">
        <v>217.2611</v>
      </c>
      <c r="J2453">
        <v>-308.33789999999999</v>
      </c>
      <c r="K2453">
        <v>1.107909</v>
      </c>
      <c r="L2453">
        <v>216.92420000000001</v>
      </c>
      <c r="M2453">
        <v>0.99982109999999902</v>
      </c>
      <c r="N2453">
        <v>0</v>
      </c>
      <c r="O2453">
        <v>-1.185258E-2</v>
      </c>
      <c r="P2453">
        <v>0.99774839999999998</v>
      </c>
      <c r="Q2453">
        <v>6.3891569999999995E-2</v>
      </c>
      <c r="R2453">
        <v>2.0396270000000001E-2</v>
      </c>
      <c r="S2453">
        <v>3.016724</v>
      </c>
      <c r="T2453">
        <v>-0.1744666</v>
      </c>
      <c r="U2453">
        <v>5.1849369999999999E-2</v>
      </c>
      <c r="V2453">
        <v>-3.1955530000000003E-2</v>
      </c>
      <c r="W2453">
        <v>7.8701859999999998E-2</v>
      </c>
      <c r="X2453">
        <v>0.99638590000000005</v>
      </c>
      <c r="Y2453">
        <v>-2.8967489999999999E-2</v>
      </c>
      <c r="Z2453">
        <v>1.5218079999999999E-3</v>
      </c>
      <c r="AA2453">
        <v>0.9995792</v>
      </c>
      <c r="AB2453">
        <v>68</v>
      </c>
      <c r="AC2453">
        <v>18.471999999999898</v>
      </c>
      <c r="AD2453">
        <v>-1.1079065995120001</v>
      </c>
      <c r="AE2453">
        <v>0.33689999999998499</v>
      </c>
      <c r="AF2453">
        <v>-0.55384926968144998</v>
      </c>
      <c r="AG2453">
        <v>-1.1079065995120001</v>
      </c>
      <c r="AH2453">
        <v>18.400538078097998</v>
      </c>
      <c r="AI2453">
        <v>93.444094774303196</v>
      </c>
      <c r="AJ2453">
        <v>91.724060862259805</v>
      </c>
      <c r="AK2453">
        <v>18.4421801208616</v>
      </c>
    </row>
    <row r="2454" spans="1:37" x14ac:dyDescent="0.2">
      <c r="A2454" t="str">
        <f>"20200111154114237"</f>
        <v>20200111154114237</v>
      </c>
      <c r="B2454" t="str">
        <f>"1578728474228488"</f>
        <v>1578728474228488</v>
      </c>
      <c r="C2454" t="s">
        <v>37</v>
      </c>
      <c r="D2454">
        <v>5.4297879999999896</v>
      </c>
      <c r="E2454">
        <v>0.49956790000000001</v>
      </c>
      <c r="F2454" t="s">
        <v>45</v>
      </c>
      <c r="G2454">
        <v>-288.89429999999999</v>
      </c>
      <c r="H2454" s="1">
        <v>2.831541E-6</v>
      </c>
      <c r="I2454">
        <v>217.25960000000001</v>
      </c>
      <c r="J2454">
        <v>-307.60950000000003</v>
      </c>
      <c r="K2454">
        <v>1.1080319999999999</v>
      </c>
      <c r="L2454">
        <v>216.91550000000001</v>
      </c>
      <c r="M2454">
        <v>0.9998129</v>
      </c>
      <c r="N2454">
        <v>0</v>
      </c>
      <c r="O2454">
        <v>-1.2338460000000001E-2</v>
      </c>
      <c r="P2454">
        <v>0.99773579999999995</v>
      </c>
      <c r="Q2454">
        <v>6.4080369999999998E-2</v>
      </c>
      <c r="R2454">
        <v>2.0425760000000001E-2</v>
      </c>
      <c r="S2454">
        <v>3.016724</v>
      </c>
      <c r="T2454">
        <v>-0.17189499999999999</v>
      </c>
      <c r="U2454">
        <v>5.204773E-2</v>
      </c>
      <c r="V2454">
        <v>-3.248819E-2</v>
      </c>
      <c r="W2454">
        <v>7.9045539999999997E-2</v>
      </c>
      <c r="X2454">
        <v>0.99634149999999999</v>
      </c>
      <c r="Y2454">
        <v>-2.9519299999999998E-2</v>
      </c>
      <c r="Z2454">
        <v>1.5427870000000001E-3</v>
      </c>
      <c r="AA2454">
        <v>0.99956299999999898</v>
      </c>
      <c r="AB2454">
        <v>68</v>
      </c>
      <c r="AC2454">
        <v>18.715199999999999</v>
      </c>
      <c r="AD2454">
        <v>-1.108029168459</v>
      </c>
      <c r="AE2454">
        <v>0.34409999999999702</v>
      </c>
      <c r="AF2454">
        <v>-0.57300834189980199</v>
      </c>
      <c r="AG2454">
        <v>-1.108029168459</v>
      </c>
      <c r="AH2454">
        <v>18.644199257119801</v>
      </c>
      <c r="AI2454">
        <v>93.399499918499899</v>
      </c>
      <c r="AJ2454">
        <v>91.760366748155604</v>
      </c>
      <c r="AK2454">
        <v>18.685883258150501</v>
      </c>
    </row>
    <row r="2455" spans="1:37" x14ac:dyDescent="0.2">
      <c r="A2455" t="str">
        <f>"20200111154114259"</f>
        <v>20200111154114259</v>
      </c>
      <c r="B2455" t="str">
        <f>"1578728474248988"</f>
        <v>1578728474248988</v>
      </c>
      <c r="C2455" t="s">
        <v>37</v>
      </c>
      <c r="D2455">
        <v>5.45547</v>
      </c>
      <c r="E2455">
        <v>0.4877997</v>
      </c>
      <c r="F2455" t="s">
        <v>45</v>
      </c>
      <c r="G2455">
        <v>-287.87150000000003</v>
      </c>
      <c r="H2455" s="1">
        <v>3.28367599999999E-6</v>
      </c>
      <c r="I2455">
        <v>217.27170000000001</v>
      </c>
      <c r="J2455">
        <v>-306.94549999999998</v>
      </c>
      <c r="K2455">
        <v>1.1081430000000001</v>
      </c>
      <c r="L2455">
        <v>216.9074</v>
      </c>
      <c r="M2455">
        <v>0.99980599999999997</v>
      </c>
      <c r="N2455">
        <v>0</v>
      </c>
      <c r="O2455">
        <v>-1.272473E-2</v>
      </c>
      <c r="P2455">
        <v>0.99773089999999998</v>
      </c>
      <c r="Q2455">
        <v>6.3954230000000001E-2</v>
      </c>
      <c r="R2455">
        <v>2.104903E-2</v>
      </c>
      <c r="S2455">
        <v>3.0165410000000001</v>
      </c>
      <c r="T2455">
        <v>-0.16933899999999999</v>
      </c>
      <c r="U2455">
        <v>5.4428099999999903E-2</v>
      </c>
      <c r="V2455">
        <v>-3.351581E-2</v>
      </c>
      <c r="W2455">
        <v>7.9040799999999994E-2</v>
      </c>
      <c r="X2455">
        <v>0.99630779999999997</v>
      </c>
      <c r="Y2455">
        <v>-3.0694579999999999E-2</v>
      </c>
      <c r="Z2455">
        <v>1.57459299999999E-3</v>
      </c>
      <c r="AA2455">
        <v>0.99952759999999996</v>
      </c>
      <c r="AB2455">
        <v>68</v>
      </c>
      <c r="AC2455">
        <v>19.073999999999899</v>
      </c>
      <c r="AD2455">
        <v>-1.1081397163240001</v>
      </c>
      <c r="AE2455">
        <v>0.364300000000014</v>
      </c>
      <c r="AF2455">
        <v>-0.60496826262636705</v>
      </c>
      <c r="AG2455">
        <v>-1.1081397163240001</v>
      </c>
      <c r="AH2455">
        <v>19.003700443704499</v>
      </c>
      <c r="AI2455">
        <v>93.335554256146807</v>
      </c>
      <c r="AJ2455">
        <v>91.823351526947704</v>
      </c>
      <c r="AK2455">
        <v>19.045592424068399</v>
      </c>
    </row>
    <row r="2456" spans="1:37" x14ac:dyDescent="0.2">
      <c r="A2456" t="str">
        <f>"20200111154114280"</f>
        <v>20200111154114280</v>
      </c>
      <c r="B2456" t="str">
        <f>"1578728474268505"</f>
        <v>1578728474268505</v>
      </c>
      <c r="C2456" t="s">
        <v>37</v>
      </c>
      <c r="D2456">
        <v>5.7989119999999996</v>
      </c>
      <c r="E2456">
        <v>0.487083299999999</v>
      </c>
      <c r="F2456" t="s">
        <v>45</v>
      </c>
      <c r="G2456">
        <v>-279.9726</v>
      </c>
      <c r="H2456" s="1">
        <v>6.6678699999999904E-6</v>
      </c>
      <c r="I2456">
        <v>218.267</v>
      </c>
      <c r="J2456">
        <v>-306.30860000000001</v>
      </c>
      <c r="K2456">
        <v>1.1082510000000001</v>
      </c>
      <c r="L2456">
        <v>216.89930000000001</v>
      </c>
      <c r="M2456">
        <v>0.99980049999999898</v>
      </c>
      <c r="N2456">
        <v>0</v>
      </c>
      <c r="O2456">
        <v>-1.303821E-2</v>
      </c>
      <c r="P2456">
        <v>0.99770859999999995</v>
      </c>
      <c r="Q2456">
        <v>6.3987180000000005E-2</v>
      </c>
      <c r="R2456">
        <v>2.198539E-2</v>
      </c>
      <c r="S2456">
        <v>3.0115970000000001</v>
      </c>
      <c r="T2456">
        <v>-0.1237265</v>
      </c>
      <c r="U2456">
        <v>0.15180969999999999</v>
      </c>
      <c r="V2456">
        <v>-3.4782920000000002E-2</v>
      </c>
      <c r="W2456">
        <v>7.9173889999999997E-2</v>
      </c>
      <c r="X2456">
        <v>0.99625379999999997</v>
      </c>
      <c r="Y2456">
        <v>-6.3299090000000002E-2</v>
      </c>
      <c r="Z2456">
        <v>1.8340800000000001E-3</v>
      </c>
      <c r="AA2456">
        <v>0.99799289999999996</v>
      </c>
      <c r="AB2456">
        <v>68</v>
      </c>
      <c r="AC2456">
        <v>26.335999999999999</v>
      </c>
      <c r="AD2456">
        <v>-1.10824433213</v>
      </c>
      <c r="AE2456">
        <v>1.3676999999999799</v>
      </c>
      <c r="AF2456">
        <v>-1.7079809623861699</v>
      </c>
      <c r="AG2456">
        <v>-1.10824433213</v>
      </c>
      <c r="AH2456">
        <v>26.269533327245401</v>
      </c>
      <c r="AI2456">
        <v>92.410645876756305</v>
      </c>
      <c r="AJ2456">
        <v>93.719995859714999</v>
      </c>
      <c r="AK2456">
        <v>26.348316562900798</v>
      </c>
    </row>
    <row r="2457" spans="1:37" x14ac:dyDescent="0.2">
      <c r="A2457" t="str">
        <f>"20200111154114304"</f>
        <v>20200111154114304</v>
      </c>
      <c r="B2457" t="str">
        <f>"1578728474298760"</f>
        <v>1578728474298760</v>
      </c>
      <c r="C2457" t="s">
        <v>37</v>
      </c>
      <c r="D2457">
        <v>5.364026</v>
      </c>
      <c r="E2457">
        <v>0.48709719999999901</v>
      </c>
      <c r="F2457" t="s">
        <v>44</v>
      </c>
      <c r="G2457">
        <v>-275.23630000000003</v>
      </c>
      <c r="H2457" s="1">
        <v>1.077413E-6</v>
      </c>
      <c r="I2457">
        <v>218.55770000000001</v>
      </c>
      <c r="J2457">
        <v>-305.60989999999998</v>
      </c>
      <c r="K2457">
        <v>1.1083719999999999</v>
      </c>
      <c r="L2457">
        <v>216.8903</v>
      </c>
      <c r="M2457">
        <v>0.99979530000000005</v>
      </c>
      <c r="N2457">
        <v>0</v>
      </c>
      <c r="O2457">
        <v>-1.3315209999999999E-2</v>
      </c>
      <c r="P2457">
        <v>0.99771169999999998</v>
      </c>
      <c r="Q2457">
        <v>6.3390730000000006E-2</v>
      </c>
      <c r="R2457">
        <v>2.3528540000000001E-2</v>
      </c>
      <c r="S2457">
        <v>3.0102229999999999</v>
      </c>
      <c r="T2457">
        <v>-0.107365</v>
      </c>
      <c r="U2457">
        <v>0.16065979999999999</v>
      </c>
      <c r="V2457">
        <v>-3.6625619999999998E-2</v>
      </c>
      <c r="W2457">
        <v>7.867238E-2</v>
      </c>
      <c r="X2457">
        <v>0.99622749999999904</v>
      </c>
      <c r="Y2457">
        <v>-6.6538009999999995E-2</v>
      </c>
      <c r="Z2457">
        <v>1.659888E-3</v>
      </c>
      <c r="AA2457">
        <v>0.99778250000000002</v>
      </c>
      <c r="AB2457">
        <v>68</v>
      </c>
      <c r="AC2457">
        <v>30.3735999999999</v>
      </c>
      <c r="AD2457">
        <v>-1.108370922587</v>
      </c>
      <c r="AE2457">
        <v>1.66740000000001</v>
      </c>
      <c r="AF2457">
        <v>-2.0689831408125601</v>
      </c>
      <c r="AG2457">
        <v>-1.108370922587</v>
      </c>
      <c r="AH2457">
        <v>30.308464502308201</v>
      </c>
      <c r="AI2457">
        <v>92.089496628481399</v>
      </c>
      <c r="AJ2457">
        <v>93.905192115137794</v>
      </c>
      <c r="AK2457">
        <v>30.399213769877001</v>
      </c>
    </row>
    <row r="2458" spans="1:37" x14ac:dyDescent="0.2">
      <c r="A2458" t="str">
        <f>"20200111154114327"</f>
        <v>20200111154114327</v>
      </c>
      <c r="B2458" t="str">
        <f>"1578728474318297"</f>
        <v>1578728474318297</v>
      </c>
      <c r="C2458" t="s">
        <v>37</v>
      </c>
      <c r="D2458">
        <v>6.8252709999999999</v>
      </c>
      <c r="E2458">
        <v>0.4874251</v>
      </c>
      <c r="F2458" t="s">
        <v>44</v>
      </c>
      <c r="G2458">
        <v>-278.4427</v>
      </c>
      <c r="H2458" s="1">
        <v>2.7916239999999999E-6</v>
      </c>
      <c r="I2458">
        <v>218.37690000000001</v>
      </c>
      <c r="J2458">
        <v>-304.89580000000001</v>
      </c>
      <c r="K2458">
        <v>1.1084909999999999</v>
      </c>
      <c r="L2458">
        <v>216.8809</v>
      </c>
      <c r="M2458">
        <v>0.99979110000000004</v>
      </c>
      <c r="N2458">
        <v>0</v>
      </c>
      <c r="O2458">
        <v>-1.352567E-2</v>
      </c>
      <c r="P2458">
        <v>0.99766969999999999</v>
      </c>
      <c r="Q2458">
        <v>6.3219819999999996E-2</v>
      </c>
      <c r="R2458">
        <v>2.5661900000000001E-2</v>
      </c>
      <c r="S2458">
        <v>3.0108029999999899</v>
      </c>
      <c r="T2458">
        <v>-0.1228349</v>
      </c>
      <c r="U2458">
        <v>0.16474910000000001</v>
      </c>
      <c r="V2458">
        <v>-3.8990530000000002E-2</v>
      </c>
      <c r="W2458">
        <v>7.8581120000000004E-2</v>
      </c>
      <c r="X2458">
        <v>0.99614499999999995</v>
      </c>
      <c r="Y2458">
        <v>-6.8071960000000001E-2</v>
      </c>
      <c r="Z2458">
        <v>1.9382710000000001E-3</v>
      </c>
      <c r="AA2458">
        <v>0.99767850000000002</v>
      </c>
      <c r="AB2458">
        <v>68</v>
      </c>
      <c r="AC2458">
        <v>26.453099999999999</v>
      </c>
      <c r="AD2458">
        <v>-1.1084882083759999</v>
      </c>
      <c r="AE2458">
        <v>1.496</v>
      </c>
      <c r="AF2458">
        <v>-1.85046209906887</v>
      </c>
      <c r="AG2458">
        <v>-1.1084882083759999</v>
      </c>
      <c r="AH2458">
        <v>26.384261417680001</v>
      </c>
      <c r="AI2458">
        <v>92.399878048856905</v>
      </c>
      <c r="AJ2458">
        <v>94.0118742410191</v>
      </c>
      <c r="AK2458">
        <v>26.472291299482901</v>
      </c>
    </row>
    <row r="2459" spans="1:37" x14ac:dyDescent="0.2">
      <c r="A2459" t="str">
        <f>"20200111154114348"</f>
        <v>20200111154114348</v>
      </c>
      <c r="B2459" t="str">
        <f>"1578728474338777"</f>
        <v>1578728474338777</v>
      </c>
      <c r="C2459" t="s">
        <v>37</v>
      </c>
      <c r="D2459">
        <v>5.4735909999999999</v>
      </c>
      <c r="E2459">
        <v>0.4878285</v>
      </c>
      <c r="F2459" t="s">
        <v>44</v>
      </c>
      <c r="G2459">
        <v>-279.62040000000002</v>
      </c>
      <c r="H2459" s="1">
        <v>3.42208199999999E-6</v>
      </c>
      <c r="I2459">
        <v>218.29079999999999</v>
      </c>
      <c r="J2459">
        <v>-304.2439</v>
      </c>
      <c r="K2459">
        <v>1.108592</v>
      </c>
      <c r="L2459">
        <v>216.87209999999999</v>
      </c>
      <c r="M2459">
        <v>0.99978809999999996</v>
      </c>
      <c r="N2459">
        <v>0</v>
      </c>
      <c r="O2459">
        <v>-1.36727999999999E-2</v>
      </c>
      <c r="P2459">
        <v>0.99761869999999997</v>
      </c>
      <c r="Q2459">
        <v>6.3028799999999996E-2</v>
      </c>
      <c r="R2459">
        <v>2.801182E-2</v>
      </c>
      <c r="S2459">
        <v>3.011047</v>
      </c>
      <c r="T2459">
        <v>-0.13205339999999999</v>
      </c>
      <c r="U2459">
        <v>0.167968799999999</v>
      </c>
      <c r="V2459">
        <v>-4.1505470000000003E-2</v>
      </c>
      <c r="W2459">
        <v>7.8452300000000003E-2</v>
      </c>
      <c r="X2459">
        <v>0.99605350000000004</v>
      </c>
      <c r="Y2459">
        <v>-6.9266060000000004E-2</v>
      </c>
      <c r="Z2459">
        <v>2.1159679999999902E-3</v>
      </c>
      <c r="AA2459">
        <v>0.99759599999999904</v>
      </c>
      <c r="AB2459">
        <v>68</v>
      </c>
      <c r="AC2459">
        <v>24.6234999999999</v>
      </c>
      <c r="AD2459">
        <v>-1.108588577918</v>
      </c>
      <c r="AE2459">
        <v>1.4187000000000001</v>
      </c>
      <c r="AF2459">
        <v>-1.7517404862025301</v>
      </c>
      <c r="AG2459">
        <v>-1.108588577918</v>
      </c>
      <c r="AH2459">
        <v>24.5521966093321</v>
      </c>
      <c r="AI2459">
        <v>92.578735000060504</v>
      </c>
      <c r="AJ2459">
        <v>94.081001407976203</v>
      </c>
      <c r="AK2459">
        <v>24.639560095695501</v>
      </c>
    </row>
    <row r="2460" spans="1:37" x14ac:dyDescent="0.2">
      <c r="A2460" t="str">
        <f>"20200111154114370"</f>
        <v>20200111154114370</v>
      </c>
      <c r="B2460" t="str">
        <f>"1578728474358297"</f>
        <v>1578728474358297</v>
      </c>
      <c r="C2460" t="s">
        <v>37</v>
      </c>
      <c r="D2460">
        <v>5.4622909999999996</v>
      </c>
      <c r="E2460">
        <v>0.48809609999999898</v>
      </c>
      <c r="F2460" t="s">
        <v>44</v>
      </c>
      <c r="G2460">
        <v>-279.43130000000002</v>
      </c>
      <c r="H2460" s="1">
        <v>3.3216429999999998E-6</v>
      </c>
      <c r="I2460">
        <v>218.28649999999999</v>
      </c>
      <c r="J2460">
        <v>-303.59140000000002</v>
      </c>
      <c r="K2460">
        <v>1.1086879999999999</v>
      </c>
      <c r="L2460">
        <v>216.86320000000001</v>
      </c>
      <c r="M2460">
        <v>0.9997857</v>
      </c>
      <c r="N2460">
        <v>0</v>
      </c>
      <c r="O2460">
        <v>-1.3784640000000001E-2</v>
      </c>
      <c r="P2460">
        <v>0.99757099999999899</v>
      </c>
      <c r="Q2460">
        <v>6.3143539999999998E-2</v>
      </c>
      <c r="R2460">
        <v>2.9415899999999998E-2</v>
      </c>
      <c r="S2460">
        <v>3.0108029999999899</v>
      </c>
      <c r="T2460">
        <v>-0.1345181</v>
      </c>
      <c r="U2460">
        <v>0.1716309</v>
      </c>
      <c r="V2460">
        <v>-4.3037069999999997E-2</v>
      </c>
      <c r="W2460">
        <v>7.8618679999999996E-2</v>
      </c>
      <c r="X2460">
        <v>0.99597539999999996</v>
      </c>
      <c r="Y2460">
        <v>-7.0587230000000001E-2</v>
      </c>
      <c r="Z2460">
        <v>2.1899929999999999E-3</v>
      </c>
      <c r="AA2460">
        <v>0.99750319999999904</v>
      </c>
      <c r="AB2460">
        <v>68</v>
      </c>
      <c r="AC2460">
        <v>24.1601</v>
      </c>
      <c r="AD2460">
        <v>-1.1086846783569999</v>
      </c>
      <c r="AE2460">
        <v>1.42329999999998</v>
      </c>
      <c r="AF2460">
        <v>-1.75256494505448</v>
      </c>
      <c r="AG2460">
        <v>-1.1086846783569999</v>
      </c>
      <c r="AH2460">
        <v>24.087633432718</v>
      </c>
      <c r="AI2460">
        <v>92.628362558251894</v>
      </c>
      <c r="AJ2460">
        <v>94.161386262760104</v>
      </c>
      <c r="AK2460">
        <v>24.176739854489298</v>
      </c>
    </row>
    <row r="2461" spans="1:37" x14ac:dyDescent="0.2">
      <c r="A2461" t="str">
        <f>"20200111154114392"</f>
        <v>20200111154114392</v>
      </c>
      <c r="B2461" t="str">
        <f>"1578728474388553"</f>
        <v>1578728474388553</v>
      </c>
      <c r="C2461" t="s">
        <v>37</v>
      </c>
      <c r="D2461">
        <v>5.4643300000000004</v>
      </c>
      <c r="E2461">
        <v>0.48790620000000001</v>
      </c>
      <c r="F2461" t="s">
        <v>44</v>
      </c>
      <c r="G2461">
        <v>-279.46280000000002</v>
      </c>
      <c r="H2461" s="1">
        <v>3.3397859999999998E-6</v>
      </c>
      <c r="I2461">
        <v>218.255</v>
      </c>
      <c r="J2461">
        <v>-302.90370000000001</v>
      </c>
      <c r="K2461">
        <v>1.1087849999999999</v>
      </c>
      <c r="L2461">
        <v>216.85380000000001</v>
      </c>
      <c r="M2461">
        <v>0.999783599999999</v>
      </c>
      <c r="N2461">
        <v>0</v>
      </c>
      <c r="O2461">
        <v>-1.387149E-2</v>
      </c>
      <c r="P2461">
        <v>0.99753189999999903</v>
      </c>
      <c r="Q2461">
        <v>6.3458009999999995E-2</v>
      </c>
      <c r="R2461">
        <v>3.005188E-2</v>
      </c>
      <c r="S2461">
        <v>3.0109560000000002</v>
      </c>
      <c r="T2461">
        <v>-0.1383501</v>
      </c>
      <c r="U2461">
        <v>0.17367550000000001</v>
      </c>
      <c r="V2461">
        <v>-4.3775260000000003E-2</v>
      </c>
      <c r="W2461">
        <v>7.8976619999999997E-2</v>
      </c>
      <c r="X2461">
        <v>0.99591489999999905</v>
      </c>
      <c r="Y2461">
        <v>-7.1340459999999994E-2</v>
      </c>
      <c r="Z2461">
        <v>2.2734259999999998E-3</v>
      </c>
      <c r="AA2461">
        <v>0.99744949999999999</v>
      </c>
      <c r="AB2461">
        <v>68</v>
      </c>
      <c r="AC2461">
        <v>23.440899999999999</v>
      </c>
      <c r="AD2461">
        <v>-1.1087816602139999</v>
      </c>
      <c r="AE2461">
        <v>1.40119999999998</v>
      </c>
      <c r="AF2461">
        <v>-1.7224244133454301</v>
      </c>
      <c r="AG2461">
        <v>-1.1087816602139999</v>
      </c>
      <c r="AH2461">
        <v>23.367109642614199</v>
      </c>
      <c r="AI2461">
        <v>92.709337757570495</v>
      </c>
      <c r="AJ2461">
        <v>94.215732942955199</v>
      </c>
      <c r="AK2461">
        <v>23.456725169547202</v>
      </c>
    </row>
    <row r="2462" spans="1:37" x14ac:dyDescent="0.2">
      <c r="A2462" t="str">
        <f>"20200111154114415"</f>
        <v>20200111154114415</v>
      </c>
      <c r="B2462" t="str">
        <f>"1578728474409049"</f>
        <v>1578728474409049</v>
      </c>
      <c r="C2462" t="s">
        <v>37</v>
      </c>
      <c r="D2462">
        <v>5.6658309999999998</v>
      </c>
      <c r="E2462">
        <v>0.48803409999999903</v>
      </c>
      <c r="F2462" t="s">
        <v>44</v>
      </c>
      <c r="G2462">
        <v>-279.70420000000001</v>
      </c>
      <c r="H2462" s="1">
        <v>3.4697719999999999E-6</v>
      </c>
      <c r="I2462">
        <v>218.22030000000001</v>
      </c>
      <c r="J2462">
        <v>-302.20530000000002</v>
      </c>
      <c r="K2462">
        <v>1.1088830000000001</v>
      </c>
      <c r="L2462">
        <v>216.8441</v>
      </c>
      <c r="M2462">
        <v>0.99978210000000001</v>
      </c>
      <c r="N2462">
        <v>0</v>
      </c>
      <c r="O2462">
        <v>-1.3929550000000001E-2</v>
      </c>
      <c r="P2462">
        <v>0.9975695</v>
      </c>
      <c r="Q2462">
        <v>6.3052339999999998E-2</v>
      </c>
      <c r="R2462">
        <v>2.9666640000000001E-2</v>
      </c>
      <c r="S2462">
        <v>3.0112000000000001</v>
      </c>
      <c r="T2462">
        <v>-0.1439156</v>
      </c>
      <c r="U2462">
        <v>0.1773682</v>
      </c>
      <c r="V2462">
        <v>-4.3465469999999999E-2</v>
      </c>
      <c r="W2462">
        <v>7.8608230000000001E-2</v>
      </c>
      <c r="X2462">
        <v>0.995957599999999</v>
      </c>
      <c r="Y2462">
        <v>-7.2603870000000001E-2</v>
      </c>
      <c r="Z2462">
        <v>2.397424E-3</v>
      </c>
      <c r="AA2462">
        <v>0.99735799999999997</v>
      </c>
      <c r="AB2462">
        <v>68</v>
      </c>
      <c r="AC2462">
        <v>22.501100000000001</v>
      </c>
      <c r="AD2462">
        <v>-1.1088795302279999</v>
      </c>
      <c r="AE2462">
        <v>1.3762000000000101</v>
      </c>
      <c r="AF2462">
        <v>-1.68545643924029</v>
      </c>
      <c r="AG2462">
        <v>-1.1088795302279999</v>
      </c>
      <c r="AH2462">
        <v>22.425484015949301</v>
      </c>
      <c r="AI2462">
        <v>92.822867024749101</v>
      </c>
      <c r="AJ2462">
        <v>94.298160175552596</v>
      </c>
      <c r="AK2462">
        <v>22.516054507189502</v>
      </c>
    </row>
    <row r="2463" spans="1:37" x14ac:dyDescent="0.2">
      <c r="A2463" t="str">
        <f>"20200111154114437"</f>
        <v>20200111154114437</v>
      </c>
      <c r="B2463" t="str">
        <f>"1578728474428568"</f>
        <v>1578728474428568</v>
      </c>
      <c r="C2463" t="s">
        <v>37</v>
      </c>
      <c r="D2463">
        <v>5.667942</v>
      </c>
      <c r="E2463">
        <v>0.48827939999999997</v>
      </c>
      <c r="F2463" t="s">
        <v>44</v>
      </c>
      <c r="G2463">
        <v>-279.56819999999999</v>
      </c>
      <c r="H2463" s="1">
        <v>3.399943E-6</v>
      </c>
      <c r="I2463">
        <v>218.1619</v>
      </c>
      <c r="J2463">
        <v>-301.53640000000001</v>
      </c>
      <c r="K2463">
        <v>1.1089819999999999</v>
      </c>
      <c r="L2463">
        <v>216.8348</v>
      </c>
      <c r="M2463">
        <v>0.99978120000000004</v>
      </c>
      <c r="N2463">
        <v>0</v>
      </c>
      <c r="O2463">
        <v>-1.3956669999999999E-2</v>
      </c>
      <c r="P2463">
        <v>0.99754979999999904</v>
      </c>
      <c r="Q2463">
        <v>6.3579800000000006E-2</v>
      </c>
      <c r="R2463">
        <v>2.9197799999999999E-2</v>
      </c>
      <c r="S2463">
        <v>3.0114139999999998</v>
      </c>
      <c r="T2463">
        <v>-0.14751400000000001</v>
      </c>
      <c r="U2463">
        <v>0.1753082</v>
      </c>
      <c r="V2463">
        <v>-4.3037099999999898E-2</v>
      </c>
      <c r="W2463">
        <v>7.9164860000000004E-2</v>
      </c>
      <c r="X2463">
        <v>0.99593209999999999</v>
      </c>
      <c r="Y2463">
        <v>-7.1942649999999997E-2</v>
      </c>
      <c r="Z2463">
        <v>2.442329E-3</v>
      </c>
      <c r="AA2463">
        <v>0.99740580000000001</v>
      </c>
      <c r="AB2463">
        <v>68</v>
      </c>
      <c r="AC2463">
        <v>21.9682</v>
      </c>
      <c r="AD2463">
        <v>-1.1089786000570001</v>
      </c>
      <c r="AE2463">
        <v>1.3270999999999999</v>
      </c>
      <c r="AF2463">
        <v>-1.62947349712339</v>
      </c>
      <c r="AG2463">
        <v>-1.1089786000570001</v>
      </c>
      <c r="AH2463">
        <v>21.891950369999801</v>
      </c>
      <c r="AI2463">
        <v>92.891962079073494</v>
      </c>
      <c r="AJ2463">
        <v>94.256820830297997</v>
      </c>
      <c r="AK2463">
        <v>21.9805029154419</v>
      </c>
    </row>
    <row r="2464" spans="1:37" x14ac:dyDescent="0.2">
      <c r="A2464" t="str">
        <f>"20200111154114460"</f>
        <v>20200111154114460</v>
      </c>
      <c r="B2464" t="str">
        <f>"1578728474448089"</f>
        <v>1578728474448089</v>
      </c>
      <c r="C2464" t="s">
        <v>37</v>
      </c>
      <c r="D2464">
        <v>5.495692</v>
      </c>
      <c r="E2464">
        <v>0.48847289999999999</v>
      </c>
      <c r="F2464" t="s">
        <v>44</v>
      </c>
      <c r="G2464">
        <v>-278.53640000000001</v>
      </c>
      <c r="H2464" s="1">
        <v>2.8514439999999999E-6</v>
      </c>
      <c r="I2464">
        <v>218.1491</v>
      </c>
      <c r="J2464">
        <v>-300.86989999999997</v>
      </c>
      <c r="K2464">
        <v>1.109073</v>
      </c>
      <c r="L2464">
        <v>216.82550000000001</v>
      </c>
      <c r="M2464">
        <v>0.99978049999999996</v>
      </c>
      <c r="N2464">
        <v>0</v>
      </c>
      <c r="O2464">
        <v>-1.39589E-2</v>
      </c>
      <c r="P2464">
        <v>0.99753719999999901</v>
      </c>
      <c r="Q2464">
        <v>6.4218890000000001E-2</v>
      </c>
      <c r="R2464">
        <v>2.8208919999999998E-2</v>
      </c>
      <c r="S2464">
        <v>3.0115970000000001</v>
      </c>
      <c r="T2464">
        <v>-0.1452088</v>
      </c>
      <c r="U2464">
        <v>0.17208860000000001</v>
      </c>
      <c r="V2464">
        <v>-4.2064160000000003E-2</v>
      </c>
      <c r="W2464">
        <v>7.9827469999999998E-2</v>
      </c>
      <c r="X2464">
        <v>0.99592080000000005</v>
      </c>
      <c r="Y2464">
        <v>-7.0882979999999998E-2</v>
      </c>
      <c r="Z2464">
        <v>2.378729E-3</v>
      </c>
      <c r="AA2464">
        <v>0.99748179999999997</v>
      </c>
      <c r="AB2464">
        <v>68</v>
      </c>
      <c r="AC2464">
        <v>22.333499999999901</v>
      </c>
      <c r="AD2464">
        <v>-1.1090701485559999</v>
      </c>
      <c r="AE2464">
        <v>1.3235999999999899</v>
      </c>
      <c r="AF2464">
        <v>-1.6312514678449801</v>
      </c>
      <c r="AG2464">
        <v>-1.1090701485559999</v>
      </c>
      <c r="AH2464">
        <v>22.2581473453325</v>
      </c>
      <c r="AI2464">
        <v>92.844934794788699</v>
      </c>
      <c r="AJ2464">
        <v>94.191589958220206</v>
      </c>
      <c r="AK2464">
        <v>22.345382994979001</v>
      </c>
    </row>
    <row r="2465" spans="1:37" x14ac:dyDescent="0.2">
      <c r="A2465" t="str">
        <f>"20200111154114481"</f>
        <v>20200111154114481</v>
      </c>
      <c r="B2465" t="str">
        <f>"1578728474478346"</f>
        <v>1578728474478346</v>
      </c>
      <c r="C2465" t="s">
        <v>37</v>
      </c>
      <c r="D2465">
        <v>5.5122970000000002</v>
      </c>
      <c r="E2465">
        <v>0.4882455</v>
      </c>
      <c r="F2465" t="s">
        <v>44</v>
      </c>
      <c r="G2465">
        <v>-277.90480000000002</v>
      </c>
      <c r="H2465" s="1">
        <v>2.5172440000000002E-6</v>
      </c>
      <c r="I2465">
        <v>218.1046</v>
      </c>
      <c r="J2465">
        <v>-300.212999999999</v>
      </c>
      <c r="K2465">
        <v>1.1091580000000001</v>
      </c>
      <c r="L2465">
        <v>216.81639999999999</v>
      </c>
      <c r="M2465">
        <v>0.99978040000000001</v>
      </c>
      <c r="N2465">
        <v>0</v>
      </c>
      <c r="O2465">
        <v>-1.3940930000000001E-2</v>
      </c>
      <c r="P2465">
        <v>0.99752039999999997</v>
      </c>
      <c r="Q2465">
        <v>6.497559E-2</v>
      </c>
      <c r="R2465">
        <v>2.7046690000000002E-2</v>
      </c>
      <c r="S2465">
        <v>3.0119929999999999</v>
      </c>
      <c r="T2465">
        <v>-0.14546020000000001</v>
      </c>
      <c r="U2465">
        <v>0.16775509999999999</v>
      </c>
      <c r="V2465">
        <v>-4.089665E-2</v>
      </c>
      <c r="W2465">
        <v>8.0602679999999996E-2</v>
      </c>
      <c r="X2465">
        <v>0.99590689999999904</v>
      </c>
      <c r="Y2465">
        <v>-6.9428320000000002E-2</v>
      </c>
      <c r="Z2465">
        <v>2.3466810000000002E-3</v>
      </c>
      <c r="AA2465">
        <v>0.99758419999999903</v>
      </c>
      <c r="AB2465">
        <v>68</v>
      </c>
      <c r="AC2465">
        <v>22.3081999999999</v>
      </c>
      <c r="AD2465">
        <v>-1.109155482756</v>
      </c>
      <c r="AE2465">
        <v>1.28820000000001</v>
      </c>
      <c r="AF2465">
        <v>-1.5951796656059201</v>
      </c>
      <c r="AG2465">
        <v>-1.109155482756</v>
      </c>
      <c r="AH2465">
        <v>22.233291703025301</v>
      </c>
      <c r="AI2465">
        <v>92.848644852131301</v>
      </c>
      <c r="AJ2465">
        <v>94.103788074622798</v>
      </c>
      <c r="AK2465">
        <v>22.318021507344799</v>
      </c>
    </row>
    <row r="2466" spans="1:37" x14ac:dyDescent="0.2">
      <c r="A2466" t="str">
        <f>"20200111154114505"</f>
        <v>20200111154114505</v>
      </c>
      <c r="B2466" t="str">
        <f>"1578728474498841"</f>
        <v>1578728474498841</v>
      </c>
      <c r="C2466" t="s">
        <v>37</v>
      </c>
      <c r="D2466">
        <v>5.5247909999999996</v>
      </c>
      <c r="E2466">
        <v>0.48814020000000002</v>
      </c>
      <c r="F2466" t="s">
        <v>44</v>
      </c>
      <c r="G2466">
        <v>-277.99329999999998</v>
      </c>
      <c r="H2466" s="1">
        <v>2.5670889999999999E-6</v>
      </c>
      <c r="I2466">
        <v>218.04239999999999</v>
      </c>
      <c r="J2466">
        <v>-299.5059</v>
      </c>
      <c r="K2466">
        <v>1.109246</v>
      </c>
      <c r="L2466">
        <v>216.8065</v>
      </c>
      <c r="M2466">
        <v>0.99978049999999996</v>
      </c>
      <c r="N2466">
        <v>0</v>
      </c>
      <c r="O2466">
        <v>-1.390212E-2</v>
      </c>
      <c r="P2466">
        <v>0.997494199999999</v>
      </c>
      <c r="Q2466">
        <v>6.5823759999999995E-2</v>
      </c>
      <c r="R2466">
        <v>2.5931760000000002E-2</v>
      </c>
      <c r="S2466">
        <v>3.0127259999999998</v>
      </c>
      <c r="T2466">
        <v>-0.15038859999999901</v>
      </c>
      <c r="U2466">
        <v>0.16624449999999999</v>
      </c>
      <c r="V2466">
        <v>-3.9755520000000003E-2</v>
      </c>
      <c r="W2466">
        <v>8.1467200000000004E-2</v>
      </c>
      <c r="X2466">
        <v>0.99588279999999996</v>
      </c>
      <c r="Y2466">
        <v>-6.8871569999999993E-2</v>
      </c>
      <c r="Z2466">
        <v>2.4097250000000001E-3</v>
      </c>
      <c r="AA2466">
        <v>0.99762260000000003</v>
      </c>
      <c r="AB2466">
        <v>68</v>
      </c>
      <c r="AC2466">
        <v>21.512599999999999</v>
      </c>
      <c r="AD2466">
        <v>-1.1092434329109999</v>
      </c>
      <c r="AE2466">
        <v>1.23589999999998</v>
      </c>
      <c r="AF2466">
        <v>-1.5308314067339599</v>
      </c>
      <c r="AG2466">
        <v>-1.1092434329109999</v>
      </c>
      <c r="AH2466">
        <v>21.436531155598502</v>
      </c>
      <c r="AI2466">
        <v>92.954644296294006</v>
      </c>
      <c r="AJ2466">
        <v>94.084687665856706</v>
      </c>
      <c r="AK2466">
        <v>21.5197289428618</v>
      </c>
    </row>
    <row r="2467" spans="1:37" x14ac:dyDescent="0.2">
      <c r="A2467" t="str">
        <f>"20200111154114527"</f>
        <v>20200111154114527</v>
      </c>
      <c r="B2467" t="str">
        <f>"1578728474518361"</f>
        <v>1578728474518361</v>
      </c>
      <c r="C2467" t="s">
        <v>37</v>
      </c>
      <c r="D2467">
        <v>5.4841879999999996</v>
      </c>
      <c r="E2467">
        <v>0.48811789999999999</v>
      </c>
      <c r="F2467" t="s">
        <v>44</v>
      </c>
      <c r="G2467">
        <v>-277.36410000000001</v>
      </c>
      <c r="H2467" s="1">
        <v>2.2337529999999999E-6</v>
      </c>
      <c r="I2467">
        <v>218.0087</v>
      </c>
      <c r="J2467">
        <v>-298.82650000000001</v>
      </c>
      <c r="K2467">
        <v>1.1093249999999999</v>
      </c>
      <c r="L2467">
        <v>216.7971</v>
      </c>
      <c r="M2467">
        <v>0.99978089999999997</v>
      </c>
      <c r="N2467">
        <v>0</v>
      </c>
      <c r="O2467">
        <v>-1.38493E-2</v>
      </c>
      <c r="P2467">
        <v>0.99752600000000002</v>
      </c>
      <c r="Q2467">
        <v>6.5865859999999998E-2</v>
      </c>
      <c r="R2467">
        <v>2.456875E-2</v>
      </c>
      <c r="S2467">
        <v>3.0132140000000001</v>
      </c>
      <c r="T2467">
        <v>-0.15095410000000001</v>
      </c>
      <c r="U2467">
        <v>0.16360469999999999</v>
      </c>
      <c r="V2467">
        <v>-3.8351580000000003E-2</v>
      </c>
      <c r="W2467">
        <v>8.1523750000000006E-2</v>
      </c>
      <c r="X2467">
        <v>0.99593319999999996</v>
      </c>
      <c r="Y2467">
        <v>-6.7939050000000001E-2</v>
      </c>
      <c r="Z2467">
        <v>2.3924720000000001E-3</v>
      </c>
      <c r="AA2467">
        <v>0.99768659999999998</v>
      </c>
      <c r="AB2467">
        <v>68</v>
      </c>
      <c r="AC2467">
        <v>21.462399999999999</v>
      </c>
      <c r="AD2467">
        <v>-1.109322766247</v>
      </c>
      <c r="AE2467">
        <v>1.2116</v>
      </c>
      <c r="AF2467">
        <v>-1.50475239322159</v>
      </c>
      <c r="AG2467">
        <v>-1.109322766247</v>
      </c>
      <c r="AH2467">
        <v>21.38660588183</v>
      </c>
      <c r="AI2467">
        <v>92.9619603603727</v>
      </c>
      <c r="AJ2467">
        <v>94.024673811968398</v>
      </c>
      <c r="AK2467">
        <v>21.468157534109601</v>
      </c>
    </row>
    <row r="2468" spans="1:37" x14ac:dyDescent="0.2">
      <c r="A2468" t="str">
        <f>"20200111154114548"</f>
        <v>20200111154114548</v>
      </c>
      <c r="B2468" t="str">
        <f>"1578728474538857"</f>
        <v>1578728474538857</v>
      </c>
      <c r="C2468" t="s">
        <v>37</v>
      </c>
      <c r="D2468">
        <v>5.5093759999999996</v>
      </c>
      <c r="E2468">
        <v>0.48807339999999999</v>
      </c>
      <c r="F2468" t="s">
        <v>44</v>
      </c>
      <c r="G2468">
        <v>-277.30290000000002</v>
      </c>
      <c r="H2468" s="1">
        <v>2.2042239999999998E-6</v>
      </c>
      <c r="I2468">
        <v>217.9383</v>
      </c>
      <c r="J2468">
        <v>-298.18119999999999</v>
      </c>
      <c r="K2468">
        <v>1.1093850000000001</v>
      </c>
      <c r="L2468">
        <v>216.78819999999999</v>
      </c>
      <c r="M2468">
        <v>0.99978159999999905</v>
      </c>
      <c r="N2468">
        <v>0</v>
      </c>
      <c r="O2468">
        <v>-1.3788409999999999E-2</v>
      </c>
      <c r="P2468">
        <v>0.99753409999999998</v>
      </c>
      <c r="Q2468">
        <v>6.6141610000000003E-2</v>
      </c>
      <c r="R2468">
        <v>2.3484399999999999E-2</v>
      </c>
      <c r="S2468">
        <v>3.0137939999999999</v>
      </c>
      <c r="T2468">
        <v>-0.15533029999999901</v>
      </c>
      <c r="U2468">
        <v>0.15978999999999999</v>
      </c>
      <c r="V2468">
        <v>-3.7216619999999999E-2</v>
      </c>
      <c r="W2468">
        <v>8.1810789999999994E-2</v>
      </c>
      <c r="X2468">
        <v>0.99595279999999997</v>
      </c>
      <c r="Y2468">
        <v>-6.660452E-2</v>
      </c>
      <c r="Z2468">
        <v>2.4238699999999998E-3</v>
      </c>
      <c r="AA2468">
        <v>0.99777649999999996</v>
      </c>
      <c r="AB2468">
        <v>68</v>
      </c>
      <c r="AC2468">
        <v>20.8782999999999</v>
      </c>
      <c r="AD2468">
        <v>-1.1093827957760001</v>
      </c>
      <c r="AE2468">
        <v>1.1500999999999999</v>
      </c>
      <c r="AF2468">
        <v>-1.43386856762918</v>
      </c>
      <c r="AG2468">
        <v>-1.1093827957760001</v>
      </c>
      <c r="AH2468">
        <v>20.801900287808401</v>
      </c>
      <c r="AI2468">
        <v>93.045527123245805</v>
      </c>
      <c r="AJ2468">
        <v>93.9431432719893</v>
      </c>
      <c r="AK2468">
        <v>20.880751060264199</v>
      </c>
    </row>
    <row r="2469" spans="1:37" x14ac:dyDescent="0.2">
      <c r="A2469" t="str">
        <f>"20200111154114571"</f>
        <v>20200111154114571</v>
      </c>
      <c r="B2469" t="str">
        <f>"1578728474558377"</f>
        <v>1578728474558377</v>
      </c>
      <c r="C2469" t="s">
        <v>37</v>
      </c>
      <c r="D2469">
        <v>5.43858</v>
      </c>
      <c r="E2469">
        <v>0.4880314</v>
      </c>
      <c r="F2469" t="s">
        <v>44</v>
      </c>
      <c r="G2469">
        <v>-277.03960000000001</v>
      </c>
      <c r="H2469" s="1">
        <v>2.0662479999999999E-6</v>
      </c>
      <c r="I2469">
        <v>217.88939999999999</v>
      </c>
      <c r="J2469">
        <v>-297.50029999999998</v>
      </c>
      <c r="K2469">
        <v>1.1094459999999999</v>
      </c>
      <c r="L2469">
        <v>216.77879999999999</v>
      </c>
      <c r="M2469">
        <v>0.99978239999999996</v>
      </c>
      <c r="N2469">
        <v>0</v>
      </c>
      <c r="O2469">
        <v>-1.371354E-2</v>
      </c>
      <c r="P2469">
        <v>0.99750759999999905</v>
      </c>
      <c r="Q2469">
        <v>6.6547830000000002E-2</v>
      </c>
      <c r="R2469">
        <v>2.345889E-2</v>
      </c>
      <c r="S2469">
        <v>3.014221</v>
      </c>
      <c r="T2469">
        <v>-0.15816739999999899</v>
      </c>
      <c r="U2469">
        <v>0.15699769999999999</v>
      </c>
      <c r="V2469">
        <v>-3.712464E-2</v>
      </c>
      <c r="W2469">
        <v>8.222662E-2</v>
      </c>
      <c r="X2469">
        <v>0.99592199999999997</v>
      </c>
      <c r="Y2469">
        <v>-6.5598089999999998E-2</v>
      </c>
      <c r="Z2469">
        <v>2.4374990000000001E-3</v>
      </c>
      <c r="AA2469">
        <v>0.99784309999999998</v>
      </c>
      <c r="AB2469">
        <v>68</v>
      </c>
      <c r="AC2469">
        <v>20.4606999999999</v>
      </c>
      <c r="AD2469">
        <v>-1.1094439337519999</v>
      </c>
      <c r="AE2469">
        <v>1.1106</v>
      </c>
      <c r="AF2469">
        <v>-1.3870526734793001</v>
      </c>
      <c r="AG2469">
        <v>-1.1094439337519999</v>
      </c>
      <c r="AH2469">
        <v>20.383787989327999</v>
      </c>
      <c r="AI2469">
        <v>93.108233370248698</v>
      </c>
      <c r="AJ2469">
        <v>93.892796654784703</v>
      </c>
      <c r="AK2469">
        <v>20.461026214611401</v>
      </c>
    </row>
    <row r="2470" spans="1:37" x14ac:dyDescent="0.2">
      <c r="A2470" t="str">
        <f>"20200111154114593"</f>
        <v>20200111154114593</v>
      </c>
      <c r="B2470" t="str">
        <f>"1578728474588633"</f>
        <v>1578728474588633</v>
      </c>
      <c r="C2470" t="s">
        <v>37</v>
      </c>
      <c r="D2470">
        <v>5.4065699999999897</v>
      </c>
      <c r="E2470">
        <v>0.48787059999999999</v>
      </c>
      <c r="F2470" t="s">
        <v>44</v>
      </c>
      <c r="G2470">
        <v>-276.28390000000002</v>
      </c>
      <c r="H2470" s="1">
        <v>1.664436E-6</v>
      </c>
      <c r="I2470">
        <v>217.88229999999999</v>
      </c>
      <c r="J2470">
        <v>-296.8347</v>
      </c>
      <c r="K2470">
        <v>1.109494</v>
      </c>
      <c r="L2470">
        <v>216.7697</v>
      </c>
      <c r="M2470">
        <v>0.99978319999999998</v>
      </c>
      <c r="N2470">
        <v>0</v>
      </c>
      <c r="O2470">
        <v>-1.363234E-2</v>
      </c>
      <c r="P2470">
        <v>0.99745969999999995</v>
      </c>
      <c r="Q2470">
        <v>6.7072679999999996E-2</v>
      </c>
      <c r="R2470">
        <v>2.3987479999999999E-2</v>
      </c>
      <c r="S2470">
        <v>3.014313</v>
      </c>
      <c r="T2470">
        <v>-0.15762379999999901</v>
      </c>
      <c r="U2470">
        <v>0.15678410000000001</v>
      </c>
      <c r="V2470">
        <v>-3.7578399999999998E-2</v>
      </c>
      <c r="W2470">
        <v>8.2757919999999999E-2</v>
      </c>
      <c r="X2470">
        <v>0.99586090000000005</v>
      </c>
      <c r="Y2470">
        <v>-6.5446009999999999E-2</v>
      </c>
      <c r="Z2470">
        <v>2.4208509999999999E-3</v>
      </c>
      <c r="AA2470">
        <v>0.997853199999999</v>
      </c>
      <c r="AB2470">
        <v>68</v>
      </c>
      <c r="AC2470">
        <v>20.550799999999899</v>
      </c>
      <c r="AD2470">
        <v>-1.1094923355640001</v>
      </c>
      <c r="AE2470">
        <v>1.11259999999998</v>
      </c>
      <c r="AF2470">
        <v>-1.38865113713569</v>
      </c>
      <c r="AG2470">
        <v>-1.1094923355640001</v>
      </c>
      <c r="AH2470">
        <v>20.474219197022698</v>
      </c>
      <c r="AI2470">
        <v>93.094712775448002</v>
      </c>
      <c r="AJ2470">
        <v>93.880108074904996</v>
      </c>
      <c r="AK2470">
        <v>20.551228112963901</v>
      </c>
    </row>
    <row r="2471" spans="1:37" x14ac:dyDescent="0.2">
      <c r="A2471" t="str">
        <f>"20200111154114610"</f>
        <v>20200111154114610</v>
      </c>
      <c r="B2471" t="str">
        <f>"1578728474598393"</f>
        <v>1578728474598393</v>
      </c>
      <c r="C2471" t="s">
        <v>37</v>
      </c>
      <c r="D2471">
        <v>5.3965540000000001</v>
      </c>
      <c r="E2471">
        <v>0.48778699999999903</v>
      </c>
      <c r="F2471" t="s">
        <v>44</v>
      </c>
      <c r="G2471">
        <v>-275.42989999999998</v>
      </c>
      <c r="H2471" s="1">
        <v>1.2091110000000001E-6</v>
      </c>
      <c r="I2471">
        <v>217.9016</v>
      </c>
      <c r="J2471">
        <v>-296.33620000000002</v>
      </c>
      <c r="K2471">
        <v>1.109523</v>
      </c>
      <c r="L2471">
        <v>216.7629</v>
      </c>
      <c r="M2471">
        <v>0.99978409999999995</v>
      </c>
      <c r="N2471">
        <v>0</v>
      </c>
      <c r="O2471">
        <v>-1.356768E-2</v>
      </c>
      <c r="P2471">
        <v>0.99742540000000002</v>
      </c>
      <c r="Q2471">
        <v>6.7621189999999998E-2</v>
      </c>
      <c r="R2471">
        <v>2.3875549999999999E-2</v>
      </c>
      <c r="S2471">
        <v>3.014313</v>
      </c>
      <c r="T2471">
        <v>-0.15624270000000001</v>
      </c>
      <c r="U2471">
        <v>0.15939329999999999</v>
      </c>
      <c r="V2471">
        <v>-3.7406670000000003E-2</v>
      </c>
      <c r="W2471">
        <v>8.3311040000000003E-2</v>
      </c>
      <c r="X2471">
        <v>0.99582130000000002</v>
      </c>
      <c r="Y2471">
        <v>-6.6243759999999999E-2</v>
      </c>
      <c r="Z2471">
        <v>2.4169149999999999E-3</v>
      </c>
      <c r="AA2471">
        <v>0.99780049999999898</v>
      </c>
      <c r="AB2471">
        <v>67</v>
      </c>
      <c r="AC2471">
        <v>20.906300000000002</v>
      </c>
      <c r="AD2471">
        <v>-1.109521790889</v>
      </c>
      <c r="AE2471">
        <v>1.1387</v>
      </c>
      <c r="AF2471">
        <v>-1.4182973946950801</v>
      </c>
      <c r="AG2471">
        <v>-1.109521790889</v>
      </c>
      <c r="AH2471">
        <v>20.8304273851831</v>
      </c>
      <c r="AI2471">
        <v>93.041918774902101</v>
      </c>
      <c r="AJ2471">
        <v>93.895130204147094</v>
      </c>
      <c r="AK2471">
        <v>20.908115915922298</v>
      </c>
    </row>
    <row r="2472" spans="1:37" x14ac:dyDescent="0.2">
      <c r="A2472" t="str">
        <f>"20200111154114628"</f>
        <v>20200111154114628</v>
      </c>
      <c r="B2472" t="str">
        <f>"1578728474618892"</f>
        <v>1578728474618892</v>
      </c>
      <c r="C2472" t="s">
        <v>37</v>
      </c>
      <c r="D2472">
        <v>5.3983939999999997</v>
      </c>
      <c r="E2472">
        <v>0.48763019999999901</v>
      </c>
      <c r="F2472" t="s">
        <v>44</v>
      </c>
      <c r="G2472">
        <v>-274.75689999999997</v>
      </c>
      <c r="H2472" s="1">
        <v>8.5068399999999899E-7</v>
      </c>
      <c r="I2472">
        <v>217.90809999999999</v>
      </c>
      <c r="J2472">
        <v>-295.77800000000002</v>
      </c>
      <c r="K2472">
        <v>1.1095549999999901</v>
      </c>
      <c r="L2472">
        <v>216.75540000000001</v>
      </c>
      <c r="M2472">
        <v>0.99978500000000003</v>
      </c>
      <c r="N2472">
        <v>0</v>
      </c>
      <c r="O2472">
        <v>-1.3492530000000001E-2</v>
      </c>
      <c r="P2472">
        <v>0.9974037</v>
      </c>
      <c r="Q2472">
        <v>6.7979239999999996E-2</v>
      </c>
      <c r="R2472">
        <v>2.376379E-2</v>
      </c>
      <c r="S2472">
        <v>3.014465</v>
      </c>
      <c r="T2472">
        <v>-0.15499170000000001</v>
      </c>
      <c r="U2472">
        <v>0.15997310000000001</v>
      </c>
      <c r="V2472">
        <v>-3.722462E-2</v>
      </c>
      <c r="W2472">
        <v>8.36731E-2</v>
      </c>
      <c r="X2472">
        <v>0.99579779999999996</v>
      </c>
      <c r="Y2472">
        <v>-6.6359150000000006E-2</v>
      </c>
      <c r="Z2472">
        <v>2.396558E-3</v>
      </c>
      <c r="AA2472">
        <v>0.99779289999999998</v>
      </c>
      <c r="AB2472">
        <v>67</v>
      </c>
      <c r="AC2472">
        <v>21.021100000000001</v>
      </c>
      <c r="AD2472">
        <v>-1.1095541493159999</v>
      </c>
      <c r="AE2472">
        <v>1.1526999999999801</v>
      </c>
      <c r="AF2472">
        <v>-1.43227961666201</v>
      </c>
      <c r="AG2472">
        <v>-1.1095541493159999</v>
      </c>
      <c r="AH2472">
        <v>20.9454514825551</v>
      </c>
      <c r="AI2472">
        <v>93.025272722986102</v>
      </c>
      <c r="AJ2472">
        <v>93.911876743464902</v>
      </c>
      <c r="AK2472">
        <v>21.023664597748901</v>
      </c>
    </row>
    <row r="2473" spans="1:37" x14ac:dyDescent="0.2">
      <c r="A2473" t="str">
        <f>"20200111154114649"</f>
        <v>20200111154114649</v>
      </c>
      <c r="B2473" t="str">
        <f>"1578728474638409"</f>
        <v>1578728474638409</v>
      </c>
      <c r="C2473" t="s">
        <v>37</v>
      </c>
      <c r="D2473">
        <v>5.465217</v>
      </c>
      <c r="E2473">
        <v>0.48784379999999999</v>
      </c>
      <c r="F2473" t="s">
        <v>44</v>
      </c>
      <c r="G2473">
        <v>-274.195999999999</v>
      </c>
      <c r="H2473" s="1">
        <v>5.5226419999999898E-7</v>
      </c>
      <c r="I2473">
        <v>217.9067</v>
      </c>
      <c r="J2473">
        <v>-295.14620000000002</v>
      </c>
      <c r="K2473">
        <v>1.1095870000000001</v>
      </c>
      <c r="L2473">
        <v>216.74680000000001</v>
      </c>
      <c r="M2473">
        <v>0.99978609999999901</v>
      </c>
      <c r="N2473">
        <v>0</v>
      </c>
      <c r="O2473">
        <v>-1.340439E-2</v>
      </c>
      <c r="P2473">
        <v>0.99740300000000004</v>
      </c>
      <c r="Q2473">
        <v>6.7885089999999995E-2</v>
      </c>
      <c r="R2473">
        <v>2.4062469999999999E-2</v>
      </c>
      <c r="S2473">
        <v>3.0144959999999998</v>
      </c>
      <c r="T2473">
        <v>-0.1549779</v>
      </c>
      <c r="U2473">
        <v>0.16081239999999999</v>
      </c>
      <c r="V2473">
        <v>-3.7440000000000001E-2</v>
      </c>
      <c r="W2473">
        <v>8.3582829999999997E-2</v>
      </c>
      <c r="X2473">
        <v>0.9957973</v>
      </c>
      <c r="Y2473">
        <v>-6.6547540000000002E-2</v>
      </c>
      <c r="Z2473">
        <v>2.3966129999999902E-3</v>
      </c>
      <c r="AA2473">
        <v>0.99778040000000001</v>
      </c>
      <c r="AB2473">
        <v>67</v>
      </c>
      <c r="AC2473">
        <v>20.950199999999999</v>
      </c>
      <c r="AD2473">
        <v>-1.1095864477358</v>
      </c>
      <c r="AE2473">
        <v>1.1598999999999899</v>
      </c>
      <c r="AF2473">
        <v>-1.4366376810818899</v>
      </c>
      <c r="AG2473">
        <v>-1.1095864477358</v>
      </c>
      <c r="AH2473">
        <v>20.874392128200199</v>
      </c>
      <c r="AI2473">
        <v>93.035548793523603</v>
      </c>
      <c r="AJ2473">
        <v>93.937057505112904</v>
      </c>
      <c r="AK2473">
        <v>20.953170562794799</v>
      </c>
    </row>
    <row r="2474" spans="1:37" x14ac:dyDescent="0.2">
      <c r="A2474" t="str">
        <f>"20200111154114666"</f>
        <v>20200111154114666</v>
      </c>
      <c r="B2474" t="str">
        <f>"1578728474658905"</f>
        <v>1578728474658905</v>
      </c>
      <c r="C2474" t="s">
        <v>37</v>
      </c>
      <c r="D2474">
        <v>5.7712269999999997</v>
      </c>
      <c r="E2474">
        <v>0.51313520000000001</v>
      </c>
      <c r="F2474" t="s">
        <v>44</v>
      </c>
      <c r="G2474">
        <v>-273.73309999999998</v>
      </c>
      <c r="H2474" s="1">
        <v>3.0707299999999999E-7</v>
      </c>
      <c r="I2474">
        <v>217.88149999999999</v>
      </c>
      <c r="J2474">
        <v>-294.61700000000002</v>
      </c>
      <c r="K2474">
        <v>1.10961</v>
      </c>
      <c r="L2474">
        <v>216.7398</v>
      </c>
      <c r="M2474">
        <v>0.99978690000000003</v>
      </c>
      <c r="N2474">
        <v>0</v>
      </c>
      <c r="O2474">
        <v>-1.332886E-2</v>
      </c>
      <c r="P2474">
        <v>0.99739869999999997</v>
      </c>
      <c r="Q2474">
        <v>6.7955959999999996E-2</v>
      </c>
      <c r="R2474">
        <v>2.4034050000000001E-2</v>
      </c>
      <c r="S2474">
        <v>3.0145869999999899</v>
      </c>
      <c r="T2474">
        <v>-0.15621070000000001</v>
      </c>
      <c r="U2474">
        <v>0.15974430000000001</v>
      </c>
      <c r="V2474">
        <v>-3.7339579999999997E-2</v>
      </c>
      <c r="W2474">
        <v>8.3655999999999994E-2</v>
      </c>
      <c r="X2474">
        <v>0.99579490000000004</v>
      </c>
      <c r="Y2474">
        <v>-6.6117019999999999E-2</v>
      </c>
      <c r="Z2474">
        <v>2.4005519999999998E-3</v>
      </c>
      <c r="AA2474">
        <v>0.99780899999999995</v>
      </c>
      <c r="AB2474">
        <v>67</v>
      </c>
      <c r="AC2474">
        <v>20.883900000000001</v>
      </c>
      <c r="AD2474">
        <v>-1.1096096929269901</v>
      </c>
      <c r="AE2474">
        <v>1.14169999999998</v>
      </c>
      <c r="AF2474">
        <v>-1.4160061924058001</v>
      </c>
      <c r="AG2474">
        <v>-1.1096096929269901</v>
      </c>
      <c r="AH2474">
        <v>20.808257369190802</v>
      </c>
      <c r="AI2474">
        <v>93.045402205589895</v>
      </c>
      <c r="AJ2474">
        <v>93.892987723981804</v>
      </c>
      <c r="AK2474">
        <v>20.885877571939702</v>
      </c>
    </row>
    <row r="2475" spans="1:37" x14ac:dyDescent="0.2">
      <c r="A2475" t="str">
        <f>"20200111154114682"</f>
        <v>20200111154114682</v>
      </c>
      <c r="B2475" t="str">
        <f>"1578728474678425"</f>
        <v>1578728474678425</v>
      </c>
      <c r="C2475" t="s">
        <v>37</v>
      </c>
      <c r="D2475">
        <v>6.4424510000000001</v>
      </c>
      <c r="E2475">
        <v>0.51395709999999994</v>
      </c>
      <c r="F2475" t="s">
        <v>44</v>
      </c>
      <c r="G2475">
        <v>-274.46879999999999</v>
      </c>
      <c r="H2475" s="1">
        <v>7.6078950000000001E-7</v>
      </c>
      <c r="I2475">
        <v>216.45740000000001</v>
      </c>
      <c r="J2475">
        <v>-294.1481</v>
      </c>
      <c r="K2475">
        <v>1.1096280000000001</v>
      </c>
      <c r="L2475">
        <v>216.73349999999999</v>
      </c>
      <c r="M2475">
        <v>0.99978789999999995</v>
      </c>
      <c r="N2475">
        <v>0</v>
      </c>
      <c r="O2475">
        <v>-1.3260660000000001E-2</v>
      </c>
      <c r="P2475">
        <v>0.99732929999999997</v>
      </c>
      <c r="Q2475">
        <v>6.8787899999999902E-2</v>
      </c>
      <c r="R2475">
        <v>2.4545089999999999E-2</v>
      </c>
      <c r="S2475">
        <v>3.0201720000000001</v>
      </c>
      <c r="T2475">
        <v>-0.16632739999999999</v>
      </c>
      <c r="U2475">
        <v>-4.2327879999999998E-2</v>
      </c>
      <c r="V2475">
        <v>-3.778517E-2</v>
      </c>
      <c r="W2475">
        <v>8.4487999999999994E-2</v>
      </c>
      <c r="X2475">
        <v>0.99570780000000003</v>
      </c>
      <c r="Y2475">
        <v>7.7036110000000004E-4</v>
      </c>
      <c r="Z2475">
        <v>7.0856689999999997E-4</v>
      </c>
      <c r="AA2475">
        <v>0.99999950000000004</v>
      </c>
      <c r="AB2475">
        <v>67</v>
      </c>
      <c r="AC2475">
        <v>19.679300000000001</v>
      </c>
      <c r="AD2475">
        <v>-1.1096272392105</v>
      </c>
      <c r="AE2475">
        <v>-0.27609999999998502</v>
      </c>
      <c r="AF2475">
        <v>1.5035013785339E-2</v>
      </c>
      <c r="AG2475">
        <v>-1.1096272392105</v>
      </c>
      <c r="AH2475">
        <v>19.618868479037701</v>
      </c>
      <c r="AI2475">
        <v>93.237152842410396</v>
      </c>
      <c r="AJ2475">
        <v>89.956091113659298</v>
      </c>
      <c r="AK2475">
        <v>19.650228982365999</v>
      </c>
    </row>
    <row r="2476" spans="1:37" x14ac:dyDescent="0.2">
      <c r="A2476" t="str">
        <f>"20200111154114697"</f>
        <v>20200111154114697</v>
      </c>
      <c r="B2476" t="str">
        <f>"1578728474688185"</f>
        <v>1578728474688185</v>
      </c>
      <c r="C2476" t="s">
        <v>37</v>
      </c>
      <c r="D2476">
        <v>5.485989</v>
      </c>
      <c r="E2476">
        <v>0.51368119999999995</v>
      </c>
      <c r="F2476" t="s">
        <v>44</v>
      </c>
      <c r="G2476">
        <v>-271.8134</v>
      </c>
      <c r="H2476" s="1">
        <v>-6.4895799999999995E-7</v>
      </c>
      <c r="I2476">
        <v>216.38249999999999</v>
      </c>
      <c r="J2476">
        <v>-293.65910000000002</v>
      </c>
      <c r="K2476">
        <v>1.1096459999999999</v>
      </c>
      <c r="L2476">
        <v>216.727</v>
      </c>
      <c r="M2476">
        <v>0.99978880000000003</v>
      </c>
      <c r="N2476">
        <v>0</v>
      </c>
      <c r="O2476">
        <v>-1.3189029999999999E-2</v>
      </c>
      <c r="P2476">
        <v>0.99728549999999905</v>
      </c>
      <c r="Q2476">
        <v>6.9390240000000006E-2</v>
      </c>
      <c r="R2476">
        <v>2.46327E-2</v>
      </c>
      <c r="S2476">
        <v>3.0195919999999998</v>
      </c>
      <c r="T2476">
        <v>-0.15001929999999999</v>
      </c>
      <c r="U2476">
        <v>-4.7454830000000003E-2</v>
      </c>
      <c r="V2476">
        <v>-3.7803150000000001E-2</v>
      </c>
      <c r="W2476">
        <v>8.5090910000000006E-2</v>
      </c>
      <c r="X2476">
        <v>0.99565579999999998</v>
      </c>
      <c r="Y2476">
        <v>2.5364329999999998E-3</v>
      </c>
      <c r="Z2476">
        <v>5.9189799999999999E-4</v>
      </c>
      <c r="AA2476">
        <v>0.99999660000000001</v>
      </c>
      <c r="AB2476">
        <v>67</v>
      </c>
      <c r="AC2476">
        <v>21.845700000000001</v>
      </c>
      <c r="AD2476">
        <v>-1.1096466489579999</v>
      </c>
      <c r="AE2476">
        <v>-0.34450000000001002</v>
      </c>
      <c r="AF2476">
        <v>5.6165765704793598E-2</v>
      </c>
      <c r="AG2476">
        <v>-1.1096466489579999</v>
      </c>
      <c r="AH2476">
        <v>21.792131573438201</v>
      </c>
      <c r="AI2476">
        <v>92.914951008808501</v>
      </c>
      <c r="AJ2476">
        <v>89.852329535012998</v>
      </c>
      <c r="AK2476">
        <v>21.8204369523807</v>
      </c>
    </row>
    <row r="2477" spans="1:37" x14ac:dyDescent="0.2">
      <c r="A2477" t="str">
        <f>"20200111154114717"</f>
        <v>20200111154114717</v>
      </c>
      <c r="B2477" t="str">
        <f>"1578728474708681"</f>
        <v>1578728474708681</v>
      </c>
      <c r="C2477" t="s">
        <v>37</v>
      </c>
      <c r="D2477">
        <v>5.5215079999999999</v>
      </c>
      <c r="E2477">
        <v>0.5135092</v>
      </c>
      <c r="F2477" t="s">
        <v>44</v>
      </c>
      <c r="G2477">
        <v>-270.53910000000002</v>
      </c>
      <c r="H2477" s="1">
        <v>-1.3271739999999899E-6</v>
      </c>
      <c r="I2477">
        <v>216.3835</v>
      </c>
      <c r="J2477">
        <v>-293.08920000000001</v>
      </c>
      <c r="K2477">
        <v>1.109667</v>
      </c>
      <c r="L2477">
        <v>216.71950000000001</v>
      </c>
      <c r="M2477">
        <v>0.99978989999999901</v>
      </c>
      <c r="N2477">
        <v>0</v>
      </c>
      <c r="O2477">
        <v>-1.310416E-2</v>
      </c>
      <c r="P2477">
        <v>0.99720959999999903</v>
      </c>
      <c r="Q2477">
        <v>7.0394960000000006E-2</v>
      </c>
      <c r="R2477">
        <v>2.4857710000000002E-2</v>
      </c>
      <c r="S2477">
        <v>3.0193479999999999</v>
      </c>
      <c r="T2477">
        <v>-0.1449135</v>
      </c>
      <c r="U2477">
        <v>-4.4860839999999999E-2</v>
      </c>
      <c r="V2477">
        <v>-3.7946100000000003E-2</v>
      </c>
      <c r="W2477">
        <v>8.6095740000000004E-2</v>
      </c>
      <c r="X2477">
        <v>0.99556399999999901</v>
      </c>
      <c r="Y2477">
        <v>1.7635870000000001E-3</v>
      </c>
      <c r="Z2477">
        <v>5.8629150000000002E-4</v>
      </c>
      <c r="AA2477">
        <v>0.99999830000000001</v>
      </c>
      <c r="AB2477">
        <v>67</v>
      </c>
      <c r="AC2477">
        <v>22.550099999999901</v>
      </c>
      <c r="AD2477">
        <v>-1.109668327174</v>
      </c>
      <c r="AE2477">
        <v>-0.33600000000001201</v>
      </c>
      <c r="AF2477">
        <v>4.0336656333645103E-2</v>
      </c>
      <c r="AG2477">
        <v>-1.109668327174</v>
      </c>
      <c r="AH2477">
        <v>22.498099163007499</v>
      </c>
      <c r="AI2477">
        <v>92.823693118940994</v>
      </c>
      <c r="AJ2477">
        <v>89.897274979787696</v>
      </c>
      <c r="AK2477">
        <v>22.5254846072331</v>
      </c>
    </row>
    <row r="2478" spans="1:37" x14ac:dyDescent="0.2">
      <c r="A2478" t="str">
        <f>"20200111154114739"</f>
        <v>20200111154114739</v>
      </c>
      <c r="B2478" t="str">
        <f>"1578728474728201"</f>
        <v>1578728474728201</v>
      </c>
      <c r="C2478" t="s">
        <v>37</v>
      </c>
      <c r="D2478">
        <v>5.5109639999999898</v>
      </c>
      <c r="E2478">
        <v>0.51325659999999995</v>
      </c>
      <c r="F2478" t="s">
        <v>44</v>
      </c>
      <c r="G2478">
        <v>-268.65989999999999</v>
      </c>
      <c r="H2478" s="1">
        <v>2.9946760000000001E-6</v>
      </c>
      <c r="I2478">
        <v>216.37530000000001</v>
      </c>
      <c r="J2478">
        <v>-292.43770000000001</v>
      </c>
      <c r="K2478">
        <v>1.1096820000000001</v>
      </c>
      <c r="L2478">
        <v>216.71099999999899</v>
      </c>
      <c r="M2478">
        <v>0.99979119999999999</v>
      </c>
      <c r="N2478">
        <v>0</v>
      </c>
      <c r="O2478">
        <v>-1.300546E-2</v>
      </c>
      <c r="P2478">
        <v>0.99717219999999995</v>
      </c>
      <c r="Q2478">
        <v>7.1022669999999996E-2</v>
      </c>
      <c r="R2478">
        <v>2.4566569999999999E-2</v>
      </c>
      <c r="S2478">
        <v>3.0191349999999999</v>
      </c>
      <c r="T2478">
        <v>-0.13713939999999999</v>
      </c>
      <c r="U2478">
        <v>-4.2541500000000003E-2</v>
      </c>
      <c r="V2478">
        <v>-3.7559040000000002E-2</v>
      </c>
      <c r="W2478">
        <v>8.6723739999999994E-2</v>
      </c>
      <c r="X2478">
        <v>0.99552419999999997</v>
      </c>
      <c r="Y2478">
        <v>1.094535E-3</v>
      </c>
      <c r="Z2478">
        <v>5.6562150000000005E-4</v>
      </c>
      <c r="AA2478">
        <v>0.99999919999999998</v>
      </c>
      <c r="AB2478">
        <v>67</v>
      </c>
      <c r="AC2478">
        <v>23.777799999999999</v>
      </c>
      <c r="AD2478">
        <v>-1.109679005324</v>
      </c>
      <c r="AE2478">
        <v>-0.33569999999997402</v>
      </c>
      <c r="AF2478">
        <v>2.63346128255533E-2</v>
      </c>
      <c r="AG2478">
        <v>-1.109679005324</v>
      </c>
      <c r="AH2478">
        <v>23.728485406766499</v>
      </c>
      <c r="AI2478">
        <v>92.677524241014794</v>
      </c>
      <c r="AJ2478">
        <v>89.936411383843094</v>
      </c>
      <c r="AK2478">
        <v>23.754433285301101</v>
      </c>
    </row>
    <row r="2479" spans="1:37" x14ac:dyDescent="0.2">
      <c r="A2479" t="str">
        <f>"20200111154114760"</f>
        <v>20200111154114760</v>
      </c>
      <c r="B2479" t="str">
        <f>"1578728474748700"</f>
        <v>1578728474748700</v>
      </c>
      <c r="C2479" t="s">
        <v>37</v>
      </c>
      <c r="D2479">
        <v>5.6955309999999999</v>
      </c>
      <c r="E2479">
        <v>0.51297839999999995</v>
      </c>
      <c r="F2479" t="s">
        <v>44</v>
      </c>
      <c r="G2479">
        <v>-266.89299999999997</v>
      </c>
      <c r="H2479" s="1">
        <v>2.0550229999999998E-6</v>
      </c>
      <c r="I2479">
        <v>216.3623</v>
      </c>
      <c r="J2479">
        <v>-291.80110000000002</v>
      </c>
      <c r="K2479">
        <v>1.109696</v>
      </c>
      <c r="L2479">
        <v>216.70269999999999</v>
      </c>
      <c r="M2479">
        <v>0.99979229999999997</v>
      </c>
      <c r="N2479">
        <v>0</v>
      </c>
      <c r="O2479">
        <v>-1.2907389999999999E-2</v>
      </c>
      <c r="P2479">
        <v>0.99713309999999999</v>
      </c>
      <c r="Q2479">
        <v>7.1543190000000007E-2</v>
      </c>
      <c r="R2479">
        <v>2.464483E-2</v>
      </c>
      <c r="S2479">
        <v>3.0188290000000002</v>
      </c>
      <c r="T2479">
        <v>-0.13114039999999999</v>
      </c>
      <c r="U2479">
        <v>-4.1213989999999999E-2</v>
      </c>
      <c r="V2479">
        <v>-3.7541190000000002E-2</v>
      </c>
      <c r="W2479">
        <v>8.7243909999999994E-2</v>
      </c>
      <c r="X2479">
        <v>0.99547929999999996</v>
      </c>
      <c r="Y2479">
        <v>7.5356329999999995E-4</v>
      </c>
      <c r="Z2479">
        <v>5.4410359999999998E-4</v>
      </c>
      <c r="AA2479">
        <v>0.99999959999999899</v>
      </c>
      <c r="AB2479">
        <v>67</v>
      </c>
      <c r="AC2479">
        <v>24.908100000000001</v>
      </c>
      <c r="AD2479">
        <v>-1.109693944977</v>
      </c>
      <c r="AE2479">
        <v>-0.34039999999998799</v>
      </c>
      <c r="AF2479">
        <v>1.8795781000664698E-2</v>
      </c>
      <c r="AG2479">
        <v>-1.109693944977</v>
      </c>
      <c r="AH2479">
        <v>24.861082739510302</v>
      </c>
      <c r="AI2479">
        <v>92.555744953210805</v>
      </c>
      <c r="AJ2479">
        <v>89.956682549586006</v>
      </c>
      <c r="AK2479">
        <v>24.885843544346201</v>
      </c>
    </row>
    <row r="2480" spans="1:37" x14ac:dyDescent="0.2">
      <c r="A2480" t="str">
        <f>"20200111154114777"</f>
        <v>20200111154114777</v>
      </c>
      <c r="B2480" t="str">
        <f>"1578728474768218"</f>
        <v>1578728474768218</v>
      </c>
      <c r="C2480" t="s">
        <v>37</v>
      </c>
      <c r="D2480">
        <v>5.5279059999999998</v>
      </c>
      <c r="E2480">
        <v>0.51285950000000002</v>
      </c>
      <c r="F2480" t="s">
        <v>44</v>
      </c>
      <c r="G2480">
        <v>-265.52969999999999</v>
      </c>
      <c r="H2480" s="1">
        <v>1.329296E-6</v>
      </c>
      <c r="I2480">
        <v>216.36699999999999</v>
      </c>
      <c r="J2480">
        <v>-291.31740000000002</v>
      </c>
      <c r="K2480">
        <v>1.109707</v>
      </c>
      <c r="L2480">
        <v>216.69649999999999</v>
      </c>
      <c r="M2480">
        <v>0.99979340000000005</v>
      </c>
      <c r="N2480">
        <v>0</v>
      </c>
      <c r="O2480">
        <v>-1.283157E-2</v>
      </c>
      <c r="P2480">
        <v>0.99715399999999998</v>
      </c>
      <c r="Q2480">
        <v>7.1260409999999996E-2</v>
      </c>
      <c r="R2480">
        <v>2.4616969999999998E-2</v>
      </c>
      <c r="S2480">
        <v>3.0187379999999999</v>
      </c>
      <c r="T2480">
        <v>-0.1275104</v>
      </c>
      <c r="U2480">
        <v>-3.8574219999999999E-2</v>
      </c>
      <c r="V2480">
        <v>-3.7439109999999998E-2</v>
      </c>
      <c r="W2480">
        <v>8.6961259999999999E-2</v>
      </c>
      <c r="X2480">
        <v>0.99550799999999995</v>
      </c>
      <c r="Y2480" s="1">
        <v>-4.4474209999999901E-5</v>
      </c>
      <c r="Z2480">
        <v>5.4272139999999897E-4</v>
      </c>
      <c r="AA2480">
        <v>0.99999989999999905</v>
      </c>
      <c r="AB2480">
        <v>67</v>
      </c>
      <c r="AC2480">
        <v>25.787700000000001</v>
      </c>
      <c r="AD2480">
        <v>-1.1097056707040001</v>
      </c>
      <c r="AE2480">
        <v>-0.32949999999996699</v>
      </c>
      <c r="AF2480">
        <v>-1.4622271371746401E-3</v>
      </c>
      <c r="AG2480">
        <v>-1.1097056707040001</v>
      </c>
      <c r="AH2480">
        <v>25.742143834735899</v>
      </c>
      <c r="AI2480">
        <v>92.468407844569001</v>
      </c>
      <c r="AJ2480">
        <v>90.003254563570806</v>
      </c>
      <c r="AK2480">
        <v>25.766051657596499</v>
      </c>
    </row>
    <row r="2481" spans="1:37" x14ac:dyDescent="0.2">
      <c r="A2481" t="str">
        <f>"20200111154114794"</f>
        <v>20200111154114794</v>
      </c>
      <c r="B2481" t="str">
        <f>"1578728474788713"</f>
        <v>1578728474788713</v>
      </c>
      <c r="C2481" t="s">
        <v>37</v>
      </c>
      <c r="D2481">
        <v>5.5076679999999998</v>
      </c>
      <c r="E2481">
        <v>0.51292190000000004</v>
      </c>
      <c r="F2481" t="s">
        <v>44</v>
      </c>
      <c r="G2481">
        <v>-265.12880000000001</v>
      </c>
      <c r="H2481" s="1">
        <v>1.115953E-6</v>
      </c>
      <c r="I2481">
        <v>216.36750000000001</v>
      </c>
      <c r="J2481">
        <v>-290.78710000000001</v>
      </c>
      <c r="K2481">
        <v>1.109715</v>
      </c>
      <c r="L2481">
        <v>216.68969999999999</v>
      </c>
      <c r="M2481">
        <v>0.99979439999999997</v>
      </c>
      <c r="N2481">
        <v>0</v>
      </c>
      <c r="O2481">
        <v>-1.274921E-2</v>
      </c>
      <c r="P2481">
        <v>0.99713680000000005</v>
      </c>
      <c r="Q2481">
        <v>7.1762419999999993E-2</v>
      </c>
      <c r="R2481">
        <v>2.3848399999999999E-2</v>
      </c>
      <c r="S2481">
        <v>3.0186769999999998</v>
      </c>
      <c r="T2481">
        <v>-0.127912</v>
      </c>
      <c r="U2481">
        <v>-3.7918090000000002E-2</v>
      </c>
      <c r="V2481">
        <v>-3.6590629999999999E-2</v>
      </c>
      <c r="W2481">
        <v>8.7462890000000001E-2</v>
      </c>
      <c r="X2481">
        <v>0.99549560000000004</v>
      </c>
      <c r="Y2481">
        <v>-1.7904039999999999E-4</v>
      </c>
      <c r="Z2481">
        <v>5.4380260000000001E-4</v>
      </c>
      <c r="AA2481">
        <v>0.99999979999999999</v>
      </c>
      <c r="AB2481">
        <v>67</v>
      </c>
      <c r="AC2481">
        <v>25.658300000000001</v>
      </c>
      <c r="AD2481">
        <v>-1.109713884047</v>
      </c>
      <c r="AE2481">
        <v>-0.32219999999998</v>
      </c>
      <c r="AF2481">
        <v>-4.9806046509491804E-3</v>
      </c>
      <c r="AG2481">
        <v>-1.109713884047</v>
      </c>
      <c r="AH2481">
        <v>25.612420997190402</v>
      </c>
      <c r="AI2481">
        <v>92.480912652417103</v>
      </c>
      <c r="AJ2481">
        <v>90.0111417668152</v>
      </c>
      <c r="AK2481">
        <v>25.636450593796901</v>
      </c>
    </row>
    <row r="2482" spans="1:37" x14ac:dyDescent="0.2">
      <c r="A2482" t="str">
        <f>"20200111154114814"</f>
        <v>20200111154114814</v>
      </c>
      <c r="B2482" t="str">
        <f>"1578728474808233"</f>
        <v>1578728474808233</v>
      </c>
      <c r="C2482" t="s">
        <v>37</v>
      </c>
      <c r="D2482">
        <v>5.5492239999999997</v>
      </c>
      <c r="E2482">
        <v>0.51304300000000003</v>
      </c>
      <c r="F2482" t="s">
        <v>44</v>
      </c>
      <c r="G2482">
        <v>-264.07429999999999</v>
      </c>
      <c r="H2482" s="1">
        <v>5.5653059999999897E-7</v>
      </c>
      <c r="I2482">
        <v>216.32769999999999</v>
      </c>
      <c r="J2482">
        <v>-290.21039999999999</v>
      </c>
      <c r="K2482">
        <v>1.1097219999999901</v>
      </c>
      <c r="L2482">
        <v>216.6823</v>
      </c>
      <c r="M2482">
        <v>0.9997954</v>
      </c>
      <c r="N2482">
        <v>0</v>
      </c>
      <c r="O2482">
        <v>-1.266259E-2</v>
      </c>
      <c r="P2482">
        <v>0.99713449999999904</v>
      </c>
      <c r="Q2482">
        <v>7.1939500000000003E-2</v>
      </c>
      <c r="R2482">
        <v>2.3405099999999901E-2</v>
      </c>
      <c r="S2482">
        <v>3.0186160000000002</v>
      </c>
      <c r="T2482">
        <v>-0.1254005</v>
      </c>
      <c r="U2482">
        <v>-4.0908809999999997E-2</v>
      </c>
      <c r="V2482">
        <v>-3.606173E-2</v>
      </c>
      <c r="W2482">
        <v>8.7639590000000003E-2</v>
      </c>
      <c r="X2482">
        <v>0.99549929999999998</v>
      </c>
      <c r="Y2482">
        <v>8.9698679999999995E-4</v>
      </c>
      <c r="Z2482">
        <v>5.0720460000000002E-4</v>
      </c>
      <c r="AA2482">
        <v>0.99999950000000004</v>
      </c>
      <c r="AB2482">
        <v>67</v>
      </c>
      <c r="AC2482">
        <v>26.136099999999999</v>
      </c>
      <c r="AD2482">
        <v>-1.1097214434693901</v>
      </c>
      <c r="AE2482">
        <v>-0.35460000000000402</v>
      </c>
      <c r="AF2482">
        <v>2.35372390217659E-2</v>
      </c>
      <c r="AG2482">
        <v>-1.1097214434693901</v>
      </c>
      <c r="AH2482">
        <v>26.091465848786999</v>
      </c>
      <c r="AI2482">
        <v>92.435433553514599</v>
      </c>
      <c r="AJ2482">
        <v>89.948313210942899</v>
      </c>
      <c r="AK2482">
        <v>26.1150651123472</v>
      </c>
    </row>
    <row r="2483" spans="1:37" x14ac:dyDescent="0.2">
      <c r="A2483" t="str">
        <f>"20200111154114829"</f>
        <v>20200111154114829</v>
      </c>
      <c r="B2483" t="str">
        <f>"1578728474818970"</f>
        <v>1578728474818970</v>
      </c>
      <c r="C2483" t="s">
        <v>37</v>
      </c>
      <c r="D2483">
        <v>5.5461549999999997</v>
      </c>
      <c r="E2483">
        <v>0.51311370000000001</v>
      </c>
      <c r="F2483" t="s">
        <v>44</v>
      </c>
      <c r="G2483">
        <v>-263.39920000000001</v>
      </c>
      <c r="H2483" s="1">
        <v>1.9857710000000001E-7</v>
      </c>
      <c r="I2483">
        <v>216.2987</v>
      </c>
      <c r="J2483">
        <v>-289.74419999999998</v>
      </c>
      <c r="K2483">
        <v>1.1097269999999999</v>
      </c>
      <c r="L2483">
        <v>216.6764</v>
      </c>
      <c r="M2483">
        <v>0.99979629999999997</v>
      </c>
      <c r="N2483">
        <v>0</v>
      </c>
      <c r="O2483">
        <v>-1.259713E-2</v>
      </c>
      <c r="P2483">
        <v>0.99718119999999999</v>
      </c>
      <c r="Q2483">
        <v>7.1781440000000002E-2</v>
      </c>
      <c r="R2483">
        <v>2.18397E-2</v>
      </c>
      <c r="S2483">
        <v>3.0186459999999999</v>
      </c>
      <c r="T2483">
        <v>-0.12494280000000001</v>
      </c>
      <c r="U2483">
        <v>-4.3197630000000001E-2</v>
      </c>
      <c r="V2483">
        <v>-3.4431589999999998E-2</v>
      </c>
      <c r="W2483">
        <v>8.7483320000000003E-2</v>
      </c>
      <c r="X2483">
        <v>0.99557079999999998</v>
      </c>
      <c r="Y2483">
        <v>1.719569E-3</v>
      </c>
      <c r="Z2483">
        <v>4.8562259999999999E-4</v>
      </c>
      <c r="AA2483">
        <v>0.99999839999999995</v>
      </c>
      <c r="AB2483">
        <v>67</v>
      </c>
      <c r="AC2483">
        <v>26.344999999999899</v>
      </c>
      <c r="AD2483">
        <v>-1.1097268014229</v>
      </c>
      <c r="AE2483">
        <v>-0.37770000000000398</v>
      </c>
      <c r="AF2483">
        <v>4.5676333787838003E-2</v>
      </c>
      <c r="AG2483">
        <v>-1.1097268014229</v>
      </c>
      <c r="AH2483">
        <v>26.3010103845569</v>
      </c>
      <c r="AI2483">
        <v>92.416062127880906</v>
      </c>
      <c r="AJ2483">
        <v>89.900495894250497</v>
      </c>
      <c r="AK2483">
        <v>26.3244511272284</v>
      </c>
    </row>
    <row r="2484" spans="1:37" x14ac:dyDescent="0.2">
      <c r="A2484" t="str">
        <f>"20200111154114851"</f>
        <v>20200111154114851</v>
      </c>
      <c r="B2484" t="str">
        <f>"1578728474838420"</f>
        <v>1578728474838420</v>
      </c>
      <c r="C2484" t="s">
        <v>37</v>
      </c>
      <c r="D2484">
        <v>5.5452440000000003</v>
      </c>
      <c r="E2484">
        <v>0.51308109999999996</v>
      </c>
      <c r="F2484" t="s">
        <v>44</v>
      </c>
      <c r="G2484">
        <v>-262.90750000000003</v>
      </c>
      <c r="H2484" s="1">
        <v>-6.0738119999999996E-8</v>
      </c>
      <c r="I2484">
        <v>216.24430000000001</v>
      </c>
      <c r="J2484">
        <v>-289.10210000000001</v>
      </c>
      <c r="K2484">
        <v>1.1097239999999999</v>
      </c>
      <c r="L2484">
        <v>216.66839999999999</v>
      </c>
      <c r="M2484">
        <v>0.99979739999999995</v>
      </c>
      <c r="N2484">
        <v>0</v>
      </c>
      <c r="O2484">
        <v>-1.251743E-2</v>
      </c>
      <c r="P2484">
        <v>0.99724869999999899</v>
      </c>
      <c r="Q2484">
        <v>7.1281339999999999E-2</v>
      </c>
      <c r="R2484">
        <v>2.0353659999999999E-2</v>
      </c>
      <c r="S2484">
        <v>3.0185240000000002</v>
      </c>
      <c r="T2484">
        <v>-0.12481920000000001</v>
      </c>
      <c r="U2484">
        <v>-4.8599240000000002E-2</v>
      </c>
      <c r="V2484">
        <v>-3.286592E-2</v>
      </c>
      <c r="W2484">
        <v>8.6984539999999999E-2</v>
      </c>
      <c r="X2484">
        <v>0.99566739999999998</v>
      </c>
      <c r="Y2484">
        <v>3.5872479999999999E-3</v>
      </c>
      <c r="Z2484">
        <v>4.4326379999999897E-4</v>
      </c>
      <c r="AA2484">
        <v>0.99999340000000003</v>
      </c>
      <c r="AB2484">
        <v>67</v>
      </c>
      <c r="AC2484">
        <v>26.194599999999902</v>
      </c>
      <c r="AD2484">
        <v>-1.10972406073812</v>
      </c>
      <c r="AE2484">
        <v>-0.42409999999998099</v>
      </c>
      <c r="AF2484">
        <v>9.5964761305650903E-2</v>
      </c>
      <c r="AG2484">
        <v>-1.10972406073812</v>
      </c>
      <c r="AH2484">
        <v>26.150934187256301</v>
      </c>
      <c r="AI2484">
        <v>92.429892290121302</v>
      </c>
      <c r="AJ2484">
        <v>89.789745517898197</v>
      </c>
      <c r="AK2484">
        <v>26.1746452811228</v>
      </c>
    </row>
    <row r="2485" spans="1:37" x14ac:dyDescent="0.2">
      <c r="A2485" t="str">
        <f>"20200111154114873"</f>
        <v>20200111154114873</v>
      </c>
      <c r="B2485" t="str">
        <f>"1578728474868675"</f>
        <v>1578728474868675</v>
      </c>
      <c r="C2485" t="s">
        <v>37</v>
      </c>
      <c r="D2485">
        <v>5.5247739999999999</v>
      </c>
      <c r="E2485">
        <v>0.5131462</v>
      </c>
      <c r="F2485" t="s">
        <v>44</v>
      </c>
      <c r="G2485">
        <v>-262.3956</v>
      </c>
      <c r="H2485" s="1">
        <v>-3.3123459999999899E-7</v>
      </c>
      <c r="I2485">
        <v>216.2013</v>
      </c>
      <c r="J2485">
        <v>-288.4427</v>
      </c>
      <c r="K2485">
        <v>1.1097170000000001</v>
      </c>
      <c r="L2485">
        <v>216.6601</v>
      </c>
      <c r="M2485">
        <v>0.99979810000000002</v>
      </c>
      <c r="N2485">
        <v>0</v>
      </c>
      <c r="O2485">
        <v>-1.245142E-2</v>
      </c>
      <c r="P2485">
        <v>0.99731519999999996</v>
      </c>
      <c r="Q2485">
        <v>7.0825410000000005E-2</v>
      </c>
      <c r="R2485">
        <v>1.8608030000000001E-2</v>
      </c>
      <c r="S2485">
        <v>3.0183110000000002</v>
      </c>
      <c r="T2485">
        <v>-0.12541869999999999</v>
      </c>
      <c r="U2485">
        <v>-5.2780149999999998E-2</v>
      </c>
      <c r="V2485">
        <v>-3.105395E-2</v>
      </c>
      <c r="W2485">
        <v>8.6529460000000002E-2</v>
      </c>
      <c r="X2485">
        <v>0.99576520000000002</v>
      </c>
      <c r="Y2485">
        <v>5.0379550000000002E-3</v>
      </c>
      <c r="Z2485">
        <v>4.1254989999999999E-4</v>
      </c>
      <c r="AA2485">
        <v>0.99998719999999996</v>
      </c>
      <c r="AB2485">
        <v>67</v>
      </c>
      <c r="AC2485">
        <v>26.0471</v>
      </c>
      <c r="AD2485">
        <v>-1.1097173312346</v>
      </c>
      <c r="AE2485">
        <v>-0.45879999999999599</v>
      </c>
      <c r="AF2485">
        <v>0.13415726523562299</v>
      </c>
      <c r="AG2485">
        <v>-1.1097173312346</v>
      </c>
      <c r="AH2485">
        <v>26.003608598166899</v>
      </c>
      <c r="AI2485">
        <v>92.443611555335707</v>
      </c>
      <c r="AJ2485">
        <v>89.704403453763305</v>
      </c>
      <c r="AK2485">
        <v>26.027622458721002</v>
      </c>
    </row>
    <row r="2486" spans="1:37" x14ac:dyDescent="0.2">
      <c r="A2486" t="str">
        <f>"20200111154114896"</f>
        <v>20200111154114896</v>
      </c>
      <c r="B2486" t="str">
        <f>"1578728474889171"</f>
        <v>1578728474889171</v>
      </c>
      <c r="C2486" t="s">
        <v>37</v>
      </c>
      <c r="D2486">
        <v>5.5279730000000002</v>
      </c>
      <c r="E2486">
        <v>0.51324029999999998</v>
      </c>
      <c r="F2486" t="s">
        <v>44</v>
      </c>
      <c r="G2486">
        <v>-261.81869999999998</v>
      </c>
      <c r="H2486" s="1">
        <v>-6.3583990000000002E-7</v>
      </c>
      <c r="I2486">
        <v>216.14580000000001</v>
      </c>
      <c r="J2486">
        <v>-287.75209999999998</v>
      </c>
      <c r="K2486">
        <v>1.109715</v>
      </c>
      <c r="L2486">
        <v>216.6515</v>
      </c>
      <c r="M2486">
        <v>0.99979889999999905</v>
      </c>
      <c r="N2486">
        <v>0</v>
      </c>
      <c r="O2486">
        <v>-1.2399790000000001E-2</v>
      </c>
      <c r="P2486">
        <v>0.99737929999999997</v>
      </c>
      <c r="Q2486">
        <v>7.0435719999999993E-2</v>
      </c>
      <c r="R2486">
        <v>1.654713E-2</v>
      </c>
      <c r="S2486">
        <v>3.0181580000000001</v>
      </c>
      <c r="T2486">
        <v>-0.12579979999999999</v>
      </c>
      <c r="U2486">
        <v>-5.8303830000000001E-2</v>
      </c>
      <c r="V2486">
        <v>-2.8940029999999999E-2</v>
      </c>
      <c r="W2486">
        <v>8.6141339999999997E-2</v>
      </c>
      <c r="X2486">
        <v>0.99586249999999998</v>
      </c>
      <c r="Y2486">
        <v>6.9183369999999897E-3</v>
      </c>
      <c r="Z2486">
        <v>3.7249620000000001E-4</v>
      </c>
      <c r="AA2486">
        <v>0.99997599999999998</v>
      </c>
      <c r="AB2486">
        <v>67</v>
      </c>
      <c r="AC2486">
        <v>25.933399999999999</v>
      </c>
      <c r="AD2486">
        <v>-1.1097156358398901</v>
      </c>
      <c r="AE2486">
        <v>-0.50569999999999005</v>
      </c>
      <c r="AF2486">
        <v>0.18371618194497499</v>
      </c>
      <c r="AG2486">
        <v>-1.1097156358398901</v>
      </c>
      <c r="AH2486">
        <v>25.890288227492899</v>
      </c>
      <c r="AI2486">
        <v>92.454261224007197</v>
      </c>
      <c r="AJ2486">
        <v>89.593438856543699</v>
      </c>
      <c r="AK2486">
        <v>25.9147109752471</v>
      </c>
    </row>
    <row r="2487" spans="1:37" x14ac:dyDescent="0.2">
      <c r="A2487" t="str">
        <f>"20200111154114918"</f>
        <v>20200111154114918</v>
      </c>
      <c r="B2487" t="str">
        <f>"1578728474908690"</f>
        <v>1578728474908690</v>
      </c>
      <c r="C2487" t="s">
        <v>37</v>
      </c>
      <c r="D2487">
        <v>5.4731579999999997</v>
      </c>
      <c r="E2487">
        <v>0.5131232</v>
      </c>
      <c r="F2487" t="s">
        <v>44</v>
      </c>
      <c r="G2487">
        <v>-261.05250000000001</v>
      </c>
      <c r="H2487" s="1">
        <v>-1.0405199999999999E-6</v>
      </c>
      <c r="I2487">
        <v>216.07669999999999</v>
      </c>
      <c r="J2487">
        <v>-287.07530000000003</v>
      </c>
      <c r="K2487">
        <v>1.1097139999999901</v>
      </c>
      <c r="L2487">
        <v>216.6431</v>
      </c>
      <c r="M2487">
        <v>0.99979929999999995</v>
      </c>
      <c r="N2487">
        <v>0</v>
      </c>
      <c r="O2487">
        <v>-1.2362730000000001E-2</v>
      </c>
      <c r="P2487">
        <v>0.99742419999999998</v>
      </c>
      <c r="Q2487">
        <v>7.0335220000000004E-2</v>
      </c>
      <c r="R2487">
        <v>1.407184E-2</v>
      </c>
      <c r="S2487">
        <v>3.0178219999999998</v>
      </c>
      <c r="T2487">
        <v>-0.12542980000000001</v>
      </c>
      <c r="U2487">
        <v>-6.4971920000000002E-2</v>
      </c>
      <c r="V2487">
        <v>-2.6425279999999999E-2</v>
      </c>
      <c r="W2487">
        <v>8.6042049999999995E-2</v>
      </c>
      <c r="X2487">
        <v>0.99594099999999997</v>
      </c>
      <c r="Y2487">
        <v>9.1641380000000005E-3</v>
      </c>
      <c r="Z2487">
        <v>3.2324749999999998E-4</v>
      </c>
      <c r="AA2487">
        <v>0.99995800000000001</v>
      </c>
      <c r="AB2487">
        <v>67</v>
      </c>
      <c r="AC2487">
        <v>26.0228</v>
      </c>
      <c r="AD2487">
        <v>-1.10971504051999</v>
      </c>
      <c r="AE2487">
        <v>-0.566400000000015</v>
      </c>
      <c r="AF2487">
        <v>0.244160073485641</v>
      </c>
      <c r="AG2487">
        <v>-1.10971504051999</v>
      </c>
      <c r="AH2487">
        <v>25.980590420408699</v>
      </c>
      <c r="AI2487">
        <v>92.445693509562801</v>
      </c>
      <c r="AJ2487">
        <v>89.461562278109696</v>
      </c>
      <c r="AK2487">
        <v>26.005425591704402</v>
      </c>
    </row>
    <row r="2488" spans="1:37" x14ac:dyDescent="0.2">
      <c r="A2488" t="str">
        <f>"20200111154114936"</f>
        <v>20200111154114936</v>
      </c>
      <c r="B2488" t="str">
        <f>"1578728474929187"</f>
        <v>1578728474929187</v>
      </c>
      <c r="C2488" t="s">
        <v>37</v>
      </c>
      <c r="D2488">
        <v>5.523784</v>
      </c>
      <c r="E2488">
        <v>0.51315129999999998</v>
      </c>
      <c r="F2488" t="s">
        <v>44</v>
      </c>
      <c r="G2488">
        <v>-260.28179999999998</v>
      </c>
      <c r="H2488" s="1">
        <v>-1.447765E-6</v>
      </c>
      <c r="I2488">
        <v>216.01</v>
      </c>
      <c r="J2488">
        <v>-286.56319999999999</v>
      </c>
      <c r="K2488">
        <v>1.109712</v>
      </c>
      <c r="L2488">
        <v>216.63669999999999</v>
      </c>
      <c r="M2488">
        <v>0.99979969999999996</v>
      </c>
      <c r="N2488">
        <v>0</v>
      </c>
      <c r="O2488">
        <v>-1.2342519999999999E-2</v>
      </c>
      <c r="P2488">
        <v>0.99740079999999998</v>
      </c>
      <c r="Q2488">
        <v>7.0939779999999994E-2</v>
      </c>
      <c r="R2488">
        <v>1.264235E-2</v>
      </c>
      <c r="S2488">
        <v>3.0175779999999999</v>
      </c>
      <c r="T2488">
        <v>-0.1249797</v>
      </c>
      <c r="U2488">
        <v>-7.1304320000000004E-2</v>
      </c>
      <c r="V2488">
        <v>-2.4973599999999999E-2</v>
      </c>
      <c r="W2488">
        <v>8.6645369999999999E-2</v>
      </c>
      <c r="X2488">
        <v>0.99592610000000004</v>
      </c>
      <c r="Y2488">
        <v>1.128156E-2</v>
      </c>
      <c r="Z2488">
        <v>2.7744480000000001E-4</v>
      </c>
      <c r="AA2488">
        <v>0.9999363</v>
      </c>
      <c r="AB2488">
        <v>67</v>
      </c>
      <c r="AC2488">
        <v>26.281400000000001</v>
      </c>
      <c r="AD2488">
        <v>-1.1097134477649999</v>
      </c>
      <c r="AE2488">
        <v>-0.62669999999999904</v>
      </c>
      <c r="AF2488">
        <v>0.30169569492706</v>
      </c>
      <c r="AG2488">
        <v>-1.1097134477649999</v>
      </c>
      <c r="AH2488">
        <v>26.240376484217599</v>
      </c>
      <c r="AI2488">
        <v>92.4214530001112</v>
      </c>
      <c r="AJ2488">
        <v>89.3412774235792</v>
      </c>
      <c r="AK2488">
        <v>26.265563810091201</v>
      </c>
    </row>
    <row r="2489" spans="1:37" x14ac:dyDescent="0.2">
      <c r="A2489" t="str">
        <f>"20200111154114950"</f>
        <v>20200111154114950</v>
      </c>
      <c r="B2489" t="str">
        <f>"1578728474938947"</f>
        <v>1578728474938947</v>
      </c>
      <c r="C2489" t="s">
        <v>37</v>
      </c>
      <c r="D2489">
        <v>5.5208069999999996</v>
      </c>
      <c r="E2489">
        <v>0.51312029999999997</v>
      </c>
      <c r="F2489" t="s">
        <v>44</v>
      </c>
      <c r="G2489">
        <v>-259.10410000000002</v>
      </c>
      <c r="H2489" s="1">
        <v>3.249914E-6</v>
      </c>
      <c r="I2489">
        <v>215.9444</v>
      </c>
      <c r="J2489">
        <v>-286.12270000000001</v>
      </c>
      <c r="K2489">
        <v>1.109723</v>
      </c>
      <c r="L2489">
        <v>216.63130000000001</v>
      </c>
      <c r="M2489">
        <v>0.99979979999999902</v>
      </c>
      <c r="N2489">
        <v>0</v>
      </c>
      <c r="O2489">
        <v>-1.233016E-2</v>
      </c>
      <c r="P2489">
        <v>0.99737969999999898</v>
      </c>
      <c r="Q2489">
        <v>7.1513590000000002E-2</v>
      </c>
      <c r="R2489">
        <v>1.094817E-2</v>
      </c>
      <c r="S2489">
        <v>3.0174259999999999</v>
      </c>
      <c r="T2489">
        <v>-0.1219436</v>
      </c>
      <c r="U2489">
        <v>-7.6080320000000007E-2</v>
      </c>
      <c r="V2489">
        <v>-2.3265620000000001E-2</v>
      </c>
      <c r="W2489">
        <v>8.721872E-2</v>
      </c>
      <c r="X2489">
        <v>0.99591739999999995</v>
      </c>
      <c r="Y2489">
        <v>1.287551E-2</v>
      </c>
      <c r="Z2489">
        <v>2.3802869999999999E-4</v>
      </c>
      <c r="AA2489">
        <v>0.9999171</v>
      </c>
      <c r="AB2489">
        <v>67</v>
      </c>
      <c r="AC2489">
        <v>27.0185999999999</v>
      </c>
      <c r="AD2489">
        <v>-1.1097197500860001</v>
      </c>
      <c r="AE2489">
        <v>-0.68690000000000795</v>
      </c>
      <c r="AF2489">
        <v>0.35306751558932598</v>
      </c>
      <c r="AG2489">
        <v>-1.1097197500860001</v>
      </c>
      <c r="AH2489">
        <v>26.979532600895201</v>
      </c>
      <c r="AI2489">
        <v>92.355155813782204</v>
      </c>
      <c r="AJ2489">
        <v>89.250241872353399</v>
      </c>
      <c r="AK2489">
        <v>27.004653561137602</v>
      </c>
    </row>
    <row r="2490" spans="1:37" x14ac:dyDescent="0.2">
      <c r="A2490" t="str">
        <f>"20200111154114973"</f>
        <v>20200111154114973</v>
      </c>
      <c r="B2490" t="str">
        <f>"1578728474969203"</f>
        <v>1578728474969203</v>
      </c>
      <c r="C2490" t="s">
        <v>37</v>
      </c>
      <c r="D2490">
        <v>5.3856739999999999</v>
      </c>
      <c r="E2490">
        <v>0.49410290000000001</v>
      </c>
      <c r="F2490" t="s">
        <v>44</v>
      </c>
      <c r="G2490">
        <v>-258.11790000000002</v>
      </c>
      <c r="H2490" s="1">
        <v>2.728069E-6</v>
      </c>
      <c r="I2490">
        <v>215.87639999999999</v>
      </c>
      <c r="J2490">
        <v>-285.44549999999998</v>
      </c>
      <c r="K2490">
        <v>1.109723</v>
      </c>
      <c r="L2490">
        <v>216.62289999999999</v>
      </c>
      <c r="M2490">
        <v>0.99979979999999902</v>
      </c>
      <c r="N2490">
        <v>0</v>
      </c>
      <c r="O2490">
        <v>-1.232484E-2</v>
      </c>
      <c r="P2490">
        <v>0.99732389999999904</v>
      </c>
      <c r="Q2490">
        <v>7.2491730000000004E-2</v>
      </c>
      <c r="R2490">
        <v>9.4757699999999997E-3</v>
      </c>
      <c r="S2490">
        <v>3.017395</v>
      </c>
      <c r="T2490">
        <v>-0.1195676</v>
      </c>
      <c r="U2490">
        <v>-8.1329349999999995E-2</v>
      </c>
      <c r="V2490">
        <v>-2.1783480000000001E-2</v>
      </c>
      <c r="W2490">
        <v>8.8194850000000005E-2</v>
      </c>
      <c r="X2490">
        <v>0.995865</v>
      </c>
      <c r="Y2490">
        <v>1.4617969999999999E-2</v>
      </c>
      <c r="Z2490">
        <v>1.986759E-4</v>
      </c>
      <c r="AA2490">
        <v>0.99989309999999998</v>
      </c>
      <c r="AB2490">
        <v>67</v>
      </c>
      <c r="AC2490">
        <v>27.327599999999901</v>
      </c>
      <c r="AD2490">
        <v>-1.109720271931</v>
      </c>
      <c r="AE2490">
        <v>-0.74649999999999705</v>
      </c>
      <c r="AF2490">
        <v>0.408919329219332</v>
      </c>
      <c r="AG2490">
        <v>-1.109720271931</v>
      </c>
      <c r="AH2490">
        <v>27.289757879342002</v>
      </c>
      <c r="AI2490">
        <v>92.328351595958196</v>
      </c>
      <c r="AJ2490">
        <v>89.141524137796495</v>
      </c>
      <c r="AK2490">
        <v>27.315372580524201</v>
      </c>
    </row>
    <row r="2491" spans="1:37" x14ac:dyDescent="0.2">
      <c r="A2491" t="str">
        <f>"20200111154114989"</f>
        <v>20200111154114989</v>
      </c>
      <c r="B2491" t="str">
        <f>"1578728474978963"</f>
        <v>1578728474978963</v>
      </c>
      <c r="C2491" t="s">
        <v>37</v>
      </c>
      <c r="D2491">
        <v>5.4102739999999896</v>
      </c>
      <c r="E2491">
        <v>0.49082550000000003</v>
      </c>
      <c r="F2491" t="s">
        <v>44</v>
      </c>
      <c r="G2491">
        <v>-255.33459999999999</v>
      </c>
      <c r="H2491" s="1">
        <v>1.1855459999999999E-6</v>
      </c>
      <c r="I2491">
        <v>217.28139999999999</v>
      </c>
      <c r="J2491">
        <v>-284.94560000000001</v>
      </c>
      <c r="K2491">
        <v>1.109715</v>
      </c>
      <c r="L2491">
        <v>216.61670000000001</v>
      </c>
      <c r="M2491">
        <v>0.99979979999999902</v>
      </c>
      <c r="N2491">
        <v>0</v>
      </c>
      <c r="O2491">
        <v>-1.2334039999999999E-2</v>
      </c>
      <c r="P2491">
        <v>0.99732730000000003</v>
      </c>
      <c r="Q2491">
        <v>7.2554540000000001E-2</v>
      </c>
      <c r="R2491">
        <v>8.6235519999999996E-3</v>
      </c>
      <c r="S2491">
        <v>3.0155029999999998</v>
      </c>
      <c r="T2491">
        <v>-0.111135</v>
      </c>
      <c r="U2491">
        <v>6.5948489999999999E-2</v>
      </c>
      <c r="V2491">
        <v>-2.0938099999999901E-2</v>
      </c>
      <c r="W2491">
        <v>8.8256600000000004E-2</v>
      </c>
      <c r="X2491">
        <v>0.99587769999999998</v>
      </c>
      <c r="Y2491">
        <v>-3.4163989999999998E-2</v>
      </c>
      <c r="Z2491">
        <v>1.083681E-3</v>
      </c>
      <c r="AA2491">
        <v>0.99941559999999896</v>
      </c>
      <c r="AB2491">
        <v>67</v>
      </c>
      <c r="AC2491">
        <v>29.611000000000001</v>
      </c>
      <c r="AD2491">
        <v>-1.109713814454</v>
      </c>
      <c r="AE2491">
        <v>0.66469999999998197</v>
      </c>
      <c r="AF2491">
        <v>-1.0284742774478499</v>
      </c>
      <c r="AG2491">
        <v>-1.109713814454</v>
      </c>
      <c r="AH2491">
        <v>29.559053345019699</v>
      </c>
      <c r="AI2491">
        <v>92.148704618113499</v>
      </c>
      <c r="AJ2491">
        <v>91.992738827580098</v>
      </c>
      <c r="AK2491">
        <v>29.5977509068355</v>
      </c>
    </row>
    <row r="2492" spans="1:37" x14ac:dyDescent="0.2">
      <c r="A2492" t="str">
        <f>"20200111154115004"</f>
        <v>20200111154115004</v>
      </c>
      <c r="B2492" t="str">
        <f>"1578728474998483"</f>
        <v>1578728474998483</v>
      </c>
      <c r="C2492" t="s">
        <v>37</v>
      </c>
      <c r="D2492">
        <v>5.4680569999999999</v>
      </c>
      <c r="E2492">
        <v>0.48711349999999998</v>
      </c>
      <c r="F2492" t="s">
        <v>44</v>
      </c>
      <c r="G2492">
        <v>-257.04750000000001</v>
      </c>
      <c r="H2492" s="1">
        <v>2.08997099999999E-6</v>
      </c>
      <c r="I2492">
        <v>217.4426</v>
      </c>
      <c r="J2492">
        <v>-284.52260000000001</v>
      </c>
      <c r="K2492">
        <v>1.109702</v>
      </c>
      <c r="L2492">
        <v>216.61150000000001</v>
      </c>
      <c r="M2492">
        <v>0.99979959999999901</v>
      </c>
      <c r="N2492">
        <v>0</v>
      </c>
      <c r="O2492">
        <v>-1.2350399999999999E-2</v>
      </c>
      <c r="P2492">
        <v>0.99730189999999996</v>
      </c>
      <c r="Q2492">
        <v>7.2965199999999994E-2</v>
      </c>
      <c r="R2492">
        <v>8.0751940000000008E-3</v>
      </c>
      <c r="S2492">
        <v>3.0159910000000001</v>
      </c>
      <c r="T2492">
        <v>-0.119967899999999</v>
      </c>
      <c r="U2492">
        <v>8.9279170000000005E-2</v>
      </c>
      <c r="V2492">
        <v>-2.040264E-2</v>
      </c>
      <c r="W2492">
        <v>8.8666499999999995E-2</v>
      </c>
      <c r="X2492">
        <v>0.99585239999999997</v>
      </c>
      <c r="Y2492">
        <v>-4.1890379999999998E-2</v>
      </c>
      <c r="Z2492">
        <v>1.323669E-3</v>
      </c>
      <c r="AA2492">
        <v>0.99912129999999999</v>
      </c>
      <c r="AB2492">
        <v>67</v>
      </c>
      <c r="AC2492">
        <v>27.475100000000001</v>
      </c>
      <c r="AD2492">
        <v>-1.1096999100289999</v>
      </c>
      <c r="AE2492">
        <v>0.83109999999999196</v>
      </c>
      <c r="AF2492">
        <v>-1.1685027649366699</v>
      </c>
      <c r="AG2492">
        <v>-1.1096999100289999</v>
      </c>
      <c r="AH2492">
        <v>27.418052240399501</v>
      </c>
      <c r="AI2492">
        <v>92.315586439738794</v>
      </c>
      <c r="AJ2492">
        <v>92.440355226572095</v>
      </c>
      <c r="AK2492">
        <v>27.4653676701998</v>
      </c>
    </row>
    <row r="2493" spans="1:37" x14ac:dyDescent="0.2">
      <c r="A2493" t="str">
        <f>"20200111154115017"</f>
        <v>20200111154115017</v>
      </c>
      <c r="B2493" t="str">
        <f>"1578728475009219"</f>
        <v>1578728475009219</v>
      </c>
      <c r="C2493" t="s">
        <v>37</v>
      </c>
      <c r="D2493">
        <v>5.3140669999999997</v>
      </c>
      <c r="E2493">
        <v>0.48684300000000003</v>
      </c>
      <c r="F2493" t="s">
        <v>44</v>
      </c>
      <c r="G2493">
        <v>-258.95179999999999</v>
      </c>
      <c r="H2493" s="1">
        <v>3.096366E-6</v>
      </c>
      <c r="I2493">
        <v>217.60220000000001</v>
      </c>
      <c r="J2493">
        <v>-284.10539999999997</v>
      </c>
      <c r="K2493">
        <v>1.1096790000000001</v>
      </c>
      <c r="L2493">
        <v>216.6063</v>
      </c>
      <c r="M2493">
        <v>0.9997992</v>
      </c>
      <c r="N2493">
        <v>0</v>
      </c>
      <c r="O2493">
        <v>-1.2381959999999999E-2</v>
      </c>
      <c r="P2493">
        <v>0.99731440000000005</v>
      </c>
      <c r="Q2493">
        <v>7.2815050000000006E-2</v>
      </c>
      <c r="R2493">
        <v>7.8808669999999997E-3</v>
      </c>
      <c r="S2493">
        <v>3.016785</v>
      </c>
      <c r="T2493">
        <v>-0.1309196</v>
      </c>
      <c r="U2493">
        <v>0.11688229999999999</v>
      </c>
      <c r="V2493">
        <v>-2.023577E-2</v>
      </c>
      <c r="W2493">
        <v>8.8515460000000004E-2</v>
      </c>
      <c r="X2493">
        <v>0.99586919999999901</v>
      </c>
      <c r="Y2493">
        <v>-5.102661E-2</v>
      </c>
      <c r="Z2493">
        <v>1.643243E-3</v>
      </c>
      <c r="AA2493">
        <v>0.99869599999999903</v>
      </c>
      <c r="AB2493">
        <v>67</v>
      </c>
      <c r="AC2493">
        <v>25.153599999999901</v>
      </c>
      <c r="AD2493">
        <v>-1.109675903634</v>
      </c>
      <c r="AE2493">
        <v>0.995900000000006</v>
      </c>
      <c r="AF2493">
        <v>-1.3047777599654899</v>
      </c>
      <c r="AG2493">
        <v>-1.109675903634</v>
      </c>
      <c r="AH2493">
        <v>25.0905831608769</v>
      </c>
      <c r="AI2493">
        <v>92.528945319103101</v>
      </c>
      <c r="AJ2493">
        <v>92.9768530458594</v>
      </c>
      <c r="AK2493">
        <v>25.1489798792493</v>
      </c>
    </row>
    <row r="2494" spans="1:37" x14ac:dyDescent="0.2">
      <c r="A2494" t="str">
        <f>"20200111154115035"</f>
        <v>20200111154115035</v>
      </c>
      <c r="B2494" t="str">
        <f>"1578728475028739"</f>
        <v>1578728475028739</v>
      </c>
      <c r="C2494" t="s">
        <v>37</v>
      </c>
      <c r="D2494">
        <v>5.3328989999999896</v>
      </c>
      <c r="E2494">
        <v>0.48673939999999999</v>
      </c>
      <c r="F2494" t="s">
        <v>44</v>
      </c>
      <c r="G2494">
        <v>-258.8854</v>
      </c>
      <c r="H2494" s="1">
        <v>3.0612309999999998E-6</v>
      </c>
      <c r="I2494">
        <v>217.59809999999999</v>
      </c>
      <c r="J2494">
        <v>-283.5847</v>
      </c>
      <c r="K2494">
        <v>1.1096509999999999</v>
      </c>
      <c r="L2494">
        <v>216.59979999999999</v>
      </c>
      <c r="M2494">
        <v>0.99979859999999898</v>
      </c>
      <c r="N2494">
        <v>0</v>
      </c>
      <c r="O2494">
        <v>-1.243788E-2</v>
      </c>
      <c r="P2494">
        <v>0.99732330000000002</v>
      </c>
      <c r="Q2494">
        <v>7.2620390000000007E-2</v>
      </c>
      <c r="R2494">
        <v>8.5180989999999995E-3</v>
      </c>
      <c r="S2494">
        <v>3.0168459999999899</v>
      </c>
      <c r="T2494">
        <v>-0.13274040000000001</v>
      </c>
      <c r="U2494">
        <v>0.1186371</v>
      </c>
      <c r="V2494">
        <v>-2.0922779999999998E-2</v>
      </c>
      <c r="W2494">
        <v>8.8320239999999994E-2</v>
      </c>
      <c r="X2494">
        <v>0.99587239999999999</v>
      </c>
      <c r="Y2494">
        <v>-5.165935E-2</v>
      </c>
      <c r="Z2494">
        <v>1.6823889999999901E-3</v>
      </c>
      <c r="AA2494">
        <v>0.99866339999999998</v>
      </c>
      <c r="AB2494">
        <v>67</v>
      </c>
      <c r="AC2494">
        <v>24.699299999999901</v>
      </c>
      <c r="AD2494">
        <v>-1.1096479387689999</v>
      </c>
      <c r="AE2494">
        <v>0.99829999999999997</v>
      </c>
      <c r="AF2494">
        <v>-1.30284246670027</v>
      </c>
      <c r="AG2494">
        <v>-1.1096479387689999</v>
      </c>
      <c r="AH2494">
        <v>24.6353285234241</v>
      </c>
      <c r="AI2494">
        <v>92.5754337007033</v>
      </c>
      <c r="AJ2494">
        <v>93.0272743885361</v>
      </c>
      <c r="AK2494">
        <v>24.6946983884818</v>
      </c>
    </row>
    <row r="2495" spans="1:37" x14ac:dyDescent="0.2">
      <c r="A2495" t="str">
        <f>"20200111154115051"</f>
        <v>20200111154115051</v>
      </c>
      <c r="B2495" t="str">
        <f>"1578728475038499"</f>
        <v>1578728475038499</v>
      </c>
      <c r="C2495" t="s">
        <v>37</v>
      </c>
      <c r="D2495">
        <v>5.3470899999999997</v>
      </c>
      <c r="E2495">
        <v>0.4867457</v>
      </c>
      <c r="F2495" t="s">
        <v>44</v>
      </c>
      <c r="G2495">
        <v>-257.51549999999997</v>
      </c>
      <c r="H2495" s="1">
        <v>2.3300070000000001E-6</v>
      </c>
      <c r="I2495">
        <v>217.649</v>
      </c>
      <c r="J2495">
        <v>-283.12150000000003</v>
      </c>
      <c r="K2495">
        <v>1.109612</v>
      </c>
      <c r="L2495">
        <v>216.5941</v>
      </c>
      <c r="M2495">
        <v>0.99979779999999996</v>
      </c>
      <c r="N2495">
        <v>0</v>
      </c>
      <c r="O2495">
        <v>-1.250633E-2</v>
      </c>
      <c r="P2495">
        <v>0.99733300000000003</v>
      </c>
      <c r="Q2495">
        <v>7.2373839999999995E-2</v>
      </c>
      <c r="R2495">
        <v>9.4389130000000002E-3</v>
      </c>
      <c r="S2495">
        <v>3.016327</v>
      </c>
      <c r="T2495">
        <v>-0.12839159999999999</v>
      </c>
      <c r="U2495">
        <v>0.1213989</v>
      </c>
      <c r="V2495">
        <v>-2.1906229999999999E-2</v>
      </c>
      <c r="W2495">
        <v>8.807326E-2</v>
      </c>
      <c r="X2495">
        <v>0.99587309999999996</v>
      </c>
      <c r="Y2495">
        <v>-5.2650420000000003E-2</v>
      </c>
      <c r="Z2495">
        <v>1.65155799999999E-3</v>
      </c>
      <c r="AA2495">
        <v>0.99861160000000004</v>
      </c>
      <c r="AB2495">
        <v>67</v>
      </c>
      <c r="AC2495">
        <v>25.606000000000002</v>
      </c>
      <c r="AD2495">
        <v>-1.109609669993</v>
      </c>
      <c r="AE2495">
        <v>1.0548999999999999</v>
      </c>
      <c r="AF2495">
        <v>-1.3725212747622899</v>
      </c>
      <c r="AG2495">
        <v>-1.109609669993</v>
      </c>
      <c r="AH2495">
        <v>25.542918299499298</v>
      </c>
      <c r="AI2495">
        <v>92.483842749425804</v>
      </c>
      <c r="AJ2495">
        <v>93.075769178233003</v>
      </c>
      <c r="AK2495">
        <v>25.6038224397122</v>
      </c>
    </row>
    <row r="2496" spans="1:37" x14ac:dyDescent="0.2">
      <c r="A2496" t="str">
        <f>"20200111154115073"</f>
        <v>20200111154115073</v>
      </c>
      <c r="B2496" t="str">
        <f>"1578728475068755"</f>
        <v>1578728475068755</v>
      </c>
      <c r="C2496" t="s">
        <v>37</v>
      </c>
      <c r="D2496">
        <v>5.285031</v>
      </c>
      <c r="E2496">
        <v>0.48668019999999901</v>
      </c>
      <c r="F2496" t="s">
        <v>44</v>
      </c>
      <c r="G2496">
        <v>-257.1739</v>
      </c>
      <c r="H2496" s="1">
        <v>2.1476310000000002E-6</v>
      </c>
      <c r="I2496">
        <v>217.6626</v>
      </c>
      <c r="J2496">
        <v>-282.44069999999999</v>
      </c>
      <c r="K2496">
        <v>1.109558</v>
      </c>
      <c r="L2496">
        <v>216.5855</v>
      </c>
      <c r="M2496">
        <v>0.99979599999999902</v>
      </c>
      <c r="N2496">
        <v>0</v>
      </c>
      <c r="O2496">
        <v>-1.2641660000000001E-2</v>
      </c>
      <c r="P2496">
        <v>0.99737350000000002</v>
      </c>
      <c r="Q2496">
        <v>7.1719809999999995E-2</v>
      </c>
      <c r="R2496">
        <v>1.012061E-2</v>
      </c>
      <c r="S2496">
        <v>3.016235</v>
      </c>
      <c r="T2496">
        <v>-0.12898479999999901</v>
      </c>
      <c r="U2496">
        <v>0.1242065</v>
      </c>
      <c r="V2496">
        <v>-2.2713859999999999E-2</v>
      </c>
      <c r="W2496">
        <v>8.7419659999999996E-2</v>
      </c>
      <c r="X2496">
        <v>0.99591260000000004</v>
      </c>
      <c r="Y2496">
        <v>-5.3713139999999999E-2</v>
      </c>
      <c r="Z2496">
        <v>1.6876879999999999E-3</v>
      </c>
      <c r="AA2496">
        <v>0.99855499999999997</v>
      </c>
      <c r="AB2496">
        <v>67</v>
      </c>
      <c r="AC2496">
        <v>25.2667999999999</v>
      </c>
      <c r="AD2496">
        <v>-1.1095558523689999</v>
      </c>
      <c r="AE2496">
        <v>1.0770999999999999</v>
      </c>
      <c r="AF2496">
        <v>-1.3937849378509</v>
      </c>
      <c r="AG2496">
        <v>-1.1095558523689999</v>
      </c>
      <c r="AH2496">
        <v>25.2026497208089</v>
      </c>
      <c r="AI2496">
        <v>92.516998646524797</v>
      </c>
      <c r="AJ2496">
        <v>93.1654104220557</v>
      </c>
      <c r="AK2496">
        <v>25.265535885713799</v>
      </c>
    </row>
    <row r="2497" spans="1:37" x14ac:dyDescent="0.2">
      <c r="A2497" t="str">
        <f>"20200111154115089"</f>
        <v>20200111154115089</v>
      </c>
      <c r="B2497" t="str">
        <f>"1578728475078515"</f>
        <v>1578728475078515</v>
      </c>
      <c r="C2497" t="s">
        <v>37</v>
      </c>
      <c r="D2497">
        <v>5.304805</v>
      </c>
      <c r="E2497">
        <v>0.48655929999999997</v>
      </c>
      <c r="F2497" t="s">
        <v>44</v>
      </c>
      <c r="G2497">
        <v>-256.74489999999997</v>
      </c>
      <c r="H2497" s="1">
        <v>1.9191209999999999E-6</v>
      </c>
      <c r="I2497">
        <v>217.6678</v>
      </c>
      <c r="J2497">
        <v>-281.96370000000002</v>
      </c>
      <c r="K2497">
        <v>1.109518</v>
      </c>
      <c r="L2497">
        <v>216.57939999999999</v>
      </c>
      <c r="M2497">
        <v>0.99979459999999998</v>
      </c>
      <c r="N2497">
        <v>0</v>
      </c>
      <c r="O2497">
        <v>-1.2760209999999999E-2</v>
      </c>
      <c r="P2497">
        <v>0.997417</v>
      </c>
      <c r="Q2497">
        <v>7.1122420000000006E-2</v>
      </c>
      <c r="R2497">
        <v>1.0058920000000001E-2</v>
      </c>
      <c r="S2497">
        <v>3.01593</v>
      </c>
      <c r="T2497">
        <v>-0.13022919999999999</v>
      </c>
      <c r="U2497">
        <v>0.12702939999999999</v>
      </c>
      <c r="V2497">
        <v>-2.2763970000000001E-2</v>
      </c>
      <c r="W2497">
        <v>8.6822570000000002E-2</v>
      </c>
      <c r="X2497">
        <v>0.99596369999999901</v>
      </c>
      <c r="Y2497">
        <v>-5.4766410000000001E-2</v>
      </c>
      <c r="Z2497">
        <v>1.7319309999999999E-3</v>
      </c>
      <c r="AA2497">
        <v>0.99849769999999904</v>
      </c>
      <c r="AB2497">
        <v>67</v>
      </c>
      <c r="AC2497">
        <v>25.218800000000002</v>
      </c>
      <c r="AD2497">
        <v>-1.1095160808790001</v>
      </c>
      <c r="AE2497">
        <v>1.0884</v>
      </c>
      <c r="AF2497">
        <v>-1.4074292773461301</v>
      </c>
      <c r="AG2497">
        <v>-1.1095160808790001</v>
      </c>
      <c r="AH2497">
        <v>25.154258003420999</v>
      </c>
      <c r="AI2497">
        <v>92.521653705842496</v>
      </c>
      <c r="AJ2497">
        <v>93.202470312862303</v>
      </c>
      <c r="AK2497">
        <v>25.218020913765798</v>
      </c>
    </row>
    <row r="2498" spans="1:37" x14ac:dyDescent="0.2">
      <c r="A2498" t="str">
        <f>"20200111154115107"</f>
        <v>20200111154115107</v>
      </c>
      <c r="B2498" t="str">
        <f>"1578728475099011"</f>
        <v>1578728475099011</v>
      </c>
      <c r="C2498" t="s">
        <v>37</v>
      </c>
      <c r="D2498">
        <v>5.2679119999999999</v>
      </c>
      <c r="E2498">
        <v>0.48645309999999897</v>
      </c>
      <c r="F2498" t="s">
        <v>44</v>
      </c>
      <c r="G2498">
        <v>-256.64049999999997</v>
      </c>
      <c r="H2498" s="1">
        <v>1.864242E-6</v>
      </c>
      <c r="I2498">
        <v>217.65270000000001</v>
      </c>
      <c r="J2498">
        <v>-281.41609999999997</v>
      </c>
      <c r="K2498">
        <v>1.1094629999999901</v>
      </c>
      <c r="L2498">
        <v>216.57239999999999</v>
      </c>
      <c r="M2498">
        <v>0.99979259999999903</v>
      </c>
      <c r="N2498">
        <v>0</v>
      </c>
      <c r="O2498">
        <v>-1.2919160000000001E-2</v>
      </c>
      <c r="P2498">
        <v>0.99747019999999997</v>
      </c>
      <c r="Q2498">
        <v>7.0361270000000004E-2</v>
      </c>
      <c r="R2498">
        <v>1.012336E-2</v>
      </c>
      <c r="S2498">
        <v>3.01593</v>
      </c>
      <c r="T2498">
        <v>-0.13214049999999999</v>
      </c>
      <c r="U2498">
        <v>0.12782289999999999</v>
      </c>
      <c r="V2498">
        <v>-2.2979200000000002E-2</v>
      </c>
      <c r="W2498">
        <v>8.6061990000000005E-2</v>
      </c>
      <c r="X2498">
        <v>0.99602469999999999</v>
      </c>
      <c r="Y2498">
        <v>-5.518497E-2</v>
      </c>
      <c r="Z2498">
        <v>1.773436E-3</v>
      </c>
      <c r="AA2498">
        <v>0.99847459999999899</v>
      </c>
      <c r="AB2498">
        <v>67</v>
      </c>
      <c r="AC2498">
        <v>24.775600000000001</v>
      </c>
      <c r="AD2498">
        <v>-1.10946113575799</v>
      </c>
      <c r="AE2498">
        <v>1.08030000000002</v>
      </c>
      <c r="AF2498">
        <v>-1.3975323037562299</v>
      </c>
      <c r="AG2498">
        <v>-1.10946113575799</v>
      </c>
      <c r="AH2498">
        <v>24.710116756005199</v>
      </c>
      <c r="AI2498">
        <v>92.566704047997305</v>
      </c>
      <c r="AJ2498">
        <v>93.237034074228504</v>
      </c>
      <c r="AK2498">
        <v>24.774460047541101</v>
      </c>
    </row>
    <row r="2499" spans="1:37" x14ac:dyDescent="0.2">
      <c r="A2499" t="str">
        <f>"20200111154115126"</f>
        <v>20200111154115126</v>
      </c>
      <c r="B2499" t="str">
        <f>"1578728475118532"</f>
        <v>1578728475118532</v>
      </c>
      <c r="C2499" t="s">
        <v>37</v>
      </c>
      <c r="D2499">
        <v>5.2384870000000001</v>
      </c>
      <c r="E2499">
        <v>0.48637129999999901</v>
      </c>
      <c r="F2499" t="s">
        <v>44</v>
      </c>
      <c r="G2499">
        <v>-256.61219999999997</v>
      </c>
      <c r="H2499" s="1">
        <v>1.84999E-6</v>
      </c>
      <c r="I2499">
        <v>217.63460000000001</v>
      </c>
      <c r="J2499">
        <v>-280.8886</v>
      </c>
      <c r="K2499">
        <v>1.1094219999999999</v>
      </c>
      <c r="L2499">
        <v>216.56549999999999</v>
      </c>
      <c r="M2499">
        <v>0.99979050000000003</v>
      </c>
      <c r="N2499">
        <v>0</v>
      </c>
      <c r="O2499">
        <v>-1.309155E-2</v>
      </c>
      <c r="P2499">
        <v>0.99749949999999998</v>
      </c>
      <c r="Q2499">
        <v>7.0009840000000004E-2</v>
      </c>
      <c r="R2499">
        <v>9.6854079999999995E-3</v>
      </c>
      <c r="S2499">
        <v>3.0158079999999998</v>
      </c>
      <c r="T2499">
        <v>-0.13489509999999999</v>
      </c>
      <c r="U2499">
        <v>0.1291504</v>
      </c>
      <c r="V2499">
        <v>-2.2705369999999999E-2</v>
      </c>
      <c r="W2499">
        <v>8.5710930000000005E-2</v>
      </c>
      <c r="X2499">
        <v>0.99606130000000004</v>
      </c>
      <c r="Y2499">
        <v>-5.5794009999999998E-2</v>
      </c>
      <c r="Z2499">
        <v>1.8317369999999999E-3</v>
      </c>
      <c r="AA2499">
        <v>0.99844059999999901</v>
      </c>
      <c r="AB2499">
        <v>67</v>
      </c>
      <c r="AC2499">
        <v>24.276399999999999</v>
      </c>
      <c r="AD2499">
        <v>-1.1094201500099901</v>
      </c>
      <c r="AE2499">
        <v>1.0691000000000199</v>
      </c>
      <c r="AF2499">
        <v>-1.3839786379263599</v>
      </c>
      <c r="AG2499">
        <v>-1.1094201500099901</v>
      </c>
      <c r="AH2499">
        <v>24.209857991420598</v>
      </c>
      <c r="AI2499">
        <v>92.619480918393506</v>
      </c>
      <c r="AJ2499">
        <v>93.271804630619599</v>
      </c>
      <c r="AK2499">
        <v>24.274748894772099</v>
      </c>
    </row>
    <row r="2500" spans="1:37" x14ac:dyDescent="0.2">
      <c r="A2500" t="str">
        <f>"20200111154115141"</f>
        <v>20200111154115141</v>
      </c>
      <c r="B2500" t="str">
        <f>"1578728475139027"</f>
        <v>1578728475139027</v>
      </c>
      <c r="C2500" t="s">
        <v>37</v>
      </c>
      <c r="D2500">
        <v>5.2783069999999999</v>
      </c>
      <c r="E2500">
        <v>0.48622149999999997</v>
      </c>
      <c r="F2500" t="s">
        <v>44</v>
      </c>
      <c r="G2500">
        <v>-256.38990000000001</v>
      </c>
      <c r="H2500" s="1">
        <v>1.7328059999999999E-6</v>
      </c>
      <c r="I2500">
        <v>217.6079</v>
      </c>
      <c r="J2500">
        <v>-280.41289999999998</v>
      </c>
      <c r="K2500">
        <v>1.109369</v>
      </c>
      <c r="L2500">
        <v>216.5592</v>
      </c>
      <c r="M2500">
        <v>0.99978829999999996</v>
      </c>
      <c r="N2500">
        <v>0</v>
      </c>
      <c r="O2500">
        <v>-1.326098E-2</v>
      </c>
      <c r="P2500">
        <v>0.99757799999999996</v>
      </c>
      <c r="Q2500">
        <v>6.895047E-2</v>
      </c>
      <c r="R2500">
        <v>9.19490699999999E-3</v>
      </c>
      <c r="S2500">
        <v>3.0158390000000002</v>
      </c>
      <c r="T2500">
        <v>-0.13657149999999901</v>
      </c>
      <c r="U2500">
        <v>0.12832639999999901</v>
      </c>
      <c r="V2500">
        <v>-2.237921E-2</v>
      </c>
      <c r="W2500">
        <v>8.4652859999999996E-2</v>
      </c>
      <c r="X2500">
        <v>0.99615909999999996</v>
      </c>
      <c r="Y2500">
        <v>-5.5688689999999999E-2</v>
      </c>
      <c r="Z2500">
        <v>1.8597539999999999E-3</v>
      </c>
      <c r="AA2500">
        <v>0.99844650000000001</v>
      </c>
      <c r="AB2500">
        <v>67</v>
      </c>
      <c r="AC2500">
        <v>24.0229999999999</v>
      </c>
      <c r="AD2500">
        <v>-1.109367267194</v>
      </c>
      <c r="AE2500">
        <v>1.04869999999999</v>
      </c>
      <c r="AF2500">
        <v>-1.3643118081693599</v>
      </c>
      <c r="AG2500">
        <v>-1.109367267194</v>
      </c>
      <c r="AH2500">
        <v>23.9559887877781</v>
      </c>
      <c r="AI2500">
        <v>92.647107446221</v>
      </c>
      <c r="AJ2500">
        <v>93.259517365618606</v>
      </c>
      <c r="AK2500">
        <v>24.020437990252901</v>
      </c>
    </row>
    <row r="2501" spans="1:37" x14ac:dyDescent="0.2">
      <c r="A2501" t="str">
        <f>"20200111154115163"</f>
        <v>20200111154115163</v>
      </c>
      <c r="B2501" t="str">
        <f>"1578728475158547"</f>
        <v>1578728475158547</v>
      </c>
      <c r="C2501" t="s">
        <v>37</v>
      </c>
      <c r="D2501">
        <v>5.2948209999999998</v>
      </c>
      <c r="E2501">
        <v>0.48620619999999998</v>
      </c>
      <c r="F2501" t="s">
        <v>44</v>
      </c>
      <c r="G2501">
        <v>-256.37360000000001</v>
      </c>
      <c r="H2501" s="1">
        <v>1.7253639999999899E-6</v>
      </c>
      <c r="I2501">
        <v>217.58029999999999</v>
      </c>
      <c r="J2501">
        <v>-279.7876</v>
      </c>
      <c r="K2501">
        <v>1.1093219999999999</v>
      </c>
      <c r="L2501">
        <v>216.55080000000001</v>
      </c>
      <c r="M2501">
        <v>0.99978509999999998</v>
      </c>
      <c r="N2501">
        <v>0</v>
      </c>
      <c r="O2501">
        <v>-1.349968E-2</v>
      </c>
      <c r="P2501">
        <v>0.99761060000000001</v>
      </c>
      <c r="Q2501">
        <v>6.8569729999999995E-2</v>
      </c>
      <c r="R2501">
        <v>8.4624279999999993E-3</v>
      </c>
      <c r="S2501">
        <v>3.0157470000000002</v>
      </c>
      <c r="T2501">
        <v>-0.13917079999999901</v>
      </c>
      <c r="U2501">
        <v>0.1280975</v>
      </c>
      <c r="V2501">
        <v>-2.1876880000000001E-2</v>
      </c>
      <c r="W2501">
        <v>8.4271799999999994E-2</v>
      </c>
      <c r="X2501">
        <v>0.99620259999999905</v>
      </c>
      <c r="Y2501">
        <v>-5.5849599999999999E-2</v>
      </c>
      <c r="Z2501">
        <v>1.90989E-3</v>
      </c>
      <c r="AA2501">
        <v>0.99843729999999997</v>
      </c>
      <c r="AB2501">
        <v>67</v>
      </c>
      <c r="AC2501">
        <v>23.413999999999898</v>
      </c>
      <c r="AD2501">
        <v>-1.109320274636</v>
      </c>
      <c r="AE2501">
        <v>1.0294999999999801</v>
      </c>
      <c r="AF2501">
        <v>-1.3425190277843699</v>
      </c>
      <c r="AG2501">
        <v>-1.109320274636</v>
      </c>
      <c r="AH2501">
        <v>23.345662816622202</v>
      </c>
      <c r="AI2501">
        <v>92.716007688629304</v>
      </c>
      <c r="AJ2501">
        <v>93.291234502428495</v>
      </c>
      <c r="AK2501">
        <v>23.4105301340892</v>
      </c>
    </row>
    <row r="2502" spans="1:37" x14ac:dyDescent="0.2">
      <c r="A2502" t="str">
        <f>"20200111154115185"</f>
        <v>20200111154115185</v>
      </c>
      <c r="B2502" t="str">
        <f>"1578728475179042"</f>
        <v>1578728475179042</v>
      </c>
      <c r="C2502" t="s">
        <v>37</v>
      </c>
      <c r="D2502">
        <v>5.3111290000000002</v>
      </c>
      <c r="E2502">
        <v>0.48631659999999999</v>
      </c>
      <c r="F2502" t="s">
        <v>44</v>
      </c>
      <c r="G2502">
        <v>-256.0883</v>
      </c>
      <c r="H2502" s="1">
        <v>1.575308E-6</v>
      </c>
      <c r="I2502">
        <v>217.5403</v>
      </c>
      <c r="J2502">
        <v>-279.12130000000002</v>
      </c>
      <c r="K2502">
        <v>1.1092879999999901</v>
      </c>
      <c r="L2502">
        <v>216.54169999999999</v>
      </c>
      <c r="M2502">
        <v>0.99978140000000004</v>
      </c>
      <c r="N2502">
        <v>0</v>
      </c>
      <c r="O2502">
        <v>-1.376982E-2</v>
      </c>
      <c r="P2502">
        <v>0.99765559999999998</v>
      </c>
      <c r="Q2502">
        <v>6.7965949999999997E-2</v>
      </c>
      <c r="R2502">
        <v>7.9948769999999992E-3</v>
      </c>
      <c r="S2502">
        <v>3.0157780000000001</v>
      </c>
      <c r="T2502">
        <v>-0.14116319999999999</v>
      </c>
      <c r="U2502">
        <v>0.12591549999999899</v>
      </c>
      <c r="V2502">
        <v>-2.1672299999999999E-2</v>
      </c>
      <c r="W2502">
        <v>8.3667400000000003E-2</v>
      </c>
      <c r="X2502">
        <v>0.99625799999999998</v>
      </c>
      <c r="Y2502">
        <v>-5.5395890000000003E-2</v>
      </c>
      <c r="Z2502">
        <v>1.9392389999999999E-3</v>
      </c>
      <c r="AA2502">
        <v>0.99846259999999998</v>
      </c>
      <c r="AB2502">
        <v>66</v>
      </c>
      <c r="AC2502">
        <v>23.033000000000001</v>
      </c>
      <c r="AD2502">
        <v>-1.10928642469199</v>
      </c>
      <c r="AE2502">
        <v>0.99860000000001004</v>
      </c>
      <c r="AF2502">
        <v>-1.31266586759974</v>
      </c>
      <c r="AG2502">
        <v>-1.10928642469199</v>
      </c>
      <c r="AH2502">
        <v>22.963899637420798</v>
      </c>
      <c r="AI2502">
        <v>92.7610607066932</v>
      </c>
      <c r="AJ2502">
        <v>93.271589703499103</v>
      </c>
      <c r="AK2502">
        <v>23.028119649886801</v>
      </c>
    </row>
    <row r="2503" spans="1:37" x14ac:dyDescent="0.2">
      <c r="A2503" t="str">
        <f>"20200111154115208"</f>
        <v>20200111154115208</v>
      </c>
      <c r="B2503" t="str">
        <f>"1578728475198562"</f>
        <v>1578728475198562</v>
      </c>
      <c r="C2503" t="s">
        <v>37</v>
      </c>
      <c r="D2503">
        <v>5.2304539999999999</v>
      </c>
      <c r="E2503">
        <v>0.48624099999999998</v>
      </c>
      <c r="F2503" t="s">
        <v>44</v>
      </c>
      <c r="G2503">
        <v>-255.9956</v>
      </c>
      <c r="H2503" s="1">
        <v>1.5282109999999999E-6</v>
      </c>
      <c r="I2503">
        <v>217.48840000000001</v>
      </c>
      <c r="J2503">
        <v>-278.44670000000002</v>
      </c>
      <c r="K2503">
        <v>1.1092500000000001</v>
      </c>
      <c r="L2503">
        <v>216.53229999999999</v>
      </c>
      <c r="M2503">
        <v>0.99977759999999904</v>
      </c>
      <c r="N2503">
        <v>0</v>
      </c>
      <c r="O2503">
        <v>-1.4053609999999999E-2</v>
      </c>
      <c r="P2503">
        <v>0.99761440000000001</v>
      </c>
      <c r="Q2503">
        <v>6.8607390000000004E-2</v>
      </c>
      <c r="R2503">
        <v>7.6606189999999996E-3</v>
      </c>
      <c r="S2503">
        <v>3.0158999999999998</v>
      </c>
      <c r="T2503">
        <v>-0.14466570000000001</v>
      </c>
      <c r="U2503">
        <v>0.1234589</v>
      </c>
      <c r="V2503">
        <v>-2.161271E-2</v>
      </c>
      <c r="W2503">
        <v>8.430696E-2</v>
      </c>
      <c r="X2503">
        <v>0.99620540000000002</v>
      </c>
      <c r="Y2503">
        <v>-5.4862180000000003E-2</v>
      </c>
      <c r="Z2503">
        <v>1.9880649999999998E-3</v>
      </c>
      <c r="AA2503">
        <v>0.99849189999999999</v>
      </c>
      <c r="AB2503">
        <v>66</v>
      </c>
      <c r="AC2503">
        <v>22.4511</v>
      </c>
      <c r="AD2503">
        <v>-1.1092484717890001</v>
      </c>
      <c r="AE2503">
        <v>0.95610000000002004</v>
      </c>
      <c r="AF2503">
        <v>-1.2684727304557299</v>
      </c>
      <c r="AG2503">
        <v>-1.1092484717890001</v>
      </c>
      <c r="AH2503">
        <v>22.380909193359201</v>
      </c>
      <c r="AI2503">
        <v>92.832847842007595</v>
      </c>
      <c r="AJ2503">
        <v>93.243856772581296</v>
      </c>
      <c r="AK2503">
        <v>22.444254310657399</v>
      </c>
    </row>
    <row r="2504" spans="1:37" x14ac:dyDescent="0.2">
      <c r="A2504" t="str">
        <f>"20200111154115229"</f>
        <v>20200111154115229</v>
      </c>
      <c r="B2504" t="str">
        <f>"1578728475219059"</f>
        <v>1578728475219059</v>
      </c>
      <c r="C2504" t="s">
        <v>37</v>
      </c>
      <c r="D2504">
        <v>5.2356379999999998</v>
      </c>
      <c r="E2504">
        <v>0.48618270000000002</v>
      </c>
      <c r="F2504" t="s">
        <v>44</v>
      </c>
      <c r="G2504">
        <v>-255.19710000000001</v>
      </c>
      <c r="H2504" s="1">
        <v>1.1037290000000001E-6</v>
      </c>
      <c r="I2504">
        <v>217.47900000000001</v>
      </c>
      <c r="J2504">
        <v>-277.8229</v>
      </c>
      <c r="K2504">
        <v>1.1092249999999999</v>
      </c>
      <c r="L2504">
        <v>216.52350000000001</v>
      </c>
      <c r="M2504">
        <v>0.99977369999999899</v>
      </c>
      <c r="N2504">
        <v>0</v>
      </c>
      <c r="O2504">
        <v>-1.4321550000000001E-2</v>
      </c>
      <c r="P2504">
        <v>0.99759019999999998</v>
      </c>
      <c r="Q2504">
        <v>6.9018339999999997E-2</v>
      </c>
      <c r="R2504">
        <v>7.0990690000000004E-3</v>
      </c>
      <c r="S2504">
        <v>3.0160830000000001</v>
      </c>
      <c r="T2504">
        <v>-0.14389869999999999</v>
      </c>
      <c r="U2504">
        <v>0.1228027</v>
      </c>
      <c r="V2504">
        <v>-2.1311739999999999E-2</v>
      </c>
      <c r="W2504">
        <v>8.4716540000000007E-2</v>
      </c>
      <c r="X2504">
        <v>0.99617710000000004</v>
      </c>
      <c r="Y2504">
        <v>-5.4910929999999997E-2</v>
      </c>
      <c r="Z2504">
        <v>1.9913610000000001E-3</v>
      </c>
      <c r="AA2504">
        <v>0.99848930000000002</v>
      </c>
      <c r="AB2504">
        <v>66</v>
      </c>
      <c r="AC2504">
        <v>22.625800000000002</v>
      </c>
      <c r="AD2504">
        <v>-1.1092238962709999</v>
      </c>
      <c r="AE2504">
        <v>0.95550000000000002</v>
      </c>
      <c r="AF2504">
        <v>-1.2764162952462099</v>
      </c>
      <c r="AG2504">
        <v>-1.1092238962709999</v>
      </c>
      <c r="AH2504">
        <v>22.5556786497669</v>
      </c>
      <c r="AI2504">
        <v>92.810884867944495</v>
      </c>
      <c r="AJ2504">
        <v>93.238889442044595</v>
      </c>
      <c r="AK2504">
        <v>22.6189799850121</v>
      </c>
    </row>
    <row r="2505" spans="1:37" x14ac:dyDescent="0.2">
      <c r="A2505" t="str">
        <f>"20200111154115251"</f>
        <v>20200111154115251</v>
      </c>
      <c r="B2505" t="str">
        <f>"1578728475248995"</f>
        <v>1578728475248995</v>
      </c>
      <c r="C2505" t="s">
        <v>37</v>
      </c>
      <c r="D2505">
        <v>5.2207759999999999</v>
      </c>
      <c r="E2505">
        <v>0.48605680000000001</v>
      </c>
      <c r="F2505" t="s">
        <v>44</v>
      </c>
      <c r="G2505">
        <v>-254.55770000000001</v>
      </c>
      <c r="H2505" s="1">
        <v>7.6416600000000004E-7</v>
      </c>
      <c r="I2505">
        <v>217.4632</v>
      </c>
      <c r="J2505">
        <v>-277.1506</v>
      </c>
      <c r="K2505">
        <v>1.109202</v>
      </c>
      <c r="L2505">
        <v>216.5138</v>
      </c>
      <c r="M2505">
        <v>0.99976960000000004</v>
      </c>
      <c r="N2505">
        <v>0</v>
      </c>
      <c r="O2505">
        <v>-1.461463E-2</v>
      </c>
      <c r="P2505">
        <v>0.99761529999999998</v>
      </c>
      <c r="Q2505">
        <v>6.87556E-2</v>
      </c>
      <c r="R2505">
        <v>6.0325109999999999E-3</v>
      </c>
      <c r="S2505">
        <v>3.016327</v>
      </c>
      <c r="T2505">
        <v>-0.14381050000000001</v>
      </c>
      <c r="U2505">
        <v>0.1218262</v>
      </c>
      <c r="V2505">
        <v>-2.0532700000000001E-2</v>
      </c>
      <c r="W2505">
        <v>8.4451399999999996E-2</v>
      </c>
      <c r="X2505">
        <v>0.99621599999999999</v>
      </c>
      <c r="Y2505">
        <v>-5.4877410000000001E-2</v>
      </c>
      <c r="Z2505">
        <v>2.0031579999999901E-3</v>
      </c>
      <c r="AA2505">
        <v>0.99849109999999996</v>
      </c>
      <c r="AB2505">
        <v>66</v>
      </c>
      <c r="AC2505">
        <v>22.592899999999901</v>
      </c>
      <c r="AD2505">
        <v>-1.109201235834</v>
      </c>
      <c r="AE2505">
        <v>0.94939999999999702</v>
      </c>
      <c r="AF2505">
        <v>-1.27645500967948</v>
      </c>
      <c r="AG2505">
        <v>-1.109201235834</v>
      </c>
      <c r="AH2505">
        <v>22.522418853607</v>
      </c>
      <c r="AI2505">
        <v>92.814958200100094</v>
      </c>
      <c r="AJ2505">
        <v>93.243760411754195</v>
      </c>
      <c r="AK2505">
        <v>22.585814481453301</v>
      </c>
    </row>
    <row r="2506" spans="1:37" x14ac:dyDescent="0.2">
      <c r="A2506" t="str">
        <f>"20200111154115274"</f>
        <v>20200111154115274</v>
      </c>
      <c r="B2506" t="str">
        <f>"1578728475268514"</f>
        <v>1578728475268514</v>
      </c>
      <c r="C2506" t="s">
        <v>37</v>
      </c>
      <c r="D2506">
        <v>5.2687900000000001</v>
      </c>
      <c r="E2506">
        <v>0.4859964</v>
      </c>
      <c r="F2506" t="s">
        <v>44</v>
      </c>
      <c r="G2506">
        <v>-254.3622</v>
      </c>
      <c r="H2506" s="1">
        <v>6.6210809999999898E-7</v>
      </c>
      <c r="I2506">
        <v>217.41810000000001</v>
      </c>
      <c r="J2506">
        <v>-276.49860000000001</v>
      </c>
      <c r="K2506">
        <v>1.1091719999999901</v>
      </c>
      <c r="L2506">
        <v>216.5042</v>
      </c>
      <c r="M2506">
        <v>0.99976549999999997</v>
      </c>
      <c r="N2506">
        <v>0</v>
      </c>
      <c r="O2506">
        <v>-1.489976E-2</v>
      </c>
      <c r="P2506">
        <v>0.99767209999999995</v>
      </c>
      <c r="Q2506">
        <v>6.8037739999999999E-2</v>
      </c>
      <c r="R2506">
        <v>4.6183629999999899E-3</v>
      </c>
      <c r="S2506">
        <v>3.0165709999999999</v>
      </c>
      <c r="T2506">
        <v>-0.1468286</v>
      </c>
      <c r="U2506">
        <v>0.119705199999999</v>
      </c>
      <c r="V2506">
        <v>-1.9399019999999999E-2</v>
      </c>
      <c r="W2506">
        <v>8.3732029999999999E-2</v>
      </c>
      <c r="X2506">
        <v>0.99629939999999995</v>
      </c>
      <c r="Y2506">
        <v>-5.4454820000000001E-2</v>
      </c>
      <c r="Z2506">
        <v>2.048603E-3</v>
      </c>
      <c r="AA2506">
        <v>0.99851409999999996</v>
      </c>
      <c r="AB2506">
        <v>66</v>
      </c>
      <c r="AC2506">
        <v>22.136399999999998</v>
      </c>
      <c r="AD2506">
        <v>-1.1091713378918999</v>
      </c>
      <c r="AE2506">
        <v>0.91390000000001204</v>
      </c>
      <c r="AF2506">
        <v>-1.24055701983001</v>
      </c>
      <c r="AG2506">
        <v>-1.1091713378918999</v>
      </c>
      <c r="AH2506">
        <v>22.065020597239599</v>
      </c>
      <c r="AI2506">
        <v>92.873209916977004</v>
      </c>
      <c r="AJ2506">
        <v>93.217940794747605</v>
      </c>
      <c r="AK2506">
        <v>22.1276834922425</v>
      </c>
    </row>
    <row r="2507" spans="1:37" x14ac:dyDescent="0.2">
      <c r="A2507" t="str">
        <f>"20200111154115296"</f>
        <v>20200111154115296</v>
      </c>
      <c r="B2507" t="str">
        <f>"1578728475289010"</f>
        <v>1578728475289010</v>
      </c>
      <c r="C2507" t="s">
        <v>37</v>
      </c>
      <c r="D2507">
        <v>5.2448509999999997</v>
      </c>
      <c r="E2507">
        <v>0.48587619999999998</v>
      </c>
      <c r="F2507" t="s">
        <v>44</v>
      </c>
      <c r="G2507">
        <v>-254.15369999999999</v>
      </c>
      <c r="H2507" s="1">
        <v>5.5346779999999995E-7</v>
      </c>
      <c r="I2507">
        <v>217.36449999999999</v>
      </c>
      <c r="J2507">
        <v>-275.81349999999998</v>
      </c>
      <c r="K2507">
        <v>1.109145</v>
      </c>
      <c r="L2507">
        <v>216.494</v>
      </c>
      <c r="M2507">
        <v>0.99976100000000001</v>
      </c>
      <c r="N2507">
        <v>0</v>
      </c>
      <c r="O2507">
        <v>-1.519614E-2</v>
      </c>
      <c r="P2507">
        <v>0.99769419999999898</v>
      </c>
      <c r="Q2507">
        <v>6.7790760000000005E-2</v>
      </c>
      <c r="R2507">
        <v>3.3151259999999998E-3</v>
      </c>
      <c r="S2507">
        <v>3.0166629999999999</v>
      </c>
      <c r="T2507">
        <v>-0.1497433</v>
      </c>
      <c r="U2507">
        <v>0.1161346</v>
      </c>
      <c r="V2507">
        <v>-1.838797E-2</v>
      </c>
      <c r="W2507">
        <v>8.3481620000000006E-2</v>
      </c>
      <c r="X2507">
        <v>0.99633969999999905</v>
      </c>
      <c r="Y2507">
        <v>-5.3566990000000002E-2</v>
      </c>
      <c r="Z2507">
        <v>2.0818910000000002E-3</v>
      </c>
      <c r="AA2507">
        <v>0.99856209999999901</v>
      </c>
      <c r="AB2507">
        <v>66</v>
      </c>
      <c r="AC2507">
        <v>21.659799999999901</v>
      </c>
      <c r="AD2507">
        <v>-1.1091444465322</v>
      </c>
      <c r="AE2507">
        <v>0.87049999999996397</v>
      </c>
      <c r="AF2507">
        <v>-1.1964531825329601</v>
      </c>
      <c r="AG2507">
        <v>-1.1091444465322</v>
      </c>
      <c r="AH2507">
        <v>21.587552700094601</v>
      </c>
      <c r="AI2507">
        <v>92.9367081481616</v>
      </c>
      <c r="AJ2507">
        <v>93.172275094657905</v>
      </c>
      <c r="AK2507">
        <v>21.649113912597699</v>
      </c>
    </row>
    <row r="2508" spans="1:37" x14ac:dyDescent="0.2">
      <c r="A2508" t="str">
        <f>"20200111154115318"</f>
        <v>20200111154115318</v>
      </c>
      <c r="B2508" t="str">
        <f>"1578728475308530"</f>
        <v>1578728475308530</v>
      </c>
      <c r="C2508" t="s">
        <v>37</v>
      </c>
      <c r="D2508">
        <v>5.2286630000000001</v>
      </c>
      <c r="E2508">
        <v>0.485759</v>
      </c>
      <c r="F2508" t="s">
        <v>44</v>
      </c>
      <c r="G2508">
        <v>-253.6909</v>
      </c>
      <c r="H2508" s="1">
        <v>3.0896889999999997E-7</v>
      </c>
      <c r="I2508">
        <v>217.3245</v>
      </c>
      <c r="J2508">
        <v>-275.17899999999997</v>
      </c>
      <c r="K2508">
        <v>1.1091229999999901</v>
      </c>
      <c r="L2508">
        <v>216.48429999999999</v>
      </c>
      <c r="M2508">
        <v>0.99975709999999995</v>
      </c>
      <c r="N2508">
        <v>0</v>
      </c>
      <c r="O2508">
        <v>-1.5462429999999999E-2</v>
      </c>
      <c r="P2508">
        <v>0.99775329999999995</v>
      </c>
      <c r="Q2508">
        <v>6.6972779999999996E-2</v>
      </c>
      <c r="R2508">
        <v>1.766884E-3</v>
      </c>
      <c r="S2508">
        <v>3.0168759999999999</v>
      </c>
      <c r="T2508">
        <v>-0.15125520000000001</v>
      </c>
      <c r="U2508">
        <v>0.11326600000000001</v>
      </c>
      <c r="V2508">
        <v>-1.7104950000000001E-2</v>
      </c>
      <c r="W2508">
        <v>8.2661429999999994E-2</v>
      </c>
      <c r="X2508">
        <v>0.99643090000000001</v>
      </c>
      <c r="Y2508">
        <v>-5.288093E-2</v>
      </c>
      <c r="Z2508">
        <v>2.098932E-3</v>
      </c>
      <c r="AA2508">
        <v>0.998598599999999</v>
      </c>
      <c r="AB2508">
        <v>66</v>
      </c>
      <c r="AC2508">
        <v>21.488099999999999</v>
      </c>
      <c r="AD2508">
        <v>-1.1091226910310901</v>
      </c>
      <c r="AE2508">
        <v>0.84020000000000905</v>
      </c>
      <c r="AF2508">
        <v>-1.1692883188602301</v>
      </c>
      <c r="AG2508">
        <v>-1.1091226910310901</v>
      </c>
      <c r="AH2508">
        <v>21.4155695351761</v>
      </c>
      <c r="AI2508">
        <v>92.9603258288966</v>
      </c>
      <c r="AJ2508">
        <v>93.125241664470494</v>
      </c>
      <c r="AK2508">
        <v>21.4761264391963</v>
      </c>
    </row>
    <row r="2509" spans="1:37" x14ac:dyDescent="0.2">
      <c r="A2509" t="str">
        <f>"20200111154115340"</f>
        <v>20200111154115340</v>
      </c>
      <c r="B2509" t="str">
        <f>"1578728475329027"</f>
        <v>1578728475329027</v>
      </c>
      <c r="C2509" t="s">
        <v>37</v>
      </c>
      <c r="D2509">
        <v>5.2145589999999897</v>
      </c>
      <c r="E2509">
        <v>0.48569570000000001</v>
      </c>
      <c r="F2509" t="s">
        <v>44</v>
      </c>
      <c r="G2509">
        <v>-253.5067</v>
      </c>
      <c r="H2509" s="1">
        <v>2.132173E-7</v>
      </c>
      <c r="I2509">
        <v>217.2723</v>
      </c>
      <c r="J2509">
        <v>-274.5222</v>
      </c>
      <c r="K2509">
        <v>1.1091120000000001</v>
      </c>
      <c r="L2509">
        <v>216.47409999999999</v>
      </c>
      <c r="M2509">
        <v>0.99975309999999995</v>
      </c>
      <c r="N2509">
        <v>0</v>
      </c>
      <c r="O2509">
        <v>-1.572525E-2</v>
      </c>
      <c r="P2509">
        <v>0.99781109999999995</v>
      </c>
      <c r="Q2509">
        <v>6.6128400000000004E-2</v>
      </c>
      <c r="R2509">
        <v>5.2934519999999895E-4</v>
      </c>
      <c r="S2509">
        <v>3.0169069999999998</v>
      </c>
      <c r="T2509">
        <v>-0.154395899999999</v>
      </c>
      <c r="U2509">
        <v>0.1096954</v>
      </c>
      <c r="V2509">
        <v>-1.6130619999999998E-2</v>
      </c>
      <c r="W2509">
        <v>8.1814129999999999E-2</v>
      </c>
      <c r="X2509">
        <v>0.99651710000000004</v>
      </c>
      <c r="Y2509">
        <v>-5.1960060000000002E-2</v>
      </c>
      <c r="Z2509">
        <v>2.1323800000000001E-3</v>
      </c>
      <c r="AA2509">
        <v>0.9986469</v>
      </c>
      <c r="AB2509">
        <v>66</v>
      </c>
      <c r="AC2509">
        <v>21.015499999999999</v>
      </c>
      <c r="AD2509">
        <v>-1.1091117867827001</v>
      </c>
      <c r="AE2509">
        <v>0.79820000000000801</v>
      </c>
      <c r="AF2509">
        <v>-1.1254857073248301</v>
      </c>
      <c r="AG2509">
        <v>-1.1091117867827001</v>
      </c>
      <c r="AH2509">
        <v>20.942101460443698</v>
      </c>
      <c r="AI2509">
        <v>93.027241236489601</v>
      </c>
      <c r="AJ2509">
        <v>93.076272181271605</v>
      </c>
      <c r="AK2509">
        <v>21.001629951327399</v>
      </c>
    </row>
    <row r="2510" spans="1:37" x14ac:dyDescent="0.2">
      <c r="A2510" t="str">
        <f>"20200111154115363"</f>
        <v>20200111154115363</v>
      </c>
      <c r="B2510" t="str">
        <f>"1578728475358813"</f>
        <v>1578728475358813</v>
      </c>
      <c r="C2510" t="s">
        <v>37</v>
      </c>
      <c r="D2510">
        <v>5.2112129999999999</v>
      </c>
      <c r="E2510">
        <v>0.48544870000000001</v>
      </c>
      <c r="F2510" t="s">
        <v>44</v>
      </c>
      <c r="G2510">
        <v>-253.2227</v>
      </c>
      <c r="H2510" s="1">
        <v>6.4144280000000005E-8</v>
      </c>
      <c r="I2510">
        <v>217.2253</v>
      </c>
      <c r="J2510">
        <v>-273.8417</v>
      </c>
      <c r="K2510">
        <v>1.1091059999999999</v>
      </c>
      <c r="L2510">
        <v>216.4633</v>
      </c>
      <c r="M2510">
        <v>0.99974909999999995</v>
      </c>
      <c r="N2510">
        <v>0</v>
      </c>
      <c r="O2510">
        <v>-1.5979070000000001E-2</v>
      </c>
      <c r="P2510">
        <v>0.99781299999999995</v>
      </c>
      <c r="Q2510">
        <v>6.6096619999999995E-2</v>
      </c>
      <c r="R2510">
        <v>-6.4670999999999999E-4</v>
      </c>
      <c r="S2510">
        <v>3.016937</v>
      </c>
      <c r="T2510">
        <v>-0.1570984</v>
      </c>
      <c r="U2510">
        <v>0.10639949999999999</v>
      </c>
      <c r="V2510">
        <v>-1.5208340000000001E-2</v>
      </c>
      <c r="W2510">
        <v>8.1778000000000003E-2</v>
      </c>
      <c r="X2510">
        <v>0.99653449999999999</v>
      </c>
      <c r="Y2510">
        <v>-5.1121300000000001E-2</v>
      </c>
      <c r="Z2510">
        <v>2.161063E-3</v>
      </c>
      <c r="AA2510">
        <v>0.99869010000000003</v>
      </c>
      <c r="AB2510">
        <v>66</v>
      </c>
      <c r="AC2510">
        <v>20.619</v>
      </c>
      <c r="AD2510">
        <v>-1.10910593585571</v>
      </c>
      <c r="AE2510">
        <v>0.76200000000000001</v>
      </c>
      <c r="AF2510">
        <v>-1.08827120618241</v>
      </c>
      <c r="AG2510">
        <v>-1.10910593585571</v>
      </c>
      <c r="AH2510">
        <v>20.5448256513084</v>
      </c>
      <c r="AI2510">
        <v>93.085777302191303</v>
      </c>
      <c r="AJ2510">
        <v>93.032156486348498</v>
      </c>
      <c r="AK2510">
        <v>20.603502402208601</v>
      </c>
    </row>
    <row r="2511" spans="1:37" x14ac:dyDescent="0.2">
      <c r="A2511" t="str">
        <f>"20200111154115386"</f>
        <v>20200111154115386</v>
      </c>
      <c r="B2511" t="str">
        <f>"1578728475378333"</f>
        <v>1578728475378333</v>
      </c>
      <c r="C2511" t="s">
        <v>37</v>
      </c>
      <c r="D2511">
        <v>5.2041000000000004</v>
      </c>
      <c r="E2511">
        <v>0.48527819999999999</v>
      </c>
      <c r="F2511" t="s">
        <v>44</v>
      </c>
      <c r="G2511">
        <v>-252.65620000000001</v>
      </c>
      <c r="H2511" s="1">
        <v>-2.3623139999999999E-7</v>
      </c>
      <c r="I2511">
        <v>217.1996</v>
      </c>
      <c r="J2511">
        <v>-273.18380000000002</v>
      </c>
      <c r="K2511">
        <v>1.1091120000000001</v>
      </c>
      <c r="L2511">
        <v>216.4528</v>
      </c>
      <c r="M2511">
        <v>0.99974549999999995</v>
      </c>
      <c r="N2511">
        <v>0</v>
      </c>
      <c r="O2511">
        <v>-1.6201630000000002E-2</v>
      </c>
      <c r="P2511">
        <v>0.99781569999999997</v>
      </c>
      <c r="Q2511">
        <v>6.6040280000000007E-2</v>
      </c>
      <c r="R2511">
        <v>-1.685516E-3</v>
      </c>
      <c r="S2511">
        <v>3.0171199999999998</v>
      </c>
      <c r="T2511">
        <v>-0.1579527</v>
      </c>
      <c r="U2511">
        <v>0.10485839999999901</v>
      </c>
      <c r="V2511">
        <v>-1.4393939999999999E-2</v>
      </c>
      <c r="W2511">
        <v>8.1716709999999998E-2</v>
      </c>
      <c r="X2511">
        <v>0.99655159999999998</v>
      </c>
      <c r="Y2511">
        <v>-5.0831090000000002E-2</v>
      </c>
      <c r="Z2511">
        <v>2.1767370000000002E-3</v>
      </c>
      <c r="AA2511">
        <v>0.99870490000000001</v>
      </c>
      <c r="AB2511">
        <v>66</v>
      </c>
      <c r="AC2511">
        <v>20.5276</v>
      </c>
      <c r="AD2511">
        <v>-1.1091122362314001</v>
      </c>
      <c r="AE2511">
        <v>0.74680000000000701</v>
      </c>
      <c r="AF2511">
        <v>-1.0761859955162001</v>
      </c>
      <c r="AG2511">
        <v>-1.1091122362314001</v>
      </c>
      <c r="AH2511">
        <v>20.4531746470097</v>
      </c>
      <c r="AI2511">
        <v>93.099652966187506</v>
      </c>
      <c r="AJ2511">
        <v>93.011958144826593</v>
      </c>
      <c r="AK2511">
        <v>20.511476285011401</v>
      </c>
    </row>
    <row r="2512" spans="1:37" x14ac:dyDescent="0.2">
      <c r="A2512" t="str">
        <f>"20200111154115408"</f>
        <v>20200111154115408</v>
      </c>
      <c r="B2512" t="str">
        <f>"1578728475398832"</f>
        <v>1578728475398832</v>
      </c>
      <c r="C2512" t="s">
        <v>37</v>
      </c>
      <c r="D2512">
        <v>5.2220579999999996</v>
      </c>
      <c r="E2512">
        <v>0.4851259</v>
      </c>
      <c r="F2512" t="s">
        <v>44</v>
      </c>
      <c r="G2512">
        <v>-252.06809999999999</v>
      </c>
      <c r="H2512" s="1">
        <v>-5.4792549999999899E-7</v>
      </c>
      <c r="I2512">
        <v>217.17179999999999</v>
      </c>
      <c r="J2512">
        <v>-272.5247</v>
      </c>
      <c r="K2512">
        <v>1.1091169999999999</v>
      </c>
      <c r="L2512">
        <v>216.44210000000001</v>
      </c>
      <c r="M2512">
        <v>0.99974229999999997</v>
      </c>
      <c r="N2512">
        <v>0</v>
      </c>
      <c r="O2512">
        <v>-1.6403830000000001E-2</v>
      </c>
      <c r="P2512">
        <v>0.9978051</v>
      </c>
      <c r="Q2512">
        <v>6.6162180000000001E-2</v>
      </c>
      <c r="R2512">
        <v>-2.7893950000000001E-3</v>
      </c>
      <c r="S2512">
        <v>3.0172119999999998</v>
      </c>
      <c r="T2512">
        <v>-0.15848110000000001</v>
      </c>
      <c r="U2512">
        <v>0.10273740000000001</v>
      </c>
      <c r="V2512">
        <v>-1.349474E-2</v>
      </c>
      <c r="W2512">
        <v>8.1834089999999998E-2</v>
      </c>
      <c r="X2512">
        <v>0.99655459999999996</v>
      </c>
      <c r="Y2512">
        <v>-5.0330599999999899E-2</v>
      </c>
      <c r="Z2512">
        <v>2.1814489999999998E-3</v>
      </c>
      <c r="AA2512">
        <v>0.99873020000000001</v>
      </c>
      <c r="AB2512">
        <v>66</v>
      </c>
      <c r="AC2512">
        <v>20.456600000000002</v>
      </c>
      <c r="AD2512">
        <v>-1.1091175479255</v>
      </c>
      <c r="AE2512">
        <v>0.72969999999997903</v>
      </c>
      <c r="AF2512">
        <v>-1.06209154916806</v>
      </c>
      <c r="AG2512">
        <v>-1.1091175479255</v>
      </c>
      <c r="AH2512">
        <v>20.382036602176601</v>
      </c>
      <c r="AI2512">
        <v>93.110547467276504</v>
      </c>
      <c r="AJ2512">
        <v>92.982939056011901</v>
      </c>
      <c r="AK2512">
        <v>20.439804212525999</v>
      </c>
    </row>
    <row r="2513" spans="1:37" x14ac:dyDescent="0.2">
      <c r="A2513" t="str">
        <f>"20200111154115430"</f>
        <v>20200111154115430</v>
      </c>
      <c r="B2513" t="str">
        <f>"1578728475418349"</f>
        <v>1578728475418349</v>
      </c>
      <c r="C2513" t="s">
        <v>37</v>
      </c>
      <c r="D2513">
        <v>5.5369729999999997</v>
      </c>
      <c r="E2513">
        <v>0.48521940000000002</v>
      </c>
      <c r="F2513" t="s">
        <v>44</v>
      </c>
      <c r="G2513">
        <v>-251.42599999999999</v>
      </c>
      <c r="H2513" s="1">
        <v>-8.8853319999999999E-7</v>
      </c>
      <c r="I2513">
        <v>217.14660000000001</v>
      </c>
      <c r="J2513">
        <v>-271.8775</v>
      </c>
      <c r="K2513">
        <v>1.1091340000000001</v>
      </c>
      <c r="L2513">
        <v>216.4315</v>
      </c>
      <c r="M2513">
        <v>0.99973939999999994</v>
      </c>
      <c r="N2513">
        <v>0</v>
      </c>
      <c r="O2513">
        <v>-1.65766E-2</v>
      </c>
      <c r="P2513">
        <v>0.99779929999999994</v>
      </c>
      <c r="Q2513">
        <v>6.619506E-2</v>
      </c>
      <c r="R2513">
        <v>-3.8488319999999999E-3</v>
      </c>
      <c r="S2513">
        <v>3.017334</v>
      </c>
      <c r="T2513">
        <v>-0.158615899999999</v>
      </c>
      <c r="U2513">
        <v>0.1007538</v>
      </c>
      <c r="V2513">
        <v>-1.2611320000000001E-2</v>
      </c>
      <c r="W2513">
        <v>8.186214E-2</v>
      </c>
      <c r="X2513">
        <v>0.99656389999999995</v>
      </c>
      <c r="Y2513">
        <v>-4.9846260000000003E-2</v>
      </c>
      <c r="Z2513">
        <v>2.179594E-3</v>
      </c>
      <c r="AA2513">
        <v>0.99875449999999999</v>
      </c>
      <c r="AB2513">
        <v>66</v>
      </c>
      <c r="AC2513">
        <v>20.451499999999999</v>
      </c>
      <c r="AD2513">
        <v>-1.1091348885332</v>
      </c>
      <c r="AE2513">
        <v>0.71510000000000595</v>
      </c>
      <c r="AF2513">
        <v>-1.0509725188005199</v>
      </c>
      <c r="AG2513">
        <v>-1.1091348885332</v>
      </c>
      <c r="AH2513">
        <v>20.376975131886098</v>
      </c>
      <c r="AI2513">
        <v>93.111452663877103</v>
      </c>
      <c r="AJ2513">
        <v>92.952498098632603</v>
      </c>
      <c r="AK2513">
        <v>20.4341830999367</v>
      </c>
    </row>
    <row r="2514" spans="1:37" x14ac:dyDescent="0.2">
      <c r="A2514" t="str">
        <f>"20200111154115452"</f>
        <v>20200111154115452</v>
      </c>
      <c r="B2514" t="str">
        <f>"1578728475448606"</f>
        <v>1578728475448606</v>
      </c>
      <c r="C2514" t="s">
        <v>37</v>
      </c>
      <c r="D2514">
        <v>5.4815290000000001</v>
      </c>
      <c r="E2514">
        <v>0.53273239999999999</v>
      </c>
      <c r="F2514" t="s">
        <v>44</v>
      </c>
      <c r="G2514">
        <v>-250.67410000000001</v>
      </c>
      <c r="H2514" s="1">
        <v>-1.287287E-6</v>
      </c>
      <c r="I2514">
        <v>217.1157</v>
      </c>
      <c r="J2514">
        <v>-271.22329999999999</v>
      </c>
      <c r="K2514">
        <v>1.1091530000000001</v>
      </c>
      <c r="L2514">
        <v>216.42060000000001</v>
      </c>
      <c r="M2514">
        <v>0.99973709999999905</v>
      </c>
      <c r="N2514">
        <v>0</v>
      </c>
      <c r="O2514">
        <v>-1.6721349999999999E-2</v>
      </c>
      <c r="P2514">
        <v>0.99781160000000002</v>
      </c>
      <c r="Q2514">
        <v>6.5922969999999997E-2</v>
      </c>
      <c r="R2514">
        <v>-5.1284240000000004E-3</v>
      </c>
      <c r="S2514">
        <v>3.0174560000000001</v>
      </c>
      <c r="T2514">
        <v>-0.1578415</v>
      </c>
      <c r="U2514">
        <v>9.7366330000000001E-2</v>
      </c>
      <c r="V2514">
        <v>-1.1482030000000001E-2</v>
      </c>
      <c r="W2514">
        <v>8.1585060000000001E-2</v>
      </c>
      <c r="X2514">
        <v>0.99660029999999999</v>
      </c>
      <c r="Y2514">
        <v>-4.887151E-2</v>
      </c>
      <c r="Z2514">
        <v>2.1510129999999998E-3</v>
      </c>
      <c r="AA2514">
        <v>0.99880279999999999</v>
      </c>
      <c r="AB2514">
        <v>66</v>
      </c>
      <c r="AC2514">
        <v>20.5491999999999</v>
      </c>
      <c r="AD2514">
        <v>-1.1091542872869999</v>
      </c>
      <c r="AE2514">
        <v>0.69509999999999605</v>
      </c>
      <c r="AF2514">
        <v>-1.0356417039485299</v>
      </c>
      <c r="AG2514">
        <v>-1.1091542872869999</v>
      </c>
      <c r="AH2514">
        <v>20.475118629294801</v>
      </c>
      <c r="AI2514">
        <v>93.096778491235199</v>
      </c>
      <c r="AJ2514">
        <v>92.895581424162103</v>
      </c>
      <c r="AK2514">
        <v>20.531275163897099</v>
      </c>
    </row>
    <row r="2515" spans="1:37" x14ac:dyDescent="0.2">
      <c r="A2515" t="str">
        <f>"20200111154115475"</f>
        <v>20200111154115475</v>
      </c>
      <c r="B2515" t="str">
        <f>"1578728475469104"</f>
        <v>1578728475469104</v>
      </c>
      <c r="C2515" t="s">
        <v>37</v>
      </c>
      <c r="D2515">
        <v>5.3400829999999999</v>
      </c>
      <c r="E2515">
        <v>0.53671979999999997</v>
      </c>
      <c r="F2515" t="s">
        <v>44</v>
      </c>
      <c r="G2515">
        <v>-249.60169999999999</v>
      </c>
      <c r="H2515" s="1">
        <v>3.5832209999999998E-6</v>
      </c>
      <c r="I2515">
        <v>214.37629999999999</v>
      </c>
      <c r="J2515">
        <v>-270.53480000000002</v>
      </c>
      <c r="K2515">
        <v>1.1091799999999901</v>
      </c>
      <c r="L2515">
        <v>216.4091</v>
      </c>
      <c r="M2515">
        <v>0.99973519999999905</v>
      </c>
      <c r="N2515">
        <v>0</v>
      </c>
      <c r="O2515">
        <v>-1.6839630000000001E-2</v>
      </c>
      <c r="P2515">
        <v>0.99784910000000004</v>
      </c>
      <c r="Q2515">
        <v>6.5309110000000004E-2</v>
      </c>
      <c r="R2515">
        <v>-5.6792959999999899E-3</v>
      </c>
      <c r="S2515">
        <v>3.01532</v>
      </c>
      <c r="T2515">
        <v>-0.1546804</v>
      </c>
      <c r="U2515">
        <v>-0.28509519999999999</v>
      </c>
      <c r="V2515">
        <v>-1.1057269999999999E-2</v>
      </c>
      <c r="W2515">
        <v>8.0967700000000004E-2</v>
      </c>
      <c r="X2515">
        <v>0.99665539999999997</v>
      </c>
      <c r="Y2515">
        <v>7.7270119999999998E-2</v>
      </c>
      <c r="Z2515">
        <v>-1.1149459999999999E-3</v>
      </c>
      <c r="AA2515">
        <v>0.99700959999999905</v>
      </c>
      <c r="AB2515">
        <v>66</v>
      </c>
      <c r="AC2515">
        <v>20.9331</v>
      </c>
      <c r="AD2515">
        <v>-1.1091764167789999</v>
      </c>
      <c r="AE2515">
        <v>-2.0327999999999999</v>
      </c>
      <c r="AF2515">
        <v>1.67530303977634</v>
      </c>
      <c r="AG2515">
        <v>-1.1091764167789999</v>
      </c>
      <c r="AH2515">
        <v>20.906219029185198</v>
      </c>
      <c r="AI2515">
        <v>93.027285745858805</v>
      </c>
      <c r="AJ2515">
        <v>85.418438889850407</v>
      </c>
      <c r="AK2515">
        <v>21.0025452432529</v>
      </c>
    </row>
    <row r="2516" spans="1:37" x14ac:dyDescent="0.2">
      <c r="A2516" t="str">
        <f>"20200111154115497"</f>
        <v>20200111154115497</v>
      </c>
      <c r="B2516" t="str">
        <f>"1578728475488621"</f>
        <v>1578728475488621</v>
      </c>
      <c r="C2516" t="s">
        <v>37</v>
      </c>
      <c r="D2516">
        <v>5.3713759999999997</v>
      </c>
      <c r="E2516">
        <v>0.53802899999999998</v>
      </c>
      <c r="F2516" t="s">
        <v>44</v>
      </c>
      <c r="G2516">
        <v>-248.82509999999999</v>
      </c>
      <c r="H2516" s="1">
        <v>3.1813949999999998E-6</v>
      </c>
      <c r="I2516">
        <v>214.11590000000001</v>
      </c>
      <c r="J2516">
        <v>-269.89949999999999</v>
      </c>
      <c r="K2516">
        <v>1.109208</v>
      </c>
      <c r="L2516">
        <v>216.39850000000001</v>
      </c>
      <c r="M2516">
        <v>0.99973380000000001</v>
      </c>
      <c r="N2516">
        <v>0</v>
      </c>
      <c r="O2516">
        <v>-1.6920580000000001E-2</v>
      </c>
      <c r="P2516">
        <v>0.997897699999999</v>
      </c>
      <c r="Q2516">
        <v>6.4503649999999996E-2</v>
      </c>
      <c r="R2516">
        <v>-6.2921979999999997E-3</v>
      </c>
      <c r="S2516">
        <v>3.0146790000000001</v>
      </c>
      <c r="T2516">
        <v>-0.15402449999999901</v>
      </c>
      <c r="U2516">
        <v>-0.31845089999999998</v>
      </c>
      <c r="V2516">
        <v>-1.0533290000000001E-2</v>
      </c>
      <c r="W2516">
        <v>8.0159229999999998E-2</v>
      </c>
      <c r="X2516">
        <v>0.99672640000000001</v>
      </c>
      <c r="Y2516">
        <v>8.8113140000000006E-2</v>
      </c>
      <c r="Z2516">
        <v>-1.381796E-3</v>
      </c>
      <c r="AA2516">
        <v>0.99610949999999998</v>
      </c>
      <c r="AB2516">
        <v>66</v>
      </c>
      <c r="AC2516">
        <v>21.074400000000001</v>
      </c>
      <c r="AD2516">
        <v>-1.1092048186049901</v>
      </c>
      <c r="AE2516">
        <v>-2.2826</v>
      </c>
      <c r="AF2516">
        <v>1.92038001631248</v>
      </c>
      <c r="AG2516">
        <v>-1.1092048186049901</v>
      </c>
      <c r="AH2516">
        <v>21.052366555636901</v>
      </c>
      <c r="AI2516">
        <v>93.003557738437607</v>
      </c>
      <c r="AJ2516">
        <v>84.787949333591996</v>
      </c>
      <c r="AK2516">
        <v>21.1688528817593</v>
      </c>
    </row>
    <row r="2517" spans="1:37" x14ac:dyDescent="0.2">
      <c r="A2517" t="str">
        <f>"20200111154115519"</f>
        <v>20200111154115519</v>
      </c>
      <c r="B2517" t="str">
        <f>"1578728475509117"</f>
        <v>1578728475509117</v>
      </c>
      <c r="C2517" t="s">
        <v>37</v>
      </c>
      <c r="D2517">
        <v>5.3767110000000002</v>
      </c>
      <c r="E2517">
        <v>0.538161</v>
      </c>
      <c r="F2517" t="s">
        <v>44</v>
      </c>
      <c r="G2517">
        <v>-247.6985</v>
      </c>
      <c r="H2517" s="1">
        <v>2.5885539999999899E-6</v>
      </c>
      <c r="I2517">
        <v>213.9622</v>
      </c>
      <c r="J2517">
        <v>-269.25409999999999</v>
      </c>
      <c r="K2517">
        <v>1.10924</v>
      </c>
      <c r="L2517">
        <v>216.38749999999999</v>
      </c>
      <c r="M2517">
        <v>0.99973289999999904</v>
      </c>
      <c r="N2517">
        <v>0</v>
      </c>
      <c r="O2517">
        <v>-1.6981380000000001E-2</v>
      </c>
      <c r="P2517">
        <v>0.9979209</v>
      </c>
      <c r="Q2517">
        <v>6.4088950000000006E-2</v>
      </c>
      <c r="R2517">
        <v>-6.8355439999999998E-3</v>
      </c>
      <c r="S2517">
        <v>3.014008</v>
      </c>
      <c r="T2517">
        <v>-0.15058529999999901</v>
      </c>
      <c r="U2517">
        <v>-0.33074949999999997</v>
      </c>
      <c r="V2517">
        <v>-1.005788E-2</v>
      </c>
      <c r="W2517">
        <v>7.9740480000000002E-2</v>
      </c>
      <c r="X2517">
        <v>0.99676489999999995</v>
      </c>
      <c r="Y2517">
        <v>9.209225E-2</v>
      </c>
      <c r="Z2517">
        <v>-1.4470100000000001E-3</v>
      </c>
      <c r="AA2517">
        <v>0.99574940000000001</v>
      </c>
      <c r="AB2517">
        <v>66</v>
      </c>
      <c r="AC2517">
        <v>21.555599999999998</v>
      </c>
      <c r="AD2517">
        <v>-1.109237411446</v>
      </c>
      <c r="AE2517">
        <v>-2.4252999999999898</v>
      </c>
      <c r="AF2517">
        <v>2.0534915746361899</v>
      </c>
      <c r="AG2517">
        <v>-1.109237411446</v>
      </c>
      <c r="AH2517">
        <v>21.537361662859801</v>
      </c>
      <c r="AI2517">
        <v>92.9350088713053</v>
      </c>
      <c r="AJ2517">
        <v>84.5535667169015</v>
      </c>
      <c r="AK2517">
        <v>21.6634526952394</v>
      </c>
    </row>
    <row r="2518" spans="1:37" x14ac:dyDescent="0.2">
      <c r="A2518" t="str">
        <f>"20200111154115542"</f>
        <v>20200111154115542</v>
      </c>
      <c r="B2518" t="str">
        <f>"1578728475538904"</f>
        <v>1578728475538904</v>
      </c>
      <c r="C2518" t="s">
        <v>37</v>
      </c>
      <c r="D2518">
        <v>5.3647</v>
      </c>
      <c r="E2518">
        <v>0.53823880000000002</v>
      </c>
      <c r="F2518" t="s">
        <v>44</v>
      </c>
      <c r="G2518">
        <v>-246.81030000000001</v>
      </c>
      <c r="H2518" s="1">
        <v>2.118466E-6</v>
      </c>
      <c r="I2518">
        <v>213.904</v>
      </c>
      <c r="J2518">
        <v>-268.58479999999997</v>
      </c>
      <c r="K2518">
        <v>1.1092649999999999</v>
      </c>
      <c r="L2518">
        <v>216.37620000000001</v>
      </c>
      <c r="M2518">
        <v>0.99973210000000001</v>
      </c>
      <c r="N2518">
        <v>0</v>
      </c>
      <c r="O2518">
        <v>-1.7026929999999999E-2</v>
      </c>
      <c r="P2518">
        <v>0.99795159999999905</v>
      </c>
      <c r="Q2518">
        <v>6.352112E-2</v>
      </c>
      <c r="R2518">
        <v>-7.5932930000000001E-3</v>
      </c>
      <c r="S2518">
        <v>3.0135190000000001</v>
      </c>
      <c r="T2518">
        <v>-0.14893719999999999</v>
      </c>
      <c r="U2518">
        <v>-0.33346559999999997</v>
      </c>
      <c r="V2518">
        <v>-9.3534380000000004E-3</v>
      </c>
      <c r="W2518">
        <v>7.9168649999999993E-2</v>
      </c>
      <c r="X2518">
        <v>0.99681739999999996</v>
      </c>
      <c r="Y2518">
        <v>9.295204E-2</v>
      </c>
      <c r="Z2518">
        <v>-1.450282E-3</v>
      </c>
      <c r="AA2518">
        <v>0.99566949999999999</v>
      </c>
      <c r="AB2518">
        <v>66</v>
      </c>
      <c r="AC2518">
        <v>21.7744999999999</v>
      </c>
      <c r="AD2518">
        <v>-1.109262881534</v>
      </c>
      <c r="AE2518">
        <v>-2.47219999999998</v>
      </c>
      <c r="AF2518">
        <v>2.0956735586770701</v>
      </c>
      <c r="AG2518">
        <v>-1.109262881534</v>
      </c>
      <c r="AH2518">
        <v>21.757694569007999</v>
      </c>
      <c r="AI2518">
        <v>92.905136770172305</v>
      </c>
      <c r="AJ2518">
        <v>84.498314854934307</v>
      </c>
      <c r="AK2518">
        <v>21.886516048999798</v>
      </c>
    </row>
    <row r="2519" spans="1:37" x14ac:dyDescent="0.2">
      <c r="A2519" t="str">
        <f>"20200111154115565"</f>
        <v>20200111154115565</v>
      </c>
      <c r="B2519" t="str">
        <f>"1578728475558425"</f>
        <v>1578728475558425</v>
      </c>
      <c r="C2519" t="s">
        <v>37</v>
      </c>
      <c r="D2519">
        <v>5.4089369999999999</v>
      </c>
      <c r="E2519">
        <v>0.53826660000000004</v>
      </c>
      <c r="F2519" t="s">
        <v>44</v>
      </c>
      <c r="G2519">
        <v>-246.38939999999999</v>
      </c>
      <c r="H2519" s="1">
        <v>1.894689E-6</v>
      </c>
      <c r="I2519">
        <v>213.89879999999999</v>
      </c>
      <c r="J2519">
        <v>-267.92320000000001</v>
      </c>
      <c r="K2519">
        <v>1.109281</v>
      </c>
      <c r="L2519">
        <v>216.36500000000001</v>
      </c>
      <c r="M2519">
        <v>0.99973179999999995</v>
      </c>
      <c r="N2519">
        <v>0</v>
      </c>
      <c r="O2519">
        <v>-1.7059189999999998E-2</v>
      </c>
      <c r="P2519">
        <v>0.99799309999999997</v>
      </c>
      <c r="Q2519">
        <v>6.2842980000000007E-2</v>
      </c>
      <c r="R2519">
        <v>-7.8221599999999999E-3</v>
      </c>
      <c r="S2519">
        <v>3.0131839999999999</v>
      </c>
      <c r="T2519">
        <v>-0.1505901</v>
      </c>
      <c r="U2519">
        <v>-0.33631899999999998</v>
      </c>
      <c r="V2519">
        <v>-9.163806E-3</v>
      </c>
      <c r="W2519">
        <v>7.8486520000000004E-2</v>
      </c>
      <c r="X2519">
        <v>0.99687309999999996</v>
      </c>
      <c r="Y2519">
        <v>9.3860230000000003E-2</v>
      </c>
      <c r="Z2519">
        <v>-1.4874489999999901E-3</v>
      </c>
      <c r="AA2519">
        <v>0.99558419999999903</v>
      </c>
      <c r="AB2519">
        <v>66</v>
      </c>
      <c r="AC2519">
        <v>21.533799999999999</v>
      </c>
      <c r="AD2519">
        <v>-1.109279105311</v>
      </c>
      <c r="AE2519">
        <v>-2.4662000000000099</v>
      </c>
      <c r="AF2519">
        <v>2.0929647340380102</v>
      </c>
      <c r="AG2519">
        <v>-1.109279105311</v>
      </c>
      <c r="AH2519">
        <v>21.516384887548899</v>
      </c>
      <c r="AI2519">
        <v>92.937436106846405</v>
      </c>
      <c r="AJ2519">
        <v>84.444143106881199</v>
      </c>
      <c r="AK2519">
        <v>21.6463812250581</v>
      </c>
    </row>
    <row r="2520" spans="1:37" x14ac:dyDescent="0.2">
      <c r="A2520" t="str">
        <f>"20200111154115587"</f>
        <v>20200111154115587</v>
      </c>
      <c r="B2520" t="str">
        <f>"1578728475578923"</f>
        <v>1578728475578923</v>
      </c>
      <c r="C2520" t="s">
        <v>37</v>
      </c>
      <c r="D2520">
        <v>5.408099</v>
      </c>
      <c r="E2520">
        <v>0.53825029999999996</v>
      </c>
      <c r="F2520" t="s">
        <v>44</v>
      </c>
      <c r="G2520">
        <v>-246.0941</v>
      </c>
      <c r="H2520" s="1">
        <v>1.736415E-6</v>
      </c>
      <c r="I2520">
        <v>213.92449999999999</v>
      </c>
      <c r="J2520">
        <v>-267.25700000000001</v>
      </c>
      <c r="K2520">
        <v>1.1093</v>
      </c>
      <c r="L2520">
        <v>216.3536</v>
      </c>
      <c r="M2520">
        <v>0.99973109999999998</v>
      </c>
      <c r="N2520">
        <v>0</v>
      </c>
      <c r="O2520">
        <v>-1.7082690000000001E-2</v>
      </c>
      <c r="P2520">
        <v>0.99805200000000005</v>
      </c>
      <c r="Q2520">
        <v>6.182841E-2</v>
      </c>
      <c r="R2520">
        <v>-8.339684E-3</v>
      </c>
      <c r="S2520">
        <v>3.0130619999999899</v>
      </c>
      <c r="T2520">
        <v>-0.153113</v>
      </c>
      <c r="U2520">
        <v>-0.33685300000000001</v>
      </c>
      <c r="V2520">
        <v>-8.6763180000000006E-3</v>
      </c>
      <c r="W2520">
        <v>7.7469200000000002E-2</v>
      </c>
      <c r="X2520">
        <v>0.99695699999999998</v>
      </c>
      <c r="Y2520">
        <v>9.4012199999999893E-2</v>
      </c>
      <c r="Z2520">
        <v>-1.515041E-3</v>
      </c>
      <c r="AA2520">
        <v>0.99556990000000001</v>
      </c>
      <c r="AB2520">
        <v>66</v>
      </c>
      <c r="AC2520">
        <v>21.1629</v>
      </c>
      <c r="AD2520">
        <v>-1.1092982635849999</v>
      </c>
      <c r="AE2520">
        <v>-2.4291</v>
      </c>
      <c r="AF2520">
        <v>2.0615910619169</v>
      </c>
      <c r="AG2520">
        <v>-1.1092982635849999</v>
      </c>
      <c r="AH2520">
        <v>21.1439730235114</v>
      </c>
      <c r="AI2520">
        <v>92.989066060255794</v>
      </c>
      <c r="AJ2520">
        <v>84.431118797625203</v>
      </c>
      <c r="AK2520">
        <v>21.273182544300798</v>
      </c>
    </row>
    <row r="2521" spans="1:37" x14ac:dyDescent="0.2">
      <c r="A2521" t="str">
        <f>"20200111154115608"</f>
        <v>20200111154115608</v>
      </c>
      <c r="B2521" t="str">
        <f>"1578728475598441"</f>
        <v>1578728475598441</v>
      </c>
      <c r="C2521" t="s">
        <v>37</v>
      </c>
      <c r="D2521">
        <v>5.4259339999999998</v>
      </c>
      <c r="E2521">
        <v>0.53820040000000002</v>
      </c>
      <c r="F2521" t="s">
        <v>44</v>
      </c>
      <c r="G2521">
        <v>-245.7089</v>
      </c>
      <c r="H2521" s="1">
        <v>1.5310109999999999E-6</v>
      </c>
      <c r="I2521">
        <v>213.9341</v>
      </c>
      <c r="J2521">
        <v>-266.63279999999997</v>
      </c>
      <c r="K2521">
        <v>1.109324</v>
      </c>
      <c r="L2521">
        <v>216.34289999999999</v>
      </c>
      <c r="M2521">
        <v>0.99973109999999998</v>
      </c>
      <c r="N2521">
        <v>0</v>
      </c>
      <c r="O2521">
        <v>-1.710033E-2</v>
      </c>
      <c r="P2521">
        <v>0.99805440000000001</v>
      </c>
      <c r="Q2521">
        <v>6.1712900000000001E-2</v>
      </c>
      <c r="R2521">
        <v>-8.9056840000000005E-3</v>
      </c>
      <c r="S2521">
        <v>3.0126650000000001</v>
      </c>
      <c r="T2521">
        <v>-0.1550918</v>
      </c>
      <c r="U2521">
        <v>-0.33827209999999902</v>
      </c>
      <c r="V2521">
        <v>-8.1325500000000005E-3</v>
      </c>
      <c r="W2521">
        <v>7.7350349999999998E-2</v>
      </c>
      <c r="X2521">
        <v>0.99697080000000005</v>
      </c>
      <c r="Y2521">
        <v>9.44691E-2</v>
      </c>
      <c r="Z2521">
        <v>-1.5455689999999999E-3</v>
      </c>
      <c r="AA2521">
        <v>0.99552659999999904</v>
      </c>
      <c r="AB2521">
        <v>66</v>
      </c>
      <c r="AC2521">
        <v>20.9238999999999</v>
      </c>
      <c r="AD2521">
        <v>-1.109322468989</v>
      </c>
      <c r="AE2521">
        <v>-2.4087999999999798</v>
      </c>
      <c r="AF2521">
        <v>2.0449255053761002</v>
      </c>
      <c r="AG2521">
        <v>-1.109322468989</v>
      </c>
      <c r="AH2521">
        <v>20.9040474325483</v>
      </c>
      <c r="AI2521">
        <v>93.023281582928703</v>
      </c>
      <c r="AJ2521">
        <v>84.412852840099205</v>
      </c>
      <c r="AK2521">
        <v>21.033105232584401</v>
      </c>
    </row>
    <row r="2522" spans="1:37" x14ac:dyDescent="0.2">
      <c r="A2522" t="str">
        <f>"20200111154115630"</f>
        <v>20200111154115630</v>
      </c>
      <c r="B2522" t="str">
        <f>"1578728475618937"</f>
        <v>1578728475618937</v>
      </c>
      <c r="C2522" t="s">
        <v>37</v>
      </c>
      <c r="D2522">
        <v>5.4384480000000002</v>
      </c>
      <c r="E2522">
        <v>0.53832190000000002</v>
      </c>
      <c r="F2522" t="s">
        <v>44</v>
      </c>
      <c r="G2522">
        <v>-245.12299999999999</v>
      </c>
      <c r="H2522" s="1">
        <v>1.2199059999999999E-6</v>
      </c>
      <c r="I2522">
        <v>213.9187</v>
      </c>
      <c r="J2522">
        <v>-265.9821</v>
      </c>
      <c r="K2522">
        <v>1.109345</v>
      </c>
      <c r="L2522">
        <v>216.33179999999999</v>
      </c>
      <c r="M2522">
        <v>0.99973069999999897</v>
      </c>
      <c r="N2522">
        <v>0</v>
      </c>
      <c r="O2522">
        <v>-1.7115249999999999E-2</v>
      </c>
      <c r="P2522">
        <v>0.99804559999999998</v>
      </c>
      <c r="Q2522">
        <v>6.1669920000000003E-2</v>
      </c>
      <c r="R2522">
        <v>-1.009706E-2</v>
      </c>
      <c r="S2522">
        <v>3.0124209999999998</v>
      </c>
      <c r="T2522">
        <v>-0.1553591</v>
      </c>
      <c r="U2522">
        <v>-0.33950809999999998</v>
      </c>
      <c r="V2522">
        <v>-6.9602509999999998E-3</v>
      </c>
      <c r="W2522">
        <v>7.7303280000000002E-2</v>
      </c>
      <c r="X2522">
        <v>0.99698330000000002</v>
      </c>
      <c r="Y2522">
        <v>9.4865660000000004E-2</v>
      </c>
      <c r="Z2522">
        <v>-1.5577399999999999E-3</v>
      </c>
      <c r="AA2522">
        <v>0.99548890000000001</v>
      </c>
      <c r="AB2522">
        <v>66</v>
      </c>
      <c r="AC2522">
        <v>20.859100000000002</v>
      </c>
      <c r="AD2522">
        <v>-1.109343780094</v>
      </c>
      <c r="AE2522">
        <v>-2.41309999999998</v>
      </c>
      <c r="AF2522">
        <v>2.0499723177579399</v>
      </c>
      <c r="AG2522">
        <v>-1.109343780094</v>
      </c>
      <c r="AH2522">
        <v>20.8391865680655</v>
      </c>
      <c r="AI2522">
        <v>93.032571224271507</v>
      </c>
      <c r="AJ2522">
        <v>84.381830512136901</v>
      </c>
      <c r="AK2522">
        <v>20.9691374869032</v>
      </c>
    </row>
    <row r="2523" spans="1:37" x14ac:dyDescent="0.2">
      <c r="A2523" t="str">
        <f>"20200111154115654"</f>
        <v>20200111154115654</v>
      </c>
      <c r="B2523" t="str">
        <f>"1578728475649193"</f>
        <v>1578728475649193</v>
      </c>
      <c r="C2523" t="s">
        <v>37</v>
      </c>
      <c r="D2523">
        <v>5.4115229999999999</v>
      </c>
      <c r="E2523">
        <v>0.53845949999999998</v>
      </c>
      <c r="F2523" t="s">
        <v>44</v>
      </c>
      <c r="G2523">
        <v>-244.3229</v>
      </c>
      <c r="H2523" s="1">
        <v>7.9671629999999998E-7</v>
      </c>
      <c r="I2523">
        <v>213.85910000000001</v>
      </c>
      <c r="J2523">
        <v>-265.31189999999998</v>
      </c>
      <c r="K2523">
        <v>1.1093679999999999</v>
      </c>
      <c r="L2523">
        <v>216.3203</v>
      </c>
      <c r="M2523">
        <v>0.99973080000000003</v>
      </c>
      <c r="N2523">
        <v>0</v>
      </c>
      <c r="O2523">
        <v>-1.7128890000000001E-2</v>
      </c>
      <c r="P2523">
        <v>0.99798489999999995</v>
      </c>
      <c r="Q2523">
        <v>6.2357879999999997E-2</v>
      </c>
      <c r="R2523">
        <v>-1.1748629999999999E-2</v>
      </c>
      <c r="S2523">
        <v>3.0119020000000001</v>
      </c>
      <c r="T2523">
        <v>-0.15426409999999999</v>
      </c>
      <c r="U2523">
        <v>-0.34384159999999903</v>
      </c>
      <c r="V2523">
        <v>-5.3255380000000003E-3</v>
      </c>
      <c r="W2523">
        <v>7.7985959999999993E-2</v>
      </c>
      <c r="X2523">
        <v>0.9969403</v>
      </c>
      <c r="Y2523">
        <v>9.6284789999999995E-2</v>
      </c>
      <c r="Z2523">
        <v>-1.582424E-3</v>
      </c>
      <c r="AA2523">
        <v>0.99535260000000003</v>
      </c>
      <c r="AB2523">
        <v>66</v>
      </c>
      <c r="AC2523">
        <v>20.988999999999901</v>
      </c>
      <c r="AD2523">
        <v>-1.1093672032837001</v>
      </c>
      <c r="AE2523">
        <v>-2.4611999999999901</v>
      </c>
      <c r="AF2523">
        <v>2.0955018889549502</v>
      </c>
      <c r="AG2523">
        <v>-1.1093672032837001</v>
      </c>
      <c r="AH2523">
        <v>20.970294328346</v>
      </c>
      <c r="AI2523">
        <v>93.013250378932895</v>
      </c>
      <c r="AJ2523">
        <v>84.293539178821206</v>
      </c>
      <c r="AK2523">
        <v>21.1039112009076</v>
      </c>
    </row>
    <row r="2524" spans="1:37" x14ac:dyDescent="0.2">
      <c r="A2524" t="str">
        <f>"20200111154115676"</f>
        <v>20200111154115676</v>
      </c>
      <c r="B2524" t="str">
        <f>"1578728475668712"</f>
        <v>1578728475668712</v>
      </c>
      <c r="C2524" t="s">
        <v>37</v>
      </c>
      <c r="D2524">
        <v>5.4194190000000004</v>
      </c>
      <c r="E2524">
        <v>0.5384004</v>
      </c>
      <c r="F2524" t="s">
        <v>44</v>
      </c>
      <c r="G2524">
        <v>-243.05449999999999</v>
      </c>
      <c r="H2524" s="1">
        <v>1.271331E-7</v>
      </c>
      <c r="I2524">
        <v>213.73609999999999</v>
      </c>
      <c r="J2524">
        <v>-264.62459999999999</v>
      </c>
      <c r="K2524">
        <v>1.1093959999999901</v>
      </c>
      <c r="L2524">
        <v>216.30850000000001</v>
      </c>
      <c r="M2524">
        <v>0.99973040000000002</v>
      </c>
      <c r="N2524">
        <v>0</v>
      </c>
      <c r="O2524">
        <v>-1.7141380000000001E-2</v>
      </c>
      <c r="P2524">
        <v>0.99794969999999905</v>
      </c>
      <c r="Q2524">
        <v>6.2542669999999995E-2</v>
      </c>
      <c r="R2524">
        <v>-1.359493E-2</v>
      </c>
      <c r="S2524">
        <v>3.0112919999999899</v>
      </c>
      <c r="T2524">
        <v>-0.15009069999999999</v>
      </c>
      <c r="U2524">
        <v>-0.34962459999999901</v>
      </c>
      <c r="V2524">
        <v>-3.4947989999999998E-3</v>
      </c>
      <c r="W2524">
        <v>7.8166600000000003E-2</v>
      </c>
      <c r="X2524">
        <v>0.99693419999999899</v>
      </c>
      <c r="Y2524">
        <v>9.8184560000000004E-2</v>
      </c>
      <c r="Z2524">
        <v>-1.5863489999999999E-3</v>
      </c>
      <c r="AA2524">
        <v>0.99516700000000002</v>
      </c>
      <c r="AB2524">
        <v>66</v>
      </c>
      <c r="AC2524">
        <v>21.5701</v>
      </c>
      <c r="AD2524">
        <v>-1.10939587286689</v>
      </c>
      <c r="AE2524">
        <v>-2.5724000000000098</v>
      </c>
      <c r="AF2524">
        <v>2.1965064633009401</v>
      </c>
      <c r="AG2524">
        <v>-1.10939587286689</v>
      </c>
      <c r="AH2524">
        <v>21.554811375226102</v>
      </c>
      <c r="AI2524">
        <v>92.931180400076698</v>
      </c>
      <c r="AJ2524">
        <v>84.1814558492201</v>
      </c>
      <c r="AK2524">
        <v>21.6948218076949</v>
      </c>
    </row>
    <row r="2525" spans="1:37" x14ac:dyDescent="0.2">
      <c r="A2525" t="str">
        <f>"20200111154115694"</f>
        <v>20200111154115694</v>
      </c>
      <c r="B2525" t="str">
        <f>"1578728475689209"</f>
        <v>1578728475689209</v>
      </c>
      <c r="C2525" t="s">
        <v>37</v>
      </c>
      <c r="D2525">
        <v>5.3973849999999999</v>
      </c>
      <c r="E2525">
        <v>0.53850710000000002</v>
      </c>
      <c r="F2525" t="s">
        <v>44</v>
      </c>
      <c r="G2525">
        <v>-242.18459999999999</v>
      </c>
      <c r="H2525" s="1">
        <v>-3.3274499999999998E-7</v>
      </c>
      <c r="I2525">
        <v>213.66640000000001</v>
      </c>
      <c r="J2525">
        <v>-264.135999999999</v>
      </c>
      <c r="K2525">
        <v>1.109407</v>
      </c>
      <c r="L2525">
        <v>216.30009999999999</v>
      </c>
      <c r="M2525">
        <v>0.99973029999999996</v>
      </c>
      <c r="N2525">
        <v>0</v>
      </c>
      <c r="O2525">
        <v>-1.714972E-2</v>
      </c>
      <c r="P2525">
        <v>0.99792919999999996</v>
      </c>
      <c r="Q2525">
        <v>6.2662170000000003E-2</v>
      </c>
      <c r="R2525">
        <v>-1.4528050000000001E-2</v>
      </c>
      <c r="S2525">
        <v>3.0106199999999999</v>
      </c>
      <c r="T2525">
        <v>-0.14883969999999999</v>
      </c>
      <c r="U2525">
        <v>-0.35447689999999998</v>
      </c>
      <c r="V2525">
        <v>-2.5715949999999999E-3</v>
      </c>
      <c r="W2525">
        <v>7.8283549999999993E-2</v>
      </c>
      <c r="X2525">
        <v>0.99692780000000003</v>
      </c>
      <c r="Y2525">
        <v>9.9783549999999999E-2</v>
      </c>
      <c r="Z2525">
        <v>-1.6123019999999999E-3</v>
      </c>
      <c r="AA2525">
        <v>0.99500789999999995</v>
      </c>
      <c r="AB2525">
        <v>66</v>
      </c>
      <c r="AC2525">
        <v>21.9513999999999</v>
      </c>
      <c r="AD2525">
        <v>-1.109407332745</v>
      </c>
      <c r="AE2525">
        <v>-2.63369999999997</v>
      </c>
      <c r="AF2525">
        <v>2.2511377475825798</v>
      </c>
      <c r="AG2525">
        <v>-1.109407332745</v>
      </c>
      <c r="AH2525">
        <v>21.9381041421669</v>
      </c>
      <c r="AI2525">
        <v>92.879878274536495</v>
      </c>
      <c r="AJ2525">
        <v>84.141206048894603</v>
      </c>
      <c r="AK2525">
        <v>22.081186995745899</v>
      </c>
    </row>
    <row r="2526" spans="1:37" x14ac:dyDescent="0.2">
      <c r="A2526" t="str">
        <f>"20200111154115706"</f>
        <v>20200111154115706</v>
      </c>
      <c r="B2526" t="str">
        <f>"1578728475698968"</f>
        <v>1578728475698968</v>
      </c>
      <c r="C2526" t="s">
        <v>37</v>
      </c>
      <c r="D2526">
        <v>5.4247519999999998</v>
      </c>
      <c r="E2526">
        <v>0.53855379999999997</v>
      </c>
      <c r="F2526" t="s">
        <v>44</v>
      </c>
      <c r="G2526">
        <v>-241.4855</v>
      </c>
      <c r="H2526" s="1">
        <v>-7.0206989999999999E-7</v>
      </c>
      <c r="I2526">
        <v>213.6052</v>
      </c>
      <c r="J2526">
        <v>-263.73849999999999</v>
      </c>
      <c r="K2526">
        <v>1.109418</v>
      </c>
      <c r="L2526">
        <v>216.29329999999999</v>
      </c>
      <c r="M2526">
        <v>0.99973020000000001</v>
      </c>
      <c r="N2526">
        <v>0</v>
      </c>
      <c r="O2526">
        <v>-1.7155739999999999E-2</v>
      </c>
      <c r="P2526">
        <v>0.99793050000000005</v>
      </c>
      <c r="Q2526">
        <v>6.244508E-2</v>
      </c>
      <c r="R2526">
        <v>-1.533692E-2</v>
      </c>
      <c r="S2526">
        <v>3.010284</v>
      </c>
      <c r="T2526">
        <v>-0.14744170000000001</v>
      </c>
      <c r="U2526">
        <v>-0.35815429999999998</v>
      </c>
      <c r="V2526">
        <v>-1.7710979999999901E-3</v>
      </c>
      <c r="W2526">
        <v>7.8063919999999995E-2</v>
      </c>
      <c r="X2526">
        <v>0.99694680000000002</v>
      </c>
      <c r="Y2526">
        <v>0.1009895</v>
      </c>
      <c r="Z2526">
        <v>-1.626361E-3</v>
      </c>
      <c r="AA2526">
        <v>0.99488619999999905</v>
      </c>
      <c r="AB2526">
        <v>66</v>
      </c>
      <c r="AC2526">
        <v>22.252999999999901</v>
      </c>
      <c r="AD2526">
        <v>-1.10941870206989</v>
      </c>
      <c r="AE2526">
        <v>-2.6880999999999902</v>
      </c>
      <c r="AF2526">
        <v>2.3002557370593499</v>
      </c>
      <c r="AG2526">
        <v>-1.10941870206989</v>
      </c>
      <c r="AH2526">
        <v>22.2413603569636</v>
      </c>
      <c r="AI2526">
        <v>92.840471614585397</v>
      </c>
      <c r="AJ2526">
        <v>84.095323553262006</v>
      </c>
      <c r="AK2526">
        <v>22.387498673158898</v>
      </c>
    </row>
    <row r="2527" spans="1:37" x14ac:dyDescent="0.2">
      <c r="A2527" t="str">
        <f>"20200111154115719"</f>
        <v>20200111154115719</v>
      </c>
      <c r="B2527" t="str">
        <f>"1578728475708729"</f>
        <v>1578728475708729</v>
      </c>
      <c r="C2527" t="s">
        <v>37</v>
      </c>
      <c r="D2527">
        <v>5.4689290000000002</v>
      </c>
      <c r="E2527">
        <v>0.538601</v>
      </c>
      <c r="F2527" t="s">
        <v>44</v>
      </c>
      <c r="G2527">
        <v>-241.11799999999999</v>
      </c>
      <c r="H2527" s="1">
        <v>-8.9661080000000002E-7</v>
      </c>
      <c r="I2527">
        <v>213.58160000000001</v>
      </c>
      <c r="J2527">
        <v>-263.36270000000002</v>
      </c>
      <c r="K2527">
        <v>1.109429</v>
      </c>
      <c r="L2527">
        <v>216.2868</v>
      </c>
      <c r="M2527">
        <v>0.99973020000000001</v>
      </c>
      <c r="N2527">
        <v>0</v>
      </c>
      <c r="O2527">
        <v>-1.716119E-2</v>
      </c>
      <c r="P2527">
        <v>0.99794229999999995</v>
      </c>
      <c r="Q2527">
        <v>6.1830259999999998E-2</v>
      </c>
      <c r="R2527">
        <v>-1.6981360000000001E-2</v>
      </c>
      <c r="S2527">
        <v>3.0099179999999999</v>
      </c>
      <c r="T2527">
        <v>-0.147621</v>
      </c>
      <c r="U2527">
        <v>-0.360824599999999</v>
      </c>
      <c r="V2527">
        <v>-1.3388979999999999E-4</v>
      </c>
      <c r="W2527">
        <v>7.7447340000000003E-2</v>
      </c>
      <c r="X2527">
        <v>0.99699649999999995</v>
      </c>
      <c r="Y2527">
        <v>0.1018672</v>
      </c>
      <c r="Z2527">
        <v>-1.6496169999999999E-3</v>
      </c>
      <c r="AA2527">
        <v>0.99479660000000003</v>
      </c>
      <c r="AB2527">
        <v>65</v>
      </c>
      <c r="AC2527">
        <v>22.244700000000002</v>
      </c>
      <c r="AD2527">
        <v>-1.1094298966108</v>
      </c>
      <c r="AE2527">
        <v>-2.7051999999999898</v>
      </c>
      <c r="AF2527">
        <v>2.3173290912671201</v>
      </c>
      <c r="AG2527">
        <v>-1.1094298966108</v>
      </c>
      <c r="AH2527">
        <v>22.233356090157599</v>
      </c>
      <c r="AI2527">
        <v>92.841286558863104</v>
      </c>
      <c r="AJ2527">
        <v>84.049683867856302</v>
      </c>
      <c r="AK2527">
        <v>22.381308537359399</v>
      </c>
    </row>
    <row r="2528" spans="1:37" x14ac:dyDescent="0.2">
      <c r="A2528" t="str">
        <f>"20200111154115743"</f>
        <v>20200111154115743</v>
      </c>
      <c r="B2528" t="str">
        <f>"1578728475738986"</f>
        <v>1578728475738986</v>
      </c>
      <c r="C2528" t="s">
        <v>37</v>
      </c>
      <c r="D2528">
        <v>5.4446890000000003</v>
      </c>
      <c r="E2528">
        <v>0.5385858</v>
      </c>
      <c r="F2528" t="s">
        <v>44</v>
      </c>
      <c r="G2528">
        <v>-241.03129999999999</v>
      </c>
      <c r="H2528" s="1">
        <v>-9.4223169999999996E-7</v>
      </c>
      <c r="I2528">
        <v>213.5694</v>
      </c>
      <c r="J2528">
        <v>-262.6893</v>
      </c>
      <c r="K2528">
        <v>1.1094349999999999</v>
      </c>
      <c r="L2528">
        <v>216.27520000000001</v>
      </c>
      <c r="M2528">
        <v>0.99973020000000001</v>
      </c>
      <c r="N2528">
        <v>0</v>
      </c>
      <c r="O2528">
        <v>-1.7170479999999998E-2</v>
      </c>
      <c r="P2528">
        <v>0.99792649999999905</v>
      </c>
      <c r="Q2528">
        <v>6.1559849999999999E-2</v>
      </c>
      <c r="R2528">
        <v>-1.8797879999999999E-2</v>
      </c>
      <c r="S2528">
        <v>3.0092159999999999</v>
      </c>
      <c r="T2528">
        <v>-0.14949860000000001</v>
      </c>
      <c r="U2528">
        <v>-0.36618040000000002</v>
      </c>
      <c r="V2528">
        <v>1.6715409999999999E-3</v>
      </c>
      <c r="W2528">
        <v>7.7173489999999997E-2</v>
      </c>
      <c r="X2528">
        <v>0.99701629999999997</v>
      </c>
      <c r="Y2528">
        <v>0.1036256</v>
      </c>
      <c r="Z2528">
        <v>-1.7138170000000001E-3</v>
      </c>
      <c r="AA2528">
        <v>0.99461489999999997</v>
      </c>
      <c r="AB2528">
        <v>65</v>
      </c>
      <c r="AC2528">
        <v>21.658000000000001</v>
      </c>
      <c r="AD2528">
        <v>-1.1094359422316999</v>
      </c>
      <c r="AE2528">
        <v>-2.7058</v>
      </c>
      <c r="AF2528">
        <v>2.32746377928158</v>
      </c>
      <c r="AG2528">
        <v>-1.1094359422316999</v>
      </c>
      <c r="AH2528">
        <v>21.645346877119</v>
      </c>
      <c r="AI2528">
        <v>92.917349747808601</v>
      </c>
      <c r="AJ2528">
        <v>83.862725404085396</v>
      </c>
      <c r="AK2528">
        <v>21.798370975478601</v>
      </c>
    </row>
    <row r="2529" spans="1:37" x14ac:dyDescent="0.2">
      <c r="A2529" t="str">
        <f>"20200111154115766"</f>
        <v>20200111154115766</v>
      </c>
      <c r="B2529" t="str">
        <f>"1578728475758504"</f>
        <v>1578728475758504</v>
      </c>
      <c r="C2529" t="s">
        <v>37</v>
      </c>
      <c r="D2529">
        <v>5.4398949999999999</v>
      </c>
      <c r="E2529">
        <v>0.53862730000000003</v>
      </c>
      <c r="F2529" t="s">
        <v>44</v>
      </c>
      <c r="G2529">
        <v>-240.58009999999999</v>
      </c>
      <c r="H2529" s="1">
        <v>-1.1813959999999999E-6</v>
      </c>
      <c r="I2529">
        <v>213.54769999999999</v>
      </c>
      <c r="J2529">
        <v>-262.02460000000002</v>
      </c>
      <c r="K2529">
        <v>1.10945</v>
      </c>
      <c r="L2529">
        <v>216.2638</v>
      </c>
      <c r="M2529">
        <v>0.99973009999999995</v>
      </c>
      <c r="N2529">
        <v>0</v>
      </c>
      <c r="O2529">
        <v>-1.7177439999999999E-2</v>
      </c>
      <c r="P2529">
        <v>0.99792359999999902</v>
      </c>
      <c r="Q2529">
        <v>6.0837339999999997E-2</v>
      </c>
      <c r="R2529">
        <v>-2.115357E-2</v>
      </c>
      <c r="S2529">
        <v>3.0085449999999998</v>
      </c>
      <c r="T2529">
        <v>-0.15096809999999999</v>
      </c>
      <c r="U2529">
        <v>-0.37115479999999901</v>
      </c>
      <c r="V2529">
        <v>4.0181829999999998E-3</v>
      </c>
      <c r="W2529">
        <v>7.6448000000000002E-2</v>
      </c>
      <c r="X2529">
        <v>0.99706550000000005</v>
      </c>
      <c r="Y2529">
        <v>0.1052612</v>
      </c>
      <c r="Z2529">
        <v>-1.771365E-3</v>
      </c>
      <c r="AA2529">
        <v>0.99444310000000002</v>
      </c>
      <c r="AB2529">
        <v>65</v>
      </c>
      <c r="AC2529">
        <v>21.444500000000001</v>
      </c>
      <c r="AD2529">
        <v>-1.109451181396</v>
      </c>
      <c r="AE2529">
        <v>-2.7161000000000102</v>
      </c>
      <c r="AF2529">
        <v>2.3411251431937101</v>
      </c>
      <c r="AG2529">
        <v>-1.109451181396</v>
      </c>
      <c r="AH2529">
        <v>21.4315384965197</v>
      </c>
      <c r="AI2529">
        <v>92.945904810745205</v>
      </c>
      <c r="AJ2529">
        <v>83.765877525573501</v>
      </c>
      <c r="AK2529">
        <v>21.5875563968644</v>
      </c>
    </row>
    <row r="2530" spans="1:37" x14ac:dyDescent="0.2">
      <c r="A2530" t="str">
        <f>"20200111154115783"</f>
        <v>20200111154115783</v>
      </c>
      <c r="B2530" t="str">
        <f>"1578728475779001"</f>
        <v>1578728475779001</v>
      </c>
      <c r="C2530" t="s">
        <v>37</v>
      </c>
      <c r="D2530">
        <v>5.4610580000000004</v>
      </c>
      <c r="E2530">
        <v>0.53866389999999997</v>
      </c>
      <c r="F2530" t="s">
        <v>44</v>
      </c>
      <c r="G2530">
        <v>-240.20849999999999</v>
      </c>
      <c r="H2530" s="1">
        <v>-1.377672E-6</v>
      </c>
      <c r="I2530">
        <v>213.5147</v>
      </c>
      <c r="J2530">
        <v>-261.52190000000002</v>
      </c>
      <c r="K2530">
        <v>1.1094539999999999</v>
      </c>
      <c r="L2530">
        <v>216.2552</v>
      </c>
      <c r="M2530">
        <v>0.99972999999999901</v>
      </c>
      <c r="N2530">
        <v>0</v>
      </c>
      <c r="O2530">
        <v>-1.7182070000000001E-2</v>
      </c>
      <c r="P2530">
        <v>0.99791540000000001</v>
      </c>
      <c r="Q2530">
        <v>6.0674409999999998E-2</v>
      </c>
      <c r="R2530">
        <v>-2.199518E-2</v>
      </c>
      <c r="S2530">
        <v>3.0075069999999999</v>
      </c>
      <c r="T2530">
        <v>-0.1529461</v>
      </c>
      <c r="U2530">
        <v>-0.3789825</v>
      </c>
      <c r="V2530">
        <v>4.8540140000000002E-3</v>
      </c>
      <c r="W2530">
        <v>7.6283020000000007E-2</v>
      </c>
      <c r="X2530">
        <v>0.99707440000000003</v>
      </c>
      <c r="Y2530">
        <v>0.1078404</v>
      </c>
      <c r="Z2530">
        <v>-1.8599229999999899E-3</v>
      </c>
      <c r="AA2530">
        <v>0.99416649999999995</v>
      </c>
      <c r="AB2530">
        <v>65</v>
      </c>
      <c r="AC2530">
        <v>21.313400000000001</v>
      </c>
      <c r="AD2530">
        <v>-1.109455377672</v>
      </c>
      <c r="AE2530">
        <v>-2.7404999999999902</v>
      </c>
      <c r="AF2530">
        <v>2.3675313376636802</v>
      </c>
      <c r="AG2530">
        <v>-1.109455377672</v>
      </c>
      <c r="AH2530">
        <v>21.300567620997199</v>
      </c>
      <c r="AI2530">
        <v>92.963381675958502</v>
      </c>
      <c r="AJ2530">
        <v>83.657678352102707</v>
      </c>
      <c r="AK2530">
        <v>21.460435150447001</v>
      </c>
    </row>
    <row r="2531" spans="1:37" x14ac:dyDescent="0.2">
      <c r="A2531" t="str">
        <f>"20200111154115798"</f>
        <v>20200111154115798</v>
      </c>
      <c r="B2531" t="str">
        <f>"1578728475788762"</f>
        <v>1578728475788762</v>
      </c>
      <c r="C2531" t="s">
        <v>37</v>
      </c>
      <c r="D2531">
        <v>5.4362149999999998</v>
      </c>
      <c r="E2531">
        <v>0.53862279999999996</v>
      </c>
      <c r="F2531" t="s">
        <v>44</v>
      </c>
      <c r="G2531">
        <v>-239.83599999999899</v>
      </c>
      <c r="H2531" s="1">
        <v>3.746254E-6</v>
      </c>
      <c r="I2531">
        <v>213.5</v>
      </c>
      <c r="J2531">
        <v>-261.07060000000001</v>
      </c>
      <c r="K2531">
        <v>1.10945</v>
      </c>
      <c r="L2531">
        <v>216.2474</v>
      </c>
      <c r="M2531">
        <v>0.99972989999999995</v>
      </c>
      <c r="N2531">
        <v>0</v>
      </c>
      <c r="O2531">
        <v>-1.7185430000000002E-2</v>
      </c>
      <c r="P2531">
        <v>0.99793169999999898</v>
      </c>
      <c r="Q2531">
        <v>5.9547370000000002E-2</v>
      </c>
      <c r="R2531">
        <v>-2.421243E-2</v>
      </c>
      <c r="S2531">
        <v>3.0071409999999998</v>
      </c>
      <c r="T2531">
        <v>-0.1538457</v>
      </c>
      <c r="U2531">
        <v>-0.38204959999999999</v>
      </c>
      <c r="V2531">
        <v>7.0664759999999899E-3</v>
      </c>
      <c r="W2531">
        <v>7.5154260000000001E-2</v>
      </c>
      <c r="X2531">
        <v>0.99714689999999995</v>
      </c>
      <c r="Y2531">
        <v>0.10884729999999999</v>
      </c>
      <c r="Z2531">
        <v>-1.8964239999999901E-3</v>
      </c>
      <c r="AA2531">
        <v>0.99405659999999896</v>
      </c>
      <c r="AB2531">
        <v>65</v>
      </c>
      <c r="AC2531">
        <v>21.2346</v>
      </c>
      <c r="AD2531">
        <v>-1.1094462537459999</v>
      </c>
      <c r="AE2531">
        <v>-2.7473999999999901</v>
      </c>
      <c r="AF2531">
        <v>2.37564558847262</v>
      </c>
      <c r="AG2531">
        <v>-1.1094462537459999</v>
      </c>
      <c r="AH2531">
        <v>21.221707956521499</v>
      </c>
      <c r="AI2531">
        <v>92.974089251978199</v>
      </c>
      <c r="AJ2531">
        <v>83.6126662849761</v>
      </c>
      <c r="AK2531">
        <v>21.383064596634998</v>
      </c>
    </row>
    <row r="2532" spans="1:37" x14ac:dyDescent="0.2">
      <c r="A2532" t="str">
        <f>"20200111154115818"</f>
        <v>20200111154115818</v>
      </c>
      <c r="B2532" t="str">
        <f>"1578728475809258"</f>
        <v>1578728475809258</v>
      </c>
      <c r="C2532" t="s">
        <v>37</v>
      </c>
      <c r="D2532">
        <v>5.4324839999999996</v>
      </c>
      <c r="E2532">
        <v>0.53856899999999996</v>
      </c>
      <c r="F2532" t="s">
        <v>44</v>
      </c>
      <c r="G2532">
        <v>-239.89500000000001</v>
      </c>
      <c r="H2532" s="1">
        <v>3.777124E-6</v>
      </c>
      <c r="I2532">
        <v>213.5111</v>
      </c>
      <c r="J2532">
        <v>-260.51519999999999</v>
      </c>
      <c r="K2532">
        <v>1.1094520000000001</v>
      </c>
      <c r="L2532">
        <v>216.2379</v>
      </c>
      <c r="M2532">
        <v>0.99972999999999901</v>
      </c>
      <c r="N2532">
        <v>0</v>
      </c>
      <c r="O2532">
        <v>-1.7189010000000001E-2</v>
      </c>
      <c r="P2532">
        <v>0.99792639999999999</v>
      </c>
      <c r="Q2532">
        <v>5.9170729999999998E-2</v>
      </c>
      <c r="R2532">
        <v>-2.5335010000000002E-2</v>
      </c>
      <c r="S2532">
        <v>3.0061650000000002</v>
      </c>
      <c r="T2532">
        <v>-0.157501</v>
      </c>
      <c r="U2532">
        <v>-0.38845829999999998</v>
      </c>
      <c r="V2532">
        <v>8.1844680000000003E-3</v>
      </c>
      <c r="W2532">
        <v>7.4775289999999994E-2</v>
      </c>
      <c r="X2532">
        <v>0.99716680000000002</v>
      </c>
      <c r="Y2532">
        <v>0.1109603</v>
      </c>
      <c r="Z2532">
        <v>-1.9966879999999999E-3</v>
      </c>
      <c r="AA2532">
        <v>0.99382280000000001</v>
      </c>
      <c r="AB2532">
        <v>65</v>
      </c>
      <c r="AC2532">
        <v>20.620199999999901</v>
      </c>
      <c r="AD2532">
        <v>-1.1094482228760001</v>
      </c>
      <c r="AE2532">
        <v>-2.7267999999999901</v>
      </c>
      <c r="AF2532">
        <v>2.3651836701633999</v>
      </c>
      <c r="AG2532">
        <v>-1.1094482228760001</v>
      </c>
      <c r="AH2532">
        <v>20.605404824701601</v>
      </c>
      <c r="AI2532">
        <v>93.061910355768802</v>
      </c>
      <c r="AJ2532">
        <v>83.451982896017995</v>
      </c>
      <c r="AK2532">
        <v>20.770355729806099</v>
      </c>
    </row>
    <row r="2533" spans="1:37" x14ac:dyDescent="0.2">
      <c r="A2533" t="str">
        <f>"20200111154115832"</f>
        <v>20200111154115832</v>
      </c>
      <c r="B2533" t="str">
        <f>"1578728475828777"</f>
        <v>1578728475828777</v>
      </c>
      <c r="C2533" t="s">
        <v>37</v>
      </c>
      <c r="D2533">
        <v>5.4033089999999904</v>
      </c>
      <c r="E2533">
        <v>0.53848109999999905</v>
      </c>
      <c r="F2533" t="s">
        <v>44</v>
      </c>
      <c r="G2533">
        <v>-239.54140000000001</v>
      </c>
      <c r="H2533" s="1">
        <v>3.58916E-6</v>
      </c>
      <c r="I2533">
        <v>213.50739999999999</v>
      </c>
      <c r="J2533">
        <v>-260.0881</v>
      </c>
      <c r="K2533">
        <v>1.1094469999999901</v>
      </c>
      <c r="L2533">
        <v>216.23050000000001</v>
      </c>
      <c r="M2533">
        <v>0.99973009999999995</v>
      </c>
      <c r="N2533">
        <v>0</v>
      </c>
      <c r="O2533">
        <v>-1.719132E-2</v>
      </c>
      <c r="P2533">
        <v>0.99790499999999904</v>
      </c>
      <c r="Q2533">
        <v>5.85035E-2</v>
      </c>
      <c r="R2533">
        <v>-2.762527E-2</v>
      </c>
      <c r="S2533">
        <v>3.0057369999999999</v>
      </c>
      <c r="T2533">
        <v>-0.15899440000000001</v>
      </c>
      <c r="U2533">
        <v>-0.39129639999999999</v>
      </c>
      <c r="V2533">
        <v>1.047182E-2</v>
      </c>
      <c r="W2533">
        <v>7.4105760000000007E-2</v>
      </c>
      <c r="X2533">
        <v>0.99719539999999995</v>
      </c>
      <c r="Y2533">
        <v>0.1118951</v>
      </c>
      <c r="Z2533">
        <v>-2.0402409999999999E-3</v>
      </c>
      <c r="AA2533">
        <v>0.99371790000000004</v>
      </c>
      <c r="AB2533">
        <v>65</v>
      </c>
      <c r="AC2533">
        <v>20.546699999999898</v>
      </c>
      <c r="AD2533">
        <v>-1.10944341083999</v>
      </c>
      <c r="AE2533">
        <v>-2.7231000000000098</v>
      </c>
      <c r="AF2533">
        <v>2.3626598133827201</v>
      </c>
      <c r="AG2533">
        <v>-1.10944341083999</v>
      </c>
      <c r="AH2533">
        <v>20.531653701288</v>
      </c>
      <c r="AI2533">
        <v>93.072773932003301</v>
      </c>
      <c r="AJ2533">
        <v>83.435618274068403</v>
      </c>
      <c r="AK2533">
        <v>20.696903869546301</v>
      </c>
    </row>
    <row r="2534" spans="1:37" x14ac:dyDescent="0.2">
      <c r="A2534" t="str">
        <f>"20200111154115856"</f>
        <v>20200111154115856</v>
      </c>
      <c r="B2534" t="str">
        <f>"1578728475848296"</f>
        <v>1578728475848296</v>
      </c>
      <c r="C2534" t="s">
        <v>37</v>
      </c>
      <c r="D2534">
        <v>5.3934809999999898</v>
      </c>
      <c r="E2534">
        <v>0.53839879999999996</v>
      </c>
      <c r="F2534" t="s">
        <v>44</v>
      </c>
      <c r="G2534">
        <v>-239.4658</v>
      </c>
      <c r="H2534" s="1">
        <v>3.5490759999999998E-6</v>
      </c>
      <c r="I2534">
        <v>213.5035</v>
      </c>
      <c r="J2534">
        <v>-259.42149999999998</v>
      </c>
      <c r="K2534">
        <v>1.109442</v>
      </c>
      <c r="L2534">
        <v>216.21899999999999</v>
      </c>
      <c r="M2534">
        <v>0.99972999999999901</v>
      </c>
      <c r="N2534">
        <v>0</v>
      </c>
      <c r="O2534">
        <v>-1.7194299999999999E-2</v>
      </c>
      <c r="P2534">
        <v>0.99789869999999903</v>
      </c>
      <c r="Q2534">
        <v>5.7801949999999998E-2</v>
      </c>
      <c r="R2534">
        <v>-2.9281140000000001E-2</v>
      </c>
      <c r="S2534">
        <v>3.004791</v>
      </c>
      <c r="T2534">
        <v>-0.16165260000000001</v>
      </c>
      <c r="U2534">
        <v>-0.39733889999999999</v>
      </c>
      <c r="V2534">
        <v>1.21236E-2</v>
      </c>
      <c r="W2534">
        <v>7.3401010000000003E-2</v>
      </c>
      <c r="X2534">
        <v>0.99722880000000003</v>
      </c>
      <c r="Y2534">
        <v>0.1138892</v>
      </c>
      <c r="Z2534">
        <v>-2.1278920000000002E-3</v>
      </c>
      <c r="AA2534">
        <v>0.99349120000000002</v>
      </c>
      <c r="AB2534">
        <v>65</v>
      </c>
      <c r="AC2534">
        <v>19.955699999999901</v>
      </c>
      <c r="AD2534">
        <v>-1.1094384509240001</v>
      </c>
      <c r="AE2534">
        <v>-2.71550000000002</v>
      </c>
      <c r="AF2534">
        <v>2.36475611574624</v>
      </c>
      <c r="AG2534">
        <v>-1.1094384509240001</v>
      </c>
      <c r="AH2534">
        <v>19.938938894823199</v>
      </c>
      <c r="AI2534">
        <v>93.162636752957596</v>
      </c>
      <c r="AJ2534">
        <v>83.236320813634407</v>
      </c>
      <c r="AK2534">
        <v>20.109306537393199</v>
      </c>
    </row>
    <row r="2535" spans="1:37" x14ac:dyDescent="0.2">
      <c r="A2535" t="str">
        <f>"20200111154115878"</f>
        <v>20200111154115878</v>
      </c>
      <c r="B2535" t="str">
        <f>"1578728475868792"</f>
        <v>1578728475868792</v>
      </c>
      <c r="C2535" t="s">
        <v>37</v>
      </c>
      <c r="D2535">
        <v>5.4193379999999998</v>
      </c>
      <c r="E2535">
        <v>0.53833089999999995</v>
      </c>
      <c r="F2535" t="s">
        <v>44</v>
      </c>
      <c r="G2535">
        <v>-239.1105</v>
      </c>
      <c r="H2535" s="1">
        <v>3.360044E-6</v>
      </c>
      <c r="I2535">
        <v>213.5033</v>
      </c>
      <c r="J2535">
        <v>-258.7491</v>
      </c>
      <c r="K2535">
        <v>1.1094459999999999</v>
      </c>
      <c r="L2535">
        <v>216.20740000000001</v>
      </c>
      <c r="M2535">
        <v>0.99972989999999995</v>
      </c>
      <c r="N2535">
        <v>0</v>
      </c>
      <c r="O2535">
        <v>-1.7196940000000001E-2</v>
      </c>
      <c r="P2535">
        <v>0.99786369999999902</v>
      </c>
      <c r="Q2535">
        <v>5.7375799999999998E-2</v>
      </c>
      <c r="R2535">
        <v>-3.1241660000000001E-2</v>
      </c>
      <c r="S2535">
        <v>3.004089</v>
      </c>
      <c r="T2535">
        <v>-0.164091299999999</v>
      </c>
      <c r="U2535">
        <v>-0.40167239999999999</v>
      </c>
      <c r="V2535">
        <v>1.4081160000000001E-2</v>
      </c>
      <c r="W2535">
        <v>7.2971110000000006E-2</v>
      </c>
      <c r="X2535">
        <v>0.99723459999999997</v>
      </c>
      <c r="Y2535">
        <v>0.11531849999999901</v>
      </c>
      <c r="Z2535">
        <v>-2.198939E-3</v>
      </c>
      <c r="AA2535">
        <v>0.99332609999999999</v>
      </c>
      <c r="AB2535">
        <v>65</v>
      </c>
      <c r="AC2535">
        <v>19.6386</v>
      </c>
      <c r="AD2535">
        <v>-1.109442639956</v>
      </c>
      <c r="AE2535">
        <v>-2.7041000000000102</v>
      </c>
      <c r="AF2535">
        <v>2.3585477803112802</v>
      </c>
      <c r="AG2535">
        <v>-1.109442639956</v>
      </c>
      <c r="AH2535">
        <v>19.620749489780199</v>
      </c>
      <c r="AI2535">
        <v>93.213223998432397</v>
      </c>
      <c r="AJ2535">
        <v>83.145545527459007</v>
      </c>
      <c r="AK2535">
        <v>19.793115498679601</v>
      </c>
    </row>
    <row r="2536" spans="1:37" x14ac:dyDescent="0.2">
      <c r="A2536" t="str">
        <f>"20200111154115899"</f>
        <v>20200111154115899</v>
      </c>
      <c r="B2536" t="str">
        <f>"1578728475888310"</f>
        <v>1578728475888310</v>
      </c>
      <c r="C2536" t="s">
        <v>37</v>
      </c>
      <c r="D2536">
        <v>5.4221059999999897</v>
      </c>
      <c r="E2536">
        <v>0.53829159999999998</v>
      </c>
      <c r="F2536" t="s">
        <v>44</v>
      </c>
      <c r="G2536">
        <v>-238.65870000000001</v>
      </c>
      <c r="H2536" s="1">
        <v>3.1202409999999999E-6</v>
      </c>
      <c r="I2536">
        <v>213.48830000000001</v>
      </c>
      <c r="J2536">
        <v>-258.13940000000002</v>
      </c>
      <c r="K2536">
        <v>1.1094459999999999</v>
      </c>
      <c r="L2536">
        <v>216.1969</v>
      </c>
      <c r="M2536">
        <v>0.99973009999999995</v>
      </c>
      <c r="N2536">
        <v>0</v>
      </c>
      <c r="O2536">
        <v>-1.7198999999999999E-2</v>
      </c>
      <c r="P2536">
        <v>0.99779869999999904</v>
      </c>
      <c r="Q2536">
        <v>5.7580069999999997E-2</v>
      </c>
      <c r="R2536">
        <v>-3.2902840000000003E-2</v>
      </c>
      <c r="S2536">
        <v>3.0032349999999899</v>
      </c>
      <c r="T2536">
        <v>-0.1658462</v>
      </c>
      <c r="U2536">
        <v>-0.40647889999999998</v>
      </c>
      <c r="V2536">
        <v>1.5740500000000001E-2</v>
      </c>
      <c r="W2536">
        <v>7.3171319999999998E-2</v>
      </c>
      <c r="X2536">
        <v>0.99719519999999995</v>
      </c>
      <c r="Y2536">
        <v>0.1169095</v>
      </c>
      <c r="Z2536">
        <v>-2.2663969999999999E-3</v>
      </c>
      <c r="AA2536">
        <v>0.99313999999999902</v>
      </c>
      <c r="AB2536">
        <v>65</v>
      </c>
      <c r="AC2536">
        <v>19.480699999999999</v>
      </c>
      <c r="AD2536">
        <v>-1.1094428797589999</v>
      </c>
      <c r="AE2536">
        <v>-2.7085999999999899</v>
      </c>
      <c r="AF2536">
        <v>2.3655828112322701</v>
      </c>
      <c r="AG2536">
        <v>-1.1094428797589999</v>
      </c>
      <c r="AH2536">
        <v>19.462481269622501</v>
      </c>
      <c r="AI2536">
        <v>93.238783508081099</v>
      </c>
      <c r="AJ2536">
        <v>83.069932203294996</v>
      </c>
      <c r="AK2536">
        <v>19.637082846254302</v>
      </c>
    </row>
    <row r="2537" spans="1:37" x14ac:dyDescent="0.2">
      <c r="A2537" t="str">
        <f>"20200111154115921"</f>
        <v>20200111154115921</v>
      </c>
      <c r="B2537" t="str">
        <f>"1578728475908805"</f>
        <v>1578728475908805</v>
      </c>
      <c r="C2537" t="s">
        <v>37</v>
      </c>
      <c r="D2537">
        <v>5.3969860000000001</v>
      </c>
      <c r="E2537">
        <v>0.53821989999999997</v>
      </c>
      <c r="F2537" t="s">
        <v>44</v>
      </c>
      <c r="G2537">
        <v>-237.9451</v>
      </c>
      <c r="H2537" s="1">
        <v>2.7429469999999998E-6</v>
      </c>
      <c r="I2537">
        <v>213.43199999999999</v>
      </c>
      <c r="J2537">
        <v>-257.4975</v>
      </c>
      <c r="K2537">
        <v>1.10945</v>
      </c>
      <c r="L2537">
        <v>216.1859</v>
      </c>
      <c r="M2537">
        <v>0.99973009999999995</v>
      </c>
      <c r="N2537">
        <v>0</v>
      </c>
      <c r="O2537">
        <v>-1.7197219999999999E-2</v>
      </c>
      <c r="P2537">
        <v>0.99773639999999997</v>
      </c>
      <c r="Q2537">
        <v>5.7650189999999997E-2</v>
      </c>
      <c r="R2537">
        <v>-3.462614E-2</v>
      </c>
      <c r="S2537">
        <v>3.0025789999999999</v>
      </c>
      <c r="T2537">
        <v>-0.16495670000000001</v>
      </c>
      <c r="U2537">
        <v>-0.41110229999999998</v>
      </c>
      <c r="V2537">
        <v>1.746555E-2</v>
      </c>
      <c r="W2537">
        <v>7.3237899999999995E-2</v>
      </c>
      <c r="X2537">
        <v>0.99716159999999998</v>
      </c>
      <c r="Y2537">
        <v>0.1184407</v>
      </c>
      <c r="Z2537">
        <v>-2.2964489999999999E-3</v>
      </c>
      <c r="AA2537">
        <v>0.99295849999999997</v>
      </c>
      <c r="AB2537">
        <v>65</v>
      </c>
      <c r="AC2537">
        <v>19.552399999999999</v>
      </c>
      <c r="AD2537">
        <v>-1.1094472570530001</v>
      </c>
      <c r="AE2537">
        <v>-2.7538999999999798</v>
      </c>
      <c r="AF2537">
        <v>2.4095974647651599</v>
      </c>
      <c r="AG2537">
        <v>-1.1094472570530001</v>
      </c>
      <c r="AH2537">
        <v>19.535199346712101</v>
      </c>
      <c r="AI2537">
        <v>93.226066266310397</v>
      </c>
      <c r="AJ2537">
        <v>82.968286504046603</v>
      </c>
      <c r="AK2537">
        <v>19.714488242766102</v>
      </c>
    </row>
    <row r="2538" spans="1:37" x14ac:dyDescent="0.2">
      <c r="A2538" t="str">
        <f>"20200111154115944"</f>
        <v>20200111154115944</v>
      </c>
      <c r="B2538" t="str">
        <f>"1578728475939060"</f>
        <v>1578728475939060</v>
      </c>
      <c r="C2538" t="s">
        <v>37</v>
      </c>
      <c r="D2538">
        <v>5.3921779999999897</v>
      </c>
      <c r="E2538">
        <v>0.53804700000000005</v>
      </c>
      <c r="F2538" t="s">
        <v>44</v>
      </c>
      <c r="G2538">
        <v>-237.3005</v>
      </c>
      <c r="H2538" s="1">
        <v>2.4017259999999899E-6</v>
      </c>
      <c r="I2538">
        <v>213.3914</v>
      </c>
      <c r="J2538">
        <v>-256.82909999999998</v>
      </c>
      <c r="K2538">
        <v>1.1094649999999999</v>
      </c>
      <c r="L2538">
        <v>216.17439999999999</v>
      </c>
      <c r="M2538">
        <v>0.99973029999999996</v>
      </c>
      <c r="N2538">
        <v>0</v>
      </c>
      <c r="O2538">
        <v>-1.718836E-2</v>
      </c>
      <c r="P2538">
        <v>0.99766889999999997</v>
      </c>
      <c r="Q2538">
        <v>5.7608109999999997E-2</v>
      </c>
      <c r="R2538">
        <v>-3.6586069999999998E-2</v>
      </c>
      <c r="S2538">
        <v>3.0019230000000001</v>
      </c>
      <c r="T2538">
        <v>-0.16489989999999999</v>
      </c>
      <c r="U2538">
        <v>-0.41535949999999999</v>
      </c>
      <c r="V2538">
        <v>1.943406E-2</v>
      </c>
      <c r="W2538">
        <v>7.319225E-2</v>
      </c>
      <c r="X2538">
        <v>0.99712849999999997</v>
      </c>
      <c r="Y2538">
        <v>0.11985850000000001</v>
      </c>
      <c r="Z2538">
        <v>-2.3351499999999998E-3</v>
      </c>
      <c r="AA2538">
        <v>0.99278829999999996</v>
      </c>
      <c r="AB2538">
        <v>65</v>
      </c>
      <c r="AC2538">
        <v>19.528599999999901</v>
      </c>
      <c r="AD2538">
        <v>-1.1094625982739901</v>
      </c>
      <c r="AE2538">
        <v>-2.7829999999999799</v>
      </c>
      <c r="AF2538">
        <v>2.4391672033453702</v>
      </c>
      <c r="AG2538">
        <v>-1.1094625982739901</v>
      </c>
      <c r="AH2538">
        <v>19.511832005451499</v>
      </c>
      <c r="AI2538">
        <v>93.229310686561206</v>
      </c>
      <c r="AJ2538">
        <v>82.874439503830899</v>
      </c>
      <c r="AK2538">
        <v>19.694974793378201</v>
      </c>
    </row>
    <row r="2539" spans="1:37" x14ac:dyDescent="0.2">
      <c r="A2539" t="str">
        <f>"20200111154115967"</f>
        <v>20200111154115967</v>
      </c>
      <c r="B2539" t="str">
        <f>"1578728475958580"</f>
        <v>1578728475958580</v>
      </c>
      <c r="C2539" t="s">
        <v>37</v>
      </c>
      <c r="D2539">
        <v>5.357755</v>
      </c>
      <c r="E2539">
        <v>0.53789929999999997</v>
      </c>
      <c r="F2539" t="s">
        <v>44</v>
      </c>
      <c r="G2539">
        <v>-236.6677</v>
      </c>
      <c r="H2539" s="1">
        <v>2.0664560000000001E-6</v>
      </c>
      <c r="I2539">
        <v>213.35769999999999</v>
      </c>
      <c r="J2539">
        <v>-256.17070000000001</v>
      </c>
      <c r="K2539">
        <v>1.1094820000000001</v>
      </c>
      <c r="L2539">
        <v>216.16309999999999</v>
      </c>
      <c r="M2539">
        <v>0.99973060000000002</v>
      </c>
      <c r="N2539">
        <v>0</v>
      </c>
      <c r="O2539">
        <v>-1.717107E-2</v>
      </c>
      <c r="P2539">
        <v>0.9975868</v>
      </c>
      <c r="Q2539">
        <v>5.7850579999999999E-2</v>
      </c>
      <c r="R2539">
        <v>-3.8397229999999997E-2</v>
      </c>
      <c r="S2539">
        <v>3.001144</v>
      </c>
      <c r="T2539">
        <v>-0.1651503</v>
      </c>
      <c r="U2539">
        <v>-0.41928100000000001</v>
      </c>
      <c r="V2539">
        <v>2.1262199999999998E-2</v>
      </c>
      <c r="W2539">
        <v>7.3438100000000006E-2</v>
      </c>
      <c r="X2539">
        <v>0.99707309999999905</v>
      </c>
      <c r="Y2539">
        <v>0.1211806</v>
      </c>
      <c r="Z2539">
        <v>-2.3762039999999998E-3</v>
      </c>
      <c r="AA2539">
        <v>0.99262759999999906</v>
      </c>
      <c r="AB2539">
        <v>65</v>
      </c>
      <c r="AC2539">
        <v>19.503</v>
      </c>
      <c r="AD2539">
        <v>-1.109479933544</v>
      </c>
      <c r="AE2539">
        <v>-2.8053999999999899</v>
      </c>
      <c r="AF2539">
        <v>2.4622512488033901</v>
      </c>
      <c r="AG2539">
        <v>-1.109479933544</v>
      </c>
      <c r="AH2539">
        <v>19.486517511224399</v>
      </c>
      <c r="AI2539">
        <v>93.233009602638603</v>
      </c>
      <c r="AJ2539">
        <v>82.798461496266896</v>
      </c>
      <c r="AK2539">
        <v>19.672772851085998</v>
      </c>
    </row>
    <row r="2540" spans="1:37" x14ac:dyDescent="0.2">
      <c r="A2540" t="str">
        <f>"20200111154115984"</f>
        <v>20200111154115984</v>
      </c>
      <c r="B2540" t="str">
        <f>"1578728475979078"</f>
        <v>1578728475979078</v>
      </c>
      <c r="C2540" t="s">
        <v>37</v>
      </c>
      <c r="D2540">
        <v>5.3633009999999999</v>
      </c>
      <c r="E2540">
        <v>0.53788210000000003</v>
      </c>
      <c r="F2540" t="s">
        <v>44</v>
      </c>
      <c r="G2540">
        <v>-235.95230000000001</v>
      </c>
      <c r="H2540" s="1">
        <v>1.6879040000000001E-6</v>
      </c>
      <c r="I2540">
        <v>213.3082</v>
      </c>
      <c r="J2540">
        <v>-255.66319999999999</v>
      </c>
      <c r="K2540">
        <v>1.109502</v>
      </c>
      <c r="L2540">
        <v>216.15440000000001</v>
      </c>
      <c r="M2540">
        <v>0.99973040000000002</v>
      </c>
      <c r="N2540">
        <v>0</v>
      </c>
      <c r="O2540">
        <v>-1.7153689999999999E-2</v>
      </c>
      <c r="P2540">
        <v>0.99752739999999995</v>
      </c>
      <c r="Q2540">
        <v>5.8048639999999999E-2</v>
      </c>
      <c r="R2540">
        <v>-3.9620509999999998E-2</v>
      </c>
      <c r="S2540">
        <v>3.0005039999999998</v>
      </c>
      <c r="T2540">
        <v>-0.1646523</v>
      </c>
      <c r="U2540">
        <v>-0.42367549999999998</v>
      </c>
      <c r="V2540">
        <v>2.2502620000000001E-2</v>
      </c>
      <c r="W2540">
        <v>7.3669709999999999E-2</v>
      </c>
      <c r="X2540">
        <v>0.99702880000000005</v>
      </c>
      <c r="Y2540">
        <v>0.122651199999999</v>
      </c>
      <c r="Z2540">
        <v>-2.4103810000000001E-3</v>
      </c>
      <c r="AA2540">
        <v>0.99244690000000002</v>
      </c>
      <c r="AB2540">
        <v>65</v>
      </c>
      <c r="AC2540">
        <v>19.710899999999899</v>
      </c>
      <c r="AD2540">
        <v>-1.1095003120960001</v>
      </c>
      <c r="AE2540">
        <v>-2.8462000000000098</v>
      </c>
      <c r="AF2540">
        <v>2.4998662110417702</v>
      </c>
      <c r="AG2540">
        <v>-1.1095003120960001</v>
      </c>
      <c r="AH2540">
        <v>19.6956983862861</v>
      </c>
      <c r="AI2540">
        <v>93.198577382371695</v>
      </c>
      <c r="AJ2540">
        <v>82.766441472374595</v>
      </c>
      <c r="AK2540">
        <v>19.8846890078573</v>
      </c>
    </row>
    <row r="2541" spans="1:37" x14ac:dyDescent="0.2">
      <c r="A2541" t="str">
        <f>"20200111154115998"</f>
        <v>20200111154115998</v>
      </c>
      <c r="B2541" t="str">
        <f>"1578728475988837"</f>
        <v>1578728475988837</v>
      </c>
      <c r="C2541" t="s">
        <v>37</v>
      </c>
      <c r="D2541">
        <v>5.4300410000000001</v>
      </c>
      <c r="E2541">
        <v>0.53837480000000004</v>
      </c>
      <c r="F2541" t="s">
        <v>44</v>
      </c>
      <c r="G2541">
        <v>-235.3751</v>
      </c>
      <c r="H2541" s="1">
        <v>1.382596E-6</v>
      </c>
      <c r="I2541">
        <v>213.2664</v>
      </c>
      <c r="J2541">
        <v>-255.2242</v>
      </c>
      <c r="K2541">
        <v>1.109521</v>
      </c>
      <c r="L2541">
        <v>216.14680000000001</v>
      </c>
      <c r="M2541">
        <v>0.9997298</v>
      </c>
      <c r="N2541">
        <v>0</v>
      </c>
      <c r="O2541">
        <v>-1.713553E-2</v>
      </c>
      <c r="P2541">
        <v>0.99745200000000001</v>
      </c>
      <c r="Q2541">
        <v>5.7850039999999998E-2</v>
      </c>
      <c r="R2541">
        <v>-4.1750040000000002E-2</v>
      </c>
      <c r="S2541">
        <v>3.0000149999999999</v>
      </c>
      <c r="T2541">
        <v>-0.16406279999999901</v>
      </c>
      <c r="U2541">
        <v>-0.42704769999999997</v>
      </c>
      <c r="V2541">
        <v>2.4650269999999998E-2</v>
      </c>
      <c r="W2541">
        <v>7.3525610000000005E-2</v>
      </c>
      <c r="X2541">
        <v>0.99698869999999895</v>
      </c>
      <c r="Y2541">
        <v>0.12378450000000001</v>
      </c>
      <c r="Z2541">
        <v>-2.4337600000000001E-3</v>
      </c>
      <c r="AA2541">
        <v>0.99230620000000003</v>
      </c>
      <c r="AB2541">
        <v>65</v>
      </c>
      <c r="AC2541">
        <v>19.8491</v>
      </c>
      <c r="AD2541">
        <v>-1.1095196174040001</v>
      </c>
      <c r="AE2541">
        <v>-2.8803999999999998</v>
      </c>
      <c r="AF2541">
        <v>2.53206177232479</v>
      </c>
      <c r="AG2541">
        <v>-1.1095196174040001</v>
      </c>
      <c r="AH2541">
        <v>19.834851296860201</v>
      </c>
      <c r="AI2541">
        <v>93.175947862476505</v>
      </c>
      <c r="AJ2541">
        <v>82.725128357984005</v>
      </c>
      <c r="AK2541">
        <v>20.026574758775599</v>
      </c>
    </row>
    <row r="2542" spans="1:37" x14ac:dyDescent="0.2">
      <c r="A2542" t="str">
        <f>"20200111154116018"</f>
        <v>20200111154116018</v>
      </c>
      <c r="B2542" t="str">
        <f>"1578728476008357"</f>
        <v>1578728476008357</v>
      </c>
      <c r="C2542" t="s">
        <v>37</v>
      </c>
      <c r="D2542">
        <v>5.3090909999999996</v>
      </c>
      <c r="E2542">
        <v>0.53891230000000001</v>
      </c>
      <c r="F2542" t="s">
        <v>44</v>
      </c>
      <c r="G2542">
        <v>-235.012</v>
      </c>
      <c r="H2542" s="1">
        <v>1.1922739999999999E-6</v>
      </c>
      <c r="I2542">
        <v>213.2</v>
      </c>
      <c r="J2542">
        <v>-254.68170000000001</v>
      </c>
      <c r="K2542">
        <v>1.1095569999999999</v>
      </c>
      <c r="L2542">
        <v>216.13749999999999</v>
      </c>
      <c r="M2542">
        <v>0.99972830000000001</v>
      </c>
      <c r="N2542">
        <v>0</v>
      </c>
      <c r="O2542">
        <v>-1.7110770000000001E-2</v>
      </c>
      <c r="P2542">
        <v>0.99743019999999905</v>
      </c>
      <c r="Q2542">
        <v>5.7446759999999999E-2</v>
      </c>
      <c r="R2542">
        <v>-4.2811699999999897E-2</v>
      </c>
      <c r="S2542">
        <v>2.998901</v>
      </c>
      <c r="T2542">
        <v>-0.16462060000000001</v>
      </c>
      <c r="U2542">
        <v>-0.43722529999999998</v>
      </c>
      <c r="V2542">
        <v>2.5735580000000001E-2</v>
      </c>
      <c r="W2542">
        <v>7.3236469999999998E-2</v>
      </c>
      <c r="X2542">
        <v>0.99698249999999999</v>
      </c>
      <c r="Y2542">
        <v>0.12715280000000001</v>
      </c>
      <c r="Z2542">
        <v>-2.535584E-3</v>
      </c>
      <c r="AA2542">
        <v>0.99187990000000004</v>
      </c>
      <c r="AB2542">
        <v>65</v>
      </c>
      <c r="AC2542">
        <v>19.669699999999999</v>
      </c>
      <c r="AD2542">
        <v>-1.1095558077259999</v>
      </c>
      <c r="AE2542">
        <v>-2.9375</v>
      </c>
      <c r="AF2542">
        <v>2.5923948718678398</v>
      </c>
      <c r="AG2542">
        <v>-1.1095558077259999</v>
      </c>
      <c r="AH2542">
        <v>19.6559078487508</v>
      </c>
      <c r="AI2542">
        <v>93.203178624251194</v>
      </c>
      <c r="AJ2542">
        <v>82.486689729506196</v>
      </c>
      <c r="AK2542">
        <v>19.8571483003156</v>
      </c>
    </row>
    <row r="2543" spans="1:37" x14ac:dyDescent="0.2">
      <c r="A2543" t="str">
        <f>"20200111154116033"</f>
        <v>20200111154116033</v>
      </c>
      <c r="B2543" t="str">
        <f>"1578728476028853"</f>
        <v>1578728476028853</v>
      </c>
      <c r="C2543" t="s">
        <v>37</v>
      </c>
      <c r="D2543">
        <v>5.3387390000000003</v>
      </c>
      <c r="E2543">
        <v>0.53938109999999995</v>
      </c>
      <c r="F2543" t="s">
        <v>44</v>
      </c>
      <c r="G2543">
        <v>-234.56450000000001</v>
      </c>
      <c r="H2543" s="1">
        <v>9.5610069999999898E-7</v>
      </c>
      <c r="I2543">
        <v>213.15430000000001</v>
      </c>
      <c r="J2543">
        <v>-254.2475</v>
      </c>
      <c r="K2543">
        <v>1.1095930000000001</v>
      </c>
      <c r="L2543">
        <v>216.1301</v>
      </c>
      <c r="M2543">
        <v>0.99972669999999997</v>
      </c>
      <c r="N2543">
        <v>0</v>
      </c>
      <c r="O2543">
        <v>-1.7090089999999999E-2</v>
      </c>
      <c r="P2543">
        <v>0.99738269999999996</v>
      </c>
      <c r="Q2543">
        <v>5.6541499999999897E-2</v>
      </c>
      <c r="R2543">
        <v>-4.5069610000000003E-2</v>
      </c>
      <c r="S2543">
        <v>2.998154</v>
      </c>
      <c r="T2543">
        <v>-0.16536149999999999</v>
      </c>
      <c r="U2543">
        <v>-0.44459529999999903</v>
      </c>
      <c r="V2543">
        <v>2.80135E-2</v>
      </c>
      <c r="W2543">
        <v>7.2459399999999993E-2</v>
      </c>
      <c r="X2543">
        <v>0.99697789999999997</v>
      </c>
      <c r="Y2543">
        <v>0.1295897</v>
      </c>
      <c r="Z2543">
        <v>-2.6150750000000001E-3</v>
      </c>
      <c r="AA2543">
        <v>0.99156429999999995</v>
      </c>
      <c r="AB2543">
        <v>65</v>
      </c>
      <c r="AC2543">
        <v>19.683</v>
      </c>
      <c r="AD2543">
        <v>-1.1095920438993001</v>
      </c>
      <c r="AE2543">
        <v>-2.9757999999999898</v>
      </c>
      <c r="AF2543">
        <v>2.6307646822070399</v>
      </c>
      <c r="AG2543">
        <v>-1.1095920438993001</v>
      </c>
      <c r="AH2543">
        <v>19.669875218356399</v>
      </c>
      <c r="AI2543">
        <v>93.200239005402807</v>
      </c>
      <c r="AJ2543">
        <v>82.382133834348295</v>
      </c>
      <c r="AK2543">
        <v>19.876018424793799</v>
      </c>
    </row>
    <row r="2544" spans="1:37" x14ac:dyDescent="0.2">
      <c r="A2544" t="str">
        <f>"20200111154116051"</f>
        <v>20200111154116051</v>
      </c>
      <c r="B2544" t="str">
        <f>"1578728476049349"</f>
        <v>1578728476049349</v>
      </c>
      <c r="C2544" t="s">
        <v>37</v>
      </c>
      <c r="D2544">
        <v>5.2963879999999897</v>
      </c>
      <c r="E2544">
        <v>0.53978199999999998</v>
      </c>
      <c r="F2544" t="s">
        <v>44</v>
      </c>
      <c r="G2544">
        <v>-234.38980000000001</v>
      </c>
      <c r="H2544" s="1">
        <v>8.6492080000000004E-7</v>
      </c>
      <c r="I2544">
        <v>213.114</v>
      </c>
      <c r="J2544">
        <v>-253.72730000000001</v>
      </c>
      <c r="K2544">
        <v>1.109642</v>
      </c>
      <c r="L2544">
        <v>216.12119999999999</v>
      </c>
      <c r="M2544">
        <v>0.9997241</v>
      </c>
      <c r="N2544">
        <v>0</v>
      </c>
      <c r="O2544">
        <v>-1.706678E-2</v>
      </c>
      <c r="P2544">
        <v>0.99738989999999905</v>
      </c>
      <c r="Q2544">
        <v>5.5596350000000003E-2</v>
      </c>
      <c r="R2544">
        <v>-4.6075690000000002E-2</v>
      </c>
      <c r="S2544">
        <v>2.99677999999999</v>
      </c>
      <c r="T2544">
        <v>-0.16745199999999999</v>
      </c>
      <c r="U2544">
        <v>-0.45516970000000001</v>
      </c>
      <c r="V2544">
        <v>2.904122E-2</v>
      </c>
      <c r="W2544">
        <v>7.1705099999999994E-2</v>
      </c>
      <c r="X2544">
        <v>0.99700299999999997</v>
      </c>
      <c r="Y2544">
        <v>0.13308989999999901</v>
      </c>
      <c r="Z2544">
        <v>-2.7470519999999998E-3</v>
      </c>
      <c r="AA2544">
        <v>0.99110019999999999</v>
      </c>
      <c r="AB2544">
        <v>65</v>
      </c>
      <c r="AC2544">
        <v>19.337499999999999</v>
      </c>
      <c r="AD2544">
        <v>-1.1096411350791999</v>
      </c>
      <c r="AE2544">
        <v>-3.0071999999999801</v>
      </c>
      <c r="AF2544">
        <v>2.6681119583659498</v>
      </c>
      <c r="AG2544">
        <v>-1.1096411350791999</v>
      </c>
      <c r="AH2544">
        <v>19.323885611826199</v>
      </c>
      <c r="AI2544">
        <v>93.255683491233896</v>
      </c>
      <c r="AJ2544">
        <v>82.138689847363494</v>
      </c>
      <c r="AK2544">
        <v>19.538748168958499</v>
      </c>
    </row>
    <row r="2545" spans="1:37" x14ac:dyDescent="0.2">
      <c r="A2545" t="str">
        <f>"20200111154116067"</f>
        <v>20200111154116067</v>
      </c>
      <c r="B2545" t="str">
        <f>"1578728476059109"</f>
        <v>1578728476059109</v>
      </c>
      <c r="C2545" t="s">
        <v>37</v>
      </c>
      <c r="D2545">
        <v>5.2978500000000004</v>
      </c>
      <c r="E2545">
        <v>0.53997899999999999</v>
      </c>
      <c r="F2545" t="s">
        <v>44</v>
      </c>
      <c r="G2545">
        <v>-234.14570000000001</v>
      </c>
      <c r="H2545" s="1">
        <v>7.3538370000000004E-7</v>
      </c>
      <c r="I2545">
        <v>213.1052</v>
      </c>
      <c r="J2545">
        <v>-253.25919999999999</v>
      </c>
      <c r="K2545">
        <v>1.109686</v>
      </c>
      <c r="L2545">
        <v>216.11320000000001</v>
      </c>
      <c r="M2545">
        <v>0.99972099999999897</v>
      </c>
      <c r="N2545">
        <v>0</v>
      </c>
      <c r="O2545">
        <v>-1.7047530000000002E-2</v>
      </c>
      <c r="P2545">
        <v>0.99736849999999999</v>
      </c>
      <c r="Q2545">
        <v>5.415184E-2</v>
      </c>
      <c r="R2545">
        <v>-4.8202999999999899E-2</v>
      </c>
      <c r="S2545">
        <v>2.995987</v>
      </c>
      <c r="T2545">
        <v>-0.16977500000000001</v>
      </c>
      <c r="U2545">
        <v>-0.46145629999999999</v>
      </c>
      <c r="V2545">
        <v>3.1186849999999999E-2</v>
      </c>
      <c r="W2545">
        <v>7.0464180000000001E-2</v>
      </c>
      <c r="X2545">
        <v>0.99702669999999904</v>
      </c>
      <c r="Y2545">
        <v>0.1351714</v>
      </c>
      <c r="Z2545">
        <v>-2.8450629999999901E-3</v>
      </c>
      <c r="AA2545">
        <v>0.99081810000000003</v>
      </c>
      <c r="AB2545">
        <v>65</v>
      </c>
      <c r="AC2545">
        <v>19.113499999999899</v>
      </c>
      <c r="AD2545">
        <v>-1.1096852646163</v>
      </c>
      <c r="AE2545">
        <v>-3.008</v>
      </c>
      <c r="AF2545">
        <v>2.67288949537331</v>
      </c>
      <c r="AG2545">
        <v>-1.1096852646163</v>
      </c>
      <c r="AH2545">
        <v>19.099185931118999</v>
      </c>
      <c r="AI2545">
        <v>93.293192946304401</v>
      </c>
      <c r="AJ2545">
        <v>82.033321670782996</v>
      </c>
      <c r="AK2545">
        <v>19.3172110531629</v>
      </c>
    </row>
    <row r="2546" spans="1:37" x14ac:dyDescent="0.2">
      <c r="A2546" t="str">
        <f>"20200111154116090"</f>
        <v>20200111154116090</v>
      </c>
      <c r="B2546" t="str">
        <f>"1578728476078629"</f>
        <v>1578728476078629</v>
      </c>
      <c r="C2546" t="s">
        <v>37</v>
      </c>
      <c r="D2546">
        <v>5.2727849999999998</v>
      </c>
      <c r="E2546">
        <v>0.54030789999999995</v>
      </c>
      <c r="F2546" t="s">
        <v>44</v>
      </c>
      <c r="G2546">
        <v>-234.15479999999999</v>
      </c>
      <c r="H2546" s="1">
        <v>7.3960110000000005E-7</v>
      </c>
      <c r="I2546">
        <v>213.11940000000001</v>
      </c>
      <c r="J2546">
        <v>-252.61859999999999</v>
      </c>
      <c r="K2546">
        <v>1.1097509999999999</v>
      </c>
      <c r="L2546">
        <v>216.10230000000001</v>
      </c>
      <c r="M2546">
        <v>0.99971620000000005</v>
      </c>
      <c r="N2546">
        <v>0</v>
      </c>
      <c r="O2546">
        <v>-1.7018559999999999E-2</v>
      </c>
      <c r="P2546">
        <v>0.99736279999999999</v>
      </c>
      <c r="Q2546">
        <v>5.3142790000000002E-2</v>
      </c>
      <c r="R2546">
        <v>-4.943256E-2</v>
      </c>
      <c r="S2546">
        <v>2.994659</v>
      </c>
      <c r="T2546">
        <v>-0.1739455</v>
      </c>
      <c r="U2546">
        <v>-0.46928409999999898</v>
      </c>
      <c r="V2546">
        <v>3.2444309999999997E-2</v>
      </c>
      <c r="W2546">
        <v>6.9776359999999996E-2</v>
      </c>
      <c r="X2546">
        <v>0.99703489999999995</v>
      </c>
      <c r="Y2546">
        <v>0.13778089999999901</v>
      </c>
      <c r="Z2546">
        <v>-2.992467E-3</v>
      </c>
      <c r="AA2546">
        <v>0.99045819999999996</v>
      </c>
      <c r="AB2546">
        <v>65</v>
      </c>
      <c r="AC2546">
        <v>18.4637999999999</v>
      </c>
      <c r="AD2546">
        <v>-1.1097502603989</v>
      </c>
      <c r="AE2546">
        <v>-2.9828999999999999</v>
      </c>
      <c r="AF2546">
        <v>2.6588361767723998</v>
      </c>
      <c r="AG2546">
        <v>-1.1097502603989</v>
      </c>
      <c r="AH2546">
        <v>18.446952278482001</v>
      </c>
      <c r="AI2546">
        <v>93.407578379283606</v>
      </c>
      <c r="AJ2546">
        <v>81.798205536191901</v>
      </c>
      <c r="AK2546">
        <v>18.670591951514599</v>
      </c>
    </row>
    <row r="2547" spans="1:37" x14ac:dyDescent="0.2">
      <c r="A2547" t="str">
        <f>"20200111154116111"</f>
        <v>20200111154116111</v>
      </c>
      <c r="B2547" t="str">
        <f>"1578728476099125"</f>
        <v>1578728476099125</v>
      </c>
      <c r="C2547" t="s">
        <v>37</v>
      </c>
      <c r="D2547">
        <v>5.2544240000000002</v>
      </c>
      <c r="E2547">
        <v>0.54054590000000002</v>
      </c>
      <c r="F2547" t="s">
        <v>44</v>
      </c>
      <c r="G2547">
        <v>-233.8064</v>
      </c>
      <c r="H2547" s="1">
        <v>5.5451859999999997E-7</v>
      </c>
      <c r="I2547">
        <v>213.1129</v>
      </c>
      <c r="J2547">
        <v>-251.9965</v>
      </c>
      <c r="K2547">
        <v>1.1098139999999901</v>
      </c>
      <c r="L2547">
        <v>216.09180000000001</v>
      </c>
      <c r="M2547">
        <v>0.99971089999999996</v>
      </c>
      <c r="N2547">
        <v>0</v>
      </c>
      <c r="O2547">
        <v>-1.698475E-2</v>
      </c>
      <c r="P2547">
        <v>0.99730959999999902</v>
      </c>
      <c r="Q2547">
        <v>5.2405069999999998E-2</v>
      </c>
      <c r="R2547">
        <v>-5.1260939999999998E-2</v>
      </c>
      <c r="S2547">
        <v>2.993744</v>
      </c>
      <c r="T2547">
        <v>-0.17660390000000001</v>
      </c>
      <c r="U2547">
        <v>-0.47573850000000001</v>
      </c>
      <c r="V2547">
        <v>3.4306860000000002E-2</v>
      </c>
      <c r="W2547">
        <v>6.9393919999999998E-2</v>
      </c>
      <c r="X2547">
        <v>0.99699930000000003</v>
      </c>
      <c r="Y2547">
        <v>0.139934</v>
      </c>
      <c r="Z2547">
        <v>-3.1035659999999999E-3</v>
      </c>
      <c r="AA2547">
        <v>0.99015599999999904</v>
      </c>
      <c r="AB2547">
        <v>65</v>
      </c>
      <c r="AC2547">
        <v>18.190100000000001</v>
      </c>
      <c r="AD2547">
        <v>-1.1098134454813999</v>
      </c>
      <c r="AE2547">
        <v>-2.9788999999999999</v>
      </c>
      <c r="AF2547">
        <v>2.6598286144219498</v>
      </c>
      <c r="AG2547">
        <v>-1.1098134454813999</v>
      </c>
      <c r="AH2547">
        <v>18.172200036936299</v>
      </c>
      <c r="AI2547">
        <v>93.458074773049205</v>
      </c>
      <c r="AJ2547">
        <v>81.672860997867005</v>
      </c>
      <c r="AK2547">
        <v>18.3993268443249</v>
      </c>
    </row>
    <row r="2548" spans="1:37" x14ac:dyDescent="0.2">
      <c r="A2548" t="str">
        <f>"20200111154116135"</f>
        <v>20200111154116135</v>
      </c>
      <c r="B2548" t="str">
        <f>"1578728476128405"</f>
        <v>1578728476128405</v>
      </c>
      <c r="C2548" t="s">
        <v>37</v>
      </c>
      <c r="D2548">
        <v>5.2987779999999898</v>
      </c>
      <c r="E2548">
        <v>0.54101960000000004</v>
      </c>
      <c r="F2548" t="s">
        <v>44</v>
      </c>
      <c r="G2548">
        <v>-233.3802</v>
      </c>
      <c r="H2548" s="1">
        <v>3.288457E-7</v>
      </c>
      <c r="I2548">
        <v>213.08619999999999</v>
      </c>
      <c r="J2548">
        <v>-251.30289999999999</v>
      </c>
      <c r="K2548">
        <v>1.109883</v>
      </c>
      <c r="L2548">
        <v>216.08</v>
      </c>
      <c r="M2548">
        <v>0.99970389999999998</v>
      </c>
      <c r="N2548">
        <v>0</v>
      </c>
      <c r="O2548">
        <v>-1.6941169999999998E-2</v>
      </c>
      <c r="P2548">
        <v>0.99726809999999999</v>
      </c>
      <c r="Q2548">
        <v>5.1618020000000001E-2</v>
      </c>
      <c r="R2548">
        <v>-5.284047E-2</v>
      </c>
      <c r="S2548">
        <v>2.992645</v>
      </c>
      <c r="T2548">
        <v>-0.17840639999999999</v>
      </c>
      <c r="U2548">
        <v>-0.48315429999999998</v>
      </c>
      <c r="V2548">
        <v>3.5929919999999997E-2</v>
      </c>
      <c r="W2548">
        <v>6.9051409999999994E-2</v>
      </c>
      <c r="X2548">
        <v>0.99696589999999996</v>
      </c>
      <c r="Y2548">
        <v>0.1424164</v>
      </c>
      <c r="Z2548">
        <v>-3.2117420000000001E-3</v>
      </c>
      <c r="AA2548">
        <v>0.98980159999999995</v>
      </c>
      <c r="AB2548">
        <v>64</v>
      </c>
      <c r="AC2548">
        <v>17.922699999999899</v>
      </c>
      <c r="AD2548">
        <v>-1.1098826711542999</v>
      </c>
      <c r="AE2548">
        <v>-2.9938000000000198</v>
      </c>
      <c r="AF2548">
        <v>2.6796951273962302</v>
      </c>
      <c r="AG2548">
        <v>-1.1098826711542999</v>
      </c>
      <c r="AH2548">
        <v>17.9040578483906</v>
      </c>
      <c r="AI2548">
        <v>93.5082809047056</v>
      </c>
      <c r="AJ2548">
        <v>81.487743141990407</v>
      </c>
      <c r="AK2548">
        <v>18.137472066361301</v>
      </c>
    </row>
    <row r="2549" spans="1:37" x14ac:dyDescent="0.2">
      <c r="A2549" t="str">
        <f>"20200111154116157"</f>
        <v>20200111154116157</v>
      </c>
      <c r="B2549" t="str">
        <f>"1578728476148901"</f>
        <v>1578728476148901</v>
      </c>
      <c r="C2549" t="s">
        <v>37</v>
      </c>
      <c r="D2549">
        <v>5.2418620000000002</v>
      </c>
      <c r="E2549">
        <v>0.54131499999999999</v>
      </c>
      <c r="F2549" t="s">
        <v>44</v>
      </c>
      <c r="G2549">
        <v>-232.8398</v>
      </c>
      <c r="H2549" s="1">
        <v>4.3036640000000001E-8</v>
      </c>
      <c r="I2549">
        <v>213.04599999999999</v>
      </c>
      <c r="J2549">
        <v>-250.6823</v>
      </c>
      <c r="K2549">
        <v>1.1099479999999999</v>
      </c>
      <c r="L2549">
        <v>216.06950000000001</v>
      </c>
      <c r="M2549">
        <v>0.99969719999999995</v>
      </c>
      <c r="N2549">
        <v>0</v>
      </c>
      <c r="O2549">
        <v>-1.6900120000000001E-2</v>
      </c>
      <c r="P2549">
        <v>0.99721179999999998</v>
      </c>
      <c r="Q2549">
        <v>5.1158750000000003E-2</v>
      </c>
      <c r="R2549">
        <v>-5.4330580000000003E-2</v>
      </c>
      <c r="S2549">
        <v>2.9914700000000001</v>
      </c>
      <c r="T2549">
        <v>-0.17982790000000001</v>
      </c>
      <c r="U2549">
        <v>-0.49157709999999999</v>
      </c>
      <c r="V2549">
        <v>3.7461580000000001E-2</v>
      </c>
      <c r="W2549">
        <v>6.9016220000000003E-2</v>
      </c>
      <c r="X2549">
        <v>0.99691189999999996</v>
      </c>
      <c r="Y2549">
        <v>0.14522389999999999</v>
      </c>
      <c r="Z2549">
        <v>-3.3240079999999998E-3</v>
      </c>
      <c r="AA2549">
        <v>0.98939319999999897</v>
      </c>
      <c r="AB2549">
        <v>64</v>
      </c>
      <c r="AC2549">
        <v>17.842500000000001</v>
      </c>
      <c r="AD2549">
        <v>-1.1099479569633599</v>
      </c>
      <c r="AE2549">
        <v>-3.0235000000000101</v>
      </c>
      <c r="AF2549">
        <v>2.7112800556793002</v>
      </c>
      <c r="AG2549">
        <v>-1.1099479569633599</v>
      </c>
      <c r="AH2549">
        <v>17.824005839041199</v>
      </c>
      <c r="AI2549">
        <v>93.522937188613497</v>
      </c>
      <c r="AJ2549">
        <v>81.350815724815206</v>
      </c>
      <c r="AK2549">
        <v>18.063172704640401</v>
      </c>
    </row>
    <row r="2550" spans="1:37" x14ac:dyDescent="0.2">
      <c r="A2550" t="str">
        <f>"20200111154116178"</f>
        <v>20200111154116178</v>
      </c>
      <c r="B2550" t="str">
        <f>"1578728476168421"</f>
        <v>1578728476168421</v>
      </c>
      <c r="C2550" t="s">
        <v>37</v>
      </c>
      <c r="D2550">
        <v>5.2290039999999998</v>
      </c>
      <c r="E2550">
        <v>0.54157359999999999</v>
      </c>
      <c r="F2550" t="s">
        <v>44</v>
      </c>
      <c r="G2550">
        <v>-232.30889999999999</v>
      </c>
      <c r="H2550" s="1">
        <v>-2.37787399999999E-7</v>
      </c>
      <c r="I2550">
        <v>213.00749999999999</v>
      </c>
      <c r="J2550">
        <v>-250.0718</v>
      </c>
      <c r="K2550">
        <v>1.1100179999999999</v>
      </c>
      <c r="L2550">
        <v>216.0591</v>
      </c>
      <c r="M2550">
        <v>0.99968989999999902</v>
      </c>
      <c r="N2550">
        <v>0</v>
      </c>
      <c r="O2550">
        <v>-1.6859900000000001E-2</v>
      </c>
      <c r="P2550">
        <v>0.99716309999999997</v>
      </c>
      <c r="Q2550">
        <v>5.0874450000000002E-2</v>
      </c>
      <c r="R2550">
        <v>-5.5477980000000003E-2</v>
      </c>
      <c r="S2550">
        <v>2.9905240000000002</v>
      </c>
      <c r="T2550">
        <v>-0.18065889999999901</v>
      </c>
      <c r="U2550">
        <v>-0.49838260000000001</v>
      </c>
      <c r="V2550">
        <v>3.8649070000000001E-2</v>
      </c>
      <c r="W2550">
        <v>6.9161780000000006E-2</v>
      </c>
      <c r="X2550">
        <v>0.99685650000000003</v>
      </c>
      <c r="Y2550">
        <v>0.14749849999999901</v>
      </c>
      <c r="Z2550">
        <v>-3.4103470000000002E-3</v>
      </c>
      <c r="AA2550">
        <v>0.98905639999999995</v>
      </c>
      <c r="AB2550">
        <v>64</v>
      </c>
      <c r="AC2550">
        <v>17.762899999999998</v>
      </c>
      <c r="AD2550">
        <v>-1.1100182377873999</v>
      </c>
      <c r="AE2550">
        <v>-3.0516000000000001</v>
      </c>
      <c r="AF2550">
        <v>2.7412371557349</v>
      </c>
      <c r="AG2550">
        <v>-1.1100182377873999</v>
      </c>
      <c r="AH2550">
        <v>17.744524996759701</v>
      </c>
      <c r="AI2550">
        <v>93.537647937604504</v>
      </c>
      <c r="AJ2550">
        <v>81.218165630859801</v>
      </c>
      <c r="AK2550">
        <v>17.989293732463</v>
      </c>
    </row>
    <row r="2551" spans="1:37" x14ac:dyDescent="0.2">
      <c r="A2551" t="str">
        <f>"20200111154116200"</f>
        <v>20200111154116200</v>
      </c>
      <c r="B2551" t="str">
        <f>"1578728476188917"</f>
        <v>1578728476188917</v>
      </c>
      <c r="C2551" t="s">
        <v>37</v>
      </c>
      <c r="D2551">
        <v>5.2340749999999998</v>
      </c>
      <c r="E2551">
        <v>0.54183479999999995</v>
      </c>
      <c r="F2551" t="s">
        <v>44</v>
      </c>
      <c r="G2551">
        <v>-231.75839999999999</v>
      </c>
      <c r="H2551" s="1">
        <v>-5.2933359999999997E-7</v>
      </c>
      <c r="I2551">
        <v>212.97559999999999</v>
      </c>
      <c r="J2551">
        <v>-249.4418</v>
      </c>
      <c r="K2551">
        <v>1.11008</v>
      </c>
      <c r="L2551">
        <v>216.04849999999999</v>
      </c>
      <c r="M2551">
        <v>0.99968210000000002</v>
      </c>
      <c r="N2551">
        <v>0</v>
      </c>
      <c r="O2551">
        <v>-1.6820930000000001E-2</v>
      </c>
      <c r="P2551">
        <v>0.99709490000000001</v>
      </c>
      <c r="Q2551">
        <v>5.0532390000000003E-2</v>
      </c>
      <c r="R2551">
        <v>-5.6992139999999997E-2</v>
      </c>
      <c r="S2551">
        <v>2.9897770000000001</v>
      </c>
      <c r="T2551">
        <v>-0.18121779999999901</v>
      </c>
      <c r="U2551">
        <v>-0.50340269999999998</v>
      </c>
      <c r="V2551">
        <v>4.0202519999999999E-2</v>
      </c>
      <c r="W2551">
        <v>6.9274039999999995E-2</v>
      </c>
      <c r="X2551">
        <v>0.99678729999999904</v>
      </c>
      <c r="Y2551">
        <v>0.1491876</v>
      </c>
      <c r="Z2551">
        <v>-3.4743759999999999E-3</v>
      </c>
      <c r="AA2551">
        <v>0.98880279999999998</v>
      </c>
      <c r="AB2551">
        <v>64</v>
      </c>
      <c r="AC2551">
        <v>17.683399999999999</v>
      </c>
      <c r="AD2551">
        <v>-1.1100805293336</v>
      </c>
      <c r="AE2551">
        <v>-3.0729000000000002</v>
      </c>
      <c r="AF2551">
        <v>2.7643869707734101</v>
      </c>
      <c r="AG2551">
        <v>-1.1100805293336</v>
      </c>
      <c r="AH2551">
        <v>17.6650226871066</v>
      </c>
      <c r="AI2551">
        <v>93.552648304788505</v>
      </c>
      <c r="AJ2551">
        <v>81.105957421577401</v>
      </c>
      <c r="AK2551">
        <v>17.9144394453686</v>
      </c>
    </row>
    <row r="2552" spans="1:37" x14ac:dyDescent="0.2">
      <c r="A2552" t="str">
        <f>"20200111154116224"</f>
        <v>20200111154116224</v>
      </c>
      <c r="B2552" t="str">
        <f>"1578728476219173"</f>
        <v>1578728476219173</v>
      </c>
      <c r="C2552" t="s">
        <v>37</v>
      </c>
      <c r="D2552">
        <v>5.1861169999999897</v>
      </c>
      <c r="E2552">
        <v>0.5421916</v>
      </c>
      <c r="F2552" t="s">
        <v>44</v>
      </c>
      <c r="G2552">
        <v>-231.25280000000001</v>
      </c>
      <c r="H2552" s="1">
        <v>-7.9713689999999998E-7</v>
      </c>
      <c r="I2552">
        <v>212.94730000000001</v>
      </c>
      <c r="J2552">
        <v>-248.80590000000001</v>
      </c>
      <c r="K2552">
        <v>1.1101430000000001</v>
      </c>
      <c r="L2552">
        <v>216.0378</v>
      </c>
      <c r="M2552">
        <v>0.99967379999999995</v>
      </c>
      <c r="N2552">
        <v>0</v>
      </c>
      <c r="O2552">
        <v>-1.678369E-2</v>
      </c>
      <c r="P2552">
        <v>0.9970523</v>
      </c>
      <c r="Q2552">
        <v>4.9995480000000002E-2</v>
      </c>
      <c r="R2552">
        <v>-5.820007E-2</v>
      </c>
      <c r="S2552">
        <v>2.9888460000000001</v>
      </c>
      <c r="T2552">
        <v>-0.1824104</v>
      </c>
      <c r="U2552">
        <v>-0.50959779999999999</v>
      </c>
      <c r="V2552">
        <v>4.1447270000000001E-2</v>
      </c>
      <c r="W2552">
        <v>6.9200789999999998E-2</v>
      </c>
      <c r="X2552">
        <v>0.9967414</v>
      </c>
      <c r="Y2552">
        <v>0.1512597</v>
      </c>
      <c r="Z2552">
        <v>-3.5626389999999998E-3</v>
      </c>
      <c r="AA2552">
        <v>0.98848769999999997</v>
      </c>
      <c r="AB2552">
        <v>64</v>
      </c>
      <c r="AC2552">
        <v>17.553100000000001</v>
      </c>
      <c r="AD2552">
        <v>-1.1101437971368999</v>
      </c>
      <c r="AE2552">
        <v>-3.0904999999999898</v>
      </c>
      <c r="AF2552">
        <v>2.7846008524571402</v>
      </c>
      <c r="AG2552">
        <v>-1.1101437971368999</v>
      </c>
      <c r="AH2552">
        <v>17.534478597177898</v>
      </c>
      <c r="AI2552">
        <v>93.577960086473198</v>
      </c>
      <c r="AJ2552">
        <v>80.976373865386705</v>
      </c>
      <c r="AK2552">
        <v>17.7888830687235</v>
      </c>
    </row>
    <row r="2553" spans="1:37" x14ac:dyDescent="0.2">
      <c r="A2553" t="str">
        <f>"20200111154116246"</f>
        <v>20200111154116246</v>
      </c>
      <c r="B2553" t="str">
        <f>"1578728476238695"</f>
        <v>1578728476238695</v>
      </c>
      <c r="C2553" t="s">
        <v>37</v>
      </c>
      <c r="D2553">
        <v>5.1668139999999996</v>
      </c>
      <c r="E2553">
        <v>0.54240549999999998</v>
      </c>
      <c r="F2553" t="s">
        <v>44</v>
      </c>
      <c r="G2553">
        <v>-230.79419999999999</v>
      </c>
      <c r="H2553" s="1">
        <v>-1.0404099999999899E-6</v>
      </c>
      <c r="I2553">
        <v>212.92939999999999</v>
      </c>
      <c r="J2553">
        <v>-248.1506</v>
      </c>
      <c r="K2553">
        <v>1.1102080000000001</v>
      </c>
      <c r="L2553">
        <v>216.02680000000001</v>
      </c>
      <c r="M2553">
        <v>0.99966520000000003</v>
      </c>
      <c r="N2553">
        <v>0</v>
      </c>
      <c r="O2553">
        <v>-1.674701E-2</v>
      </c>
      <c r="P2553">
        <v>0.99698519999999902</v>
      </c>
      <c r="Q2553">
        <v>4.9725930000000002E-2</v>
      </c>
      <c r="R2553">
        <v>-5.9567080000000001E-2</v>
      </c>
      <c r="S2553">
        <v>2.9879910000000001</v>
      </c>
      <c r="T2553">
        <v>-0.18416399999999999</v>
      </c>
      <c r="U2553">
        <v>-0.51567079999999998</v>
      </c>
      <c r="V2553">
        <v>4.2850829999999999E-2</v>
      </c>
      <c r="W2553">
        <v>6.9403909999999999E-2</v>
      </c>
      <c r="X2553">
        <v>0.99666790000000005</v>
      </c>
      <c r="Y2553">
        <v>0.15328549999999999</v>
      </c>
      <c r="Z2553">
        <v>-3.6613750000000001E-3</v>
      </c>
      <c r="AA2553">
        <v>0.98817520000000003</v>
      </c>
      <c r="AB2553">
        <v>64</v>
      </c>
      <c r="AC2553">
        <v>17.356400000000001</v>
      </c>
      <c r="AD2553">
        <v>-1.11020904041</v>
      </c>
      <c r="AE2553">
        <v>-3.0974000000000199</v>
      </c>
      <c r="AF2553">
        <v>2.79515748536154</v>
      </c>
      <c r="AG2553">
        <v>-1.11020904041</v>
      </c>
      <c r="AH2553">
        <v>17.337100663048901</v>
      </c>
      <c r="AI2553">
        <v>93.6174379090332</v>
      </c>
      <c r="AJ2553">
        <v>80.841354173869703</v>
      </c>
      <c r="AK2553">
        <v>17.596037306225298</v>
      </c>
    </row>
    <row r="2554" spans="1:37" x14ac:dyDescent="0.2">
      <c r="A2554" t="str">
        <f>"20200111154116267"</f>
        <v>20200111154116267</v>
      </c>
      <c r="B2554" t="str">
        <f>"1578728476259193"</f>
        <v>1578728476259193</v>
      </c>
      <c r="C2554" t="s">
        <v>37</v>
      </c>
      <c r="D2554">
        <v>5.1953459999999998</v>
      </c>
      <c r="E2554">
        <v>0.54266519999999996</v>
      </c>
      <c r="F2554" t="s">
        <v>44</v>
      </c>
      <c r="G2554">
        <v>-230.25409999999999</v>
      </c>
      <c r="H2554" s="1">
        <v>-1.3268029999999901E-6</v>
      </c>
      <c r="I2554">
        <v>212.9058</v>
      </c>
      <c r="J2554">
        <v>-247.54259999999999</v>
      </c>
      <c r="K2554">
        <v>1.1102559999999999</v>
      </c>
      <c r="L2554">
        <v>216.01669999999999</v>
      </c>
      <c r="M2554">
        <v>0.99965720000000002</v>
      </c>
      <c r="N2554">
        <v>0</v>
      </c>
      <c r="O2554">
        <v>-1.67132999999999E-2</v>
      </c>
      <c r="P2554">
        <v>0.99693209999999999</v>
      </c>
      <c r="Q2554">
        <v>4.9262319999999998E-2</v>
      </c>
      <c r="R2554">
        <v>-6.0824639999999999E-2</v>
      </c>
      <c r="S2554">
        <v>2.9871979999999998</v>
      </c>
      <c r="T2554">
        <v>-0.185311</v>
      </c>
      <c r="U2554">
        <v>-0.52095029999999998</v>
      </c>
      <c r="V2554">
        <v>4.4142609999999999E-2</v>
      </c>
      <c r="W2554">
        <v>6.9373470000000007E-2</v>
      </c>
      <c r="X2554">
        <v>0.99661359999999999</v>
      </c>
      <c r="Y2554">
        <v>0.1550513</v>
      </c>
      <c r="Z2554">
        <v>-3.740925E-3</v>
      </c>
      <c r="AA2554">
        <v>0.98789939999999998</v>
      </c>
      <c r="AB2554">
        <v>63</v>
      </c>
      <c r="AC2554">
        <v>17.288499999999999</v>
      </c>
      <c r="AD2554">
        <v>-1.1102573268029901</v>
      </c>
      <c r="AE2554">
        <v>-3.11089999999998</v>
      </c>
      <c r="AF2554">
        <v>2.8102324379831698</v>
      </c>
      <c r="AG2554">
        <v>-1.1102573268029901</v>
      </c>
      <c r="AH2554">
        <v>17.269101786920899</v>
      </c>
      <c r="AI2554">
        <v>93.630939536106396</v>
      </c>
      <c r="AJ2554">
        <v>80.757173395813894</v>
      </c>
      <c r="AK2554">
        <v>17.531456135023301</v>
      </c>
    </row>
    <row r="2555" spans="1:37" x14ac:dyDescent="0.2">
      <c r="A2555" t="str">
        <f>"20200111154116290"</f>
        <v>20200111154116290</v>
      </c>
      <c r="B2555" t="str">
        <f>"1578728476278709"</f>
        <v>1578728476278709</v>
      </c>
      <c r="C2555" t="s">
        <v>37</v>
      </c>
      <c r="D2555">
        <v>5.1495360000000003</v>
      </c>
      <c r="E2555">
        <v>0.54290000000000005</v>
      </c>
      <c r="F2555" t="s">
        <v>44</v>
      </c>
      <c r="G2555">
        <v>-229.8117</v>
      </c>
      <c r="H2555" s="1">
        <v>3.7599650000000001E-6</v>
      </c>
      <c r="I2555">
        <v>212.89</v>
      </c>
      <c r="J2555">
        <v>-246.91059999999999</v>
      </c>
      <c r="K2555">
        <v>1.110306</v>
      </c>
      <c r="L2555">
        <v>216.0061</v>
      </c>
      <c r="M2555">
        <v>0.9996488</v>
      </c>
      <c r="N2555">
        <v>0</v>
      </c>
      <c r="O2555">
        <v>-1.6677270000000001E-2</v>
      </c>
      <c r="P2555">
        <v>0.99689369999999999</v>
      </c>
      <c r="Q2555">
        <v>4.8648320000000002E-2</v>
      </c>
      <c r="R2555">
        <v>-6.1941499999999997E-2</v>
      </c>
      <c r="S2555">
        <v>2.9863590000000002</v>
      </c>
      <c r="T2555">
        <v>-0.18699589999999999</v>
      </c>
      <c r="U2555">
        <v>-0.5266113</v>
      </c>
      <c r="V2555">
        <v>4.5295439999999999E-2</v>
      </c>
      <c r="W2555">
        <v>6.9200310000000001E-2</v>
      </c>
      <c r="X2555">
        <v>0.99657390000000001</v>
      </c>
      <c r="Y2555">
        <v>0.1569419</v>
      </c>
      <c r="Z2555">
        <v>-3.8362159999999999E-3</v>
      </c>
      <c r="AA2555">
        <v>0.98760040000000004</v>
      </c>
      <c r="AB2555">
        <v>63</v>
      </c>
      <c r="AC2555">
        <v>17.098899999999901</v>
      </c>
      <c r="AD2555">
        <v>-1.110302240035</v>
      </c>
      <c r="AE2555">
        <v>-3.1161000000000101</v>
      </c>
      <c r="AF2555">
        <v>2.81893914249373</v>
      </c>
      <c r="AG2555">
        <v>-1.110302240035</v>
      </c>
      <c r="AH2555">
        <v>17.0788029784859</v>
      </c>
      <c r="AI2555">
        <v>93.670077698714806</v>
      </c>
      <c r="AJ2555">
        <v>80.627555944776802</v>
      </c>
      <c r="AK2555">
        <v>17.345451857223299</v>
      </c>
    </row>
    <row r="2556" spans="1:37" x14ac:dyDescent="0.2">
      <c r="A2556" t="str">
        <f>"20200111154116311"</f>
        <v>20200111154116311</v>
      </c>
      <c r="B2556" t="str">
        <f>"1578728476308964"</f>
        <v>1578728476308964</v>
      </c>
      <c r="C2556" t="s">
        <v>37</v>
      </c>
      <c r="D2556">
        <v>5.1308049999999996</v>
      </c>
      <c r="E2556">
        <v>0.54320869999999999</v>
      </c>
      <c r="F2556" t="s">
        <v>44</v>
      </c>
      <c r="G2556">
        <v>-229.34620000000001</v>
      </c>
      <c r="H2556" s="1">
        <v>3.51270999999999E-6</v>
      </c>
      <c r="I2556">
        <v>212.87950000000001</v>
      </c>
      <c r="J2556">
        <v>-246.29949999999999</v>
      </c>
      <c r="K2556">
        <v>1.110355</v>
      </c>
      <c r="L2556">
        <v>215.99590000000001</v>
      </c>
      <c r="M2556">
        <v>0.99964019999999998</v>
      </c>
      <c r="N2556">
        <v>0</v>
      </c>
      <c r="O2556">
        <v>-1.6640990000000001E-2</v>
      </c>
      <c r="P2556">
        <v>0.99689619999999901</v>
      </c>
      <c r="Q2556">
        <v>4.7708300000000002E-2</v>
      </c>
      <c r="R2556">
        <v>-6.2625420000000001E-2</v>
      </c>
      <c r="S2556">
        <v>2.985535</v>
      </c>
      <c r="T2556">
        <v>-0.18872510000000001</v>
      </c>
      <c r="U2556">
        <v>-0.53144840000000004</v>
      </c>
      <c r="V2556">
        <v>4.601533E-2</v>
      </c>
      <c r="W2556">
        <v>6.8689399999999901E-2</v>
      </c>
      <c r="X2556">
        <v>0.99657629999999997</v>
      </c>
      <c r="Y2556">
        <v>0.15856709999999999</v>
      </c>
      <c r="Z2556">
        <v>-3.9253150000000004E-3</v>
      </c>
      <c r="AA2556">
        <v>0.98734040000000001</v>
      </c>
      <c r="AB2556">
        <v>63</v>
      </c>
      <c r="AC2556">
        <v>16.953299999999899</v>
      </c>
      <c r="AD2556">
        <v>-1.11035148729</v>
      </c>
      <c r="AE2556">
        <v>-3.1163999999999898</v>
      </c>
      <c r="AF2556">
        <v>2.82207636030155</v>
      </c>
      <c r="AG2556">
        <v>-1.11035148729</v>
      </c>
      <c r="AH2556">
        <v>16.932563789812299</v>
      </c>
      <c r="AI2556">
        <v>93.700890816186003</v>
      </c>
      <c r="AJ2556">
        <v>80.537735752001595</v>
      </c>
      <c r="AK2556">
        <v>17.201997323123901</v>
      </c>
    </row>
    <row r="2557" spans="1:37" x14ac:dyDescent="0.2">
      <c r="A2557" t="str">
        <f>"20200111154116335"</f>
        <v>20200111154116335</v>
      </c>
      <c r="B2557" t="str">
        <f>"1578728476328484"</f>
        <v>1578728476328484</v>
      </c>
      <c r="C2557" t="s">
        <v>37</v>
      </c>
      <c r="D2557">
        <v>5.1835649999999998</v>
      </c>
      <c r="E2557">
        <v>0.54348459999999998</v>
      </c>
      <c r="F2557" t="s">
        <v>44</v>
      </c>
      <c r="G2557">
        <v>-228.99090000000001</v>
      </c>
      <c r="H2557" s="1">
        <v>3.323215E-6</v>
      </c>
      <c r="I2557">
        <v>212.8887</v>
      </c>
      <c r="J2557">
        <v>-245.64019999999999</v>
      </c>
      <c r="K2557">
        <v>1.110412</v>
      </c>
      <c r="L2557">
        <v>215.98500000000001</v>
      </c>
      <c r="M2557">
        <v>0.99963089999999999</v>
      </c>
      <c r="N2557">
        <v>0</v>
      </c>
      <c r="O2557">
        <v>-1.660118E-2</v>
      </c>
      <c r="P2557">
        <v>0.99692209999999903</v>
      </c>
      <c r="Q2557">
        <v>4.6787269999999999E-2</v>
      </c>
      <c r="R2557">
        <v>-6.2905160000000002E-2</v>
      </c>
      <c r="S2557">
        <v>2.9848330000000001</v>
      </c>
      <c r="T2557">
        <v>-0.191477799999999</v>
      </c>
      <c r="U2557">
        <v>-0.53582759999999996</v>
      </c>
      <c r="V2557">
        <v>4.6334439999999998E-2</v>
      </c>
      <c r="W2557">
        <v>6.8237480000000003E-2</v>
      </c>
      <c r="X2557">
        <v>0.99659259999999905</v>
      </c>
      <c r="Y2557">
        <v>0.16003879999999901</v>
      </c>
      <c r="Z2557">
        <v>-4.0321699999999999E-3</v>
      </c>
      <c r="AA2557">
        <v>0.98710249999999999</v>
      </c>
      <c r="AB2557">
        <v>63</v>
      </c>
      <c r="AC2557">
        <v>16.649299999999901</v>
      </c>
      <c r="AD2557">
        <v>-1.1104086767850001</v>
      </c>
      <c r="AE2557">
        <v>-3.09630000000001</v>
      </c>
      <c r="AF2557">
        <v>2.8073412747622002</v>
      </c>
      <c r="AG2557">
        <v>-1.1104086767850001</v>
      </c>
      <c r="AH2557">
        <v>16.6269328851069</v>
      </c>
      <c r="AI2557">
        <v>93.767583782449705</v>
      </c>
      <c r="AJ2557">
        <v>80.416396035445004</v>
      </c>
      <c r="AK2557">
        <v>16.898788998869499</v>
      </c>
    </row>
    <row r="2558" spans="1:37" x14ac:dyDescent="0.2">
      <c r="A2558" t="str">
        <f>"20200111154116357"</f>
        <v>20200111154116357</v>
      </c>
      <c r="B2558" t="str">
        <f>"1578728476348980"</f>
        <v>1578728476348980</v>
      </c>
      <c r="C2558" t="s">
        <v>37</v>
      </c>
      <c r="D2558">
        <v>5.1175290000000002</v>
      </c>
      <c r="E2558">
        <v>0.54372909999999997</v>
      </c>
      <c r="F2558" t="s">
        <v>44</v>
      </c>
      <c r="G2558">
        <v>-228.63480000000001</v>
      </c>
      <c r="H2558" s="1">
        <v>3.13258899999999E-6</v>
      </c>
      <c r="I2558">
        <v>212.9152</v>
      </c>
      <c r="J2558">
        <v>-245.02099999999999</v>
      </c>
      <c r="K2558">
        <v>1.110465</v>
      </c>
      <c r="L2558">
        <v>215.97470000000001</v>
      </c>
      <c r="M2558">
        <v>0.99962209999999996</v>
      </c>
      <c r="N2558">
        <v>0</v>
      </c>
      <c r="O2558">
        <v>-1.6563560000000001E-2</v>
      </c>
      <c r="P2558">
        <v>0.99693699999999996</v>
      </c>
      <c r="Q2558">
        <v>4.6216189999999997E-2</v>
      </c>
      <c r="R2558">
        <v>-6.3093769999999993E-2</v>
      </c>
      <c r="S2558">
        <v>2.984375</v>
      </c>
      <c r="T2558">
        <v>-0.1948724</v>
      </c>
      <c r="U2558">
        <v>-0.538742099999999</v>
      </c>
      <c r="V2558">
        <v>4.6560070000000002E-2</v>
      </c>
      <c r="W2558">
        <v>6.8107589999999996E-2</v>
      </c>
      <c r="X2558">
        <v>0.996591</v>
      </c>
      <c r="Y2558">
        <v>0.16102339999999901</v>
      </c>
      <c r="Z2558">
        <v>-4.1380560000000002E-3</v>
      </c>
      <c r="AA2558">
        <v>0.98694190000000004</v>
      </c>
      <c r="AB2558">
        <v>63</v>
      </c>
      <c r="AC2558">
        <v>16.386199999999899</v>
      </c>
      <c r="AD2558">
        <v>-1.1104618674110001</v>
      </c>
      <c r="AE2558">
        <v>-3.0595000000000101</v>
      </c>
      <c r="AF2558">
        <v>2.77528474879924</v>
      </c>
      <c r="AG2558">
        <v>-1.1104618674110001</v>
      </c>
      <c r="AH2558">
        <v>16.362027828402599</v>
      </c>
      <c r="AI2558">
        <v>93.828098433983996</v>
      </c>
      <c r="AJ2558">
        <v>80.373261220428105</v>
      </c>
      <c r="AK2558">
        <v>16.632837570700701</v>
      </c>
    </row>
    <row r="2559" spans="1:37" x14ac:dyDescent="0.2">
      <c r="A2559" t="str">
        <f>"20200111154116380"</f>
        <v>20200111154116380</v>
      </c>
      <c r="B2559" t="str">
        <f>"1578728476368501"</f>
        <v>1578728476368501</v>
      </c>
      <c r="C2559" t="s">
        <v>37</v>
      </c>
      <c r="D2559">
        <v>5.1432969999999996</v>
      </c>
      <c r="E2559">
        <v>0.54399640000000005</v>
      </c>
      <c r="F2559" t="s">
        <v>44</v>
      </c>
      <c r="G2559">
        <v>-228.1687</v>
      </c>
      <c r="H2559" s="1">
        <v>2.8843509999999898E-6</v>
      </c>
      <c r="I2559">
        <v>212.91919999999999</v>
      </c>
      <c r="J2559">
        <v>-244.416</v>
      </c>
      <c r="K2559">
        <v>1.110517</v>
      </c>
      <c r="L2559">
        <v>215.96469999999999</v>
      </c>
      <c r="M2559">
        <v>0.99961299999999997</v>
      </c>
      <c r="N2559">
        <v>0</v>
      </c>
      <c r="O2559">
        <v>-1.652679E-2</v>
      </c>
      <c r="P2559">
        <v>0.9969036</v>
      </c>
      <c r="Q2559">
        <v>4.6190340000000003E-2</v>
      </c>
      <c r="R2559">
        <v>-6.3638719999999996E-2</v>
      </c>
      <c r="S2559">
        <v>2.9841000000000002</v>
      </c>
      <c r="T2559">
        <v>-0.1966338</v>
      </c>
      <c r="U2559">
        <v>-0.54104609999999997</v>
      </c>
      <c r="V2559">
        <v>4.7141889999999999E-2</v>
      </c>
      <c r="W2559">
        <v>6.8514820000000004E-2</v>
      </c>
      <c r="X2559">
        <v>0.99653570000000002</v>
      </c>
      <c r="Y2559">
        <v>0.16180610000000001</v>
      </c>
      <c r="Z2559">
        <v>-4.2034150000000003E-3</v>
      </c>
      <c r="AA2559">
        <v>0.98681359999999996</v>
      </c>
      <c r="AB2559">
        <v>62</v>
      </c>
      <c r="AC2559">
        <v>16.2472999999999</v>
      </c>
      <c r="AD2559">
        <v>-1.1105141156489999</v>
      </c>
      <c r="AE2559">
        <v>-3.0455000000000001</v>
      </c>
      <c r="AF2559">
        <v>2.7640261728772701</v>
      </c>
      <c r="AG2559">
        <v>-1.1105141156489999</v>
      </c>
      <c r="AH2559">
        <v>16.222210129204001</v>
      </c>
      <c r="AI2559">
        <v>93.860685819207504</v>
      </c>
      <c r="AJ2559">
        <v>80.330499950409802</v>
      </c>
      <c r="AK2559">
        <v>16.4934285023295</v>
      </c>
    </row>
    <row r="2560" spans="1:37" x14ac:dyDescent="0.2">
      <c r="A2560" t="str">
        <f>"20200111154116402"</f>
        <v>20200111154116402</v>
      </c>
      <c r="B2560" t="str">
        <f>"1578728476398756"</f>
        <v>1578728476398756</v>
      </c>
      <c r="C2560" t="s">
        <v>37</v>
      </c>
      <c r="D2560">
        <v>5.0928440000000004</v>
      </c>
      <c r="E2560">
        <v>0.54413040000000001</v>
      </c>
      <c r="F2560" t="s">
        <v>44</v>
      </c>
      <c r="G2560">
        <v>-227.5848</v>
      </c>
      <c r="H2560" s="1">
        <v>2.5748049999999998E-6</v>
      </c>
      <c r="I2560">
        <v>212.8931</v>
      </c>
      <c r="J2560">
        <v>-243.79589999999999</v>
      </c>
      <c r="K2560">
        <v>1.1105780000000001</v>
      </c>
      <c r="L2560">
        <v>215.9545</v>
      </c>
      <c r="M2560">
        <v>0.99960339999999903</v>
      </c>
      <c r="N2560">
        <v>0</v>
      </c>
      <c r="O2560">
        <v>-1.648995E-2</v>
      </c>
      <c r="P2560">
        <v>0.996886099999999</v>
      </c>
      <c r="Q2560">
        <v>4.581607E-2</v>
      </c>
      <c r="R2560">
        <v>-6.4182329999999996E-2</v>
      </c>
      <c r="S2560">
        <v>2.9836580000000001</v>
      </c>
      <c r="T2560">
        <v>-0.19686099999999901</v>
      </c>
      <c r="U2560">
        <v>-0.54450989999999999</v>
      </c>
      <c r="V2560">
        <v>4.7722260000000002E-2</v>
      </c>
      <c r="W2560">
        <v>6.8591410000000005E-2</v>
      </c>
      <c r="X2560">
        <v>0.99650280000000002</v>
      </c>
      <c r="Y2560">
        <v>0.16297349999999999</v>
      </c>
      <c r="Z2560">
        <v>-4.2490000000000002E-3</v>
      </c>
      <c r="AA2560">
        <v>0.98662129999999904</v>
      </c>
      <c r="AB2560">
        <v>62</v>
      </c>
      <c r="AC2560">
        <v>16.211099999999899</v>
      </c>
      <c r="AD2560">
        <v>-1.110575425195</v>
      </c>
      <c r="AE2560">
        <v>-3.0613999999999901</v>
      </c>
      <c r="AF2560">
        <v>2.7809912447707998</v>
      </c>
      <c r="AG2560">
        <v>-1.110575425195</v>
      </c>
      <c r="AH2560">
        <v>16.186041274690599</v>
      </c>
      <c r="AI2560">
        <v>93.868583382629893</v>
      </c>
      <c r="AJ2560">
        <v>80.250960398213607</v>
      </c>
      <c r="AK2560">
        <v>16.460717548895801</v>
      </c>
    </row>
    <row r="2561" spans="1:37" x14ac:dyDescent="0.2">
      <c r="A2561" t="str">
        <f>"20200111154116425"</f>
        <v>20200111154116425</v>
      </c>
      <c r="B2561" t="str">
        <f>"1578728476419252"</f>
        <v>1578728476419252</v>
      </c>
      <c r="C2561" t="s">
        <v>37</v>
      </c>
      <c r="D2561">
        <v>5.1612849999999897</v>
      </c>
      <c r="E2561">
        <v>0.54407839999999996</v>
      </c>
      <c r="F2561" t="s">
        <v>44</v>
      </c>
      <c r="G2561">
        <v>-227.0401</v>
      </c>
      <c r="H2561" s="1">
        <v>2.2854059999999999E-6</v>
      </c>
      <c r="I2561">
        <v>212.88149999999999</v>
      </c>
      <c r="J2561">
        <v>-243.1842</v>
      </c>
      <c r="K2561">
        <v>1.110643</v>
      </c>
      <c r="L2561">
        <v>215.9444</v>
      </c>
      <c r="M2561">
        <v>0.99959370000000003</v>
      </c>
      <c r="N2561">
        <v>0</v>
      </c>
      <c r="O2561">
        <v>-1.6454460000000001E-2</v>
      </c>
      <c r="P2561">
        <v>0.99685400000000002</v>
      </c>
      <c r="Q2561">
        <v>4.5594999999999997E-2</v>
      </c>
      <c r="R2561">
        <v>-6.4834390000000006E-2</v>
      </c>
      <c r="S2561">
        <v>2.983215</v>
      </c>
      <c r="T2561">
        <v>-0.1977276</v>
      </c>
      <c r="U2561">
        <v>-0.54711909999999997</v>
      </c>
      <c r="V2561">
        <v>4.8410099999999998E-2</v>
      </c>
      <c r="W2561">
        <v>6.8815479999999998E-2</v>
      </c>
      <c r="X2561">
        <v>0.99645419999999996</v>
      </c>
      <c r="Y2561">
        <v>0.1638645</v>
      </c>
      <c r="Z2561">
        <v>-4.29952299999999E-3</v>
      </c>
      <c r="AA2561">
        <v>0.9864735</v>
      </c>
      <c r="AB2561">
        <v>62</v>
      </c>
      <c r="AC2561">
        <v>16.144100000000002</v>
      </c>
      <c r="AD2561">
        <v>-1.110640714594</v>
      </c>
      <c r="AE2561">
        <v>-3.0629000000000102</v>
      </c>
      <c r="AF2561">
        <v>2.7840520828927402</v>
      </c>
      <c r="AG2561">
        <v>-1.110640714594</v>
      </c>
      <c r="AH2561">
        <v>16.118688930228799</v>
      </c>
      <c r="AI2561">
        <v>93.884338442586994</v>
      </c>
      <c r="AJ2561">
        <v>80.200445051960898</v>
      </c>
      <c r="AK2561">
        <v>16.3950175854329</v>
      </c>
    </row>
    <row r="2562" spans="1:37" x14ac:dyDescent="0.2">
      <c r="A2562" t="str">
        <f>"20200111154116447"</f>
        <v>20200111154116447</v>
      </c>
      <c r="B2562" t="str">
        <f>"1578728476438775"</f>
        <v>1578728476438775</v>
      </c>
      <c r="C2562" t="s">
        <v>37</v>
      </c>
      <c r="D2562">
        <v>5.1045379999999998</v>
      </c>
      <c r="E2562">
        <v>0.54409929999999995</v>
      </c>
      <c r="F2562" t="s">
        <v>44</v>
      </c>
      <c r="G2562">
        <v>-226.4966</v>
      </c>
      <c r="H2562" s="1">
        <v>1.9963930000000001E-6</v>
      </c>
      <c r="I2562">
        <v>212.8766</v>
      </c>
      <c r="J2562">
        <v>-242.5523</v>
      </c>
      <c r="K2562">
        <v>1.1107009999999999</v>
      </c>
      <c r="L2562">
        <v>215.934</v>
      </c>
      <c r="M2562">
        <v>0.99958340000000001</v>
      </c>
      <c r="N2562">
        <v>0</v>
      </c>
      <c r="O2562">
        <v>-1.6417810000000001E-2</v>
      </c>
      <c r="P2562">
        <v>0.99680329999999995</v>
      </c>
      <c r="Q2562">
        <v>4.546965E-2</v>
      </c>
      <c r="R2562">
        <v>-6.5695519999999993E-2</v>
      </c>
      <c r="S2562">
        <v>2.98287999999999</v>
      </c>
      <c r="T2562">
        <v>-0.19852449999999999</v>
      </c>
      <c r="U2562">
        <v>-0.54835509999999998</v>
      </c>
      <c r="V2562">
        <v>4.9308310000000001E-2</v>
      </c>
      <c r="W2562">
        <v>6.9149399999999903E-2</v>
      </c>
      <c r="X2562">
        <v>0.99638700000000002</v>
      </c>
      <c r="Y2562">
        <v>0.16431199999999899</v>
      </c>
      <c r="Z2562">
        <v>-4.334287E-3</v>
      </c>
      <c r="AA2562">
        <v>0.98639889999999997</v>
      </c>
      <c r="AB2562">
        <v>62</v>
      </c>
      <c r="AC2562">
        <v>16.055700000000002</v>
      </c>
      <c r="AD2562">
        <v>-1.1106990036069999</v>
      </c>
      <c r="AE2562">
        <v>-3.0574000000000199</v>
      </c>
      <c r="AF2562">
        <v>2.7804734064051302</v>
      </c>
      <c r="AG2562">
        <v>-1.1106990036069999</v>
      </c>
      <c r="AH2562">
        <v>16.0297176253139</v>
      </c>
      <c r="AI2562">
        <v>93.9055546414464</v>
      </c>
      <c r="AJ2562">
        <v>80.159534107494906</v>
      </c>
      <c r="AK2562">
        <v>16.306947347300699</v>
      </c>
    </row>
    <row r="2563" spans="1:37" x14ac:dyDescent="0.2">
      <c r="A2563" t="str">
        <f>"20200111154116468"</f>
        <v>20200111154116468</v>
      </c>
      <c r="B2563" t="str">
        <f>"1578728476459269"</f>
        <v>1578728476459269</v>
      </c>
      <c r="C2563" t="s">
        <v>37</v>
      </c>
      <c r="D2563">
        <v>5.0929159999999998</v>
      </c>
      <c r="E2563">
        <v>0.54413210000000001</v>
      </c>
      <c r="F2563" t="s">
        <v>44</v>
      </c>
      <c r="G2563">
        <v>-225.8836</v>
      </c>
      <c r="H2563" s="1">
        <v>1.671223E-6</v>
      </c>
      <c r="I2563">
        <v>212.85319999999999</v>
      </c>
      <c r="J2563">
        <v>-241.98060000000001</v>
      </c>
      <c r="K2563">
        <v>1.110757</v>
      </c>
      <c r="L2563">
        <v>215.9247</v>
      </c>
      <c r="M2563">
        <v>0.99957419999999997</v>
      </c>
      <c r="N2563">
        <v>0</v>
      </c>
      <c r="O2563">
        <v>-1.6384840000000001E-2</v>
      </c>
      <c r="P2563">
        <v>0.99674859999999899</v>
      </c>
      <c r="Q2563">
        <v>4.5290900000000002E-2</v>
      </c>
      <c r="R2563">
        <v>-6.6643820000000006E-2</v>
      </c>
      <c r="S2563">
        <v>2.982361</v>
      </c>
      <c r="T2563">
        <v>-0.19872609999999999</v>
      </c>
      <c r="U2563">
        <v>-0.55122380000000004</v>
      </c>
      <c r="V2563">
        <v>5.0289880000000002E-2</v>
      </c>
      <c r="W2563">
        <v>6.9377739999999993E-2</v>
      </c>
      <c r="X2563">
        <v>0.99632199999999904</v>
      </c>
      <c r="Y2563">
        <v>0.16528950000000001</v>
      </c>
      <c r="Z2563">
        <v>-4.3734719999999998E-3</v>
      </c>
      <c r="AA2563">
        <v>0.98623539999999998</v>
      </c>
      <c r="AB2563">
        <v>61</v>
      </c>
      <c r="AC2563">
        <v>16.097000000000001</v>
      </c>
      <c r="AD2563">
        <v>-1.110755328777</v>
      </c>
      <c r="AE2563">
        <v>-3.0715000000000101</v>
      </c>
      <c r="AF2563">
        <v>2.7944254405428199</v>
      </c>
      <c r="AG2563">
        <v>-1.110755328777</v>
      </c>
      <c r="AH2563">
        <v>16.071342639026302</v>
      </c>
      <c r="AI2563">
        <v>93.8953930829434</v>
      </c>
      <c r="AJ2563">
        <v>80.136237041825694</v>
      </c>
      <c r="AK2563">
        <v>16.3502490856912</v>
      </c>
    </row>
    <row r="2564" spans="1:37" x14ac:dyDescent="0.2">
      <c r="A2564" t="str">
        <f>"20200111154116491"</f>
        <v>20200111154116491</v>
      </c>
      <c r="B2564" t="str">
        <f>"1578728476478789"</f>
        <v>1578728476478789</v>
      </c>
      <c r="C2564" t="s">
        <v>37</v>
      </c>
      <c r="D2564">
        <v>5.0845510000000003</v>
      </c>
      <c r="E2564">
        <v>0.54417299999999902</v>
      </c>
      <c r="F2564" t="s">
        <v>44</v>
      </c>
      <c r="G2564">
        <v>-225.37200000000001</v>
      </c>
      <c r="H2564" s="1">
        <v>1.3996009999999999E-6</v>
      </c>
      <c r="I2564">
        <v>212.8389</v>
      </c>
      <c r="J2564">
        <v>-241.36959999999999</v>
      </c>
      <c r="K2564">
        <v>1.110814</v>
      </c>
      <c r="L2564">
        <v>215.91470000000001</v>
      </c>
      <c r="M2564">
        <v>0.99956429999999996</v>
      </c>
      <c r="N2564">
        <v>0</v>
      </c>
      <c r="O2564">
        <v>-1.6349269999999999E-2</v>
      </c>
      <c r="P2564">
        <v>0.99671169999999998</v>
      </c>
      <c r="Q2564">
        <v>4.5128750000000002E-2</v>
      </c>
      <c r="R2564">
        <v>-6.7297620000000002E-2</v>
      </c>
      <c r="S2564">
        <v>2.981827</v>
      </c>
      <c r="T2564">
        <v>-0.19941909999999999</v>
      </c>
      <c r="U2564">
        <v>-0.55400090000000002</v>
      </c>
      <c r="V2564">
        <v>5.097985E-2</v>
      </c>
      <c r="W2564">
        <v>6.9637939999999995E-2</v>
      </c>
      <c r="X2564">
        <v>0.99626890000000001</v>
      </c>
      <c r="Y2564">
        <v>0.16623959999999999</v>
      </c>
      <c r="Z2564">
        <v>-4.4229059999999999E-3</v>
      </c>
      <c r="AA2564">
        <v>0.98607549999999899</v>
      </c>
      <c r="AB2564">
        <v>61</v>
      </c>
      <c r="AC2564">
        <v>15.997599999999901</v>
      </c>
      <c r="AD2564">
        <v>-1.110812600399</v>
      </c>
      <c r="AE2564">
        <v>-3.0758000000000099</v>
      </c>
      <c r="AF2564">
        <v>2.8007384877264299</v>
      </c>
      <c r="AG2564">
        <v>-1.110812600399</v>
      </c>
      <c r="AH2564">
        <v>15.971503095658599</v>
      </c>
      <c r="AI2564">
        <v>93.918888083034005</v>
      </c>
      <c r="AJ2564">
        <v>80.053826707876297</v>
      </c>
      <c r="AK2564">
        <v>16.253213585148998</v>
      </c>
    </row>
    <row r="2565" spans="1:37" x14ac:dyDescent="0.2">
      <c r="A2565" t="str">
        <f>"20200111154116513"</f>
        <v>20200111154116513</v>
      </c>
      <c r="B2565" t="str">
        <f>"1578728476509045"</f>
        <v>1578728476509045</v>
      </c>
      <c r="C2565" t="s">
        <v>37</v>
      </c>
      <c r="D2565">
        <v>5.0703809999999896</v>
      </c>
      <c r="E2565">
        <v>0.54423920000000003</v>
      </c>
      <c r="F2565" t="s">
        <v>44</v>
      </c>
      <c r="G2565">
        <v>-224.79499999999999</v>
      </c>
      <c r="H2565" s="1">
        <v>1.0932529999999999E-6</v>
      </c>
      <c r="I2565">
        <v>212.82259999999999</v>
      </c>
      <c r="J2565">
        <v>-240.76150000000001</v>
      </c>
      <c r="K2565">
        <v>1.1108659999999999</v>
      </c>
      <c r="L2565">
        <v>215.90479999999999</v>
      </c>
      <c r="M2565">
        <v>0.99955450000000001</v>
      </c>
      <c r="N2565">
        <v>0</v>
      </c>
      <c r="O2565">
        <v>-1.6313660000000001E-2</v>
      </c>
      <c r="P2565">
        <v>0.99671659999999995</v>
      </c>
      <c r="Q2565">
        <v>4.4473810000000003E-2</v>
      </c>
      <c r="R2565">
        <v>-6.7663360000000006E-2</v>
      </c>
      <c r="S2565">
        <v>2.9813839999999998</v>
      </c>
      <c r="T2565">
        <v>-0.1998085</v>
      </c>
      <c r="U2565">
        <v>-0.55618290000000004</v>
      </c>
      <c r="V2565">
        <v>5.1380969999999998E-2</v>
      </c>
      <c r="W2565">
        <v>6.9405330000000001E-2</v>
      </c>
      <c r="X2565">
        <v>0.9962645</v>
      </c>
      <c r="Y2565">
        <v>0.16699529999999899</v>
      </c>
      <c r="Z2565">
        <v>-4.4593059999999997E-3</v>
      </c>
      <c r="AA2565">
        <v>0.98594760000000004</v>
      </c>
      <c r="AB2565">
        <v>61</v>
      </c>
      <c r="AC2565">
        <v>15.9665</v>
      </c>
      <c r="AD2565">
        <v>-1.110864906747</v>
      </c>
      <c r="AE2565">
        <v>-3.0821999999999998</v>
      </c>
      <c r="AF2565">
        <v>2.8081313213463401</v>
      </c>
      <c r="AG2565">
        <v>-1.110864906747</v>
      </c>
      <c r="AH2565">
        <v>15.9402824806787</v>
      </c>
      <c r="AI2565">
        <v>93.926185232123302</v>
      </c>
      <c r="AJ2565">
        <v>80.008961264054307</v>
      </c>
      <c r="AK2565">
        <v>16.223816687906702</v>
      </c>
    </row>
    <row r="2566" spans="1:37" x14ac:dyDescent="0.2">
      <c r="A2566" t="str">
        <f>"20200111154116531"</f>
        <v>20200111154116531</v>
      </c>
      <c r="B2566" t="str">
        <f>"1578728476528566"</f>
        <v>1578728476528566</v>
      </c>
      <c r="C2566" t="s">
        <v>37</v>
      </c>
      <c r="D2566">
        <v>5.1025650000000002</v>
      </c>
      <c r="E2566">
        <v>0.54428739999999998</v>
      </c>
      <c r="F2566" t="s">
        <v>44</v>
      </c>
      <c r="G2566">
        <v>-224.32669999999999</v>
      </c>
      <c r="H2566" s="1">
        <v>8.4375209999999996E-7</v>
      </c>
      <c r="I2566">
        <v>212.82929999999999</v>
      </c>
      <c r="J2566">
        <v>-240.28649999999999</v>
      </c>
      <c r="K2566">
        <v>1.1109100000000001</v>
      </c>
      <c r="L2566">
        <v>215.89699999999999</v>
      </c>
      <c r="M2566">
        <v>0.99954659999999995</v>
      </c>
      <c r="N2566">
        <v>0</v>
      </c>
      <c r="O2566">
        <v>-1.6285830000000001E-2</v>
      </c>
      <c r="P2566">
        <v>0.996720099999999</v>
      </c>
      <c r="Q2566">
        <v>4.4242629999999998E-2</v>
      </c>
      <c r="R2566">
        <v>-6.7763279999999995E-2</v>
      </c>
      <c r="S2566">
        <v>2.980988</v>
      </c>
      <c r="T2566">
        <v>-0.20149139999999999</v>
      </c>
      <c r="U2566">
        <v>-0.55783079999999996</v>
      </c>
      <c r="V2566">
        <v>5.1508489999999997E-2</v>
      </c>
      <c r="W2566">
        <v>6.9504759999999999E-2</v>
      </c>
      <c r="X2566">
        <v>0.99625090000000005</v>
      </c>
      <c r="Y2566">
        <v>0.16756599999999999</v>
      </c>
      <c r="Z2566">
        <v>-4.5180970000000004E-3</v>
      </c>
      <c r="AA2566">
        <v>0.98585049999999996</v>
      </c>
      <c r="AB2566">
        <v>61</v>
      </c>
      <c r="AC2566">
        <v>15.9598</v>
      </c>
      <c r="AD2566">
        <v>-1.1109091562479001</v>
      </c>
      <c r="AE2566">
        <v>-3.0677000000000301</v>
      </c>
      <c r="AF2566">
        <v>2.7942349488225799</v>
      </c>
      <c r="AG2566">
        <v>-1.1109091562479001</v>
      </c>
      <c r="AH2566">
        <v>15.9332107265946</v>
      </c>
      <c r="AI2566">
        <v>93.928608468004398</v>
      </c>
      <c r="AJ2566">
        <v>80.053089359835994</v>
      </c>
      <c r="AK2566">
        <v>16.214471072493499</v>
      </c>
    </row>
    <row r="2567" spans="1:37" x14ac:dyDescent="0.2">
      <c r="A2567" t="str">
        <f>"20200111154116547"</f>
        <v>20200111154116547</v>
      </c>
      <c r="B2567" t="str">
        <f>"1578728476538326"</f>
        <v>1578728476538326</v>
      </c>
      <c r="C2567" t="s">
        <v>37</v>
      </c>
      <c r="D2567">
        <v>5.0910650000000004</v>
      </c>
      <c r="E2567">
        <v>0.54432130000000001</v>
      </c>
      <c r="F2567" t="s">
        <v>44</v>
      </c>
      <c r="G2567">
        <v>-223.8991</v>
      </c>
      <c r="H2567" s="1">
        <v>6.1634999999999898E-7</v>
      </c>
      <c r="I2567">
        <v>212.8271</v>
      </c>
      <c r="J2567">
        <v>-239.84819999999999</v>
      </c>
      <c r="K2567">
        <v>1.1109500000000001</v>
      </c>
      <c r="L2567">
        <v>215.88990000000001</v>
      </c>
      <c r="M2567">
        <v>0.99953930000000002</v>
      </c>
      <c r="N2567">
        <v>0</v>
      </c>
      <c r="O2567">
        <v>-1.626002E-2</v>
      </c>
      <c r="P2567">
        <v>0.99674859999999899</v>
      </c>
      <c r="Q2567">
        <v>4.3286959999999999E-2</v>
      </c>
      <c r="R2567">
        <v>-6.7960580000000007E-2</v>
      </c>
      <c r="S2567">
        <v>2.9808810000000001</v>
      </c>
      <c r="T2567">
        <v>-0.20207539999999999</v>
      </c>
      <c r="U2567">
        <v>-0.55842590000000003</v>
      </c>
      <c r="V2567">
        <v>5.1731039999999999E-2</v>
      </c>
      <c r="W2567">
        <v>6.8849709999999995E-2</v>
      </c>
      <c r="X2567">
        <v>0.99628490000000003</v>
      </c>
      <c r="Y2567">
        <v>0.1677854</v>
      </c>
      <c r="Z2567">
        <v>-4.5403279999999997E-3</v>
      </c>
      <c r="AA2567">
        <v>0.985813099999999</v>
      </c>
      <c r="AB2567">
        <v>60</v>
      </c>
      <c r="AC2567">
        <v>15.9490999999999</v>
      </c>
      <c r="AD2567">
        <v>-1.11094938365</v>
      </c>
      <c r="AE2567">
        <v>-3.0628000000000002</v>
      </c>
      <c r="AF2567">
        <v>2.7899218179559102</v>
      </c>
      <c r="AG2567">
        <v>-1.11094938365</v>
      </c>
      <c r="AH2567">
        <v>15.9223011014844</v>
      </c>
      <c r="AI2567">
        <v>93.931534203780501</v>
      </c>
      <c r="AJ2567">
        <v>80.061467813572307</v>
      </c>
      <c r="AK2567">
        <v>16.203010357636298</v>
      </c>
    </row>
    <row r="2568" spans="1:37" x14ac:dyDescent="0.2">
      <c r="A2568" t="str">
        <f>"20200111154116569"</f>
        <v>20200111154116569</v>
      </c>
      <c r="B2568" t="str">
        <f>"1578728476558821"</f>
        <v>1578728476558821</v>
      </c>
      <c r="C2568" t="s">
        <v>37</v>
      </c>
      <c r="D2568">
        <v>5.0950809999999898</v>
      </c>
      <c r="E2568">
        <v>0.5444215</v>
      </c>
      <c r="F2568" t="s">
        <v>44</v>
      </c>
      <c r="G2568">
        <v>-223.67439999999999</v>
      </c>
      <c r="H2568" s="1">
        <v>4.9548770000000002E-7</v>
      </c>
      <c r="I2568">
        <v>212.85560000000001</v>
      </c>
      <c r="J2568">
        <v>-239.25200000000001</v>
      </c>
      <c r="K2568">
        <v>1.111002</v>
      </c>
      <c r="L2568">
        <v>215.88030000000001</v>
      </c>
      <c r="M2568">
        <v>0.99952999999999903</v>
      </c>
      <c r="N2568">
        <v>0</v>
      </c>
      <c r="O2568">
        <v>-1.6225429999999999E-2</v>
      </c>
      <c r="P2568">
        <v>0.9967625</v>
      </c>
      <c r="Q2568">
        <v>4.277835E-2</v>
      </c>
      <c r="R2568">
        <v>-6.8080840000000004E-2</v>
      </c>
      <c r="S2568">
        <v>2.9805450000000002</v>
      </c>
      <c r="T2568">
        <v>-0.2047273</v>
      </c>
      <c r="U2568">
        <v>-0.55917359999999905</v>
      </c>
      <c r="V2568">
        <v>5.1885510000000003E-2</v>
      </c>
      <c r="W2568">
        <v>6.8723179999999995E-2</v>
      </c>
      <c r="X2568">
        <v>0.99628559999999999</v>
      </c>
      <c r="Y2568">
        <v>0.16806860000000001</v>
      </c>
      <c r="Z2568">
        <v>-4.6121540000000003E-3</v>
      </c>
      <c r="AA2568">
        <v>0.98576450000000004</v>
      </c>
      <c r="AB2568">
        <v>60</v>
      </c>
      <c r="AC2568">
        <v>15.5776</v>
      </c>
      <c r="AD2568">
        <v>-1.1110015045123001</v>
      </c>
      <c r="AE2568">
        <v>-3.02469999999999</v>
      </c>
      <c r="AF2568">
        <v>2.7579438697267902</v>
      </c>
      <c r="AG2568">
        <v>-1.1110015045123001</v>
      </c>
      <c r="AH2568">
        <v>15.548426354429701</v>
      </c>
      <c r="AI2568">
        <v>94.024472786870703</v>
      </c>
      <c r="AJ2568">
        <v>79.941624876210099</v>
      </c>
      <c r="AK2568">
        <v>15.830165533901299</v>
      </c>
    </row>
    <row r="2569" spans="1:37" x14ac:dyDescent="0.2">
      <c r="A2569" t="str">
        <f>"20200111154116591"</f>
        <v>20200111154116591</v>
      </c>
      <c r="B2569" t="str">
        <f>"1578728476578340"</f>
        <v>1578728476578340</v>
      </c>
      <c r="C2569" t="s">
        <v>37</v>
      </c>
      <c r="D2569">
        <v>5.0770269999999904</v>
      </c>
      <c r="E2569">
        <v>0.54450959999999904</v>
      </c>
      <c r="F2569" t="s">
        <v>44</v>
      </c>
      <c r="G2569">
        <v>-223.1551</v>
      </c>
      <c r="H2569" s="1">
        <v>2.19233799999999E-7</v>
      </c>
      <c r="I2569">
        <v>212.85380000000001</v>
      </c>
      <c r="J2569">
        <v>-238.68299999999999</v>
      </c>
      <c r="K2569">
        <v>1.1110420000000001</v>
      </c>
      <c r="L2569">
        <v>215.87099999999899</v>
      </c>
      <c r="M2569">
        <v>0.99952169999999896</v>
      </c>
      <c r="N2569">
        <v>0</v>
      </c>
      <c r="O2569">
        <v>-1.6192430000000001E-2</v>
      </c>
      <c r="P2569">
        <v>0.99677769999999999</v>
      </c>
      <c r="Q2569">
        <v>4.2631189999999999E-2</v>
      </c>
      <c r="R2569">
        <v>-6.7946549999999994E-2</v>
      </c>
      <c r="S2569">
        <v>2.980286</v>
      </c>
      <c r="T2569">
        <v>-0.2056982</v>
      </c>
      <c r="U2569">
        <v>-0.56033330000000003</v>
      </c>
      <c r="V2569">
        <v>5.1784009999999998E-2</v>
      </c>
      <c r="W2569">
        <v>6.8908700000000003E-2</v>
      </c>
      <c r="X2569">
        <v>0.996278</v>
      </c>
      <c r="Y2569">
        <v>0.16848279999999999</v>
      </c>
      <c r="Z2569">
        <v>-4.650604E-3</v>
      </c>
      <c r="AA2569">
        <v>0.98569359999999995</v>
      </c>
      <c r="AB2569">
        <v>60</v>
      </c>
      <c r="AC2569">
        <v>15.527899999999899</v>
      </c>
      <c r="AD2569">
        <v>-1.1110417807662001</v>
      </c>
      <c r="AE2569">
        <v>-3.0171999999999701</v>
      </c>
      <c r="AF2569">
        <v>2.7517073218560402</v>
      </c>
      <c r="AG2569">
        <v>-1.1110417807662001</v>
      </c>
      <c r="AH2569">
        <v>15.4982774290098</v>
      </c>
      <c r="AI2569">
        <v>94.037479185205399</v>
      </c>
      <c r="AJ2569">
        <v>79.932095802295805</v>
      </c>
      <c r="AK2569">
        <v>15.7798260538676</v>
      </c>
    </row>
    <row r="2570" spans="1:37" x14ac:dyDescent="0.2">
      <c r="A2570" t="str">
        <f>"20200111154116615"</f>
        <v>20200111154116615</v>
      </c>
      <c r="B2570" t="str">
        <f>"1578728476608596"</f>
        <v>1578728476608596</v>
      </c>
      <c r="C2570" t="s">
        <v>37</v>
      </c>
      <c r="D2570">
        <v>5.0749789999999999</v>
      </c>
      <c r="E2570">
        <v>0.54469350000000005</v>
      </c>
      <c r="F2570" t="s">
        <v>44</v>
      </c>
      <c r="G2570">
        <v>-222.58969999999999</v>
      </c>
      <c r="H2570" s="1">
        <v>-8.1175369999999897E-8</v>
      </c>
      <c r="I2570">
        <v>212.8432</v>
      </c>
      <c r="J2570">
        <v>-238.05840000000001</v>
      </c>
      <c r="K2570">
        <v>1.111083</v>
      </c>
      <c r="L2570">
        <v>215.86089999999999</v>
      </c>
      <c r="M2570">
        <v>0.99951369999999895</v>
      </c>
      <c r="N2570">
        <v>0</v>
      </c>
      <c r="O2570">
        <v>-1.6155369999999999E-2</v>
      </c>
      <c r="P2570">
        <v>0.99679769999999901</v>
      </c>
      <c r="Q2570">
        <v>4.2188629999999998E-2</v>
      </c>
      <c r="R2570">
        <v>-6.7930760000000007E-2</v>
      </c>
      <c r="S2570">
        <v>2.98027</v>
      </c>
      <c r="T2570">
        <v>-0.205750299999999</v>
      </c>
      <c r="U2570">
        <v>-0.56071470000000001</v>
      </c>
      <c r="V2570">
        <v>5.1804900000000001E-2</v>
      </c>
      <c r="W2570">
        <v>6.8795949999999995E-2</v>
      </c>
      <c r="X2570">
        <v>0.99628479999999997</v>
      </c>
      <c r="Y2570">
        <v>0.16864129999999899</v>
      </c>
      <c r="Z2570">
        <v>-4.6596900000000002E-3</v>
      </c>
      <c r="AA2570">
        <v>0.9856665</v>
      </c>
      <c r="AB2570">
        <v>59</v>
      </c>
      <c r="AC2570">
        <v>15.4687</v>
      </c>
      <c r="AD2570">
        <v>-1.11108308117537</v>
      </c>
      <c r="AE2570">
        <v>-3.0176999999999898</v>
      </c>
      <c r="AF2570">
        <v>2.7536286145342301</v>
      </c>
      <c r="AG2570">
        <v>-1.11108308117537</v>
      </c>
      <c r="AH2570">
        <v>15.438717458970601</v>
      </c>
      <c r="AI2570">
        <v>94.052589493774605</v>
      </c>
      <c r="AJ2570">
        <v>79.887144033793604</v>
      </c>
      <c r="AK2570">
        <v>15.7216720783121</v>
      </c>
    </row>
    <row r="2571" spans="1:37" x14ac:dyDescent="0.2">
      <c r="A2571" t="str">
        <f>"20200111154116636"</f>
        <v>20200111154116636</v>
      </c>
      <c r="B2571" t="str">
        <f>"1578728476629095"</f>
        <v>1578728476629095</v>
      </c>
      <c r="C2571" t="s">
        <v>37</v>
      </c>
      <c r="D2571">
        <v>5.1605930000000004</v>
      </c>
      <c r="E2571">
        <v>0.54476139999999995</v>
      </c>
      <c r="F2571" t="s">
        <v>44</v>
      </c>
      <c r="G2571">
        <v>-221.99889999999999</v>
      </c>
      <c r="H2571" s="1">
        <v>-3.9503639999999999E-7</v>
      </c>
      <c r="I2571">
        <v>212.83150000000001</v>
      </c>
      <c r="J2571">
        <v>-237.48140000000001</v>
      </c>
      <c r="K2571">
        <v>1.1111139999999999</v>
      </c>
      <c r="L2571">
        <v>215.85169999999999</v>
      </c>
      <c r="M2571">
        <v>0.99950699999999904</v>
      </c>
      <c r="N2571">
        <v>0</v>
      </c>
      <c r="O2571">
        <v>-1.611771E-2</v>
      </c>
      <c r="P2571">
        <v>0.99678020000000001</v>
      </c>
      <c r="Q2571">
        <v>4.1776290000000001E-2</v>
      </c>
      <c r="R2571">
        <v>-6.8442680000000006E-2</v>
      </c>
      <c r="S2571">
        <v>2.980057</v>
      </c>
      <c r="T2571">
        <v>-0.2061772</v>
      </c>
      <c r="U2571">
        <v>-0.56216429999999995</v>
      </c>
      <c r="V2571">
        <v>5.2354230000000002E-2</v>
      </c>
      <c r="W2571">
        <v>6.8656120000000001E-2</v>
      </c>
      <c r="X2571">
        <v>0.99626569999999903</v>
      </c>
      <c r="Y2571">
        <v>0.16915150000000001</v>
      </c>
      <c r="Z2571">
        <v>-4.6895039999999997E-3</v>
      </c>
      <c r="AA2571">
        <v>0.98557890000000004</v>
      </c>
      <c r="AB2571">
        <v>59</v>
      </c>
      <c r="AC2571">
        <v>15.4825</v>
      </c>
      <c r="AD2571">
        <v>-1.1111143950364</v>
      </c>
      <c r="AE2571">
        <v>-3.02019999999998</v>
      </c>
      <c r="AF2571">
        <v>2.7564978659985599</v>
      </c>
      <c r="AG2571">
        <v>-1.1111143950364</v>
      </c>
      <c r="AH2571">
        <v>15.452515612217899</v>
      </c>
      <c r="AI2571">
        <v>94.049078122889696</v>
      </c>
      <c r="AJ2571">
        <v>79.885677042163096</v>
      </c>
      <c r="AK2571">
        <v>15.735726688969599</v>
      </c>
    </row>
    <row r="2572" spans="1:37" x14ac:dyDescent="0.2">
      <c r="A2572" t="str">
        <f>"20200111154116658"</f>
        <v>20200111154116658</v>
      </c>
      <c r="B2572" t="str">
        <f>"1578728476648613"</f>
        <v>1578728476648613</v>
      </c>
      <c r="C2572" t="s">
        <v>37</v>
      </c>
      <c r="D2572">
        <v>5.149457</v>
      </c>
      <c r="E2572">
        <v>0.54465090000000005</v>
      </c>
      <c r="F2572" t="s">
        <v>44</v>
      </c>
      <c r="G2572">
        <v>-221.48929999999999</v>
      </c>
      <c r="H2572" s="1">
        <v>-6.6594389999999995E-7</v>
      </c>
      <c r="I2572">
        <v>212.82470000000001</v>
      </c>
      <c r="J2572">
        <v>-236.91069999999999</v>
      </c>
      <c r="K2572">
        <v>1.111148</v>
      </c>
      <c r="L2572">
        <v>215.8425</v>
      </c>
      <c r="M2572">
        <v>0.99950099999999997</v>
      </c>
      <c r="N2572">
        <v>0</v>
      </c>
      <c r="O2572">
        <v>-1.607422E-2</v>
      </c>
      <c r="P2572">
        <v>0.99676309999999901</v>
      </c>
      <c r="Q2572">
        <v>4.1570030000000001E-2</v>
      </c>
      <c r="R2572">
        <v>-6.8815710000000002E-2</v>
      </c>
      <c r="S2572">
        <v>2.9796299999999998</v>
      </c>
      <c r="T2572">
        <v>-0.20702179999999901</v>
      </c>
      <c r="U2572">
        <v>-0.56398009999999998</v>
      </c>
      <c r="V2572">
        <v>5.2770379999999999E-2</v>
      </c>
      <c r="W2572">
        <v>6.8689879999999995E-2</v>
      </c>
      <c r="X2572">
        <v>0.9962415</v>
      </c>
      <c r="Y2572">
        <v>0.16979530000000001</v>
      </c>
      <c r="Z2572">
        <v>-4.7341930000000003E-3</v>
      </c>
      <c r="AA2572">
        <v>0.98546800000000001</v>
      </c>
      <c r="AB2572">
        <v>59</v>
      </c>
      <c r="AC2572">
        <v>15.4214</v>
      </c>
      <c r="AD2572">
        <v>-1.1111486659438901</v>
      </c>
      <c r="AE2572">
        <v>-3.01779999999999</v>
      </c>
      <c r="AF2572">
        <v>2.7556526855771102</v>
      </c>
      <c r="AG2572">
        <v>-1.1111486659438901</v>
      </c>
      <c r="AH2572">
        <v>15.3909768272782</v>
      </c>
      <c r="AI2572">
        <v>94.064876701687794</v>
      </c>
      <c r="AJ2572">
        <v>79.84912466278</v>
      </c>
      <c r="AK2572">
        <v>15.6751536126181</v>
      </c>
    </row>
    <row r="2573" spans="1:37" x14ac:dyDescent="0.2">
      <c r="A2573" t="str">
        <f>"20200111154116680"</f>
        <v>20200111154116680</v>
      </c>
      <c r="B2573" t="str">
        <f>"1578728476669109"</f>
        <v>1578728476669109</v>
      </c>
      <c r="C2573" t="s">
        <v>37</v>
      </c>
      <c r="D2573">
        <v>5.1231799999999996</v>
      </c>
      <c r="E2573">
        <v>0.5252386</v>
      </c>
      <c r="F2573" t="s">
        <v>44</v>
      </c>
      <c r="G2573">
        <v>-220.9588</v>
      </c>
      <c r="H2573" s="1">
        <v>-9.4812010000000004E-7</v>
      </c>
      <c r="I2573">
        <v>212.82169999999999</v>
      </c>
      <c r="J2573">
        <v>-236.34119999999999</v>
      </c>
      <c r="K2573">
        <v>1.1111819999999999</v>
      </c>
      <c r="L2573">
        <v>215.83340000000001</v>
      </c>
      <c r="M2573">
        <v>0.99949619999999995</v>
      </c>
      <c r="N2573">
        <v>0</v>
      </c>
      <c r="O2573">
        <v>-1.601928E-2</v>
      </c>
      <c r="P2573">
        <v>0.99671390000000004</v>
      </c>
      <c r="Q2573">
        <v>4.1423290000000001E-2</v>
      </c>
      <c r="R2573">
        <v>-6.9611619999999999E-2</v>
      </c>
      <c r="S2573">
        <v>2.9794770000000002</v>
      </c>
      <c r="T2573">
        <v>-0.2075388</v>
      </c>
      <c r="U2573">
        <v>-0.56422419999999995</v>
      </c>
      <c r="V2573">
        <v>5.3620679999999997E-2</v>
      </c>
      <c r="W2573">
        <v>6.8755540000000004E-2</v>
      </c>
      <c r="X2573">
        <v>0.99619150000000001</v>
      </c>
      <c r="Y2573">
        <v>0.16993429999999901</v>
      </c>
      <c r="Z2573">
        <v>-4.7547639999999999E-3</v>
      </c>
      <c r="AA2573">
        <v>0.98544390000000004</v>
      </c>
      <c r="AB2573">
        <v>59</v>
      </c>
      <c r="AC2573">
        <v>15.382399999999899</v>
      </c>
      <c r="AD2573">
        <v>-1.1111829481201001</v>
      </c>
      <c r="AE2573">
        <v>-3.01170000000001</v>
      </c>
      <c r="AF2573">
        <v>2.7509804650641798</v>
      </c>
      <c r="AG2573">
        <v>-1.1111829481201001</v>
      </c>
      <c r="AH2573">
        <v>15.3515376997914</v>
      </c>
      <c r="AI2573">
        <v>94.075300110496798</v>
      </c>
      <c r="AJ2573">
        <v>79.840485157342599</v>
      </c>
      <c r="AK2573">
        <v>15.6356109829924</v>
      </c>
    </row>
    <row r="2574" spans="1:37" x14ac:dyDescent="0.2">
      <c r="A2574" t="str">
        <f>"20200111154116703"</f>
        <v>20200111154116703</v>
      </c>
      <c r="B2574" t="str">
        <f>"1578728476698388"</f>
        <v>1578728476698388</v>
      </c>
      <c r="C2574" t="s">
        <v>37</v>
      </c>
      <c r="D2574">
        <v>5.1331300000000004</v>
      </c>
      <c r="E2574">
        <v>0.52856250000000005</v>
      </c>
      <c r="F2574" t="s">
        <v>44</v>
      </c>
      <c r="G2574">
        <v>-213.2191</v>
      </c>
      <c r="H2574" s="1">
        <v>2.622575E-7</v>
      </c>
      <c r="I2574">
        <v>212.6491</v>
      </c>
      <c r="J2574">
        <v>-235.75729999999999</v>
      </c>
      <c r="K2574">
        <v>1.1112219999999999</v>
      </c>
      <c r="L2574">
        <v>215.82409999999999</v>
      </c>
      <c r="M2574">
        <v>0.99949209999999999</v>
      </c>
      <c r="N2574">
        <v>0</v>
      </c>
      <c r="O2574">
        <v>-1.5945049999999999E-2</v>
      </c>
      <c r="P2574">
        <v>0.99666399999999999</v>
      </c>
      <c r="Q2574">
        <v>4.1479460000000003E-2</v>
      </c>
      <c r="R2574">
        <v>-7.0291329999999999E-2</v>
      </c>
      <c r="S2574">
        <v>2.9870909999999999</v>
      </c>
      <c r="T2574">
        <v>-0.14355100000000001</v>
      </c>
      <c r="U2574">
        <v>-0.41137699999999999</v>
      </c>
      <c r="V2574">
        <v>5.4373030000000003E-2</v>
      </c>
      <c r="W2574">
        <v>6.9003369999999994E-2</v>
      </c>
      <c r="X2574">
        <v>0.99613359999999995</v>
      </c>
      <c r="Y2574">
        <v>0.120492899999999</v>
      </c>
      <c r="Z2574">
        <v>-2.117734E-3</v>
      </c>
      <c r="AA2574">
        <v>0.99271200000000004</v>
      </c>
      <c r="AB2574">
        <v>58</v>
      </c>
      <c r="AC2574">
        <v>22.5381999999999</v>
      </c>
      <c r="AD2574">
        <v>-1.1112217377425</v>
      </c>
      <c r="AE2574">
        <v>-3.1749999999999798</v>
      </c>
      <c r="AF2574">
        <v>2.80839243988195</v>
      </c>
      <c r="AG2574">
        <v>-1.1112217377425</v>
      </c>
      <c r="AH2574">
        <v>22.532269980599398</v>
      </c>
      <c r="AI2574">
        <v>92.801719570560195</v>
      </c>
      <c r="AJ2574">
        <v>82.895368043332496</v>
      </c>
      <c r="AK2574">
        <v>22.733787021203401</v>
      </c>
    </row>
    <row r="2575" spans="1:37" x14ac:dyDescent="0.2">
      <c r="A2575" t="str">
        <f>"20200111154116726"</f>
        <v>20200111154116726</v>
      </c>
      <c r="B2575" t="str">
        <f>"1578728476718887"</f>
        <v>1578728476718887</v>
      </c>
      <c r="C2575" t="s">
        <v>37</v>
      </c>
      <c r="D2575">
        <v>5.1594749999999996</v>
      </c>
      <c r="E2575">
        <v>0.52973440000000005</v>
      </c>
      <c r="F2575" t="s">
        <v>44</v>
      </c>
      <c r="G2575">
        <v>-213.52099999999999</v>
      </c>
      <c r="H2575" s="1">
        <v>4.2747520000000002E-7</v>
      </c>
      <c r="I2575">
        <v>212.54499999999999</v>
      </c>
      <c r="J2575">
        <v>-235.1515</v>
      </c>
      <c r="K2575">
        <v>1.111272</v>
      </c>
      <c r="L2575">
        <v>215.81450000000001</v>
      </c>
      <c r="M2575">
        <v>0.99948909999999902</v>
      </c>
      <c r="N2575">
        <v>0</v>
      </c>
      <c r="O2575">
        <v>-1.583876E-2</v>
      </c>
      <c r="P2575">
        <v>0.99660659999999901</v>
      </c>
      <c r="Q2575">
        <v>4.1778330000000002E-2</v>
      </c>
      <c r="R2575">
        <v>-7.0923570000000005E-2</v>
      </c>
      <c r="S2575">
        <v>2.9851839999999998</v>
      </c>
      <c r="T2575">
        <v>-0.149179799999999</v>
      </c>
      <c r="U2575">
        <v>-0.4402161</v>
      </c>
      <c r="V2575">
        <v>5.5108400000000002E-2</v>
      </c>
      <c r="W2575">
        <v>6.947383E-2</v>
      </c>
      <c r="X2575">
        <v>0.99606049999999902</v>
      </c>
      <c r="Y2575">
        <v>0.13005619999999901</v>
      </c>
      <c r="Z2575">
        <v>-2.443387E-3</v>
      </c>
      <c r="AA2575">
        <v>0.99150360000000004</v>
      </c>
      <c r="AB2575">
        <v>58</v>
      </c>
      <c r="AC2575">
        <v>21.630500000000001</v>
      </c>
      <c r="AD2575">
        <v>-1.1112715725247999</v>
      </c>
      <c r="AE2575">
        <v>-3.2695000000000198</v>
      </c>
      <c r="AF2575">
        <v>2.91882526058698</v>
      </c>
      <c r="AG2575">
        <v>-1.1112715725247999</v>
      </c>
      <c r="AH2575">
        <v>21.623790088794401</v>
      </c>
      <c r="AI2575">
        <v>92.915513809805901</v>
      </c>
      <c r="AJ2575">
        <v>82.312557740990897</v>
      </c>
      <c r="AK2575">
        <v>21.848175283395701</v>
      </c>
    </row>
    <row r="2576" spans="1:37" x14ac:dyDescent="0.2">
      <c r="A2576" t="str">
        <f>"20200111154116748"</f>
        <v>20200111154116748</v>
      </c>
      <c r="B2576" t="str">
        <f>"1578728476738405"</f>
        <v>1578728476738405</v>
      </c>
      <c r="C2576" t="s">
        <v>37</v>
      </c>
      <c r="D2576">
        <v>5.1569390000000004</v>
      </c>
      <c r="E2576">
        <v>0.53082089999999904</v>
      </c>
      <c r="F2576" t="s">
        <v>44</v>
      </c>
      <c r="G2576">
        <v>-212.94970000000001</v>
      </c>
      <c r="H2576" s="1">
        <v>1.27337E-7</v>
      </c>
      <c r="I2576">
        <v>212.45599999999999</v>
      </c>
      <c r="J2576">
        <v>-234.60659999999999</v>
      </c>
      <c r="K2576">
        <v>1.1113299999999999</v>
      </c>
      <c r="L2576">
        <v>215.80599999999899</v>
      </c>
      <c r="M2576">
        <v>0.99948729999999997</v>
      </c>
      <c r="N2576">
        <v>0</v>
      </c>
      <c r="O2576">
        <v>-1.571417E-2</v>
      </c>
      <c r="P2576">
        <v>0.99656979999999995</v>
      </c>
      <c r="Q2576">
        <v>4.180996E-2</v>
      </c>
      <c r="R2576">
        <v>-7.1418770000000006E-2</v>
      </c>
      <c r="S2576">
        <v>2.9843289999999998</v>
      </c>
      <c r="T2576">
        <v>-0.14937529999999999</v>
      </c>
      <c r="U2576">
        <v>-0.45144649999999997</v>
      </c>
      <c r="V2576">
        <v>5.5724089999999997E-2</v>
      </c>
      <c r="W2576">
        <v>6.9641270000000005E-2</v>
      </c>
      <c r="X2576">
        <v>0.99601450000000002</v>
      </c>
      <c r="Y2576">
        <v>0.13386429999999999</v>
      </c>
      <c r="Z2576">
        <v>-2.5475060000000002E-3</v>
      </c>
      <c r="AA2576">
        <v>0.9909964</v>
      </c>
      <c r="AB2576">
        <v>58</v>
      </c>
      <c r="AC2576">
        <v>21.656899999999901</v>
      </c>
      <c r="AD2576">
        <v>-1.1113298726629901</v>
      </c>
      <c r="AE2576">
        <v>-3.3499999999999899</v>
      </c>
      <c r="AF2576">
        <v>3.0014145245386801</v>
      </c>
      <c r="AG2576">
        <v>-1.1113298726629901</v>
      </c>
      <c r="AH2576">
        <v>21.651205887260801</v>
      </c>
      <c r="AI2576">
        <v>92.910558863876702</v>
      </c>
      <c r="AJ2576">
        <v>82.1076295840368</v>
      </c>
      <c r="AK2576">
        <v>21.886485775622798</v>
      </c>
    </row>
    <row r="2577" spans="1:37" x14ac:dyDescent="0.2">
      <c r="A2577" t="str">
        <f>"20200111154116770"</f>
        <v>20200111154116770</v>
      </c>
      <c r="B2577" t="str">
        <f>"1578728476758901"</f>
        <v>1578728476758901</v>
      </c>
      <c r="C2577" t="s">
        <v>37</v>
      </c>
      <c r="D2577">
        <v>5.14215</v>
      </c>
      <c r="E2577">
        <v>0.53169659999999996</v>
      </c>
      <c r="F2577" t="s">
        <v>44</v>
      </c>
      <c r="G2577">
        <v>-212.57079999999999</v>
      </c>
      <c r="H2577" s="1">
        <v>-7.1820179999999995E-8</v>
      </c>
      <c r="I2577">
        <v>212.39930000000001</v>
      </c>
      <c r="J2577">
        <v>-234.03370000000001</v>
      </c>
      <c r="K2577">
        <v>1.111386</v>
      </c>
      <c r="L2577">
        <v>215.7972</v>
      </c>
      <c r="M2577">
        <v>0.99948630000000005</v>
      </c>
      <c r="N2577">
        <v>0</v>
      </c>
      <c r="O2577">
        <v>-1.55519E-2</v>
      </c>
      <c r="P2577">
        <v>0.99655039999999995</v>
      </c>
      <c r="Q2577">
        <v>4.1660339999999997E-2</v>
      </c>
      <c r="R2577">
        <v>-7.1774969999999993E-2</v>
      </c>
      <c r="S2577">
        <v>2.9835660000000002</v>
      </c>
      <c r="T2577">
        <v>-0.1504704</v>
      </c>
      <c r="U2577">
        <v>-0.4612579</v>
      </c>
      <c r="V2577">
        <v>5.6236469999999997E-2</v>
      </c>
      <c r="W2577">
        <v>6.9615579999999996E-2</v>
      </c>
      <c r="X2577">
        <v>0.99598750000000003</v>
      </c>
      <c r="Y2577">
        <v>0.13723959999999999</v>
      </c>
      <c r="Z2577">
        <v>-2.6588639999999999E-3</v>
      </c>
      <c r="AA2577">
        <v>0.99053429999999998</v>
      </c>
      <c r="AB2577">
        <v>57</v>
      </c>
      <c r="AC2577">
        <v>21.462900000000001</v>
      </c>
      <c r="AD2577">
        <v>-1.11138607182018</v>
      </c>
      <c r="AE2577">
        <v>-3.3978999999999902</v>
      </c>
      <c r="AF2577">
        <v>3.0555759979006001</v>
      </c>
      <c r="AG2577">
        <v>-1.11138607182018</v>
      </c>
      <c r="AH2577">
        <v>21.457039808343598</v>
      </c>
      <c r="AI2577">
        <v>92.935472908230196</v>
      </c>
      <c r="AJ2577">
        <v>81.895323013196901</v>
      </c>
      <c r="AK2577">
        <v>21.701987950794301</v>
      </c>
    </row>
    <row r="2578" spans="1:37" x14ac:dyDescent="0.2">
      <c r="A2578" t="str">
        <f>"20200111154116792"</f>
        <v>20200111154116792</v>
      </c>
      <c r="B2578" t="str">
        <f>"1578728476789157"</f>
        <v>1578728476789157</v>
      </c>
      <c r="C2578" t="s">
        <v>37</v>
      </c>
      <c r="D2578">
        <v>5.2023820000000001</v>
      </c>
      <c r="E2578">
        <v>0.53810190000000002</v>
      </c>
      <c r="F2578" t="s">
        <v>44</v>
      </c>
      <c r="G2578">
        <v>-212.32509999999999</v>
      </c>
      <c r="H2578" s="1">
        <v>-2.017627E-7</v>
      </c>
      <c r="I2578">
        <v>212.38130000000001</v>
      </c>
      <c r="J2578">
        <v>-233.47620000000001</v>
      </c>
      <c r="K2578">
        <v>1.1114459999999999</v>
      </c>
      <c r="L2578">
        <v>215.78870000000001</v>
      </c>
      <c r="M2578">
        <v>0.9994866</v>
      </c>
      <c r="N2578">
        <v>0</v>
      </c>
      <c r="O2578">
        <v>-1.535774E-2</v>
      </c>
      <c r="P2578">
        <v>0.99653199999999997</v>
      </c>
      <c r="Q2578">
        <v>4.185142E-2</v>
      </c>
      <c r="R2578">
        <v>-7.192221E-2</v>
      </c>
      <c r="S2578">
        <v>2.982971</v>
      </c>
      <c r="T2578">
        <v>-0.1527154</v>
      </c>
      <c r="U2578">
        <v>-0.469375599999999</v>
      </c>
      <c r="V2578">
        <v>5.6571219999999998E-2</v>
      </c>
      <c r="W2578">
        <v>6.9911470000000003E-2</v>
      </c>
      <c r="X2578">
        <v>0.99594780000000005</v>
      </c>
      <c r="Y2578">
        <v>0.1400844</v>
      </c>
      <c r="Z2578">
        <v>-2.7806549999999999E-3</v>
      </c>
      <c r="AA2578">
        <v>0.99013569999999995</v>
      </c>
      <c r="AB2578">
        <v>57</v>
      </c>
      <c r="AC2578">
        <v>21.1511</v>
      </c>
      <c r="AD2578">
        <v>-1.1114462017627</v>
      </c>
      <c r="AE2578">
        <v>-3.4073999999999902</v>
      </c>
      <c r="AF2578">
        <v>3.07376340315122</v>
      </c>
      <c r="AG2578">
        <v>-1.1114462017627</v>
      </c>
      <c r="AH2578">
        <v>21.1440463914942</v>
      </c>
      <c r="AI2578">
        <v>92.977765657091396</v>
      </c>
      <c r="AJ2578">
        <v>81.728709311867107</v>
      </c>
      <c r="AK2578">
        <v>21.3951871205564</v>
      </c>
    </row>
    <row r="2579" spans="1:37" x14ac:dyDescent="0.2">
      <c r="A2579" t="str">
        <f>"20200111154116815"</f>
        <v>20200111154116815</v>
      </c>
      <c r="B2579" t="str">
        <f>"1578728476808676"</f>
        <v>1578728476808676</v>
      </c>
      <c r="C2579" t="s">
        <v>37</v>
      </c>
      <c r="D2579">
        <v>5.1687560000000001</v>
      </c>
      <c r="E2579">
        <v>0.53815190000000002</v>
      </c>
      <c r="F2579" t="s">
        <v>44</v>
      </c>
      <c r="G2579">
        <v>-212.9307</v>
      </c>
      <c r="H2579" s="1">
        <v>1.2854839999999999E-7</v>
      </c>
      <c r="I2579">
        <v>212.19710000000001</v>
      </c>
      <c r="J2579">
        <v>-232.8964</v>
      </c>
      <c r="K2579">
        <v>1.1115120000000001</v>
      </c>
      <c r="L2579">
        <v>215.78</v>
      </c>
      <c r="M2579">
        <v>0.99948789999999998</v>
      </c>
      <c r="N2579">
        <v>0</v>
      </c>
      <c r="O2579">
        <v>-1.5108409999999999E-2</v>
      </c>
      <c r="P2579">
        <v>0.99652739999999995</v>
      </c>
      <c r="Q2579">
        <v>4.1748019999999997E-2</v>
      </c>
      <c r="R2579">
        <v>-7.2045139999999994E-2</v>
      </c>
      <c r="S2579">
        <v>2.9796299999999998</v>
      </c>
      <c r="T2579">
        <v>-0.16118840000000001</v>
      </c>
      <c r="U2579">
        <v>-0.52087399999999995</v>
      </c>
      <c r="V2579">
        <v>5.6935409999999999E-2</v>
      </c>
      <c r="W2579">
        <v>6.9901939999999996E-2</v>
      </c>
      <c r="X2579">
        <v>0.99592780000000003</v>
      </c>
      <c r="Y2579">
        <v>0.1570907</v>
      </c>
      <c r="Z2579">
        <v>-3.4034439999999998E-3</v>
      </c>
      <c r="AA2579">
        <v>0.98757830000000002</v>
      </c>
      <c r="AB2579">
        <v>57</v>
      </c>
      <c r="AC2579">
        <v>19.965699999999998</v>
      </c>
      <c r="AD2579">
        <v>-1.1115118714515999</v>
      </c>
      <c r="AE2579">
        <v>-3.5828999999999902</v>
      </c>
      <c r="AF2579">
        <v>3.2708995449398102</v>
      </c>
      <c r="AG2579">
        <v>-1.1115118714515999</v>
      </c>
      <c r="AH2579">
        <v>19.9576484604816</v>
      </c>
      <c r="AI2579">
        <v>93.145827570948498</v>
      </c>
      <c r="AJ2579">
        <v>80.692425323897794</v>
      </c>
      <c r="AK2579">
        <v>20.254430985481399</v>
      </c>
    </row>
    <row r="2580" spans="1:37" x14ac:dyDescent="0.2">
      <c r="A2580" t="str">
        <f>"20200111154116837"</f>
        <v>20200111154116837</v>
      </c>
      <c r="B2580" t="str">
        <f>"1578728476828197"</f>
        <v>1578728476828197</v>
      </c>
      <c r="C2580" t="s">
        <v>37</v>
      </c>
      <c r="D2580">
        <v>5.1498780000000002</v>
      </c>
      <c r="E2580">
        <v>0.53863819999999996</v>
      </c>
      <c r="F2580" t="s">
        <v>44</v>
      </c>
      <c r="G2580">
        <v>-213.12880000000001</v>
      </c>
      <c r="H2580" s="1">
        <v>2.2858079999999901E-7</v>
      </c>
      <c r="I2580">
        <v>212.32</v>
      </c>
      <c r="J2580">
        <v>-232.33080000000001</v>
      </c>
      <c r="K2580">
        <v>1.1115899999999901</v>
      </c>
      <c r="L2580">
        <v>215.77170000000001</v>
      </c>
      <c r="M2580">
        <v>0.99949030000000005</v>
      </c>
      <c r="N2580">
        <v>0</v>
      </c>
      <c r="O2580">
        <v>-1.4812260000000001E-2</v>
      </c>
      <c r="P2580">
        <v>0.99649859999999901</v>
      </c>
      <c r="Q2580">
        <v>4.2009329999999998E-2</v>
      </c>
      <c r="R2580">
        <v>-7.2290259999999995E-2</v>
      </c>
      <c r="S2580">
        <v>2.9797669999999998</v>
      </c>
      <c r="T2580">
        <v>-0.167549</v>
      </c>
      <c r="U2580">
        <v>-0.52156069999999999</v>
      </c>
      <c r="V2580">
        <v>5.7467209999999998E-2</v>
      </c>
      <c r="W2580">
        <v>7.0242040000000006E-2</v>
      </c>
      <c r="X2580">
        <v>0.99587329999999996</v>
      </c>
      <c r="Y2580">
        <v>0.157579</v>
      </c>
      <c r="Z2580">
        <v>-3.5674330000000001E-3</v>
      </c>
      <c r="AA2580">
        <v>0.98750000000000004</v>
      </c>
      <c r="AB2580">
        <v>57</v>
      </c>
      <c r="AC2580">
        <v>19.202000000000002</v>
      </c>
      <c r="AD2580">
        <v>-1.11158977141919</v>
      </c>
      <c r="AE2580">
        <v>-3.45170000000001</v>
      </c>
      <c r="AF2580">
        <v>3.1565352305097898</v>
      </c>
      <c r="AG2580">
        <v>-1.11158977141919</v>
      </c>
      <c r="AH2580">
        <v>19.188747752364499</v>
      </c>
      <c r="AI2580">
        <v>93.271525396759102</v>
      </c>
      <c r="AJ2580">
        <v>80.6585458097897</v>
      </c>
      <c r="AK2580">
        <v>19.478382550541699</v>
      </c>
    </row>
    <row r="2581" spans="1:37" x14ac:dyDescent="0.2">
      <c r="A2581" t="str">
        <f>"20200111154116861"</f>
        <v>20200111154116861</v>
      </c>
      <c r="B2581" t="str">
        <f>"1578728476858454"</f>
        <v>1578728476858454</v>
      </c>
      <c r="C2581" t="s">
        <v>37</v>
      </c>
      <c r="D2581">
        <v>5.1429269999999896</v>
      </c>
      <c r="E2581">
        <v>0.53940829999999995</v>
      </c>
      <c r="F2581" t="s">
        <v>44</v>
      </c>
      <c r="G2581">
        <v>-212.6422</v>
      </c>
      <c r="H2581" s="1">
        <v>-2.9195199999999999E-8</v>
      </c>
      <c r="I2581">
        <v>212.2929</v>
      </c>
      <c r="J2581">
        <v>-231.74299999999999</v>
      </c>
      <c r="K2581">
        <v>1.1116809999999999</v>
      </c>
      <c r="L2581">
        <v>215.76329999999999</v>
      </c>
      <c r="M2581">
        <v>0.99949399999999999</v>
      </c>
      <c r="N2581">
        <v>0</v>
      </c>
      <c r="O2581">
        <v>-1.44464E-2</v>
      </c>
      <c r="P2581">
        <v>0.99643780000000004</v>
      </c>
      <c r="Q2581">
        <v>4.2877029999999997E-2</v>
      </c>
      <c r="R2581">
        <v>-7.261927E-2</v>
      </c>
      <c r="S2581">
        <v>2.9794770000000002</v>
      </c>
      <c r="T2581">
        <v>-0.16821629999999901</v>
      </c>
      <c r="U2581">
        <v>-0.52644349999999995</v>
      </c>
      <c r="V2581">
        <v>5.815041E-2</v>
      </c>
      <c r="W2581">
        <v>7.1179060000000002E-2</v>
      </c>
      <c r="X2581">
        <v>0.99576710000000002</v>
      </c>
      <c r="Y2581">
        <v>0.159521</v>
      </c>
      <c r="Z2581">
        <v>-3.6562929999999902E-3</v>
      </c>
      <c r="AA2581">
        <v>0.9871877</v>
      </c>
      <c r="AB2581">
        <v>56</v>
      </c>
      <c r="AC2581">
        <v>19.1007999999999</v>
      </c>
      <c r="AD2581">
        <v>-1.1116810291952</v>
      </c>
      <c r="AE2581">
        <v>-3.4703999999999802</v>
      </c>
      <c r="AF2581">
        <v>3.18354977316001</v>
      </c>
      <c r="AG2581">
        <v>-1.1116810291952</v>
      </c>
      <c r="AH2581">
        <v>19.086374262775202</v>
      </c>
      <c r="AI2581">
        <v>93.288088256133094</v>
      </c>
      <c r="AJ2581">
        <v>80.530412790109807</v>
      </c>
      <c r="AK2581">
        <v>19.381963429115899</v>
      </c>
    </row>
    <row r="2582" spans="1:37" x14ac:dyDescent="0.2">
      <c r="A2582" t="str">
        <f>"20200111154116882"</f>
        <v>20200111154116882</v>
      </c>
      <c r="B2582" t="str">
        <f>"1578728476869190"</f>
        <v>1578728476869190</v>
      </c>
      <c r="C2582" t="s">
        <v>37</v>
      </c>
      <c r="D2582">
        <v>5.1347250000000004</v>
      </c>
      <c r="E2582">
        <v>0.53950390000000004</v>
      </c>
      <c r="F2582" t="s">
        <v>44</v>
      </c>
      <c r="G2582">
        <v>-211.8408</v>
      </c>
      <c r="H2582" s="1">
        <v>-4.5150770000000002E-7</v>
      </c>
      <c r="I2582">
        <v>212.1979</v>
      </c>
      <c r="J2582">
        <v>-231.22730000000001</v>
      </c>
      <c r="K2582">
        <v>1.1117600000000001</v>
      </c>
      <c r="L2582">
        <v>215.75620000000001</v>
      </c>
      <c r="M2582">
        <v>0.999498</v>
      </c>
      <c r="N2582">
        <v>0</v>
      </c>
      <c r="O2582">
        <v>-1.407301E-2</v>
      </c>
      <c r="P2582">
        <v>0.99641069999999998</v>
      </c>
      <c r="Q2582">
        <v>4.3559540000000001E-2</v>
      </c>
      <c r="R2582">
        <v>-7.2583640000000005E-2</v>
      </c>
      <c r="S2582">
        <v>2.9789729999999999</v>
      </c>
      <c r="T2582">
        <v>-0.16639660000000001</v>
      </c>
      <c r="U2582">
        <v>-0.53367609999999999</v>
      </c>
      <c r="V2582">
        <v>5.8476699999999902E-2</v>
      </c>
      <c r="W2582">
        <v>7.1912939999999995E-2</v>
      </c>
      <c r="X2582">
        <v>0.995695199999999</v>
      </c>
      <c r="Y2582">
        <v>0.1622411</v>
      </c>
      <c r="Z2582">
        <v>-3.7126239999999999E-3</v>
      </c>
      <c r="AA2582">
        <v>0.98674419999999996</v>
      </c>
      <c r="AB2582">
        <v>56</v>
      </c>
      <c r="AC2582">
        <v>19.386500000000002</v>
      </c>
      <c r="AD2582">
        <v>-1.1117604515077</v>
      </c>
      <c r="AE2582">
        <v>-3.5583</v>
      </c>
      <c r="AF2582">
        <v>3.2745927941264101</v>
      </c>
      <c r="AG2582">
        <v>-1.1117604515077</v>
      </c>
      <c r="AH2582">
        <v>19.3730392010252</v>
      </c>
      <c r="AI2582">
        <v>93.238591575338205</v>
      </c>
      <c r="AJ2582">
        <v>80.406071248932506</v>
      </c>
      <c r="AK2582">
        <v>19.679268714902499</v>
      </c>
    </row>
    <row r="2583" spans="1:37" x14ac:dyDescent="0.2">
      <c r="A2583" t="str">
        <f>"20200111154116905"</f>
        <v>20200111154116905</v>
      </c>
      <c r="B2583" t="str">
        <f>"1578728476898468"</f>
        <v>1578728476898468</v>
      </c>
      <c r="C2583" t="s">
        <v>37</v>
      </c>
      <c r="D2583">
        <v>5.1339739999999896</v>
      </c>
      <c r="E2583">
        <v>0.53990879999999997</v>
      </c>
      <c r="F2583" t="s">
        <v>44</v>
      </c>
      <c r="G2583">
        <v>-211.01910000000001</v>
      </c>
      <c r="H2583" s="1">
        <v>-8.8582349999999996E-7</v>
      </c>
      <c r="I2583">
        <v>212.13030000000001</v>
      </c>
      <c r="J2583">
        <v>-230.67949999999999</v>
      </c>
      <c r="K2583">
        <v>1.1118520000000001</v>
      </c>
      <c r="L2583">
        <v>215.74889999999999</v>
      </c>
      <c r="M2583">
        <v>0.99950309999999898</v>
      </c>
      <c r="N2583">
        <v>0</v>
      </c>
      <c r="O2583">
        <v>-1.362413E-2</v>
      </c>
      <c r="P2583">
        <v>0.99637070000000005</v>
      </c>
      <c r="Q2583">
        <v>4.4194450000000003E-2</v>
      </c>
      <c r="R2583">
        <v>-7.2751720000000006E-2</v>
      </c>
      <c r="S2583">
        <v>2.979034</v>
      </c>
      <c r="T2583">
        <v>-0.1638926</v>
      </c>
      <c r="U2583">
        <v>-0.53451539999999997</v>
      </c>
      <c r="V2583">
        <v>5.9080479999999998E-2</v>
      </c>
      <c r="W2583">
        <v>7.2594930000000002E-2</v>
      </c>
      <c r="X2583">
        <v>0.99561010000000005</v>
      </c>
      <c r="Y2583">
        <v>0.16295499999999999</v>
      </c>
      <c r="Z2583">
        <v>-3.7006159999999999E-3</v>
      </c>
      <c r="AA2583">
        <v>0.98662659999999902</v>
      </c>
      <c r="AB2583">
        <v>56</v>
      </c>
      <c r="AC2583">
        <v>19.6603999999999</v>
      </c>
      <c r="AD2583">
        <v>-1.1118528858234999</v>
      </c>
      <c r="AE2583">
        <v>-3.6185999999999798</v>
      </c>
      <c r="AF2583">
        <v>3.3399677779533099</v>
      </c>
      <c r="AG2583">
        <v>-1.1118528858234999</v>
      </c>
      <c r="AH2583">
        <v>19.647116862910799</v>
      </c>
      <c r="AI2583">
        <v>93.193263173592598</v>
      </c>
      <c r="AJ2583">
        <v>80.352073977388102</v>
      </c>
      <c r="AK2583">
        <v>19.9599800256</v>
      </c>
    </row>
    <row r="2584" spans="1:37" x14ac:dyDescent="0.2">
      <c r="A2584" t="str">
        <f>"20200111154116927"</f>
        <v>20200111154116927</v>
      </c>
      <c r="B2584" t="str">
        <f>"1578728476918964"</f>
        <v>1578728476918964</v>
      </c>
      <c r="C2584" t="s">
        <v>37</v>
      </c>
      <c r="D2584">
        <v>5.0968819999999999</v>
      </c>
      <c r="E2584">
        <v>0.54014079999999998</v>
      </c>
      <c r="F2584" t="s">
        <v>44</v>
      </c>
      <c r="G2584">
        <v>-210.08160000000001</v>
      </c>
      <c r="H2584" s="1">
        <v>-1.3801439999999899E-6</v>
      </c>
      <c r="I2584">
        <v>212.02670000000001</v>
      </c>
      <c r="J2584">
        <v>-230.11199999999999</v>
      </c>
      <c r="K2584">
        <v>1.1119459999999901</v>
      </c>
      <c r="L2584">
        <v>215.74170000000001</v>
      </c>
      <c r="M2584">
        <v>0.99950910000000004</v>
      </c>
      <c r="N2584">
        <v>0</v>
      </c>
      <c r="O2584">
        <v>-1.310505E-2</v>
      </c>
      <c r="P2584">
        <v>0.99637489999999995</v>
      </c>
      <c r="Q2584">
        <v>4.4592989999999999E-2</v>
      </c>
      <c r="R2584">
        <v>-7.2448310000000002E-2</v>
      </c>
      <c r="S2584">
        <v>2.9787599999999999</v>
      </c>
      <c r="T2584">
        <v>-0.16079089999999999</v>
      </c>
      <c r="U2584">
        <v>-0.53828430000000005</v>
      </c>
      <c r="V2584">
        <v>5.9282469999999997E-2</v>
      </c>
      <c r="W2584">
        <v>7.3033879999999995E-2</v>
      </c>
      <c r="X2584">
        <v>0.99556599999999995</v>
      </c>
      <c r="Y2584">
        <v>0.16469710000000001</v>
      </c>
      <c r="Z2584">
        <v>-3.7049840000000001E-3</v>
      </c>
      <c r="AA2584">
        <v>0.98633719999999903</v>
      </c>
      <c r="AB2584">
        <v>55</v>
      </c>
      <c r="AC2584">
        <v>20.030399999999901</v>
      </c>
      <c r="AD2584">
        <v>-1.1119473801440001</v>
      </c>
      <c r="AE2584">
        <v>-3.7149999999999999</v>
      </c>
      <c r="AF2584">
        <v>3.44182105604993</v>
      </c>
      <c r="AG2584">
        <v>-1.1119473801440001</v>
      </c>
      <c r="AH2584">
        <v>20.017746377291299</v>
      </c>
      <c r="AI2584">
        <v>93.133516307339093</v>
      </c>
      <c r="AJ2584">
        <v>80.244041846298799</v>
      </c>
      <c r="AK2584">
        <v>20.3418959092715</v>
      </c>
    </row>
    <row r="2585" spans="1:37" x14ac:dyDescent="0.2">
      <c r="A2585" t="str">
        <f>"20200111154116948"</f>
        <v>20200111154116948</v>
      </c>
      <c r="B2585" t="str">
        <f>"1578728476938472"</f>
        <v>1578728476938472</v>
      </c>
      <c r="C2585" t="s">
        <v>37</v>
      </c>
      <c r="D2585">
        <v>5.1243179999999997</v>
      </c>
      <c r="E2585">
        <v>0.5405375</v>
      </c>
      <c r="F2585" t="s">
        <v>43</v>
      </c>
      <c r="G2585">
        <v>-209.2159</v>
      </c>
      <c r="H2585" s="1">
        <v>6.5361729999999997E-6</v>
      </c>
      <c r="I2585">
        <v>211.95920000000001</v>
      </c>
      <c r="J2585">
        <v>-229.59379999999999</v>
      </c>
      <c r="K2585">
        <v>1.112026</v>
      </c>
      <c r="L2585">
        <v>215.7354</v>
      </c>
      <c r="M2585">
        <v>0.99951509999999999</v>
      </c>
      <c r="N2585">
        <v>0</v>
      </c>
      <c r="O2585">
        <v>-1.2593689999999999E-2</v>
      </c>
      <c r="P2585">
        <v>0.99637540000000002</v>
      </c>
      <c r="Q2585">
        <v>4.5047249999999997E-2</v>
      </c>
      <c r="R2585">
        <v>-7.2158269999999997E-2</v>
      </c>
      <c r="S2585">
        <v>2.9788209999999999</v>
      </c>
      <c r="T2585">
        <v>-0.15851129999999999</v>
      </c>
      <c r="U2585">
        <v>-0.53921509999999995</v>
      </c>
      <c r="V2585">
        <v>5.9491750000000003E-2</v>
      </c>
      <c r="W2585">
        <v>7.3517990000000005E-2</v>
      </c>
      <c r="X2585">
        <v>0.99551780000000001</v>
      </c>
      <c r="Y2585">
        <v>0.165500799999999</v>
      </c>
      <c r="Z2585">
        <v>-3.7005190000000002E-3</v>
      </c>
      <c r="AA2585">
        <v>0.98620269999999999</v>
      </c>
      <c r="AB2585">
        <v>55</v>
      </c>
      <c r="AC2585">
        <v>20.377899999999901</v>
      </c>
      <c r="AD2585">
        <v>-1.112019463827</v>
      </c>
      <c r="AE2585">
        <v>-3.7761999999999798</v>
      </c>
      <c r="AF2585">
        <v>3.5090605972614801</v>
      </c>
      <c r="AG2585">
        <v>-1.112019463827</v>
      </c>
      <c r="AH2585">
        <v>20.365226578218198</v>
      </c>
      <c r="AI2585">
        <v>93.080164919570393</v>
      </c>
      <c r="AJ2585">
        <v>80.223563914632393</v>
      </c>
      <c r="AK2585">
        <v>20.695230057801901</v>
      </c>
    </row>
    <row r="2586" spans="1:37" x14ac:dyDescent="0.2">
      <c r="A2586" t="str">
        <f>"20200111154116970"</f>
        <v>20200111154116970</v>
      </c>
      <c r="B2586" t="str">
        <f>"1578728476958951"</f>
        <v>1578728476958951</v>
      </c>
      <c r="C2586" t="s">
        <v>37</v>
      </c>
      <c r="D2586">
        <v>5.1194269999999999</v>
      </c>
      <c r="E2586">
        <v>0.54093800000000003</v>
      </c>
      <c r="F2586" t="s">
        <v>43</v>
      </c>
      <c r="G2586">
        <v>-208.66299999999899</v>
      </c>
      <c r="H2586" s="1">
        <v>6.2935129999999997E-6</v>
      </c>
      <c r="I2586">
        <v>211.93020000000001</v>
      </c>
      <c r="J2586">
        <v>-229.0496</v>
      </c>
      <c r="K2586">
        <v>1.1121030000000001</v>
      </c>
      <c r="L2586">
        <v>215.72909999999999</v>
      </c>
      <c r="M2586">
        <v>0.99952149999999995</v>
      </c>
      <c r="N2586">
        <v>0</v>
      </c>
      <c r="O2586">
        <v>-1.202422E-2</v>
      </c>
      <c r="P2586">
        <v>0.99634739999999999</v>
      </c>
      <c r="Q2586">
        <v>4.5487199999999998E-2</v>
      </c>
      <c r="R2586">
        <v>-7.2269120000000006E-2</v>
      </c>
      <c r="S2586">
        <v>2.9788509999999899</v>
      </c>
      <c r="T2586">
        <v>-0.15826209999999999</v>
      </c>
      <c r="U2586">
        <v>-0.54154969999999902</v>
      </c>
      <c r="V2586">
        <v>6.0160529999999997E-2</v>
      </c>
      <c r="W2586">
        <v>7.3982129999999993E-2</v>
      </c>
      <c r="X2586">
        <v>0.99544330000000003</v>
      </c>
      <c r="Y2586">
        <v>0.16680719999999999</v>
      </c>
      <c r="Z2586">
        <v>-3.75879599999999E-3</v>
      </c>
      <c r="AA2586">
        <v>0.98598240000000004</v>
      </c>
      <c r="AB2586">
        <v>55</v>
      </c>
      <c r="AC2586">
        <v>20.386600000000001</v>
      </c>
      <c r="AD2586">
        <v>-1.112096706487</v>
      </c>
      <c r="AE2586">
        <v>-3.79889999999997</v>
      </c>
      <c r="AF2586">
        <v>3.5432027355409801</v>
      </c>
      <c r="AG2586">
        <v>-1.112096706487</v>
      </c>
      <c r="AH2586">
        <v>20.372234205590502</v>
      </c>
      <c r="AI2586">
        <v>93.078485917871305</v>
      </c>
      <c r="AJ2586">
        <v>80.133632116126705</v>
      </c>
      <c r="AK2586">
        <v>20.707944640575899</v>
      </c>
    </row>
    <row r="2587" spans="1:37" x14ac:dyDescent="0.2">
      <c r="A2587" t="str">
        <f>"20200111154116994"</f>
        <v>20200111154116994</v>
      </c>
      <c r="B2587" t="str">
        <f>"1578728476989207"</f>
        <v>1578728476989207</v>
      </c>
      <c r="C2587" t="s">
        <v>37</v>
      </c>
      <c r="D2587">
        <v>5.1152340000000001</v>
      </c>
      <c r="E2587">
        <v>0.54147919999999905</v>
      </c>
      <c r="F2587" t="s">
        <v>43</v>
      </c>
      <c r="G2587">
        <v>-208.30439999999999</v>
      </c>
      <c r="H2587" s="1">
        <v>6.1341070000000003E-6</v>
      </c>
      <c r="I2587">
        <v>211.93440000000001</v>
      </c>
      <c r="J2587">
        <v>-228.50460000000001</v>
      </c>
      <c r="K2587">
        <v>1.1121749999999999</v>
      </c>
      <c r="L2587">
        <v>215.72309999999999</v>
      </c>
      <c r="M2587">
        <v>0.99952830000000004</v>
      </c>
      <c r="N2587">
        <v>0</v>
      </c>
      <c r="O2587">
        <v>-1.142836E-2</v>
      </c>
      <c r="P2587">
        <v>0.99631510000000001</v>
      </c>
      <c r="Q2587">
        <v>4.5838049999999998E-2</v>
      </c>
      <c r="R2587">
        <v>-7.2495039999999997E-2</v>
      </c>
      <c r="S2587">
        <v>2.97879</v>
      </c>
      <c r="T2587">
        <v>-0.1596851</v>
      </c>
      <c r="U2587">
        <v>-0.54487609999999997</v>
      </c>
      <c r="V2587">
        <v>6.0972249999999999E-2</v>
      </c>
      <c r="W2587">
        <v>7.4351139999999996E-2</v>
      </c>
      <c r="X2587">
        <v>0.99536639999999998</v>
      </c>
      <c r="Y2587">
        <v>0.16845689999999999</v>
      </c>
      <c r="Z2587">
        <v>-3.8677239999999999E-3</v>
      </c>
      <c r="AA2587">
        <v>0.98570139999999995</v>
      </c>
      <c r="AB2587">
        <v>54</v>
      </c>
      <c r="AC2587">
        <v>20.200199999999999</v>
      </c>
      <c r="AD2587">
        <v>-1.112168865893</v>
      </c>
      <c r="AE2587">
        <v>-3.7886999999999702</v>
      </c>
      <c r="AF2587">
        <v>3.54711635551475</v>
      </c>
      <c r="AG2587">
        <v>-1.112168865893</v>
      </c>
      <c r="AH2587">
        <v>20.1830938671817</v>
      </c>
      <c r="AI2587">
        <v>93.106520627498597</v>
      </c>
      <c r="AJ2587">
        <v>80.032236693023407</v>
      </c>
      <c r="AK2587">
        <v>20.522578592303802</v>
      </c>
    </row>
    <row r="2588" spans="1:37" x14ac:dyDescent="0.2">
      <c r="A2588" t="str">
        <f>"20200111154117016"</f>
        <v>20200111154117016</v>
      </c>
      <c r="B2588" t="str">
        <f>"1578728477008730"</f>
        <v>1578728477008730</v>
      </c>
      <c r="C2588" t="s">
        <v>37</v>
      </c>
      <c r="D2588">
        <v>5.0926580000000001</v>
      </c>
      <c r="E2588">
        <v>0.5418134</v>
      </c>
      <c r="F2588" t="s">
        <v>43</v>
      </c>
      <c r="G2588">
        <v>-207.87459999999999</v>
      </c>
      <c r="H2588" s="1">
        <v>5.9454010000000001E-6</v>
      </c>
      <c r="I2588">
        <v>211.91290000000001</v>
      </c>
      <c r="J2588">
        <v>-227.9545</v>
      </c>
      <c r="K2588">
        <v>1.1122350000000001</v>
      </c>
      <c r="L2588">
        <v>215.7174</v>
      </c>
      <c r="M2588">
        <v>0.99953510000000001</v>
      </c>
      <c r="N2588">
        <v>0</v>
      </c>
      <c r="O2588">
        <v>-1.0807539999999999E-2</v>
      </c>
      <c r="P2588">
        <v>0.99629719999999999</v>
      </c>
      <c r="Q2588">
        <v>4.605737E-2</v>
      </c>
      <c r="R2588">
        <v>-7.26023999999999E-2</v>
      </c>
      <c r="S2588">
        <v>2.9784549999999999</v>
      </c>
      <c r="T2588">
        <v>-0.1605692</v>
      </c>
      <c r="U2588">
        <v>-0.55009459999999999</v>
      </c>
      <c r="V2588">
        <v>6.1691459999999997E-2</v>
      </c>
      <c r="W2588">
        <v>7.4583179999999999E-2</v>
      </c>
      <c r="X2588">
        <v>0.99530479999999999</v>
      </c>
      <c r="Y2588">
        <v>0.1707524</v>
      </c>
      <c r="Z2588">
        <v>-3.9834019999999996E-3</v>
      </c>
      <c r="AA2588">
        <v>0.98530589999999996</v>
      </c>
      <c r="AB2588">
        <v>54</v>
      </c>
      <c r="AC2588">
        <v>20.079899999999999</v>
      </c>
      <c r="AD2588">
        <v>-1.1122290545989999</v>
      </c>
      <c r="AE2588">
        <v>-3.8044999999999898</v>
      </c>
      <c r="AF2588">
        <v>3.57658211535264</v>
      </c>
      <c r="AG2588">
        <v>-1.1122290545989999</v>
      </c>
      <c r="AH2588">
        <v>20.060446305463799</v>
      </c>
      <c r="AI2588">
        <v>93.1242833846092</v>
      </c>
      <c r="AJ2588">
        <v>79.890941246317993</v>
      </c>
      <c r="AK2588">
        <v>20.407118833195199</v>
      </c>
    </row>
    <row r="2589" spans="1:37" x14ac:dyDescent="0.2">
      <c r="A2589" t="str">
        <f>"20200111154117038"</f>
        <v>20200111154117038</v>
      </c>
      <c r="B2589" t="str">
        <f>"1578728477028247"</f>
        <v>1578728477028247</v>
      </c>
      <c r="C2589" t="s">
        <v>37</v>
      </c>
      <c r="D2589">
        <v>5.1041169999999996</v>
      </c>
      <c r="E2589">
        <v>0.542184</v>
      </c>
      <c r="F2589" t="s">
        <v>43</v>
      </c>
      <c r="G2589">
        <v>-207.40899999999999</v>
      </c>
      <c r="H2589" s="1">
        <v>5.7398669999999996E-6</v>
      </c>
      <c r="I2589">
        <v>211.90209999999999</v>
      </c>
      <c r="J2589">
        <v>-227.4391</v>
      </c>
      <c r="K2589">
        <v>1.112279</v>
      </c>
      <c r="L2589">
        <v>215.7124</v>
      </c>
      <c r="M2589">
        <v>0.99954100000000001</v>
      </c>
      <c r="N2589">
        <v>0</v>
      </c>
      <c r="O2589">
        <v>-1.02132E-2</v>
      </c>
      <c r="P2589">
        <v>0.99631080000000005</v>
      </c>
      <c r="Q2589">
        <v>4.5832980000000002E-2</v>
      </c>
      <c r="R2589">
        <v>-7.2556570000000001E-2</v>
      </c>
      <c r="S2589">
        <v>2.9783169999999899</v>
      </c>
      <c r="T2589">
        <v>-0.1612314</v>
      </c>
      <c r="U2589">
        <v>-0.55307010000000001</v>
      </c>
      <c r="V2589">
        <v>6.2233280000000002E-2</v>
      </c>
      <c r="W2589">
        <v>7.4367290000000003E-2</v>
      </c>
      <c r="X2589">
        <v>0.99528719999999904</v>
      </c>
      <c r="Y2589">
        <v>0.1722931</v>
      </c>
      <c r="Z2589">
        <v>-4.0728220000000002E-3</v>
      </c>
      <c r="AA2589">
        <v>0.9850373</v>
      </c>
      <c r="AB2589">
        <v>54</v>
      </c>
      <c r="AC2589">
        <v>20.030099999999901</v>
      </c>
      <c r="AD2589">
        <v>-1.1122732601330001</v>
      </c>
      <c r="AE2589">
        <v>-3.81030000000001</v>
      </c>
      <c r="AF2589">
        <v>3.5947488119492599</v>
      </c>
      <c r="AG2589">
        <v>-1.1122732601330001</v>
      </c>
      <c r="AH2589">
        <v>20.008442486461401</v>
      </c>
      <c r="AI2589">
        <v>93.131768387914093</v>
      </c>
      <c r="AJ2589">
        <v>79.8148077331726</v>
      </c>
      <c r="AK2589">
        <v>20.359202871435102</v>
      </c>
    </row>
    <row r="2590" spans="1:37" x14ac:dyDescent="0.2">
      <c r="A2590" t="str">
        <f>"20200111154117060"</f>
        <v>20200111154117060</v>
      </c>
      <c r="B2590" t="str">
        <f>"1578728477048497"</f>
        <v>1578728477048497</v>
      </c>
      <c r="C2590" t="s">
        <v>37</v>
      </c>
      <c r="D2590">
        <v>5.0608769999999996</v>
      </c>
      <c r="E2590">
        <v>0.54250940000000003</v>
      </c>
      <c r="F2590" t="s">
        <v>43</v>
      </c>
      <c r="G2590">
        <v>-207.21190000000001</v>
      </c>
      <c r="H2590" s="1">
        <v>5.6492689999999996E-6</v>
      </c>
      <c r="I2590">
        <v>211.93819999999999</v>
      </c>
      <c r="J2590">
        <v>-226.91550000000001</v>
      </c>
      <c r="K2590">
        <v>1.1123179999999999</v>
      </c>
      <c r="L2590">
        <v>215.70760000000001</v>
      </c>
      <c r="M2590">
        <v>0.99954719999999997</v>
      </c>
      <c r="N2590">
        <v>0</v>
      </c>
      <c r="O2590">
        <v>-9.6006310000000001E-3</v>
      </c>
      <c r="P2590">
        <v>0.99625560000000002</v>
      </c>
      <c r="Q2590">
        <v>4.6013520000000002E-2</v>
      </c>
      <c r="R2590">
        <v>-7.3198379999999993E-2</v>
      </c>
      <c r="S2590">
        <v>2.9781949999999999</v>
      </c>
      <c r="T2590">
        <v>-0.16376779999999999</v>
      </c>
      <c r="U2590">
        <v>-0.55569460000000004</v>
      </c>
      <c r="V2590">
        <v>6.3481830000000003E-2</v>
      </c>
      <c r="W2590">
        <v>7.4551329999999999E-2</v>
      </c>
      <c r="X2590">
        <v>0.99519460000000004</v>
      </c>
      <c r="Y2590">
        <v>0.17373259999999999</v>
      </c>
      <c r="Z2590">
        <v>-4.2092170000000003E-3</v>
      </c>
      <c r="AA2590">
        <v>0.98478390000000005</v>
      </c>
      <c r="AB2590">
        <v>54</v>
      </c>
      <c r="AC2590">
        <v>19.703599999999899</v>
      </c>
      <c r="AD2590">
        <v>-1.112312350731</v>
      </c>
      <c r="AE2590">
        <v>-3.7694000000000099</v>
      </c>
      <c r="AF2590">
        <v>3.5690098248253599</v>
      </c>
      <c r="AG2590">
        <v>-1.112312350731</v>
      </c>
      <c r="AH2590">
        <v>19.678396406893899</v>
      </c>
      <c r="AI2590">
        <v>93.183351690563498</v>
      </c>
      <c r="AJ2590">
        <v>79.7201844502612</v>
      </c>
      <c r="AK2590">
        <v>20.030335869429202</v>
      </c>
    </row>
    <row r="2591" spans="1:37" x14ac:dyDescent="0.2">
      <c r="A2591" t="str">
        <f>"20200111154117083"</f>
        <v>20200111154117083</v>
      </c>
      <c r="B2591" t="str">
        <f>"1578728477078753"</f>
        <v>1578728477078753</v>
      </c>
      <c r="C2591" t="s">
        <v>37</v>
      </c>
      <c r="D2591">
        <v>5.0639440000000002</v>
      </c>
      <c r="E2591">
        <v>0.549199199999999</v>
      </c>
      <c r="F2591" t="s">
        <v>43</v>
      </c>
      <c r="G2591">
        <v>-206.8252</v>
      </c>
      <c r="H2591" s="1">
        <v>5.4786359999999997E-6</v>
      </c>
      <c r="I2591">
        <v>211.9289</v>
      </c>
      <c r="J2591">
        <v>-226.36449999999999</v>
      </c>
      <c r="K2591">
        <v>1.1123510000000001</v>
      </c>
      <c r="L2591">
        <v>215.703</v>
      </c>
      <c r="M2591">
        <v>0.99955329999999998</v>
      </c>
      <c r="N2591">
        <v>0</v>
      </c>
      <c r="O2591">
        <v>-8.9486059999999996E-3</v>
      </c>
      <c r="P2591">
        <v>0.9962763</v>
      </c>
      <c r="Q2591">
        <v>4.5765710000000001E-2</v>
      </c>
      <c r="R2591">
        <v>-7.3070889999999999E-2</v>
      </c>
      <c r="S2591">
        <v>2.977722</v>
      </c>
      <c r="T2591">
        <v>-0.1648635</v>
      </c>
      <c r="U2591">
        <v>-0.56007390000000001</v>
      </c>
      <c r="V2591">
        <v>6.4001599999999895E-2</v>
      </c>
      <c r="W2591">
        <v>7.4304049999999996E-2</v>
      </c>
      <c r="X2591">
        <v>0.995179699999999</v>
      </c>
      <c r="Y2591">
        <v>0.1757947</v>
      </c>
      <c r="Z2591">
        <v>-4.3297350000000004E-3</v>
      </c>
      <c r="AA2591">
        <v>0.98441730000000005</v>
      </c>
      <c r="AB2591">
        <v>53</v>
      </c>
      <c r="AC2591">
        <v>19.539300000000001</v>
      </c>
      <c r="AD2591">
        <v>-1.1123455213639999</v>
      </c>
      <c r="AE2591">
        <v>-3.7740999999999998</v>
      </c>
      <c r="AF2591">
        <v>3.5878186955347999</v>
      </c>
      <c r="AG2591">
        <v>-1.1123455213639999</v>
      </c>
      <c r="AH2591">
        <v>19.5113442974374</v>
      </c>
      <c r="AI2591">
        <v>93.2092208669862</v>
      </c>
      <c r="AJ2591">
        <v>79.580635434568904</v>
      </c>
      <c r="AK2591">
        <v>19.869632906625899</v>
      </c>
    </row>
    <row r="2592" spans="1:37" x14ac:dyDescent="0.2">
      <c r="A2592" t="str">
        <f>"20200111154117106"</f>
        <v>20200111154117106</v>
      </c>
      <c r="B2592" t="str">
        <f>"1578728477098276"</f>
        <v>1578728477098276</v>
      </c>
      <c r="C2592" t="s">
        <v>37</v>
      </c>
      <c r="D2592">
        <v>5.0690730000000004</v>
      </c>
      <c r="E2592">
        <v>0.54919669999999998</v>
      </c>
      <c r="F2592" t="s">
        <v>43</v>
      </c>
      <c r="G2592">
        <v>-209.16130000000001</v>
      </c>
      <c r="H2592" s="1">
        <v>6.4945780000000003E-6</v>
      </c>
      <c r="I2592">
        <v>212.15790000000001</v>
      </c>
      <c r="J2592">
        <v>-225.83840000000001</v>
      </c>
      <c r="K2592">
        <v>1.1123749999999999</v>
      </c>
      <c r="L2592">
        <v>215.69890000000001</v>
      </c>
      <c r="M2592">
        <v>0.99955869999999902</v>
      </c>
      <c r="N2592">
        <v>0</v>
      </c>
      <c r="O2592">
        <v>-8.3197669999999901E-3</v>
      </c>
      <c r="P2592">
        <v>0.99629729999999905</v>
      </c>
      <c r="Q2592">
        <v>4.555638E-2</v>
      </c>
      <c r="R2592">
        <v>-7.2912149999999995E-2</v>
      </c>
      <c r="S2592">
        <v>2.975098</v>
      </c>
      <c r="T2592">
        <v>-0.19236729999999999</v>
      </c>
      <c r="U2592">
        <v>-0.61308289999999999</v>
      </c>
      <c r="V2592">
        <v>6.4467739999999996E-2</v>
      </c>
      <c r="W2592">
        <v>7.4092450000000004E-2</v>
      </c>
      <c r="X2592">
        <v>0.99516539999999998</v>
      </c>
      <c r="Y2592">
        <v>0.19330139999999901</v>
      </c>
      <c r="Z2592">
        <v>-5.6462099999999996E-3</v>
      </c>
      <c r="AA2592">
        <v>0.98112310000000003</v>
      </c>
      <c r="AB2592">
        <v>53</v>
      </c>
      <c r="AC2592">
        <v>16.6770999999999</v>
      </c>
      <c r="AD2592">
        <v>-1.1123685054219901</v>
      </c>
      <c r="AE2592">
        <v>-3.5409999999999902</v>
      </c>
      <c r="AF2592">
        <v>3.3876500203214199</v>
      </c>
      <c r="AG2592">
        <v>-1.1123685054219901</v>
      </c>
      <c r="AH2592">
        <v>16.635178345566001</v>
      </c>
      <c r="AI2592">
        <v>93.748866196888002</v>
      </c>
      <c r="AJ2592">
        <v>78.489467351724997</v>
      </c>
      <c r="AK2592">
        <v>17.0130154570207</v>
      </c>
    </row>
    <row r="2593" spans="1:37" x14ac:dyDescent="0.2">
      <c r="A2593" t="str">
        <f>"20200111154117127"</f>
        <v>20200111154117127</v>
      </c>
      <c r="B2593" t="str">
        <f>"1578728477118769"</f>
        <v>1578728477118769</v>
      </c>
      <c r="C2593" t="s">
        <v>37</v>
      </c>
      <c r="D2593">
        <v>5.057328</v>
      </c>
      <c r="E2593">
        <v>0.54948379999999997</v>
      </c>
      <c r="F2593" t="s">
        <v>43</v>
      </c>
      <c r="G2593">
        <v>-208.7346</v>
      </c>
      <c r="H2593" s="1">
        <v>6.3038639999999998E-6</v>
      </c>
      <c r="I2593">
        <v>212.1748</v>
      </c>
      <c r="J2593">
        <v>-225.32380000000001</v>
      </c>
      <c r="K2593">
        <v>1.1124069999999999</v>
      </c>
      <c r="L2593">
        <v>215.6953</v>
      </c>
      <c r="M2593">
        <v>0.9995636</v>
      </c>
      <c r="N2593">
        <v>0</v>
      </c>
      <c r="O2593">
        <v>-7.7015299999999998E-3</v>
      </c>
      <c r="P2593">
        <v>0.99625659999999905</v>
      </c>
      <c r="Q2593">
        <v>4.5498749999999998E-2</v>
      </c>
      <c r="R2593">
        <v>-7.3501750000000005E-2</v>
      </c>
      <c r="S2593">
        <v>2.97512799999999</v>
      </c>
      <c r="T2593">
        <v>-0.19349129999999901</v>
      </c>
      <c r="U2593">
        <v>-0.61300659999999996</v>
      </c>
      <c r="V2593">
        <v>6.5672659999999994E-2</v>
      </c>
      <c r="W2593">
        <v>7.4039649999999999E-2</v>
      </c>
      <c r="X2593">
        <v>0.99509049999999999</v>
      </c>
      <c r="Y2593">
        <v>0.1938753</v>
      </c>
      <c r="Z2593">
        <v>-5.7372889999999996E-3</v>
      </c>
      <c r="AA2593">
        <v>0.98100940000000003</v>
      </c>
      <c r="AB2593">
        <v>53</v>
      </c>
      <c r="AC2593">
        <v>16.589200000000002</v>
      </c>
      <c r="AD2593">
        <v>-1.112400696136</v>
      </c>
      <c r="AE2593">
        <v>-3.52049999999999</v>
      </c>
      <c r="AF2593">
        <v>3.3780465987761099</v>
      </c>
      <c r="AG2593">
        <v>-1.112400696136</v>
      </c>
      <c r="AH2593">
        <v>16.544645333762301</v>
      </c>
      <c r="AI2593">
        <v>93.769037116032806</v>
      </c>
      <c r="AJ2593">
        <v>78.460098707913701</v>
      </c>
      <c r="AK2593">
        <v>16.922586189830799</v>
      </c>
    </row>
    <row r="2594" spans="1:37" x14ac:dyDescent="0.2">
      <c r="A2594" t="str">
        <f>"20200111154117149"</f>
        <v>20200111154117149</v>
      </c>
      <c r="B2594" t="str">
        <f>"1578728477138289"</f>
        <v>1578728477138289</v>
      </c>
      <c r="C2594" t="s">
        <v>37</v>
      </c>
      <c r="D2594">
        <v>5.0324489999999997</v>
      </c>
      <c r="E2594">
        <v>0.54997790000000002</v>
      </c>
      <c r="F2594" t="s">
        <v>43</v>
      </c>
      <c r="G2594">
        <v>-208.50139999999999</v>
      </c>
      <c r="H2594" s="1">
        <v>6.1978339999999999E-6</v>
      </c>
      <c r="I2594">
        <v>212.20490000000001</v>
      </c>
      <c r="J2594">
        <v>-224.81460000000001</v>
      </c>
      <c r="K2594">
        <v>1.112441</v>
      </c>
      <c r="L2594">
        <v>215.69200000000001</v>
      </c>
      <c r="M2594">
        <v>0.99956800000000001</v>
      </c>
      <c r="N2594">
        <v>0</v>
      </c>
      <c r="O2594">
        <v>-7.0865590000000001E-3</v>
      </c>
      <c r="P2594">
        <v>0.99618169999999995</v>
      </c>
      <c r="Q2594">
        <v>4.6026659999999997E-2</v>
      </c>
      <c r="R2594">
        <v>-7.4186870000000002E-2</v>
      </c>
      <c r="S2594">
        <v>2.9747159999999999</v>
      </c>
      <c r="T2594">
        <v>-0.19670679999999999</v>
      </c>
      <c r="U2594">
        <v>-0.61720280000000005</v>
      </c>
      <c r="V2594">
        <v>6.6969269999999997E-2</v>
      </c>
      <c r="W2594">
        <v>7.4575580000000002E-2</v>
      </c>
      <c r="X2594">
        <v>0.99496409999999902</v>
      </c>
      <c r="Y2594">
        <v>0.1958144</v>
      </c>
      <c r="Z2594">
        <v>-5.9359679999999998E-3</v>
      </c>
      <c r="AA2594">
        <v>0.98062299999999902</v>
      </c>
      <c r="AB2594">
        <v>52</v>
      </c>
      <c r="AC2594">
        <v>16.313199999999998</v>
      </c>
      <c r="AD2594">
        <v>-1.112434802166</v>
      </c>
      <c r="AE2594">
        <v>-3.4870999999999901</v>
      </c>
      <c r="AF2594">
        <v>3.3564348105581101</v>
      </c>
      <c r="AG2594">
        <v>-1.112434802166</v>
      </c>
      <c r="AH2594">
        <v>16.2651804754964</v>
      </c>
      <c r="AI2594">
        <v>93.832081146179505</v>
      </c>
      <c r="AJ2594">
        <v>78.340275786800305</v>
      </c>
      <c r="AK2594">
        <v>16.645097227924602</v>
      </c>
    </row>
    <row r="2595" spans="1:37" x14ac:dyDescent="0.2">
      <c r="A2595" t="str">
        <f>"20200111154117172"</f>
        <v>20200111154117172</v>
      </c>
      <c r="B2595" t="str">
        <f>"1578728477168545"</f>
        <v>1578728477168545</v>
      </c>
      <c r="C2595" t="s">
        <v>37</v>
      </c>
      <c r="D2595">
        <v>4.9911769999999898</v>
      </c>
      <c r="E2595">
        <v>0.55082180000000003</v>
      </c>
      <c r="F2595" t="s">
        <v>43</v>
      </c>
      <c r="G2595">
        <v>-208.05590000000001</v>
      </c>
      <c r="H2595" s="1">
        <v>6.0023000000000001E-6</v>
      </c>
      <c r="I2595">
        <v>212.1814</v>
      </c>
      <c r="J2595">
        <v>-224.28620000000001</v>
      </c>
      <c r="K2595">
        <v>1.1124670000000001</v>
      </c>
      <c r="L2595">
        <v>215.68889999999999</v>
      </c>
      <c r="M2595">
        <v>0.99957220000000002</v>
      </c>
      <c r="N2595">
        <v>0</v>
      </c>
      <c r="O2595">
        <v>-6.4462769999999898E-3</v>
      </c>
      <c r="P2595">
        <v>0.99611209999999994</v>
      </c>
      <c r="Q2595">
        <v>4.6061530000000003E-2</v>
      </c>
      <c r="R2595">
        <v>-7.5094599999999997E-2</v>
      </c>
      <c r="S2595">
        <v>2.9742280000000001</v>
      </c>
      <c r="T2595">
        <v>-0.19742750000000001</v>
      </c>
      <c r="U2595">
        <v>-0.62303160000000002</v>
      </c>
      <c r="V2595">
        <v>6.8515090000000001E-2</v>
      </c>
      <c r="W2595">
        <v>7.4620279999999997E-2</v>
      </c>
      <c r="X2595">
        <v>0.9948555</v>
      </c>
      <c r="Y2595">
        <v>0.19830619999999999</v>
      </c>
      <c r="Z2595">
        <v>-6.0811789999999999E-3</v>
      </c>
      <c r="AA2595">
        <v>0.98012129999999997</v>
      </c>
      <c r="AB2595">
        <v>52</v>
      </c>
      <c r="AC2595">
        <v>16.2303</v>
      </c>
      <c r="AD2595">
        <v>-1.1124609977</v>
      </c>
      <c r="AE2595">
        <v>-3.5074999999999901</v>
      </c>
      <c r="AF2595">
        <v>3.3875546970147199</v>
      </c>
      <c r="AG2595">
        <v>-1.1124609977</v>
      </c>
      <c r="AH2595">
        <v>16.179959628562202</v>
      </c>
      <c r="AI2595">
        <v>93.849991810001697</v>
      </c>
      <c r="AJ2595">
        <v>78.174944387253305</v>
      </c>
      <c r="AK2595">
        <v>16.5681679698925</v>
      </c>
    </row>
    <row r="2596" spans="1:37" x14ac:dyDescent="0.2">
      <c r="A2596" t="str">
        <f>"20200111154117194"</f>
        <v>20200111154117194</v>
      </c>
      <c r="B2596" t="str">
        <f>"1578728477189041"</f>
        <v>1578728477189041</v>
      </c>
      <c r="C2596" t="s">
        <v>37</v>
      </c>
      <c r="D2596">
        <v>4.9927519999999896</v>
      </c>
      <c r="E2596">
        <v>0.55131490000000005</v>
      </c>
      <c r="F2596" t="s">
        <v>43</v>
      </c>
      <c r="G2596">
        <v>-207.7105</v>
      </c>
      <c r="H2596" s="1">
        <v>5.8508979999999997E-6</v>
      </c>
      <c r="I2596">
        <v>212.16120000000001</v>
      </c>
      <c r="J2596">
        <v>-223.7688</v>
      </c>
      <c r="K2596">
        <v>1.112492</v>
      </c>
      <c r="L2596">
        <v>215.68620000000001</v>
      </c>
      <c r="M2596">
        <v>0.99957580000000001</v>
      </c>
      <c r="N2596">
        <v>0</v>
      </c>
      <c r="O2596">
        <v>-5.8220569999999899E-3</v>
      </c>
      <c r="P2596">
        <v>0.99605529999999998</v>
      </c>
      <c r="Q2596">
        <v>4.5887690000000002E-2</v>
      </c>
      <c r="R2596">
        <v>-7.5948920000000003E-2</v>
      </c>
      <c r="S2596">
        <v>2.973236</v>
      </c>
      <c r="T2596">
        <v>-0.19954539999999901</v>
      </c>
      <c r="U2596">
        <v>-0.63278199999999996</v>
      </c>
      <c r="V2596">
        <v>6.9992289999999999E-2</v>
      </c>
      <c r="W2596">
        <v>7.4453359999999996E-2</v>
      </c>
      <c r="X2596">
        <v>0.99476520000000002</v>
      </c>
      <c r="Y2596">
        <v>0.20204129999999901</v>
      </c>
      <c r="Z2596">
        <v>-6.3114269999999997E-3</v>
      </c>
      <c r="AA2596">
        <v>0.97935659999999902</v>
      </c>
      <c r="AB2596">
        <v>52</v>
      </c>
      <c r="AC2596">
        <v>16.058299999999999</v>
      </c>
      <c r="AD2596">
        <v>-1.1124861491019999</v>
      </c>
      <c r="AE2596">
        <v>-3.5249999999999999</v>
      </c>
      <c r="AF2596">
        <v>3.41576964956116</v>
      </c>
      <c r="AG2596">
        <v>-1.1124861491019999</v>
      </c>
      <c r="AH2596">
        <v>16.005273757492098</v>
      </c>
      <c r="AI2596">
        <v>93.888794132750107</v>
      </c>
      <c r="AJ2596">
        <v>77.952935248955498</v>
      </c>
      <c r="AK2596">
        <v>16.4034720648731</v>
      </c>
    </row>
    <row r="2597" spans="1:37" x14ac:dyDescent="0.2">
      <c r="A2597" t="str">
        <f>"20200111154117217"</f>
        <v>20200111154117217</v>
      </c>
      <c r="B2597" t="str">
        <f>"1578728477208560"</f>
        <v>1578728477208560</v>
      </c>
      <c r="C2597" t="s">
        <v>37</v>
      </c>
      <c r="D2597">
        <v>5.0006789999999999</v>
      </c>
      <c r="E2597">
        <v>0.55178990000000006</v>
      </c>
      <c r="F2597" t="s">
        <v>43</v>
      </c>
      <c r="G2597">
        <v>-207.30260000000001</v>
      </c>
      <c r="H2597" s="1">
        <v>5.6715160000000003E-6</v>
      </c>
      <c r="I2597">
        <v>212.14420000000001</v>
      </c>
      <c r="J2597">
        <v>-223.25880000000001</v>
      </c>
      <c r="K2597">
        <v>1.112511</v>
      </c>
      <c r="L2597">
        <v>215.68389999999999</v>
      </c>
      <c r="M2597">
        <v>0.999579</v>
      </c>
      <c r="N2597">
        <v>0</v>
      </c>
      <c r="O2597">
        <v>-5.2173530000000001E-3</v>
      </c>
      <c r="P2597">
        <v>0.9959382</v>
      </c>
      <c r="Q2597">
        <v>4.6310860000000002E-2</v>
      </c>
      <c r="R2597">
        <v>-7.7217899999999895E-2</v>
      </c>
      <c r="S2597">
        <v>2.9723820000000001</v>
      </c>
      <c r="T2597">
        <v>-0.20081969999999999</v>
      </c>
      <c r="U2597">
        <v>-0.63938899999999999</v>
      </c>
      <c r="V2597">
        <v>7.1865020000000002E-2</v>
      </c>
      <c r="W2597">
        <v>7.4879899999999999E-2</v>
      </c>
      <c r="X2597">
        <v>0.99459959999999903</v>
      </c>
      <c r="Y2597">
        <v>0.2047592</v>
      </c>
      <c r="Z2597">
        <v>-6.4829989999999997E-3</v>
      </c>
      <c r="AA2597">
        <v>0.97879090000000002</v>
      </c>
      <c r="AB2597">
        <v>52</v>
      </c>
      <c r="AC2597">
        <v>15.9561999999999</v>
      </c>
      <c r="AD2597">
        <v>-1.1125053284840001</v>
      </c>
      <c r="AE2597">
        <v>-3.5396999999999799</v>
      </c>
      <c r="AF2597">
        <v>3.44042850408302</v>
      </c>
      <c r="AG2597">
        <v>-1.1125053284840001</v>
      </c>
      <c r="AH2597">
        <v>15.900786379563099</v>
      </c>
      <c r="AI2597">
        <v>93.911969945854693</v>
      </c>
      <c r="AJ2597">
        <v>77.791198730531903</v>
      </c>
      <c r="AK2597">
        <v>16.306723272506702</v>
      </c>
    </row>
    <row r="2598" spans="1:37" x14ac:dyDescent="0.2">
      <c r="A2598" t="str">
        <f>"20200111154117239"</f>
        <v>20200111154117239</v>
      </c>
      <c r="B2598" t="str">
        <f>"1578728477229057"</f>
        <v>1578728477229057</v>
      </c>
      <c r="C2598" t="s">
        <v>37</v>
      </c>
      <c r="D2598">
        <v>4.9738730000000002</v>
      </c>
      <c r="E2598">
        <v>0.55212249999999996</v>
      </c>
      <c r="F2598" t="s">
        <v>43</v>
      </c>
      <c r="G2598">
        <v>-206.81059999999999</v>
      </c>
      <c r="H2598" s="1">
        <v>5.4569949999999899E-6</v>
      </c>
      <c r="I2598">
        <v>212.10210000000001</v>
      </c>
      <c r="J2598">
        <v>-222.74809999999999</v>
      </c>
      <c r="K2598">
        <v>1.112519</v>
      </c>
      <c r="L2598">
        <v>215.68190000000001</v>
      </c>
      <c r="M2598">
        <v>0.99958230000000003</v>
      </c>
      <c r="N2598">
        <v>0</v>
      </c>
      <c r="O2598">
        <v>-4.63514299999999E-3</v>
      </c>
      <c r="P2598">
        <v>0.99582899999999996</v>
      </c>
      <c r="Q2598">
        <v>4.6880419999999999E-2</v>
      </c>
      <c r="R2598">
        <v>-7.8273780000000001E-2</v>
      </c>
      <c r="S2598">
        <v>2.9714200000000002</v>
      </c>
      <c r="T2598">
        <v>-0.20097799999999999</v>
      </c>
      <c r="U2598">
        <v>-0.64706419999999998</v>
      </c>
      <c r="V2598">
        <v>7.3504020000000003E-2</v>
      </c>
      <c r="W2598">
        <v>7.5427179999999996E-2</v>
      </c>
      <c r="X2598">
        <v>0.9944385</v>
      </c>
      <c r="Y2598">
        <v>0.20779989999999901</v>
      </c>
      <c r="Z2598">
        <v>-6.6288129999999999E-3</v>
      </c>
      <c r="AA2598">
        <v>0.97814889999999999</v>
      </c>
      <c r="AB2598">
        <v>51</v>
      </c>
      <c r="AC2598">
        <v>15.9375</v>
      </c>
      <c r="AD2598">
        <v>-1.1125135430049999</v>
      </c>
      <c r="AE2598">
        <v>-3.5798000000000001</v>
      </c>
      <c r="AF2598">
        <v>3.4896713908741299</v>
      </c>
      <c r="AG2598">
        <v>-1.1125135430049999</v>
      </c>
      <c r="AH2598">
        <v>15.8802648867667</v>
      </c>
      <c r="AI2598">
        <v>93.914291531193498</v>
      </c>
      <c r="AJ2598">
        <v>77.606302744594103</v>
      </c>
      <c r="AK2598">
        <v>16.2971870478783</v>
      </c>
    </row>
    <row r="2599" spans="1:37" x14ac:dyDescent="0.2">
      <c r="A2599" t="str">
        <f>"20200111154117261"</f>
        <v>20200111154117261</v>
      </c>
      <c r="B2599" t="str">
        <f>"1578728477248577"</f>
        <v>1578728477248577</v>
      </c>
      <c r="C2599" t="s">
        <v>37</v>
      </c>
      <c r="D2599">
        <v>4.972982</v>
      </c>
      <c r="E2599">
        <v>0.55238030000000005</v>
      </c>
      <c r="F2599" t="s">
        <v>43</v>
      </c>
      <c r="G2599">
        <v>-206.33240000000001</v>
      </c>
      <c r="H2599" s="1">
        <v>5.2474480000000004E-6</v>
      </c>
      <c r="I2599">
        <v>212.0737</v>
      </c>
      <c r="J2599">
        <v>-222.25659999999999</v>
      </c>
      <c r="K2599">
        <v>1.112495</v>
      </c>
      <c r="L2599">
        <v>215.68020000000001</v>
      </c>
      <c r="M2599">
        <v>0.99958609999999903</v>
      </c>
      <c r="N2599">
        <v>0</v>
      </c>
      <c r="O2599">
        <v>-4.1148119999999998E-3</v>
      </c>
      <c r="P2599">
        <v>0.99570449999999999</v>
      </c>
      <c r="Q2599">
        <v>4.7622730000000002E-2</v>
      </c>
      <c r="R2599">
        <v>-7.9405139999999999E-2</v>
      </c>
      <c r="S2599">
        <v>2.9707180000000002</v>
      </c>
      <c r="T2599">
        <v>-0.201329799999999</v>
      </c>
      <c r="U2599">
        <v>-0.65296940000000003</v>
      </c>
      <c r="V2599">
        <v>7.5159180000000006E-2</v>
      </c>
      <c r="W2599">
        <v>7.6109949999999996E-2</v>
      </c>
      <c r="X2599">
        <v>0.9942628</v>
      </c>
      <c r="Y2599">
        <v>0.210204</v>
      </c>
      <c r="Z2599">
        <v>-6.7557579999999997E-3</v>
      </c>
      <c r="AA2599">
        <v>0.97763419999999901</v>
      </c>
      <c r="AB2599">
        <v>51</v>
      </c>
      <c r="AC2599">
        <v>15.9241999999999</v>
      </c>
      <c r="AD2599">
        <v>-1.1124897525520001</v>
      </c>
      <c r="AE2599">
        <v>-3.6065000000000098</v>
      </c>
      <c r="AF2599">
        <v>3.5245549862195098</v>
      </c>
      <c r="AG2599">
        <v>-1.1124897525520001</v>
      </c>
      <c r="AH2599">
        <v>15.865256513651699</v>
      </c>
      <c r="AI2599">
        <v>93.915919684731307</v>
      </c>
      <c r="AJ2599">
        <v>77.474831926020201</v>
      </c>
      <c r="AK2599">
        <v>16.290073220964501</v>
      </c>
    </row>
    <row r="2600" spans="1:37" x14ac:dyDescent="0.2">
      <c r="A2600" t="str">
        <f>"20200111154117284"</f>
        <v>20200111154117284</v>
      </c>
      <c r="B2600" t="str">
        <f>"1578728477278832"</f>
        <v>1578728477278832</v>
      </c>
      <c r="C2600" t="s">
        <v>37</v>
      </c>
      <c r="D2600">
        <v>4.963546</v>
      </c>
      <c r="E2600">
        <v>0.55847819999999904</v>
      </c>
      <c r="F2600" t="s">
        <v>43</v>
      </c>
      <c r="G2600">
        <v>-205.72559999999999</v>
      </c>
      <c r="H2600" s="1">
        <v>4.9835559999999997E-6</v>
      </c>
      <c r="I2600">
        <v>212.01410000000001</v>
      </c>
      <c r="J2600">
        <v>-221.75319999999999</v>
      </c>
      <c r="K2600">
        <v>1.1124369999999999</v>
      </c>
      <c r="L2600">
        <v>215.67859999999999</v>
      </c>
      <c r="M2600">
        <v>0.99959010000000004</v>
      </c>
      <c r="N2600">
        <v>0</v>
      </c>
      <c r="O2600">
        <v>-3.6474909999999901E-3</v>
      </c>
      <c r="P2600">
        <v>0.99562289999999998</v>
      </c>
      <c r="Q2600">
        <v>4.8177749999999998E-2</v>
      </c>
      <c r="R2600">
        <v>-8.0088560000000003E-2</v>
      </c>
      <c r="S2600">
        <v>2.9699709999999899</v>
      </c>
      <c r="T2600">
        <v>-0.1998713</v>
      </c>
      <c r="U2600">
        <v>-0.65866089999999999</v>
      </c>
      <c r="V2600">
        <v>7.6318170000000005E-2</v>
      </c>
      <c r="W2600">
        <v>7.6577800000000001E-2</v>
      </c>
      <c r="X2600">
        <v>0.99413850000000004</v>
      </c>
      <c r="Y2600">
        <v>0.21249899999999899</v>
      </c>
      <c r="Z2600">
        <v>-6.8144640000000001E-3</v>
      </c>
      <c r="AA2600">
        <v>0.97713749999999999</v>
      </c>
      <c r="AB2600">
        <v>51</v>
      </c>
      <c r="AC2600">
        <v>16.0276</v>
      </c>
      <c r="AD2600">
        <v>-1.112432016444</v>
      </c>
      <c r="AE2600">
        <v>-3.6644999999999701</v>
      </c>
      <c r="AF2600">
        <v>3.5895583060955798</v>
      </c>
      <c r="AG2600">
        <v>-1.112432016444</v>
      </c>
      <c r="AH2600">
        <v>15.9677636546046</v>
      </c>
      <c r="AI2600">
        <v>93.888474253806194</v>
      </c>
      <c r="AJ2600">
        <v>77.330506761943496</v>
      </c>
      <c r="AK2600">
        <v>16.404021151942601</v>
      </c>
    </row>
    <row r="2601" spans="1:37" x14ac:dyDescent="0.2">
      <c r="A2601" t="str">
        <f>"20200111154117307"</f>
        <v>20200111154117307</v>
      </c>
      <c r="B2601" t="str">
        <f>"1578728477299329"</f>
        <v>1578728477299329</v>
      </c>
      <c r="C2601" t="s">
        <v>37</v>
      </c>
      <c r="D2601">
        <v>4.8585310000000002</v>
      </c>
      <c r="E2601">
        <v>0.55790779999999995</v>
      </c>
      <c r="F2601" t="s">
        <v>43</v>
      </c>
      <c r="G2601">
        <v>-206.28</v>
      </c>
      <c r="H2601" s="1">
        <v>5.2326130000000002E-6</v>
      </c>
      <c r="I2601">
        <v>211.97710000000001</v>
      </c>
      <c r="J2601">
        <v>-221.2346</v>
      </c>
      <c r="K2601">
        <v>1.112347</v>
      </c>
      <c r="L2601">
        <v>215.6772</v>
      </c>
      <c r="M2601">
        <v>0.99959480000000001</v>
      </c>
      <c r="N2601">
        <v>0</v>
      </c>
      <c r="O2601">
        <v>-3.2634679999999998E-3</v>
      </c>
      <c r="P2601">
        <v>0.99553840000000005</v>
      </c>
      <c r="Q2601">
        <v>4.8649770000000002E-2</v>
      </c>
      <c r="R2601">
        <v>-8.0848020000000007E-2</v>
      </c>
      <c r="S2601">
        <v>2.9664459999999999</v>
      </c>
      <c r="T2601">
        <v>-0.21326919999999999</v>
      </c>
      <c r="U2601">
        <v>-0.70964050000000001</v>
      </c>
      <c r="V2601">
        <v>7.7476260000000005E-2</v>
      </c>
      <c r="W2601">
        <v>7.6911069999999998E-2</v>
      </c>
      <c r="X2601">
        <v>0.9940232</v>
      </c>
      <c r="Y2601">
        <v>0.22893060000000001</v>
      </c>
      <c r="Z2601">
        <v>-7.8736919999999998E-3</v>
      </c>
      <c r="AA2601">
        <v>0.97341089999999997</v>
      </c>
      <c r="AB2601">
        <v>50</v>
      </c>
      <c r="AC2601">
        <v>14.954599999999999</v>
      </c>
      <c r="AD2601">
        <v>-1.112341767387</v>
      </c>
      <c r="AE2601">
        <v>-3.7000999999999902</v>
      </c>
      <c r="AF2601">
        <v>3.63232010312543</v>
      </c>
      <c r="AG2601">
        <v>-1.112341767387</v>
      </c>
      <c r="AH2601">
        <v>14.8889778534736</v>
      </c>
      <c r="AI2601">
        <v>94.151272352111803</v>
      </c>
      <c r="AJ2601">
        <v>76.2899078132657</v>
      </c>
      <c r="AK2601">
        <v>15.365959620546599</v>
      </c>
    </row>
    <row r="2602" spans="1:37" x14ac:dyDescent="0.2">
      <c r="A2602" t="str">
        <f>"20200111154117328"</f>
        <v>20200111154117328</v>
      </c>
      <c r="B2602" t="str">
        <f>"1578728477318849"</f>
        <v>1578728477318849</v>
      </c>
      <c r="C2602" t="s">
        <v>37</v>
      </c>
      <c r="D2602">
        <v>4.9639009999999999</v>
      </c>
      <c r="E2602">
        <v>0.55834050000000002</v>
      </c>
      <c r="F2602" t="s">
        <v>44</v>
      </c>
      <c r="G2602">
        <v>-211.0538</v>
      </c>
      <c r="H2602" s="1">
        <v>-9.1622849999999995E-7</v>
      </c>
      <c r="I2602">
        <v>213.24889999999999</v>
      </c>
      <c r="J2602">
        <v>-220.755</v>
      </c>
      <c r="K2602">
        <v>1.1122430000000001</v>
      </c>
      <c r="L2602">
        <v>215.67599999999999</v>
      </c>
      <c r="M2602">
        <v>0.99960039999999994</v>
      </c>
      <c r="N2602">
        <v>0</v>
      </c>
      <c r="O2602">
        <v>-2.9871730000000001E-3</v>
      </c>
      <c r="P2602">
        <v>0.99541499999999905</v>
      </c>
      <c r="Q2602">
        <v>4.9499000000000001E-2</v>
      </c>
      <c r="R2602">
        <v>-8.1847939999999994E-2</v>
      </c>
      <c r="S2602">
        <v>2.9717560000000001</v>
      </c>
      <c r="T2602">
        <v>-0.32469239999999999</v>
      </c>
      <c r="U2602">
        <v>-0.70883180000000001</v>
      </c>
      <c r="V2602">
        <v>7.8767809999999994E-2</v>
      </c>
      <c r="W2602">
        <v>7.7580440000000001E-2</v>
      </c>
      <c r="X2602">
        <v>0.99386969999999997</v>
      </c>
      <c r="Y2602">
        <v>0.227840299999999</v>
      </c>
      <c r="Z2602">
        <v>-1.1918700000000001E-2</v>
      </c>
      <c r="AA2602">
        <v>0.97362559999999998</v>
      </c>
      <c r="AB2602">
        <v>50</v>
      </c>
      <c r="AC2602">
        <v>9.7012</v>
      </c>
      <c r="AD2602">
        <v>-1.1122439162285001</v>
      </c>
      <c r="AE2602">
        <v>-2.42709999999999</v>
      </c>
      <c r="AF2602">
        <v>2.3687956924832698</v>
      </c>
      <c r="AG2602">
        <v>-1.1122439162285001</v>
      </c>
      <c r="AH2602">
        <v>9.5897806900902491</v>
      </c>
      <c r="AI2602">
        <v>96.424329857992007</v>
      </c>
      <c r="AJ2602">
        <v>76.124971739909796</v>
      </c>
      <c r="AK2602">
        <v>9.9404312404413506</v>
      </c>
    </row>
    <row r="2603" spans="1:37" x14ac:dyDescent="0.2">
      <c r="A2603" t="str">
        <f>"20200111154117350"</f>
        <v>20200111154117350</v>
      </c>
      <c r="B2603" t="str">
        <f>"1578728477338991"</f>
        <v>1578728477338991</v>
      </c>
      <c r="C2603" t="s">
        <v>37</v>
      </c>
      <c r="D2603">
        <v>4.9093269999999896</v>
      </c>
      <c r="E2603">
        <v>0.55897659999999905</v>
      </c>
      <c r="F2603" t="s">
        <v>43</v>
      </c>
      <c r="G2603">
        <v>-205.7415</v>
      </c>
      <c r="H2603" s="1">
        <v>4.9863559999999999E-6</v>
      </c>
      <c r="I2603">
        <v>212.0625</v>
      </c>
      <c r="J2603">
        <v>-220.26259999999999</v>
      </c>
      <c r="K2603">
        <v>1.11212</v>
      </c>
      <c r="L2603">
        <v>215.6747</v>
      </c>
      <c r="M2603">
        <v>0.99960609999999905</v>
      </c>
      <c r="N2603">
        <v>0</v>
      </c>
      <c r="O2603">
        <v>-2.8021119999999998E-3</v>
      </c>
      <c r="P2603">
        <v>0.99523130000000004</v>
      </c>
      <c r="Q2603">
        <v>5.0389580000000003E-2</v>
      </c>
      <c r="R2603">
        <v>-8.3523120000000006E-2</v>
      </c>
      <c r="S2603">
        <v>2.9660340000000001</v>
      </c>
      <c r="T2603">
        <v>-0.21973089999999901</v>
      </c>
      <c r="U2603">
        <v>-0.71386719999999904</v>
      </c>
      <c r="V2603">
        <v>8.0646590000000004E-2</v>
      </c>
      <c r="W2603">
        <v>7.8259309999999999E-2</v>
      </c>
      <c r="X2603">
        <v>0.99366580000000004</v>
      </c>
      <c r="Y2603">
        <v>0.2306822</v>
      </c>
      <c r="Z2603">
        <v>-8.2089539999999992E-3</v>
      </c>
      <c r="AA2603">
        <v>0.97299449999999998</v>
      </c>
      <c r="AB2603">
        <v>50</v>
      </c>
      <c r="AC2603">
        <v>14.521099999999899</v>
      </c>
      <c r="AD2603">
        <v>-1.1121150136439999</v>
      </c>
      <c r="AE2603">
        <v>-3.6122000000000001</v>
      </c>
      <c r="AF2603">
        <v>3.5518609879921899</v>
      </c>
      <c r="AG2603">
        <v>-1.1121150136439999</v>
      </c>
      <c r="AH2603">
        <v>14.451344676682201</v>
      </c>
      <c r="AI2603">
        <v>94.273867120640901</v>
      </c>
      <c r="AJ2603">
        <v>76.191511375857303</v>
      </c>
      <c r="AK2603">
        <v>14.9229313221587</v>
      </c>
    </row>
    <row r="2604" spans="1:37" x14ac:dyDescent="0.2">
      <c r="A2604" t="str">
        <f>"20200111154117374"</f>
        <v>20200111154117374</v>
      </c>
      <c r="B2604" t="str">
        <f>"1578728477369238"</f>
        <v>1578728477369238</v>
      </c>
      <c r="C2604" t="s">
        <v>37</v>
      </c>
      <c r="D2604">
        <v>4.9321830000000002</v>
      </c>
      <c r="E2604">
        <v>0.55977119999999903</v>
      </c>
      <c r="F2604" t="s">
        <v>43</v>
      </c>
      <c r="G2604">
        <v>-205.92750000000001</v>
      </c>
      <c r="H2604" s="1">
        <v>5.0589300000000004E-6</v>
      </c>
      <c r="I2604">
        <v>212.17590000000001</v>
      </c>
      <c r="J2604">
        <v>-219.76300000000001</v>
      </c>
      <c r="K2604">
        <v>1.1119600000000001</v>
      </c>
      <c r="L2604">
        <v>215.67339999999999</v>
      </c>
      <c r="M2604">
        <v>0.99961149999999999</v>
      </c>
      <c r="N2604">
        <v>0</v>
      </c>
      <c r="O2604">
        <v>-2.7765400000000001E-3</v>
      </c>
      <c r="P2604">
        <v>0.99502669999999904</v>
      </c>
      <c r="Q2604">
        <v>5.0507650000000001E-2</v>
      </c>
      <c r="R2604">
        <v>-8.5856139999999997E-2</v>
      </c>
      <c r="S2604">
        <v>2.965271</v>
      </c>
      <c r="T2604">
        <v>-0.2300451</v>
      </c>
      <c r="U2604">
        <v>-0.72373959999999904</v>
      </c>
      <c r="V2604">
        <v>8.3031419999999995E-2</v>
      </c>
      <c r="W2604">
        <v>7.8155199999999994E-2</v>
      </c>
      <c r="X2604">
        <v>0.99347750000000001</v>
      </c>
      <c r="Y2604">
        <v>0.2337574</v>
      </c>
      <c r="Z2604">
        <v>-8.7113809999999903E-3</v>
      </c>
      <c r="AA2604">
        <v>0.97225589999999995</v>
      </c>
      <c r="AB2604">
        <v>50</v>
      </c>
      <c r="AC2604">
        <v>13.8354999999999</v>
      </c>
      <c r="AD2604">
        <v>-1.11195494107</v>
      </c>
      <c r="AE2604">
        <v>-3.4974999999999699</v>
      </c>
      <c r="AF2604">
        <v>3.438182637098</v>
      </c>
      <c r="AG2604">
        <v>-1.11195494107</v>
      </c>
      <c r="AH2604">
        <v>13.761610321411201</v>
      </c>
      <c r="AI2604">
        <v>94.482345395899202</v>
      </c>
      <c r="AJ2604">
        <v>75.972455801710595</v>
      </c>
      <c r="AK2604">
        <v>14.228122232936601</v>
      </c>
    </row>
    <row r="2605" spans="1:37" x14ac:dyDescent="0.2">
      <c r="A2605" t="str">
        <f>"20200111154117396"</f>
        <v>20200111154117396</v>
      </c>
      <c r="B2605" t="str">
        <f>"1578728477388758"</f>
        <v>1578728477388758</v>
      </c>
      <c r="C2605" t="s">
        <v>37</v>
      </c>
      <c r="D2605">
        <v>4.9527830000000002</v>
      </c>
      <c r="E2605">
        <v>0.56054329999999997</v>
      </c>
      <c r="F2605" t="s">
        <v>43</v>
      </c>
      <c r="G2605">
        <v>-205.41030000000001</v>
      </c>
      <c r="H2605" s="1">
        <v>4.8354889999999996E-6</v>
      </c>
      <c r="I2605">
        <v>212.10810000000001</v>
      </c>
      <c r="J2605">
        <v>-219.2611</v>
      </c>
      <c r="K2605">
        <v>1.111745</v>
      </c>
      <c r="L2605">
        <v>215.67189999999999</v>
      </c>
      <c r="M2605">
        <v>0.99961610000000001</v>
      </c>
      <c r="N2605">
        <v>0</v>
      </c>
      <c r="O2605">
        <v>-2.9927619999999999E-3</v>
      </c>
      <c r="P2605">
        <v>0.99478290000000003</v>
      </c>
      <c r="Q2605">
        <v>4.9431879999999997E-2</v>
      </c>
      <c r="R2605">
        <v>-8.923934E-2</v>
      </c>
      <c r="S2605">
        <v>2.96312</v>
      </c>
      <c r="T2605">
        <v>-0.229562399999999</v>
      </c>
      <c r="U2605">
        <v>-0.73605350000000003</v>
      </c>
      <c r="V2605">
        <v>8.6236569999999999E-2</v>
      </c>
      <c r="W2605">
        <v>7.6850210000000002E-2</v>
      </c>
      <c r="X2605">
        <v>0.99330620000000003</v>
      </c>
      <c r="Y2605">
        <v>0.2375099</v>
      </c>
      <c r="Z2605">
        <v>-8.8215289999999998E-3</v>
      </c>
      <c r="AA2605">
        <v>0.97134509999999996</v>
      </c>
      <c r="AB2605">
        <v>49</v>
      </c>
      <c r="AC2605">
        <v>13.8507999999999</v>
      </c>
      <c r="AD2605">
        <v>-1.1117401645110001</v>
      </c>
      <c r="AE2605">
        <v>-3.5637999999999801</v>
      </c>
      <c r="AF2605">
        <v>3.5011603672299798</v>
      </c>
      <c r="AG2605">
        <v>-1.1117401645110001</v>
      </c>
      <c r="AH2605">
        <v>13.7781530190325</v>
      </c>
      <c r="AI2605">
        <v>94.471615625281302</v>
      </c>
      <c r="AJ2605">
        <v>75.742362017433507</v>
      </c>
      <c r="AK2605">
        <v>14.2594386539696</v>
      </c>
    </row>
    <row r="2606" spans="1:37" x14ac:dyDescent="0.2">
      <c r="A2606" t="str">
        <f>"20200111154117418"</f>
        <v>20200111154117418</v>
      </c>
      <c r="B2606" t="str">
        <f>"1578728477409255"</f>
        <v>1578728477409255</v>
      </c>
      <c r="C2606" t="s">
        <v>37</v>
      </c>
      <c r="D2606">
        <v>5.0082420000000001</v>
      </c>
      <c r="E2606">
        <v>0.56068249999999997</v>
      </c>
      <c r="F2606" t="s">
        <v>43</v>
      </c>
      <c r="G2606">
        <v>-205.12129999999999</v>
      </c>
      <c r="H2606" s="1">
        <v>4.7096300000000002E-6</v>
      </c>
      <c r="I2606">
        <v>212.0821</v>
      </c>
      <c r="J2606">
        <v>-218.78720000000001</v>
      </c>
      <c r="K2606">
        <v>1.1114729999999999</v>
      </c>
      <c r="L2606">
        <v>215.67019999999999</v>
      </c>
      <c r="M2606">
        <v>0.99961929999999999</v>
      </c>
      <c r="N2606">
        <v>0</v>
      </c>
      <c r="O2606">
        <v>-3.496552E-3</v>
      </c>
      <c r="P2606">
        <v>0.99459619999999904</v>
      </c>
      <c r="Q2606">
        <v>4.7120380000000003E-2</v>
      </c>
      <c r="R2606">
        <v>-9.2511739999999995E-2</v>
      </c>
      <c r="S2606">
        <v>2.9598849999999999</v>
      </c>
      <c r="T2606">
        <v>-0.2327207</v>
      </c>
      <c r="U2606">
        <v>-0.75146480000000004</v>
      </c>
      <c r="V2606">
        <v>8.9053789999999994E-2</v>
      </c>
      <c r="W2606">
        <v>7.4313569999999995E-2</v>
      </c>
      <c r="X2606">
        <v>0.99325069999999904</v>
      </c>
      <c r="Y2606">
        <v>0.24199319999999999</v>
      </c>
      <c r="Z2606">
        <v>-9.080734E-3</v>
      </c>
      <c r="AA2606">
        <v>0.97023549999999903</v>
      </c>
      <c r="AB2606">
        <v>49</v>
      </c>
      <c r="AC2606">
        <v>13.665900000000001</v>
      </c>
      <c r="AD2606">
        <v>-1.1114682903699999</v>
      </c>
      <c r="AE2606">
        <v>-3.5880999999999901</v>
      </c>
      <c r="AF2606">
        <v>3.51850335081734</v>
      </c>
      <c r="AG2606">
        <v>-1.1114682903699999</v>
      </c>
      <c r="AH2606">
        <v>13.5942429489549</v>
      </c>
      <c r="AI2606">
        <v>94.525641323716002</v>
      </c>
      <c r="AJ2606">
        <v>75.488966526655204</v>
      </c>
      <c r="AK2606">
        <v>14.0861161767686</v>
      </c>
    </row>
    <row r="2607" spans="1:37" x14ac:dyDescent="0.2">
      <c r="A2607" t="str">
        <f>"20200111154117440"</f>
        <v>20200111154117440</v>
      </c>
      <c r="B2607" t="str">
        <f>"1578728477428774"</f>
        <v>1578728477428774</v>
      </c>
      <c r="C2607" t="s">
        <v>37</v>
      </c>
      <c r="D2607">
        <v>4.9623109999999997</v>
      </c>
      <c r="E2607">
        <v>0.5610155</v>
      </c>
      <c r="F2607" t="s">
        <v>43</v>
      </c>
      <c r="G2607">
        <v>-205.16460000000001</v>
      </c>
      <c r="H2607" s="1">
        <v>4.7221169999999999E-6</v>
      </c>
      <c r="I2607">
        <v>212.15860000000001</v>
      </c>
      <c r="J2607">
        <v>-218.30279999999999</v>
      </c>
      <c r="K2607">
        <v>1.1111139999999999</v>
      </c>
      <c r="L2607">
        <v>215.6678</v>
      </c>
      <c r="M2607">
        <v>0.99961999999999995</v>
      </c>
      <c r="N2607">
        <v>0</v>
      </c>
      <c r="O2607">
        <v>-4.3939069999999998E-3</v>
      </c>
      <c r="P2607">
        <v>0.9943824</v>
      </c>
      <c r="Q2607">
        <v>4.4677939999999999E-2</v>
      </c>
      <c r="R2607">
        <v>-9.5955620000000005E-2</v>
      </c>
      <c r="S2607">
        <v>2.956833</v>
      </c>
      <c r="T2607">
        <v>-0.24124679999999901</v>
      </c>
      <c r="U2607">
        <v>-0.76219179999999997</v>
      </c>
      <c r="V2607">
        <v>9.1663350000000005E-2</v>
      </c>
      <c r="W2607">
        <v>7.1630899999999997E-2</v>
      </c>
      <c r="X2607">
        <v>0.99321039999999905</v>
      </c>
      <c r="Y2607">
        <v>0.2446063</v>
      </c>
      <c r="Z2607">
        <v>-9.4504140000000007E-3</v>
      </c>
      <c r="AA2607">
        <v>0.9695764</v>
      </c>
      <c r="AB2607">
        <v>49</v>
      </c>
      <c r="AC2607">
        <v>13.1381999999999</v>
      </c>
      <c r="AD2607">
        <v>-1.1111092778829901</v>
      </c>
      <c r="AE2607">
        <v>-3.5091999999999901</v>
      </c>
      <c r="AF2607">
        <v>3.4285279677849299</v>
      </c>
      <c r="AG2607">
        <v>-1.1111092778829901</v>
      </c>
      <c r="AH2607">
        <v>13.0662680068758</v>
      </c>
      <c r="AI2607">
        <v>94.702108691608203</v>
      </c>
      <c r="AJ2607">
        <v>75.297305716073296</v>
      </c>
      <c r="AK2607">
        <v>13.5542143808037</v>
      </c>
    </row>
    <row r="2608" spans="1:37" x14ac:dyDescent="0.2">
      <c r="A2608" t="str">
        <f>"20200111154117462"</f>
        <v>20200111154117462</v>
      </c>
      <c r="B2608" t="str">
        <f>"1578728477459050"</f>
        <v>1578728477459050</v>
      </c>
      <c r="C2608" t="s">
        <v>37</v>
      </c>
      <c r="D2608">
        <v>4.9585850000000002</v>
      </c>
      <c r="E2608">
        <v>0.56128480000000003</v>
      </c>
      <c r="F2608" t="s">
        <v>43</v>
      </c>
      <c r="G2608">
        <v>-205.09059999999999</v>
      </c>
      <c r="H2608" s="1">
        <v>4.686012E-6</v>
      </c>
      <c r="I2608">
        <v>212.19640000000001</v>
      </c>
      <c r="J2608">
        <v>-217.8246</v>
      </c>
      <c r="K2608">
        <v>1.1106719999999899</v>
      </c>
      <c r="L2608">
        <v>215.66470000000001</v>
      </c>
      <c r="M2608">
        <v>0.9996176</v>
      </c>
      <c r="N2608">
        <v>0</v>
      </c>
      <c r="O2608">
        <v>-5.7481980000000004E-3</v>
      </c>
      <c r="P2608">
        <v>0.9940563</v>
      </c>
      <c r="Q2608">
        <v>4.1755250000000001E-2</v>
      </c>
      <c r="R2608">
        <v>-0.1005412</v>
      </c>
      <c r="S2608">
        <v>2.9532470000000002</v>
      </c>
      <c r="T2608">
        <v>-0.24835960000000001</v>
      </c>
      <c r="U2608">
        <v>-0.77595519999999996</v>
      </c>
      <c r="V2608">
        <v>9.4969629999999999E-2</v>
      </c>
      <c r="W2608">
        <v>6.8440130000000002E-2</v>
      </c>
      <c r="X2608">
        <v>0.99312469999999997</v>
      </c>
      <c r="Y2608">
        <v>0.24775649999999999</v>
      </c>
      <c r="Z2608">
        <v>-9.7521589999999998E-3</v>
      </c>
      <c r="AA2608">
        <v>0.9687732</v>
      </c>
      <c r="AB2608">
        <v>49</v>
      </c>
      <c r="AC2608">
        <v>12.734</v>
      </c>
      <c r="AD2608">
        <v>-1.1106673139879999</v>
      </c>
      <c r="AE2608">
        <v>-3.4683000000000002</v>
      </c>
      <c r="AF2608">
        <v>3.3711436467473401</v>
      </c>
      <c r="AG2608">
        <v>-1.1106673139879999</v>
      </c>
      <c r="AH2608">
        <v>12.664045611772901</v>
      </c>
      <c r="AI2608">
        <v>94.844299046646199</v>
      </c>
      <c r="AJ2608">
        <v>75.093655481721797</v>
      </c>
      <c r="AK2608">
        <v>13.1520432871258</v>
      </c>
    </row>
    <row r="2609" spans="1:37" x14ac:dyDescent="0.2">
      <c r="A2609" t="str">
        <f>"20200111154117485"</f>
        <v>20200111154117485</v>
      </c>
      <c r="B2609" t="str">
        <f>"1578728477478569"</f>
        <v>1578728477478569</v>
      </c>
      <c r="C2609" t="s">
        <v>37</v>
      </c>
      <c r="D2609">
        <v>5.0067839999999997</v>
      </c>
      <c r="E2609">
        <v>0.56122910000000004</v>
      </c>
      <c r="F2609" t="s">
        <v>43</v>
      </c>
      <c r="G2609">
        <v>-204.9846</v>
      </c>
      <c r="H2609" s="1">
        <v>4.6373249999999997E-6</v>
      </c>
      <c r="I2609">
        <v>212.2157</v>
      </c>
      <c r="J2609">
        <v>-217.33539999999999</v>
      </c>
      <c r="K2609">
        <v>1.1101289999999999</v>
      </c>
      <c r="L2609">
        <v>215.6602</v>
      </c>
      <c r="M2609">
        <v>0.99960919999999898</v>
      </c>
      <c r="N2609">
        <v>0</v>
      </c>
      <c r="O2609">
        <v>-7.7219069999999897E-3</v>
      </c>
      <c r="P2609">
        <v>0.99358729999999995</v>
      </c>
      <c r="Q2609">
        <v>3.9251750000000002E-2</v>
      </c>
      <c r="R2609">
        <v>-0.1060353</v>
      </c>
      <c r="S2609">
        <v>2.948547</v>
      </c>
      <c r="T2609">
        <v>-0.25505100000000003</v>
      </c>
      <c r="U2609">
        <v>-0.79202269999999997</v>
      </c>
      <c r="V2609">
        <v>9.8580200000000007E-2</v>
      </c>
      <c r="W2609">
        <v>6.5622199999999895E-2</v>
      </c>
      <c r="X2609">
        <v>0.99296309999999999</v>
      </c>
      <c r="Y2609">
        <v>0.25110320000000003</v>
      </c>
      <c r="Z2609">
        <v>-9.9970470000000002E-3</v>
      </c>
      <c r="AA2609">
        <v>0.96790869999999996</v>
      </c>
      <c r="AB2609">
        <v>49</v>
      </c>
      <c r="AC2609">
        <v>12.3507999999999</v>
      </c>
      <c r="AD2609">
        <v>-1.1101243626749999</v>
      </c>
      <c r="AE2609">
        <v>-3.4445000000000001</v>
      </c>
      <c r="AF2609">
        <v>3.3240741575533401</v>
      </c>
      <c r="AG2609">
        <v>-1.1101243626749999</v>
      </c>
      <c r="AH2609">
        <v>12.284952525485201</v>
      </c>
      <c r="AI2609">
        <v>94.985167469647095</v>
      </c>
      <c r="AJ2609">
        <v>74.859404963643598</v>
      </c>
      <c r="AK2609">
        <v>12.7750500452618</v>
      </c>
    </row>
    <row r="2610" spans="1:37" x14ac:dyDescent="0.2">
      <c r="A2610" t="str">
        <f>"20200111154117506"</f>
        <v>20200111154117506</v>
      </c>
      <c r="B2610" t="str">
        <f>"1578728477499068"</f>
        <v>1578728477499068</v>
      </c>
      <c r="C2610" t="s">
        <v>37</v>
      </c>
      <c r="D2610">
        <v>5.0299879999999897</v>
      </c>
      <c r="E2610">
        <v>0.56127930000000004</v>
      </c>
      <c r="F2610" t="s">
        <v>43</v>
      </c>
      <c r="G2610">
        <v>-204.9725</v>
      </c>
      <c r="H2610" s="1">
        <v>4.6278260000000003E-6</v>
      </c>
      <c r="I2610">
        <v>212.26310000000001</v>
      </c>
      <c r="J2610">
        <v>-216.8554</v>
      </c>
      <c r="K2610">
        <v>1.109551</v>
      </c>
      <c r="L2610">
        <v>215.65430000000001</v>
      </c>
      <c r="M2610">
        <v>0.99959120000000001</v>
      </c>
      <c r="N2610">
        <v>0</v>
      </c>
      <c r="O2610">
        <v>-1.025622E-2</v>
      </c>
      <c r="P2610">
        <v>0.99301879999999998</v>
      </c>
      <c r="Q2610">
        <v>3.7590980000000003E-2</v>
      </c>
      <c r="R2610">
        <v>-0.11180519999999999</v>
      </c>
      <c r="S2610">
        <v>2.9434809999999998</v>
      </c>
      <c r="T2610">
        <v>-0.26430989999999999</v>
      </c>
      <c r="U2610">
        <v>-0.80880739999999995</v>
      </c>
      <c r="V2610">
        <v>0.1019152</v>
      </c>
      <c r="W2610">
        <v>6.3623650000000004E-2</v>
      </c>
      <c r="X2610">
        <v>0.99275639999999998</v>
      </c>
      <c r="Y2610">
        <v>0.25413950000000002</v>
      </c>
      <c r="Z2610">
        <v>-1.0278839999999999E-2</v>
      </c>
      <c r="AA2610">
        <v>0.967112999999999</v>
      </c>
      <c r="AB2610">
        <v>48</v>
      </c>
      <c r="AC2610">
        <v>11.882899999999999</v>
      </c>
      <c r="AD2610">
        <v>-1.109546372174</v>
      </c>
      <c r="AE2610">
        <v>-3.3911999999999898</v>
      </c>
      <c r="AF2610">
        <v>3.2429597655355198</v>
      </c>
      <c r="AG2610">
        <v>-1.109546372174</v>
      </c>
      <c r="AH2610">
        <v>11.8217610273168</v>
      </c>
      <c r="AI2610">
        <v>95.171886237256402</v>
      </c>
      <c r="AJ2610">
        <v>74.659912528528295</v>
      </c>
      <c r="AK2610">
        <v>12.308611415585201</v>
      </c>
    </row>
    <row r="2611" spans="1:37" x14ac:dyDescent="0.2">
      <c r="A2611" t="str">
        <f>"20200111154117529"</f>
        <v>20200111154117529</v>
      </c>
      <c r="B2611" t="str">
        <f>"1578728477518585"</f>
        <v>1578728477518585</v>
      </c>
      <c r="C2611" t="s">
        <v>37</v>
      </c>
      <c r="D2611">
        <v>5.2108559999999997</v>
      </c>
      <c r="E2611">
        <v>0.56146879999999999</v>
      </c>
      <c r="F2611" t="s">
        <v>43</v>
      </c>
      <c r="G2611">
        <v>-204.76580000000001</v>
      </c>
      <c r="H2611" s="1">
        <v>4.5371350000000001E-6</v>
      </c>
      <c r="I2611">
        <v>212.2516</v>
      </c>
      <c r="J2611">
        <v>-216.38929999999999</v>
      </c>
      <c r="K2611">
        <v>1.108989</v>
      </c>
      <c r="L2611">
        <v>215.64689999999999</v>
      </c>
      <c r="M2611">
        <v>0.99956119999999904</v>
      </c>
      <c r="N2611">
        <v>0</v>
      </c>
      <c r="O2611">
        <v>-1.32237999999999E-2</v>
      </c>
      <c r="P2611">
        <v>0.99229750000000005</v>
      </c>
      <c r="Q2611">
        <v>3.6053950000000001E-2</v>
      </c>
      <c r="R2611">
        <v>-0.1185166</v>
      </c>
      <c r="S2611">
        <v>2.938202</v>
      </c>
      <c r="T2611">
        <v>-0.26965859999999903</v>
      </c>
      <c r="U2611">
        <v>-0.82696530000000001</v>
      </c>
      <c r="V2611">
        <v>0.105758399999999</v>
      </c>
      <c r="W2611">
        <v>6.1742409999999998E-2</v>
      </c>
      <c r="X2611">
        <v>0.99247319999999895</v>
      </c>
      <c r="Y2611">
        <v>0.2572197</v>
      </c>
      <c r="Z2611">
        <v>-1.036753E-2</v>
      </c>
      <c r="AA2611">
        <v>0.96629730000000003</v>
      </c>
      <c r="AB2611">
        <v>48</v>
      </c>
      <c r="AC2611">
        <v>11.6234999999999</v>
      </c>
      <c r="AD2611">
        <v>-1.1089844628650001</v>
      </c>
      <c r="AE2611">
        <v>-3.39529999999999</v>
      </c>
      <c r="AF2611">
        <v>3.2142832284857601</v>
      </c>
      <c r="AG2611">
        <v>-1.1089844628650001</v>
      </c>
      <c r="AH2611">
        <v>11.570354662608899</v>
      </c>
      <c r="AI2611">
        <v>95.276285246717606</v>
      </c>
      <c r="AJ2611">
        <v>74.474529051648801</v>
      </c>
      <c r="AK2611">
        <v>12.059625625630201</v>
      </c>
    </row>
    <row r="2612" spans="1:37" x14ac:dyDescent="0.2">
      <c r="A2612" t="str">
        <f>"20200111154117551"</f>
        <v>20200111154117551</v>
      </c>
      <c r="B2612" t="str">
        <f>"1578728477548842"</f>
        <v>1578728477548842</v>
      </c>
      <c r="C2612" t="s">
        <v>37</v>
      </c>
      <c r="D2612">
        <v>5.1018109999999997</v>
      </c>
      <c r="E2612">
        <v>0.59605559999999902</v>
      </c>
      <c r="F2612" t="s">
        <v>43</v>
      </c>
      <c r="G2612">
        <v>-204.50059999999999</v>
      </c>
      <c r="H2612" s="1">
        <v>4.4236609999999997E-6</v>
      </c>
      <c r="I2612">
        <v>212.2045</v>
      </c>
      <c r="J2612">
        <v>-215.90700000000001</v>
      </c>
      <c r="K2612">
        <v>1.108419</v>
      </c>
      <c r="L2612">
        <v>215.63740000000001</v>
      </c>
      <c r="M2612">
        <v>0.9995115</v>
      </c>
      <c r="N2612">
        <v>0</v>
      </c>
      <c r="O2612">
        <v>-1.6830660000000001E-2</v>
      </c>
      <c r="P2612">
        <v>0.99139820000000001</v>
      </c>
      <c r="Q2612">
        <v>3.5666429999999999E-2</v>
      </c>
      <c r="R2612">
        <v>-0.1259277</v>
      </c>
      <c r="S2612">
        <v>2.9318240000000002</v>
      </c>
      <c r="T2612">
        <v>-0.27348299999999998</v>
      </c>
      <c r="U2612">
        <v>-0.84892269999999903</v>
      </c>
      <c r="V2612">
        <v>0.109677199999999</v>
      </c>
      <c r="W2612">
        <v>6.0992820000000003E-2</v>
      </c>
      <c r="X2612">
        <v>0.99209419999999904</v>
      </c>
      <c r="Y2612">
        <v>0.26094139999999999</v>
      </c>
      <c r="Z2612">
        <v>-1.036636E-2</v>
      </c>
      <c r="AA2612">
        <v>0.96529900000000002</v>
      </c>
      <c r="AB2612">
        <v>48</v>
      </c>
      <c r="AC2612">
        <v>11.4064</v>
      </c>
      <c r="AD2612">
        <v>-1.1084145763390001</v>
      </c>
      <c r="AE2612">
        <v>-3.4329000000000098</v>
      </c>
      <c r="AF2612">
        <v>3.2125531823412099</v>
      </c>
      <c r="AG2612">
        <v>-1.1084145763390001</v>
      </c>
      <c r="AH2612">
        <v>11.3641827159159</v>
      </c>
      <c r="AI2612">
        <v>95.361935552181095</v>
      </c>
      <c r="AJ2612">
        <v>74.214875170619294</v>
      </c>
      <c r="AK2612">
        <v>11.861438766993301</v>
      </c>
    </row>
    <row r="2613" spans="1:37" x14ac:dyDescent="0.2">
      <c r="A2613" t="str">
        <f>"20200111154117574"</f>
        <v>20200111154117574</v>
      </c>
      <c r="B2613" t="str">
        <f>"1578728477569338"</f>
        <v>1578728477569338</v>
      </c>
      <c r="C2613" t="s">
        <v>37</v>
      </c>
      <c r="D2613">
        <v>5.0886610000000001</v>
      </c>
      <c r="E2613">
        <v>0.59889230000000004</v>
      </c>
      <c r="F2613" t="s">
        <v>43</v>
      </c>
      <c r="G2613">
        <v>-203.84200000000001</v>
      </c>
      <c r="H2613" s="1">
        <v>4.2491370000000001E-6</v>
      </c>
      <c r="I2613">
        <v>210.85990000000001</v>
      </c>
      <c r="J2613">
        <v>-215.43620000000001</v>
      </c>
      <c r="K2613">
        <v>1.1078669999999999</v>
      </c>
      <c r="L2613">
        <v>215.62599999999901</v>
      </c>
      <c r="M2613">
        <v>0.99943950000000004</v>
      </c>
      <c r="N2613">
        <v>0</v>
      </c>
      <c r="O2613">
        <v>-2.08839E-2</v>
      </c>
      <c r="P2613">
        <v>0.99037659999999905</v>
      </c>
      <c r="Q2613">
        <v>3.6408599999999999E-2</v>
      </c>
      <c r="R2613">
        <v>-0.13352349999999999</v>
      </c>
      <c r="S2613">
        <v>2.890228</v>
      </c>
      <c r="T2613">
        <v>-0.26552559999999997</v>
      </c>
      <c r="U2613">
        <v>-1.1444700000000001</v>
      </c>
      <c r="V2613">
        <v>0.1133497</v>
      </c>
      <c r="W2613">
        <v>6.1378330000000002E-2</v>
      </c>
      <c r="X2613">
        <v>0.99165749999999997</v>
      </c>
      <c r="Y2613">
        <v>0.34747489999999998</v>
      </c>
      <c r="Z2613">
        <v>-1.350736E-2</v>
      </c>
      <c r="AA2613">
        <v>0.93759199999999998</v>
      </c>
      <c r="AB2613">
        <v>47</v>
      </c>
      <c r="AC2613">
        <v>11.594200000000001</v>
      </c>
      <c r="AD2613">
        <v>-1.1078627508629999</v>
      </c>
      <c r="AE2613">
        <v>-4.7660999999999598</v>
      </c>
      <c r="AF2613">
        <v>4.4877926540216304</v>
      </c>
      <c r="AG2613">
        <v>-1.1078627508629999</v>
      </c>
      <c r="AH2613">
        <v>11.600631132772399</v>
      </c>
      <c r="AI2613">
        <v>95.0897680362812</v>
      </c>
      <c r="AJ2613">
        <v>68.850657555285494</v>
      </c>
      <c r="AK2613">
        <v>12.487685352333701</v>
      </c>
    </row>
    <row r="2614" spans="1:37" x14ac:dyDescent="0.2">
      <c r="A2614" t="str">
        <f>"20200111154117596"</f>
        <v>20200111154117596</v>
      </c>
      <c r="B2614" t="str">
        <f>"1578728477588857"</f>
        <v>1578728477588857</v>
      </c>
      <c r="C2614" t="s">
        <v>37</v>
      </c>
      <c r="D2614">
        <v>5.1126170000000002</v>
      </c>
      <c r="E2614">
        <v>0.60007299999999997</v>
      </c>
      <c r="F2614" t="s">
        <v>43</v>
      </c>
      <c r="G2614">
        <v>-202.67679999999999</v>
      </c>
      <c r="H2614" s="1">
        <v>3.7768450000000002E-6</v>
      </c>
      <c r="I2614">
        <v>210.352</v>
      </c>
      <c r="J2614">
        <v>-214.9562</v>
      </c>
      <c r="K2614">
        <v>1.1073189999999999</v>
      </c>
      <c r="L2614">
        <v>215.61199999999999</v>
      </c>
      <c r="M2614">
        <v>0.99933539999999998</v>
      </c>
      <c r="N2614">
        <v>0</v>
      </c>
      <c r="O2614">
        <v>-2.555253E-2</v>
      </c>
      <c r="P2614">
        <v>0.98915249999999999</v>
      </c>
      <c r="Q2614">
        <v>3.9779759999999997E-2</v>
      </c>
      <c r="R2614">
        <v>-0.14140329999999901</v>
      </c>
      <c r="S2614">
        <v>2.8779750000000002</v>
      </c>
      <c r="T2614">
        <v>-0.2498861</v>
      </c>
      <c r="U2614">
        <v>-1.189575</v>
      </c>
      <c r="V2614">
        <v>0.11673499999999901</v>
      </c>
      <c r="W2614">
        <v>6.4380740000000006E-2</v>
      </c>
      <c r="X2614">
        <v>0.99107420000000002</v>
      </c>
      <c r="Y2614">
        <v>0.35718159999999999</v>
      </c>
      <c r="Z2614">
        <v>-1.2745019999999999E-2</v>
      </c>
      <c r="AA2614">
        <v>0.933948</v>
      </c>
      <c r="AB2614">
        <v>47</v>
      </c>
      <c r="AC2614">
        <v>12.279400000000001</v>
      </c>
      <c r="AD2614">
        <v>-1.1073152231550001</v>
      </c>
      <c r="AE2614">
        <v>-5.25999999999999</v>
      </c>
      <c r="AF2614">
        <v>4.9106641262583199</v>
      </c>
      <c r="AG2614">
        <v>-1.1073152231550001</v>
      </c>
      <c r="AH2614">
        <v>12.3251528734305</v>
      </c>
      <c r="AI2614">
        <v>94.770924786192097</v>
      </c>
      <c r="AJ2614">
        <v>68.276366028100696</v>
      </c>
      <c r="AK2614">
        <v>13.3135330591764</v>
      </c>
    </row>
    <row r="2615" spans="1:37" x14ac:dyDescent="0.2">
      <c r="A2615" t="str">
        <f>"20200111154117619"</f>
        <v>20200111154117619</v>
      </c>
      <c r="B2615" t="str">
        <f>"1578728477608377"</f>
        <v>1578728477608377</v>
      </c>
      <c r="C2615" t="s">
        <v>37</v>
      </c>
      <c r="D2615">
        <v>5.1371180000000001</v>
      </c>
      <c r="E2615">
        <v>0.60079879999999997</v>
      </c>
      <c r="F2615" t="s">
        <v>43</v>
      </c>
      <c r="G2615">
        <v>-201.4348</v>
      </c>
      <c r="H2615" s="1">
        <v>3.2698949999999999E-6</v>
      </c>
      <c r="I2615">
        <v>209.85079999999999</v>
      </c>
      <c r="J2615">
        <v>-214.4974</v>
      </c>
      <c r="K2615">
        <v>1.1067959999999999</v>
      </c>
      <c r="L2615">
        <v>215.59620000000001</v>
      </c>
      <c r="M2615">
        <v>0.99920049999999905</v>
      </c>
      <c r="N2615">
        <v>0</v>
      </c>
      <c r="O2615">
        <v>-3.05115E-2</v>
      </c>
      <c r="P2615">
        <v>0.98768659999999997</v>
      </c>
      <c r="Q2615">
        <v>4.5293060000000003E-2</v>
      </c>
      <c r="R2615">
        <v>-0.14974579999999901</v>
      </c>
      <c r="S2615">
        <v>2.86769099999999</v>
      </c>
      <c r="T2615">
        <v>-0.2348461</v>
      </c>
      <c r="U2615">
        <v>-1.2218629999999999</v>
      </c>
      <c r="V2615">
        <v>0.12033779999999999</v>
      </c>
      <c r="W2615">
        <v>6.9519960000000006E-2</v>
      </c>
      <c r="X2615">
        <v>0.99029579999999995</v>
      </c>
      <c r="Y2615">
        <v>0.36278080000000001</v>
      </c>
      <c r="Z2615">
        <v>-1.182677E-2</v>
      </c>
      <c r="AA2615">
        <v>0.93179940000000006</v>
      </c>
      <c r="AB2615">
        <v>47</v>
      </c>
      <c r="AC2615">
        <v>13.0626</v>
      </c>
      <c r="AD2615">
        <v>-1.10679273010499</v>
      </c>
      <c r="AE2615">
        <v>-5.7454000000000098</v>
      </c>
      <c r="AF2615">
        <v>5.3120762060568198</v>
      </c>
      <c r="AG2615">
        <v>-1.10679273010499</v>
      </c>
      <c r="AH2615">
        <v>13.1527539538413</v>
      </c>
      <c r="AI2615">
        <v>94.461509267802896</v>
      </c>
      <c r="AJ2615">
        <v>68.007420239223606</v>
      </c>
      <c r="AK2615">
        <v>14.228073669216601</v>
      </c>
    </row>
    <row r="2616" spans="1:37" x14ac:dyDescent="0.2">
      <c r="A2616" t="str">
        <f>"20200111154117641"</f>
        <v>20200111154117641</v>
      </c>
      <c r="B2616" t="str">
        <f>"1578728477628874"</f>
        <v>1578728477628874</v>
      </c>
      <c r="C2616" t="s">
        <v>37</v>
      </c>
      <c r="D2616">
        <v>5.1323059999999998</v>
      </c>
      <c r="E2616">
        <v>0.60117290000000001</v>
      </c>
      <c r="F2616" t="s">
        <v>43</v>
      </c>
      <c r="G2616">
        <v>-199.7919</v>
      </c>
      <c r="H2616" s="1">
        <v>2.7869559999999998E-6</v>
      </c>
      <c r="I2616">
        <v>209.155</v>
      </c>
      <c r="J2616">
        <v>-214.02889999999999</v>
      </c>
      <c r="K2616">
        <v>1.106249</v>
      </c>
      <c r="L2616">
        <v>215.57740000000001</v>
      </c>
      <c r="M2616">
        <v>0.99902039999999903</v>
      </c>
      <c r="N2616">
        <v>0</v>
      </c>
      <c r="O2616">
        <v>-3.604864E-2</v>
      </c>
      <c r="P2616">
        <v>0.98634390000000005</v>
      </c>
      <c r="Q2616">
        <v>4.8424349999999998E-2</v>
      </c>
      <c r="R2616">
        <v>-0.15741959999999999</v>
      </c>
      <c r="S2616">
        <v>2.8574980000000001</v>
      </c>
      <c r="T2616">
        <v>-0.21506729999999999</v>
      </c>
      <c r="U2616">
        <v>-1.251633</v>
      </c>
      <c r="V2616">
        <v>0.12268809999999999</v>
      </c>
      <c r="W2616">
        <v>7.2282470000000001E-2</v>
      </c>
      <c r="X2616">
        <v>0.98980949999999901</v>
      </c>
      <c r="Y2616">
        <v>0.36714170000000002</v>
      </c>
      <c r="Z2616">
        <v>-1.060756E-2</v>
      </c>
      <c r="AA2616">
        <v>0.93010459999999995</v>
      </c>
      <c r="AB2616">
        <v>47</v>
      </c>
      <c r="AC2616">
        <v>14.236999999999901</v>
      </c>
      <c r="AD2616">
        <v>-1.1062462130440001</v>
      </c>
      <c r="AE2616">
        <v>-6.4223999999999997</v>
      </c>
      <c r="AF2616">
        <v>5.87535418252111</v>
      </c>
      <c r="AG2616">
        <v>-1.1062462130440001</v>
      </c>
      <c r="AH2616">
        <v>14.387158800906899</v>
      </c>
      <c r="AI2616">
        <v>94.071690990359897</v>
      </c>
      <c r="AJ2616">
        <v>67.786129306537902</v>
      </c>
      <c r="AK2616">
        <v>15.579919955393001</v>
      </c>
    </row>
    <row r="2617" spans="1:37" x14ac:dyDescent="0.2">
      <c r="A2617" t="str">
        <f>"20200111154117664"</f>
        <v>20200111154117664</v>
      </c>
      <c r="B2617" t="str">
        <f>"1578728477659129"</f>
        <v>1578728477659129</v>
      </c>
      <c r="C2617" t="s">
        <v>37</v>
      </c>
      <c r="D2617">
        <v>5.1499699999999997</v>
      </c>
      <c r="E2617">
        <v>0.6017941</v>
      </c>
      <c r="F2617" t="s">
        <v>43</v>
      </c>
      <c r="G2617">
        <v>-198.6464</v>
      </c>
      <c r="H2617" s="1">
        <v>3.1166289999999899E-6</v>
      </c>
      <c r="I2617">
        <v>208.67740000000001</v>
      </c>
      <c r="J2617">
        <v>-213.5624</v>
      </c>
      <c r="K2617">
        <v>1.105704</v>
      </c>
      <c r="L2617">
        <v>215.5557</v>
      </c>
      <c r="M2617">
        <v>0.99879030000000002</v>
      </c>
      <c r="N2617">
        <v>0</v>
      </c>
      <c r="O2617">
        <v>-4.2052390000000002E-2</v>
      </c>
      <c r="P2617">
        <v>0.98464779999999996</v>
      </c>
      <c r="Q2617">
        <v>5.0988529999999997E-2</v>
      </c>
      <c r="R2617">
        <v>-0.16694020000000001</v>
      </c>
      <c r="S2617">
        <v>2.8477169999999998</v>
      </c>
      <c r="T2617">
        <v>-0.20479549999999999</v>
      </c>
      <c r="U2617">
        <v>-1.277374</v>
      </c>
      <c r="V2617">
        <v>0.12643989999999999</v>
      </c>
      <c r="W2617">
        <v>7.4440999999999993E-2</v>
      </c>
      <c r="X2617">
        <v>0.98917719999999898</v>
      </c>
      <c r="Y2617">
        <v>0.36982690000000001</v>
      </c>
      <c r="Z2617">
        <v>-9.7985509999999904E-3</v>
      </c>
      <c r="AA2617">
        <v>0.92904900000000001</v>
      </c>
      <c r="AB2617">
        <v>47</v>
      </c>
      <c r="AC2617">
        <v>14.915999999999899</v>
      </c>
      <c r="AD2617">
        <v>-1.105700883371</v>
      </c>
      <c r="AE2617">
        <v>-6.8782999999999896</v>
      </c>
      <c r="AF2617">
        <v>6.2165841938492798</v>
      </c>
      <c r="AG2617">
        <v>-1.105700883371</v>
      </c>
      <c r="AH2617">
        <v>15.1236080083389</v>
      </c>
      <c r="AI2617">
        <v>93.868510348825396</v>
      </c>
      <c r="AJ2617">
        <v>67.654805483762601</v>
      </c>
      <c r="AK2617">
        <v>16.388777034074199</v>
      </c>
    </row>
    <row r="2618" spans="1:37" x14ac:dyDescent="0.2">
      <c r="A2618" t="str">
        <f>"20200111154117697"</f>
        <v>20200111154117697</v>
      </c>
      <c r="B2618" t="str">
        <f>"1578728477688409"</f>
        <v>1578728477688409</v>
      </c>
      <c r="C2618" t="s">
        <v>37</v>
      </c>
      <c r="D2618">
        <v>5.1327989999999897</v>
      </c>
      <c r="E2618">
        <v>0.60240700000000003</v>
      </c>
      <c r="F2618" t="s">
        <v>43</v>
      </c>
      <c r="G2618">
        <v>-197.69669999999999</v>
      </c>
      <c r="H2618" s="1">
        <v>3.4048270000000001E-6</v>
      </c>
      <c r="I2618">
        <v>208.2252</v>
      </c>
      <c r="J2618">
        <v>-212.8663</v>
      </c>
      <c r="K2618">
        <v>1.1048959999999901</v>
      </c>
      <c r="L2618">
        <v>215.517</v>
      </c>
      <c r="M2618">
        <v>0.99833150000000004</v>
      </c>
      <c r="N2618">
        <v>0</v>
      </c>
      <c r="O2618">
        <v>-5.1953159999999998E-2</v>
      </c>
      <c r="P2618">
        <v>0.98234449999999995</v>
      </c>
      <c r="Q2618">
        <v>5.3163080000000001E-2</v>
      </c>
      <c r="R2618">
        <v>-0.17936869999999999</v>
      </c>
      <c r="S2618">
        <v>2.8349609999999998</v>
      </c>
      <c r="T2618">
        <v>-0.19757139999999901</v>
      </c>
      <c r="U2618">
        <v>-1.3098449999999999</v>
      </c>
      <c r="V2618">
        <v>0.1293144</v>
      </c>
      <c r="W2618">
        <v>7.6034829999999998E-2</v>
      </c>
      <c r="X2618">
        <v>0.98868419999999901</v>
      </c>
      <c r="Y2618">
        <v>0.37104969999999998</v>
      </c>
      <c r="Z2618">
        <v>-8.8593869999999998E-3</v>
      </c>
      <c r="AA2618">
        <v>0.92857069999999997</v>
      </c>
      <c r="AB2618">
        <v>46</v>
      </c>
      <c r="AC2618">
        <v>15.169600000000001</v>
      </c>
      <c r="AD2618">
        <v>-1.104892595173</v>
      </c>
      <c r="AE2618">
        <v>-7.2917999999999896</v>
      </c>
      <c r="AF2618">
        <v>6.4657241269146501</v>
      </c>
      <c r="AG2618">
        <v>-1.104892595173</v>
      </c>
      <c r="AH2618">
        <v>15.4614242514539</v>
      </c>
      <c r="AI2618">
        <v>93.771974509030699</v>
      </c>
      <c r="AJ2618">
        <v>67.306086390674494</v>
      </c>
      <c r="AK2618">
        <v>16.795297437547301</v>
      </c>
    </row>
    <row r="2619" spans="1:37" x14ac:dyDescent="0.2">
      <c r="A2619" t="str">
        <f>"20200111154117719"</f>
        <v>20200111154117719</v>
      </c>
      <c r="B2619" t="str">
        <f>"1578728477708905"</f>
        <v>1578728477708905</v>
      </c>
      <c r="C2619" t="s">
        <v>37</v>
      </c>
      <c r="D2619">
        <v>5.1329880000000001</v>
      </c>
      <c r="E2619">
        <v>0.60271300000000005</v>
      </c>
      <c r="F2619" t="s">
        <v>43</v>
      </c>
      <c r="G2619">
        <v>-196.7807</v>
      </c>
      <c r="H2619" s="1">
        <v>3.6768699999999902E-6</v>
      </c>
      <c r="I2619">
        <v>207.81139999999999</v>
      </c>
      <c r="J2619">
        <v>-212.41900000000001</v>
      </c>
      <c r="K2619">
        <v>1.104393</v>
      </c>
      <c r="L2619">
        <v>215.48840000000001</v>
      </c>
      <c r="M2619">
        <v>0.99795540000000005</v>
      </c>
      <c r="N2619">
        <v>0</v>
      </c>
      <c r="O2619">
        <v>-5.881583E-2</v>
      </c>
      <c r="P2619">
        <v>0.98048419999999903</v>
      </c>
      <c r="Q2619">
        <v>5.464724E-2</v>
      </c>
      <c r="R2619">
        <v>-0.18885099999999999</v>
      </c>
      <c r="S2619">
        <v>2.8178860000000001</v>
      </c>
      <c r="T2619">
        <v>-0.1935559</v>
      </c>
      <c r="U2619">
        <v>-1.349869</v>
      </c>
      <c r="V2619">
        <v>0.13218820000000001</v>
      </c>
      <c r="W2619">
        <v>7.7125009999999994E-2</v>
      </c>
      <c r="X2619">
        <v>0.98821959999999998</v>
      </c>
      <c r="Y2619">
        <v>0.37760870000000002</v>
      </c>
      <c r="Z2619">
        <v>-8.4725949999999994E-3</v>
      </c>
      <c r="AA2619">
        <v>0.92592649999999999</v>
      </c>
      <c r="AB2619">
        <v>46</v>
      </c>
      <c r="AC2619">
        <v>15.638299999999999</v>
      </c>
      <c r="AD2619">
        <v>-1.1043893231299999</v>
      </c>
      <c r="AE2619">
        <v>-7.67700000000002</v>
      </c>
      <c r="AF2619">
        <v>6.7166413294223197</v>
      </c>
      <c r="AG2619">
        <v>-1.1043893231299999</v>
      </c>
      <c r="AH2619">
        <v>15.998586189885099</v>
      </c>
      <c r="AI2619">
        <v>93.641892076475003</v>
      </c>
      <c r="AJ2619">
        <v>67.226011855729595</v>
      </c>
      <c r="AK2619">
        <v>17.386423053645299</v>
      </c>
    </row>
    <row r="2620" spans="1:37" x14ac:dyDescent="0.2">
      <c r="A2620" t="str">
        <f>"20200111154117742"</f>
        <v>20200111154117742</v>
      </c>
      <c r="B2620" t="str">
        <f>"1578728477728425"</f>
        <v>1578728477728425</v>
      </c>
      <c r="C2620" t="s">
        <v>37</v>
      </c>
      <c r="D2620">
        <v>5.1201239999999997</v>
      </c>
      <c r="E2620">
        <v>0.60309679999999999</v>
      </c>
      <c r="F2620" t="s">
        <v>43</v>
      </c>
      <c r="G2620">
        <v>-196.2834</v>
      </c>
      <c r="H2620" s="1">
        <v>3.8323940000000002E-6</v>
      </c>
      <c r="I2620">
        <v>207.55719999999999</v>
      </c>
      <c r="J2620">
        <v>-211.9581</v>
      </c>
      <c r="K2620">
        <v>1.1038619999999999</v>
      </c>
      <c r="L2620">
        <v>215.4554</v>
      </c>
      <c r="M2620">
        <v>0.99748499999999996</v>
      </c>
      <c r="N2620">
        <v>0</v>
      </c>
      <c r="O2620">
        <v>-6.6387009999999996E-2</v>
      </c>
      <c r="P2620">
        <v>0.97837529999999995</v>
      </c>
      <c r="Q2620">
        <v>5.3800229999999997E-2</v>
      </c>
      <c r="R2620">
        <v>-0.19971839999999999</v>
      </c>
      <c r="S2620">
        <v>2.8048860000000002</v>
      </c>
      <c r="T2620">
        <v>-0.1919785</v>
      </c>
      <c r="U2620">
        <v>-1.3786929999999999</v>
      </c>
      <c r="V2620">
        <v>0.13573070000000001</v>
      </c>
      <c r="W2620">
        <v>7.5852260000000005E-2</v>
      </c>
      <c r="X2620">
        <v>0.98783790000000005</v>
      </c>
      <c r="Y2620">
        <v>0.37996669999999999</v>
      </c>
      <c r="Z2620">
        <v>-8.0117909999999903E-3</v>
      </c>
      <c r="AA2620">
        <v>0.92496540000000005</v>
      </c>
      <c r="AB2620">
        <v>46</v>
      </c>
      <c r="AC2620">
        <v>15.6747</v>
      </c>
      <c r="AD2620">
        <v>-1.103858167606</v>
      </c>
      <c r="AE2620">
        <v>-7.8982000000000001</v>
      </c>
      <c r="AF2620">
        <v>6.8129018153617498</v>
      </c>
      <c r="AG2620">
        <v>-1.103858167606</v>
      </c>
      <c r="AH2620">
        <v>16.1009170172482</v>
      </c>
      <c r="AI2620">
        <v>93.612800059640193</v>
      </c>
      <c r="AJ2620">
        <v>67.064955635516995</v>
      </c>
      <c r="AK2620">
        <v>17.517809874418099</v>
      </c>
    </row>
    <row r="2621" spans="1:37" x14ac:dyDescent="0.2">
      <c r="A2621" t="str">
        <f>"20200111154117764"</f>
        <v>20200111154117764</v>
      </c>
      <c r="B2621" t="str">
        <f>"1578728477758681"</f>
        <v>1578728477758681</v>
      </c>
      <c r="C2621" t="s">
        <v>37</v>
      </c>
      <c r="D2621">
        <v>5.095567</v>
      </c>
      <c r="E2621">
        <v>0.60381229999999997</v>
      </c>
      <c r="F2621" t="s">
        <v>43</v>
      </c>
      <c r="G2621">
        <v>-196.2944</v>
      </c>
      <c r="H2621" s="1">
        <v>3.8395679999999996E-6</v>
      </c>
      <c r="I2621">
        <v>207.52279999999999</v>
      </c>
      <c r="J2621">
        <v>-211.5035</v>
      </c>
      <c r="K2621">
        <v>1.103297</v>
      </c>
      <c r="L2621">
        <v>215.41909999999999</v>
      </c>
      <c r="M2621">
        <v>0.99692230000000004</v>
      </c>
      <c r="N2621">
        <v>0</v>
      </c>
      <c r="O2621">
        <v>-7.4423719999999999E-2</v>
      </c>
      <c r="P2621">
        <v>0.97605589999999998</v>
      </c>
      <c r="Q2621">
        <v>5.1749549999999998E-2</v>
      </c>
      <c r="R2621">
        <v>-0.21127509999999999</v>
      </c>
      <c r="S2621">
        <v>2.788818</v>
      </c>
      <c r="T2621">
        <v>-0.19653519999999999</v>
      </c>
      <c r="U2621">
        <v>-1.4123540000000001</v>
      </c>
      <c r="V2621">
        <v>0.13950129999999999</v>
      </c>
      <c r="W2621">
        <v>7.336107E-2</v>
      </c>
      <c r="X2621">
        <v>0.98750070000000001</v>
      </c>
      <c r="Y2621">
        <v>0.38352639999999999</v>
      </c>
      <c r="Z2621">
        <v>-7.8132930000000007E-3</v>
      </c>
      <c r="AA2621">
        <v>0.92349680000000001</v>
      </c>
      <c r="AB2621">
        <v>46</v>
      </c>
      <c r="AC2621">
        <v>15.209099999999999</v>
      </c>
      <c r="AD2621">
        <v>-1.103293160432</v>
      </c>
      <c r="AE2621">
        <v>-7.8962999999999903</v>
      </c>
      <c r="AF2621">
        <v>6.7142956570258097</v>
      </c>
      <c r="AG2621">
        <v>-1.103293160432</v>
      </c>
      <c r="AH2621">
        <v>15.689711663902401</v>
      </c>
      <c r="AI2621">
        <v>93.698942071840406</v>
      </c>
      <c r="AJ2621">
        <v>66.8318559638724</v>
      </c>
      <c r="AK2621">
        <v>17.101639513923999</v>
      </c>
    </row>
    <row r="2622" spans="1:37" x14ac:dyDescent="0.2">
      <c r="A2622" t="str">
        <f>"20200111154117786"</f>
        <v>20200111154117786</v>
      </c>
      <c r="B2622" t="str">
        <f>"1578728477779180"</f>
        <v>1578728477779180</v>
      </c>
      <c r="C2622" t="s">
        <v>37</v>
      </c>
      <c r="D2622">
        <v>5.1184760000000002</v>
      </c>
      <c r="E2622">
        <v>0.60432989999999998</v>
      </c>
      <c r="F2622" t="s">
        <v>43</v>
      </c>
      <c r="G2622">
        <v>-196.55529999999999</v>
      </c>
      <c r="H2622" s="1">
        <v>3.7750369999999998E-6</v>
      </c>
      <c r="I2622">
        <v>207.5917</v>
      </c>
      <c r="J2622">
        <v>-211.03899999999999</v>
      </c>
      <c r="K2622">
        <v>1.102695</v>
      </c>
      <c r="L2622">
        <v>215.3775</v>
      </c>
      <c r="M2622">
        <v>0.99622679999999997</v>
      </c>
      <c r="N2622">
        <v>0</v>
      </c>
      <c r="O2622">
        <v>-8.3269159999999995E-2</v>
      </c>
      <c r="P2622">
        <v>0.97351409999999905</v>
      </c>
      <c r="Q2622">
        <v>5.0046050000000002E-2</v>
      </c>
      <c r="R2622">
        <v>-0.22308310000000001</v>
      </c>
      <c r="S2622">
        <v>2.770432</v>
      </c>
      <c r="T2622">
        <v>-0.20447960000000001</v>
      </c>
      <c r="U2622">
        <v>-1.4506840000000001</v>
      </c>
      <c r="V2622">
        <v>0.14275739999999901</v>
      </c>
      <c r="W2622">
        <v>7.121711E-2</v>
      </c>
      <c r="X2622">
        <v>0.98719219999999896</v>
      </c>
      <c r="Y2622">
        <v>0.3878373</v>
      </c>
      <c r="Z2622">
        <v>-7.6965180000000003E-3</v>
      </c>
      <c r="AA2622">
        <v>0.92169579999999995</v>
      </c>
      <c r="AB2622">
        <v>45</v>
      </c>
      <c r="AC2622">
        <v>14.483700000000001</v>
      </c>
      <c r="AD2622">
        <v>-1.1026912249629901</v>
      </c>
      <c r="AE2622">
        <v>-7.7857999999999903</v>
      </c>
      <c r="AF2622">
        <v>6.5230049799678396</v>
      </c>
      <c r="AG2622">
        <v>-1.1026912249629901</v>
      </c>
      <c r="AH2622">
        <v>15.014363229075</v>
      </c>
      <c r="AI2622">
        <v>93.853623048225998</v>
      </c>
      <c r="AJ2622">
        <v>66.517415854669196</v>
      </c>
      <c r="AK2622">
        <v>16.407212593274199</v>
      </c>
    </row>
    <row r="2623" spans="1:37" x14ac:dyDescent="0.2">
      <c r="A2623" t="str">
        <f>"20200111154117808"</f>
        <v>20200111154117808</v>
      </c>
      <c r="B2623" t="str">
        <f>"1578728477798697"</f>
        <v>1578728477798697</v>
      </c>
      <c r="C2623" t="s">
        <v>37</v>
      </c>
      <c r="D2623">
        <v>5.1465809999999896</v>
      </c>
      <c r="E2623">
        <v>0.60482849999999999</v>
      </c>
      <c r="F2623" t="s">
        <v>43</v>
      </c>
      <c r="G2623">
        <v>-196.62639999999999</v>
      </c>
      <c r="H2623" s="1">
        <v>3.765563E-6</v>
      </c>
      <c r="I2623">
        <v>207.57990000000001</v>
      </c>
      <c r="J2623">
        <v>-210.6011</v>
      </c>
      <c r="K2623">
        <v>1.102128</v>
      </c>
      <c r="L2623">
        <v>215.33430000000001</v>
      </c>
      <c r="M2623">
        <v>0.99545090000000003</v>
      </c>
      <c r="N2623">
        <v>0</v>
      </c>
      <c r="O2623">
        <v>-9.2119969999999995E-2</v>
      </c>
      <c r="P2623">
        <v>0.97078259999999905</v>
      </c>
      <c r="Q2623">
        <v>4.9089830000000001E-2</v>
      </c>
      <c r="R2623">
        <v>-0.2348856</v>
      </c>
      <c r="S2623">
        <v>2.7513429999999999</v>
      </c>
      <c r="T2623">
        <v>-0.21050199999999999</v>
      </c>
      <c r="U2623">
        <v>-1.488556</v>
      </c>
      <c r="V2623">
        <v>0.14603679999999999</v>
      </c>
      <c r="W2623">
        <v>6.9845809999999994E-2</v>
      </c>
      <c r="X2623">
        <v>0.98681039999999998</v>
      </c>
      <c r="Y2623">
        <v>0.39210830000000002</v>
      </c>
      <c r="Z2623">
        <v>-7.4762730000000003E-3</v>
      </c>
      <c r="AA2623">
        <v>0.919888699999999</v>
      </c>
      <c r="AB2623">
        <v>45</v>
      </c>
      <c r="AC2623">
        <v>13.9747</v>
      </c>
      <c r="AD2623">
        <v>-1.1021242344369999</v>
      </c>
      <c r="AE2623">
        <v>-7.7544000000000004</v>
      </c>
      <c r="AF2623">
        <v>6.40322739090829</v>
      </c>
      <c r="AG2623">
        <v>-1.1021242344369999</v>
      </c>
      <c r="AH2623">
        <v>14.5605461072892</v>
      </c>
      <c r="AI2623">
        <v>93.963602332170197</v>
      </c>
      <c r="AJ2623">
        <v>66.261757948848199</v>
      </c>
      <c r="AK2623">
        <v>15.944450501359601</v>
      </c>
    </row>
    <row r="2624" spans="1:37" x14ac:dyDescent="0.2">
      <c r="A2624" t="str">
        <f>"20200111154117830"</f>
        <v>20200111154117830</v>
      </c>
      <c r="B2624" t="str">
        <f>"1578728477819193"</f>
        <v>1578728477819193</v>
      </c>
      <c r="C2624" t="s">
        <v>37</v>
      </c>
      <c r="D2624">
        <v>5.1613100000000003</v>
      </c>
      <c r="E2624">
        <v>0.60521510000000001</v>
      </c>
      <c r="F2624" t="s">
        <v>43</v>
      </c>
      <c r="G2624">
        <v>-196.57859999999999</v>
      </c>
      <c r="H2624" s="1">
        <v>3.794973E-6</v>
      </c>
      <c r="I2624">
        <v>207.5008</v>
      </c>
      <c r="J2624">
        <v>-210.1514</v>
      </c>
      <c r="K2624">
        <v>1.1015409999999899</v>
      </c>
      <c r="L2624">
        <v>215.28559999999999</v>
      </c>
      <c r="M2624">
        <v>0.99451520000000004</v>
      </c>
      <c r="N2624">
        <v>0</v>
      </c>
      <c r="O2624">
        <v>-0.101759</v>
      </c>
      <c r="P2624">
        <v>0.96780299999999997</v>
      </c>
      <c r="Q2624">
        <v>4.8681780000000001E-2</v>
      </c>
      <c r="R2624">
        <v>-0.24695610000000001</v>
      </c>
      <c r="S2624">
        <v>2.7318880000000001</v>
      </c>
      <c r="T2624">
        <v>-0.21471789999999999</v>
      </c>
      <c r="U2624">
        <v>-1.526138</v>
      </c>
      <c r="V2624">
        <v>0.14884729999999999</v>
      </c>
      <c r="W2624">
        <v>6.9027160000000004E-2</v>
      </c>
      <c r="X2624">
        <v>0.98644799999999999</v>
      </c>
      <c r="Y2624">
        <v>0.39562049999999999</v>
      </c>
      <c r="Z2624">
        <v>-7.0848480000000004E-3</v>
      </c>
      <c r="AA2624">
        <v>0.91838679999999995</v>
      </c>
      <c r="AB2624">
        <v>45</v>
      </c>
      <c r="AC2624">
        <v>13.572800000000001</v>
      </c>
      <c r="AD2624">
        <v>-1.10153720502699</v>
      </c>
      <c r="AE2624">
        <v>-7.78479999999999</v>
      </c>
      <c r="AF2624">
        <v>6.3314280678781198</v>
      </c>
      <c r="AG2624">
        <v>-1.10153720502699</v>
      </c>
      <c r="AH2624">
        <v>14.224211181148601</v>
      </c>
      <c r="AI2624">
        <v>94.0468664404126</v>
      </c>
      <c r="AJ2624">
        <v>66.005374777420897</v>
      </c>
      <c r="AK2624">
        <v>15.6086049767007</v>
      </c>
    </row>
    <row r="2625" spans="1:37" x14ac:dyDescent="0.2">
      <c r="A2625" t="str">
        <f>"20200111154117854"</f>
        <v>20200111154117854</v>
      </c>
      <c r="B2625" t="str">
        <f>"1578728477848473"</f>
        <v>1578728477848473</v>
      </c>
      <c r="C2625" t="s">
        <v>37</v>
      </c>
      <c r="D2625">
        <v>5.1478070000000002</v>
      </c>
      <c r="E2625">
        <v>0.60590519999999903</v>
      </c>
      <c r="F2625" t="s">
        <v>43</v>
      </c>
      <c r="G2625">
        <v>-196.5179</v>
      </c>
      <c r="H2625" s="1">
        <v>3.8242679999999999E-6</v>
      </c>
      <c r="I2625">
        <v>207.43090000000001</v>
      </c>
      <c r="J2625">
        <v>-209.6961</v>
      </c>
      <c r="K2625">
        <v>1.1009690000000001</v>
      </c>
      <c r="L2625">
        <v>215.23150000000001</v>
      </c>
      <c r="M2625">
        <v>0.9934056</v>
      </c>
      <c r="N2625">
        <v>0</v>
      </c>
      <c r="O2625">
        <v>-0.11210199999999999</v>
      </c>
      <c r="P2625">
        <v>0.9648061</v>
      </c>
      <c r="Q2625">
        <v>4.9429550000000003E-2</v>
      </c>
      <c r="R2625">
        <v>-0.25827529999999999</v>
      </c>
      <c r="S2625">
        <v>2.7121430000000002</v>
      </c>
      <c r="T2625">
        <v>-0.21913079999999999</v>
      </c>
      <c r="U2625">
        <v>-1.562546</v>
      </c>
      <c r="V2625">
        <v>0.1502531</v>
      </c>
      <c r="W2625">
        <v>6.9406750000000003E-2</v>
      </c>
      <c r="X2625">
        <v>0.98620830000000004</v>
      </c>
      <c r="Y2625">
        <v>0.39820529999999998</v>
      </c>
      <c r="Z2625">
        <v>-6.590785E-3</v>
      </c>
      <c r="AA2625">
        <v>0.91727259999999999</v>
      </c>
      <c r="AB2625">
        <v>45</v>
      </c>
      <c r="AC2625">
        <v>13.1782</v>
      </c>
      <c r="AD2625">
        <v>-1.100965175732</v>
      </c>
      <c r="AE2625">
        <v>-7.8006000000000002</v>
      </c>
      <c r="AF2625">
        <v>6.24141220363299</v>
      </c>
      <c r="AG2625">
        <v>-1.100965175732</v>
      </c>
      <c r="AH2625">
        <v>13.897967734186899</v>
      </c>
      <c r="AI2625">
        <v>94.133292922033306</v>
      </c>
      <c r="AJ2625">
        <v>65.815718043289493</v>
      </c>
      <c r="AK2625">
        <v>15.2748439518816</v>
      </c>
    </row>
    <row r="2626" spans="1:37" x14ac:dyDescent="0.2">
      <c r="A2626" t="str">
        <f>"20200111154117876"</f>
        <v>20200111154117876</v>
      </c>
      <c r="B2626" t="str">
        <f>"1578728477868970"</f>
        <v>1578728477868970</v>
      </c>
      <c r="C2626" t="s">
        <v>37</v>
      </c>
      <c r="D2626">
        <v>5.1726080000000003</v>
      </c>
      <c r="E2626">
        <v>0.60635240000000001</v>
      </c>
      <c r="F2626" t="s">
        <v>43</v>
      </c>
      <c r="G2626">
        <v>-196.0164</v>
      </c>
      <c r="H2626" s="1">
        <v>4.0008739999999998E-6</v>
      </c>
      <c r="I2626">
        <v>207.09989999999999</v>
      </c>
      <c r="J2626">
        <v>-209.2329</v>
      </c>
      <c r="K2626">
        <v>1.100395</v>
      </c>
      <c r="L2626">
        <v>215.1713</v>
      </c>
      <c r="M2626">
        <v>0.99208739999999995</v>
      </c>
      <c r="N2626">
        <v>0</v>
      </c>
      <c r="O2626">
        <v>-0.12324539999999901</v>
      </c>
      <c r="P2626">
        <v>0.9615186</v>
      </c>
      <c r="Q2626">
        <v>5.3766870000000001E-2</v>
      </c>
      <c r="R2626">
        <v>-0.269428</v>
      </c>
      <c r="S2626">
        <v>2.6921689999999998</v>
      </c>
      <c r="T2626">
        <v>-0.21667030000000001</v>
      </c>
      <c r="U2626">
        <v>-1.600311</v>
      </c>
      <c r="V2626">
        <v>0.15083959999999999</v>
      </c>
      <c r="W2626">
        <v>7.3409100000000005E-2</v>
      </c>
      <c r="X2626">
        <v>0.98582890000000001</v>
      </c>
      <c r="Y2626">
        <v>0.40045049999999999</v>
      </c>
      <c r="Z2626">
        <v>-5.81146599999999E-3</v>
      </c>
      <c r="AA2626">
        <v>0.91629989999999994</v>
      </c>
      <c r="AB2626">
        <v>45</v>
      </c>
      <c r="AC2626">
        <v>13.2164999999999</v>
      </c>
      <c r="AD2626">
        <v>-1.1003909991259999</v>
      </c>
      <c r="AE2626">
        <v>-8.0714000000000095</v>
      </c>
      <c r="AF2626">
        <v>6.3484371495604401</v>
      </c>
      <c r="AG2626">
        <v>-1.1003909991259999</v>
      </c>
      <c r="AH2626">
        <v>14.0398437795535</v>
      </c>
      <c r="AI2626">
        <v>94.084834325377301</v>
      </c>
      <c r="AJ2626">
        <v>65.668805350880902</v>
      </c>
      <c r="AK2626">
        <v>15.4476771052201</v>
      </c>
    </row>
    <row r="2627" spans="1:37" x14ac:dyDescent="0.2">
      <c r="A2627" t="str">
        <f>"20200111154117898"</f>
        <v>20200111154117898</v>
      </c>
      <c r="B2627" t="str">
        <f>"1578728477888490"</f>
        <v>1578728477888490</v>
      </c>
      <c r="C2627" t="s">
        <v>37</v>
      </c>
      <c r="D2627">
        <v>5.1482279999999996</v>
      </c>
      <c r="E2627">
        <v>0.60678769999999904</v>
      </c>
      <c r="F2627" t="s">
        <v>43</v>
      </c>
      <c r="G2627">
        <v>-194.77359999999999</v>
      </c>
      <c r="H2627" s="1">
        <v>4.5056660000000002E-6</v>
      </c>
      <c r="I2627">
        <v>206.3228</v>
      </c>
      <c r="J2627">
        <v>-208.81489999999999</v>
      </c>
      <c r="K2627">
        <v>1.099898</v>
      </c>
      <c r="L2627">
        <v>215.1122</v>
      </c>
      <c r="M2627">
        <v>0.9907125</v>
      </c>
      <c r="N2627">
        <v>0</v>
      </c>
      <c r="O2627">
        <v>-0.13386329999999999</v>
      </c>
      <c r="P2627">
        <v>0.95865689999999903</v>
      </c>
      <c r="Q2627">
        <v>6.0896119999999998E-2</v>
      </c>
      <c r="R2627">
        <v>-0.27797280000000002</v>
      </c>
      <c r="S2627">
        <v>2.6730649999999998</v>
      </c>
      <c r="T2627">
        <v>-0.20342650000000001</v>
      </c>
      <c r="U2627">
        <v>-1.6358029999999999</v>
      </c>
      <c r="V2627">
        <v>0.14939669999999999</v>
      </c>
      <c r="W2627">
        <v>8.0308959999999999E-2</v>
      </c>
      <c r="X2627">
        <v>0.98551060000000001</v>
      </c>
      <c r="Y2627">
        <v>0.402507</v>
      </c>
      <c r="Z2627">
        <v>-4.8213969999999998E-3</v>
      </c>
      <c r="AA2627">
        <v>0.9154042</v>
      </c>
      <c r="AB2627">
        <v>45</v>
      </c>
      <c r="AC2627">
        <v>14.0413</v>
      </c>
      <c r="AD2627">
        <v>-1.099893494334</v>
      </c>
      <c r="AE2627">
        <v>-8.7894000000000005</v>
      </c>
      <c r="AF2627">
        <v>6.8001194903369804</v>
      </c>
      <c r="AG2627">
        <v>-1.099893494334</v>
      </c>
      <c r="AH2627">
        <v>15.025525218138499</v>
      </c>
      <c r="AI2627">
        <v>93.8153975037431</v>
      </c>
      <c r="AJ2627">
        <v>65.649863652677993</v>
      </c>
      <c r="AK2627">
        <v>16.529301221245099</v>
      </c>
    </row>
    <row r="2628" spans="1:37" x14ac:dyDescent="0.2">
      <c r="A2628" t="str">
        <f>"20200111154117920"</f>
        <v>20200111154117920</v>
      </c>
      <c r="B2628" t="str">
        <f>"1578728477908985"</f>
        <v>1578728477908985</v>
      </c>
      <c r="C2628" t="s">
        <v>37</v>
      </c>
      <c r="D2628">
        <v>5.1396610000000003</v>
      </c>
      <c r="E2628">
        <v>0.60721190000000003</v>
      </c>
      <c r="F2628" t="s">
        <v>43</v>
      </c>
      <c r="G2628">
        <v>-192.70410000000001</v>
      </c>
      <c r="H2628" s="1">
        <v>5.42318999999999E-6</v>
      </c>
      <c r="I2628">
        <v>205.02529999999999</v>
      </c>
      <c r="J2628">
        <v>-208.37530000000001</v>
      </c>
      <c r="K2628">
        <v>1.099369</v>
      </c>
      <c r="L2628">
        <v>215.04499999999999</v>
      </c>
      <c r="M2628">
        <v>0.98905859999999901</v>
      </c>
      <c r="N2628">
        <v>0</v>
      </c>
      <c r="O2628">
        <v>-0.14559169999999999</v>
      </c>
      <c r="P2628">
        <v>0.95592840000000001</v>
      </c>
      <c r="Q2628">
        <v>6.6704650000000004E-2</v>
      </c>
      <c r="R2628">
        <v>-0.28592230000000002</v>
      </c>
      <c r="S2628">
        <v>2.6582789999999998</v>
      </c>
      <c r="T2628">
        <v>-0.181482</v>
      </c>
      <c r="U2628">
        <v>-1.664337</v>
      </c>
      <c r="V2628">
        <v>0.14622669999999999</v>
      </c>
      <c r="W2628">
        <v>8.5951310000000003E-2</v>
      </c>
      <c r="X2628">
        <v>0.98551009999999994</v>
      </c>
      <c r="Y2628">
        <v>0.40115390000000001</v>
      </c>
      <c r="Z2628">
        <v>-3.5561899999999999E-3</v>
      </c>
      <c r="AA2628">
        <v>0.91600380000000003</v>
      </c>
      <c r="AB2628">
        <v>44</v>
      </c>
      <c r="AC2628">
        <v>15.671200000000001</v>
      </c>
      <c r="AD2628">
        <v>-1.0993635768100001</v>
      </c>
      <c r="AE2628">
        <v>-10.0197</v>
      </c>
      <c r="AF2628">
        <v>7.6040711483586598</v>
      </c>
      <c r="AG2628">
        <v>-1.0993635768100001</v>
      </c>
      <c r="AH2628">
        <v>16.904271829058398</v>
      </c>
      <c r="AI2628">
        <v>93.394250646093496</v>
      </c>
      <c r="AJ2628">
        <v>65.780291651557604</v>
      </c>
      <c r="AK2628">
        <v>18.568384538618702</v>
      </c>
    </row>
    <row r="2629" spans="1:37" x14ac:dyDescent="0.2">
      <c r="A2629" t="str">
        <f>"20200111154117943"</f>
        <v>20200111154117943</v>
      </c>
      <c r="B2629" t="str">
        <f>"1578728477939242"</f>
        <v>1578728477939242</v>
      </c>
      <c r="C2629" t="s">
        <v>37</v>
      </c>
      <c r="D2629">
        <v>5.1795980000000004</v>
      </c>
      <c r="E2629">
        <v>0.6077285</v>
      </c>
      <c r="F2629" t="s">
        <v>43</v>
      </c>
      <c r="G2629">
        <v>-190.5181</v>
      </c>
      <c r="H2629" s="1">
        <v>6.3798770000000001E-6</v>
      </c>
      <c r="I2629">
        <v>203.6198</v>
      </c>
      <c r="J2629">
        <v>-207.93680000000001</v>
      </c>
      <c r="K2629">
        <v>1.0988450000000001</v>
      </c>
      <c r="L2629">
        <v>214.9725</v>
      </c>
      <c r="M2629">
        <v>0.98717739999999998</v>
      </c>
      <c r="N2629">
        <v>0</v>
      </c>
      <c r="O2629">
        <v>-0.15785179999999999</v>
      </c>
      <c r="P2629">
        <v>0.95300750000000001</v>
      </c>
      <c r="Q2629">
        <v>7.1533669999999994E-2</v>
      </c>
      <c r="R2629">
        <v>-0.29437990000000003</v>
      </c>
      <c r="S2629">
        <v>2.643723</v>
      </c>
      <c r="T2629">
        <v>-0.1627585</v>
      </c>
      <c r="U2629">
        <v>-1.6914830000000001</v>
      </c>
      <c r="V2629">
        <v>0.14303560000000001</v>
      </c>
      <c r="W2629">
        <v>9.064548E-2</v>
      </c>
      <c r="X2629">
        <v>0.98555780000000004</v>
      </c>
      <c r="Y2629">
        <v>0.39885979999999999</v>
      </c>
      <c r="Z2629">
        <v>-2.464679E-3</v>
      </c>
      <c r="AA2629">
        <v>0.91700859999999995</v>
      </c>
      <c r="AB2629">
        <v>44</v>
      </c>
      <c r="AC2629">
        <v>17.418700000000001</v>
      </c>
      <c r="AD2629">
        <v>-1.098838620123</v>
      </c>
      <c r="AE2629">
        <v>-11.3527</v>
      </c>
      <c r="AF2629">
        <v>8.4363763166061592</v>
      </c>
      <c r="AG2629">
        <v>-1.098838620123</v>
      </c>
      <c r="AH2629">
        <v>18.939842898864999</v>
      </c>
      <c r="AI2629">
        <v>93.033693608361901</v>
      </c>
      <c r="AJ2629">
        <v>65.990369155190294</v>
      </c>
      <c r="AK2629">
        <v>20.762888544279001</v>
      </c>
    </row>
    <row r="2630" spans="1:37" x14ac:dyDescent="0.2">
      <c r="A2630" t="str">
        <f>"20200111154117965"</f>
        <v>20200111154117965</v>
      </c>
      <c r="B2630" t="str">
        <f>"1578728477958761"</f>
        <v>1578728477958761</v>
      </c>
      <c r="C2630" t="s">
        <v>37</v>
      </c>
      <c r="D2630">
        <v>5.1660320000000004</v>
      </c>
      <c r="E2630">
        <v>0.61404429999999999</v>
      </c>
      <c r="F2630" t="s">
        <v>43</v>
      </c>
      <c r="G2630">
        <v>-188.80619999999999</v>
      </c>
      <c r="H2630" s="1">
        <v>6.68618799999999E-6</v>
      </c>
      <c r="I2630">
        <v>202.45269999999999</v>
      </c>
      <c r="J2630">
        <v>-207.4983</v>
      </c>
      <c r="K2630">
        <v>1.09832</v>
      </c>
      <c r="L2630">
        <v>214.8938</v>
      </c>
      <c r="M2630">
        <v>0.98503779999999996</v>
      </c>
      <c r="N2630">
        <v>0</v>
      </c>
      <c r="O2630">
        <v>-0.17070079999999899</v>
      </c>
      <c r="P2630">
        <v>0.94936390000000004</v>
      </c>
      <c r="Q2630">
        <v>7.4599239999999997E-2</v>
      </c>
      <c r="R2630">
        <v>-0.30519390000000002</v>
      </c>
      <c r="S2630">
        <v>2.6280359999999998</v>
      </c>
      <c r="T2630">
        <v>-0.150950799999999</v>
      </c>
      <c r="U2630">
        <v>-1.7198789999999999</v>
      </c>
      <c r="V2630">
        <v>0.1416425</v>
      </c>
      <c r="W2630">
        <v>9.3550850000000005E-2</v>
      </c>
      <c r="X2630">
        <v>0.98548749999999996</v>
      </c>
      <c r="Y2630">
        <v>0.39642480000000002</v>
      </c>
      <c r="Z2630">
        <v>-1.580141E-3</v>
      </c>
      <c r="AA2630">
        <v>0.91806580000000004</v>
      </c>
      <c r="AB2630">
        <v>44</v>
      </c>
      <c r="AC2630">
        <v>18.6921</v>
      </c>
      <c r="AD2630">
        <v>-1.098313313812</v>
      </c>
      <c r="AE2630">
        <v>-12.4411</v>
      </c>
      <c r="AF2630">
        <v>9.0451030742374403</v>
      </c>
      <c r="AG2630">
        <v>-1.098313313812</v>
      </c>
      <c r="AH2630">
        <v>20.492870192384</v>
      </c>
      <c r="AI2630">
        <v>92.807037225301301</v>
      </c>
      <c r="AJ2630">
        <v>66.184389307036895</v>
      </c>
      <c r="AK2630">
        <v>22.427169025108299</v>
      </c>
    </row>
    <row r="2631" spans="1:37" x14ac:dyDescent="0.2">
      <c r="A2631" t="str">
        <f>"20200111154117987"</f>
        <v>20200111154117987</v>
      </c>
      <c r="B2631" t="str">
        <f>"1578728477979261"</f>
        <v>1578728477979261</v>
      </c>
      <c r="C2631" t="s">
        <v>37</v>
      </c>
      <c r="D2631">
        <v>5.1615539999999998</v>
      </c>
      <c r="E2631">
        <v>0.61465239999999999</v>
      </c>
      <c r="F2631" t="s">
        <v>43</v>
      </c>
      <c r="G2631">
        <v>-194.864</v>
      </c>
      <c r="H2631" s="1">
        <v>4.5506220000000003E-6</v>
      </c>
      <c r="I2631">
        <v>206.13890000000001</v>
      </c>
      <c r="J2631">
        <v>-207.07320000000001</v>
      </c>
      <c r="K2631">
        <v>1.097826</v>
      </c>
      <c r="L2631">
        <v>214.81180000000001</v>
      </c>
      <c r="M2631">
        <v>0.98270539999999995</v>
      </c>
      <c r="N2631">
        <v>0</v>
      </c>
      <c r="O2631">
        <v>-0.1836545</v>
      </c>
      <c r="P2631">
        <v>0.94480180000000002</v>
      </c>
      <c r="Q2631">
        <v>7.4585390000000001E-2</v>
      </c>
      <c r="R2631">
        <v>-0.3190405</v>
      </c>
      <c r="S2631">
        <v>2.598862</v>
      </c>
      <c r="T2631">
        <v>-0.22592219999999999</v>
      </c>
      <c r="U2631">
        <v>-1.8008729999999999</v>
      </c>
      <c r="V2631">
        <v>0.1431829</v>
      </c>
      <c r="W2631">
        <v>9.3308240000000001E-2</v>
      </c>
      <c r="X2631">
        <v>0.98528789999999999</v>
      </c>
      <c r="Y2631">
        <v>0.4083157</v>
      </c>
      <c r="Z2631">
        <v>-1.8642260000000001E-3</v>
      </c>
      <c r="AA2631">
        <v>0.91283890000000001</v>
      </c>
      <c r="AB2631">
        <v>44</v>
      </c>
      <c r="AC2631">
        <v>12.209199999999999</v>
      </c>
      <c r="AD2631">
        <v>-1.0978214493780001</v>
      </c>
      <c r="AE2631">
        <v>-8.6728999999999896</v>
      </c>
      <c r="AF2631">
        <v>6.2488153282621202</v>
      </c>
      <c r="AG2631">
        <v>-1.0978214493780001</v>
      </c>
      <c r="AH2631">
        <v>13.522016598504999</v>
      </c>
      <c r="AI2631">
        <v>94.215008573859905</v>
      </c>
      <c r="AJ2631">
        <v>65.197323689539701</v>
      </c>
      <c r="AK2631">
        <v>14.9364600167403</v>
      </c>
    </row>
    <row r="2632" spans="1:37" x14ac:dyDescent="0.2">
      <c r="A2632" t="str">
        <f>"20200111154118009"</f>
        <v>20200111154118009</v>
      </c>
      <c r="B2632" t="str">
        <f>"1578728477998778"</f>
        <v>1578728477998778</v>
      </c>
      <c r="C2632" t="s">
        <v>37</v>
      </c>
      <c r="D2632">
        <v>5.1420050000000002</v>
      </c>
      <c r="E2632">
        <v>0.61516179999999998</v>
      </c>
      <c r="F2632" t="s">
        <v>43</v>
      </c>
      <c r="G2632">
        <v>-195.14590000000001</v>
      </c>
      <c r="H2632" s="1">
        <v>4.4417979999999999E-6</v>
      </c>
      <c r="I2632">
        <v>206.26990000000001</v>
      </c>
      <c r="J2632">
        <v>-206.6429</v>
      </c>
      <c r="K2632">
        <v>1.097342</v>
      </c>
      <c r="L2632">
        <v>214.72290000000001</v>
      </c>
      <c r="M2632">
        <v>0.9800719</v>
      </c>
      <c r="N2632">
        <v>0</v>
      </c>
      <c r="O2632">
        <v>-0.19722629999999999</v>
      </c>
      <c r="P2632">
        <v>0.93918969999999902</v>
      </c>
      <c r="Q2632">
        <v>7.1536020000000006E-2</v>
      </c>
      <c r="R2632">
        <v>-0.33586549999999998</v>
      </c>
      <c r="S2632">
        <v>2.5719759999999998</v>
      </c>
      <c r="T2632">
        <v>-0.2367312</v>
      </c>
      <c r="U2632">
        <v>-1.8419490000000001</v>
      </c>
      <c r="V2632">
        <v>0.14711189999999999</v>
      </c>
      <c r="W2632">
        <v>8.9964489999999994E-2</v>
      </c>
      <c r="X2632">
        <v>0.98502000000000001</v>
      </c>
      <c r="Y2632">
        <v>0.40983190000000003</v>
      </c>
      <c r="Z2632">
        <v>-9.5921380000000005E-4</v>
      </c>
      <c r="AA2632">
        <v>0.91216059999999999</v>
      </c>
      <c r="AB2632">
        <v>44</v>
      </c>
      <c r="AC2632">
        <v>11.4969999999999</v>
      </c>
      <c r="AD2632">
        <v>-1.097337558202</v>
      </c>
      <c r="AE2632">
        <v>-8.4529999999999994</v>
      </c>
      <c r="AF2632">
        <v>5.9833437677503003</v>
      </c>
      <c r="AG2632">
        <v>-1.097337558202</v>
      </c>
      <c r="AH2632">
        <v>12.862608997553901</v>
      </c>
      <c r="AI2632">
        <v>94.423174704335096</v>
      </c>
      <c r="AJ2632">
        <v>65.053403335021102</v>
      </c>
      <c r="AK2632">
        <v>14.2285369094531</v>
      </c>
    </row>
    <row r="2633" spans="1:37" x14ac:dyDescent="0.2">
      <c r="A2633" t="str">
        <f>"20200111154118032"</f>
        <v>20200111154118032</v>
      </c>
      <c r="B2633" t="str">
        <f>"1578728478029034"</f>
        <v>1578728478029034</v>
      </c>
      <c r="C2633" t="s">
        <v>37</v>
      </c>
      <c r="D2633">
        <v>5.1357359999999996</v>
      </c>
      <c r="E2633">
        <v>0.61544980000000005</v>
      </c>
      <c r="F2633" t="s">
        <v>43</v>
      </c>
      <c r="G2633">
        <v>-196.0035</v>
      </c>
      <c r="H2633" s="1">
        <v>4.0829070000000003E-6</v>
      </c>
      <c r="I2633">
        <v>206.7987</v>
      </c>
      <c r="J2633">
        <v>-206.21369999999999</v>
      </c>
      <c r="K2633">
        <v>1.096892</v>
      </c>
      <c r="L2633">
        <v>214.62799999999999</v>
      </c>
      <c r="M2633">
        <v>0.97715399999999997</v>
      </c>
      <c r="N2633">
        <v>0</v>
      </c>
      <c r="O2633">
        <v>-0.2112087</v>
      </c>
      <c r="P2633">
        <v>0.93294969999999999</v>
      </c>
      <c r="Q2633">
        <v>6.8661029999999998E-2</v>
      </c>
      <c r="R2633">
        <v>-0.35339929999999897</v>
      </c>
      <c r="S2633">
        <v>2.5381469999999999</v>
      </c>
      <c r="T2633">
        <v>-0.26178269999999998</v>
      </c>
      <c r="U2633">
        <v>-1.890396</v>
      </c>
      <c r="V2633">
        <v>0.1514394</v>
      </c>
      <c r="W2633">
        <v>8.6788829999999997E-2</v>
      </c>
      <c r="X2633">
        <v>0.98464909999999894</v>
      </c>
      <c r="Y2633">
        <v>0.4137303</v>
      </c>
      <c r="Z2633" s="1">
        <v>-3.394857E-5</v>
      </c>
      <c r="AA2633">
        <v>0.91039950000000003</v>
      </c>
      <c r="AB2633">
        <v>43</v>
      </c>
      <c r="AC2633">
        <v>10.210199999999899</v>
      </c>
      <c r="AD2633">
        <v>-1.0968879170929999</v>
      </c>
      <c r="AE2633">
        <v>-7.8292999999999804</v>
      </c>
      <c r="AF2633">
        <v>5.4558381236834199</v>
      </c>
      <c r="AG2633">
        <v>-1.0968879170929999</v>
      </c>
      <c r="AH2633">
        <v>11.549874803197101</v>
      </c>
      <c r="AI2633">
        <v>94.908019347990901</v>
      </c>
      <c r="AJ2633">
        <v>64.715258573224702</v>
      </c>
      <c r="AK2633">
        <v>12.8206450970311</v>
      </c>
    </row>
    <row r="2634" spans="1:37" x14ac:dyDescent="0.2">
      <c r="A2634" t="str">
        <f>"20200111154118055"</f>
        <v>20200111154118055</v>
      </c>
      <c r="B2634" t="str">
        <f>"1578728478048553"</f>
        <v>1578728478048553</v>
      </c>
      <c r="C2634" t="s">
        <v>37</v>
      </c>
      <c r="D2634">
        <v>5.1688789999999996</v>
      </c>
      <c r="E2634">
        <v>0.61543269999999906</v>
      </c>
      <c r="F2634" t="s">
        <v>43</v>
      </c>
      <c r="G2634">
        <v>-196.51779999999999</v>
      </c>
      <c r="H2634" s="1">
        <v>3.9105460000000001E-6</v>
      </c>
      <c r="I2634">
        <v>207.10509999999999</v>
      </c>
      <c r="J2634">
        <v>-205.78299999999999</v>
      </c>
      <c r="K2634">
        <v>1.0964659999999999</v>
      </c>
      <c r="L2634">
        <v>214.5265</v>
      </c>
      <c r="M2634">
        <v>0.97391640000000002</v>
      </c>
      <c r="N2634">
        <v>0</v>
      </c>
      <c r="O2634">
        <v>-0.22566599999999901</v>
      </c>
      <c r="P2634">
        <v>0.92626010000000003</v>
      </c>
      <c r="Q2634">
        <v>6.5514089999999997E-2</v>
      </c>
      <c r="R2634">
        <v>-0.37114789999999998</v>
      </c>
      <c r="S2634">
        <v>2.5012970000000001</v>
      </c>
      <c r="T2634">
        <v>-0.28296979999999999</v>
      </c>
      <c r="U2634">
        <v>-1.94072</v>
      </c>
      <c r="V2634">
        <v>0.15557099999999999</v>
      </c>
      <c r="W2634">
        <v>8.3353800000000006E-2</v>
      </c>
      <c r="X2634">
        <v>0.98430169999999995</v>
      </c>
      <c r="Y2634">
        <v>0.41809550000000001</v>
      </c>
      <c r="Z2634">
        <v>1.097506E-3</v>
      </c>
      <c r="AA2634">
        <v>0.90840239999999906</v>
      </c>
      <c r="AB2634">
        <v>43</v>
      </c>
      <c r="AC2634">
        <v>9.2651999999999894</v>
      </c>
      <c r="AD2634">
        <v>-1.096462089454</v>
      </c>
      <c r="AE2634">
        <v>-7.4214000000000002</v>
      </c>
      <c r="AF2634">
        <v>5.0949596567465498</v>
      </c>
      <c r="AG2634">
        <v>-1.096462089454</v>
      </c>
      <c r="AH2634">
        <v>10.6107709431849</v>
      </c>
      <c r="AI2634">
        <v>95.3218923961862</v>
      </c>
      <c r="AJ2634">
        <v>64.351140775304799</v>
      </c>
      <c r="AK2634">
        <v>11.8215609386503</v>
      </c>
    </row>
    <row r="2635" spans="1:37" x14ac:dyDescent="0.2">
      <c r="A2635" t="str">
        <f>"20200111154118076"</f>
        <v>20200111154118076</v>
      </c>
      <c r="B2635" t="str">
        <f>"1578728478069052"</f>
        <v>1578728478069052</v>
      </c>
      <c r="C2635" t="s">
        <v>37</v>
      </c>
      <c r="D2635">
        <v>5.1594030000000002</v>
      </c>
      <c r="E2635">
        <v>0.61538079999999995</v>
      </c>
      <c r="F2635" t="s">
        <v>43</v>
      </c>
      <c r="G2635">
        <v>-196.72579999999999</v>
      </c>
      <c r="H2635" s="1">
        <v>3.8454030000000004E-6</v>
      </c>
      <c r="I2635">
        <v>207.21180000000001</v>
      </c>
      <c r="J2635">
        <v>-205.36519999999999</v>
      </c>
      <c r="K2635">
        <v>1.096074</v>
      </c>
      <c r="L2635">
        <v>214.42169999999999</v>
      </c>
      <c r="M2635">
        <v>0.97046200000000005</v>
      </c>
      <c r="N2635">
        <v>0</v>
      </c>
      <c r="O2635">
        <v>-0.2400851</v>
      </c>
      <c r="P2635">
        <v>0.91936640000000003</v>
      </c>
      <c r="Q2635">
        <v>6.3653599999999894E-2</v>
      </c>
      <c r="R2635">
        <v>-0.38821919999999999</v>
      </c>
      <c r="S2635">
        <v>2.4629209999999899</v>
      </c>
      <c r="T2635">
        <v>-0.29815900000000001</v>
      </c>
      <c r="U2635">
        <v>-1.9890749999999999</v>
      </c>
      <c r="V2635">
        <v>0.1591582</v>
      </c>
      <c r="W2635">
        <v>8.1237169999999997E-2</v>
      </c>
      <c r="X2635">
        <v>0.98390509999999998</v>
      </c>
      <c r="Y2635">
        <v>0.42229169999999999</v>
      </c>
      <c r="Z2635">
        <v>2.3616370000000002E-3</v>
      </c>
      <c r="AA2635">
        <v>0.90645689999999901</v>
      </c>
      <c r="AB2635">
        <v>43</v>
      </c>
      <c r="AC2635">
        <v>8.6393999999999895</v>
      </c>
      <c r="AD2635">
        <v>-1.096070154597</v>
      </c>
      <c r="AE2635">
        <v>-7.20989999999997</v>
      </c>
      <c r="AF2635">
        <v>4.8778479389822902</v>
      </c>
      <c r="AG2635">
        <v>-1.096070154597</v>
      </c>
      <c r="AH2635">
        <v>10.02294956737</v>
      </c>
      <c r="AI2635">
        <v>95.615828300822599</v>
      </c>
      <c r="AJ2635">
        <v>64.049299529584204</v>
      </c>
      <c r="AK2635">
        <v>11.2006378536972</v>
      </c>
    </row>
    <row r="2636" spans="1:37" x14ac:dyDescent="0.2">
      <c r="A2636" t="str">
        <f>"20200111154118099"</f>
        <v>20200111154118099</v>
      </c>
      <c r="B2636" t="str">
        <f>"1578728478088570"</f>
        <v>1578728478088570</v>
      </c>
      <c r="C2636" t="s">
        <v>37</v>
      </c>
      <c r="D2636">
        <v>5.2265470000000001</v>
      </c>
      <c r="E2636">
        <v>0.61711169999999904</v>
      </c>
      <c r="F2636" t="s">
        <v>43</v>
      </c>
      <c r="G2636">
        <v>-196.60169999999999</v>
      </c>
      <c r="H2636" s="1">
        <v>3.9066379999999998E-6</v>
      </c>
      <c r="I2636">
        <v>207.06360000000001</v>
      </c>
      <c r="J2636">
        <v>-204.959</v>
      </c>
      <c r="K2636">
        <v>1.0957269999999999</v>
      </c>
      <c r="L2636">
        <v>214.31360000000001</v>
      </c>
      <c r="M2636">
        <v>0.96679029999999999</v>
      </c>
      <c r="N2636">
        <v>0</v>
      </c>
      <c r="O2636">
        <v>-0.254465</v>
      </c>
      <c r="P2636">
        <v>0.91197839999999997</v>
      </c>
      <c r="Q2636">
        <v>6.2995620000000002E-2</v>
      </c>
      <c r="R2636">
        <v>-0.40537289999999998</v>
      </c>
      <c r="S2636">
        <v>2.424515</v>
      </c>
      <c r="T2636">
        <v>-0.30324000000000001</v>
      </c>
      <c r="U2636">
        <v>-2.0356900000000002</v>
      </c>
      <c r="V2636">
        <v>0.1630151</v>
      </c>
      <c r="W2636">
        <v>8.0323199999999997E-2</v>
      </c>
      <c r="X2636">
        <v>0.98334849999999996</v>
      </c>
      <c r="Y2636">
        <v>0.42614269999999999</v>
      </c>
      <c r="Z2636">
        <v>3.6478639999999998E-3</v>
      </c>
      <c r="AA2636">
        <v>0.90464859999999903</v>
      </c>
      <c r="AB2636">
        <v>43</v>
      </c>
      <c r="AC2636">
        <v>8.3573000000000093</v>
      </c>
      <c r="AD2636">
        <v>-1.0957230933619999</v>
      </c>
      <c r="AE2636">
        <v>-7.25</v>
      </c>
      <c r="AF2636">
        <v>4.8365286808333297</v>
      </c>
      <c r="AG2636">
        <v>-1.0957230933619999</v>
      </c>
      <c r="AH2636">
        <v>9.8310023369047208</v>
      </c>
      <c r="AI2636">
        <v>95.711072620051496</v>
      </c>
      <c r="AJ2636">
        <v>63.804336449747098</v>
      </c>
      <c r="AK2636">
        <v>11.010959346309299</v>
      </c>
    </row>
    <row r="2637" spans="1:37" x14ac:dyDescent="0.2">
      <c r="A2637" t="str">
        <f>"20200111154118121"</f>
        <v>20200111154118121</v>
      </c>
      <c r="B2637" t="str">
        <f>"1578728478118826"</f>
        <v>1578728478118826</v>
      </c>
      <c r="C2637" t="s">
        <v>37</v>
      </c>
      <c r="D2637">
        <v>5.2871040000000002</v>
      </c>
      <c r="E2637">
        <v>0.64540369999999903</v>
      </c>
      <c r="F2637" t="s">
        <v>43</v>
      </c>
      <c r="G2637">
        <v>-196.0479</v>
      </c>
      <c r="H2637" s="1">
        <v>4.1674909999999999E-6</v>
      </c>
      <c r="I2637">
        <v>206.48009999999999</v>
      </c>
      <c r="J2637">
        <v>-204.5419</v>
      </c>
      <c r="K2637">
        <v>1.0954059999999901</v>
      </c>
      <c r="L2637">
        <v>214.196</v>
      </c>
      <c r="M2637">
        <v>0.96268560000000003</v>
      </c>
      <c r="N2637">
        <v>0</v>
      </c>
      <c r="O2637">
        <v>-0.26957449999999999</v>
      </c>
      <c r="P2637">
        <v>0.90427919999999995</v>
      </c>
      <c r="Q2637">
        <v>6.3770199999999999E-2</v>
      </c>
      <c r="R2637">
        <v>-0.42215229999999998</v>
      </c>
      <c r="S2637">
        <v>2.37983699999999</v>
      </c>
      <c r="T2637">
        <v>-0.29262830000000001</v>
      </c>
      <c r="U2637">
        <v>-2.0920259999999899</v>
      </c>
      <c r="V2637">
        <v>0.16589119999999999</v>
      </c>
      <c r="W2637">
        <v>8.088832E-2</v>
      </c>
      <c r="X2637">
        <v>0.98282099999999994</v>
      </c>
      <c r="Y2637">
        <v>0.4325717</v>
      </c>
      <c r="Z2637">
        <v>4.6631320000000004E-3</v>
      </c>
      <c r="AA2637">
        <v>0.90158749999999999</v>
      </c>
      <c r="AB2637">
        <v>43</v>
      </c>
      <c r="AC2637">
        <v>8.4939999999999998</v>
      </c>
      <c r="AD2637">
        <v>-1.09540183250899</v>
      </c>
      <c r="AE2637">
        <v>-7.7159000000000004</v>
      </c>
      <c r="AF2637">
        <v>5.0932646653338596</v>
      </c>
      <c r="AG2637">
        <v>-1.09540183250899</v>
      </c>
      <c r="AH2637">
        <v>10.1673202134984</v>
      </c>
      <c r="AI2637">
        <v>95.502151028468106</v>
      </c>
      <c r="AJ2637">
        <v>63.391665621706203</v>
      </c>
      <c r="AK2637">
        <v>11.424344639830201</v>
      </c>
    </row>
    <row r="2638" spans="1:37" x14ac:dyDescent="0.2">
      <c r="A2638" t="str">
        <f>"20200111154118145"</f>
        <v>20200111154118145</v>
      </c>
      <c r="B2638" t="str">
        <f>"1578728478139322"</f>
        <v>1578728478139322</v>
      </c>
      <c r="C2638" t="s">
        <v>37</v>
      </c>
      <c r="D2638">
        <v>5.2706410000000004</v>
      </c>
      <c r="E2638">
        <v>0.64307389999999998</v>
      </c>
      <c r="F2638" t="s">
        <v>39</v>
      </c>
      <c r="G2638">
        <v>-179.95779999999999</v>
      </c>
      <c r="H2638">
        <v>4.7268640000000001E-2</v>
      </c>
      <c r="I2638">
        <v>188.57679999999999</v>
      </c>
      <c r="J2638">
        <v>-204.1285</v>
      </c>
      <c r="K2638">
        <v>1.095118</v>
      </c>
      <c r="L2638">
        <v>214.07249999999999</v>
      </c>
      <c r="M2638">
        <v>0.95826139999999904</v>
      </c>
      <c r="N2638">
        <v>0</v>
      </c>
      <c r="O2638">
        <v>-0.28489829999999999</v>
      </c>
      <c r="P2638">
        <v>0.89726219999999901</v>
      </c>
      <c r="Q2638">
        <v>6.5822939999999996E-2</v>
      </c>
      <c r="R2638">
        <v>-0.4365637</v>
      </c>
      <c r="S2638">
        <v>2.2363279999999999</v>
      </c>
      <c r="T2638">
        <v>-9.5345379999999993E-2</v>
      </c>
      <c r="U2638">
        <v>-2.3304900000000002</v>
      </c>
      <c r="V2638">
        <v>0.16611389999999901</v>
      </c>
      <c r="W2638">
        <v>8.2854839999999999E-2</v>
      </c>
      <c r="X2638">
        <v>0.98261960000000004</v>
      </c>
      <c r="Y2638">
        <v>0.49421179999999898</v>
      </c>
      <c r="Z2638">
        <v>9.3157590000000001E-4</v>
      </c>
      <c r="AA2638">
        <v>0.86934100000000003</v>
      </c>
      <c r="AB2638">
        <v>42</v>
      </c>
      <c r="AC2638">
        <v>24.1707</v>
      </c>
      <c r="AD2638">
        <v>-1.0478493600000001</v>
      </c>
      <c r="AE2638">
        <v>-25.495699999999999</v>
      </c>
      <c r="AF2638">
        <v>17.534740407173601</v>
      </c>
      <c r="AG2638">
        <v>-1.0478493600000001</v>
      </c>
      <c r="AH2638">
        <v>30.407125581024602</v>
      </c>
      <c r="AI2638">
        <v>91.709922875149303</v>
      </c>
      <c r="AJ2638">
        <v>60.029434329094997</v>
      </c>
      <c r="AK2638">
        <v>35.116355100272301</v>
      </c>
    </row>
    <row r="2639" spans="1:37" x14ac:dyDescent="0.2">
      <c r="A2639" t="str">
        <f>"20200111154118166"</f>
        <v>20200111154118166</v>
      </c>
      <c r="B2639" t="str">
        <f>"1578728478158841"</f>
        <v>1578728478158841</v>
      </c>
      <c r="C2639" t="s">
        <v>37</v>
      </c>
      <c r="D2639">
        <v>5.3556530000000002</v>
      </c>
      <c r="E2639">
        <v>0.64293269999999902</v>
      </c>
      <c r="F2639" t="s">
        <v>39</v>
      </c>
      <c r="G2639">
        <v>-184.03639999999999</v>
      </c>
      <c r="H2639" s="1">
        <v>-2.617978E-6</v>
      </c>
      <c r="I2639">
        <v>192.67830000000001</v>
      </c>
      <c r="J2639">
        <v>-203.72640000000001</v>
      </c>
      <c r="K2639">
        <v>1.094849</v>
      </c>
      <c r="L2639">
        <v>213.9453</v>
      </c>
      <c r="M2639">
        <v>0.95359749999999999</v>
      </c>
      <c r="N2639">
        <v>0</v>
      </c>
      <c r="O2639">
        <v>-0.30013649999999997</v>
      </c>
      <c r="P2639">
        <v>0.89028949999999996</v>
      </c>
      <c r="Q2639">
        <v>6.8276649999999994E-2</v>
      </c>
      <c r="R2639">
        <v>-0.45024769999999997</v>
      </c>
      <c r="S2639">
        <v>2.2082820000000001</v>
      </c>
      <c r="T2639">
        <v>-0.1203625</v>
      </c>
      <c r="U2639">
        <v>-2.3513950000000001</v>
      </c>
      <c r="V2639">
        <v>0.1656996</v>
      </c>
      <c r="W2639">
        <v>8.5257680000000002E-2</v>
      </c>
      <c r="X2639">
        <v>0.98248400000000002</v>
      </c>
      <c r="Y2639">
        <v>0.489662299999999</v>
      </c>
      <c r="Z2639">
        <v>1.89131E-3</v>
      </c>
      <c r="AA2639">
        <v>0.87191019999999897</v>
      </c>
      <c r="AB2639">
        <v>42</v>
      </c>
      <c r="AC2639">
        <v>19.690000000000001</v>
      </c>
      <c r="AD2639">
        <v>-1.0948516179779999</v>
      </c>
      <c r="AE2639">
        <v>-21.266999999999999</v>
      </c>
      <c r="AF2639">
        <v>14.354082814697501</v>
      </c>
      <c r="AG2639">
        <v>-1.0948516179779999</v>
      </c>
      <c r="AH2639">
        <v>25.1306469774545</v>
      </c>
      <c r="AI2639">
        <v>92.166483253951597</v>
      </c>
      <c r="AJ2639">
        <v>60.265925179707899</v>
      </c>
      <c r="AK2639">
        <v>28.9618336957802</v>
      </c>
    </row>
    <row r="2640" spans="1:37" x14ac:dyDescent="0.2">
      <c r="A2640" t="str">
        <f>"20200111154118188"</f>
        <v>20200111154118188</v>
      </c>
      <c r="B2640" t="str">
        <f>"1578728478179338"</f>
        <v>1578728478179338</v>
      </c>
      <c r="C2640" t="s">
        <v>37</v>
      </c>
      <c r="D2640">
        <v>5.3071459999999897</v>
      </c>
      <c r="E2640">
        <v>0.63971630000000002</v>
      </c>
      <c r="F2640" t="s">
        <v>39</v>
      </c>
      <c r="G2640">
        <v>-180.0926</v>
      </c>
      <c r="H2640" s="1">
        <v>-5.4820519999999999E-6</v>
      </c>
      <c r="I2640">
        <v>188.011</v>
      </c>
      <c r="J2640">
        <v>-203.32589999999999</v>
      </c>
      <c r="K2640">
        <v>1.094598</v>
      </c>
      <c r="L2640">
        <v>213.81180000000001</v>
      </c>
      <c r="M2640">
        <v>0.94859150000000003</v>
      </c>
      <c r="N2640">
        <v>0</v>
      </c>
      <c r="O2640">
        <v>-0.3155985</v>
      </c>
      <c r="P2640">
        <v>0.88253090000000001</v>
      </c>
      <c r="Q2640">
        <v>6.96383E-2</v>
      </c>
      <c r="R2640">
        <v>-0.46506959999999897</v>
      </c>
      <c r="S2640">
        <v>2.1720120000000001</v>
      </c>
      <c r="T2640">
        <v>-0.1006203</v>
      </c>
      <c r="U2640">
        <v>-2.3834379999999999</v>
      </c>
      <c r="V2640">
        <v>0.1662952</v>
      </c>
      <c r="W2640">
        <v>8.6532780000000004E-2</v>
      </c>
      <c r="X2640">
        <v>0.98227189999999998</v>
      </c>
      <c r="Y2640">
        <v>0.48861359999999898</v>
      </c>
      <c r="Z2640">
        <v>2.1241490000000001E-3</v>
      </c>
      <c r="AA2640">
        <v>0.87249769999999904</v>
      </c>
      <c r="AB2640">
        <v>42</v>
      </c>
      <c r="AC2640">
        <v>23.2332999999999</v>
      </c>
      <c r="AD2640">
        <v>-1.0946034820520001</v>
      </c>
      <c r="AE2640">
        <v>-25.800799999999999</v>
      </c>
      <c r="AF2640">
        <v>17.129901532169601</v>
      </c>
      <c r="AG2640">
        <v>-1.0946034820520001</v>
      </c>
      <c r="AH2640">
        <v>30.160259239680101</v>
      </c>
      <c r="AI2640">
        <v>91.807544668080794</v>
      </c>
      <c r="AJ2640">
        <v>60.405041876580697</v>
      </c>
      <c r="AK2640">
        <v>34.702635644709503</v>
      </c>
    </row>
    <row r="2641" spans="1:37" x14ac:dyDescent="0.2">
      <c r="A2641" t="str">
        <f>"20200111154118210"</f>
        <v>20200111154118210</v>
      </c>
      <c r="B2641" t="str">
        <f>"1578728478198857"</f>
        <v>1578728478198857</v>
      </c>
      <c r="C2641" t="s">
        <v>37</v>
      </c>
      <c r="D2641">
        <v>5.3469509999999998</v>
      </c>
      <c r="E2641">
        <v>0.63715980000000005</v>
      </c>
      <c r="F2641" t="s">
        <v>39</v>
      </c>
      <c r="G2641">
        <v>-187.33860000000001</v>
      </c>
      <c r="H2641" s="1">
        <v>-3.1848540000000002E-6</v>
      </c>
      <c r="I2641">
        <v>195.9563</v>
      </c>
      <c r="J2641">
        <v>-202.9333</v>
      </c>
      <c r="K2641">
        <v>1.094365</v>
      </c>
      <c r="L2641">
        <v>213.67410000000001</v>
      </c>
      <c r="M2641">
        <v>0.94332150000000003</v>
      </c>
      <c r="N2641">
        <v>0</v>
      </c>
      <c r="O2641">
        <v>-0.33101550000000002</v>
      </c>
      <c r="P2641">
        <v>0.87323300000000004</v>
      </c>
      <c r="Q2641">
        <v>7.0909139999999996E-2</v>
      </c>
      <c r="R2641">
        <v>-0.48211670000000001</v>
      </c>
      <c r="S2641">
        <v>2.147186</v>
      </c>
      <c r="T2641">
        <v>-0.14701139999999999</v>
      </c>
      <c r="U2641">
        <v>-2.3981020000000002</v>
      </c>
      <c r="V2641">
        <v>0.16949420000000001</v>
      </c>
      <c r="W2641">
        <v>8.7606820000000002E-2</v>
      </c>
      <c r="X2641">
        <v>0.98162969999999905</v>
      </c>
      <c r="Y2641">
        <v>0.4819582</v>
      </c>
      <c r="Z2641">
        <v>4.0498119999999999E-3</v>
      </c>
      <c r="AA2641">
        <v>0.87618479999999999</v>
      </c>
      <c r="AB2641">
        <v>42</v>
      </c>
      <c r="AC2641">
        <v>15.5946999999999</v>
      </c>
      <c r="AD2641">
        <v>-1.0943681848539999</v>
      </c>
      <c r="AE2641">
        <v>-17.7178</v>
      </c>
      <c r="AF2641">
        <v>11.530020515791399</v>
      </c>
      <c r="AG2641">
        <v>-1.0943681848539999</v>
      </c>
      <c r="AH2641">
        <v>20.537432899287602</v>
      </c>
      <c r="AI2641">
        <v>92.660320633377694</v>
      </c>
      <c r="AJ2641">
        <v>60.689497352895799</v>
      </c>
      <c r="AK2641">
        <v>23.5780653343596</v>
      </c>
    </row>
    <row r="2642" spans="1:37" x14ac:dyDescent="0.2">
      <c r="A2642" t="str">
        <f>"20200111154118233"</f>
        <v>20200111154118233</v>
      </c>
      <c r="B2642" t="str">
        <f>"1578728478229114"</f>
        <v>1578728478229114</v>
      </c>
      <c r="C2642" t="s">
        <v>37</v>
      </c>
      <c r="D2642">
        <v>5.2649379999999999</v>
      </c>
      <c r="E2642">
        <v>0.63505630000000002</v>
      </c>
      <c r="F2642" t="s">
        <v>39</v>
      </c>
      <c r="G2642">
        <v>-190.28909999999999</v>
      </c>
      <c r="H2642" s="1">
        <v>-4.1909089999999996E-6</v>
      </c>
      <c r="I2642">
        <v>199.1789</v>
      </c>
      <c r="J2642">
        <v>-202.53389999999999</v>
      </c>
      <c r="K2642">
        <v>1.0941369999999999</v>
      </c>
      <c r="L2642">
        <v>213.52680000000001</v>
      </c>
      <c r="M2642">
        <v>0.93757780000000002</v>
      </c>
      <c r="N2642">
        <v>0</v>
      </c>
      <c r="O2642">
        <v>-0.34694849999999999</v>
      </c>
      <c r="P2642">
        <v>0.86267129999999903</v>
      </c>
      <c r="Q2642">
        <v>7.1322700000000003E-2</v>
      </c>
      <c r="R2642">
        <v>-0.50071120000000002</v>
      </c>
      <c r="S2642">
        <v>2.1130070000000001</v>
      </c>
      <c r="T2642">
        <v>-0.18288360000000001</v>
      </c>
      <c r="U2642">
        <v>-2.4223330000000001</v>
      </c>
      <c r="V2642">
        <v>0.1739694</v>
      </c>
      <c r="W2642">
        <v>8.7767380000000006E-2</v>
      </c>
      <c r="X2642">
        <v>0.98083199999999904</v>
      </c>
      <c r="Y2642">
        <v>0.47839989999999999</v>
      </c>
      <c r="Z2642">
        <v>6.1485979999999999E-3</v>
      </c>
      <c r="AA2642">
        <v>0.87812060000000003</v>
      </c>
      <c r="AB2642">
        <v>42</v>
      </c>
      <c r="AC2642">
        <v>12.2447999999999</v>
      </c>
      <c r="AD2642">
        <v>-1.094141190909</v>
      </c>
      <c r="AE2642">
        <v>-14.347899999999999</v>
      </c>
      <c r="AF2642">
        <v>9.1757295831840704</v>
      </c>
      <c r="AG2642">
        <v>-1.094141190909</v>
      </c>
      <c r="AH2642">
        <v>16.407958076067601</v>
      </c>
      <c r="AI2642">
        <v>93.330916887281703</v>
      </c>
      <c r="AJ2642">
        <v>60.785016948579397</v>
      </c>
      <c r="AK2642">
        <v>18.831150962045701</v>
      </c>
    </row>
    <row r="2643" spans="1:37" x14ac:dyDescent="0.2">
      <c r="A2643" t="str">
        <f>"20200111154118257"</f>
        <v>20200111154118257</v>
      </c>
      <c r="B2643" t="str">
        <f>"1578728478248636"</f>
        <v>1578728478248636</v>
      </c>
      <c r="C2643" t="s">
        <v>37</v>
      </c>
      <c r="D2643">
        <v>5.2336510000000001</v>
      </c>
      <c r="E2643">
        <v>0.63384030000000002</v>
      </c>
      <c r="F2643" t="s">
        <v>43</v>
      </c>
      <c r="G2643">
        <v>-191.9529</v>
      </c>
      <c r="H2643" s="1">
        <v>6.9227029999999997E-6</v>
      </c>
      <c r="I2643">
        <v>201.0043</v>
      </c>
      <c r="J2643">
        <v>-202.12190000000001</v>
      </c>
      <c r="K2643">
        <v>1.0939190000000001</v>
      </c>
      <c r="L2643">
        <v>213.36709999999999</v>
      </c>
      <c r="M2643">
        <v>0.93123429999999996</v>
      </c>
      <c r="N2643">
        <v>0</v>
      </c>
      <c r="O2643">
        <v>-0.36362929999999999</v>
      </c>
      <c r="P2643">
        <v>0.85096309999999997</v>
      </c>
      <c r="Q2643">
        <v>7.0140579999999994E-2</v>
      </c>
      <c r="R2643">
        <v>-0.52052120000000002</v>
      </c>
      <c r="S2643">
        <v>2.0719910000000001</v>
      </c>
      <c r="T2643">
        <v>-0.2142549</v>
      </c>
      <c r="U2643">
        <v>-2.452194</v>
      </c>
      <c r="V2643">
        <v>0.1790987</v>
      </c>
      <c r="W2643">
        <v>8.6304279999999997E-2</v>
      </c>
      <c r="X2643">
        <v>0.98003839999999998</v>
      </c>
      <c r="Y2643">
        <v>0.4765026</v>
      </c>
      <c r="Z2643">
        <v>8.5013840000000007E-3</v>
      </c>
      <c r="AA2643">
        <v>0.87913200000000002</v>
      </c>
      <c r="AB2643">
        <v>41</v>
      </c>
      <c r="AC2643">
        <v>10.169</v>
      </c>
      <c r="AD2643">
        <v>-1.0939120772969999</v>
      </c>
      <c r="AE2643">
        <v>-12.362799999999901</v>
      </c>
      <c r="AF2643">
        <v>7.7808347900416601</v>
      </c>
      <c r="AG2643">
        <v>-1.0939120772969999</v>
      </c>
      <c r="AH2643">
        <v>13.9042931607372</v>
      </c>
      <c r="AI2643">
        <v>93.927513952955394</v>
      </c>
      <c r="AJ2643">
        <v>60.768647633131501</v>
      </c>
      <c r="AK2643">
        <v>15.9708297205406</v>
      </c>
    </row>
    <row r="2644" spans="1:37" x14ac:dyDescent="0.2">
      <c r="A2644" t="str">
        <f>"20200111154118278"</f>
        <v>20200111154118278</v>
      </c>
      <c r="B2644" t="str">
        <f>"1578728478269129"</f>
        <v>1578728478269129</v>
      </c>
      <c r="C2644" t="s">
        <v>37</v>
      </c>
      <c r="D2644">
        <v>5.286759</v>
      </c>
      <c r="E2644">
        <v>0.63433439999999996</v>
      </c>
      <c r="F2644" t="s">
        <v>43</v>
      </c>
      <c r="G2644">
        <v>-192.7216</v>
      </c>
      <c r="H2644" s="1">
        <v>6.440123E-6</v>
      </c>
      <c r="I2644">
        <v>201.79079999999999</v>
      </c>
      <c r="J2644">
        <v>-201.7533</v>
      </c>
      <c r="K2644">
        <v>1.0937429999999999</v>
      </c>
      <c r="L2644">
        <v>213.21719999999999</v>
      </c>
      <c r="M2644">
        <v>0.925181699999999</v>
      </c>
      <c r="N2644">
        <v>0</v>
      </c>
      <c r="O2644">
        <v>-0.3787623</v>
      </c>
      <c r="P2644">
        <v>0.84079380000000004</v>
      </c>
      <c r="Q2644">
        <v>6.7724610000000005E-2</v>
      </c>
      <c r="R2644">
        <v>-0.53710269999999904</v>
      </c>
      <c r="S2644">
        <v>2.02182</v>
      </c>
      <c r="T2644">
        <v>-0.235278499999999</v>
      </c>
      <c r="U2644">
        <v>-2.4898380000000002</v>
      </c>
      <c r="V2644">
        <v>0.18219399999999999</v>
      </c>
      <c r="W2644">
        <v>8.3710649999999998E-2</v>
      </c>
      <c r="X2644">
        <v>0.97969280000000003</v>
      </c>
      <c r="Y2644">
        <v>0.47930509999999898</v>
      </c>
      <c r="Z2644">
        <v>1.044804E-2</v>
      </c>
      <c r="AA2644">
        <v>0.87758619999999898</v>
      </c>
      <c r="AB2644">
        <v>41</v>
      </c>
      <c r="AC2644">
        <v>9.0317000000000007</v>
      </c>
      <c r="AD2644">
        <v>-1.0937365598769999</v>
      </c>
      <c r="AE2644">
        <v>-11.426399999999999</v>
      </c>
      <c r="AF2644">
        <v>7.1125868889165798</v>
      </c>
      <c r="AG2644">
        <v>-1.0937365598769999</v>
      </c>
      <c r="AH2644">
        <v>12.616374157670201</v>
      </c>
      <c r="AI2644">
        <v>94.3186560793024</v>
      </c>
      <c r="AJ2644">
        <v>60.587504885340898</v>
      </c>
      <c r="AK2644">
        <v>14.5243949547349</v>
      </c>
    </row>
    <row r="2645" spans="1:37" x14ac:dyDescent="0.2">
      <c r="A2645" t="str">
        <f>"20200111154118300"</f>
        <v>20200111154118300</v>
      </c>
      <c r="B2645" t="str">
        <f>"1578728478288649"</f>
        <v>1578728478288649</v>
      </c>
      <c r="C2645" t="s">
        <v>37</v>
      </c>
      <c r="D2645">
        <v>5.1449089999999904</v>
      </c>
      <c r="E2645">
        <v>0.63443099999999997</v>
      </c>
      <c r="F2645" t="s">
        <v>43</v>
      </c>
      <c r="G2645">
        <v>-192.39359999999999</v>
      </c>
      <c r="H2645" s="1">
        <v>6.7388139999999997E-6</v>
      </c>
      <c r="I2645">
        <v>201.1927</v>
      </c>
      <c r="J2645">
        <v>-201.38099999999901</v>
      </c>
      <c r="K2645">
        <v>1.0935709999999901</v>
      </c>
      <c r="L2645">
        <v>213.05889999999999</v>
      </c>
      <c r="M2645">
        <v>0.91869679999999998</v>
      </c>
      <c r="N2645">
        <v>0</v>
      </c>
      <c r="O2645">
        <v>-0.394229</v>
      </c>
      <c r="P2645">
        <v>0.83026200000000006</v>
      </c>
      <c r="Q2645">
        <v>6.5367759999999997E-2</v>
      </c>
      <c r="R2645">
        <v>-0.55352690000000004</v>
      </c>
      <c r="S2645">
        <v>1.9699249999999999</v>
      </c>
      <c r="T2645">
        <v>-0.23019719999999999</v>
      </c>
      <c r="U2645">
        <v>-2.5307770000000001</v>
      </c>
      <c r="V2645">
        <v>0.18487719999999999</v>
      </c>
      <c r="W2645">
        <v>8.1199149999999998E-2</v>
      </c>
      <c r="X2645">
        <v>0.97940139999999998</v>
      </c>
      <c r="Y2645">
        <v>0.48270200000000002</v>
      </c>
      <c r="Z2645">
        <v>1.1315260000000001E-2</v>
      </c>
      <c r="AA2645">
        <v>0.87571160000000003</v>
      </c>
      <c r="AB2645">
        <v>41</v>
      </c>
      <c r="AC2645">
        <v>8.9873999999999796</v>
      </c>
      <c r="AD2645">
        <v>-1.0935642611859999</v>
      </c>
      <c r="AE2645">
        <v>-11.8661999999999</v>
      </c>
      <c r="AF2645">
        <v>7.3209681760198002</v>
      </c>
      <c r="AG2645">
        <v>-1.0935642611859999</v>
      </c>
      <c r="AH2645">
        <v>12.8689916062243</v>
      </c>
      <c r="AI2645">
        <v>94.224266562025406</v>
      </c>
      <c r="AJ2645">
        <v>60.365128821314798</v>
      </c>
      <c r="AK2645">
        <v>14.8459894513202</v>
      </c>
    </row>
    <row r="2646" spans="1:37" x14ac:dyDescent="0.2">
      <c r="A2646" t="str">
        <f>"20200111154118322"</f>
        <v>20200111154118322</v>
      </c>
      <c r="B2646" t="str">
        <f>"1578728478318906"</f>
        <v>1578728478318906</v>
      </c>
      <c r="C2646" t="s">
        <v>37</v>
      </c>
      <c r="D2646">
        <v>5.2257110000000004</v>
      </c>
      <c r="E2646">
        <v>0.63413969999999997</v>
      </c>
      <c r="F2646" t="s">
        <v>43</v>
      </c>
      <c r="G2646">
        <v>-191.9494</v>
      </c>
      <c r="H2646" s="1">
        <v>7.1277139999999902E-6</v>
      </c>
      <c r="I2646">
        <v>200.42689999999999</v>
      </c>
      <c r="J2646">
        <v>-201.00479999999999</v>
      </c>
      <c r="K2646">
        <v>1.09341</v>
      </c>
      <c r="L2646">
        <v>212.89160000000001</v>
      </c>
      <c r="M2646">
        <v>0.911746099999999</v>
      </c>
      <c r="N2646">
        <v>0</v>
      </c>
      <c r="O2646">
        <v>-0.41004620000000003</v>
      </c>
      <c r="P2646">
        <v>0.81935809999999998</v>
      </c>
      <c r="Q2646">
        <v>6.3211859999999995E-2</v>
      </c>
      <c r="R2646">
        <v>-0.56978669999999998</v>
      </c>
      <c r="S2646">
        <v>1.9181060000000001</v>
      </c>
      <c r="T2646">
        <v>-0.22239819999999999</v>
      </c>
      <c r="U2646">
        <v>-2.5689700000000002</v>
      </c>
      <c r="V2646">
        <v>0.18712779999999901</v>
      </c>
      <c r="W2646">
        <v>7.8908160000000005E-2</v>
      </c>
      <c r="X2646">
        <v>0.97916119999999995</v>
      </c>
      <c r="Y2646">
        <v>0.48518489999999997</v>
      </c>
      <c r="Z2646">
        <v>1.2060660000000001E-2</v>
      </c>
      <c r="AA2646">
        <v>0.87432840000000001</v>
      </c>
      <c r="AB2646">
        <v>41</v>
      </c>
      <c r="AC2646">
        <v>9.0553999999999899</v>
      </c>
      <c r="AD2646">
        <v>-1.0934028722860001</v>
      </c>
      <c r="AE2646">
        <v>-12.464700000000001</v>
      </c>
      <c r="AF2646">
        <v>7.6153780908744002</v>
      </c>
      <c r="AG2646">
        <v>-1.0934028722860001</v>
      </c>
      <c r="AH2646">
        <v>13.304206692743</v>
      </c>
      <c r="AI2646">
        <v>94.079790250457407</v>
      </c>
      <c r="AJ2646">
        <v>60.2130153480432</v>
      </c>
      <c r="AK2646">
        <v>15.3685207170802</v>
      </c>
    </row>
    <row r="2647" spans="1:37" x14ac:dyDescent="0.2">
      <c r="A2647" t="str">
        <f>"20200111154118346"</f>
        <v>20200111154118346</v>
      </c>
      <c r="B2647" t="str">
        <f>"1578728478338425"</f>
        <v>1578728478338425</v>
      </c>
      <c r="C2647" t="s">
        <v>37</v>
      </c>
      <c r="D2647">
        <v>5.2532329999999998</v>
      </c>
      <c r="E2647">
        <v>0.6337315</v>
      </c>
      <c r="F2647" t="s">
        <v>39</v>
      </c>
      <c r="G2647">
        <v>-191.38499999999999</v>
      </c>
      <c r="H2647" s="1">
        <v>-4.4955599999999902E-6</v>
      </c>
      <c r="I2647">
        <v>199.4753</v>
      </c>
      <c r="J2647">
        <v>-200.6121</v>
      </c>
      <c r="K2647">
        <v>1.0932489999999999</v>
      </c>
      <c r="L2647">
        <v>212.70820000000001</v>
      </c>
      <c r="M2647">
        <v>0.90403650000000002</v>
      </c>
      <c r="N2647">
        <v>0</v>
      </c>
      <c r="O2647">
        <v>-0.42677340000000002</v>
      </c>
      <c r="P2647">
        <v>0.80750739999999999</v>
      </c>
      <c r="Q2647">
        <v>6.1220480000000001E-2</v>
      </c>
      <c r="R2647">
        <v>-0.58667219999999998</v>
      </c>
      <c r="S2647">
        <v>1.8670199999999999</v>
      </c>
      <c r="T2647">
        <v>-0.212211499999999</v>
      </c>
      <c r="U2647">
        <v>-2.6038669999999899</v>
      </c>
      <c r="V2647">
        <v>0.18929109999999999</v>
      </c>
      <c r="W2647">
        <v>7.6781749999999996E-2</v>
      </c>
      <c r="X2647">
        <v>0.97891439999999996</v>
      </c>
      <c r="Y2647">
        <v>0.48598940000000002</v>
      </c>
      <c r="Z2647">
        <v>1.2726060000000001E-2</v>
      </c>
      <c r="AA2647">
        <v>0.87387199999999998</v>
      </c>
      <c r="AB2647">
        <v>41</v>
      </c>
      <c r="AC2647">
        <v>9.2271000000000001</v>
      </c>
      <c r="AD2647">
        <v>-1.09325349556</v>
      </c>
      <c r="AE2647">
        <v>-13.232900000000001</v>
      </c>
      <c r="AF2647">
        <v>7.9907840226133899</v>
      </c>
      <c r="AG2647">
        <v>-1.09325349556</v>
      </c>
      <c r="AH2647">
        <v>13.929190496898199</v>
      </c>
      <c r="AI2647">
        <v>93.894657676509794</v>
      </c>
      <c r="AJ2647">
        <v>60.158321611332198</v>
      </c>
      <c r="AK2647">
        <v>16.095657190698599</v>
      </c>
    </row>
    <row r="2648" spans="1:37" x14ac:dyDescent="0.2">
      <c r="A2648" t="str">
        <f>"20200111154118368"</f>
        <v>20200111154118368</v>
      </c>
      <c r="B2648" t="str">
        <f>"1578728478358924"</f>
        <v>1578728478358924</v>
      </c>
      <c r="C2648" t="s">
        <v>37</v>
      </c>
      <c r="D2648">
        <v>5.303833</v>
      </c>
      <c r="E2648">
        <v>0.63332809999999995</v>
      </c>
      <c r="F2648" t="s">
        <v>39</v>
      </c>
      <c r="G2648">
        <v>-191.1046</v>
      </c>
      <c r="H2648" s="1">
        <v>-4.2387559999999996E-6</v>
      </c>
      <c r="I2648">
        <v>198.86680000000001</v>
      </c>
      <c r="J2648">
        <v>-200.25299999999999</v>
      </c>
      <c r="K2648">
        <v>1.093118</v>
      </c>
      <c r="L2648">
        <v>212.53290000000001</v>
      </c>
      <c r="M2648">
        <v>0.89657520000000002</v>
      </c>
      <c r="N2648">
        <v>0</v>
      </c>
      <c r="O2648">
        <v>-0.44223249999999997</v>
      </c>
      <c r="P2648">
        <v>0.79558769999999901</v>
      </c>
      <c r="Q2648">
        <v>6.0280830000000001E-2</v>
      </c>
      <c r="R2648">
        <v>-0.60283229999999999</v>
      </c>
      <c r="S2648">
        <v>1.8131709999999901</v>
      </c>
      <c r="T2648">
        <v>-0.20849329999999999</v>
      </c>
      <c r="U2648">
        <v>-2.6396790000000001</v>
      </c>
      <c r="V2648">
        <v>0.19216900000000001</v>
      </c>
      <c r="W2648">
        <v>7.5672519999999993E-2</v>
      </c>
      <c r="X2648">
        <v>0.97843999999999998</v>
      </c>
      <c r="Y2648">
        <v>0.48864419999999997</v>
      </c>
      <c r="Z2648">
        <v>1.354645E-2</v>
      </c>
      <c r="AA2648">
        <v>0.87237799999999999</v>
      </c>
      <c r="AB2648">
        <v>40</v>
      </c>
      <c r="AC2648">
        <v>9.1483999999999792</v>
      </c>
      <c r="AD2648">
        <v>-1.093122238756</v>
      </c>
      <c r="AE2648">
        <v>-13.6661</v>
      </c>
      <c r="AF2648">
        <v>8.1732505130087496</v>
      </c>
      <c r="AG2648">
        <v>-1.093122238756</v>
      </c>
      <c r="AH2648">
        <v>14.187297155433701</v>
      </c>
      <c r="AI2648">
        <v>93.819565704849097</v>
      </c>
      <c r="AJ2648">
        <v>60.053911235388199</v>
      </c>
      <c r="AK2648">
        <v>16.409641700958598</v>
      </c>
    </row>
    <row r="2649" spans="1:37" x14ac:dyDescent="0.2">
      <c r="A2649" t="str">
        <f>"20200111154118390"</f>
        <v>20200111154118390</v>
      </c>
      <c r="B2649" t="str">
        <f>"1578728478378442"</f>
        <v>1578728478378442</v>
      </c>
      <c r="C2649" t="s">
        <v>37</v>
      </c>
      <c r="D2649">
        <v>4.879594</v>
      </c>
      <c r="E2649">
        <v>0.6341464</v>
      </c>
      <c r="F2649" t="s">
        <v>39</v>
      </c>
      <c r="G2649">
        <v>-190.77379999999999</v>
      </c>
      <c r="H2649" s="1">
        <v>-3.8756330000000001E-6</v>
      </c>
      <c r="I2649">
        <v>198.14330000000001</v>
      </c>
      <c r="J2649">
        <v>-199.90260000000001</v>
      </c>
      <c r="K2649">
        <v>1.0930070000000001</v>
      </c>
      <c r="L2649">
        <v>212.3545</v>
      </c>
      <c r="M2649">
        <v>0.88890270000000005</v>
      </c>
      <c r="N2649">
        <v>0</v>
      </c>
      <c r="O2649">
        <v>-0.45745829999999998</v>
      </c>
      <c r="P2649">
        <v>0.78318310000000002</v>
      </c>
      <c r="Q2649">
        <v>6.0830420000000003E-2</v>
      </c>
      <c r="R2649">
        <v>-0.61880880000000005</v>
      </c>
      <c r="S2649">
        <v>1.760818</v>
      </c>
      <c r="T2649">
        <v>-0.20305429999999999</v>
      </c>
      <c r="U2649">
        <v>-2.6729430000000001</v>
      </c>
      <c r="V2649">
        <v>0.19534670000000001</v>
      </c>
      <c r="W2649">
        <v>7.6034840000000006E-2</v>
      </c>
      <c r="X2649">
        <v>0.97778240000000005</v>
      </c>
      <c r="Y2649">
        <v>0.49068539999999999</v>
      </c>
      <c r="Z2649">
        <v>1.422181E-2</v>
      </c>
      <c r="AA2649">
        <v>0.87122080000000002</v>
      </c>
      <c r="AB2649">
        <v>40</v>
      </c>
      <c r="AC2649">
        <v>9.1288000000000107</v>
      </c>
      <c r="AD2649">
        <v>-1.0930108756329999</v>
      </c>
      <c r="AE2649">
        <v>-14.2111999999999</v>
      </c>
      <c r="AF2649">
        <v>8.4235248689263305</v>
      </c>
      <c r="AG2649">
        <v>-1.0930108756329999</v>
      </c>
      <c r="AH2649">
        <v>14.5589492383743</v>
      </c>
      <c r="AI2649">
        <v>93.717971474089296</v>
      </c>
      <c r="AJ2649">
        <v>59.947160707440602</v>
      </c>
      <c r="AK2649">
        <v>16.8556651282953</v>
      </c>
    </row>
    <row r="2650" spans="1:37" x14ac:dyDescent="0.2">
      <c r="A2650" t="str">
        <f>"20200111154118412"</f>
        <v>20200111154118412</v>
      </c>
      <c r="B2650" t="str">
        <f>"1578728478408697"</f>
        <v>1578728478408697</v>
      </c>
      <c r="C2650" t="s">
        <v>37</v>
      </c>
      <c r="D2650">
        <v>4.9358589999999998</v>
      </c>
      <c r="E2650">
        <v>0.63878579999999996</v>
      </c>
      <c r="F2650" t="s">
        <v>39</v>
      </c>
      <c r="G2650">
        <v>-190.81039999999999</v>
      </c>
      <c r="H2650" s="1">
        <v>-3.7661459999999998E-6</v>
      </c>
      <c r="I2650">
        <v>197.8655</v>
      </c>
      <c r="J2650">
        <v>-199.5421</v>
      </c>
      <c r="K2650">
        <v>1.0929040000000001</v>
      </c>
      <c r="L2650">
        <v>212.16319999999999</v>
      </c>
      <c r="M2650">
        <v>0.88058829999999999</v>
      </c>
      <c r="N2650">
        <v>0</v>
      </c>
      <c r="O2650">
        <v>-0.4732652</v>
      </c>
      <c r="P2650">
        <v>0.76985490000000001</v>
      </c>
      <c r="Q2650">
        <v>6.1369840000000002E-2</v>
      </c>
      <c r="R2650">
        <v>-0.63526159999999998</v>
      </c>
      <c r="S2650">
        <v>1.702637</v>
      </c>
      <c r="T2650">
        <v>-0.20467929999999901</v>
      </c>
      <c r="U2650">
        <v>-2.7132419999999899</v>
      </c>
      <c r="V2650">
        <v>0.19865629999999901</v>
      </c>
      <c r="W2650">
        <v>7.6374780000000003E-2</v>
      </c>
      <c r="X2650">
        <v>0.97708879999999998</v>
      </c>
      <c r="Y2650">
        <v>0.49437609999999899</v>
      </c>
      <c r="Z2650">
        <v>1.5345050000000001E-2</v>
      </c>
      <c r="AA2650">
        <v>0.86911269999999996</v>
      </c>
      <c r="AB2650">
        <v>40</v>
      </c>
      <c r="AC2650">
        <v>8.7317000000000107</v>
      </c>
      <c r="AD2650">
        <v>-1.092907766146</v>
      </c>
      <c r="AE2650">
        <v>-14.297699999999899</v>
      </c>
      <c r="AF2650">
        <v>8.4245966906514997</v>
      </c>
      <c r="AG2650">
        <v>-1.092907766146</v>
      </c>
      <c r="AH2650">
        <v>14.3985849908308</v>
      </c>
      <c r="AI2650">
        <v>93.748303568465303</v>
      </c>
      <c r="AJ2650">
        <v>59.668142965429702</v>
      </c>
      <c r="AK2650">
        <v>16.7178804435137</v>
      </c>
    </row>
    <row r="2651" spans="1:37" x14ac:dyDescent="0.2">
      <c r="A2651" t="str">
        <f>"20200111154118435"</f>
        <v>20200111154118435</v>
      </c>
      <c r="B2651" t="str">
        <f>"1578728478429196"</f>
        <v>1578728478429196</v>
      </c>
      <c r="C2651" t="s">
        <v>37</v>
      </c>
      <c r="D2651">
        <v>5.2992400000000002</v>
      </c>
      <c r="E2651">
        <v>0.64042219999999905</v>
      </c>
      <c r="F2651" t="s">
        <v>39</v>
      </c>
      <c r="G2651">
        <v>-190.41480000000001</v>
      </c>
      <c r="H2651" s="1">
        <v>-3.08788E-6</v>
      </c>
      <c r="I2651">
        <v>196.52969999999999</v>
      </c>
      <c r="J2651">
        <v>-199.18819999999999</v>
      </c>
      <c r="K2651">
        <v>1.0928089999999999</v>
      </c>
      <c r="L2651">
        <v>211.9674</v>
      </c>
      <c r="M2651">
        <v>0.8719962</v>
      </c>
      <c r="N2651">
        <v>0</v>
      </c>
      <c r="O2651">
        <v>-0.48891560000000001</v>
      </c>
      <c r="P2651">
        <v>0.75660150000000004</v>
      </c>
      <c r="Q2651">
        <v>6.089319E-2</v>
      </c>
      <c r="R2651">
        <v>-0.65103500000000003</v>
      </c>
      <c r="S2651">
        <v>1.6211089999999999</v>
      </c>
      <c r="T2651">
        <v>-0.1941127</v>
      </c>
      <c r="U2651">
        <v>-2.776688</v>
      </c>
      <c r="V2651">
        <v>0.2013759</v>
      </c>
      <c r="W2651">
        <v>7.572624E-2</v>
      </c>
      <c r="X2651">
        <v>0.97658250000000002</v>
      </c>
      <c r="Y2651">
        <v>0.50660309999999997</v>
      </c>
      <c r="Z2651">
        <v>1.5182960000000001E-2</v>
      </c>
      <c r="AA2651">
        <v>0.86204559999999997</v>
      </c>
      <c r="AB2651">
        <v>40</v>
      </c>
      <c r="AC2651">
        <v>8.7733999999999792</v>
      </c>
      <c r="AD2651">
        <v>-1.0928120878799901</v>
      </c>
      <c r="AE2651">
        <v>-15.4377</v>
      </c>
      <c r="AF2651">
        <v>9.1402235297054393</v>
      </c>
      <c r="AG2651">
        <v>-1.0928120878799901</v>
      </c>
      <c r="AH2651">
        <v>15.145179699799399</v>
      </c>
      <c r="AI2651">
        <v>93.535084353406305</v>
      </c>
      <c r="AJ2651">
        <v>58.8887204188973</v>
      </c>
      <c r="AK2651">
        <v>17.723272625889699</v>
      </c>
    </row>
    <row r="2652" spans="1:37" x14ac:dyDescent="0.2">
      <c r="A2652" t="str">
        <f>"20200111154118457"</f>
        <v>20200111154118457</v>
      </c>
      <c r="B2652" t="str">
        <f>"1578728478448713"</f>
        <v>1578728478448713</v>
      </c>
      <c r="C2652" t="s">
        <v>37</v>
      </c>
      <c r="D2652">
        <v>4.9153919999999998</v>
      </c>
      <c r="E2652">
        <v>0.64176339999999998</v>
      </c>
      <c r="F2652" t="s">
        <v>39</v>
      </c>
      <c r="G2652">
        <v>-190.2979</v>
      </c>
      <c r="H2652" s="1">
        <v>-2.7637989999999999E-6</v>
      </c>
      <c r="I2652">
        <v>195.8468</v>
      </c>
      <c r="J2652">
        <v>-198.83629999999999</v>
      </c>
      <c r="K2652">
        <v>1.0927229999999899</v>
      </c>
      <c r="L2652">
        <v>211.7647</v>
      </c>
      <c r="M2652">
        <v>0.86301930000000004</v>
      </c>
      <c r="N2652">
        <v>0</v>
      </c>
      <c r="O2652">
        <v>-0.50459240000000005</v>
      </c>
      <c r="P2652">
        <v>0.74373809999999996</v>
      </c>
      <c r="Q2652">
        <v>5.9879370000000001E-2</v>
      </c>
      <c r="R2652">
        <v>-0.66578389999999998</v>
      </c>
      <c r="S2652">
        <v>1.5547029999999999</v>
      </c>
      <c r="T2652">
        <v>-0.19110739999999901</v>
      </c>
      <c r="U2652">
        <v>-2.8191220000000001</v>
      </c>
      <c r="V2652">
        <v>0.2028575</v>
      </c>
      <c r="W2652">
        <v>7.4605060000000001E-2</v>
      </c>
      <c r="X2652">
        <v>0.97636209999999901</v>
      </c>
      <c r="Y2652">
        <v>0.51211430000000002</v>
      </c>
      <c r="Z2652">
        <v>1.5827520000000001E-2</v>
      </c>
      <c r="AA2652">
        <v>0.85877139999999996</v>
      </c>
      <c r="AB2652">
        <v>39</v>
      </c>
      <c r="AC2652">
        <v>8.5383999999999904</v>
      </c>
      <c r="AD2652">
        <v>-1.092725763799</v>
      </c>
      <c r="AE2652">
        <v>-15.917899999999999</v>
      </c>
      <c r="AF2652">
        <v>9.3974083688733892</v>
      </c>
      <c r="AG2652">
        <v>-1.092725763799</v>
      </c>
      <c r="AH2652">
        <v>15.3491848996303</v>
      </c>
      <c r="AI2652">
        <v>93.474478755981295</v>
      </c>
      <c r="AJ2652">
        <v>58.523301220947602</v>
      </c>
      <c r="AK2652">
        <v>18.030607608432899</v>
      </c>
    </row>
    <row r="2653" spans="1:37" x14ac:dyDescent="0.2">
      <c r="A2653" t="str">
        <f>"20200111154118478"</f>
        <v>20200111154118478</v>
      </c>
      <c r="B2653" t="str">
        <f>"1578728478469209"</f>
        <v>1578728478469209</v>
      </c>
      <c r="C2653" t="s">
        <v>37</v>
      </c>
      <c r="D2653">
        <v>5.3158430000000001</v>
      </c>
      <c r="E2653">
        <v>0.64264889999999997</v>
      </c>
      <c r="F2653" t="s">
        <v>39</v>
      </c>
      <c r="G2653">
        <v>-190.2148</v>
      </c>
      <c r="H2653" s="1">
        <v>-2.4896700000000001E-6</v>
      </c>
      <c r="I2653">
        <v>195.2594</v>
      </c>
      <c r="J2653">
        <v>-198.51050000000001</v>
      </c>
      <c r="K2653">
        <v>1.092649</v>
      </c>
      <c r="L2653">
        <v>211.5693</v>
      </c>
      <c r="M2653">
        <v>0.85430200000000001</v>
      </c>
      <c r="N2653">
        <v>0</v>
      </c>
      <c r="O2653">
        <v>-0.51921450000000002</v>
      </c>
      <c r="P2653">
        <v>0.73198350000000001</v>
      </c>
      <c r="Q2653">
        <v>5.8634400000000003E-2</v>
      </c>
      <c r="R2653">
        <v>-0.67879489999999998</v>
      </c>
      <c r="S2653">
        <v>1.4919739999999999</v>
      </c>
      <c r="T2653">
        <v>-0.1890985</v>
      </c>
      <c r="U2653">
        <v>-2.856277</v>
      </c>
      <c r="V2653">
        <v>0.203352</v>
      </c>
      <c r="W2653">
        <v>7.3308750000000006E-2</v>
      </c>
      <c r="X2653">
        <v>0.97635740000000004</v>
      </c>
      <c r="Y2653">
        <v>0.51691469999999995</v>
      </c>
      <c r="Z2653">
        <v>1.6493589999999999E-2</v>
      </c>
      <c r="AA2653">
        <v>0.85587809999999898</v>
      </c>
      <c r="AB2653">
        <v>39</v>
      </c>
      <c r="AC2653">
        <v>8.2957000000000001</v>
      </c>
      <c r="AD2653">
        <v>-1.0926514896699999</v>
      </c>
      <c r="AE2653">
        <v>-16.309899999999999</v>
      </c>
      <c r="AF2653">
        <v>9.5949344427936598</v>
      </c>
      <c r="AG2653">
        <v>-1.0926514896699999</v>
      </c>
      <c r="AH2653">
        <v>15.5046330314703</v>
      </c>
      <c r="AI2653">
        <v>93.4293979072214</v>
      </c>
      <c r="AJ2653">
        <v>58.248994226859899</v>
      </c>
      <c r="AK2653">
        <v>18.266097001821301</v>
      </c>
    </row>
    <row r="2654" spans="1:37" x14ac:dyDescent="0.2">
      <c r="A2654" t="str">
        <f>"20200111154118502"</f>
        <v>20200111154118502</v>
      </c>
      <c r="B2654" t="str">
        <f>"1578728478498489"</f>
        <v>1578728478498489</v>
      </c>
      <c r="C2654" t="s">
        <v>37</v>
      </c>
      <c r="D2654">
        <v>5.3103150000000001</v>
      </c>
      <c r="E2654">
        <v>0.64410979999999995</v>
      </c>
      <c r="F2654" t="s">
        <v>39</v>
      </c>
      <c r="G2654">
        <v>-190.19110000000001</v>
      </c>
      <c r="H2654" s="1">
        <v>-2.3048809999999998E-6</v>
      </c>
      <c r="I2654">
        <v>194.8433</v>
      </c>
      <c r="J2654">
        <v>-198.17160000000001</v>
      </c>
      <c r="K2654">
        <v>1.0925940000000001</v>
      </c>
      <c r="L2654">
        <v>211.358</v>
      </c>
      <c r="M2654">
        <v>0.84480699999999997</v>
      </c>
      <c r="N2654">
        <v>0</v>
      </c>
      <c r="O2654">
        <v>-0.53452460000000002</v>
      </c>
      <c r="P2654">
        <v>0.7202636</v>
      </c>
      <c r="Q2654">
        <v>5.782441E-2</v>
      </c>
      <c r="R2654">
        <v>-0.69128630000000002</v>
      </c>
      <c r="S2654">
        <v>1.4361109999999999</v>
      </c>
      <c r="T2654">
        <v>-0.188614</v>
      </c>
      <c r="U2654">
        <v>-2.887238</v>
      </c>
      <c r="V2654">
        <v>0.20249210000000001</v>
      </c>
      <c r="W2654">
        <v>7.2518840000000001E-2</v>
      </c>
      <c r="X2654">
        <v>0.97659509999999905</v>
      </c>
      <c r="Y2654">
        <v>0.51845079999999999</v>
      </c>
      <c r="Z2654">
        <v>1.7441430000000001E-2</v>
      </c>
      <c r="AA2654">
        <v>0.85492959999999996</v>
      </c>
      <c r="AB2654">
        <v>39</v>
      </c>
      <c r="AC2654">
        <v>7.9805000000000001</v>
      </c>
      <c r="AD2654">
        <v>-1.0925963048809999</v>
      </c>
      <c r="AE2654">
        <v>-16.514700000000001</v>
      </c>
      <c r="AF2654">
        <v>9.6545347914895192</v>
      </c>
      <c r="AG2654">
        <v>-1.0925963048809999</v>
      </c>
      <c r="AH2654">
        <v>15.5189809254677</v>
      </c>
      <c r="AI2654">
        <v>93.421061316376097</v>
      </c>
      <c r="AJ2654">
        <v>58.113786289144201</v>
      </c>
      <c r="AK2654">
        <v>18.309630736051201</v>
      </c>
    </row>
    <row r="2655" spans="1:37" x14ac:dyDescent="0.2">
      <c r="A2655" t="str">
        <f>"20200111154118525"</f>
        <v>20200111154118525</v>
      </c>
      <c r="B2655" t="str">
        <f>"1578728478518989"</f>
        <v>1578728478518989</v>
      </c>
      <c r="C2655" t="s">
        <v>37</v>
      </c>
      <c r="D2655">
        <v>5.3121619999999998</v>
      </c>
      <c r="E2655">
        <v>0.64431070000000001</v>
      </c>
      <c r="F2655" t="s">
        <v>39</v>
      </c>
      <c r="G2655">
        <v>-189.9211</v>
      </c>
      <c r="H2655" s="1">
        <v>-1.8299930000000001E-6</v>
      </c>
      <c r="I2655">
        <v>193.86590000000001</v>
      </c>
      <c r="J2655">
        <v>-197.83150000000001</v>
      </c>
      <c r="K2655">
        <v>1.0925499999999999</v>
      </c>
      <c r="L2655">
        <v>211.1369</v>
      </c>
      <c r="M2655">
        <v>0.83480710000000002</v>
      </c>
      <c r="N2655">
        <v>0</v>
      </c>
      <c r="O2655">
        <v>-0.55001109999999998</v>
      </c>
      <c r="P2655">
        <v>0.708484</v>
      </c>
      <c r="Q2655">
        <v>5.8311969999999998E-2</v>
      </c>
      <c r="R2655">
        <v>-0.70331379999999999</v>
      </c>
      <c r="S2655">
        <v>1.3772739999999899</v>
      </c>
      <c r="T2655">
        <v>-0.18238940000000001</v>
      </c>
      <c r="U2655">
        <v>-2.9199980000000001</v>
      </c>
      <c r="V2655">
        <v>0.20097570000000001</v>
      </c>
      <c r="W2655">
        <v>7.3066210000000006E-2</v>
      </c>
      <c r="X2655">
        <v>0.976867499999999</v>
      </c>
      <c r="Y2655">
        <v>0.52051369999999997</v>
      </c>
      <c r="Z2655">
        <v>1.7817400000000001E-2</v>
      </c>
      <c r="AA2655">
        <v>0.85366739999999997</v>
      </c>
      <c r="AB2655">
        <v>39</v>
      </c>
      <c r="AC2655">
        <v>7.9104000000000099</v>
      </c>
      <c r="AD2655">
        <v>-1.0925518299929999</v>
      </c>
      <c r="AE2655">
        <v>-17.270999999999901</v>
      </c>
      <c r="AF2655">
        <v>10.036890703528799</v>
      </c>
      <c r="AG2655">
        <v>-1.0925518299929999</v>
      </c>
      <c r="AH2655">
        <v>16.054505551404901</v>
      </c>
      <c r="AI2655">
        <v>93.302532110264096</v>
      </c>
      <c r="AJ2655">
        <v>57.987368112989998</v>
      </c>
      <c r="AK2655">
        <v>18.965231161151099</v>
      </c>
    </row>
    <row r="2656" spans="1:37" x14ac:dyDescent="0.2">
      <c r="A2656" t="str">
        <f>"20200111154118547"</f>
        <v>20200111154118547</v>
      </c>
      <c r="B2656" t="str">
        <f>"1578728478538505"</f>
        <v>1578728478538505</v>
      </c>
      <c r="C2656" t="s">
        <v>37</v>
      </c>
      <c r="D2656">
        <v>5.1317570000000003</v>
      </c>
      <c r="E2656">
        <v>0.64470229999999995</v>
      </c>
      <c r="F2656" t="s">
        <v>39</v>
      </c>
      <c r="G2656">
        <v>-189.62639999999999</v>
      </c>
      <c r="H2656" s="1">
        <v>-1.475602E-6</v>
      </c>
      <c r="I2656">
        <v>192.91800000000001</v>
      </c>
      <c r="J2656">
        <v>-197.5094</v>
      </c>
      <c r="K2656">
        <v>1.092517</v>
      </c>
      <c r="L2656">
        <v>210.9188</v>
      </c>
      <c r="M2656">
        <v>0.82488269999999997</v>
      </c>
      <c r="N2656">
        <v>0</v>
      </c>
      <c r="O2656">
        <v>-0.56478589999999995</v>
      </c>
      <c r="P2656">
        <v>0.69701409999999997</v>
      </c>
      <c r="Q2656">
        <v>5.9160909999999997E-2</v>
      </c>
      <c r="R2656">
        <v>-0.71461280000000005</v>
      </c>
      <c r="S2656">
        <v>1.3260350000000001</v>
      </c>
      <c r="T2656">
        <v>-0.17656729999999901</v>
      </c>
      <c r="U2656">
        <v>-2.944366</v>
      </c>
      <c r="V2656">
        <v>0.19937240000000001</v>
      </c>
      <c r="W2656">
        <v>7.3988300000000007E-2</v>
      </c>
      <c r="X2656">
        <v>0.97712659999999996</v>
      </c>
      <c r="Y2656">
        <v>0.52032860000000003</v>
      </c>
      <c r="Z2656">
        <v>1.821068E-2</v>
      </c>
      <c r="AA2656">
        <v>0.85377199999999998</v>
      </c>
      <c r="AB2656">
        <v>39</v>
      </c>
      <c r="AC2656">
        <v>7.8830000000000098</v>
      </c>
      <c r="AD2656">
        <v>-1.0925184756020001</v>
      </c>
      <c r="AE2656">
        <v>-18.000799999999899</v>
      </c>
      <c r="AF2656">
        <v>10.3673417577749</v>
      </c>
      <c r="AG2656">
        <v>-1.0925184756020001</v>
      </c>
      <c r="AH2656">
        <v>16.622651519577001</v>
      </c>
      <c r="AI2656">
        <v>93.191923984293595</v>
      </c>
      <c r="AJ2656">
        <v>58.048721172039102</v>
      </c>
      <c r="AK2656">
        <v>19.621108920836502</v>
      </c>
    </row>
    <row r="2657" spans="1:37" x14ac:dyDescent="0.2">
      <c r="A2657" t="str">
        <f>"20200111154118568"</f>
        <v>20200111154118568</v>
      </c>
      <c r="B2657" t="str">
        <f>"1578728478559005"</f>
        <v>1578728478559005</v>
      </c>
      <c r="C2657" t="s">
        <v>37</v>
      </c>
      <c r="D2657">
        <v>5.0071890000000003</v>
      </c>
      <c r="E2657">
        <v>0.64533229999999997</v>
      </c>
      <c r="F2657" t="s">
        <v>39</v>
      </c>
      <c r="G2657">
        <v>-189.2997</v>
      </c>
      <c r="H2657" s="1">
        <v>-1.06319E-6</v>
      </c>
      <c r="I2657">
        <v>191.82149999999999</v>
      </c>
      <c r="J2657">
        <v>-197.19810000000001</v>
      </c>
      <c r="K2657">
        <v>1.0924959999999999</v>
      </c>
      <c r="L2657">
        <v>210.69990000000001</v>
      </c>
      <c r="M2657">
        <v>0.81486359999999902</v>
      </c>
      <c r="N2657">
        <v>0</v>
      </c>
      <c r="O2657">
        <v>-0.57914699999999997</v>
      </c>
      <c r="P2657">
        <v>0.6850579</v>
      </c>
      <c r="Q2657">
        <v>5.9824759999999998E-2</v>
      </c>
      <c r="R2657">
        <v>-0.72602809999999995</v>
      </c>
      <c r="S2657">
        <v>1.275803</v>
      </c>
      <c r="T2657">
        <v>-0.16977909999999999</v>
      </c>
      <c r="U2657">
        <v>-2.967743</v>
      </c>
      <c r="V2657">
        <v>0.1984649</v>
      </c>
      <c r="W2657">
        <v>7.4699199999999993E-2</v>
      </c>
      <c r="X2657">
        <v>0.9772573</v>
      </c>
      <c r="Y2657">
        <v>0.52002799999999905</v>
      </c>
      <c r="Z2657">
        <v>1.841541E-2</v>
      </c>
      <c r="AA2657">
        <v>0.85395069999999995</v>
      </c>
      <c r="AB2657">
        <v>38</v>
      </c>
      <c r="AC2657">
        <v>7.8983999999999996</v>
      </c>
      <c r="AD2657">
        <v>-1.09249706319</v>
      </c>
      <c r="AE2657">
        <v>-18.878399999999999</v>
      </c>
      <c r="AF2657">
        <v>10.7814272496831</v>
      </c>
      <c r="AG2657">
        <v>-1.09249706319</v>
      </c>
      <c r="AH2657">
        <v>17.325201366300501</v>
      </c>
      <c r="AI2657">
        <v>93.064588680157996</v>
      </c>
      <c r="AJ2657">
        <v>58.106104360509498</v>
      </c>
      <c r="AK2657">
        <v>20.4351492716875</v>
      </c>
    </row>
    <row r="2658" spans="1:37" x14ac:dyDescent="0.2">
      <c r="A2658" t="str">
        <f>"20200111154118592"</f>
        <v>20200111154118592</v>
      </c>
      <c r="B2658" t="str">
        <f>"1578728478578521"</f>
        <v>1578728478578521</v>
      </c>
      <c r="C2658" t="s">
        <v>37</v>
      </c>
      <c r="D2658">
        <v>4.9624319999999997</v>
      </c>
      <c r="E2658">
        <v>0.64611269999999998</v>
      </c>
      <c r="F2658" t="s">
        <v>39</v>
      </c>
      <c r="G2658">
        <v>-189.1165</v>
      </c>
      <c r="H2658" s="1">
        <v>-7.1554800000000002E-7</v>
      </c>
      <c r="I2658">
        <v>190.93539999999999</v>
      </c>
      <c r="J2658">
        <v>-196.8835</v>
      </c>
      <c r="K2658">
        <v>1.092476</v>
      </c>
      <c r="L2658">
        <v>210.4701</v>
      </c>
      <c r="M2658">
        <v>0.80428109999999997</v>
      </c>
      <c r="N2658">
        <v>0</v>
      </c>
      <c r="O2658">
        <v>-0.59375480000000003</v>
      </c>
      <c r="P2658">
        <v>0.67268359999999905</v>
      </c>
      <c r="Q2658">
        <v>5.9087720000000003E-2</v>
      </c>
      <c r="R2658">
        <v>-0.73756750000000004</v>
      </c>
      <c r="S2658">
        <v>1.223236</v>
      </c>
      <c r="T2658">
        <v>-0.1653596</v>
      </c>
      <c r="U2658">
        <v>-2.9915470000000002</v>
      </c>
      <c r="V2658">
        <v>0.1973752</v>
      </c>
      <c r="W2658">
        <v>7.4024919999999994E-2</v>
      </c>
      <c r="X2658">
        <v>0.97752919999999999</v>
      </c>
      <c r="Y2658">
        <v>0.51987299999999903</v>
      </c>
      <c r="Z2658">
        <v>1.8830369999999999E-2</v>
      </c>
      <c r="AA2658">
        <v>0.85403600000000002</v>
      </c>
      <c r="AB2658">
        <v>38</v>
      </c>
      <c r="AC2658">
        <v>7.7669999999999897</v>
      </c>
      <c r="AD2658">
        <v>-1.092476715548</v>
      </c>
      <c r="AE2658">
        <v>-19.534700000000001</v>
      </c>
      <c r="AF2658">
        <v>11.073051937301701</v>
      </c>
      <c r="AG2658">
        <v>-1.092476715548</v>
      </c>
      <c r="AH2658">
        <v>17.802835116758299</v>
      </c>
      <c r="AI2658">
        <v>92.982884090496697</v>
      </c>
      <c r="AJ2658">
        <v>58.119110733596798</v>
      </c>
      <c r="AK2658">
        <v>20.993973487043299</v>
      </c>
    </row>
    <row r="2659" spans="1:37" x14ac:dyDescent="0.2">
      <c r="A2659" t="str">
        <f>"20200111154118614"</f>
        <v>20200111154118614</v>
      </c>
      <c r="B2659" t="str">
        <f>"1578728478608777"</f>
        <v>1578728478608777</v>
      </c>
      <c r="C2659" t="s">
        <v>37</v>
      </c>
      <c r="D2659">
        <v>5.0084669999999996</v>
      </c>
      <c r="E2659">
        <v>0.6469049</v>
      </c>
      <c r="F2659" t="s">
        <v>39</v>
      </c>
      <c r="G2659">
        <v>-189.07509999999999</v>
      </c>
      <c r="H2659" s="1">
        <v>-4.67795799999999E-7</v>
      </c>
      <c r="I2659">
        <v>190.29949999999999</v>
      </c>
      <c r="J2659">
        <v>-196.56630000000001</v>
      </c>
      <c r="K2659">
        <v>1.0924609999999999</v>
      </c>
      <c r="L2659">
        <v>210.22929999999999</v>
      </c>
      <c r="M2659">
        <v>0.79311669999999901</v>
      </c>
      <c r="N2659">
        <v>0</v>
      </c>
      <c r="O2659">
        <v>-0.60858710000000005</v>
      </c>
      <c r="P2659">
        <v>0.65912499999999996</v>
      </c>
      <c r="Q2659">
        <v>5.9150599999999998E-2</v>
      </c>
      <c r="R2659">
        <v>-0.74970400000000004</v>
      </c>
      <c r="S2659">
        <v>1.167435</v>
      </c>
      <c r="T2659">
        <v>-0.16333510000000001</v>
      </c>
      <c r="U2659">
        <v>-3.0156860000000001</v>
      </c>
      <c r="V2659">
        <v>0.19704739999999901</v>
      </c>
      <c r="W2659">
        <v>7.4114319999999997E-2</v>
      </c>
      <c r="X2659">
        <v>0.97758860000000003</v>
      </c>
      <c r="Y2659">
        <v>0.52007499999999995</v>
      </c>
      <c r="Z2659">
        <v>1.949126E-2</v>
      </c>
      <c r="AA2659">
        <v>0.85389820000000005</v>
      </c>
      <c r="AB2659">
        <v>38</v>
      </c>
      <c r="AC2659">
        <v>7.4912000000000099</v>
      </c>
      <c r="AD2659">
        <v>-1.0924614677958</v>
      </c>
      <c r="AE2659">
        <v>-19.9298</v>
      </c>
      <c r="AF2659">
        <v>11.221372523417999</v>
      </c>
      <c r="AG2659">
        <v>-1.0924614677958</v>
      </c>
      <c r="AH2659">
        <v>18.028262630320501</v>
      </c>
      <c r="AI2659">
        <v>92.945017657832807</v>
      </c>
      <c r="AJ2659">
        <v>58.1005329192934</v>
      </c>
      <c r="AK2659">
        <v>21.2633705426903</v>
      </c>
    </row>
    <row r="2660" spans="1:37" x14ac:dyDescent="0.2">
      <c r="A2660" t="str">
        <f>"20200111154118637"</f>
        <v>20200111154118637</v>
      </c>
      <c r="B2660" t="str">
        <f>"1578728478629273"</f>
        <v>1578728478629273</v>
      </c>
      <c r="C2660" t="s">
        <v>37</v>
      </c>
      <c r="D2660">
        <v>5.0193079999999997</v>
      </c>
      <c r="E2660">
        <v>0.64719969999999905</v>
      </c>
      <c r="F2660" t="s">
        <v>39</v>
      </c>
      <c r="G2660">
        <v>-188.90289999999999</v>
      </c>
      <c r="H2660" s="1">
        <v>-4.2918220000000003E-6</v>
      </c>
      <c r="I2660">
        <v>189.18350000000001</v>
      </c>
      <c r="J2660">
        <v>-196.2681</v>
      </c>
      <c r="K2660">
        <v>1.09244599999999</v>
      </c>
      <c r="L2660">
        <v>209.9941</v>
      </c>
      <c r="M2660">
        <v>0.78214439999999996</v>
      </c>
      <c r="N2660">
        <v>0</v>
      </c>
      <c r="O2660">
        <v>-0.62262510000000004</v>
      </c>
      <c r="P2660">
        <v>0.64557690000000001</v>
      </c>
      <c r="Q2660">
        <v>5.9960050000000001E-2</v>
      </c>
      <c r="R2660">
        <v>-0.76133809999999902</v>
      </c>
      <c r="S2660">
        <v>1.107162</v>
      </c>
      <c r="T2660">
        <v>-0.15783349999999999</v>
      </c>
      <c r="U2660">
        <v>-3.0405880000000001</v>
      </c>
      <c r="V2660">
        <v>0.1971427</v>
      </c>
      <c r="W2660">
        <v>7.492269E-2</v>
      </c>
      <c r="X2660">
        <v>0.97750769999999998</v>
      </c>
      <c r="Y2660">
        <v>0.52206459999999999</v>
      </c>
      <c r="Z2660">
        <v>1.9609689999999999E-2</v>
      </c>
      <c r="AA2660">
        <v>0.85268049999999995</v>
      </c>
      <c r="AB2660">
        <v>38</v>
      </c>
      <c r="AC2660">
        <v>7.3652000000000104</v>
      </c>
      <c r="AD2660">
        <v>-1.09245029182199</v>
      </c>
      <c r="AE2660">
        <v>-20.810599999999901</v>
      </c>
      <c r="AF2660">
        <v>11.666005644575099</v>
      </c>
      <c r="AG2660">
        <v>-1.09245029182199</v>
      </c>
      <c r="AH2660">
        <v>18.677617621473399</v>
      </c>
      <c r="AI2660">
        <v>92.840013214490895</v>
      </c>
      <c r="AJ2660">
        <v>58.011176077227901</v>
      </c>
      <c r="AK2660">
        <v>22.048640215517501</v>
      </c>
    </row>
    <row r="2661" spans="1:37" x14ac:dyDescent="0.2">
      <c r="A2661" t="str">
        <f>"20200111154118659"</f>
        <v>20200111154118659</v>
      </c>
      <c r="B2661" t="str">
        <f>"1578728478648793"</f>
        <v>1578728478648793</v>
      </c>
      <c r="C2661" t="s">
        <v>37</v>
      </c>
      <c r="D2661">
        <v>5.0957509999999999</v>
      </c>
      <c r="E2661">
        <v>0.6475012</v>
      </c>
      <c r="F2661" t="s">
        <v>39</v>
      </c>
      <c r="G2661">
        <v>-188.69820000000001</v>
      </c>
      <c r="H2661" s="1">
        <v>-3.7946469999999999E-6</v>
      </c>
      <c r="I2661">
        <v>187.93989999999999</v>
      </c>
      <c r="J2661">
        <v>-195.9787</v>
      </c>
      <c r="K2661">
        <v>1.0924399999999901</v>
      </c>
      <c r="L2661">
        <v>209.75720000000001</v>
      </c>
      <c r="M2661">
        <v>0.7710245</v>
      </c>
      <c r="N2661">
        <v>0</v>
      </c>
      <c r="O2661">
        <v>-0.6363432</v>
      </c>
      <c r="P2661">
        <v>0.6314324</v>
      </c>
      <c r="Q2661">
        <v>6.0759279999999999E-2</v>
      </c>
      <c r="R2661">
        <v>-0.77304709999999999</v>
      </c>
      <c r="S2661">
        <v>1.050781</v>
      </c>
      <c r="T2661">
        <v>-0.15164420000000001</v>
      </c>
      <c r="U2661">
        <v>-3.0613709999999998</v>
      </c>
      <c r="V2661">
        <v>0.1978867</v>
      </c>
      <c r="W2661">
        <v>7.5685359999999993E-2</v>
      </c>
      <c r="X2661">
        <v>0.97729859999999902</v>
      </c>
      <c r="Y2661">
        <v>0.52283659999999998</v>
      </c>
      <c r="Z2661">
        <v>1.9608549999999999E-2</v>
      </c>
      <c r="AA2661">
        <v>0.8522073</v>
      </c>
      <c r="AB2661">
        <v>38</v>
      </c>
      <c r="AC2661">
        <v>7.2804999999999804</v>
      </c>
      <c r="AD2661">
        <v>-1.09244379464699</v>
      </c>
      <c r="AE2661">
        <v>-21.817299999999999</v>
      </c>
      <c r="AF2661">
        <v>12.1649203419015</v>
      </c>
      <c r="AG2661">
        <v>-1.09244379464699</v>
      </c>
      <c r="AH2661">
        <v>19.458575454427599</v>
      </c>
      <c r="AI2661">
        <v>92.725490789096099</v>
      </c>
      <c r="AJ2661">
        <v>57.987607309828498</v>
      </c>
      <c r="AK2661">
        <v>22.9742220561421</v>
      </c>
    </row>
    <row r="2662" spans="1:37" x14ac:dyDescent="0.2">
      <c r="A2662" t="str">
        <f>"20200111154118681"</f>
        <v>20200111154118681</v>
      </c>
      <c r="B2662" t="str">
        <f>"1578728478669291"</f>
        <v>1578728478669291</v>
      </c>
      <c r="C2662" t="s">
        <v>37</v>
      </c>
      <c r="D2662">
        <v>5.1156739999999896</v>
      </c>
      <c r="E2662">
        <v>0.64779169999999997</v>
      </c>
      <c r="F2662" t="s">
        <v>39</v>
      </c>
      <c r="G2662">
        <v>-188.5204</v>
      </c>
      <c r="H2662" s="1">
        <v>-3.2468270000000001E-6</v>
      </c>
      <c r="I2662">
        <v>186.58940000000001</v>
      </c>
      <c r="J2662">
        <v>-195.70160000000001</v>
      </c>
      <c r="K2662">
        <v>1.0924430000000001</v>
      </c>
      <c r="L2662">
        <v>209.52199999999999</v>
      </c>
      <c r="M2662">
        <v>0.7599186</v>
      </c>
      <c r="N2662">
        <v>0</v>
      </c>
      <c r="O2662">
        <v>-0.64956519999999995</v>
      </c>
      <c r="P2662">
        <v>0.61748369999999997</v>
      </c>
      <c r="Q2662">
        <v>6.2016719999999997E-2</v>
      </c>
      <c r="R2662">
        <v>-0.78413500000000003</v>
      </c>
      <c r="S2662">
        <v>0.99209590000000003</v>
      </c>
      <c r="T2662">
        <v>-0.14531620000000001</v>
      </c>
      <c r="U2662">
        <v>-3.081772</v>
      </c>
      <c r="V2662">
        <v>0.1984967</v>
      </c>
      <c r="W2662">
        <v>7.6911069999999998E-2</v>
      </c>
      <c r="X2662">
        <v>0.97707919999999904</v>
      </c>
      <c r="Y2662">
        <v>0.52447290000000002</v>
      </c>
      <c r="Z2662">
        <v>1.9484890000000001E-2</v>
      </c>
      <c r="AA2662">
        <v>0.85120419999999997</v>
      </c>
      <c r="AB2662">
        <v>37</v>
      </c>
      <c r="AC2662">
        <v>7.1812000000000102</v>
      </c>
      <c r="AD2662">
        <v>-1.092446246827</v>
      </c>
      <c r="AE2662">
        <v>-22.932600000000001</v>
      </c>
      <c r="AF2662">
        <v>12.739681840908499</v>
      </c>
      <c r="AG2662">
        <v>-1.092446246827</v>
      </c>
      <c r="AH2662">
        <v>20.317351799108</v>
      </c>
      <c r="AI2662">
        <v>92.608272961598601</v>
      </c>
      <c r="AJ2662">
        <v>57.910866399584201</v>
      </c>
      <c r="AK2662">
        <v>24.0059933420489</v>
      </c>
    </row>
    <row r="2663" spans="1:37" x14ac:dyDescent="0.2">
      <c r="A2663" t="str">
        <f>"20200111154118703"</f>
        <v>20200111154118703</v>
      </c>
      <c r="B2663" t="str">
        <f>"1578728478698569"</f>
        <v>1578728478698569</v>
      </c>
      <c r="C2663" t="s">
        <v>37</v>
      </c>
      <c r="D2663">
        <v>5.2690950000000001</v>
      </c>
      <c r="E2663">
        <v>0.64682299999999904</v>
      </c>
      <c r="F2663" t="s">
        <v>39</v>
      </c>
      <c r="G2663">
        <v>-188.37209999999999</v>
      </c>
      <c r="H2663" s="1">
        <v>-2.6879039999999998E-6</v>
      </c>
      <c r="I2663">
        <v>185.2252</v>
      </c>
      <c r="J2663">
        <v>-195.41560000000001</v>
      </c>
      <c r="K2663">
        <v>1.0924529999999999</v>
      </c>
      <c r="L2663">
        <v>209.27010000000001</v>
      </c>
      <c r="M2663">
        <v>0.74795909999999999</v>
      </c>
      <c r="N2663">
        <v>0</v>
      </c>
      <c r="O2663">
        <v>-0.66330109999999998</v>
      </c>
      <c r="P2663">
        <v>0.60263690000000003</v>
      </c>
      <c r="Q2663">
        <v>6.3755129999999993E-2</v>
      </c>
      <c r="R2663">
        <v>-0.79546510000000004</v>
      </c>
      <c r="S2663">
        <v>0.93528750000000005</v>
      </c>
      <c r="T2663">
        <v>-0.13940229999999901</v>
      </c>
      <c r="U2663">
        <v>-3.100403</v>
      </c>
      <c r="V2663">
        <v>0.19903760000000001</v>
      </c>
      <c r="W2663">
        <v>7.8623419999999999E-2</v>
      </c>
      <c r="X2663">
        <v>0.9768329</v>
      </c>
      <c r="Y2663">
        <v>0.52468210000000004</v>
      </c>
      <c r="Z2663">
        <v>1.9420300000000001E-2</v>
      </c>
      <c r="AA2663">
        <v>0.85107670000000002</v>
      </c>
      <c r="AB2663">
        <v>37</v>
      </c>
      <c r="AC2663">
        <v>7.0435000000000203</v>
      </c>
      <c r="AD2663">
        <v>-1.0924556879039999</v>
      </c>
      <c r="AE2663">
        <v>-24.044899999999998</v>
      </c>
      <c r="AF2663">
        <v>13.291293396384299</v>
      </c>
      <c r="AG2663">
        <v>-1.0924556879039999</v>
      </c>
      <c r="AH2663">
        <v>21.183236267140899</v>
      </c>
      <c r="AI2663">
        <v>92.5013569105557</v>
      </c>
      <c r="AJ2663">
        <v>57.894033149494</v>
      </c>
      <c r="AK2663">
        <v>25.0316087842615</v>
      </c>
    </row>
    <row r="2664" spans="1:37" x14ac:dyDescent="0.2">
      <c r="A2664" t="str">
        <f>"20200111154118737"</f>
        <v>20200111154118737</v>
      </c>
      <c r="B2664" t="str">
        <f>"1578728478728828"</f>
        <v>1578728478728828</v>
      </c>
      <c r="C2664" t="s">
        <v>37</v>
      </c>
      <c r="D2664">
        <v>5.6062979999999998</v>
      </c>
      <c r="E2664">
        <v>0.64526989999999995</v>
      </c>
      <c r="F2664" t="s">
        <v>39</v>
      </c>
      <c r="G2664">
        <v>-188.80840000000001</v>
      </c>
      <c r="H2664" s="1">
        <v>-2.9435159999999999E-6</v>
      </c>
      <c r="I2664">
        <v>186.00149999999999</v>
      </c>
      <c r="J2664">
        <v>-194.99510000000001</v>
      </c>
      <c r="K2664">
        <v>1.0924830000000001</v>
      </c>
      <c r="L2664">
        <v>208.8801</v>
      </c>
      <c r="M2664">
        <v>0.7293328</v>
      </c>
      <c r="N2664">
        <v>0</v>
      </c>
      <c r="O2664">
        <v>-0.68372829999999996</v>
      </c>
      <c r="P2664">
        <v>0.58044469999999904</v>
      </c>
      <c r="Q2664">
        <v>6.5469369999999999E-2</v>
      </c>
      <c r="R2664">
        <v>-0.81166369999999999</v>
      </c>
      <c r="S2664">
        <v>0.88404850000000001</v>
      </c>
      <c r="T2664">
        <v>-0.14617089999999999</v>
      </c>
      <c r="U2664">
        <v>-3.1133419999999998</v>
      </c>
      <c r="V2664">
        <v>0.1989746</v>
      </c>
      <c r="W2664">
        <v>8.0348870000000003E-2</v>
      </c>
      <c r="X2664">
        <v>0.9767053</v>
      </c>
      <c r="Y2664">
        <v>0.51500619999999997</v>
      </c>
      <c r="Z2664">
        <v>2.1735499999999901E-2</v>
      </c>
      <c r="AA2664">
        <v>0.85691079999999997</v>
      </c>
      <c r="AB2664">
        <v>37</v>
      </c>
      <c r="AC2664">
        <v>6.1867000000000001</v>
      </c>
      <c r="AD2664">
        <v>-1.0924859435159999</v>
      </c>
      <c r="AE2664">
        <v>-22.878599999999999</v>
      </c>
      <c r="AF2664">
        <v>12.4333445324748</v>
      </c>
      <c r="AG2664">
        <v>-1.0924859435159999</v>
      </c>
      <c r="AH2664">
        <v>20.118103143959701</v>
      </c>
      <c r="AI2664">
        <v>92.6448272609355</v>
      </c>
      <c r="AJ2664">
        <v>58.283199478069498</v>
      </c>
      <c r="AK2664">
        <v>23.675296321503598</v>
      </c>
    </row>
    <row r="2665" spans="1:37" x14ac:dyDescent="0.2">
      <c r="A2665" t="str">
        <f>"20200111154118759"</f>
        <v>20200111154118759</v>
      </c>
      <c r="B2665" t="str">
        <f>"1578728478749321"</f>
        <v>1578728478749321</v>
      </c>
      <c r="C2665" t="s">
        <v>37</v>
      </c>
      <c r="D2665">
        <v>5.4319649999999999</v>
      </c>
      <c r="E2665">
        <v>0.64472620000000003</v>
      </c>
      <c r="F2665" t="s">
        <v>39</v>
      </c>
      <c r="G2665">
        <v>-189.49969999999999</v>
      </c>
      <c r="H2665" s="1">
        <v>-3.516763E-6</v>
      </c>
      <c r="I2665">
        <v>187.62360000000001</v>
      </c>
      <c r="J2665">
        <v>-194.739</v>
      </c>
      <c r="K2665">
        <v>1.092506</v>
      </c>
      <c r="L2665">
        <v>208.6317</v>
      </c>
      <c r="M2665">
        <v>0.71736840000000002</v>
      </c>
      <c r="N2665">
        <v>0</v>
      </c>
      <c r="O2665">
        <v>-0.69627069999999902</v>
      </c>
      <c r="P2665">
        <v>0.56586749999999997</v>
      </c>
      <c r="Q2665">
        <v>6.5531359999999997E-2</v>
      </c>
      <c r="R2665">
        <v>-0.8218877</v>
      </c>
      <c r="S2665">
        <v>0.80928040000000001</v>
      </c>
      <c r="T2665">
        <v>-0.16088369999999999</v>
      </c>
      <c r="U2665">
        <v>-3.130325</v>
      </c>
      <c r="V2665">
        <v>0.19946829999999999</v>
      </c>
      <c r="W2665">
        <v>8.0396399999999896E-2</v>
      </c>
      <c r="X2665">
        <v>0.97660059999999904</v>
      </c>
      <c r="Y2665">
        <v>0.5204337</v>
      </c>
      <c r="Z2665">
        <v>2.4609289999999999E-2</v>
      </c>
      <c r="AA2665">
        <v>0.85354739999999996</v>
      </c>
      <c r="AB2665">
        <v>37</v>
      </c>
      <c r="AC2665">
        <v>5.2393000000000098</v>
      </c>
      <c r="AD2665">
        <v>-1.0925095167629999</v>
      </c>
      <c r="AE2665">
        <v>-21.008099999999899</v>
      </c>
      <c r="AF2665">
        <v>11.3969279285909</v>
      </c>
      <c r="AG2665">
        <v>-1.0925095167629999</v>
      </c>
      <c r="AH2665">
        <v>18.344549483972301</v>
      </c>
      <c r="AI2665">
        <v>92.895961185549794</v>
      </c>
      <c r="AJ2665">
        <v>58.148534137057602</v>
      </c>
      <c r="AK2665">
        <v>21.6242003094594</v>
      </c>
    </row>
    <row r="2666" spans="1:37" x14ac:dyDescent="0.2">
      <c r="A2666" t="str">
        <f>"20200111154118781"</f>
        <v>20200111154118781</v>
      </c>
      <c r="B2666" t="str">
        <f>"1578728478768841"</f>
        <v>1578728478768841</v>
      </c>
      <c r="C2666" t="s">
        <v>37</v>
      </c>
      <c r="D2666">
        <v>5.4034909999999998</v>
      </c>
      <c r="E2666">
        <v>0.61780139999999995</v>
      </c>
      <c r="F2666" t="s">
        <v>39</v>
      </c>
      <c r="G2666">
        <v>-189.8485</v>
      </c>
      <c r="H2666" s="1">
        <v>-3.7717069999999998E-6</v>
      </c>
      <c r="I2666">
        <v>188.3621</v>
      </c>
      <c r="J2666">
        <v>-194.4802</v>
      </c>
      <c r="K2666">
        <v>1.0925240000000001</v>
      </c>
      <c r="L2666">
        <v>208.37139999999999</v>
      </c>
      <c r="M2666">
        <v>0.70474700000000001</v>
      </c>
      <c r="N2666">
        <v>0</v>
      </c>
      <c r="O2666">
        <v>-0.70904279999999997</v>
      </c>
      <c r="P2666">
        <v>0.55036770000000002</v>
      </c>
      <c r="Q2666">
        <v>6.4808329999999997E-2</v>
      </c>
      <c r="R2666">
        <v>-0.83240349999999996</v>
      </c>
      <c r="S2666">
        <v>0.75802609999999904</v>
      </c>
      <c r="T2666">
        <v>-0.1693366</v>
      </c>
      <c r="U2666">
        <v>-3.1417540000000002</v>
      </c>
      <c r="V2666">
        <v>0.2002331</v>
      </c>
      <c r="W2666">
        <v>7.9650180000000001E-2</v>
      </c>
      <c r="X2666">
        <v>0.97650530000000002</v>
      </c>
      <c r="Y2666">
        <v>0.51896699999999996</v>
      </c>
      <c r="Z2666">
        <v>2.6798280000000001E-2</v>
      </c>
      <c r="AA2666">
        <v>0.85437410000000003</v>
      </c>
      <c r="AB2666">
        <v>36</v>
      </c>
      <c r="AC2666">
        <v>4.6316999999999897</v>
      </c>
      <c r="AD2666">
        <v>-1.0925277717070001</v>
      </c>
      <c r="AE2666">
        <v>-20.0093</v>
      </c>
      <c r="AF2666">
        <v>10.790080852996599</v>
      </c>
      <c r="AG2666">
        <v>-1.0925277717070001</v>
      </c>
      <c r="AH2666">
        <v>17.407519845377799</v>
      </c>
      <c r="AI2666">
        <v>93.053548460033795</v>
      </c>
      <c r="AJ2666">
        <v>58.207225034517499</v>
      </c>
      <c r="AK2666">
        <v>20.5095394612697</v>
      </c>
    </row>
    <row r="2667" spans="1:37" x14ac:dyDescent="0.2">
      <c r="A2667" t="str">
        <f>"20200111154118803"</f>
        <v>20200111154118803</v>
      </c>
      <c r="B2667" t="str">
        <f>"1578728478799098"</f>
        <v>1578728478799098</v>
      </c>
      <c r="C2667" t="s">
        <v>37</v>
      </c>
      <c r="D2667">
        <v>5.4705069999999996</v>
      </c>
      <c r="E2667">
        <v>0.61522529999999997</v>
      </c>
      <c r="F2667" t="s">
        <v>43</v>
      </c>
      <c r="G2667">
        <v>-192.3176</v>
      </c>
      <c r="H2667" s="1">
        <v>6.8566319999999997E-6</v>
      </c>
      <c r="I2667">
        <v>200.91669999999999</v>
      </c>
      <c r="J2667">
        <v>-194.22460000000001</v>
      </c>
      <c r="K2667">
        <v>1.0925549999999999</v>
      </c>
      <c r="L2667">
        <v>208.10409999999999</v>
      </c>
      <c r="M2667">
        <v>0.69170369999999903</v>
      </c>
      <c r="N2667">
        <v>0</v>
      </c>
      <c r="O2667">
        <v>-0.72177250000000004</v>
      </c>
      <c r="P2667">
        <v>0.5346957</v>
      </c>
      <c r="Q2667">
        <v>6.4734470000000002E-2</v>
      </c>
      <c r="R2667">
        <v>-0.84256169999999997</v>
      </c>
      <c r="S2667">
        <v>0.88575740000000003</v>
      </c>
      <c r="T2667">
        <v>-0.447459</v>
      </c>
      <c r="U2667">
        <v>-3.053207</v>
      </c>
      <c r="V2667">
        <v>0.20070109999999999</v>
      </c>
      <c r="W2667">
        <v>7.9570790000000002E-2</v>
      </c>
      <c r="X2667">
        <v>0.976415699999999</v>
      </c>
      <c r="Y2667">
        <v>0.46399639999999998</v>
      </c>
      <c r="Z2667">
        <v>7.7061080000000004E-2</v>
      </c>
      <c r="AA2667">
        <v>0.88247889999999996</v>
      </c>
      <c r="AB2667">
        <v>36</v>
      </c>
      <c r="AC2667">
        <v>1.90700000000001</v>
      </c>
      <c r="AD2667">
        <v>-1.092548143368</v>
      </c>
      <c r="AE2667">
        <v>-7.1873999999999896</v>
      </c>
      <c r="AF2667">
        <v>3.5202022307406202</v>
      </c>
      <c r="AG2667">
        <v>-1.092548143368</v>
      </c>
      <c r="AH2667">
        <v>6.3711347024247296</v>
      </c>
      <c r="AI2667">
        <v>98.536192333628705</v>
      </c>
      <c r="AJ2667">
        <v>61.078314070313603</v>
      </c>
      <c r="AK2667">
        <v>7.3604920071506603</v>
      </c>
    </row>
    <row r="2668" spans="1:37" x14ac:dyDescent="0.2">
      <c r="A2668" t="str">
        <f>"20200111154118828"</f>
        <v>20200111154118828</v>
      </c>
      <c r="B2668" t="str">
        <f>"1578728478818617"</f>
        <v>1578728478818617</v>
      </c>
      <c r="C2668" t="s">
        <v>37</v>
      </c>
      <c r="D2668">
        <v>5.2955420000000002</v>
      </c>
      <c r="E2668">
        <v>0.61764809999999903</v>
      </c>
      <c r="F2668" t="s">
        <v>43</v>
      </c>
      <c r="G2668">
        <v>-192.17519999999999</v>
      </c>
      <c r="H2668" s="1">
        <v>6.9738189999999902E-6</v>
      </c>
      <c r="I2668">
        <v>200.69229999999999</v>
      </c>
      <c r="J2668">
        <v>-193.96010000000001</v>
      </c>
      <c r="K2668">
        <v>1.0925959999999999</v>
      </c>
      <c r="L2668">
        <v>207.81549999999999</v>
      </c>
      <c r="M2668">
        <v>0.67753090000000005</v>
      </c>
      <c r="N2668">
        <v>0</v>
      </c>
      <c r="O2668">
        <v>-0.73509250000000004</v>
      </c>
      <c r="P2668">
        <v>0.51796319999999996</v>
      </c>
      <c r="Q2668">
        <v>6.5346249999999995E-2</v>
      </c>
      <c r="R2668">
        <v>-0.85290350000000004</v>
      </c>
      <c r="S2668">
        <v>0.84568790000000005</v>
      </c>
      <c r="T2668">
        <v>-0.45084479999999999</v>
      </c>
      <c r="U2668">
        <v>-3.058487</v>
      </c>
      <c r="V2668">
        <v>0.20096789999999901</v>
      </c>
      <c r="W2668">
        <v>8.0192009999999994E-2</v>
      </c>
      <c r="X2668">
        <v>0.97631000000000001</v>
      </c>
      <c r="Y2668">
        <v>0.45795340000000001</v>
      </c>
      <c r="Z2668">
        <v>8.0481250000000004E-2</v>
      </c>
      <c r="AA2668">
        <v>0.88532559999999905</v>
      </c>
      <c r="AB2668">
        <v>36</v>
      </c>
      <c r="AC2668">
        <v>1.7849000000000199</v>
      </c>
      <c r="AD2668">
        <v>-1.0925890261809901</v>
      </c>
      <c r="AE2668">
        <v>-7.12319999999999</v>
      </c>
      <c r="AF2668">
        <v>3.4390307426994702</v>
      </c>
      <c r="AG2668">
        <v>-1.0925890261809901</v>
      </c>
      <c r="AH2668">
        <v>6.3078057330811799</v>
      </c>
      <c r="AI2668">
        <v>98.647190718250698</v>
      </c>
      <c r="AJ2668">
        <v>61.400676298547303</v>
      </c>
      <c r="AK2668">
        <v>7.2669867480032702</v>
      </c>
    </row>
    <row r="2669" spans="1:37" x14ac:dyDescent="0.2">
      <c r="A2669" t="str">
        <f>"20200111154118849"</f>
        <v>20200111154118849</v>
      </c>
      <c r="B2669" t="str">
        <f>"1578728478839113"</f>
        <v>1578728478839113</v>
      </c>
      <c r="C2669" t="s">
        <v>37</v>
      </c>
      <c r="D2669">
        <v>5.4949370000000002</v>
      </c>
      <c r="E2669">
        <v>0.62009329999999996</v>
      </c>
      <c r="F2669" t="s">
        <v>39</v>
      </c>
      <c r="G2669">
        <v>-191.87309999999999</v>
      </c>
      <c r="H2669" s="1">
        <v>-4.5691629999999998E-6</v>
      </c>
      <c r="I2669">
        <v>199.43709999999999</v>
      </c>
      <c r="J2669">
        <v>-193.72489999999999</v>
      </c>
      <c r="K2669">
        <v>1.092635</v>
      </c>
      <c r="L2669">
        <v>207.5487</v>
      </c>
      <c r="M2669">
        <v>0.66432579999999997</v>
      </c>
      <c r="N2669">
        <v>0</v>
      </c>
      <c r="O2669">
        <v>-0.74704740000000003</v>
      </c>
      <c r="P2669">
        <v>0.50250209999999995</v>
      </c>
      <c r="Q2669">
        <v>6.6314429999999994E-2</v>
      </c>
      <c r="R2669">
        <v>-0.86202909999999899</v>
      </c>
      <c r="S2669">
        <v>0.76770019999999894</v>
      </c>
      <c r="T2669">
        <v>-0.4019105</v>
      </c>
      <c r="U2669">
        <v>-3.0819549999999998</v>
      </c>
      <c r="V2669">
        <v>0.2011646</v>
      </c>
      <c r="W2669">
        <v>8.1174910000000003E-2</v>
      </c>
      <c r="X2669">
        <v>0.97618819999999995</v>
      </c>
      <c r="Y2669">
        <v>0.46468989999999999</v>
      </c>
      <c r="Z2669">
        <v>7.3362520000000001E-2</v>
      </c>
      <c r="AA2669">
        <v>0.88242919999999903</v>
      </c>
      <c r="AB2669">
        <v>36</v>
      </c>
      <c r="AC2669">
        <v>1.8517999999999899</v>
      </c>
      <c r="AD2669">
        <v>-1.092639569163</v>
      </c>
      <c r="AE2669">
        <v>-8.1116000000000099</v>
      </c>
      <c r="AF2669">
        <v>3.9386239979105402</v>
      </c>
      <c r="AG2669">
        <v>-1.092639569163</v>
      </c>
      <c r="AH2669">
        <v>7.16848048415532</v>
      </c>
      <c r="AI2669">
        <v>97.608924536043702</v>
      </c>
      <c r="AJ2669">
        <v>61.2140050962199</v>
      </c>
      <c r="AK2669">
        <v>8.2518926723954191</v>
      </c>
    </row>
    <row r="2670" spans="1:37" x14ac:dyDescent="0.2">
      <c r="A2670" t="str">
        <f>"20200111154118872"</f>
        <v>20200111154118872</v>
      </c>
      <c r="B2670" t="str">
        <f>"1578728478869370"</f>
        <v>1578728478869370</v>
      </c>
      <c r="C2670" t="s">
        <v>37</v>
      </c>
      <c r="D2670">
        <v>5.3334650000000003</v>
      </c>
      <c r="E2670">
        <v>0.66529139999999998</v>
      </c>
      <c r="F2670" t="s">
        <v>39</v>
      </c>
      <c r="G2670">
        <v>-191.62389999999999</v>
      </c>
      <c r="H2670" s="1">
        <v>-4.0869480000000003E-6</v>
      </c>
      <c r="I2670">
        <v>198.15</v>
      </c>
      <c r="J2670">
        <v>-193.4974</v>
      </c>
      <c r="K2670">
        <v>1.0926659999999999</v>
      </c>
      <c r="L2670">
        <v>207.2808</v>
      </c>
      <c r="M2670">
        <v>0.65096309999999902</v>
      </c>
      <c r="N2670">
        <v>0</v>
      </c>
      <c r="O2670">
        <v>-0.75871909999999998</v>
      </c>
      <c r="P2670">
        <v>0.48749920000000002</v>
      </c>
      <c r="Q2670">
        <v>6.6283700000000001E-2</v>
      </c>
      <c r="R2670">
        <v>-0.87060400000000004</v>
      </c>
      <c r="S2670">
        <v>0.69377140000000004</v>
      </c>
      <c r="T2670">
        <v>-0.36079450000000002</v>
      </c>
      <c r="U2670">
        <v>-3.103485</v>
      </c>
      <c r="V2670">
        <v>0.20074</v>
      </c>
      <c r="W2670">
        <v>8.1192029999999998E-2</v>
      </c>
      <c r="X2670">
        <v>0.97627419999999998</v>
      </c>
      <c r="Y2670">
        <v>0.47024969999999999</v>
      </c>
      <c r="Z2670">
        <v>6.7297910000000002E-2</v>
      </c>
      <c r="AA2670">
        <v>0.87996379999999996</v>
      </c>
      <c r="AB2670">
        <v>36</v>
      </c>
      <c r="AC2670">
        <v>1.8734999999999999</v>
      </c>
      <c r="AD2670">
        <v>-1.0926700869479999</v>
      </c>
      <c r="AE2670">
        <v>-9.13079999999999</v>
      </c>
      <c r="AF2670">
        <v>4.4623716635191704</v>
      </c>
      <c r="AG2670">
        <v>-1.0926700869479999</v>
      </c>
      <c r="AH2670">
        <v>8.0392305932274102</v>
      </c>
      <c r="AI2670">
        <v>96.777092999574705</v>
      </c>
      <c r="AJ2670">
        <v>60.966463375532598</v>
      </c>
      <c r="AK2670">
        <v>9.2593691638995193</v>
      </c>
    </row>
    <row r="2671" spans="1:37" x14ac:dyDescent="0.2">
      <c r="A2671" t="str">
        <f>"20200111154118894"</f>
        <v>20200111154118894</v>
      </c>
      <c r="B2671" t="str">
        <f>"1578728478888891"</f>
        <v>1578728478888891</v>
      </c>
      <c r="C2671" t="s">
        <v>37</v>
      </c>
      <c r="D2671">
        <v>5.1515760000000004</v>
      </c>
      <c r="E2671">
        <v>0.66731030000000002</v>
      </c>
      <c r="F2671" t="s">
        <v>39</v>
      </c>
      <c r="G2671">
        <v>-190.90649999999999</v>
      </c>
      <c r="H2671" s="1">
        <v>-7.2682969999999897E-7</v>
      </c>
      <c r="I2671">
        <v>180.72110000000001</v>
      </c>
      <c r="J2671">
        <v>-193.26769999999999</v>
      </c>
      <c r="K2671">
        <v>1.0926979999999999</v>
      </c>
      <c r="L2671">
        <v>206.99950000000001</v>
      </c>
      <c r="M2671">
        <v>0.63681880000000002</v>
      </c>
      <c r="N2671">
        <v>0</v>
      </c>
      <c r="O2671">
        <v>-0.77062869999999895</v>
      </c>
      <c r="P2671">
        <v>0.47217189999999998</v>
      </c>
      <c r="Q2671">
        <v>6.5536220000000006E-2</v>
      </c>
      <c r="R2671">
        <v>-0.87906700000000004</v>
      </c>
      <c r="S2671">
        <v>0.3196869</v>
      </c>
      <c r="T2671">
        <v>-0.134822</v>
      </c>
      <c r="U2671">
        <v>-3.2771449999999902</v>
      </c>
      <c r="V2671">
        <v>0.19978389999999999</v>
      </c>
      <c r="W2671">
        <v>8.0521880000000004E-2</v>
      </c>
      <c r="X2671">
        <v>0.9765258</v>
      </c>
      <c r="Y2671">
        <v>0.55913769999999996</v>
      </c>
      <c r="Z2671">
        <v>2.357354E-2</v>
      </c>
      <c r="AA2671">
        <v>0.82873960000000002</v>
      </c>
      <c r="AB2671">
        <v>35</v>
      </c>
      <c r="AC2671">
        <v>2.36119999999999</v>
      </c>
      <c r="AD2671">
        <v>-1.0926987268296999</v>
      </c>
      <c r="AE2671">
        <v>-26.278400000000001</v>
      </c>
      <c r="AF2671">
        <v>14.893850887249901</v>
      </c>
      <c r="AG2671">
        <v>-1.0926987268296999</v>
      </c>
      <c r="AH2671">
        <v>21.7237410786975</v>
      </c>
      <c r="AI2671">
        <v>92.375600016418602</v>
      </c>
      <c r="AJ2671">
        <v>55.565367902488198</v>
      </c>
      <c r="AK2671">
        <v>26.3617471198997</v>
      </c>
    </row>
    <row r="2672" spans="1:37" x14ac:dyDescent="0.2">
      <c r="A2672" t="str">
        <f>"20200111154118917"</f>
        <v>20200111154118917</v>
      </c>
      <c r="B2672" t="str">
        <f>"1578728478908410"</f>
        <v>1578728478908410</v>
      </c>
      <c r="C2672" t="s">
        <v>37</v>
      </c>
      <c r="D2672">
        <v>5.4882679999999997</v>
      </c>
      <c r="E2672">
        <v>0.66186929999999999</v>
      </c>
      <c r="F2672" t="s">
        <v>39</v>
      </c>
      <c r="G2672">
        <v>-191.11009999999999</v>
      </c>
      <c r="H2672" s="1">
        <v>-4.0395850000000001E-6</v>
      </c>
      <c r="I2672">
        <v>178.31700000000001</v>
      </c>
      <c r="J2672">
        <v>-193.0436</v>
      </c>
      <c r="K2672">
        <v>1.09273</v>
      </c>
      <c r="L2672">
        <v>206.7139</v>
      </c>
      <c r="M2672">
        <v>0.62232880000000002</v>
      </c>
      <c r="N2672">
        <v>0</v>
      </c>
      <c r="O2672">
        <v>-0.78237619999999997</v>
      </c>
      <c r="P2672">
        <v>0.45570379999999899</v>
      </c>
      <c r="Q2672">
        <v>6.4225489999999996E-2</v>
      </c>
      <c r="R2672">
        <v>-0.88781160000000003</v>
      </c>
      <c r="S2672">
        <v>0.24742129999999901</v>
      </c>
      <c r="T2672">
        <v>-0.12530430000000001</v>
      </c>
      <c r="U2672">
        <v>-3.289139</v>
      </c>
      <c r="V2672">
        <v>0.199762299999999</v>
      </c>
      <c r="W2672">
        <v>7.9244229999999999E-2</v>
      </c>
      <c r="X2672">
        <v>0.97663469999999997</v>
      </c>
      <c r="Y2672">
        <v>0.56203440000000005</v>
      </c>
      <c r="Z2672">
        <v>2.2442409999999999E-2</v>
      </c>
      <c r="AA2672">
        <v>0.82680929999999997</v>
      </c>
      <c r="AB2672">
        <v>35</v>
      </c>
      <c r="AC2672">
        <v>1.9335</v>
      </c>
      <c r="AD2672">
        <v>-1.092734039585</v>
      </c>
      <c r="AE2672">
        <v>-28.396899999999899</v>
      </c>
      <c r="AF2672">
        <v>16.140498579442301</v>
      </c>
      <c r="AG2672">
        <v>-1.092734039585</v>
      </c>
      <c r="AH2672">
        <v>23.392814958478201</v>
      </c>
      <c r="AI2672">
        <v>92.201849247047804</v>
      </c>
      <c r="AJ2672">
        <v>55.395226687976603</v>
      </c>
      <c r="AK2672">
        <v>28.441757219902001</v>
      </c>
    </row>
    <row r="2673" spans="1:37" x14ac:dyDescent="0.2">
      <c r="A2673" t="str">
        <f>"20200111154118938"</f>
        <v>20200111154118938</v>
      </c>
      <c r="B2673" t="str">
        <f>"1578728478928908"</f>
        <v>1578728478928908</v>
      </c>
      <c r="C2673" t="s">
        <v>37</v>
      </c>
      <c r="D2673">
        <v>5.3222050000000003</v>
      </c>
      <c r="E2673">
        <v>0.66252959999999905</v>
      </c>
      <c r="F2673" t="s">
        <v>39</v>
      </c>
      <c r="G2673">
        <v>-191.2664</v>
      </c>
      <c r="H2673" s="1">
        <v>-8.5828599999999898E-7</v>
      </c>
      <c r="I2673">
        <v>180.80439999999999</v>
      </c>
      <c r="J2673">
        <v>-192.83760000000001</v>
      </c>
      <c r="K2673">
        <v>1.09276</v>
      </c>
      <c r="L2673">
        <v>206.44069999999999</v>
      </c>
      <c r="M2673">
        <v>0.60834900000000003</v>
      </c>
      <c r="N2673">
        <v>0</v>
      </c>
      <c r="O2673">
        <v>-0.79329499999999997</v>
      </c>
      <c r="P2673">
        <v>0.43990810000000002</v>
      </c>
      <c r="Q2673">
        <v>6.2810959999999999E-2</v>
      </c>
      <c r="R2673">
        <v>-0.89584379999999997</v>
      </c>
      <c r="S2673">
        <v>0.2245636</v>
      </c>
      <c r="T2673">
        <v>-0.13807339999999901</v>
      </c>
      <c r="U2673">
        <v>-3.2738339999999999</v>
      </c>
      <c r="V2673">
        <v>0.1997244</v>
      </c>
      <c r="W2673">
        <v>7.7862829999999994E-2</v>
      </c>
      <c r="X2673">
        <v>0.9767536</v>
      </c>
      <c r="Y2673">
        <v>0.55277690000000002</v>
      </c>
      <c r="Z2673">
        <v>2.5649089999999999E-2</v>
      </c>
      <c r="AA2673">
        <v>0.83293449999999902</v>
      </c>
      <c r="AB2673">
        <v>35</v>
      </c>
      <c r="AC2673">
        <v>1.5711999999999999</v>
      </c>
      <c r="AD2673">
        <v>-1.092760858286</v>
      </c>
      <c r="AE2673">
        <v>-25.636299999999999</v>
      </c>
      <c r="AF2673">
        <v>14.3277247542793</v>
      </c>
      <c r="AG2673">
        <v>-1.092760858286</v>
      </c>
      <c r="AH2673">
        <v>21.2608341061236</v>
      </c>
      <c r="AI2673">
        <v>92.440624269835595</v>
      </c>
      <c r="AJ2673">
        <v>56.023879735963803</v>
      </c>
      <c r="AK2673">
        <v>25.661272178438399</v>
      </c>
    </row>
    <row r="2674" spans="1:37" x14ac:dyDescent="0.2">
      <c r="A2674" t="str">
        <f>"20200111154118963"</f>
        <v>20200111154118963</v>
      </c>
      <c r="B2674" t="str">
        <f>"1578728478959162"</f>
        <v>1578728478959162</v>
      </c>
      <c r="C2674" t="s">
        <v>37</v>
      </c>
      <c r="D2674">
        <v>5.2573720000000002</v>
      </c>
      <c r="E2674">
        <v>0.66173019999999905</v>
      </c>
      <c r="F2674" t="s">
        <v>39</v>
      </c>
      <c r="G2674">
        <v>-191.51259999999999</v>
      </c>
      <c r="H2674" s="1">
        <v>-4.5215690000000002E-6</v>
      </c>
      <c r="I2674">
        <v>179.48519999999999</v>
      </c>
      <c r="J2674">
        <v>-192.61510000000001</v>
      </c>
      <c r="K2674">
        <v>1.0928</v>
      </c>
      <c r="L2674">
        <v>206.13329999999999</v>
      </c>
      <c r="M2674">
        <v>0.59246580000000004</v>
      </c>
      <c r="N2674">
        <v>0</v>
      </c>
      <c r="O2674">
        <v>-0.80522590000000005</v>
      </c>
      <c r="P2674">
        <v>0.42310789999999998</v>
      </c>
      <c r="Q2674">
        <v>6.1819310000000002E-2</v>
      </c>
      <c r="R2674">
        <v>-0.90396810000000005</v>
      </c>
      <c r="S2674">
        <v>0.16117860000000001</v>
      </c>
      <c r="T2674">
        <v>-0.13292860000000001</v>
      </c>
      <c r="U2674">
        <v>-3.2789919999999899</v>
      </c>
      <c r="V2674">
        <v>0.19853979999999999</v>
      </c>
      <c r="W2674">
        <v>7.6965259999999994E-2</v>
      </c>
      <c r="X2674">
        <v>0.9770662</v>
      </c>
      <c r="Y2674">
        <v>0.55235669999999903</v>
      </c>
      <c r="Z2674">
        <v>2.5367130000000002E-2</v>
      </c>
      <c r="AA2674">
        <v>0.83322189999999996</v>
      </c>
      <c r="AB2674">
        <v>35</v>
      </c>
      <c r="AC2674">
        <v>1.10250000000002</v>
      </c>
      <c r="AD2674">
        <v>-1.0928045215690001</v>
      </c>
      <c r="AE2674">
        <v>-26.648099999999999</v>
      </c>
      <c r="AF2674">
        <v>14.879784276155</v>
      </c>
      <c r="AG2674">
        <v>-1.0928045215690001</v>
      </c>
      <c r="AH2674">
        <v>22.080451028052899</v>
      </c>
      <c r="AI2674">
        <v>92.350240575165998</v>
      </c>
      <c r="AJ2674">
        <v>56.024383309176201</v>
      </c>
      <c r="AK2674">
        <v>26.648611960654101</v>
      </c>
    </row>
    <row r="2675" spans="1:37" x14ac:dyDescent="0.2">
      <c r="A2675" t="str">
        <f>"20200111154118982"</f>
        <v>20200111154118982</v>
      </c>
      <c r="B2675" t="str">
        <f>"1578728478978693"</f>
        <v>1578728478978693</v>
      </c>
      <c r="C2675" t="s">
        <v>37</v>
      </c>
      <c r="D2675">
        <v>5.3338839999999896</v>
      </c>
      <c r="E2675">
        <v>0.66066449999999999</v>
      </c>
      <c r="F2675" t="s">
        <v>39</v>
      </c>
      <c r="G2675">
        <v>-191.71700000000001</v>
      </c>
      <c r="H2675" s="1">
        <v>-4.0824309999999999E-6</v>
      </c>
      <c r="I2675">
        <v>178.0882</v>
      </c>
      <c r="J2675">
        <v>-192.43260000000001</v>
      </c>
      <c r="K2675">
        <v>1.0928439999999999</v>
      </c>
      <c r="L2675">
        <v>205.87</v>
      </c>
      <c r="M2675">
        <v>0.57873079999999999</v>
      </c>
      <c r="N2675">
        <v>0</v>
      </c>
      <c r="O2675">
        <v>-0.81515280000000001</v>
      </c>
      <c r="P2675">
        <v>0.40901019999999999</v>
      </c>
      <c r="Q2675">
        <v>6.1716890000000003E-2</v>
      </c>
      <c r="R2675">
        <v>-0.91044069999999899</v>
      </c>
      <c r="S2675">
        <v>0.1049805</v>
      </c>
      <c r="T2675">
        <v>-0.1277422</v>
      </c>
      <c r="U2675">
        <v>-3.278305</v>
      </c>
      <c r="V2675">
        <v>0.1971531</v>
      </c>
      <c r="W2675">
        <v>7.6960979999999998E-2</v>
      </c>
      <c r="X2675">
        <v>0.97734730000000003</v>
      </c>
      <c r="Y2675">
        <v>0.55248050000000004</v>
      </c>
      <c r="Z2675">
        <v>2.4946280000000001E-2</v>
      </c>
      <c r="AA2675">
        <v>0.83315249999999996</v>
      </c>
      <c r="AB2675">
        <v>35</v>
      </c>
      <c r="AC2675">
        <v>0.71559999999999402</v>
      </c>
      <c r="AD2675">
        <v>-1.0928480824310001</v>
      </c>
      <c r="AE2675">
        <v>-27.7818</v>
      </c>
      <c r="AF2675">
        <v>15.4755531922661</v>
      </c>
      <c r="AG2675">
        <v>-1.0928480824310001</v>
      </c>
      <c r="AH2675">
        <v>23.031818062483001</v>
      </c>
      <c r="AI2675">
        <v>92.255405735325496</v>
      </c>
      <c r="AJ2675">
        <v>56.102033069475802</v>
      </c>
      <c r="AK2675">
        <v>27.769618412957101</v>
      </c>
    </row>
    <row r="2676" spans="1:37" x14ac:dyDescent="0.2">
      <c r="A2676" t="str">
        <f>"20200111154119007"</f>
        <v>20200111154119007</v>
      </c>
      <c r="B2676" t="str">
        <f>"1578728478999180"</f>
        <v>1578728478999180</v>
      </c>
      <c r="C2676" t="s">
        <v>37</v>
      </c>
      <c r="D2676">
        <v>5.3258720000000004</v>
      </c>
      <c r="E2676">
        <v>0.65977909999999995</v>
      </c>
      <c r="F2676" t="s">
        <v>39</v>
      </c>
      <c r="G2676">
        <v>-191.8862</v>
      </c>
      <c r="H2676" s="1">
        <v>-3.5776999999999899E-6</v>
      </c>
      <c r="I2676">
        <v>176.75890000000001</v>
      </c>
      <c r="J2676">
        <v>-192.2277</v>
      </c>
      <c r="K2676">
        <v>1.0928949999999999</v>
      </c>
      <c r="L2676">
        <v>205.5609</v>
      </c>
      <c r="M2676">
        <v>0.56244839999999996</v>
      </c>
      <c r="N2676">
        <v>0</v>
      </c>
      <c r="O2676">
        <v>-0.82647109999999901</v>
      </c>
      <c r="P2676">
        <v>0.3916231</v>
      </c>
      <c r="Q2676">
        <v>6.2856200000000001E-2</v>
      </c>
      <c r="R2676">
        <v>-0.91797629999999997</v>
      </c>
      <c r="S2676">
        <v>6.1477660000000003E-2</v>
      </c>
      <c r="T2676">
        <v>-0.12297609999999901</v>
      </c>
      <c r="U2676">
        <v>-3.2758180000000001</v>
      </c>
      <c r="V2676">
        <v>0.19635329999999901</v>
      </c>
      <c r="W2676">
        <v>7.8174220000000003E-2</v>
      </c>
      <c r="X2676">
        <v>0.97741199999999995</v>
      </c>
      <c r="Y2676">
        <v>0.54697640000000003</v>
      </c>
      <c r="Z2676">
        <v>2.4727349999999999E-2</v>
      </c>
      <c r="AA2676">
        <v>0.83678280000000005</v>
      </c>
      <c r="AB2676">
        <v>34</v>
      </c>
      <c r="AC2676">
        <v>0.34149999999999597</v>
      </c>
      <c r="AD2676">
        <v>-1.0928985777</v>
      </c>
      <c r="AE2676">
        <v>-28.8019999999999</v>
      </c>
      <c r="AF2676">
        <v>15.8992657517302</v>
      </c>
      <c r="AG2676">
        <v>-1.0928985777</v>
      </c>
      <c r="AH2676">
        <v>23.968760271423999</v>
      </c>
      <c r="AI2676">
        <v>92.176031712728303</v>
      </c>
      <c r="AJ2676">
        <v>56.442376744083397</v>
      </c>
      <c r="AK2676">
        <v>28.7833727643978</v>
      </c>
    </row>
    <row r="2677" spans="1:37" x14ac:dyDescent="0.2">
      <c r="A2677" t="str">
        <f>"20200111154119028"</f>
        <v>20200111154119028</v>
      </c>
      <c r="B2677" t="str">
        <f>"1578728479018698"</f>
        <v>1578728479018698</v>
      </c>
      <c r="C2677" t="s">
        <v>37</v>
      </c>
      <c r="D2677">
        <v>5.6412329999999997</v>
      </c>
      <c r="E2677">
        <v>0.65742419999999901</v>
      </c>
      <c r="F2677" t="s">
        <v>39</v>
      </c>
      <c r="G2677">
        <v>-192.17230000000001</v>
      </c>
      <c r="H2677" s="1">
        <v>-2.9282589999999999E-6</v>
      </c>
      <c r="I2677">
        <v>175.0677</v>
      </c>
      <c r="J2677">
        <v>-192.0463</v>
      </c>
      <c r="K2677">
        <v>1.092943</v>
      </c>
      <c r="L2677">
        <v>205.27529999999999</v>
      </c>
      <c r="M2677">
        <v>0.54724349999999999</v>
      </c>
      <c r="N2677">
        <v>0</v>
      </c>
      <c r="O2677">
        <v>-0.83661589999999997</v>
      </c>
      <c r="P2677">
        <v>0.37552009999999902</v>
      </c>
      <c r="Q2677">
        <v>6.3564720000000005E-2</v>
      </c>
      <c r="R2677">
        <v>-0.92463200000000001</v>
      </c>
      <c r="S2677">
        <v>5.9509280000000003E-3</v>
      </c>
      <c r="T2677">
        <v>-0.1173261</v>
      </c>
      <c r="U2677">
        <v>-3.2735439999999998</v>
      </c>
      <c r="V2677">
        <v>0.19556319999999999</v>
      </c>
      <c r="W2677">
        <v>7.8953330000000002E-2</v>
      </c>
      <c r="X2677">
        <v>0.97750780000000004</v>
      </c>
      <c r="Y2677">
        <v>0.54585479999999997</v>
      </c>
      <c r="Z2677">
        <v>2.4152940000000001E-2</v>
      </c>
      <c r="AA2677">
        <v>0.83753159999999904</v>
      </c>
      <c r="AB2677">
        <v>34</v>
      </c>
      <c r="AC2677">
        <v>-0.126000000000004</v>
      </c>
      <c r="AD2677">
        <v>-1.0929459282589999</v>
      </c>
      <c r="AE2677">
        <v>-30.2075999999999</v>
      </c>
      <c r="AF2677">
        <v>16.619550196253201</v>
      </c>
      <c r="AG2677">
        <v>-1.0929459282589999</v>
      </c>
      <c r="AH2677">
        <v>25.177790736464999</v>
      </c>
      <c r="AI2677">
        <v>92.0748158572504</v>
      </c>
      <c r="AJ2677">
        <v>56.571688445997196</v>
      </c>
      <c r="AK2677">
        <v>30.188162015881399</v>
      </c>
    </row>
    <row r="2678" spans="1:37" x14ac:dyDescent="0.2">
      <c r="A2678" t="str">
        <f>"20200111154119049"</f>
        <v>20200111154119049</v>
      </c>
      <c r="B2678" t="str">
        <f>"1578728479039193"</f>
        <v>1578728479039193</v>
      </c>
      <c r="C2678" t="s">
        <v>37</v>
      </c>
      <c r="D2678">
        <v>5.4733809999999998</v>
      </c>
      <c r="E2678">
        <v>0.65508049999999995</v>
      </c>
      <c r="F2678" t="s">
        <v>39</v>
      </c>
      <c r="G2678">
        <v>-192.31880000000001</v>
      </c>
      <c r="H2678" s="1">
        <v>-4.3225889999999998E-6</v>
      </c>
      <c r="I2678">
        <v>178.4803</v>
      </c>
      <c r="J2678">
        <v>-191.87620000000001</v>
      </c>
      <c r="K2678">
        <v>1.0929930000000001</v>
      </c>
      <c r="L2678">
        <v>204.9957</v>
      </c>
      <c r="M2678">
        <v>0.53220649999999903</v>
      </c>
      <c r="N2678">
        <v>0</v>
      </c>
      <c r="O2678">
        <v>-0.84626069999999998</v>
      </c>
      <c r="P2678">
        <v>0.36028919999999998</v>
      </c>
      <c r="Q2678">
        <v>6.3355380000000003E-2</v>
      </c>
      <c r="R2678">
        <v>-0.93068680000000004</v>
      </c>
      <c r="S2678">
        <v>-3.3218379999999999E-2</v>
      </c>
      <c r="T2678">
        <v>-0.13326550000000001</v>
      </c>
      <c r="U2678">
        <v>-3.2671809999999999</v>
      </c>
      <c r="V2678">
        <v>0.1941358</v>
      </c>
      <c r="W2678">
        <v>7.8846369999999999E-2</v>
      </c>
      <c r="X2678">
        <v>0.97780089999999997</v>
      </c>
      <c r="Y2678">
        <v>0.54090199999999999</v>
      </c>
      <c r="Z2678">
        <v>2.8126330000000001E-2</v>
      </c>
      <c r="AA2678">
        <v>0.84061520000000001</v>
      </c>
      <c r="AB2678">
        <v>34</v>
      </c>
      <c r="AC2678">
        <v>-0.442599999999998</v>
      </c>
      <c r="AD2678">
        <v>-1.092997322589</v>
      </c>
      <c r="AE2678">
        <v>-26.5154</v>
      </c>
      <c r="AF2678">
        <v>14.465990676697199</v>
      </c>
      <c r="AG2678">
        <v>-1.092997322589</v>
      </c>
      <c r="AH2678">
        <v>22.172375463321199</v>
      </c>
      <c r="AI2678">
        <v>92.364142231522393</v>
      </c>
      <c r="AJ2678">
        <v>56.878242196129598</v>
      </c>
      <c r="AK2678">
        <v>26.4966745666691</v>
      </c>
    </row>
    <row r="2679" spans="1:37" x14ac:dyDescent="0.2">
      <c r="A2679" t="str">
        <f>"20200111154119072"</f>
        <v>20200111154119072</v>
      </c>
      <c r="B2679" t="str">
        <f>"1578728479068475"</f>
        <v>1578728479068475</v>
      </c>
      <c r="C2679" t="s">
        <v>37</v>
      </c>
      <c r="D2679">
        <v>5.4963350000000002</v>
      </c>
      <c r="E2679">
        <v>0.65297299999999903</v>
      </c>
      <c r="F2679" t="s">
        <v>39</v>
      </c>
      <c r="G2679">
        <v>-192.3897</v>
      </c>
      <c r="H2679" s="1">
        <v>-1.179719E-6</v>
      </c>
      <c r="I2679">
        <v>180.8569</v>
      </c>
      <c r="J2679">
        <v>-191.70339999999999</v>
      </c>
      <c r="K2679">
        <v>1.09304</v>
      </c>
      <c r="L2679">
        <v>204.6987</v>
      </c>
      <c r="M2679">
        <v>0.51605800000000002</v>
      </c>
      <c r="N2679">
        <v>0</v>
      </c>
      <c r="O2679">
        <v>-0.85620339999999995</v>
      </c>
      <c r="P2679">
        <v>0.34384499999999901</v>
      </c>
      <c r="Q2679">
        <v>6.3434279999999996E-2</v>
      </c>
      <c r="R2679">
        <v>-0.93688159999999898</v>
      </c>
      <c r="S2679">
        <v>-6.9351199999999905E-2</v>
      </c>
      <c r="T2679">
        <v>-0.14762539999999999</v>
      </c>
      <c r="U2679">
        <v>-3.2603149999999999</v>
      </c>
      <c r="V2679">
        <v>0.19279959999999999</v>
      </c>
      <c r="W2679">
        <v>7.9024639999999993E-2</v>
      </c>
      <c r="X2679">
        <v>0.9780508</v>
      </c>
      <c r="Y2679">
        <v>0.53425369999999905</v>
      </c>
      <c r="Z2679">
        <v>3.1975879999999998E-2</v>
      </c>
      <c r="AA2679">
        <v>0.844719199999999</v>
      </c>
      <c r="AB2679">
        <v>34</v>
      </c>
      <c r="AC2679">
        <v>-0.68630000000001701</v>
      </c>
      <c r="AD2679">
        <v>-1.0930411797190001</v>
      </c>
      <c r="AE2679">
        <v>-23.841799999999999</v>
      </c>
      <c r="AF2679">
        <v>12.868208153869</v>
      </c>
      <c r="AG2679">
        <v>-1.0930411797190001</v>
      </c>
      <c r="AH2679">
        <v>20.023228558563499</v>
      </c>
      <c r="AI2679">
        <v>92.629337520563794</v>
      </c>
      <c r="AJ2679">
        <v>57.272604710238497</v>
      </c>
      <c r="AK2679">
        <v>23.826774897588098</v>
      </c>
    </row>
    <row r="2680" spans="1:37" x14ac:dyDescent="0.2">
      <c r="A2680" t="str">
        <f>"20200111154119094"</f>
        <v>20200111154119094</v>
      </c>
      <c r="B2680" t="str">
        <f>"1578728479088969"</f>
        <v>1578728479088969</v>
      </c>
      <c r="C2680" t="s">
        <v>37</v>
      </c>
      <c r="D2680">
        <v>5.5490709999999996</v>
      </c>
      <c r="E2680">
        <v>0.65188939999999995</v>
      </c>
      <c r="F2680" t="s">
        <v>39</v>
      </c>
      <c r="G2680">
        <v>-192.55629999999999</v>
      </c>
      <c r="H2680" s="1">
        <v>-7.4697059999999998E-7</v>
      </c>
      <c r="I2680">
        <v>179.7448</v>
      </c>
      <c r="J2680">
        <v>-191.53530000000001</v>
      </c>
      <c r="K2680">
        <v>1.093094</v>
      </c>
      <c r="L2680">
        <v>204.39609999999999</v>
      </c>
      <c r="M2680">
        <v>0.4994227</v>
      </c>
      <c r="N2680">
        <v>0</v>
      </c>
      <c r="O2680">
        <v>-0.86601149999999905</v>
      </c>
      <c r="P2680">
        <v>0.32678659999999998</v>
      </c>
      <c r="Q2680">
        <v>6.4687270000000005E-2</v>
      </c>
      <c r="R2680">
        <v>-0.94288209999999995</v>
      </c>
      <c r="S2680">
        <v>-0.1111755</v>
      </c>
      <c r="T2680">
        <v>-0.1424704</v>
      </c>
      <c r="U2680">
        <v>-3.2525629999999999</v>
      </c>
      <c r="V2680">
        <v>0.191661</v>
      </c>
      <c r="W2680">
        <v>8.0366919999999994E-2</v>
      </c>
      <c r="X2680">
        <v>0.97816519999999996</v>
      </c>
      <c r="Y2680">
        <v>0.52881579999999995</v>
      </c>
      <c r="Z2680">
        <v>3.1639180000000003E-2</v>
      </c>
      <c r="AA2680">
        <v>0.84814669999999903</v>
      </c>
      <c r="AB2680">
        <v>34</v>
      </c>
      <c r="AC2680">
        <v>-1.0209999999999799</v>
      </c>
      <c r="AD2680">
        <v>-1.0930947469706001</v>
      </c>
      <c r="AE2680">
        <v>-24.6512999999999</v>
      </c>
      <c r="AF2680">
        <v>13.173725623440101</v>
      </c>
      <c r="AG2680">
        <v>-1.0930947469706001</v>
      </c>
      <c r="AH2680">
        <v>20.803828765637299</v>
      </c>
      <c r="AI2680">
        <v>92.5417628756868</v>
      </c>
      <c r="AJ2680">
        <v>57.656552052438499</v>
      </c>
      <c r="AK2680">
        <v>24.648350740718801</v>
      </c>
    </row>
    <row r="2681" spans="1:37" x14ac:dyDescent="0.2">
      <c r="A2681" t="str">
        <f>"20200111154119119"</f>
        <v>20200111154119119</v>
      </c>
      <c r="B2681" t="str">
        <f>"1578728479108489"</f>
        <v>1578728479108489</v>
      </c>
      <c r="C2681" t="s">
        <v>37</v>
      </c>
      <c r="D2681">
        <v>5.477163</v>
      </c>
      <c r="E2681">
        <v>0.65066999999999997</v>
      </c>
      <c r="F2681" t="s">
        <v>39</v>
      </c>
      <c r="G2681">
        <v>-192.81360000000001</v>
      </c>
      <c r="H2681" s="1">
        <v>-4.476492E-6</v>
      </c>
      <c r="I2681">
        <v>178.6746</v>
      </c>
      <c r="J2681">
        <v>-191.36680000000001</v>
      </c>
      <c r="K2681">
        <v>1.0931629999999899</v>
      </c>
      <c r="L2681">
        <v>204.07730000000001</v>
      </c>
      <c r="M2681">
        <v>0.48168869999999903</v>
      </c>
      <c r="N2681">
        <v>0</v>
      </c>
      <c r="O2681">
        <v>-0.87599899999999997</v>
      </c>
      <c r="P2681">
        <v>0.30827589999999999</v>
      </c>
      <c r="Q2681">
        <v>6.6131869999999995E-2</v>
      </c>
      <c r="R2681">
        <v>-0.9489959</v>
      </c>
      <c r="S2681">
        <v>-0.16137699999999999</v>
      </c>
      <c r="T2681">
        <v>-0.13799349999999999</v>
      </c>
      <c r="U2681">
        <v>-3.2471009999999998</v>
      </c>
      <c r="V2681">
        <v>0.190893799999999</v>
      </c>
      <c r="W2681">
        <v>8.1883499999999998E-2</v>
      </c>
      <c r="X2681">
        <v>0.97818950000000005</v>
      </c>
      <c r="Y2681">
        <v>0.52467350000000001</v>
      </c>
      <c r="Z2681">
        <v>3.1370700000000001E-2</v>
      </c>
      <c r="AA2681">
        <v>0.85072539999999996</v>
      </c>
      <c r="AB2681">
        <v>33</v>
      </c>
      <c r="AC2681">
        <v>-1.4467999999999901</v>
      </c>
      <c r="AD2681">
        <v>-1.0931674764920001</v>
      </c>
      <c r="AE2681">
        <v>-25.402699999999999</v>
      </c>
      <c r="AF2681">
        <v>13.4827658289404</v>
      </c>
      <c r="AG2681">
        <v>-1.0931674764920001</v>
      </c>
      <c r="AH2681">
        <v>21.5225926467667</v>
      </c>
      <c r="AI2681">
        <v>92.464672038947199</v>
      </c>
      <c r="AJ2681">
        <v>57.935032779092502</v>
      </c>
      <c r="AK2681">
        <v>25.420503216269299</v>
      </c>
    </row>
    <row r="2682" spans="1:37" x14ac:dyDescent="0.2">
      <c r="A2682" t="str">
        <f>"20200111154119140"</f>
        <v>20200111154119140</v>
      </c>
      <c r="B2682" t="str">
        <f>"1578728479128985"</f>
        <v>1578728479128985</v>
      </c>
      <c r="C2682" t="s">
        <v>37</v>
      </c>
      <c r="D2682">
        <v>5.4857959999999997</v>
      </c>
      <c r="E2682">
        <v>0.63262280000000004</v>
      </c>
      <c r="F2682" t="s">
        <v>39</v>
      </c>
      <c r="G2682">
        <v>-193.1413</v>
      </c>
      <c r="H2682" s="1">
        <v>-4.0916290000000001E-6</v>
      </c>
      <c r="I2682">
        <v>177.37280000000001</v>
      </c>
      <c r="J2682">
        <v>-191.2209</v>
      </c>
      <c r="K2682">
        <v>1.0932090000000001</v>
      </c>
      <c r="L2682">
        <v>203.7869</v>
      </c>
      <c r="M2682">
        <v>0.46534989999999998</v>
      </c>
      <c r="N2682">
        <v>0</v>
      </c>
      <c r="O2682">
        <v>-0.88478609999999902</v>
      </c>
      <c r="P2682">
        <v>0.2918462</v>
      </c>
      <c r="Q2682">
        <v>6.7008029999999996E-2</v>
      </c>
      <c r="R2682">
        <v>-0.9541153</v>
      </c>
      <c r="S2682">
        <v>-0.215332</v>
      </c>
      <c r="T2682">
        <v>-0.132649499999999</v>
      </c>
      <c r="U2682">
        <v>-3.2404329999999999</v>
      </c>
      <c r="V2682">
        <v>0.1896322</v>
      </c>
      <c r="W2682">
        <v>8.2852480000000006E-2</v>
      </c>
      <c r="X2682">
        <v>0.97835329999999998</v>
      </c>
      <c r="Y2682">
        <v>0.52308449999999995</v>
      </c>
      <c r="Z2682">
        <v>3.075721E-2</v>
      </c>
      <c r="AA2682">
        <v>0.85172569999999903</v>
      </c>
      <c r="AB2682">
        <v>33</v>
      </c>
      <c r="AC2682">
        <v>-1.9204000000000001</v>
      </c>
      <c r="AD2682">
        <v>-1.0932130916289999</v>
      </c>
      <c r="AE2682">
        <v>-26.414099999999902</v>
      </c>
      <c r="AF2682">
        <v>13.9713563596111</v>
      </c>
      <c r="AG2682">
        <v>-1.0932130916289999</v>
      </c>
      <c r="AH2682">
        <v>22.445705201563399</v>
      </c>
      <c r="AI2682">
        <v>92.367766700727202</v>
      </c>
      <c r="AJ2682">
        <v>58.099750979937603</v>
      </c>
      <c r="AK2682">
        <v>26.461360422065301</v>
      </c>
    </row>
    <row r="2683" spans="1:37" x14ac:dyDescent="0.2">
      <c r="A2683" t="str">
        <f>"20200111154119162"</f>
        <v>20200111154119162</v>
      </c>
      <c r="B2683" t="str">
        <f>"1578728479158265"</f>
        <v>1578728479158265</v>
      </c>
      <c r="C2683" t="s">
        <v>37</v>
      </c>
      <c r="D2683">
        <v>5.4358259999999996</v>
      </c>
      <c r="E2683">
        <v>0.62653300000000001</v>
      </c>
      <c r="F2683" t="s">
        <v>46</v>
      </c>
      <c r="G2683">
        <v>-193.5309</v>
      </c>
      <c r="H2683" s="1">
        <v>-1.110307E-5</v>
      </c>
      <c r="I2683">
        <v>148.7886</v>
      </c>
      <c r="J2683">
        <v>-191.0814</v>
      </c>
      <c r="K2683">
        <v>1.0932539999999999</v>
      </c>
      <c r="L2683">
        <v>203.49520000000001</v>
      </c>
      <c r="M2683">
        <v>0.44874839999999999</v>
      </c>
      <c r="N2683">
        <v>0</v>
      </c>
      <c r="O2683">
        <v>-0.89332029999999996</v>
      </c>
      <c r="P2683">
        <v>0.27474579999999998</v>
      </c>
      <c r="Q2683">
        <v>6.6322599999999995E-2</v>
      </c>
      <c r="R2683">
        <v>-0.95922700000000005</v>
      </c>
      <c r="S2683">
        <v>-0.13397220000000001</v>
      </c>
      <c r="T2683">
        <v>-6.3402650000000005E-2</v>
      </c>
      <c r="U2683">
        <v>-3.1896969999999998</v>
      </c>
      <c r="V2683">
        <v>0.18883659999999999</v>
      </c>
      <c r="W2683">
        <v>8.2237080000000004E-2</v>
      </c>
      <c r="X2683">
        <v>0.97855899999999996</v>
      </c>
      <c r="Y2683">
        <v>0.48597619999999903</v>
      </c>
      <c r="Z2683">
        <v>1.5431810000000001E-2</v>
      </c>
      <c r="AA2683">
        <v>0.87383580000000005</v>
      </c>
      <c r="AB2683">
        <v>33</v>
      </c>
      <c r="AC2683">
        <v>-2.4495</v>
      </c>
      <c r="AD2683">
        <v>-1.09326510307</v>
      </c>
      <c r="AE2683">
        <v>-54.706600000000002</v>
      </c>
      <c r="AF2683">
        <v>26.735106183159001</v>
      </c>
      <c r="AG2683">
        <v>-1.09326510307</v>
      </c>
      <c r="AH2683">
        <v>47.766695535615298</v>
      </c>
      <c r="AI2683">
        <v>91.144165411959094</v>
      </c>
      <c r="AJ2683">
        <v>60.764181367019397</v>
      </c>
      <c r="AK2683">
        <v>54.750509893539402</v>
      </c>
    </row>
    <row r="2684" spans="1:37" x14ac:dyDescent="0.2">
      <c r="A2684" t="str">
        <f>"20200111154119184"</f>
        <v>20200111154119184</v>
      </c>
      <c r="B2684" t="str">
        <f>"1578728479178762"</f>
        <v>1578728479178762</v>
      </c>
      <c r="C2684" t="s">
        <v>37</v>
      </c>
      <c r="D2684">
        <v>5.5640369999999999</v>
      </c>
      <c r="E2684">
        <v>0.62366489999999997</v>
      </c>
      <c r="F2684" t="s">
        <v>39</v>
      </c>
      <c r="G2684">
        <v>-192.34180000000001</v>
      </c>
      <c r="H2684" s="1">
        <v>-3.2367400000000001E-6</v>
      </c>
      <c r="I2684">
        <v>175.6816</v>
      </c>
      <c r="J2684">
        <v>-190.94409999999999</v>
      </c>
      <c r="K2684">
        <v>1.0933029999999999</v>
      </c>
      <c r="L2684">
        <v>203.1919</v>
      </c>
      <c r="M2684">
        <v>0.43128759999999999</v>
      </c>
      <c r="N2684">
        <v>0</v>
      </c>
      <c r="O2684">
        <v>-0.9018794</v>
      </c>
      <c r="P2684">
        <v>0.2572622</v>
      </c>
      <c r="Q2684">
        <v>6.5385990000000005E-2</v>
      </c>
      <c r="R2684">
        <v>-0.96412710000000001</v>
      </c>
      <c r="S2684">
        <v>-0.1439819</v>
      </c>
      <c r="T2684">
        <v>-0.1248924</v>
      </c>
      <c r="U2684">
        <v>-3.1773989999999999</v>
      </c>
      <c r="V2684">
        <v>0.18757219999999999</v>
      </c>
      <c r="W2684">
        <v>8.1392590000000001E-2</v>
      </c>
      <c r="X2684">
        <v>0.97887279999999999</v>
      </c>
      <c r="Y2684">
        <v>0.47176960000000001</v>
      </c>
      <c r="Z2684">
        <v>3.1154270000000001E-2</v>
      </c>
      <c r="AA2684">
        <v>0.88117129999999999</v>
      </c>
      <c r="AB2684">
        <v>33</v>
      </c>
      <c r="AC2684">
        <v>-1.3977000000000099</v>
      </c>
      <c r="AD2684">
        <v>-1.0933062367399999</v>
      </c>
      <c r="AE2684">
        <v>-27.510300000000001</v>
      </c>
      <c r="AF2684">
        <v>13.1087267492519</v>
      </c>
      <c r="AG2684">
        <v>-1.0933062367399999</v>
      </c>
      <c r="AH2684">
        <v>24.177395529380899</v>
      </c>
      <c r="AI2684">
        <v>92.276482619566096</v>
      </c>
      <c r="AJ2684">
        <v>61.533921665451402</v>
      </c>
      <c r="AK2684">
        <v>27.524180098560201</v>
      </c>
    </row>
    <row r="2685" spans="1:37" x14ac:dyDescent="0.2">
      <c r="A2685" t="str">
        <f>"20200111154119207"</f>
        <v>20200111154119207</v>
      </c>
      <c r="B2685" t="str">
        <f>"1578728479198299"</f>
        <v>1578728479198299</v>
      </c>
      <c r="C2685" t="s">
        <v>37</v>
      </c>
      <c r="D2685">
        <v>5.4710989999999997</v>
      </c>
      <c r="E2685">
        <v>0.62072069999999901</v>
      </c>
      <c r="F2685" t="s">
        <v>39</v>
      </c>
      <c r="G2685">
        <v>-192.20160000000001</v>
      </c>
      <c r="H2685" s="1">
        <v>-1.2073089999999999E-6</v>
      </c>
      <c r="I2685">
        <v>181.03790000000001</v>
      </c>
      <c r="J2685">
        <v>-190.8098</v>
      </c>
      <c r="K2685">
        <v>1.093356</v>
      </c>
      <c r="L2685">
        <v>202.87719999999999</v>
      </c>
      <c r="M2685">
        <v>0.41294979999999998</v>
      </c>
      <c r="N2685">
        <v>0</v>
      </c>
      <c r="O2685">
        <v>-0.91042160000000005</v>
      </c>
      <c r="P2685">
        <v>0.2399635</v>
      </c>
      <c r="Q2685">
        <v>6.5146159999999995E-2</v>
      </c>
      <c r="R2685">
        <v>-0.9685937</v>
      </c>
      <c r="S2685">
        <v>-0.17994689999999999</v>
      </c>
      <c r="T2685">
        <v>-0.156452799999999</v>
      </c>
      <c r="U2685">
        <v>-3.170258</v>
      </c>
      <c r="V2685">
        <v>0.18527349999999901</v>
      </c>
      <c r="W2685">
        <v>8.1293249999999997E-2</v>
      </c>
      <c r="X2685">
        <v>0.97931869999999999</v>
      </c>
      <c r="Y2685">
        <v>0.4639411</v>
      </c>
      <c r="Z2685">
        <v>3.9817869999999998E-2</v>
      </c>
      <c r="AA2685">
        <v>0.8849707</v>
      </c>
      <c r="AB2685">
        <v>32</v>
      </c>
      <c r="AC2685">
        <v>-1.3918000000000099</v>
      </c>
      <c r="AD2685">
        <v>-1.0933572073090001</v>
      </c>
      <c r="AE2685">
        <v>-21.839299999999898</v>
      </c>
      <c r="AF2685">
        <v>10.2631527366069</v>
      </c>
      <c r="AG2685">
        <v>-1.0933572073090001</v>
      </c>
      <c r="AH2685">
        <v>19.265977530581299</v>
      </c>
      <c r="AI2685">
        <v>92.867383794404702</v>
      </c>
      <c r="AJ2685">
        <v>61.955386151570103</v>
      </c>
      <c r="AK2685">
        <v>21.856477856382998</v>
      </c>
    </row>
    <row r="2686" spans="1:37" x14ac:dyDescent="0.2">
      <c r="A2686" t="str">
        <f>"20200111154119229"</f>
        <v>20200111154119229</v>
      </c>
      <c r="B2686" t="str">
        <f>"1578728479218780"</f>
        <v>1578728479218780</v>
      </c>
      <c r="C2686" t="s">
        <v>37</v>
      </c>
      <c r="D2686">
        <v>5.6193949999999999</v>
      </c>
      <c r="E2686">
        <v>0.62082769999999898</v>
      </c>
      <c r="F2686" t="s">
        <v>39</v>
      </c>
      <c r="G2686">
        <v>-192.15180000000001</v>
      </c>
      <c r="H2686" s="1">
        <v>-2.0694469999999999E-6</v>
      </c>
      <c r="I2686">
        <v>183.07839999999999</v>
      </c>
      <c r="J2686">
        <v>-190.68989999999999</v>
      </c>
      <c r="K2686">
        <v>1.093404</v>
      </c>
      <c r="L2686">
        <v>202.57980000000001</v>
      </c>
      <c r="M2686">
        <v>0.39541670000000001</v>
      </c>
      <c r="N2686">
        <v>0</v>
      </c>
      <c r="O2686">
        <v>-0.91817219999999999</v>
      </c>
      <c r="P2686">
        <v>0.22324339999999901</v>
      </c>
      <c r="Q2686">
        <v>6.5491919999999995E-2</v>
      </c>
      <c r="R2686">
        <v>-0.97256039999999899</v>
      </c>
      <c r="S2686">
        <v>-0.21434020000000001</v>
      </c>
      <c r="T2686">
        <v>-0.17462459999999999</v>
      </c>
      <c r="U2686">
        <v>-3.16214</v>
      </c>
      <c r="V2686">
        <v>0.18336269999999999</v>
      </c>
      <c r="W2686">
        <v>8.1756129999999996E-2</v>
      </c>
      <c r="X2686">
        <v>0.97963979999999995</v>
      </c>
      <c r="Y2686">
        <v>0.456634599999999</v>
      </c>
      <c r="Z2686">
        <v>4.5271859999999997E-2</v>
      </c>
      <c r="AA2686">
        <v>0.88850180000000001</v>
      </c>
      <c r="AB2686">
        <v>32</v>
      </c>
      <c r="AC2686">
        <v>-1.46190000000001</v>
      </c>
      <c r="AD2686">
        <v>-1.093406069447</v>
      </c>
      <c r="AE2686">
        <v>-19.5014</v>
      </c>
      <c r="AF2686">
        <v>9.0279750854793601</v>
      </c>
      <c r="AG2686">
        <v>-1.093406069447</v>
      </c>
      <c r="AH2686">
        <v>17.278816833878501</v>
      </c>
      <c r="AI2686">
        <v>93.210127028147596</v>
      </c>
      <c r="AJ2686">
        <v>62.413470770169397</v>
      </c>
      <c r="AK2686">
        <v>19.5258132264821</v>
      </c>
    </row>
    <row r="2687" spans="1:37" x14ac:dyDescent="0.2">
      <c r="A2687" t="str">
        <f>"20200111154119251"</f>
        <v>20200111154119251</v>
      </c>
      <c r="B2687" t="str">
        <f>"1578728479238297"</f>
        <v>1578728479238297</v>
      </c>
      <c r="C2687" t="s">
        <v>37</v>
      </c>
      <c r="D2687">
        <v>5.3223880000000001</v>
      </c>
      <c r="E2687">
        <v>0.62042649999999999</v>
      </c>
      <c r="F2687" t="s">
        <v>39</v>
      </c>
      <c r="G2687">
        <v>-192.57550000000001</v>
      </c>
      <c r="H2687" s="1">
        <v>-1.0803310000000001E-6</v>
      </c>
      <c r="I2687">
        <v>180.50989999999999</v>
      </c>
      <c r="J2687">
        <v>-190.5771</v>
      </c>
      <c r="K2687">
        <v>1.0934459999999999</v>
      </c>
      <c r="L2687">
        <v>202.28280000000001</v>
      </c>
      <c r="M2687">
        <v>0.37770989999999999</v>
      </c>
      <c r="N2687">
        <v>0</v>
      </c>
      <c r="O2687">
        <v>-0.92559669999999905</v>
      </c>
      <c r="P2687">
        <v>0.20759079999999999</v>
      </c>
      <c r="Q2687">
        <v>6.5757769999999993E-2</v>
      </c>
      <c r="R2687">
        <v>-0.97600330000000002</v>
      </c>
      <c r="S2687">
        <v>-0.26974490000000001</v>
      </c>
      <c r="T2687">
        <v>-0.15641240000000001</v>
      </c>
      <c r="U2687">
        <v>-3.1571039999999999</v>
      </c>
      <c r="V2687">
        <v>0.1802811</v>
      </c>
      <c r="W2687">
        <v>8.2193370000000002E-2</v>
      </c>
      <c r="X2687">
        <v>0.98017500000000002</v>
      </c>
      <c r="Y2687">
        <v>0.45516960000000001</v>
      </c>
      <c r="Z2687">
        <v>4.1165149999999998E-2</v>
      </c>
      <c r="AA2687">
        <v>0.88945269999999999</v>
      </c>
      <c r="AB2687">
        <v>32</v>
      </c>
      <c r="AC2687">
        <v>-1.9984</v>
      </c>
      <c r="AD2687">
        <v>-1.0934470803309999</v>
      </c>
      <c r="AE2687">
        <v>-21.7729</v>
      </c>
      <c r="AF2687">
        <v>10.051466836501501</v>
      </c>
      <c r="AG2687">
        <v>-1.0934470803309999</v>
      </c>
      <c r="AH2687">
        <v>19.355580059954399</v>
      </c>
      <c r="AI2687">
        <v>92.870144941806501</v>
      </c>
      <c r="AJ2687">
        <v>62.556881782808603</v>
      </c>
      <c r="AK2687">
        <v>21.837263829062501</v>
      </c>
    </row>
    <row r="2688" spans="1:37" x14ac:dyDescent="0.2">
      <c r="A2688" t="str">
        <f>"20200111154119273"</f>
        <v>20200111154119273</v>
      </c>
      <c r="B2688" t="str">
        <f>"1578728479269074"</f>
        <v>1578728479269074</v>
      </c>
      <c r="C2688" t="s">
        <v>37</v>
      </c>
      <c r="D2688">
        <v>5.28423</v>
      </c>
      <c r="E2688">
        <v>0.61868529999999999</v>
      </c>
      <c r="F2688" t="s">
        <v>39</v>
      </c>
      <c r="G2688">
        <v>-192.90049999999999</v>
      </c>
      <c r="H2688" s="1">
        <v>-4.6795099999999997E-6</v>
      </c>
      <c r="I2688">
        <v>179.2259</v>
      </c>
      <c r="J2688">
        <v>-190.4658</v>
      </c>
      <c r="K2688">
        <v>1.0934889999999999</v>
      </c>
      <c r="L2688">
        <v>201.97040000000001</v>
      </c>
      <c r="M2688">
        <v>0.35886390000000001</v>
      </c>
      <c r="N2688">
        <v>0</v>
      </c>
      <c r="O2688">
        <v>-0.93306480000000003</v>
      </c>
      <c r="P2688">
        <v>0.19258800000000001</v>
      </c>
      <c r="Q2688">
        <v>6.5685610000000005E-2</v>
      </c>
      <c r="R2688">
        <v>-0.97907900000000003</v>
      </c>
      <c r="S2688">
        <v>-0.31755070000000002</v>
      </c>
      <c r="T2688">
        <v>-0.149451</v>
      </c>
      <c r="U2688">
        <v>-3.1513819999999999</v>
      </c>
      <c r="V2688">
        <v>0.17543429999999999</v>
      </c>
      <c r="W2688">
        <v>8.2376320000000003E-2</v>
      </c>
      <c r="X2688">
        <v>0.98103869999999904</v>
      </c>
      <c r="Y2688">
        <v>0.45063209999999998</v>
      </c>
      <c r="Z2688">
        <v>3.9964079999999999E-2</v>
      </c>
      <c r="AA2688">
        <v>0.89181480000000002</v>
      </c>
      <c r="AB2688">
        <v>32</v>
      </c>
      <c r="AC2688">
        <v>-2.4346999999999901</v>
      </c>
      <c r="AD2688">
        <v>-1.0934936795100001</v>
      </c>
      <c r="AE2688">
        <v>-22.744499999999999</v>
      </c>
      <c r="AF2688">
        <v>10.413282991845801</v>
      </c>
      <c r="AG2688">
        <v>-1.0934936795100001</v>
      </c>
      <c r="AH2688">
        <v>20.3081337765332</v>
      </c>
      <c r="AI2688">
        <v>92.743138598639504</v>
      </c>
      <c r="AJ2688">
        <v>62.8528751965598</v>
      </c>
      <c r="AK2688">
        <v>22.848467970106</v>
      </c>
    </row>
    <row r="2689" spans="1:37" x14ac:dyDescent="0.2">
      <c r="A2689" t="str">
        <f>"20200111154119289"</f>
        <v>20200111154119289</v>
      </c>
      <c r="B2689" t="str">
        <f>"1578728479278833"</f>
        <v>1578728479278833</v>
      </c>
      <c r="C2689" t="s">
        <v>37</v>
      </c>
      <c r="D2689">
        <v>5.2914659999999998</v>
      </c>
      <c r="E2689">
        <v>0.61798299999999995</v>
      </c>
      <c r="F2689" t="s">
        <v>39</v>
      </c>
      <c r="G2689">
        <v>-193.03280000000001</v>
      </c>
      <c r="H2689" s="1">
        <v>-4.6530399999999996E-6</v>
      </c>
      <c r="I2689">
        <v>179.07910000000001</v>
      </c>
      <c r="J2689">
        <v>-190.39330000000001</v>
      </c>
      <c r="K2689">
        <v>1.0935219999999899</v>
      </c>
      <c r="L2689">
        <v>201.755</v>
      </c>
      <c r="M2689">
        <v>0.34574429999999901</v>
      </c>
      <c r="N2689">
        <v>0</v>
      </c>
      <c r="O2689">
        <v>-0.93800539999999999</v>
      </c>
      <c r="P2689">
        <v>0.18153469999999999</v>
      </c>
      <c r="Q2689">
        <v>6.5996449999999998E-2</v>
      </c>
      <c r="R2689">
        <v>-0.98116759999999903</v>
      </c>
      <c r="S2689">
        <v>-0.3525085</v>
      </c>
      <c r="T2689">
        <v>-0.15016189999999999</v>
      </c>
      <c r="U2689">
        <v>-3.143494</v>
      </c>
      <c r="V2689">
        <v>0.17273920000000001</v>
      </c>
      <c r="W2689">
        <v>8.2830139999999997E-2</v>
      </c>
      <c r="X2689">
        <v>0.98147859999999998</v>
      </c>
      <c r="Y2689">
        <v>0.44813979999999998</v>
      </c>
      <c r="Z2689">
        <v>4.0612769999999999E-2</v>
      </c>
      <c r="AA2689">
        <v>0.89304050000000001</v>
      </c>
      <c r="AB2689">
        <v>32</v>
      </c>
      <c r="AC2689">
        <v>-2.6394999999999902</v>
      </c>
      <c r="AD2689">
        <v>-1.0935266530399901</v>
      </c>
      <c r="AE2689">
        <v>-22.675899999999899</v>
      </c>
      <c r="AF2689">
        <v>10.2954367339416</v>
      </c>
      <c r="AG2689">
        <v>-1.0935266530399901</v>
      </c>
      <c r="AH2689">
        <v>20.317086123693901</v>
      </c>
      <c r="AI2689">
        <v>92.748698064240003</v>
      </c>
      <c r="AJ2689">
        <v>63.126941192196398</v>
      </c>
      <c r="AK2689">
        <v>22.802978021326499</v>
      </c>
    </row>
    <row r="2690" spans="1:37" x14ac:dyDescent="0.2">
      <c r="A2690" t="str">
        <f>"20200111154119305"</f>
        <v>20200111154119305</v>
      </c>
      <c r="B2690" t="str">
        <f>"1578728479298352"</f>
        <v>1578728479298352</v>
      </c>
      <c r="C2690" t="s">
        <v>37</v>
      </c>
      <c r="D2690">
        <v>5.3020940000000003</v>
      </c>
      <c r="E2690">
        <v>0.61658409999999997</v>
      </c>
      <c r="F2690" t="s">
        <v>39</v>
      </c>
      <c r="G2690">
        <v>-193.2081</v>
      </c>
      <c r="H2690" s="1">
        <v>-4.5455579999999901E-6</v>
      </c>
      <c r="I2690">
        <v>178.67189999999999</v>
      </c>
      <c r="J2690">
        <v>-190.3246</v>
      </c>
      <c r="K2690">
        <v>1.0935549999999901</v>
      </c>
      <c r="L2690">
        <v>201.54140000000001</v>
      </c>
      <c r="M2690">
        <v>0.33263720000000002</v>
      </c>
      <c r="N2690">
        <v>0</v>
      </c>
      <c r="O2690">
        <v>-0.94273280000000004</v>
      </c>
      <c r="P2690">
        <v>0.17110129999999901</v>
      </c>
      <c r="Q2690">
        <v>6.6525050000000002E-2</v>
      </c>
      <c r="R2690">
        <v>-0.98300520000000002</v>
      </c>
      <c r="S2690">
        <v>-0.38270569999999998</v>
      </c>
      <c r="T2690">
        <v>-0.148677</v>
      </c>
      <c r="U2690">
        <v>-3.1383969999999999</v>
      </c>
      <c r="V2690">
        <v>0.1694889</v>
      </c>
      <c r="W2690">
        <v>8.3526279999999994E-2</v>
      </c>
      <c r="X2690">
        <v>0.98198619999999903</v>
      </c>
      <c r="Y2690">
        <v>0.44431540000000003</v>
      </c>
      <c r="Z2690">
        <v>4.0634699999999899E-2</v>
      </c>
      <c r="AA2690">
        <v>0.89494839999999998</v>
      </c>
      <c r="AB2690">
        <v>32</v>
      </c>
      <c r="AC2690">
        <v>-2.88349999999999</v>
      </c>
      <c r="AD2690">
        <v>-1.0935595455579901</v>
      </c>
      <c r="AE2690">
        <v>-22.869499999999999</v>
      </c>
      <c r="AF2690">
        <v>10.3055586535872</v>
      </c>
      <c r="AG2690">
        <v>-1.0935595455579901</v>
      </c>
      <c r="AH2690">
        <v>20.560650985324202</v>
      </c>
      <c r="AI2690">
        <v>92.722280514019701</v>
      </c>
      <c r="AJ2690">
        <v>63.378723218513997</v>
      </c>
      <c r="AK2690">
        <v>23.024786222297902</v>
      </c>
    </row>
    <row r="2691" spans="1:37" x14ac:dyDescent="0.2">
      <c r="A2691" t="str">
        <f>"20200111154119319"</f>
        <v>20200111154119319</v>
      </c>
      <c r="B2691" t="str">
        <f>"1578728479309089"</f>
        <v>1578728479309089</v>
      </c>
      <c r="C2691" t="s">
        <v>37</v>
      </c>
      <c r="D2691">
        <v>5.341183</v>
      </c>
      <c r="E2691">
        <v>0.61574459999999998</v>
      </c>
      <c r="F2691" t="s">
        <v>39</v>
      </c>
      <c r="G2691">
        <v>-193.3304</v>
      </c>
      <c r="H2691" s="1">
        <v>-4.4478979999999997E-6</v>
      </c>
      <c r="I2691">
        <v>178.3212</v>
      </c>
      <c r="J2691">
        <v>-190.26259999999999</v>
      </c>
      <c r="K2691">
        <v>1.0935900000000001</v>
      </c>
      <c r="L2691">
        <v>201.33699999999999</v>
      </c>
      <c r="M2691">
        <v>0.31998470000000001</v>
      </c>
      <c r="N2691">
        <v>0</v>
      </c>
      <c r="O2691">
        <v>-0.94710219999999901</v>
      </c>
      <c r="P2691">
        <v>0.16451109999999999</v>
      </c>
      <c r="Q2691">
        <v>6.8144499999999997E-2</v>
      </c>
      <c r="R2691">
        <v>-0.98401879999999997</v>
      </c>
      <c r="S2691">
        <v>-0.40547179999999999</v>
      </c>
      <c r="T2691">
        <v>-0.1475214</v>
      </c>
      <c r="U2691">
        <v>-3.1324160000000001</v>
      </c>
      <c r="V2691">
        <v>0.16294020000000001</v>
      </c>
      <c r="W2691">
        <v>8.5466739999999999E-2</v>
      </c>
      <c r="X2691">
        <v>0.982927199999999</v>
      </c>
      <c r="Y2691">
        <v>0.43892239999999999</v>
      </c>
      <c r="Z2691">
        <v>4.074846E-2</v>
      </c>
      <c r="AA2691">
        <v>0.89760049999999902</v>
      </c>
      <c r="AB2691">
        <v>31</v>
      </c>
      <c r="AC2691">
        <v>-3.0678000000000001</v>
      </c>
      <c r="AD2691">
        <v>-1.093594447898</v>
      </c>
      <c r="AE2691">
        <v>-23.015799999999999</v>
      </c>
      <c r="AF2691">
        <v>10.25060502388</v>
      </c>
      <c r="AG2691">
        <v>-1.093594447898</v>
      </c>
      <c r="AH2691">
        <v>20.776900172798602</v>
      </c>
      <c r="AI2691">
        <v>92.702519568402295</v>
      </c>
      <c r="AJ2691">
        <v>63.739859793127799</v>
      </c>
      <c r="AK2691">
        <v>23.193758491510199</v>
      </c>
    </row>
    <row r="2692" spans="1:37" x14ac:dyDescent="0.2">
      <c r="A2692" t="str">
        <f>"20200111154119341"</f>
        <v>20200111154119341</v>
      </c>
      <c r="B2692" t="str">
        <f>"1578728479328607"</f>
        <v>1578728479328607</v>
      </c>
      <c r="C2692" t="s">
        <v>37</v>
      </c>
      <c r="D2692">
        <v>5.3207800000000001</v>
      </c>
      <c r="E2692">
        <v>0.61394499999999996</v>
      </c>
      <c r="F2692" t="s">
        <v>39</v>
      </c>
      <c r="G2692">
        <v>-193.4984</v>
      </c>
      <c r="H2692" s="1">
        <v>-4.1145549999999998E-6</v>
      </c>
      <c r="I2692">
        <v>177.25399999999999</v>
      </c>
      <c r="J2692">
        <v>-190.1797</v>
      </c>
      <c r="K2692">
        <v>1.0936520000000001</v>
      </c>
      <c r="L2692">
        <v>201.04689999999999</v>
      </c>
      <c r="M2692">
        <v>0.3018825</v>
      </c>
      <c r="N2692">
        <v>0</v>
      </c>
      <c r="O2692">
        <v>-0.95302629999999999</v>
      </c>
      <c r="P2692">
        <v>0.1522597</v>
      </c>
      <c r="Q2692">
        <v>7.0021200000000006E-2</v>
      </c>
      <c r="R2692">
        <v>-0.98585719999999999</v>
      </c>
      <c r="S2692">
        <v>-0.42039490000000002</v>
      </c>
      <c r="T2692">
        <v>-0.14207879999999901</v>
      </c>
      <c r="U2692">
        <v>-3.1288299999999998</v>
      </c>
      <c r="V2692">
        <v>0.1564625</v>
      </c>
      <c r="W2692">
        <v>8.7661439999999993E-2</v>
      </c>
      <c r="X2692">
        <v>0.98378600000000005</v>
      </c>
      <c r="Y2692">
        <v>0.42610789999999998</v>
      </c>
      <c r="Z2692">
        <v>3.9824020000000002E-2</v>
      </c>
      <c r="AA2692">
        <v>0.90379540000000003</v>
      </c>
      <c r="AB2692">
        <v>31</v>
      </c>
      <c r="AC2692">
        <v>-3.3187000000000002</v>
      </c>
      <c r="AD2692">
        <v>-1.0936561145549999</v>
      </c>
      <c r="AE2692">
        <v>-23.7928999999999</v>
      </c>
      <c r="AF2692">
        <v>10.327210738810299</v>
      </c>
      <c r="AG2692">
        <v>-1.0936561145549999</v>
      </c>
      <c r="AH2692">
        <v>21.635152582878401</v>
      </c>
      <c r="AI2692">
        <v>92.611981302503196</v>
      </c>
      <c r="AJ2692">
        <v>64.483234030124393</v>
      </c>
      <c r="AK2692">
        <v>23.998483131754998</v>
      </c>
    </row>
    <row r="2693" spans="1:37" x14ac:dyDescent="0.2">
      <c r="A2693" t="str">
        <f>"20200111154119357"</f>
        <v>20200111154119357</v>
      </c>
      <c r="B2693" t="str">
        <f>"1578728479349003"</f>
        <v>1578728479349003</v>
      </c>
      <c r="C2693" t="s">
        <v>37</v>
      </c>
      <c r="D2693">
        <v>5.3662780000000003</v>
      </c>
      <c r="E2693">
        <v>0.61215889999999995</v>
      </c>
      <c r="F2693" t="s">
        <v>39</v>
      </c>
      <c r="G2693">
        <v>-193.69829999999999</v>
      </c>
      <c r="H2693" s="1">
        <v>-3.8544549999999902E-6</v>
      </c>
      <c r="I2693">
        <v>176.38550000000001</v>
      </c>
      <c r="J2693">
        <v>-190.1198</v>
      </c>
      <c r="K2693">
        <v>1.093693</v>
      </c>
      <c r="L2693">
        <v>200.82089999999999</v>
      </c>
      <c r="M2693">
        <v>0.2876455</v>
      </c>
      <c r="N2693">
        <v>0</v>
      </c>
      <c r="O2693">
        <v>-0.95741969999999998</v>
      </c>
      <c r="P2693">
        <v>0.14109189999999999</v>
      </c>
      <c r="Q2693">
        <v>7.075331E-2</v>
      </c>
      <c r="R2693">
        <v>-0.98746509999999998</v>
      </c>
      <c r="S2693">
        <v>-0.44538879999999997</v>
      </c>
      <c r="T2693">
        <v>-0.13843659999999999</v>
      </c>
      <c r="U2693">
        <v>-3.1216740000000001</v>
      </c>
      <c r="V2693">
        <v>0.15294050000000001</v>
      </c>
      <c r="W2693">
        <v>8.8569129999999996E-2</v>
      </c>
      <c r="X2693">
        <v>0.98425849999999904</v>
      </c>
      <c r="Y2693">
        <v>0.4199948</v>
      </c>
      <c r="Z2693">
        <v>3.9227110000000003E-2</v>
      </c>
      <c r="AA2693">
        <v>0.9066784</v>
      </c>
      <c r="AB2693">
        <v>31</v>
      </c>
      <c r="AC2693">
        <v>-3.5784999999999898</v>
      </c>
      <c r="AD2693">
        <v>-1.0936968544550001</v>
      </c>
      <c r="AE2693">
        <v>-24.435399999999898</v>
      </c>
      <c r="AF2693">
        <v>10.4375658269254</v>
      </c>
      <c r="AG2693">
        <v>-1.0936968544550001</v>
      </c>
      <c r="AH2693">
        <v>22.3285989064183</v>
      </c>
      <c r="AI2693">
        <v>92.540729336471699</v>
      </c>
      <c r="AJ2693">
        <v>64.9461310527564</v>
      </c>
      <c r="AK2693">
        <v>24.671953354458001</v>
      </c>
    </row>
    <row r="2694" spans="1:37" x14ac:dyDescent="0.2">
      <c r="A2694" t="str">
        <f>"20200111154119375"</f>
        <v>20200111154119375</v>
      </c>
      <c r="B2694" t="str">
        <f>"1578728479368510"</f>
        <v>1578728479368510</v>
      </c>
      <c r="C2694" t="s">
        <v>37</v>
      </c>
      <c r="D2694">
        <v>5.3932010000000004</v>
      </c>
      <c r="E2694">
        <v>0.6111761</v>
      </c>
      <c r="F2694" t="s">
        <v>39</v>
      </c>
      <c r="G2694">
        <v>-193.7868</v>
      </c>
      <c r="H2694" s="1">
        <v>-3.8666770000000002E-6</v>
      </c>
      <c r="I2694">
        <v>176.37530000000001</v>
      </c>
      <c r="J2694">
        <v>-190.05879999999999</v>
      </c>
      <c r="K2694">
        <v>1.0937479999999999</v>
      </c>
      <c r="L2694">
        <v>200.57509999999999</v>
      </c>
      <c r="M2694">
        <v>0.27205209999999902</v>
      </c>
      <c r="N2694">
        <v>0</v>
      </c>
      <c r="O2694">
        <v>-0.96196659999999901</v>
      </c>
      <c r="P2694">
        <v>0.1317448</v>
      </c>
      <c r="Q2694">
        <v>7.1759809999999993E-2</v>
      </c>
      <c r="R2694">
        <v>-0.98868289999999903</v>
      </c>
      <c r="S2694">
        <v>-0.46723940000000003</v>
      </c>
      <c r="T2694">
        <v>-0.1393575</v>
      </c>
      <c r="U2694">
        <v>-3.1148220000000002</v>
      </c>
      <c r="V2694">
        <v>0.1462647</v>
      </c>
      <c r="W2694">
        <v>8.9896580000000004E-2</v>
      </c>
      <c r="X2694">
        <v>0.98515239999999904</v>
      </c>
      <c r="Y2694">
        <v>0.41173589999999999</v>
      </c>
      <c r="Z2694">
        <v>3.9942749999999999E-2</v>
      </c>
      <c r="AA2694">
        <v>0.91042749999999995</v>
      </c>
      <c r="AB2694">
        <v>31</v>
      </c>
      <c r="AC2694">
        <v>-3.7280000000000002</v>
      </c>
      <c r="AD2694">
        <v>-1.0937518666769901</v>
      </c>
      <c r="AE2694">
        <v>-24.1997999999999</v>
      </c>
      <c r="AF2694">
        <v>10.152651992376301</v>
      </c>
      <c r="AG2694">
        <v>-1.0937518666769901</v>
      </c>
      <c r="AH2694">
        <v>22.227607102005699</v>
      </c>
      <c r="AI2694">
        <v>92.562787239347799</v>
      </c>
      <c r="AJ2694">
        <v>65.451039228396994</v>
      </c>
      <c r="AK2694">
        <v>24.460972039256699</v>
      </c>
    </row>
    <row r="2695" spans="1:37" x14ac:dyDescent="0.2">
      <c r="A2695" t="str">
        <f>"20200111154119397"</f>
        <v>20200111154119397</v>
      </c>
      <c r="B2695" t="str">
        <f>"1578728479389008"</f>
        <v>1578728479389008</v>
      </c>
      <c r="C2695" t="s">
        <v>37</v>
      </c>
      <c r="D2695">
        <v>5.404083</v>
      </c>
      <c r="E2695">
        <v>0.58510949999999995</v>
      </c>
      <c r="F2695" t="s">
        <v>39</v>
      </c>
      <c r="G2695">
        <v>-193.95920000000001</v>
      </c>
      <c r="H2695" s="1">
        <v>-3.7018689999999999E-6</v>
      </c>
      <c r="I2695">
        <v>175.80119999999999</v>
      </c>
      <c r="J2695">
        <v>-189.988</v>
      </c>
      <c r="K2695">
        <v>1.0938139999999901</v>
      </c>
      <c r="L2695">
        <v>200.26560000000001</v>
      </c>
      <c r="M2695">
        <v>0.252251</v>
      </c>
      <c r="N2695">
        <v>0</v>
      </c>
      <c r="O2695">
        <v>-0.96734799999999999</v>
      </c>
      <c r="P2695">
        <v>0.11817179999999999</v>
      </c>
      <c r="Q2695">
        <v>7.2262359999999998E-2</v>
      </c>
      <c r="R2695">
        <v>-0.99036029999999997</v>
      </c>
      <c r="S2695">
        <v>-0.48956300000000003</v>
      </c>
      <c r="T2695">
        <v>-0.13728409999999999</v>
      </c>
      <c r="U2695">
        <v>-3.1095429999999999</v>
      </c>
      <c r="V2695">
        <v>0.1395469</v>
      </c>
      <c r="W2695">
        <v>9.0718599999999996E-2</v>
      </c>
      <c r="X2695">
        <v>0.98605109999999996</v>
      </c>
      <c r="Y2695">
        <v>0.39961049999999998</v>
      </c>
      <c r="Z2695">
        <v>3.9868929999999997E-2</v>
      </c>
      <c r="AA2695">
        <v>0.91581759999999901</v>
      </c>
      <c r="AB2695">
        <v>31</v>
      </c>
      <c r="AC2695">
        <v>-3.9712000000000001</v>
      </c>
      <c r="AD2695">
        <v>-1.0938177018689901</v>
      </c>
      <c r="AE2695">
        <v>-24.464400000000001</v>
      </c>
      <c r="AF2695">
        <v>9.9962734908521398</v>
      </c>
      <c r="AG2695">
        <v>-1.0938177018689901</v>
      </c>
      <c r="AH2695">
        <v>22.6266637313445</v>
      </c>
      <c r="AI2695">
        <v>92.531906049382997</v>
      </c>
      <c r="AJ2695">
        <v>66.164553606470506</v>
      </c>
      <c r="AK2695">
        <v>24.760610502977801</v>
      </c>
    </row>
    <row r="2696" spans="1:37" x14ac:dyDescent="0.2">
      <c r="A2696" t="str">
        <f>"20200111154119412"</f>
        <v>20200111154119412</v>
      </c>
      <c r="B2696" t="str">
        <f>"1578728479398766"</f>
        <v>1578728479398766</v>
      </c>
      <c r="C2696" t="s">
        <v>37</v>
      </c>
      <c r="D2696">
        <v>5.3980809999999897</v>
      </c>
      <c r="E2696">
        <v>0.58522580000000002</v>
      </c>
      <c r="F2696" t="s">
        <v>39</v>
      </c>
      <c r="G2696">
        <v>-191.62979999999999</v>
      </c>
      <c r="H2696" s="1">
        <v>-2.6806689999999998E-6</v>
      </c>
      <c r="I2696">
        <v>184.827</v>
      </c>
      <c r="J2696">
        <v>-189.9478</v>
      </c>
      <c r="K2696">
        <v>1.093858</v>
      </c>
      <c r="L2696">
        <v>200.0735</v>
      </c>
      <c r="M2696">
        <v>0.23987559999999999</v>
      </c>
      <c r="N2696">
        <v>0</v>
      </c>
      <c r="O2696">
        <v>-0.97049089999999905</v>
      </c>
      <c r="P2696">
        <v>0.10871689999999901</v>
      </c>
      <c r="Q2696">
        <v>7.2202080000000002E-2</v>
      </c>
      <c r="R2696">
        <v>-0.99144709999999903</v>
      </c>
      <c r="S2696">
        <v>-0.32800289999999999</v>
      </c>
      <c r="T2696">
        <v>-0.21851979999999999</v>
      </c>
      <c r="U2696">
        <v>-3.0842900000000002</v>
      </c>
      <c r="V2696">
        <v>0.1363473</v>
      </c>
      <c r="W2696">
        <v>9.0808360000000005E-2</v>
      </c>
      <c r="X2696">
        <v>0.98649039999999999</v>
      </c>
      <c r="Y2696">
        <v>0.34101359999999997</v>
      </c>
      <c r="Z2696">
        <v>6.5262100000000003E-2</v>
      </c>
      <c r="AA2696">
        <v>0.93779029999999997</v>
      </c>
      <c r="AB2696">
        <v>31</v>
      </c>
      <c r="AC2696">
        <v>-1.68199999999998</v>
      </c>
      <c r="AD2696">
        <v>-1.0938606806690001</v>
      </c>
      <c r="AE2696">
        <v>-15.2464999999999</v>
      </c>
      <c r="AF2696">
        <v>5.2644632509517004</v>
      </c>
      <c r="AG2696">
        <v>-1.0938606806690001</v>
      </c>
      <c r="AH2696">
        <v>14.324642483491299</v>
      </c>
      <c r="AI2696">
        <v>94.099666848814806</v>
      </c>
      <c r="AJ2696">
        <v>69.821066190615298</v>
      </c>
      <c r="AK2696">
        <v>15.3005387744739</v>
      </c>
    </row>
    <row r="2697" spans="1:37" x14ac:dyDescent="0.2">
      <c r="A2697" t="str">
        <f>"20200111154119429"</f>
        <v>20200111154119429</v>
      </c>
      <c r="B2697" t="str">
        <f>"1578728479418286"</f>
        <v>1578728479418286</v>
      </c>
      <c r="C2697" t="s">
        <v>37</v>
      </c>
      <c r="D2697">
        <v>5.45519</v>
      </c>
      <c r="E2697">
        <v>0.58319650000000001</v>
      </c>
      <c r="F2697" t="s">
        <v>39</v>
      </c>
      <c r="G2697">
        <v>-191.77719999999999</v>
      </c>
      <c r="H2697" s="1">
        <v>-2.5244790000000002E-6</v>
      </c>
      <c r="I2697">
        <v>184.37139999999999</v>
      </c>
      <c r="J2697">
        <v>-189.8997</v>
      </c>
      <c r="K2697">
        <v>1.0939219999999901</v>
      </c>
      <c r="L2697">
        <v>199.82589999999999</v>
      </c>
      <c r="M2697">
        <v>0.22384889999999999</v>
      </c>
      <c r="N2697">
        <v>0</v>
      </c>
      <c r="O2697">
        <v>-0.97431290000000004</v>
      </c>
      <c r="P2697">
        <v>9.906326E-2</v>
      </c>
      <c r="Q2697">
        <v>7.2268070000000004E-2</v>
      </c>
      <c r="R2697">
        <v>-0.99245360000000005</v>
      </c>
      <c r="S2697">
        <v>-0.35894779999999998</v>
      </c>
      <c r="T2697">
        <v>-0.214623799999999</v>
      </c>
      <c r="U2697">
        <v>-3.0808559999999998</v>
      </c>
      <c r="V2697">
        <v>0.1296678</v>
      </c>
      <c r="W2697">
        <v>9.118018E-2</v>
      </c>
      <c r="X2697">
        <v>0.98735629999999996</v>
      </c>
      <c r="Y2697">
        <v>0.33493659999999997</v>
      </c>
      <c r="Z2697">
        <v>6.4613260000000006E-2</v>
      </c>
      <c r="AA2697">
        <v>0.94002260000000004</v>
      </c>
      <c r="AB2697">
        <v>31</v>
      </c>
      <c r="AC2697">
        <v>-1.87749999999999</v>
      </c>
      <c r="AD2697">
        <v>-1.0939245244789999</v>
      </c>
      <c r="AE2697">
        <v>-15.4544999999999</v>
      </c>
      <c r="AF2697">
        <v>5.2643561745551901</v>
      </c>
      <c r="AG2697">
        <v>-1.0939245244789999</v>
      </c>
      <c r="AH2697">
        <v>14.569742562576399</v>
      </c>
      <c r="AI2697">
        <v>94.0391721739053</v>
      </c>
      <c r="AJ2697">
        <v>70.1341401377247</v>
      </c>
      <c r="AK2697">
        <v>15.5302129778566</v>
      </c>
    </row>
    <row r="2698" spans="1:37" x14ac:dyDescent="0.2">
      <c r="A2698" t="str">
        <f>"20200111154119453"</f>
        <v>20200111154119453</v>
      </c>
      <c r="B2698" t="str">
        <f>"1578728479449158"</f>
        <v>1578728479449158</v>
      </c>
      <c r="C2698" t="s">
        <v>37</v>
      </c>
      <c r="D2698">
        <v>5.4156309999999896</v>
      </c>
      <c r="E2698">
        <v>0.58093219999999901</v>
      </c>
      <c r="F2698" t="s">
        <v>39</v>
      </c>
      <c r="G2698">
        <v>-191.7269</v>
      </c>
      <c r="H2698" s="1">
        <v>-2.6947779999999998E-6</v>
      </c>
      <c r="I2698">
        <v>184.7996</v>
      </c>
      <c r="J2698">
        <v>-189.8466</v>
      </c>
      <c r="K2698">
        <v>1.0940179999999999</v>
      </c>
      <c r="L2698">
        <v>199.5204</v>
      </c>
      <c r="M2698">
        <v>0.20398229999999901</v>
      </c>
      <c r="N2698">
        <v>0</v>
      </c>
      <c r="O2698">
        <v>-0.97866589999999998</v>
      </c>
      <c r="P2698">
        <v>8.5960529999999993E-2</v>
      </c>
      <c r="Q2698">
        <v>7.1842690000000001E-2</v>
      </c>
      <c r="R2698">
        <v>-0.99370509999999901</v>
      </c>
      <c r="S2698">
        <v>-0.37409969999999998</v>
      </c>
      <c r="T2698">
        <v>-0.22396959999999999</v>
      </c>
      <c r="U2698">
        <v>-3.0764619999999998</v>
      </c>
      <c r="V2698">
        <v>0.1225648</v>
      </c>
      <c r="W2698">
        <v>9.1071440000000004E-2</v>
      </c>
      <c r="X2698">
        <v>0.98827310000000002</v>
      </c>
      <c r="Y2698">
        <v>0.32042320000000002</v>
      </c>
      <c r="Z2698">
        <v>6.8144949999999996E-2</v>
      </c>
      <c r="AA2698">
        <v>0.944820199999999</v>
      </c>
      <c r="AB2698">
        <v>30</v>
      </c>
      <c r="AC2698">
        <v>-1.8803000000000001</v>
      </c>
      <c r="AD2698">
        <v>-1.094020694778</v>
      </c>
      <c r="AE2698">
        <v>-14.720799999999899</v>
      </c>
      <c r="AF2698">
        <v>4.8182472654567698</v>
      </c>
      <c r="AG2698">
        <v>-1.094020694778</v>
      </c>
      <c r="AH2698">
        <v>13.951615834135501</v>
      </c>
      <c r="AI2698">
        <v>94.2389952214277</v>
      </c>
      <c r="AJ2698">
        <v>70.947438871341305</v>
      </c>
      <c r="AK2698">
        <v>14.800674727017901</v>
      </c>
    </row>
    <row r="2699" spans="1:37" x14ac:dyDescent="0.2">
      <c r="A2699" t="str">
        <f>"20200111154119476"</f>
        <v>20200111154119476</v>
      </c>
      <c r="B2699" t="str">
        <f>"1578728479468668"</f>
        <v>1578728479468668</v>
      </c>
      <c r="C2699" t="s">
        <v>37</v>
      </c>
      <c r="D2699">
        <v>5.4799059999999997</v>
      </c>
      <c r="E2699">
        <v>0.57971010000000001</v>
      </c>
      <c r="F2699" t="s">
        <v>39</v>
      </c>
      <c r="G2699">
        <v>-191.72919999999999</v>
      </c>
      <c r="H2699" s="1">
        <v>-2.7793070000000002E-6</v>
      </c>
      <c r="I2699">
        <v>184.99520000000001</v>
      </c>
      <c r="J2699">
        <v>-189.79679999999999</v>
      </c>
      <c r="K2699">
        <v>1.094139</v>
      </c>
      <c r="L2699">
        <v>199.19159999999999</v>
      </c>
      <c r="M2699">
        <v>0.1825138</v>
      </c>
      <c r="N2699">
        <v>0</v>
      </c>
      <c r="O2699">
        <v>-0.98289720000000003</v>
      </c>
      <c r="P2699">
        <v>7.0671419999999999E-2</v>
      </c>
      <c r="Q2699">
        <v>7.1412500000000004E-2</v>
      </c>
      <c r="R2699">
        <v>-0.9949403</v>
      </c>
      <c r="S2699">
        <v>-0.39791870000000001</v>
      </c>
      <c r="T2699">
        <v>-0.2312382</v>
      </c>
      <c r="U2699">
        <v>-3.0701290000000001</v>
      </c>
      <c r="V2699">
        <v>0.11607779999999999</v>
      </c>
      <c r="W2699">
        <v>9.0916620000000004E-2</v>
      </c>
      <c r="X2699">
        <v>0.98907040000000002</v>
      </c>
      <c r="Y2699">
        <v>0.30708570000000002</v>
      </c>
      <c r="Z2699">
        <v>7.1095399999999906E-2</v>
      </c>
      <c r="AA2699">
        <v>0.94902260000000005</v>
      </c>
      <c r="AB2699">
        <v>30</v>
      </c>
      <c r="AC2699">
        <v>-1.9323999999999999</v>
      </c>
      <c r="AD2699">
        <v>-1.0941417793070001</v>
      </c>
      <c r="AE2699">
        <v>-14.196399999999899</v>
      </c>
      <c r="AF2699">
        <v>4.4656972914326101</v>
      </c>
      <c r="AG2699">
        <v>-1.0941417793070001</v>
      </c>
      <c r="AH2699">
        <v>13.5261221914679</v>
      </c>
      <c r="AI2699">
        <v>94.392430694764002</v>
      </c>
      <c r="AJ2699">
        <v>71.729176518971002</v>
      </c>
      <c r="AK2699">
        <v>14.2862024369828</v>
      </c>
    </row>
    <row r="2700" spans="1:37" x14ac:dyDescent="0.2">
      <c r="A2700" t="str">
        <f>"20200111154119491"</f>
        <v>20200111154119491</v>
      </c>
      <c r="B2700" t="str">
        <f>"1578728479478429"</f>
        <v>1578728479478429</v>
      </c>
      <c r="C2700" t="s">
        <v>37</v>
      </c>
      <c r="D2700">
        <v>5.4482589999999904</v>
      </c>
      <c r="E2700">
        <v>0.57933159999999995</v>
      </c>
      <c r="F2700" t="s">
        <v>39</v>
      </c>
      <c r="G2700">
        <v>-191.83599999999899</v>
      </c>
      <c r="H2700" s="1">
        <v>-2.7438080000000001E-6</v>
      </c>
      <c r="I2700">
        <v>184.84630000000001</v>
      </c>
      <c r="J2700">
        <v>-189.7706</v>
      </c>
      <c r="K2700">
        <v>1.0942379999999901</v>
      </c>
      <c r="L2700">
        <v>198.99449999999999</v>
      </c>
      <c r="M2700">
        <v>0.1696588</v>
      </c>
      <c r="N2700">
        <v>0</v>
      </c>
      <c r="O2700">
        <v>-0.98519840000000003</v>
      </c>
      <c r="P2700">
        <v>6.0705769999999999E-2</v>
      </c>
      <c r="Q2700">
        <v>7.0727739999999997E-2</v>
      </c>
      <c r="R2700">
        <v>-0.99564680000000005</v>
      </c>
      <c r="S2700">
        <v>-0.4354095</v>
      </c>
      <c r="T2700">
        <v>-0.23361860000000001</v>
      </c>
      <c r="U2700">
        <v>-3.0629729999999999</v>
      </c>
      <c r="V2700">
        <v>0.11301319999999999</v>
      </c>
      <c r="W2700">
        <v>9.0362919999999999E-2</v>
      </c>
      <c r="X2700">
        <v>0.98947589999999996</v>
      </c>
      <c r="Y2700">
        <v>0.30633250000000001</v>
      </c>
      <c r="Z2700">
        <v>7.2200849999999997E-2</v>
      </c>
      <c r="AA2700">
        <v>0.94918250000000004</v>
      </c>
      <c r="AB2700">
        <v>30</v>
      </c>
      <c r="AC2700">
        <v>-2.0653999999999799</v>
      </c>
      <c r="AD2700">
        <v>-1.09424074380799</v>
      </c>
      <c r="AE2700">
        <v>-14.1481999999999</v>
      </c>
      <c r="AF2700">
        <v>4.4106937319972603</v>
      </c>
      <c r="AG2700">
        <v>-1.09424074380799</v>
      </c>
      <c r="AH2700">
        <v>13.5133034775578</v>
      </c>
      <c r="AI2700">
        <v>94.401856163302298</v>
      </c>
      <c r="AJ2700">
        <v>71.923503302927898</v>
      </c>
      <c r="AK2700">
        <v>14.256961558462001</v>
      </c>
    </row>
    <row r="2701" spans="1:37" x14ac:dyDescent="0.2">
      <c r="A2701" t="str">
        <f>"20200111154119508"</f>
        <v>20200111154119508</v>
      </c>
      <c r="B2701" t="str">
        <f>"1578728479498927"</f>
        <v>1578728479498927</v>
      </c>
      <c r="C2701" t="s">
        <v>37</v>
      </c>
      <c r="D2701">
        <v>5.4538399999999996</v>
      </c>
      <c r="E2701">
        <v>0.57826460000000002</v>
      </c>
      <c r="F2701" t="s">
        <v>39</v>
      </c>
      <c r="G2701">
        <v>-191.91159999999999</v>
      </c>
      <c r="H2701" s="1">
        <v>-2.7619099999999899E-6</v>
      </c>
      <c r="I2701">
        <v>184.8415</v>
      </c>
      <c r="J2701">
        <v>-189.7415</v>
      </c>
      <c r="K2701">
        <v>1.0944020000000001</v>
      </c>
      <c r="L2701">
        <v>198.74760000000001</v>
      </c>
      <c r="M2701">
        <v>0.15360889999999999</v>
      </c>
      <c r="N2701">
        <v>0</v>
      </c>
      <c r="O2701">
        <v>-0.98782909999999902</v>
      </c>
      <c r="P2701">
        <v>5.0378430000000002E-2</v>
      </c>
      <c r="Q2701">
        <v>6.9269499999999998E-2</v>
      </c>
      <c r="R2701">
        <v>-0.99632540000000003</v>
      </c>
      <c r="S2701">
        <v>-0.46263119999999902</v>
      </c>
      <c r="T2701">
        <v>-0.23644009999999999</v>
      </c>
      <c r="U2701">
        <v>-3.0581209999999999</v>
      </c>
      <c r="V2701">
        <v>0.10708569999999901</v>
      </c>
      <c r="W2701">
        <v>8.9168049999999999E-2</v>
      </c>
      <c r="X2701">
        <v>0.99024330000000005</v>
      </c>
      <c r="Y2701">
        <v>0.29930770000000001</v>
      </c>
      <c r="Z2701">
        <v>7.3524259999999994E-2</v>
      </c>
      <c r="AA2701">
        <v>0.95131960000000004</v>
      </c>
      <c r="AB2701">
        <v>30</v>
      </c>
      <c r="AC2701">
        <v>-2.1700999999999899</v>
      </c>
      <c r="AD2701">
        <v>-1.0944047619099999</v>
      </c>
      <c r="AE2701">
        <v>-13.9061</v>
      </c>
      <c r="AF2701">
        <v>4.2553394173484698</v>
      </c>
      <c r="AG2701">
        <v>-1.0944047619099999</v>
      </c>
      <c r="AH2701">
        <v>13.326933102508001</v>
      </c>
      <c r="AI2701">
        <v>94.473061861970507</v>
      </c>
      <c r="AJ2701">
        <v>72.291523520173996</v>
      </c>
      <c r="AK2701">
        <v>14.0325614646242</v>
      </c>
    </row>
    <row r="2702" spans="1:37" x14ac:dyDescent="0.2">
      <c r="A2702" t="str">
        <f>"20200111154119523"</f>
        <v>20200111154119523</v>
      </c>
      <c r="B2702" t="str">
        <f>"1578728479518446"</f>
        <v>1578728479518446</v>
      </c>
      <c r="C2702" t="s">
        <v>37</v>
      </c>
      <c r="D2702">
        <v>5.4555040000000004</v>
      </c>
      <c r="E2702">
        <v>0.57759240000000001</v>
      </c>
      <c r="F2702" t="s">
        <v>39</v>
      </c>
      <c r="G2702">
        <v>-191.92760000000001</v>
      </c>
      <c r="H2702" s="1">
        <v>-2.8352489999999998E-6</v>
      </c>
      <c r="I2702">
        <v>185.0026</v>
      </c>
      <c r="J2702">
        <v>-189.72200000000001</v>
      </c>
      <c r="K2702">
        <v>1.0945549999999999</v>
      </c>
      <c r="L2702">
        <v>198.5626</v>
      </c>
      <c r="M2702">
        <v>0.1416316</v>
      </c>
      <c r="N2702">
        <v>0</v>
      </c>
      <c r="O2702">
        <v>-0.989618199999999</v>
      </c>
      <c r="P2702">
        <v>4.1427310000000002E-2</v>
      </c>
      <c r="Q2702">
        <v>6.8691959999999996E-2</v>
      </c>
      <c r="R2702">
        <v>-0.99677769999999999</v>
      </c>
      <c r="S2702">
        <v>-0.4854889</v>
      </c>
      <c r="T2702">
        <v>-0.2430474</v>
      </c>
      <c r="U2702">
        <v>-3.052505</v>
      </c>
      <c r="V2702">
        <v>0.1039293</v>
      </c>
      <c r="W2702">
        <v>8.8732980000000003E-2</v>
      </c>
      <c r="X2702">
        <v>0.99061860000000002</v>
      </c>
      <c r="Y2702">
        <v>0.29493520000000001</v>
      </c>
      <c r="Z2702">
        <v>7.592604E-2</v>
      </c>
      <c r="AA2702">
        <v>0.95249589999999995</v>
      </c>
      <c r="AB2702">
        <v>30</v>
      </c>
      <c r="AC2702">
        <v>-2.2056</v>
      </c>
      <c r="AD2702">
        <v>-1.094557835249</v>
      </c>
      <c r="AE2702">
        <v>-13.56</v>
      </c>
      <c r="AF2702">
        <v>4.0785607952538001</v>
      </c>
      <c r="AG2702">
        <v>-1.094557835249</v>
      </c>
      <c r="AH2702">
        <v>13.0280513772117</v>
      </c>
      <c r="AI2702">
        <v>94.584071450836404</v>
      </c>
      <c r="AJ2702">
        <v>72.616752864071302</v>
      </c>
      <c r="AK2702">
        <v>13.6953582538959</v>
      </c>
    </row>
    <row r="2703" spans="1:37" x14ac:dyDescent="0.2">
      <c r="A2703" t="str">
        <f>"20200111154119536"</f>
        <v>20200111154119536</v>
      </c>
      <c r="B2703" t="str">
        <f>"1578728479529181"</f>
        <v>1578728479529181</v>
      </c>
      <c r="C2703" t="s">
        <v>37</v>
      </c>
      <c r="D2703">
        <v>5.4508369999999999</v>
      </c>
      <c r="E2703">
        <v>0.56697010000000003</v>
      </c>
      <c r="F2703" t="s">
        <v>39</v>
      </c>
      <c r="G2703">
        <v>-191.99789999999999</v>
      </c>
      <c r="H2703" s="1">
        <v>-2.81181699999999E-6</v>
      </c>
      <c r="I2703">
        <v>184.90440000000001</v>
      </c>
      <c r="J2703">
        <v>-189.7046</v>
      </c>
      <c r="K2703">
        <v>1.0947610000000001</v>
      </c>
      <c r="L2703">
        <v>198.3655</v>
      </c>
      <c r="M2703">
        <v>0.12901019999999999</v>
      </c>
      <c r="N2703">
        <v>0</v>
      </c>
      <c r="O2703">
        <v>-0.99134389999999994</v>
      </c>
      <c r="P2703">
        <v>3.1613189999999999E-2</v>
      </c>
      <c r="Q2703">
        <v>6.8168389999999995E-2</v>
      </c>
      <c r="R2703">
        <v>-0.99717309999999904</v>
      </c>
      <c r="S2703">
        <v>-0.50784300000000004</v>
      </c>
      <c r="T2703">
        <v>-0.2442357</v>
      </c>
      <c r="U2703">
        <v>-3.0476380000000001</v>
      </c>
      <c r="V2703">
        <v>0.10099180000000001</v>
      </c>
      <c r="W2703">
        <v>8.8331649999999998E-2</v>
      </c>
      <c r="X2703">
        <v>0.99095820000000001</v>
      </c>
      <c r="Y2703">
        <v>0.28979149999999998</v>
      </c>
      <c r="Z2703">
        <v>7.6638490000000004E-2</v>
      </c>
      <c r="AA2703">
        <v>0.95401650000000005</v>
      </c>
      <c r="AB2703">
        <v>30</v>
      </c>
      <c r="AC2703">
        <v>-2.2932999999999799</v>
      </c>
      <c r="AD2703">
        <v>-1.094763811817</v>
      </c>
      <c r="AE2703">
        <v>-13.461099999999901</v>
      </c>
      <c r="AF2703">
        <v>3.9856405509436401</v>
      </c>
      <c r="AG2703">
        <v>-1.094763811817</v>
      </c>
      <c r="AH2703">
        <v>12.969233064235301</v>
      </c>
      <c r="AI2703">
        <v>94.613095376993599</v>
      </c>
      <c r="AJ2703">
        <v>72.917018793758203</v>
      </c>
      <c r="AK2703">
        <v>13.611937579912899</v>
      </c>
    </row>
    <row r="2704" spans="1:37" x14ac:dyDescent="0.2">
      <c r="A2704" t="str">
        <f>"20200111154119554"</f>
        <v>20200111154119554</v>
      </c>
      <c r="B2704" t="str">
        <f>"1578728479549318"</f>
        <v>1578728479549318</v>
      </c>
      <c r="C2704" t="s">
        <v>37</v>
      </c>
      <c r="D2704">
        <v>5.4587620000000001</v>
      </c>
      <c r="E2704">
        <v>0.56548940000000003</v>
      </c>
      <c r="F2704" t="s">
        <v>39</v>
      </c>
      <c r="G2704">
        <v>-191.64930000000001</v>
      </c>
      <c r="H2704" s="1">
        <v>-2.9055220000000001E-6</v>
      </c>
      <c r="I2704">
        <v>185.339</v>
      </c>
      <c r="J2704">
        <v>-189.6884</v>
      </c>
      <c r="K2704">
        <v>1.0950329999999999</v>
      </c>
      <c r="L2704">
        <v>198.15389999999999</v>
      </c>
      <c r="M2704">
        <v>0.11563319999999901</v>
      </c>
      <c r="N2704">
        <v>0</v>
      </c>
      <c r="O2704">
        <v>-0.99299490000000001</v>
      </c>
      <c r="P2704">
        <v>2.5791020000000001E-2</v>
      </c>
      <c r="Q2704">
        <v>6.7915820000000002E-2</v>
      </c>
      <c r="R2704">
        <v>-0.99735779999999996</v>
      </c>
      <c r="S2704">
        <v>-0.45388790000000001</v>
      </c>
      <c r="T2704">
        <v>-0.25551689999999999</v>
      </c>
      <c r="U2704">
        <v>-3.040375</v>
      </c>
      <c r="V2704">
        <v>9.3337210000000004E-2</v>
      </c>
      <c r="W2704">
        <v>8.8395769999999999E-2</v>
      </c>
      <c r="X2704">
        <v>0.99170270000000005</v>
      </c>
      <c r="Y2704">
        <v>0.26056370000000001</v>
      </c>
      <c r="Z2704">
        <v>8.1007999999999997E-2</v>
      </c>
      <c r="AA2704">
        <v>0.96205209999999997</v>
      </c>
      <c r="AB2704">
        <v>30</v>
      </c>
      <c r="AC2704">
        <v>-1.9609000000000001</v>
      </c>
      <c r="AD2704">
        <v>-1.095035905522</v>
      </c>
      <c r="AE2704">
        <v>-12.8148999999999</v>
      </c>
      <c r="AF2704">
        <v>3.4057051179995499</v>
      </c>
      <c r="AG2704">
        <v>-1.095035905522</v>
      </c>
      <c r="AH2704">
        <v>12.413507960470801</v>
      </c>
      <c r="AI2704">
        <v>94.862428408749295</v>
      </c>
      <c r="AJ2704">
        <v>74.658124176194306</v>
      </c>
      <c r="AK2704">
        <v>12.9187116567335</v>
      </c>
    </row>
    <row r="2705" spans="1:37" x14ac:dyDescent="0.2">
      <c r="A2705" t="str">
        <f>"20200111154119577"</f>
        <v>20200111154119577</v>
      </c>
      <c r="B2705" t="str">
        <f>"1578728479568833"</f>
        <v>1578728479568833</v>
      </c>
      <c r="C2705" t="s">
        <v>37</v>
      </c>
      <c r="D2705">
        <v>5.4410220000000002</v>
      </c>
      <c r="E2705">
        <v>0.56428540000000005</v>
      </c>
      <c r="F2705" t="s">
        <v>39</v>
      </c>
      <c r="G2705">
        <v>-191.643</v>
      </c>
      <c r="H2705" s="1">
        <v>-2.8778569999999999E-6</v>
      </c>
      <c r="I2705">
        <v>185.2784</v>
      </c>
      <c r="J2705">
        <v>-189.6688</v>
      </c>
      <c r="K2705">
        <v>1.095567</v>
      </c>
      <c r="L2705">
        <v>197.83250000000001</v>
      </c>
      <c r="M2705">
        <v>9.5792810000000006E-2</v>
      </c>
      <c r="N2705">
        <v>0</v>
      </c>
      <c r="O2705">
        <v>-0.9951082</v>
      </c>
      <c r="P2705">
        <v>1.2724859999999999E-2</v>
      </c>
      <c r="Q2705">
        <v>6.8468790000000002E-2</v>
      </c>
      <c r="R2705">
        <v>-0.99757229999999997</v>
      </c>
      <c r="S2705">
        <v>-0.46112059999999999</v>
      </c>
      <c r="T2705">
        <v>-0.25833089999999997</v>
      </c>
      <c r="U2705">
        <v>-3.0374599999999998</v>
      </c>
      <c r="V2705">
        <v>8.6424509999999996E-2</v>
      </c>
      <c r="W2705">
        <v>8.9207460000000002E-2</v>
      </c>
      <c r="X2705">
        <v>0.99225649999999999</v>
      </c>
      <c r="Y2705">
        <v>0.24361830000000001</v>
      </c>
      <c r="Z2705">
        <v>8.2410349999999993E-2</v>
      </c>
      <c r="AA2705">
        <v>0.96636359999999999</v>
      </c>
      <c r="AB2705">
        <v>29</v>
      </c>
      <c r="AC2705">
        <v>-1.97419999999999</v>
      </c>
      <c r="AD2705">
        <v>-1.095569877857</v>
      </c>
      <c r="AE2705">
        <v>-12.5541</v>
      </c>
      <c r="AF2705">
        <v>3.1446883848207401</v>
      </c>
      <c r="AG2705">
        <v>-1.095569877857</v>
      </c>
      <c r="AH2705">
        <v>12.216373393729199</v>
      </c>
      <c r="AI2705">
        <v>94.9636355394302</v>
      </c>
      <c r="AJ2705">
        <v>75.564555526354596</v>
      </c>
      <c r="AK2705">
        <v>12.6621134606317</v>
      </c>
    </row>
    <row r="2706" spans="1:37" x14ac:dyDescent="0.2">
      <c r="A2706" t="str">
        <f>"20200111154119591"</f>
        <v>20200111154119591</v>
      </c>
      <c r="B2706" t="str">
        <f>"1578728479578587"</f>
        <v>1578728479578587</v>
      </c>
      <c r="C2706" t="s">
        <v>37</v>
      </c>
      <c r="D2706">
        <v>5.4233589999999996</v>
      </c>
      <c r="E2706">
        <v>0.56337510000000002</v>
      </c>
      <c r="F2706" t="s">
        <v>39</v>
      </c>
      <c r="G2706">
        <v>-191.72839999999999</v>
      </c>
      <c r="H2706" s="1">
        <v>-2.843224E-6</v>
      </c>
      <c r="I2706">
        <v>185.1447</v>
      </c>
      <c r="J2706">
        <v>-189.66040000000001</v>
      </c>
      <c r="K2706">
        <v>1.095933</v>
      </c>
      <c r="L2706">
        <v>197.64949999999999</v>
      </c>
      <c r="M2706">
        <v>8.4837789999999996E-2</v>
      </c>
      <c r="N2706">
        <v>0</v>
      </c>
      <c r="O2706">
        <v>-0.9961042</v>
      </c>
      <c r="P2706">
        <v>4.6252330000000003E-3</v>
      </c>
      <c r="Q2706">
        <v>6.9671150000000001E-2</v>
      </c>
      <c r="R2706">
        <v>-0.99755969999999905</v>
      </c>
      <c r="S2706">
        <v>-0.49211120000000003</v>
      </c>
      <c r="T2706">
        <v>-0.26176700000000003</v>
      </c>
      <c r="U2706">
        <v>-3.0315249999999998</v>
      </c>
      <c r="V2706">
        <v>8.3514469999999993E-2</v>
      </c>
      <c r="W2706">
        <v>9.0500170000000005E-2</v>
      </c>
      <c r="X2706">
        <v>0.99238850000000001</v>
      </c>
      <c r="Y2706">
        <v>0.24285229999999899</v>
      </c>
      <c r="Z2706">
        <v>8.3729410000000004E-2</v>
      </c>
      <c r="AA2706">
        <v>0.96644300000000005</v>
      </c>
      <c r="AB2706">
        <v>29</v>
      </c>
      <c r="AC2706">
        <v>-2.0679999999999801</v>
      </c>
      <c r="AD2706">
        <v>-1.0959358432240001</v>
      </c>
      <c r="AE2706">
        <v>-12.5047999999999</v>
      </c>
      <c r="AF2706">
        <v>3.0985605078285299</v>
      </c>
      <c r="AG2706">
        <v>-1.0959358432240001</v>
      </c>
      <c r="AH2706">
        <v>12.193034591379</v>
      </c>
      <c r="AI2706">
        <v>94.978653179183794</v>
      </c>
      <c r="AJ2706">
        <v>75.741506214565803</v>
      </c>
      <c r="AK2706">
        <v>12.628232067067101</v>
      </c>
    </row>
    <row r="2707" spans="1:37" x14ac:dyDescent="0.2">
      <c r="A2707" t="str">
        <f>"20200111154119609"</f>
        <v>20200111154119609</v>
      </c>
      <c r="B2707" t="str">
        <f>"1578728479599087"</f>
        <v>1578728479599087</v>
      </c>
      <c r="C2707" t="s">
        <v>37</v>
      </c>
      <c r="D2707">
        <v>5.459784</v>
      </c>
      <c r="E2707">
        <v>0.56207339999999995</v>
      </c>
      <c r="F2707" t="s">
        <v>39</v>
      </c>
      <c r="G2707">
        <v>-191.82210000000001</v>
      </c>
      <c r="H2707" s="1">
        <v>-2.7165230000000002E-6</v>
      </c>
      <c r="I2707">
        <v>184.79130000000001</v>
      </c>
      <c r="J2707">
        <v>-189.65209999999999</v>
      </c>
      <c r="K2707">
        <v>1.0964849999999999</v>
      </c>
      <c r="L2707">
        <v>197.40599999999901</v>
      </c>
      <c r="M2707">
        <v>7.0683620000000003E-2</v>
      </c>
      <c r="N2707">
        <v>0</v>
      </c>
      <c r="O2707">
        <v>-0.99721199999999999</v>
      </c>
      <c r="P2707">
        <v>-3.6166990000000001E-3</v>
      </c>
      <c r="Q2707">
        <v>7.0824860000000003E-2</v>
      </c>
      <c r="R2707">
        <v>-0.99748230000000004</v>
      </c>
      <c r="S2707">
        <v>-0.50900270000000003</v>
      </c>
      <c r="T2707">
        <v>-0.25806190000000001</v>
      </c>
      <c r="U2707">
        <v>-3.0277400000000001</v>
      </c>
      <c r="V2707">
        <v>7.7521629999999994E-2</v>
      </c>
      <c r="W2707">
        <v>9.1846380000000005E-2</v>
      </c>
      <c r="X2707">
        <v>0.9927511</v>
      </c>
      <c r="Y2707">
        <v>0.23452239999999999</v>
      </c>
      <c r="Z2707">
        <v>8.2843319999999998E-2</v>
      </c>
      <c r="AA2707">
        <v>0.9685743</v>
      </c>
      <c r="AB2707">
        <v>29</v>
      </c>
      <c r="AC2707">
        <v>-2.1700000000000101</v>
      </c>
      <c r="AD2707">
        <v>-1.096487716523</v>
      </c>
      <c r="AE2707">
        <v>-12.6146999999999</v>
      </c>
      <c r="AF2707">
        <v>3.0342114483636502</v>
      </c>
      <c r="AG2707">
        <v>-1.096487716523</v>
      </c>
      <c r="AH2707">
        <v>12.33915546229</v>
      </c>
      <c r="AI2707">
        <v>94.931940435248293</v>
      </c>
      <c r="AJ2707">
        <v>76.185005781879596</v>
      </c>
      <c r="AK2707">
        <v>12.7539594616114</v>
      </c>
    </row>
    <row r="2708" spans="1:37" x14ac:dyDescent="0.2">
      <c r="A2708" t="str">
        <f>"20200111154119632"</f>
        <v>20200111154119632</v>
      </c>
      <c r="B2708" t="str">
        <f>"1578728479628364"</f>
        <v>1578728479628364</v>
      </c>
      <c r="C2708" t="s">
        <v>37</v>
      </c>
      <c r="D2708">
        <v>5.4786529999999898</v>
      </c>
      <c r="E2708">
        <v>0.55371709999999996</v>
      </c>
      <c r="F2708" t="s">
        <v>39</v>
      </c>
      <c r="G2708">
        <v>-191.9143</v>
      </c>
      <c r="H2708" s="1">
        <v>-2.5343949999999999E-6</v>
      </c>
      <c r="I2708">
        <v>184.30959999999999</v>
      </c>
      <c r="J2708">
        <v>-189.64609999999999</v>
      </c>
      <c r="K2708">
        <v>1.0972629999999901</v>
      </c>
      <c r="L2708">
        <v>197.1079</v>
      </c>
      <c r="M2708">
        <v>5.4183639999999998E-2</v>
      </c>
      <c r="N2708">
        <v>0</v>
      </c>
      <c r="O2708">
        <v>-0.9982491</v>
      </c>
      <c r="P2708">
        <v>-1.302969E-2</v>
      </c>
      <c r="Q2708">
        <v>7.0780549999999998E-2</v>
      </c>
      <c r="R2708">
        <v>-0.99740709999999999</v>
      </c>
      <c r="S2708">
        <v>-0.52229309999999995</v>
      </c>
      <c r="T2708">
        <v>-0.25315279999999901</v>
      </c>
      <c r="U2708">
        <v>-3.0236509999999899</v>
      </c>
      <c r="V2708">
        <v>7.0281689999999994E-2</v>
      </c>
      <c r="W2708">
        <v>9.2011620000000002E-2</v>
      </c>
      <c r="X2708">
        <v>0.99327459999999901</v>
      </c>
      <c r="Y2708">
        <v>0.22280220000000001</v>
      </c>
      <c r="Z2708">
        <v>8.1599000000000005E-2</v>
      </c>
      <c r="AA2708">
        <v>0.97144259999999905</v>
      </c>
      <c r="AB2708">
        <v>29</v>
      </c>
      <c r="AC2708">
        <v>-2.2682000000000002</v>
      </c>
      <c r="AD2708">
        <v>-1.097265534395</v>
      </c>
      <c r="AE2708">
        <v>-12.798299999999999</v>
      </c>
      <c r="AF2708">
        <v>2.9375845784746901</v>
      </c>
      <c r="AG2708">
        <v>-1.097265534395</v>
      </c>
      <c r="AH2708">
        <v>12.5669935407391</v>
      </c>
      <c r="AI2708">
        <v>94.859677867537599</v>
      </c>
      <c r="AJ2708">
        <v>76.843123742870304</v>
      </c>
      <c r="AK2708">
        <v>12.9523249442577</v>
      </c>
    </row>
    <row r="2709" spans="1:37" x14ac:dyDescent="0.2">
      <c r="A2709" t="str">
        <f>"20200111154119646"</f>
        <v>20200111154119646</v>
      </c>
      <c r="B2709" t="str">
        <f>"1578728479639100"</f>
        <v>1578728479639100</v>
      </c>
      <c r="C2709" t="s">
        <v>37</v>
      </c>
      <c r="D2709">
        <v>5.4620169999999897</v>
      </c>
      <c r="E2709">
        <v>0.55291469999999998</v>
      </c>
      <c r="F2709" t="s">
        <v>39</v>
      </c>
      <c r="G2709">
        <v>-191.6962</v>
      </c>
      <c r="H2709" s="1">
        <v>-2.482893E-6</v>
      </c>
      <c r="I2709">
        <v>184.32470000000001</v>
      </c>
      <c r="J2709">
        <v>-189.64429999999999</v>
      </c>
      <c r="K2709">
        <v>1.097839</v>
      </c>
      <c r="L2709">
        <v>196.90450000000001</v>
      </c>
      <c r="M2709">
        <v>4.3437249999999997E-2</v>
      </c>
      <c r="N2709">
        <v>0</v>
      </c>
      <c r="O2709">
        <v>-0.99877759999999904</v>
      </c>
      <c r="P2709">
        <v>-1.9640970000000001E-2</v>
      </c>
      <c r="Q2709">
        <v>7.0628839999999998E-2</v>
      </c>
      <c r="R2709">
        <v>-0.99730949999999996</v>
      </c>
      <c r="S2709">
        <v>-0.48432920000000002</v>
      </c>
      <c r="T2709">
        <v>-0.25921359999999999</v>
      </c>
      <c r="U2709">
        <v>-3.0198520000000002</v>
      </c>
      <c r="V2709">
        <v>6.603465E-2</v>
      </c>
      <c r="W2709">
        <v>9.1960799999999995E-2</v>
      </c>
      <c r="X2709">
        <v>0.99357059999999997</v>
      </c>
      <c r="Y2709">
        <v>0.200547799999999</v>
      </c>
      <c r="Z2709">
        <v>8.3998790000000004E-2</v>
      </c>
      <c r="AA2709">
        <v>0.97607619999999895</v>
      </c>
      <c r="AB2709">
        <v>29</v>
      </c>
      <c r="AC2709">
        <v>-2.05190000000001</v>
      </c>
      <c r="AD2709">
        <v>-1.0978414828930001</v>
      </c>
      <c r="AE2709">
        <v>-12.579800000000001</v>
      </c>
      <c r="AF2709">
        <v>2.5774251099626801</v>
      </c>
      <c r="AG2709">
        <v>-1.0978414828930001</v>
      </c>
      <c r="AH2709">
        <v>12.3868717214679</v>
      </c>
      <c r="AI2709">
        <v>94.959186188509193</v>
      </c>
      <c r="AJ2709">
        <v>78.245778794329993</v>
      </c>
      <c r="AK2709">
        <v>12.6997231136402</v>
      </c>
    </row>
    <row r="2710" spans="1:37" x14ac:dyDescent="0.2">
      <c r="A2710" t="str">
        <f>"20200111154119666"</f>
        <v>20200111154119666</v>
      </c>
      <c r="B2710" t="str">
        <f>"1578728479659192"</f>
        <v>1578728479659192</v>
      </c>
      <c r="C2710" t="s">
        <v>37</v>
      </c>
      <c r="D2710">
        <v>5.4653739999999997</v>
      </c>
      <c r="E2710">
        <v>0.55132840000000005</v>
      </c>
      <c r="F2710" t="s">
        <v>39</v>
      </c>
      <c r="G2710">
        <v>-191.71430000000001</v>
      </c>
      <c r="H2710" s="1">
        <v>-2.5087569999999999E-6</v>
      </c>
      <c r="I2710">
        <v>184.37379999999999</v>
      </c>
      <c r="J2710">
        <v>-189.6446</v>
      </c>
      <c r="K2710">
        <v>1.0985499999999999</v>
      </c>
      <c r="L2710">
        <v>196.66419999999999</v>
      </c>
      <c r="M2710">
        <v>3.1387539999999998E-2</v>
      </c>
      <c r="N2710">
        <v>0</v>
      </c>
      <c r="O2710">
        <v>-0.99923280000000003</v>
      </c>
      <c r="P2710">
        <v>-2.437402E-2</v>
      </c>
      <c r="Q2710">
        <v>7.0663879999999998E-2</v>
      </c>
      <c r="R2710">
        <v>-0.99720239999999905</v>
      </c>
      <c r="S2710">
        <v>-0.4983978</v>
      </c>
      <c r="T2710">
        <v>-0.26432679999999997</v>
      </c>
      <c r="U2710">
        <v>-3.0170140000000001</v>
      </c>
      <c r="V2710">
        <v>5.8594449999999999E-2</v>
      </c>
      <c r="W2710">
        <v>9.2178259999999998E-2</v>
      </c>
      <c r="X2710">
        <v>0.99401700000000004</v>
      </c>
      <c r="Y2710">
        <v>0.19328020000000001</v>
      </c>
      <c r="Z2710">
        <v>8.5812830000000007E-2</v>
      </c>
      <c r="AA2710">
        <v>0.97738369999999997</v>
      </c>
      <c r="AB2710">
        <v>29</v>
      </c>
      <c r="AC2710">
        <v>-2.0697000000000099</v>
      </c>
      <c r="AD2710">
        <v>-1.0985525087569901</v>
      </c>
      <c r="AE2710">
        <v>-12.2904</v>
      </c>
      <c r="AF2710">
        <v>2.4356285684858099</v>
      </c>
      <c r="AG2710">
        <v>-1.0985525087569901</v>
      </c>
      <c r="AH2710">
        <v>12.125160091096699</v>
      </c>
      <c r="AI2710">
        <v>95.076072670412998</v>
      </c>
      <c r="AJ2710">
        <v>78.641928951085006</v>
      </c>
      <c r="AK2710">
        <v>12.416062635668499</v>
      </c>
    </row>
    <row r="2711" spans="1:37" x14ac:dyDescent="0.2">
      <c r="A2711" t="str">
        <f>"20200111154119689"</f>
        <v>20200111154119689</v>
      </c>
      <c r="B2711" t="str">
        <f>"1578728479678714"</f>
        <v>1578728479678714</v>
      </c>
      <c r="C2711" t="s">
        <v>37</v>
      </c>
      <c r="D2711">
        <v>5.4229099999999999</v>
      </c>
      <c r="E2711">
        <v>0.54920069999999999</v>
      </c>
      <c r="F2711" t="s">
        <v>39</v>
      </c>
      <c r="G2711">
        <v>-191.70529999999999</v>
      </c>
      <c r="H2711" s="1">
        <v>-2.4422099999999999E-6</v>
      </c>
      <c r="I2711">
        <v>184.2243</v>
      </c>
      <c r="J2711">
        <v>-189.64869999999999</v>
      </c>
      <c r="K2711">
        <v>1.0994949999999999</v>
      </c>
      <c r="L2711">
        <v>196.36019999999999</v>
      </c>
      <c r="M2711">
        <v>1.731769E-2</v>
      </c>
      <c r="N2711">
        <v>0</v>
      </c>
      <c r="O2711">
        <v>-0.99958080000000005</v>
      </c>
      <c r="P2711">
        <v>-3.1739820000000002E-2</v>
      </c>
      <c r="Q2711">
        <v>7.0458099999999996E-2</v>
      </c>
      <c r="R2711">
        <v>-0.99700959999999905</v>
      </c>
      <c r="S2711">
        <v>-0.49945070000000003</v>
      </c>
      <c r="T2711">
        <v>-0.26625690000000002</v>
      </c>
      <c r="U2711">
        <v>-3.0150759999999899</v>
      </c>
      <c r="V2711">
        <v>5.1713870000000002E-2</v>
      </c>
      <c r="W2711">
        <v>9.2085669999999994E-2</v>
      </c>
      <c r="X2711">
        <v>0.99440729999999999</v>
      </c>
      <c r="Y2711">
        <v>0.1798739</v>
      </c>
      <c r="Z2711">
        <v>8.6642999999999998E-2</v>
      </c>
      <c r="AA2711">
        <v>0.97986649999999997</v>
      </c>
      <c r="AB2711">
        <v>29</v>
      </c>
      <c r="AC2711">
        <v>-2.0566</v>
      </c>
      <c r="AD2711">
        <v>-1.0994974422099999</v>
      </c>
      <c r="AE2711">
        <v>-12.1358999999999</v>
      </c>
      <c r="AF2711">
        <v>2.2485724226844899</v>
      </c>
      <c r="AG2711">
        <v>-1.0994974422099999</v>
      </c>
      <c r="AH2711">
        <v>12.0026846018736</v>
      </c>
      <c r="AI2711">
        <v>95.144920591208106</v>
      </c>
      <c r="AJ2711">
        <v>79.389249434211706</v>
      </c>
      <c r="AK2711">
        <v>12.2608894545843</v>
      </c>
    </row>
    <row r="2712" spans="1:37" x14ac:dyDescent="0.2">
      <c r="A2712" t="str">
        <f>"20200111154119704"</f>
        <v>20200111154119704</v>
      </c>
      <c r="B2712" t="str">
        <f>"1578728479699208"</f>
        <v>1578728479699208</v>
      </c>
      <c r="C2712" t="s">
        <v>37</v>
      </c>
      <c r="D2712">
        <v>5.3896709999999999</v>
      </c>
      <c r="E2712">
        <v>0.54772659999999995</v>
      </c>
      <c r="F2712" t="s">
        <v>38</v>
      </c>
      <c r="G2712">
        <v>-189.80029999999999</v>
      </c>
      <c r="H2712">
        <v>1.017852</v>
      </c>
      <c r="I2712">
        <v>195.45189999999999</v>
      </c>
      <c r="J2712">
        <v>-189.6525</v>
      </c>
      <c r="K2712">
        <v>1.1000650000000001</v>
      </c>
      <c r="L2712">
        <v>196.17850000000001</v>
      </c>
      <c r="M2712">
        <v>9.3914819999999996E-3</v>
      </c>
      <c r="N2712">
        <v>0</v>
      </c>
      <c r="O2712">
        <v>-0.99968969999999902</v>
      </c>
      <c r="P2712">
        <v>-3.568118E-2</v>
      </c>
      <c r="Q2712">
        <v>6.9293560000000004E-2</v>
      </c>
      <c r="R2712">
        <v>-0.99695809999999996</v>
      </c>
      <c r="S2712">
        <v>-0.5027161</v>
      </c>
      <c r="T2712">
        <v>-0.27073720000000001</v>
      </c>
      <c r="U2712">
        <v>-3.0121310000000001</v>
      </c>
      <c r="V2712">
        <v>4.7593820000000002E-2</v>
      </c>
      <c r="W2712">
        <v>9.0975979999999998E-2</v>
      </c>
      <c r="X2712">
        <v>0.99471520000000002</v>
      </c>
      <c r="Y2712">
        <v>0.17323640000000001</v>
      </c>
      <c r="Z2712">
        <v>8.8233240000000004E-2</v>
      </c>
      <c r="AA2712">
        <v>0.98092000000000001</v>
      </c>
      <c r="AB2712">
        <v>28</v>
      </c>
      <c r="AC2712">
        <v>-0.147799999999989</v>
      </c>
      <c r="AD2712">
        <v>-8.2212999999999994E-2</v>
      </c>
      <c r="AE2712">
        <v>-0.72660000000001901</v>
      </c>
      <c r="AF2712">
        <v>0.152741390817245</v>
      </c>
      <c r="AG2712">
        <v>-8.2212999999999994E-2</v>
      </c>
      <c r="AH2712">
        <v>0.71637264529209599</v>
      </c>
      <c r="AI2712">
        <v>96.4040756124175</v>
      </c>
      <c r="AJ2712">
        <v>77.963910091024999</v>
      </c>
      <c r="AK2712">
        <v>0.73707440381591205</v>
      </c>
    </row>
    <row r="2713" spans="1:37" x14ac:dyDescent="0.2">
      <c r="A2713" t="str">
        <f>"20200111154119720"</f>
        <v>20200111154119720</v>
      </c>
      <c r="B2713" t="str">
        <f>"1578728479708968"</f>
        <v>1578728479708968</v>
      </c>
      <c r="C2713" t="s">
        <v>37</v>
      </c>
      <c r="D2713">
        <v>5.4284179999999997</v>
      </c>
      <c r="E2713">
        <v>0.54705389999999998</v>
      </c>
      <c r="F2713" t="s">
        <v>38</v>
      </c>
      <c r="G2713">
        <v>-189.81530000000001</v>
      </c>
      <c r="H2713">
        <v>1.009695</v>
      </c>
      <c r="I2713">
        <v>195.2038</v>
      </c>
      <c r="J2713">
        <v>-189.6592</v>
      </c>
      <c r="K2713">
        <v>1.1007629999999999</v>
      </c>
      <c r="L2713">
        <v>195.9562</v>
      </c>
      <c r="M2713">
        <v>4.8167769999999998E-4</v>
      </c>
      <c r="N2713">
        <v>0</v>
      </c>
      <c r="O2713">
        <v>-0.99973769999999995</v>
      </c>
      <c r="P2713">
        <v>-3.662381E-2</v>
      </c>
      <c r="Q2713">
        <v>6.7145529999999995E-2</v>
      </c>
      <c r="R2713">
        <v>-0.99707089999999998</v>
      </c>
      <c r="S2713">
        <v>-0.50250240000000002</v>
      </c>
      <c r="T2713">
        <v>-0.27906750000000002</v>
      </c>
      <c r="U2713">
        <v>-3.0105740000000001</v>
      </c>
      <c r="V2713">
        <v>3.9444010000000002E-2</v>
      </c>
      <c r="W2713">
        <v>8.8962390000000002E-2</v>
      </c>
      <c r="X2713">
        <v>0.99525370000000002</v>
      </c>
      <c r="Y2713">
        <v>0.1644263</v>
      </c>
      <c r="Z2713">
        <v>9.1047459999999997E-2</v>
      </c>
      <c r="AA2713">
        <v>0.98217840000000001</v>
      </c>
      <c r="AB2713">
        <v>28</v>
      </c>
      <c r="AC2713">
        <v>-0.15610000000000901</v>
      </c>
      <c r="AD2713">
        <v>-9.1067999999999899E-2</v>
      </c>
      <c r="AE2713">
        <v>-0.75239999999999396</v>
      </c>
      <c r="AF2713">
        <v>0.154295363779892</v>
      </c>
      <c r="AG2713">
        <v>-9.1067999999999899E-2</v>
      </c>
      <c r="AH2713">
        <v>0.74190441957710296</v>
      </c>
      <c r="AI2713">
        <v>96.852798628061706</v>
      </c>
      <c r="AJ2713">
        <v>78.251552869304206</v>
      </c>
      <c r="AK2713">
        <v>0.76323168677408004</v>
      </c>
    </row>
    <row r="2714" spans="1:37" x14ac:dyDescent="0.2">
      <c r="A2714" t="str">
        <f>"20200111154119743"</f>
        <v>20200111154119743</v>
      </c>
      <c r="B2714" t="str">
        <f>"1578728479739224"</f>
        <v>1578728479739224</v>
      </c>
      <c r="C2714" t="s">
        <v>37</v>
      </c>
      <c r="D2714">
        <v>5.3768440000000002</v>
      </c>
      <c r="E2714">
        <v>0.53724189999999905</v>
      </c>
      <c r="F2714" t="s">
        <v>38</v>
      </c>
      <c r="G2714">
        <v>-189.78599999999901</v>
      </c>
      <c r="H2714">
        <v>1.027887</v>
      </c>
      <c r="I2714">
        <v>195.19319999999999</v>
      </c>
      <c r="J2714">
        <v>-189.66980000000001</v>
      </c>
      <c r="K2714">
        <v>1.101669</v>
      </c>
      <c r="L2714">
        <v>195.67259999999999</v>
      </c>
      <c r="M2714">
        <v>-9.9547230000000004E-3</v>
      </c>
      <c r="N2714">
        <v>0</v>
      </c>
      <c r="O2714">
        <v>-0.9996929</v>
      </c>
      <c r="P2714">
        <v>-3.9901859999999997E-2</v>
      </c>
      <c r="Q2714">
        <v>6.6671140000000004E-2</v>
      </c>
      <c r="R2714">
        <v>-0.9969768</v>
      </c>
      <c r="S2714">
        <v>-0.49980159999999901</v>
      </c>
      <c r="T2714">
        <v>-0.2873349</v>
      </c>
      <c r="U2714">
        <v>-3.0098419999999999</v>
      </c>
      <c r="V2714">
        <v>3.2107169999999997E-2</v>
      </c>
      <c r="W2714">
        <v>8.8543949999999996E-2</v>
      </c>
      <c r="X2714">
        <v>0.99555469999999902</v>
      </c>
      <c r="Y2714">
        <v>0.15325929999999999</v>
      </c>
      <c r="Z2714">
        <v>9.3828179999999997E-2</v>
      </c>
      <c r="AA2714">
        <v>0.98372139999999997</v>
      </c>
      <c r="AB2714">
        <v>28</v>
      </c>
      <c r="AC2714">
        <v>-0.116199999999963</v>
      </c>
      <c r="AD2714">
        <v>-7.3782E-2</v>
      </c>
      <c r="AE2714">
        <v>-0.47939999999999799</v>
      </c>
      <c r="AF2714">
        <v>0.10898252457665999</v>
      </c>
      <c r="AG2714">
        <v>-7.3782E-2</v>
      </c>
      <c r="AH2714">
        <v>0.47001788296484998</v>
      </c>
      <c r="AI2714">
        <v>98.694322050740297</v>
      </c>
      <c r="AJ2714">
        <v>76.945577520751002</v>
      </c>
      <c r="AK2714">
        <v>0.48809608121133502</v>
      </c>
    </row>
    <row r="2715" spans="1:37" x14ac:dyDescent="0.2">
      <c r="A2715" t="str">
        <f>"20200111154119756"</f>
        <v>20200111154119756</v>
      </c>
      <c r="B2715" t="str">
        <f>"1578728479748984"</f>
        <v>1578728479748984</v>
      </c>
      <c r="C2715" t="s">
        <v>37</v>
      </c>
      <c r="D2715">
        <v>5.4078029999999897</v>
      </c>
      <c r="E2715">
        <v>0.53715900000000005</v>
      </c>
      <c r="F2715" t="s">
        <v>38</v>
      </c>
      <c r="G2715">
        <v>-189.77430000000001</v>
      </c>
      <c r="H2715">
        <v>1.027728</v>
      </c>
      <c r="I2715">
        <v>194.94200000000001</v>
      </c>
      <c r="J2715">
        <v>-189.67779999999999</v>
      </c>
      <c r="K2715">
        <v>1.1022829999999999</v>
      </c>
      <c r="L2715">
        <v>195.494</v>
      </c>
      <c r="M2715">
        <v>-1.5742760000000001E-2</v>
      </c>
      <c r="N2715">
        <v>0</v>
      </c>
      <c r="O2715">
        <v>-0.99962169999999895</v>
      </c>
      <c r="P2715">
        <v>-4.2761099999999899E-2</v>
      </c>
      <c r="Q2715">
        <v>6.7861980000000002E-2</v>
      </c>
      <c r="R2715">
        <v>-0.99677819999999995</v>
      </c>
      <c r="S2715">
        <v>-0.43118289999999998</v>
      </c>
      <c r="T2715">
        <v>-0.30485820000000002</v>
      </c>
      <c r="U2715">
        <v>-3.012222</v>
      </c>
      <c r="V2715">
        <v>2.909076E-2</v>
      </c>
      <c r="W2715">
        <v>8.9712790000000001E-2</v>
      </c>
      <c r="X2715">
        <v>0.99554279999999995</v>
      </c>
      <c r="Y2715">
        <v>0.12538779999999999</v>
      </c>
      <c r="Z2715">
        <v>9.9773589999999995E-2</v>
      </c>
      <c r="AA2715">
        <v>0.98707809999999996</v>
      </c>
      <c r="AB2715">
        <v>28</v>
      </c>
      <c r="AC2715">
        <v>-9.6500000000020195E-2</v>
      </c>
      <c r="AD2715">
        <v>-7.4554999999999899E-2</v>
      </c>
      <c r="AE2715">
        <v>-0.55200000000002003</v>
      </c>
      <c r="AF2715">
        <v>8.6268764683671506E-2</v>
      </c>
      <c r="AG2715">
        <v>-7.4554999999999899E-2</v>
      </c>
      <c r="AH2715">
        <v>0.54382479837440301</v>
      </c>
      <c r="AI2715">
        <v>97.710995250870596</v>
      </c>
      <c r="AJ2715">
        <v>80.986086512232006</v>
      </c>
      <c r="AK2715">
        <v>0.55564931306716003</v>
      </c>
    </row>
    <row r="2716" spans="1:37" x14ac:dyDescent="0.2">
      <c r="A2716" t="str">
        <f>"20200111154119769"</f>
        <v>20200111154119769</v>
      </c>
      <c r="B2716" t="str">
        <f>"1578728479759438"</f>
        <v>1578728479759438</v>
      </c>
      <c r="C2716" t="s">
        <v>37</v>
      </c>
      <c r="D2716">
        <v>5.3805120000000004</v>
      </c>
      <c r="E2716">
        <v>0.53659029999999996</v>
      </c>
      <c r="F2716" t="s">
        <v>38</v>
      </c>
      <c r="G2716">
        <v>-189.7945</v>
      </c>
      <c r="H2716">
        <v>1.022929</v>
      </c>
      <c r="I2716">
        <v>194.6927</v>
      </c>
      <c r="J2716">
        <v>-189.68549999999999</v>
      </c>
      <c r="K2716">
        <v>1.102851</v>
      </c>
      <c r="L2716">
        <v>195.3349</v>
      </c>
      <c r="M2716">
        <v>-2.055937E-2</v>
      </c>
      <c r="N2716">
        <v>0</v>
      </c>
      <c r="O2716">
        <v>-0.9995368</v>
      </c>
      <c r="P2716">
        <v>-4.5635380000000003E-2</v>
      </c>
      <c r="Q2716">
        <v>6.9474339999999996E-2</v>
      </c>
      <c r="R2716">
        <v>-0.99653950000000002</v>
      </c>
      <c r="S2716">
        <v>-0.43786619999999998</v>
      </c>
      <c r="T2716">
        <v>-0.29806739999999998</v>
      </c>
      <c r="U2716">
        <v>-3.011215</v>
      </c>
      <c r="V2716">
        <v>2.707509E-2</v>
      </c>
      <c r="W2716">
        <v>9.1286549999999994E-2</v>
      </c>
      <c r="X2716">
        <v>0.99545649999999997</v>
      </c>
      <c r="Y2716">
        <v>0.1228308</v>
      </c>
      <c r="Z2716">
        <v>9.7592330000000005E-2</v>
      </c>
      <c r="AA2716">
        <v>0.98761749999999904</v>
      </c>
      <c r="AB2716">
        <v>28</v>
      </c>
      <c r="AC2716">
        <v>-0.10900000000000799</v>
      </c>
      <c r="AD2716">
        <v>-7.9922000000000007E-2</v>
      </c>
      <c r="AE2716">
        <v>-0.64220000000000199</v>
      </c>
      <c r="AF2716">
        <v>9.4350032359722003E-2</v>
      </c>
      <c r="AG2716">
        <v>-7.9922000000000007E-2</v>
      </c>
      <c r="AH2716">
        <v>0.63475007144817597</v>
      </c>
      <c r="AI2716">
        <v>97.099214095081507</v>
      </c>
      <c r="AJ2716">
        <v>81.545388103277006</v>
      </c>
      <c r="AK2716">
        <v>0.64668161245990696</v>
      </c>
    </row>
    <row r="2717" spans="1:37" x14ac:dyDescent="0.2">
      <c r="A2717" t="str">
        <f>"20200111154119788"</f>
        <v>20200111154119788</v>
      </c>
      <c r="B2717" t="str">
        <f>"1578728479778957"</f>
        <v>1578728479778957</v>
      </c>
      <c r="C2717" t="s">
        <v>37</v>
      </c>
      <c r="D2717">
        <v>5.3775760000000004</v>
      </c>
      <c r="E2717">
        <v>0.53574679999999997</v>
      </c>
      <c r="F2717" t="s">
        <v>38</v>
      </c>
      <c r="G2717">
        <v>-189.81540000000001</v>
      </c>
      <c r="H2717">
        <v>1.01593</v>
      </c>
      <c r="I2717">
        <v>194.4462</v>
      </c>
      <c r="J2717">
        <v>-189.69829999999999</v>
      </c>
      <c r="K2717">
        <v>1.103761</v>
      </c>
      <c r="L2717">
        <v>195.0898</v>
      </c>
      <c r="M2717">
        <v>-2.7225840000000001E-2</v>
      </c>
      <c r="N2717">
        <v>0</v>
      </c>
      <c r="O2717">
        <v>-0.99938139999999998</v>
      </c>
      <c r="P2717">
        <v>-4.8031480000000001E-2</v>
      </c>
      <c r="Q2717">
        <v>6.9811170000000006E-2</v>
      </c>
      <c r="R2717">
        <v>-0.9964035</v>
      </c>
      <c r="S2717">
        <v>-0.4403687</v>
      </c>
      <c r="T2717">
        <v>-0.29449699999999901</v>
      </c>
      <c r="U2717">
        <v>-3.0107879999999998</v>
      </c>
      <c r="V2717">
        <v>2.262813E-2</v>
      </c>
      <c r="W2717">
        <v>9.1587600000000005E-2</v>
      </c>
      <c r="X2717">
        <v>0.99553989999999903</v>
      </c>
      <c r="Y2717">
        <v>0.1170496</v>
      </c>
      <c r="Z2717">
        <v>9.6452889999999999E-2</v>
      </c>
      <c r="AA2717">
        <v>0.98843119999999995</v>
      </c>
      <c r="AB2717">
        <v>28</v>
      </c>
      <c r="AC2717">
        <v>-0.11710000000002101</v>
      </c>
      <c r="AD2717">
        <v>-8.7830999999999895E-2</v>
      </c>
      <c r="AE2717">
        <v>-0.64359999999999196</v>
      </c>
      <c r="AF2717">
        <v>9.7767242364269397E-2</v>
      </c>
      <c r="AG2717">
        <v>-8.7830999999999895E-2</v>
      </c>
      <c r="AH2717">
        <v>0.63510137241486497</v>
      </c>
      <c r="AI2717">
        <v>97.783208601099801</v>
      </c>
      <c r="AJ2717">
        <v>81.248608315435902</v>
      </c>
      <c r="AK2717">
        <v>0.64855722298326102</v>
      </c>
    </row>
    <row r="2718" spans="1:37" x14ac:dyDescent="0.2">
      <c r="A2718" t="str">
        <f>"20200111154119802"</f>
        <v>20200111154119802</v>
      </c>
      <c r="B2718" t="str">
        <f>"1578728479799454"</f>
        <v>1578728479799454</v>
      </c>
      <c r="C2718" t="s">
        <v>37</v>
      </c>
      <c r="D2718">
        <v>5.3527889999999996</v>
      </c>
      <c r="E2718">
        <v>0.53510000000000002</v>
      </c>
      <c r="F2718" t="s">
        <v>38</v>
      </c>
      <c r="G2718">
        <v>-189.82859999999999</v>
      </c>
      <c r="H2718">
        <v>1.017085</v>
      </c>
      <c r="I2718">
        <v>194.19710000000001</v>
      </c>
      <c r="J2718">
        <v>-189.70779999999999</v>
      </c>
      <c r="K2718">
        <v>1.1044129999999901</v>
      </c>
      <c r="L2718">
        <v>194.91730000000001</v>
      </c>
      <c r="M2718">
        <v>-3.1481009999999997E-2</v>
      </c>
      <c r="N2718">
        <v>0</v>
      </c>
      <c r="O2718">
        <v>-0.99925900000000001</v>
      </c>
      <c r="P2718">
        <v>-4.9609170000000001E-2</v>
      </c>
      <c r="Q2718">
        <v>6.9180409999999998E-2</v>
      </c>
      <c r="R2718">
        <v>-0.99637009999999904</v>
      </c>
      <c r="S2718">
        <v>-0.4390869</v>
      </c>
      <c r="T2718">
        <v>-0.29220119999999999</v>
      </c>
      <c r="U2718">
        <v>-3.0101469999999999</v>
      </c>
      <c r="V2718">
        <v>1.9804080000000002E-2</v>
      </c>
      <c r="W2718">
        <v>9.0921849999999999E-2</v>
      </c>
      <c r="X2718">
        <v>0.99566109999999897</v>
      </c>
      <c r="Y2718">
        <v>0.1124479</v>
      </c>
      <c r="Z2718">
        <v>9.5738429999999999E-2</v>
      </c>
      <c r="AA2718">
        <v>0.98903469999999905</v>
      </c>
      <c r="AB2718">
        <v>28</v>
      </c>
      <c r="AC2718">
        <v>-0.120800000000002</v>
      </c>
      <c r="AD2718">
        <v>-8.7327999999999795E-2</v>
      </c>
      <c r="AE2718">
        <v>-0.72020000000000495</v>
      </c>
      <c r="AF2718">
        <v>9.6679348494960696E-2</v>
      </c>
      <c r="AG2718">
        <v>-8.7327999999999795E-2</v>
      </c>
      <c r="AH2718">
        <v>0.713444090454048</v>
      </c>
      <c r="AI2718">
        <v>96.915896338439296</v>
      </c>
      <c r="AJ2718">
        <v>82.282813774483898</v>
      </c>
      <c r="AK2718">
        <v>0.72524171571498497</v>
      </c>
    </row>
    <row r="2719" spans="1:37" x14ac:dyDescent="0.2">
      <c r="A2719" t="str">
        <f>"20200111154119822"</f>
        <v>20200111154119822</v>
      </c>
      <c r="B2719" t="str">
        <f>"1578728479818974"</f>
        <v>1578728479818974</v>
      </c>
      <c r="C2719" t="s">
        <v>37</v>
      </c>
      <c r="D2719">
        <v>5.3437390000000002</v>
      </c>
      <c r="E2719">
        <v>0.5347326</v>
      </c>
      <c r="F2719" t="s">
        <v>38</v>
      </c>
      <c r="G2719">
        <v>-189.81399999999999</v>
      </c>
      <c r="H2719">
        <v>1.0330170000000001</v>
      </c>
      <c r="I2719">
        <v>194.18860000000001</v>
      </c>
      <c r="J2719">
        <v>-189.72120000000001</v>
      </c>
      <c r="K2719">
        <v>1.1052599999999999</v>
      </c>
      <c r="L2719">
        <v>194.6884</v>
      </c>
      <c r="M2719">
        <v>-3.6392540000000001E-2</v>
      </c>
      <c r="N2719">
        <v>0</v>
      </c>
      <c r="O2719">
        <v>-0.99909559999999997</v>
      </c>
      <c r="P2719">
        <v>-4.951846E-2</v>
      </c>
      <c r="Q2719">
        <v>6.5713010000000002E-2</v>
      </c>
      <c r="R2719">
        <v>-0.99660939999999998</v>
      </c>
      <c r="S2719">
        <v>-0.43835449999999998</v>
      </c>
      <c r="T2719">
        <v>-0.29478509999999902</v>
      </c>
      <c r="U2719">
        <v>-3.0095669999999899</v>
      </c>
      <c r="V2719">
        <v>1.456201E-2</v>
      </c>
      <c r="W2719">
        <v>8.7430590000000002E-2</v>
      </c>
      <c r="X2719">
        <v>0.99606419999999996</v>
      </c>
      <c r="Y2719">
        <v>0.10734200000000001</v>
      </c>
      <c r="Z2719">
        <v>9.6600320000000003E-2</v>
      </c>
      <c r="AA2719">
        <v>0.98951809999999996</v>
      </c>
      <c r="AB2719">
        <v>28</v>
      </c>
      <c r="AC2719">
        <v>-9.2800000000011096E-2</v>
      </c>
      <c r="AD2719">
        <v>-7.2243000000000002E-2</v>
      </c>
      <c r="AE2719">
        <v>-0.49979999999999303</v>
      </c>
      <c r="AF2719">
        <v>7.3069350885646395E-2</v>
      </c>
      <c r="AG2719">
        <v>-7.2243000000000002E-2</v>
      </c>
      <c r="AH2719">
        <v>0.49289204102721901</v>
      </c>
      <c r="AI2719">
        <v>98.2495520346679</v>
      </c>
      <c r="AJ2719">
        <v>81.567536165669196</v>
      </c>
      <c r="AK2719">
        <v>0.50348857504001798</v>
      </c>
    </row>
    <row r="2720" spans="1:37" x14ac:dyDescent="0.2">
      <c r="A2720" t="str">
        <f>"20200111154119846"</f>
        <v>20200111154119846</v>
      </c>
      <c r="B2720" t="str">
        <f>"1578728479839474"</f>
        <v>1578728479839474</v>
      </c>
      <c r="C2720" t="s">
        <v>37</v>
      </c>
      <c r="D2720">
        <v>5.3897870000000001</v>
      </c>
      <c r="E2720">
        <v>0.53416350000000001</v>
      </c>
      <c r="F2720" t="s">
        <v>38</v>
      </c>
      <c r="G2720">
        <v>-189.8289</v>
      </c>
      <c r="H2720">
        <v>1.0293289999999999</v>
      </c>
      <c r="I2720">
        <v>193.9434</v>
      </c>
      <c r="J2720">
        <v>-189.73929999999999</v>
      </c>
      <c r="K2720">
        <v>1.106355</v>
      </c>
      <c r="L2720">
        <v>194.39060000000001</v>
      </c>
      <c r="M2720">
        <v>-4.1714500000000002E-2</v>
      </c>
      <c r="N2720">
        <v>0</v>
      </c>
      <c r="O2720">
        <v>-0.99889169999999905</v>
      </c>
      <c r="P2720">
        <v>-5.2795130000000003E-2</v>
      </c>
      <c r="Q2720">
        <v>6.4236210000000002E-2</v>
      </c>
      <c r="R2720">
        <v>-0.99653749999999997</v>
      </c>
      <c r="S2720">
        <v>-0.4349518</v>
      </c>
      <c r="T2720">
        <v>-0.3066757</v>
      </c>
      <c r="U2720">
        <v>-3.008804</v>
      </c>
      <c r="V2720">
        <v>1.227264E-2</v>
      </c>
      <c r="W2720">
        <v>8.583491E-2</v>
      </c>
      <c r="X2720">
        <v>0.99623379999999995</v>
      </c>
      <c r="Y2720">
        <v>0.1009284</v>
      </c>
      <c r="Z2720">
        <v>0.1004936</v>
      </c>
      <c r="AA2720">
        <v>0.9898053</v>
      </c>
      <c r="AB2720">
        <v>28</v>
      </c>
      <c r="AC2720">
        <v>-8.9600000000018498E-2</v>
      </c>
      <c r="AD2720">
        <v>-7.7025999999999803E-2</v>
      </c>
      <c r="AE2720">
        <v>-0.44720000000000898</v>
      </c>
      <c r="AF2720">
        <v>6.8897721827290495E-2</v>
      </c>
      <c r="AG2720">
        <v>-7.7025999999999803E-2</v>
      </c>
      <c r="AH2720">
        <v>0.43805492265686102</v>
      </c>
      <c r="AI2720">
        <v>99.854018127385103</v>
      </c>
      <c r="AJ2720">
        <v>81.061685095806595</v>
      </c>
      <c r="AK2720">
        <v>0.45008001067909997</v>
      </c>
    </row>
    <row r="2721" spans="1:37" x14ac:dyDescent="0.2">
      <c r="A2721" t="str">
        <f>"20200111154119867"</f>
        <v>20200111154119867</v>
      </c>
      <c r="B2721" t="str">
        <f>"1578728479858990"</f>
        <v>1578728479858990</v>
      </c>
      <c r="C2721" t="s">
        <v>37</v>
      </c>
      <c r="D2721">
        <v>5.3779459999999997</v>
      </c>
      <c r="E2721">
        <v>0.53387379999999995</v>
      </c>
      <c r="F2721" t="s">
        <v>38</v>
      </c>
      <c r="G2721">
        <v>-189.87459999999999</v>
      </c>
      <c r="H2721">
        <v>1.01000499999999</v>
      </c>
      <c r="I2721">
        <v>193.46430000000001</v>
      </c>
      <c r="J2721">
        <v>-189.75640000000001</v>
      </c>
      <c r="K2721">
        <v>1.107351</v>
      </c>
      <c r="L2721">
        <v>194.11580000000001</v>
      </c>
      <c r="M2721">
        <v>-4.5567389999999999E-2</v>
      </c>
      <c r="N2721">
        <v>0</v>
      </c>
      <c r="O2721">
        <v>-0.99872669999999997</v>
      </c>
      <c r="P2721">
        <v>-5.671325E-2</v>
      </c>
      <c r="Q2721">
        <v>6.4441269999999995E-2</v>
      </c>
      <c r="R2721">
        <v>-0.99630869999999905</v>
      </c>
      <c r="S2721">
        <v>-0.43916319999999998</v>
      </c>
      <c r="T2721">
        <v>-0.31284339999999999</v>
      </c>
      <c r="U2721">
        <v>-3.0073089999999998</v>
      </c>
      <c r="V2721">
        <v>1.214459E-2</v>
      </c>
      <c r="W2721">
        <v>8.5907600000000001E-2</v>
      </c>
      <c r="X2721">
        <v>0.99622909999999998</v>
      </c>
      <c r="Y2721">
        <v>9.8487870000000005E-2</v>
      </c>
      <c r="Z2721">
        <v>0.10252</v>
      </c>
      <c r="AA2721">
        <v>0.98984329999999998</v>
      </c>
      <c r="AB2721">
        <v>27</v>
      </c>
      <c r="AC2721">
        <v>-0.11819999999997299</v>
      </c>
      <c r="AD2721">
        <v>-9.7346000000000099E-2</v>
      </c>
      <c r="AE2721">
        <v>-0.65149999999999797</v>
      </c>
      <c r="AF2721">
        <v>8.6513125608298005E-2</v>
      </c>
      <c r="AG2721">
        <v>-9.7346000000000099E-2</v>
      </c>
      <c r="AH2721">
        <v>0.64232679253225899</v>
      </c>
      <c r="AI2721">
        <v>98.541744781033699</v>
      </c>
      <c r="AJ2721">
        <v>82.329160564727403</v>
      </c>
      <c r="AK2721">
        <v>0.65539642432904399</v>
      </c>
    </row>
    <row r="2722" spans="1:37" x14ac:dyDescent="0.2">
      <c r="A2722" t="str">
        <f>"20200111154119890"</f>
        <v>20200111154119890</v>
      </c>
      <c r="B2722" t="str">
        <f>"1578728479879486"</f>
        <v>1578728479879486</v>
      </c>
      <c r="C2722" t="s">
        <v>37</v>
      </c>
      <c r="D2722">
        <v>5.3532219999999997</v>
      </c>
      <c r="E2722">
        <v>0.52773999999999999</v>
      </c>
      <c r="F2722" t="s">
        <v>38</v>
      </c>
      <c r="G2722">
        <v>-189.88990000000001</v>
      </c>
      <c r="H2722">
        <v>1.0139400000000001</v>
      </c>
      <c r="I2722">
        <v>193.21979999999999</v>
      </c>
      <c r="J2722">
        <v>-189.773</v>
      </c>
      <c r="K2722">
        <v>1.108223</v>
      </c>
      <c r="L2722">
        <v>193.85140000000001</v>
      </c>
      <c r="M2722">
        <v>-4.852919E-2</v>
      </c>
      <c r="N2722">
        <v>0</v>
      </c>
      <c r="O2722">
        <v>-0.998590599999999</v>
      </c>
      <c r="P2722">
        <v>-5.8880200000000001E-2</v>
      </c>
      <c r="Q2722">
        <v>6.2419950000000002E-2</v>
      </c>
      <c r="R2722">
        <v>-0.99631170000000002</v>
      </c>
      <c r="S2722">
        <v>-0.44718930000000001</v>
      </c>
      <c r="T2722">
        <v>-0.31343399999999999</v>
      </c>
      <c r="U2722">
        <v>-3.005951</v>
      </c>
      <c r="V2722">
        <v>1.114944E-2</v>
      </c>
      <c r="W2722">
        <v>8.3768629999999997E-2</v>
      </c>
      <c r="X2722">
        <v>0.99642280000000005</v>
      </c>
      <c r="Y2722">
        <v>9.8184489999999999E-2</v>
      </c>
      <c r="Z2722">
        <v>0.1027173</v>
      </c>
      <c r="AA2722">
        <v>0.98985299999999998</v>
      </c>
      <c r="AB2722">
        <v>27</v>
      </c>
      <c r="AC2722">
        <v>-0.11690000000001501</v>
      </c>
      <c r="AD2722">
        <v>-9.4282999999999895E-2</v>
      </c>
      <c r="AE2722">
        <v>-0.63160000000002003</v>
      </c>
      <c r="AF2722">
        <v>8.4288066799855302E-2</v>
      </c>
      <c r="AG2722">
        <v>-9.4282999999999895E-2</v>
      </c>
      <c r="AH2722">
        <v>0.62310482287080604</v>
      </c>
      <c r="AI2722">
        <v>98.527737625653302</v>
      </c>
      <c r="AJ2722">
        <v>82.296298635721001</v>
      </c>
      <c r="AK2722">
        <v>0.63580923442390802</v>
      </c>
    </row>
    <row r="2723" spans="1:37" x14ac:dyDescent="0.2">
      <c r="A2723" t="str">
        <f>"20200111154119910"</f>
        <v>20200111154119910</v>
      </c>
      <c r="B2723" t="str">
        <f>"1578728479899005"</f>
        <v>1578728479899005</v>
      </c>
      <c r="C2723" t="s">
        <v>37</v>
      </c>
      <c r="D2723">
        <v>5.3699770000000004</v>
      </c>
      <c r="E2723">
        <v>0.5267946</v>
      </c>
      <c r="F2723" t="s">
        <v>38</v>
      </c>
      <c r="G2723">
        <v>-189.8905</v>
      </c>
      <c r="H2723">
        <v>1.0144309999999901</v>
      </c>
      <c r="I2723">
        <v>192.9776</v>
      </c>
      <c r="J2723">
        <v>-189.78870000000001</v>
      </c>
      <c r="K2723">
        <v>1.108975</v>
      </c>
      <c r="L2723">
        <v>193.5994</v>
      </c>
      <c r="M2723">
        <v>-5.0673459999999997E-2</v>
      </c>
      <c r="N2723">
        <v>0</v>
      </c>
      <c r="O2723">
        <v>-0.99848799999999904</v>
      </c>
      <c r="P2723">
        <v>-5.9731550000000001E-2</v>
      </c>
      <c r="Q2723">
        <v>5.8349810000000002E-2</v>
      </c>
      <c r="R2723">
        <v>-0.9965079</v>
      </c>
      <c r="S2723">
        <v>-0.40435789999999999</v>
      </c>
      <c r="T2723">
        <v>-0.3227969</v>
      </c>
      <c r="U2723">
        <v>-3.0074160000000001</v>
      </c>
      <c r="V2723">
        <v>9.6636159999999999E-3</v>
      </c>
      <c r="W2723">
        <v>7.9547030000000005E-2</v>
      </c>
      <c r="X2723">
        <v>0.99678429999999996</v>
      </c>
      <c r="Y2723">
        <v>8.2101010000000002E-2</v>
      </c>
      <c r="Z2723">
        <v>0.1058655</v>
      </c>
      <c r="AA2723">
        <v>0.99098529999999996</v>
      </c>
      <c r="AB2723">
        <v>27</v>
      </c>
      <c r="AC2723">
        <v>-0.101799999999997</v>
      </c>
      <c r="AD2723">
        <v>-9.45440000000001E-2</v>
      </c>
      <c r="AE2723">
        <v>-0.62180000000000701</v>
      </c>
      <c r="AF2723">
        <v>6.8608498778217397E-2</v>
      </c>
      <c r="AG2723">
        <v>-9.45440000000001E-2</v>
      </c>
      <c r="AH2723">
        <v>0.61237272546156396</v>
      </c>
      <c r="AI2723">
        <v>98.722850665036901</v>
      </c>
      <c r="AJ2723">
        <v>83.607402166881101</v>
      </c>
      <c r="AK2723">
        <v>0.623414828930003</v>
      </c>
    </row>
    <row r="2724" spans="1:37" x14ac:dyDescent="0.2">
      <c r="A2724" t="str">
        <f>"20200111154119925"</f>
        <v>20200111154119925</v>
      </c>
      <c r="B2724" t="str">
        <f>"1578728479918526"</f>
        <v>1578728479918526</v>
      </c>
      <c r="C2724" t="s">
        <v>37</v>
      </c>
      <c r="D2724">
        <v>5.4052579999999999</v>
      </c>
      <c r="E2724">
        <v>0.52610869999999998</v>
      </c>
      <c r="F2724" t="s">
        <v>38</v>
      </c>
      <c r="G2724">
        <v>-189.90369999999999</v>
      </c>
      <c r="H2724">
        <v>1.0140279999999999</v>
      </c>
      <c r="I2724">
        <v>192.73759999999999</v>
      </c>
      <c r="J2724">
        <v>-189.79929999999999</v>
      </c>
      <c r="K2724">
        <v>1.10945</v>
      </c>
      <c r="L2724">
        <v>193.42930000000001</v>
      </c>
      <c r="M2724">
        <v>-5.1776629999999997E-2</v>
      </c>
      <c r="N2724">
        <v>0</v>
      </c>
      <c r="O2724">
        <v>-0.99843479999999996</v>
      </c>
      <c r="P2724">
        <v>-6.005713E-2</v>
      </c>
      <c r="Q2724">
        <v>5.6727050000000001E-2</v>
      </c>
      <c r="R2724">
        <v>-0.99658199999999997</v>
      </c>
      <c r="S2724">
        <v>-0.40043640000000003</v>
      </c>
      <c r="T2724">
        <v>-0.33121879999999998</v>
      </c>
      <c r="U2724">
        <v>-3.0059049999999998</v>
      </c>
      <c r="V2724">
        <v>8.778035E-3</v>
      </c>
      <c r="W2724">
        <v>7.7787250000000002E-2</v>
      </c>
      <c r="X2724">
        <v>0.99693129999999996</v>
      </c>
      <c r="Y2724">
        <v>7.9755679999999995E-2</v>
      </c>
      <c r="Z2724">
        <v>0.10865909999999999</v>
      </c>
      <c r="AA2724">
        <v>0.99087449999999999</v>
      </c>
      <c r="AB2724">
        <v>27</v>
      </c>
      <c r="AC2724">
        <v>-0.10439999999999799</v>
      </c>
      <c r="AD2724">
        <v>-9.5421999999999896E-2</v>
      </c>
      <c r="AE2724">
        <v>-0.69170000000002496</v>
      </c>
      <c r="AF2724">
        <v>6.7187828718907106E-2</v>
      </c>
      <c r="AG2724">
        <v>-9.5421999999999896E-2</v>
      </c>
      <c r="AH2724">
        <v>0.68346124957176202</v>
      </c>
      <c r="AI2724">
        <v>97.910375689791607</v>
      </c>
      <c r="AJ2724">
        <v>84.3855635469193</v>
      </c>
      <c r="AK2724">
        <v>0.69335333133847099</v>
      </c>
    </row>
    <row r="2725" spans="1:37" x14ac:dyDescent="0.2">
      <c r="A2725" t="str">
        <f>"20200111154119945"</f>
        <v>20200111154119945</v>
      </c>
      <c r="B2725" t="str">
        <f>"1578728479939022"</f>
        <v>1578728479939022</v>
      </c>
      <c r="C2725" t="s">
        <v>37</v>
      </c>
      <c r="D2725">
        <v>5.3803349999999996</v>
      </c>
      <c r="E2725">
        <v>0.52522139999999995</v>
      </c>
      <c r="F2725" t="s">
        <v>38</v>
      </c>
      <c r="G2725">
        <v>-189.92150000000001</v>
      </c>
      <c r="H2725">
        <v>1.005992</v>
      </c>
      <c r="I2725">
        <v>192.50280000000001</v>
      </c>
      <c r="J2725">
        <v>-189.8143</v>
      </c>
      <c r="K2725">
        <v>1.110117</v>
      </c>
      <c r="L2725">
        <v>193.18029999999999</v>
      </c>
      <c r="M2725">
        <v>-5.2752439999999998E-2</v>
      </c>
      <c r="N2725">
        <v>0</v>
      </c>
      <c r="O2725">
        <v>-0.99838890000000002</v>
      </c>
      <c r="P2725">
        <v>-6.090367E-2</v>
      </c>
      <c r="Q2725">
        <v>5.4550660000000001E-2</v>
      </c>
      <c r="R2725">
        <v>-0.99665179999999998</v>
      </c>
      <c r="S2725">
        <v>-0.3962097</v>
      </c>
      <c r="T2725">
        <v>-0.33566609999999902</v>
      </c>
      <c r="U2725">
        <v>-3.00553899999999</v>
      </c>
      <c r="V2725">
        <v>8.5055600000000006E-3</v>
      </c>
      <c r="W2725">
        <v>7.5374880000000005E-2</v>
      </c>
      <c r="X2725">
        <v>0.99711899999999998</v>
      </c>
      <c r="Y2725">
        <v>7.7406790000000003E-2</v>
      </c>
      <c r="Z2725">
        <v>0.110125399999999</v>
      </c>
      <c r="AA2725">
        <v>0.99089889999999903</v>
      </c>
      <c r="AB2725">
        <v>27</v>
      </c>
      <c r="AC2725">
        <v>-0.107200000000005</v>
      </c>
      <c r="AD2725">
        <v>-0.104125</v>
      </c>
      <c r="AE2725">
        <v>-0.67749999999998001</v>
      </c>
      <c r="AF2725">
        <v>6.9697008934330604E-2</v>
      </c>
      <c r="AG2725">
        <v>-0.104125</v>
      </c>
      <c r="AH2725">
        <v>0.66684595117238399</v>
      </c>
      <c r="AI2725">
        <v>98.827493889640706</v>
      </c>
      <c r="AJ2725">
        <v>84.033257502593102</v>
      </c>
      <c r="AK2725">
        <v>0.67851544659970298</v>
      </c>
    </row>
    <row r="2726" spans="1:37" x14ac:dyDescent="0.2">
      <c r="A2726" t="str">
        <f>"20200111154119968"</f>
        <v>20200111154119968</v>
      </c>
      <c r="B2726" t="str">
        <f>"1578728479958541"</f>
        <v>1578728479958541</v>
      </c>
      <c r="C2726" t="s">
        <v>37</v>
      </c>
      <c r="D2726">
        <v>5.4085589999999897</v>
      </c>
      <c r="E2726">
        <v>0.52054389999999995</v>
      </c>
      <c r="F2726" t="s">
        <v>38</v>
      </c>
      <c r="G2726">
        <v>-189.93440000000001</v>
      </c>
      <c r="H2726">
        <v>1.006545</v>
      </c>
      <c r="I2726">
        <v>192.2645</v>
      </c>
      <c r="J2726">
        <v>-189.83</v>
      </c>
      <c r="K2726">
        <v>1.1108129999999901</v>
      </c>
      <c r="L2726">
        <v>192.9119</v>
      </c>
      <c r="M2726">
        <v>-5.3142540000000002E-2</v>
      </c>
      <c r="N2726">
        <v>0</v>
      </c>
      <c r="O2726">
        <v>-0.99837410000000004</v>
      </c>
      <c r="P2726">
        <v>-6.1893749999999997E-2</v>
      </c>
      <c r="Q2726">
        <v>5.4576859999999998E-2</v>
      </c>
      <c r="R2726">
        <v>-0.99658950000000002</v>
      </c>
      <c r="S2726">
        <v>-0.39343259999999902</v>
      </c>
      <c r="T2726">
        <v>-0.33990749999999997</v>
      </c>
      <c r="U2726">
        <v>-3.0046539999999999</v>
      </c>
      <c r="V2726">
        <v>8.9790300000000007E-3</v>
      </c>
      <c r="W2726">
        <v>7.5138090000000005E-2</v>
      </c>
      <c r="X2726">
        <v>0.99713269999999998</v>
      </c>
      <c r="Y2726">
        <v>7.6134469999999996E-2</v>
      </c>
      <c r="Z2726">
        <v>0.1115404</v>
      </c>
      <c r="AA2726">
        <v>0.99083920000000003</v>
      </c>
      <c r="AB2726">
        <v>27</v>
      </c>
      <c r="AC2726">
        <v>-0.10439999999999799</v>
      </c>
      <c r="AD2726">
        <v>-0.104267999999999</v>
      </c>
      <c r="AE2726">
        <v>-0.64740000000000397</v>
      </c>
      <c r="AF2726">
        <v>6.8118464824367106E-2</v>
      </c>
      <c r="AG2726">
        <v>-0.104267999999999</v>
      </c>
      <c r="AH2726">
        <v>0.63595597001694104</v>
      </c>
      <c r="AI2726">
        <v>99.259036156653906</v>
      </c>
      <c r="AJ2726">
        <v>83.886248903975499</v>
      </c>
      <c r="AK2726">
        <v>0.64803698727327097</v>
      </c>
    </row>
    <row r="2727" spans="1:37" x14ac:dyDescent="0.2">
      <c r="A2727" t="str">
        <f>"20200111154119981"</f>
        <v>20200111154119981</v>
      </c>
      <c r="B2727" t="str">
        <f>"1578728479979038"</f>
        <v>1578728479979038</v>
      </c>
      <c r="C2727" t="s">
        <v>37</v>
      </c>
      <c r="D2727">
        <v>5.4003990000000002</v>
      </c>
      <c r="E2727">
        <v>0.51971729999999905</v>
      </c>
      <c r="F2727" t="s">
        <v>38</v>
      </c>
      <c r="G2727">
        <v>-189.93629999999999</v>
      </c>
      <c r="H2727">
        <v>1.0161830000000001</v>
      </c>
      <c r="I2727">
        <v>192.02209999999999</v>
      </c>
      <c r="J2727">
        <v>-189.83969999999999</v>
      </c>
      <c r="K2727">
        <v>1.1112280000000001</v>
      </c>
      <c r="L2727">
        <v>192.74090000000001</v>
      </c>
      <c r="M2727">
        <v>-5.3126449999999999E-2</v>
      </c>
      <c r="N2727">
        <v>0</v>
      </c>
      <c r="O2727">
        <v>-0.99837849999999995</v>
      </c>
      <c r="P2727">
        <v>-6.2697569999999994E-2</v>
      </c>
      <c r="Q2727">
        <v>5.5346439999999997E-2</v>
      </c>
      <c r="R2727">
        <v>-0.99649679999999996</v>
      </c>
      <c r="S2727">
        <v>-0.35896299999999998</v>
      </c>
      <c r="T2727">
        <v>-0.31965569999999999</v>
      </c>
      <c r="U2727">
        <v>-3.0054780000000001</v>
      </c>
      <c r="V2727">
        <v>9.7271719999999992E-3</v>
      </c>
      <c r="W2727">
        <v>7.5743379999999999E-2</v>
      </c>
      <c r="X2727">
        <v>0.99707990000000002</v>
      </c>
      <c r="Y2727">
        <v>6.5006380000000002E-2</v>
      </c>
      <c r="Z2727">
        <v>0.1050576</v>
      </c>
      <c r="AA2727">
        <v>0.99233919999999998</v>
      </c>
      <c r="AB2727">
        <v>27</v>
      </c>
      <c r="AC2727">
        <v>-9.6599999999995106E-2</v>
      </c>
      <c r="AD2727">
        <v>-9.5045000000000004E-2</v>
      </c>
      <c r="AE2727">
        <v>-0.71880000000001498</v>
      </c>
      <c r="AF2727">
        <v>5.7284451873509903E-2</v>
      </c>
      <c r="AG2727">
        <v>-9.5045000000000004E-2</v>
      </c>
      <c r="AH2727">
        <v>0.71071188104845795</v>
      </c>
      <c r="AI2727">
        <v>97.592756374201997</v>
      </c>
      <c r="AJ2727">
        <v>85.391835477013103</v>
      </c>
      <c r="AK2727">
        <v>0.71932359777424604</v>
      </c>
    </row>
    <row r="2728" spans="1:37" x14ac:dyDescent="0.2">
      <c r="A2728" t="str">
        <f>"20200111154120000"</f>
        <v>20200111154120000</v>
      </c>
      <c r="B2728" t="str">
        <f>"1578728479988798"</f>
        <v>1578728479988798</v>
      </c>
      <c r="C2728" t="s">
        <v>37</v>
      </c>
      <c r="D2728">
        <v>5.4115839999999897</v>
      </c>
      <c r="E2728">
        <v>0.51914309999999997</v>
      </c>
      <c r="F2728" t="s">
        <v>38</v>
      </c>
      <c r="G2728">
        <v>-189.9256</v>
      </c>
      <c r="H2728">
        <v>1.0345139999999999</v>
      </c>
      <c r="I2728">
        <v>192.01230000000001</v>
      </c>
      <c r="J2728">
        <v>-189.851</v>
      </c>
      <c r="K2728">
        <v>1.111696</v>
      </c>
      <c r="L2728">
        <v>192.5308</v>
      </c>
      <c r="M2728">
        <v>-5.269356E-2</v>
      </c>
      <c r="N2728">
        <v>0</v>
      </c>
      <c r="O2728">
        <v>-0.9984054</v>
      </c>
      <c r="P2728">
        <v>-6.3247490000000003E-2</v>
      </c>
      <c r="Q2728">
        <v>5.6505060000000003E-2</v>
      </c>
      <c r="R2728">
        <v>-0.99639679999999997</v>
      </c>
      <c r="S2728">
        <v>-0.35437009999999902</v>
      </c>
      <c r="T2728">
        <v>-0.31646819999999998</v>
      </c>
      <c r="U2728">
        <v>-3.0058289999999999</v>
      </c>
      <c r="V2728">
        <v>1.062981E-2</v>
      </c>
      <c r="W2728">
        <v>7.6711390000000004E-2</v>
      </c>
      <c r="X2728">
        <v>0.99699669999999896</v>
      </c>
      <c r="Y2728">
        <v>6.3943029999999998E-2</v>
      </c>
      <c r="Z2728">
        <v>0.1040259</v>
      </c>
      <c r="AA2728">
        <v>0.99251690000000004</v>
      </c>
      <c r="AB2728">
        <v>27</v>
      </c>
      <c r="AC2728">
        <v>-7.4600000000003705E-2</v>
      </c>
      <c r="AD2728">
        <v>-7.7182000000000001E-2</v>
      </c>
      <c r="AE2728">
        <v>-0.51849999999998797</v>
      </c>
      <c r="AF2728">
        <v>4.6166875326918398E-2</v>
      </c>
      <c r="AG2728">
        <v>-7.7182000000000001E-2</v>
      </c>
      <c r="AH2728">
        <v>0.51062602466040796</v>
      </c>
      <c r="AI2728">
        <v>98.560892799547602</v>
      </c>
      <c r="AJ2728">
        <v>84.833802842979296</v>
      </c>
      <c r="AK2728">
        <v>0.51848565897423105</v>
      </c>
    </row>
    <row r="2729" spans="1:37" x14ac:dyDescent="0.2">
      <c r="A2729" t="str">
        <f>"20200111154120022"</f>
        <v>20200111154120022</v>
      </c>
      <c r="B2729" t="str">
        <f>"1578728480019054"</f>
        <v>1578728480019054</v>
      </c>
      <c r="C2729" t="s">
        <v>37</v>
      </c>
      <c r="D2729">
        <v>5.4133309999999897</v>
      </c>
      <c r="E2729">
        <v>0.51769100000000001</v>
      </c>
      <c r="F2729" t="s">
        <v>38</v>
      </c>
      <c r="G2729">
        <v>-189.9391</v>
      </c>
      <c r="H2729">
        <v>1.033615</v>
      </c>
      <c r="I2729">
        <v>191.77690000000001</v>
      </c>
      <c r="J2729">
        <v>-189.86410000000001</v>
      </c>
      <c r="K2729">
        <v>1.112217</v>
      </c>
      <c r="L2729">
        <v>192.27379999999999</v>
      </c>
      <c r="M2729">
        <v>-5.166366E-2</v>
      </c>
      <c r="N2729">
        <v>0</v>
      </c>
      <c r="O2729">
        <v>-0.99846420000000002</v>
      </c>
      <c r="P2729">
        <v>-6.2739059999999999E-2</v>
      </c>
      <c r="Q2729">
        <v>5.7231379999999998E-2</v>
      </c>
      <c r="R2729">
        <v>-0.99638780000000005</v>
      </c>
      <c r="S2729">
        <v>-0.35110469999999999</v>
      </c>
      <c r="T2729">
        <v>-0.31150689999999998</v>
      </c>
      <c r="U2729">
        <v>-3.0062259999999998</v>
      </c>
      <c r="V2729">
        <v>1.1055189999999999E-2</v>
      </c>
      <c r="W2729">
        <v>7.721915E-2</v>
      </c>
      <c r="X2729">
        <v>0.99695279999999997</v>
      </c>
      <c r="Y2729">
        <v>6.3913429999999993E-2</v>
      </c>
      <c r="Z2729">
        <v>0.102413799999999</v>
      </c>
      <c r="AA2729">
        <v>0.99268650000000003</v>
      </c>
      <c r="AB2729">
        <v>27</v>
      </c>
      <c r="AC2729">
        <v>-7.4999999999988604E-2</v>
      </c>
      <c r="AD2729">
        <v>-7.8602000000000005E-2</v>
      </c>
      <c r="AE2729">
        <v>-0.49689999999998202</v>
      </c>
      <c r="AF2729">
        <v>4.8047505468730503E-2</v>
      </c>
      <c r="AG2729">
        <v>-7.8602000000000005E-2</v>
      </c>
      <c r="AH2729">
        <v>0.48816862010663897</v>
      </c>
      <c r="AI2729">
        <v>99.103670937099295</v>
      </c>
      <c r="AJ2729">
        <v>84.378825175191693</v>
      </c>
      <c r="AK2729">
        <v>0.49678510328167802</v>
      </c>
    </row>
    <row r="2730" spans="1:37" x14ac:dyDescent="0.2">
      <c r="A2730" t="str">
        <f>"20200111154120036"</f>
        <v>20200111154120036</v>
      </c>
      <c r="B2730" t="str">
        <f>"1578728480028814"</f>
        <v>1578728480028814</v>
      </c>
      <c r="C2730" t="s">
        <v>37</v>
      </c>
      <c r="D2730">
        <v>5.4413320000000001</v>
      </c>
      <c r="E2730">
        <v>0.51735629999999999</v>
      </c>
      <c r="F2730" t="s">
        <v>38</v>
      </c>
      <c r="G2730">
        <v>-189.94649999999999</v>
      </c>
      <c r="H2730">
        <v>1.0378590000000001</v>
      </c>
      <c r="I2730">
        <v>191.53980000000001</v>
      </c>
      <c r="J2730">
        <v>-189.87219999999999</v>
      </c>
      <c r="K2730">
        <v>1.1125290000000001</v>
      </c>
      <c r="L2730">
        <v>192.1011</v>
      </c>
      <c r="M2730">
        <v>-5.0610189999999999E-2</v>
      </c>
      <c r="N2730">
        <v>0</v>
      </c>
      <c r="O2730">
        <v>-0.99852070000000004</v>
      </c>
      <c r="P2730">
        <v>-6.1902289999999999E-2</v>
      </c>
      <c r="Q2730">
        <v>5.7416729999999999E-2</v>
      </c>
      <c r="R2730">
        <v>-0.99642919999999902</v>
      </c>
      <c r="S2730">
        <v>-0.33723449999999999</v>
      </c>
      <c r="T2730">
        <v>-0.30470419999999998</v>
      </c>
      <c r="U2730">
        <v>-3.0071560000000002</v>
      </c>
      <c r="V2730">
        <v>1.1212669999999999E-2</v>
      </c>
      <c r="W2730">
        <v>7.727096E-2</v>
      </c>
      <c r="X2730">
        <v>0.99694709999999997</v>
      </c>
      <c r="Y2730">
        <v>6.0436150000000001E-2</v>
      </c>
      <c r="Z2730">
        <v>0.1002145</v>
      </c>
      <c r="AA2730">
        <v>0.99312869999999998</v>
      </c>
      <c r="AB2730">
        <v>26</v>
      </c>
      <c r="AC2730">
        <v>-7.4299999999993802E-2</v>
      </c>
      <c r="AD2730">
        <v>-7.467E-2</v>
      </c>
      <c r="AE2730">
        <v>-0.56129999999998803</v>
      </c>
      <c r="AF2730">
        <v>4.5008824206826503E-2</v>
      </c>
      <c r="AG2730">
        <v>-7.467E-2</v>
      </c>
      <c r="AH2730">
        <v>0.554694045520854</v>
      </c>
      <c r="AI2730">
        <v>97.641950831041498</v>
      </c>
      <c r="AJ2730">
        <v>85.361085411953496</v>
      </c>
      <c r="AK2730">
        <v>0.561504129363954</v>
      </c>
    </row>
    <row r="2731" spans="1:37" x14ac:dyDescent="0.2">
      <c r="A2731" t="str">
        <f>"20200111154120051"</f>
        <v>20200111154120051</v>
      </c>
      <c r="B2731" t="str">
        <f>"1578728480038574"</f>
        <v>1578728480038574</v>
      </c>
      <c r="C2731" t="s">
        <v>37</v>
      </c>
      <c r="D2731">
        <v>5.4897910000000003</v>
      </c>
      <c r="E2731">
        <v>0.51712060000000004</v>
      </c>
      <c r="F2731" t="s">
        <v>38</v>
      </c>
      <c r="G2731">
        <v>-189.95959999999999</v>
      </c>
      <c r="H2731">
        <v>1.0325309999999901</v>
      </c>
      <c r="I2731">
        <v>191.30879999999999</v>
      </c>
      <c r="J2731">
        <v>-189.87950000000001</v>
      </c>
      <c r="K2731">
        <v>1.1127940000000001</v>
      </c>
      <c r="L2731">
        <v>191.94040000000001</v>
      </c>
      <c r="M2731">
        <v>-4.9473250000000003E-2</v>
      </c>
      <c r="N2731">
        <v>0</v>
      </c>
      <c r="O2731">
        <v>-0.99858029999999998</v>
      </c>
      <c r="P2731">
        <v>-6.1204710000000002E-2</v>
      </c>
      <c r="Q2731">
        <v>5.7803359999999998E-2</v>
      </c>
      <c r="R2731">
        <v>-0.99645039999999996</v>
      </c>
      <c r="S2731">
        <v>-0.33151249999999999</v>
      </c>
      <c r="T2731">
        <v>-0.30379349999999999</v>
      </c>
      <c r="U2731">
        <v>-3.0076749999999999</v>
      </c>
      <c r="V2731">
        <v>1.1601749999999999E-2</v>
      </c>
      <c r="W2731">
        <v>7.7540049999999999E-2</v>
      </c>
      <c r="X2731">
        <v>0.99692169999999902</v>
      </c>
      <c r="Y2731">
        <v>5.9690649999999998E-2</v>
      </c>
      <c r="Z2731">
        <v>9.9922150000000001E-2</v>
      </c>
      <c r="AA2731">
        <v>0.99320319999999995</v>
      </c>
      <c r="AB2731">
        <v>26</v>
      </c>
      <c r="AC2731">
        <v>-8.0099999999987403E-2</v>
      </c>
      <c r="AD2731">
        <v>-8.0263000000000195E-2</v>
      </c>
      <c r="AE2731">
        <v>-0.63160000000002003</v>
      </c>
      <c r="AF2731">
        <v>4.7985820497839303E-2</v>
      </c>
      <c r="AG2731">
        <v>-8.0263000000000195E-2</v>
      </c>
      <c r="AH2731">
        <v>0.62485871492046396</v>
      </c>
      <c r="AI2731">
        <v>97.298296926216693</v>
      </c>
      <c r="AJ2731">
        <v>85.608608460083303</v>
      </c>
      <c r="AK2731">
        <v>0.631817380063183</v>
      </c>
    </row>
    <row r="2732" spans="1:37" x14ac:dyDescent="0.2">
      <c r="A2732" t="str">
        <f>"20200111154120068"</f>
        <v>20200111154120068</v>
      </c>
      <c r="B2732" t="str">
        <f>"1578728480059069"</f>
        <v>1578728480059069</v>
      </c>
      <c r="C2732" t="s">
        <v>37</v>
      </c>
      <c r="D2732">
        <v>5.4348199999999904</v>
      </c>
      <c r="E2732">
        <v>0.51232579999999905</v>
      </c>
      <c r="F2732" t="s">
        <v>38</v>
      </c>
      <c r="G2732">
        <v>-189.97319999999999</v>
      </c>
      <c r="H2732">
        <v>1.0260069999999999</v>
      </c>
      <c r="I2732">
        <v>191.0795</v>
      </c>
      <c r="J2732">
        <v>-189.88820000000001</v>
      </c>
      <c r="K2732">
        <v>1.1130959999999901</v>
      </c>
      <c r="L2732">
        <v>191.73580000000001</v>
      </c>
      <c r="M2732">
        <v>-4.7812229999999997E-2</v>
      </c>
      <c r="N2732">
        <v>0</v>
      </c>
      <c r="O2732">
        <v>-0.99866409999999906</v>
      </c>
      <c r="P2732">
        <v>-6.0715239999999997E-2</v>
      </c>
      <c r="Q2732">
        <v>5.9337679999999997E-2</v>
      </c>
      <c r="R2732">
        <v>-0.99639009999999995</v>
      </c>
      <c r="S2732">
        <v>-0.32705689999999998</v>
      </c>
      <c r="T2732">
        <v>-0.30339169999999999</v>
      </c>
      <c r="U2732">
        <v>-3.008194</v>
      </c>
      <c r="V2732">
        <v>1.2716740000000001E-2</v>
      </c>
      <c r="W2732">
        <v>7.8935740000000004E-2</v>
      </c>
      <c r="X2732">
        <v>0.99679859999999898</v>
      </c>
      <c r="Y2732">
        <v>5.9880210000000003E-2</v>
      </c>
      <c r="Z2732">
        <v>9.9793809999999997E-2</v>
      </c>
      <c r="AA2732">
        <v>0.99320469999999905</v>
      </c>
      <c r="AB2732">
        <v>26</v>
      </c>
      <c r="AC2732">
        <v>-8.4999999999979495E-2</v>
      </c>
      <c r="AD2732">
        <v>-8.7088999999999903E-2</v>
      </c>
      <c r="AE2732">
        <v>-0.65630000000001498</v>
      </c>
      <c r="AF2732">
        <v>5.2606519415762297E-2</v>
      </c>
      <c r="AG2732">
        <v>-8.7088999999999903E-2</v>
      </c>
      <c r="AH2732">
        <v>0.64838522114422303</v>
      </c>
      <c r="AI2732">
        <v>97.625237602215506</v>
      </c>
      <c r="AJ2732">
        <v>85.361486355644402</v>
      </c>
      <c r="AK2732">
        <v>0.65631953711914204</v>
      </c>
    </row>
    <row r="2733" spans="1:37" x14ac:dyDescent="0.2">
      <c r="A2733" t="str">
        <f>"20200111154120089"</f>
        <v>20200111154120089</v>
      </c>
      <c r="B2733" t="str">
        <f>"1578728480078589"</f>
        <v>1578728480078589</v>
      </c>
      <c r="C2733" t="s">
        <v>37</v>
      </c>
      <c r="D2733">
        <v>5.4204999999999997</v>
      </c>
      <c r="E2733">
        <v>0.51210900000000004</v>
      </c>
      <c r="F2733" t="s">
        <v>38</v>
      </c>
      <c r="G2733">
        <v>-189.97280000000001</v>
      </c>
      <c r="H2733">
        <v>1.0264359999999999</v>
      </c>
      <c r="I2733">
        <v>190.84700000000001</v>
      </c>
      <c r="J2733">
        <v>-189.89769999999999</v>
      </c>
      <c r="K2733">
        <v>1.1133690000000001</v>
      </c>
      <c r="L2733">
        <v>191.49119999999999</v>
      </c>
      <c r="M2733">
        <v>-4.5560040000000003E-2</v>
      </c>
      <c r="N2733">
        <v>0</v>
      </c>
      <c r="O2733">
        <v>-0.9987724</v>
      </c>
      <c r="P2733">
        <v>-5.9667599999999897E-2</v>
      </c>
      <c r="Q2733">
        <v>6.0801479999999998E-2</v>
      </c>
      <c r="R2733">
        <v>-0.99636480000000005</v>
      </c>
      <c r="S2733">
        <v>-0.28628540000000002</v>
      </c>
      <c r="T2733">
        <v>-0.2937149</v>
      </c>
      <c r="U2733">
        <v>-3.01091</v>
      </c>
      <c r="V2733">
        <v>1.3866170000000001E-2</v>
      </c>
      <c r="W2733">
        <v>8.0250020000000005E-2</v>
      </c>
      <c r="X2733">
        <v>0.99667830000000002</v>
      </c>
      <c r="Y2733">
        <v>4.8749790000000001E-2</v>
      </c>
      <c r="Z2733">
        <v>9.6665260000000003E-2</v>
      </c>
      <c r="AA2733">
        <v>0.99412239999999996</v>
      </c>
      <c r="AB2733">
        <v>26</v>
      </c>
      <c r="AC2733">
        <v>-7.5100000000020303E-2</v>
      </c>
      <c r="AD2733">
        <v>-8.6932999999999899E-2</v>
      </c>
      <c r="AE2733">
        <v>-0.64419999999998301</v>
      </c>
      <c r="AF2733">
        <v>4.4860668124546497E-2</v>
      </c>
      <c r="AG2733">
        <v>-8.6932999999999899E-2</v>
      </c>
      <c r="AH2733">
        <v>0.63553463551429301</v>
      </c>
      <c r="AI2733">
        <v>97.769893821112802</v>
      </c>
      <c r="AJ2733">
        <v>85.962343226784398</v>
      </c>
      <c r="AK2733">
        <v>0.64301951678923897</v>
      </c>
    </row>
    <row r="2734" spans="1:37" x14ac:dyDescent="0.2">
      <c r="A2734" t="str">
        <f>"20200111154120102"</f>
        <v>20200111154120102</v>
      </c>
      <c r="B2734" t="str">
        <f>"1578728480099086"</f>
        <v>1578728480099086</v>
      </c>
      <c r="C2734" t="s">
        <v>37</v>
      </c>
      <c r="D2734">
        <v>5.4897999999999998</v>
      </c>
      <c r="E2734">
        <v>0.51181980000000005</v>
      </c>
      <c r="F2734" t="s">
        <v>38</v>
      </c>
      <c r="G2734">
        <v>-189.9796</v>
      </c>
      <c r="H2734">
        <v>1.029131</v>
      </c>
      <c r="I2734">
        <v>190.6147</v>
      </c>
      <c r="J2734">
        <v>-189.9034</v>
      </c>
      <c r="K2734">
        <v>1.113499</v>
      </c>
      <c r="L2734">
        <v>191.33599999999899</v>
      </c>
      <c r="M2734">
        <v>-4.4040410000000002E-2</v>
      </c>
      <c r="N2734">
        <v>0</v>
      </c>
      <c r="O2734">
        <v>-0.99884240000000002</v>
      </c>
      <c r="P2734">
        <v>-5.8369280000000003E-2</v>
      </c>
      <c r="Q2734">
        <v>6.1094170000000003E-2</v>
      </c>
      <c r="R2734">
        <v>-0.99642389999999903</v>
      </c>
      <c r="S2734">
        <v>-0.28111269999999999</v>
      </c>
      <c r="T2734">
        <v>-0.28952309999999998</v>
      </c>
      <c r="U2734">
        <v>-3.011765</v>
      </c>
      <c r="V2734">
        <v>1.4058889999999999E-2</v>
      </c>
      <c r="W2734">
        <v>8.0452019999999999E-2</v>
      </c>
      <c r="X2734">
        <v>0.99665930000000003</v>
      </c>
      <c r="Y2734">
        <v>4.8562840000000003E-2</v>
      </c>
      <c r="Z2734">
        <v>9.5289410000000005E-2</v>
      </c>
      <c r="AA2734">
        <v>0.99426440000000005</v>
      </c>
      <c r="AB2734">
        <v>26</v>
      </c>
      <c r="AC2734">
        <v>-7.6200000000000004E-2</v>
      </c>
      <c r="AD2734">
        <v>-8.4367999999999999E-2</v>
      </c>
      <c r="AE2734">
        <v>-0.72129999999998495</v>
      </c>
      <c r="AF2734">
        <v>4.3761641838478402E-2</v>
      </c>
      <c r="AG2734">
        <v>-8.4367999999999999E-2</v>
      </c>
      <c r="AH2734">
        <v>0.71429190546970101</v>
      </c>
      <c r="AI2734">
        <v>96.723742654187205</v>
      </c>
      <c r="AJ2734">
        <v>86.494112152545796</v>
      </c>
      <c r="AK2734">
        <v>0.72058723756387499</v>
      </c>
    </row>
    <row r="2735" spans="1:37" x14ac:dyDescent="0.2">
      <c r="A2735" t="str">
        <f>"20200111154120116"</f>
        <v>20200111154120116</v>
      </c>
      <c r="B2735" t="str">
        <f>"1578728480108846"</f>
        <v>1578728480108846</v>
      </c>
      <c r="C2735" t="s">
        <v>37</v>
      </c>
      <c r="D2735">
        <v>5.4662559999999996</v>
      </c>
      <c r="E2735">
        <v>0.51464209999999999</v>
      </c>
      <c r="F2735" t="s">
        <v>38</v>
      </c>
      <c r="G2735">
        <v>-189.99</v>
      </c>
      <c r="H2735">
        <v>1.022578</v>
      </c>
      <c r="I2735">
        <v>190.38810000000001</v>
      </c>
      <c r="J2735">
        <v>-189.90880000000001</v>
      </c>
      <c r="K2735">
        <v>1.1135790000000001</v>
      </c>
      <c r="L2735">
        <v>191.17429999999999</v>
      </c>
      <c r="M2735">
        <v>-4.237117E-2</v>
      </c>
      <c r="N2735">
        <v>0</v>
      </c>
      <c r="O2735">
        <v>-0.99891669999999999</v>
      </c>
      <c r="P2735">
        <v>-5.73021999999999E-2</v>
      </c>
      <c r="Q2735">
        <v>6.1098020000000003E-2</v>
      </c>
      <c r="R2735">
        <v>-0.99648590000000004</v>
      </c>
      <c r="S2735">
        <v>-0.27467350000000001</v>
      </c>
      <c r="T2735">
        <v>-0.28916940000000002</v>
      </c>
      <c r="U2735">
        <v>-3.0123899999999999</v>
      </c>
      <c r="V2735">
        <v>1.464262E-2</v>
      </c>
      <c r="W2735">
        <v>8.0370750000000005E-2</v>
      </c>
      <c r="X2735">
        <v>0.99665749999999997</v>
      </c>
      <c r="Y2735">
        <v>4.8106580000000003E-2</v>
      </c>
      <c r="Z2735">
        <v>9.5175099999999999E-2</v>
      </c>
      <c r="AA2735">
        <v>0.9942974</v>
      </c>
      <c r="AB2735">
        <v>26</v>
      </c>
      <c r="AC2735">
        <v>-8.1199999999995498E-2</v>
      </c>
      <c r="AD2735">
        <v>-9.1001000000000096E-2</v>
      </c>
      <c r="AE2735">
        <v>-0.78619999999997903</v>
      </c>
      <c r="AF2735">
        <v>4.7183201618113499E-2</v>
      </c>
      <c r="AG2735">
        <v>-9.1001000000000096E-2</v>
      </c>
      <c r="AH2735">
        <v>0.77861342517448895</v>
      </c>
      <c r="AI2735">
        <v>96.654144604191202</v>
      </c>
      <c r="AJ2735">
        <v>86.532173314963103</v>
      </c>
      <c r="AK2735">
        <v>0.78533196953765105</v>
      </c>
    </row>
    <row r="2736" spans="1:37" x14ac:dyDescent="0.2">
      <c r="A2736" t="str">
        <f>"20200111154120136"</f>
        <v>20200111154120136</v>
      </c>
      <c r="B2736" t="str">
        <f>"1578728480129341"</f>
        <v>1578728480129341</v>
      </c>
      <c r="C2736" t="s">
        <v>37</v>
      </c>
      <c r="D2736">
        <v>5.4465399999999997</v>
      </c>
      <c r="E2736">
        <v>0.52266099999999904</v>
      </c>
      <c r="F2736" t="s">
        <v>38</v>
      </c>
      <c r="G2736">
        <v>-189.9864</v>
      </c>
      <c r="H2736">
        <v>1.03474</v>
      </c>
      <c r="I2736">
        <v>190.3818</v>
      </c>
      <c r="J2736">
        <v>-189.91540000000001</v>
      </c>
      <c r="K2736">
        <v>1.1136379999999999</v>
      </c>
      <c r="L2736">
        <v>190.96420000000001</v>
      </c>
      <c r="M2736">
        <v>-4.0171239999999997E-2</v>
      </c>
      <c r="N2736">
        <v>0</v>
      </c>
      <c r="O2736">
        <v>-0.99900940000000005</v>
      </c>
      <c r="P2736">
        <v>-5.6102619999999999E-2</v>
      </c>
      <c r="Q2736">
        <v>5.9934950000000001E-2</v>
      </c>
      <c r="R2736">
        <v>-0.99662450000000002</v>
      </c>
      <c r="S2736">
        <v>-0.29429629999999901</v>
      </c>
      <c r="T2736">
        <v>-0.29992150000000001</v>
      </c>
      <c r="U2736">
        <v>-3.012054</v>
      </c>
      <c r="V2736">
        <v>1.56297E-2</v>
      </c>
      <c r="W2736">
        <v>7.9106389999999999E-2</v>
      </c>
      <c r="X2736">
        <v>0.99674359999999995</v>
      </c>
      <c r="Y2736">
        <v>5.670182E-2</v>
      </c>
      <c r="Z2736">
        <v>9.8652180000000006E-2</v>
      </c>
      <c r="AA2736">
        <v>0.99350519999999998</v>
      </c>
      <c r="AB2736">
        <v>26</v>
      </c>
      <c r="AC2736">
        <v>-7.0999999999997898E-2</v>
      </c>
      <c r="AD2736">
        <v>-7.8897999999999899E-2</v>
      </c>
      <c r="AE2736">
        <v>-0.58240000000000602</v>
      </c>
      <c r="AF2736">
        <v>4.6698183719618702E-2</v>
      </c>
      <c r="AG2736">
        <v>-7.8897999999999899E-2</v>
      </c>
      <c r="AH2736">
        <v>0.57439532727118103</v>
      </c>
      <c r="AI2736">
        <v>97.795708361290593</v>
      </c>
      <c r="AJ2736">
        <v>85.352091081856699</v>
      </c>
      <c r="AK2736">
        <v>0.58166623312487198</v>
      </c>
    </row>
    <row r="2737" spans="1:37" x14ac:dyDescent="0.2">
      <c r="A2737" t="str">
        <f>"20200111154120158"</f>
        <v>20200111154120158</v>
      </c>
      <c r="B2737" t="str">
        <f>"1578728480148861"</f>
        <v>1578728480148861</v>
      </c>
      <c r="C2737" t="s">
        <v>37</v>
      </c>
      <c r="D2737">
        <v>5.3845019999999897</v>
      </c>
      <c r="E2737">
        <v>0.52883100000000005</v>
      </c>
      <c r="F2737" t="s">
        <v>38</v>
      </c>
      <c r="G2737">
        <v>-190.0112</v>
      </c>
      <c r="H2737">
        <v>1.035744</v>
      </c>
      <c r="I2737">
        <v>190.15299999999999</v>
      </c>
      <c r="J2737">
        <v>-189.9229</v>
      </c>
      <c r="K2737">
        <v>1.1136490000000001</v>
      </c>
      <c r="L2737">
        <v>190.7037</v>
      </c>
      <c r="M2737">
        <v>-3.7437659999999998E-2</v>
      </c>
      <c r="N2737">
        <v>0</v>
      </c>
      <c r="O2737">
        <v>-0.99911830000000001</v>
      </c>
      <c r="P2737">
        <v>-5.6552079999999998E-2</v>
      </c>
      <c r="Q2737">
        <v>5.853705E-2</v>
      </c>
      <c r="R2737">
        <v>-0.99668259999999897</v>
      </c>
      <c r="S2737">
        <v>-0.35487370000000001</v>
      </c>
      <c r="T2737">
        <v>-0.288834599999999</v>
      </c>
      <c r="U2737">
        <v>-3.0075379999999998</v>
      </c>
      <c r="V2737">
        <v>1.8811310000000001E-2</v>
      </c>
      <c r="W2737">
        <v>7.7603270000000002E-2</v>
      </c>
      <c r="X2737">
        <v>0.99680689999999905</v>
      </c>
      <c r="Y2737">
        <v>7.9382880000000003E-2</v>
      </c>
      <c r="Z2737">
        <v>9.5019779999999998E-2</v>
      </c>
      <c r="AA2737">
        <v>0.9923052</v>
      </c>
      <c r="AB2737">
        <v>26</v>
      </c>
      <c r="AC2737">
        <v>-8.8300000000003806E-2</v>
      </c>
      <c r="AD2737">
        <v>-7.7904999999999794E-2</v>
      </c>
      <c r="AE2737">
        <v>-0.55070000000000596</v>
      </c>
      <c r="AF2737">
        <v>6.6323407999598197E-2</v>
      </c>
      <c r="AG2737">
        <v>-7.7904999999999794E-2</v>
      </c>
      <c r="AH2737">
        <v>0.54302525846308503</v>
      </c>
      <c r="AI2737">
        <v>98.104799722338399</v>
      </c>
      <c r="AJ2737">
        <v>83.036561382206898</v>
      </c>
      <c r="AK2737">
        <v>0.55257978139141295</v>
      </c>
    </row>
    <row r="2738" spans="1:37" x14ac:dyDescent="0.2">
      <c r="A2738" t="str">
        <f>"20200111154120179"</f>
        <v>20200111154120179</v>
      </c>
      <c r="B2738" t="str">
        <f>"1578728480169358"</f>
        <v>1578728480169358</v>
      </c>
      <c r="C2738" t="s">
        <v>37</v>
      </c>
      <c r="D2738">
        <v>5.4221769999999996</v>
      </c>
      <c r="E2738">
        <v>0.53205899999999995</v>
      </c>
      <c r="F2738" t="s">
        <v>38</v>
      </c>
      <c r="G2738">
        <v>-190.02869999999999</v>
      </c>
      <c r="H2738">
        <v>1.0440750000000001</v>
      </c>
      <c r="I2738">
        <v>189.92019999999999</v>
      </c>
      <c r="J2738">
        <v>-189.92910000000001</v>
      </c>
      <c r="K2738">
        <v>1.1135969999999999</v>
      </c>
      <c r="L2738">
        <v>190.46639999999999</v>
      </c>
      <c r="M2738">
        <v>-3.5012330000000001E-2</v>
      </c>
      <c r="N2738">
        <v>0</v>
      </c>
      <c r="O2738">
        <v>-0.99920769999999903</v>
      </c>
      <c r="P2738">
        <v>-5.7685989999999999E-2</v>
      </c>
      <c r="Q2738">
        <v>5.6923929999999998E-2</v>
      </c>
      <c r="R2738">
        <v>-0.99671069999999995</v>
      </c>
      <c r="S2738">
        <v>-0.4049835</v>
      </c>
      <c r="T2738">
        <v>-0.26679999999999998</v>
      </c>
      <c r="U2738">
        <v>-3.0026860000000002</v>
      </c>
      <c r="V2738">
        <v>2.238265E-2</v>
      </c>
      <c r="W2738">
        <v>7.5906940000000006E-2</v>
      </c>
      <c r="X2738">
        <v>0.99686369999999902</v>
      </c>
      <c r="Y2738">
        <v>9.8360799999999998E-2</v>
      </c>
      <c r="Z2738">
        <v>8.7815219999999999E-2</v>
      </c>
      <c r="AA2738">
        <v>0.9912687</v>
      </c>
      <c r="AB2738">
        <v>26</v>
      </c>
      <c r="AC2738">
        <v>-9.9599999999980995E-2</v>
      </c>
      <c r="AD2738">
        <v>-6.9521999999999806E-2</v>
      </c>
      <c r="AE2738">
        <v>-0.54619999999999802</v>
      </c>
      <c r="AF2738">
        <v>7.9170391664306602E-2</v>
      </c>
      <c r="AG2738">
        <v>-6.9521999999999806E-2</v>
      </c>
      <c r="AH2738">
        <v>0.54087218776264001</v>
      </c>
      <c r="AI2738">
        <v>97.248055238508897</v>
      </c>
      <c r="AJ2738">
        <v>81.672445108118495</v>
      </c>
      <c r="AK2738">
        <v>0.55103900306187403</v>
      </c>
    </row>
    <row r="2739" spans="1:37" x14ac:dyDescent="0.2">
      <c r="A2739" t="str">
        <f>"20200111154120192"</f>
        <v>20200111154120192</v>
      </c>
      <c r="B2739" t="str">
        <f>"1578728480188878"</f>
        <v>1578728480188878</v>
      </c>
      <c r="C2739" t="s">
        <v>37</v>
      </c>
      <c r="D2739">
        <v>5.4033959999999999</v>
      </c>
      <c r="E2739">
        <v>0.53329659999999901</v>
      </c>
      <c r="F2739" t="s">
        <v>38</v>
      </c>
      <c r="G2739">
        <v>-190.04179999999999</v>
      </c>
      <c r="H2739">
        <v>1.0497459999999901</v>
      </c>
      <c r="I2739">
        <v>189.68729999999999</v>
      </c>
      <c r="J2739">
        <v>-189.93270000000001</v>
      </c>
      <c r="K2739">
        <v>1.113623</v>
      </c>
      <c r="L2739">
        <v>190.3167</v>
      </c>
      <c r="M2739">
        <v>-3.3628369999999998E-2</v>
      </c>
      <c r="N2739">
        <v>0</v>
      </c>
      <c r="O2739">
        <v>-0.9992489</v>
      </c>
      <c r="P2739">
        <v>-5.8238819999999997E-2</v>
      </c>
      <c r="Q2739">
        <v>5.5692930000000002E-2</v>
      </c>
      <c r="R2739">
        <v>-0.99674839999999998</v>
      </c>
      <c r="S2739">
        <v>-0.43385309999999999</v>
      </c>
      <c r="T2739">
        <v>-0.2458082</v>
      </c>
      <c r="U2739">
        <v>-2.99880999999999</v>
      </c>
      <c r="V2739">
        <v>2.4335209999999999E-2</v>
      </c>
      <c r="W2739">
        <v>7.5034429999999999E-2</v>
      </c>
      <c r="X2739">
        <v>0.99688399999999999</v>
      </c>
      <c r="Y2739">
        <v>0.10934529999999899</v>
      </c>
      <c r="Z2739">
        <v>8.0962149999999997E-2</v>
      </c>
      <c r="AA2739">
        <v>0.9907011</v>
      </c>
      <c r="AB2739">
        <v>26</v>
      </c>
      <c r="AC2739">
        <v>-0.109099999999983</v>
      </c>
      <c r="AD2739">
        <v>-6.38770000000001E-2</v>
      </c>
      <c r="AE2739">
        <v>-0.62940000000000396</v>
      </c>
      <c r="AF2739">
        <v>8.6998705596708095E-2</v>
      </c>
      <c r="AG2739">
        <v>-6.38770000000001E-2</v>
      </c>
      <c r="AH2739">
        <v>0.62644923440924505</v>
      </c>
      <c r="AI2739">
        <v>95.767172420376596</v>
      </c>
      <c r="AJ2739">
        <v>82.093567031091695</v>
      </c>
      <c r="AK2739">
        <v>0.63567891989308001</v>
      </c>
    </row>
    <row r="2740" spans="1:37" x14ac:dyDescent="0.2">
      <c r="A2740" t="str">
        <f>"20200111154120207"</f>
        <v>20200111154120207</v>
      </c>
      <c r="B2740" t="str">
        <f>"1578728480198638"</f>
        <v>1578728480198638</v>
      </c>
      <c r="C2740" t="s">
        <v>37</v>
      </c>
      <c r="D2740">
        <v>5.4037470000000001</v>
      </c>
      <c r="E2740">
        <v>0.53384600000000004</v>
      </c>
      <c r="F2740" t="s">
        <v>38</v>
      </c>
      <c r="G2740">
        <v>-190.05930000000001</v>
      </c>
      <c r="H2740">
        <v>1.0468649999999999</v>
      </c>
      <c r="I2740">
        <v>189.4657</v>
      </c>
      <c r="J2740">
        <v>-189.9366</v>
      </c>
      <c r="K2740">
        <v>1.113686</v>
      </c>
      <c r="L2740">
        <v>190.14949999999999</v>
      </c>
      <c r="M2740">
        <v>-3.218621E-2</v>
      </c>
      <c r="N2740">
        <v>0</v>
      </c>
      <c r="O2740">
        <v>-0.99928269999999997</v>
      </c>
      <c r="P2740">
        <v>-5.8817750000000002E-2</v>
      </c>
      <c r="Q2740">
        <v>5.4327889999999997E-2</v>
      </c>
      <c r="R2740">
        <v>-0.99678929999999999</v>
      </c>
      <c r="S2740">
        <v>-0.4453278</v>
      </c>
      <c r="T2740">
        <v>-0.23525699999999999</v>
      </c>
      <c r="U2740">
        <v>-2.996902</v>
      </c>
      <c r="V2740">
        <v>2.63784E-2</v>
      </c>
      <c r="W2740">
        <v>7.4361590000000005E-2</v>
      </c>
      <c r="X2740">
        <v>0.99688239999999995</v>
      </c>
      <c r="Y2740">
        <v>0.11462079999999999</v>
      </c>
      <c r="Z2740">
        <v>7.7517989999999995E-2</v>
      </c>
      <c r="AA2740">
        <v>0.99038019999999904</v>
      </c>
      <c r="AB2740">
        <v>26</v>
      </c>
      <c r="AC2740">
        <v>-0.122700000000008</v>
      </c>
      <c r="AD2740">
        <v>-6.6821000000000005E-2</v>
      </c>
      <c r="AE2740">
        <v>-0.68379999999998997</v>
      </c>
      <c r="AF2740">
        <v>9.9700724229950494E-2</v>
      </c>
      <c r="AG2740">
        <v>-6.6821000000000005E-2</v>
      </c>
      <c r="AH2740">
        <v>0.681094571531354</v>
      </c>
      <c r="AI2740">
        <v>95.544542009489803</v>
      </c>
      <c r="AJ2740">
        <v>81.672014969693805</v>
      </c>
      <c r="AK2740">
        <v>0.69158881990851695</v>
      </c>
    </row>
    <row r="2741" spans="1:37" x14ac:dyDescent="0.2">
      <c r="A2741" t="str">
        <f>"20200111154120224"</f>
        <v>20200111154120224</v>
      </c>
      <c r="B2741" t="str">
        <f>"1578728480219134"</f>
        <v>1578728480219134</v>
      </c>
      <c r="C2741" t="s">
        <v>37</v>
      </c>
      <c r="D2741">
        <v>5.4335529999999999</v>
      </c>
      <c r="E2741">
        <v>0.53480499999999997</v>
      </c>
      <c r="F2741" t="s">
        <v>38</v>
      </c>
      <c r="G2741">
        <v>-190.07239999999999</v>
      </c>
      <c r="H2741">
        <v>1.0434509999999999</v>
      </c>
      <c r="I2741">
        <v>189.24799999999999</v>
      </c>
      <c r="J2741">
        <v>-189.94049999999999</v>
      </c>
      <c r="K2741">
        <v>1.1137760000000001</v>
      </c>
      <c r="L2741">
        <v>189.97120000000001</v>
      </c>
      <c r="M2741">
        <v>-3.0752519999999998E-2</v>
      </c>
      <c r="N2741">
        <v>0</v>
      </c>
      <c r="O2741">
        <v>-0.99930739999999996</v>
      </c>
      <c r="P2741">
        <v>-6.1337870000000003E-2</v>
      </c>
      <c r="Q2741">
        <v>5.2626399999999997E-2</v>
      </c>
      <c r="R2741">
        <v>-0.99672890000000003</v>
      </c>
      <c r="S2741">
        <v>-0.45140079999999999</v>
      </c>
      <c r="T2741">
        <v>-0.23342759999999901</v>
      </c>
      <c r="U2741">
        <v>-2.995743</v>
      </c>
      <c r="V2741">
        <v>3.0362960000000001E-2</v>
      </c>
      <c r="W2741">
        <v>7.3656860000000005E-2</v>
      </c>
      <c r="X2741">
        <v>0.99682130000000002</v>
      </c>
      <c r="Y2741">
        <v>0.11807089999999899</v>
      </c>
      <c r="Z2741">
        <v>7.6926240000000007E-2</v>
      </c>
      <c r="AA2741">
        <v>0.99002099999999904</v>
      </c>
      <c r="AB2741">
        <v>25</v>
      </c>
      <c r="AC2741">
        <v>-0.13190000000000099</v>
      </c>
      <c r="AD2741">
        <v>-7.0324999999999901E-2</v>
      </c>
      <c r="AE2741">
        <v>-0.72320000000001905</v>
      </c>
      <c r="AF2741">
        <v>0.108598643470064</v>
      </c>
      <c r="AG2741">
        <v>-7.0324999999999901E-2</v>
      </c>
      <c r="AH2741">
        <v>0.72032292356767302</v>
      </c>
      <c r="AI2741">
        <v>95.514180048010701</v>
      </c>
      <c r="AJ2741">
        <v>81.426437932815304</v>
      </c>
      <c r="AK2741">
        <v>0.73184997452047396</v>
      </c>
    </row>
    <row r="2742" spans="1:37" x14ac:dyDescent="0.2">
      <c r="A2742" t="str">
        <f>"20200111154120247"</f>
        <v>20200111154120247</v>
      </c>
      <c r="B2742" t="str">
        <f>"1578728480238654"</f>
        <v>1578728480238654</v>
      </c>
      <c r="C2742" t="s">
        <v>37</v>
      </c>
      <c r="D2742">
        <v>5.4131359999999997</v>
      </c>
      <c r="E2742">
        <v>0.53524019999999894</v>
      </c>
      <c r="F2742" t="s">
        <v>38</v>
      </c>
      <c r="G2742">
        <v>-190.0874</v>
      </c>
      <c r="H2742">
        <v>1.04192</v>
      </c>
      <c r="I2742">
        <v>189.03110000000001</v>
      </c>
      <c r="J2742">
        <v>-189.94579999999999</v>
      </c>
      <c r="K2742">
        <v>1.1138440000000001</v>
      </c>
      <c r="L2742">
        <v>189.71729999999999</v>
      </c>
      <c r="M2742">
        <v>-2.8852139999999998E-2</v>
      </c>
      <c r="N2742">
        <v>0</v>
      </c>
      <c r="O2742">
        <v>-0.99933819999999995</v>
      </c>
      <c r="P2742">
        <v>-6.4035469999999997E-2</v>
      </c>
      <c r="Q2742">
        <v>5.153903E-2</v>
      </c>
      <c r="R2742">
        <v>-0.99661619999999995</v>
      </c>
      <c r="S2742">
        <v>-0.46670529999999999</v>
      </c>
      <c r="T2742">
        <v>-0.22900870000000001</v>
      </c>
      <c r="U2742">
        <v>-2.9931950000000001</v>
      </c>
      <c r="V2742">
        <v>3.4991809999999998E-2</v>
      </c>
      <c r="W2742">
        <v>7.3769559999999998E-2</v>
      </c>
      <c r="X2742">
        <v>0.99666119999999903</v>
      </c>
      <c r="Y2742">
        <v>0.1250424</v>
      </c>
      <c r="Z2742">
        <v>7.5486719999999993E-2</v>
      </c>
      <c r="AA2742">
        <v>0.98927559999999903</v>
      </c>
      <c r="AB2742">
        <v>25</v>
      </c>
      <c r="AC2742">
        <v>-0.14160000000001099</v>
      </c>
      <c r="AD2742">
        <v>-7.1923999999999794E-2</v>
      </c>
      <c r="AE2742">
        <v>-0.68619999999998504</v>
      </c>
      <c r="AF2742">
        <v>0.12046839246416299</v>
      </c>
      <c r="AG2742">
        <v>-7.1923999999999794E-2</v>
      </c>
      <c r="AH2742">
        <v>0.68280561506247905</v>
      </c>
      <c r="AI2742">
        <v>95.922328895099497</v>
      </c>
      <c r="AJ2742">
        <v>79.994194314547002</v>
      </c>
      <c r="AK2742">
        <v>0.69707187815873695</v>
      </c>
    </row>
    <row r="2743" spans="1:37" x14ac:dyDescent="0.2">
      <c r="A2743" t="str">
        <f>"20200111154120268"</f>
        <v>20200111154120268</v>
      </c>
      <c r="B2743" t="str">
        <f>"1578728480259152"</f>
        <v>1578728480259152</v>
      </c>
      <c r="C2743" t="s">
        <v>37</v>
      </c>
      <c r="D2743">
        <v>5.3994839999999904</v>
      </c>
      <c r="E2743">
        <v>0.53535089999999996</v>
      </c>
      <c r="F2743" t="s">
        <v>39</v>
      </c>
      <c r="G2743">
        <v>-192.28139999999999</v>
      </c>
      <c r="H2743" s="1">
        <v>-2.9730120000000001E-6</v>
      </c>
      <c r="I2743">
        <v>175.10419999999999</v>
      </c>
      <c r="J2743">
        <v>-189.9504</v>
      </c>
      <c r="K2743">
        <v>1.113621</v>
      </c>
      <c r="L2743">
        <v>189.47720000000001</v>
      </c>
      <c r="M2743">
        <v>-2.7045920000000001E-2</v>
      </c>
      <c r="N2743">
        <v>0</v>
      </c>
      <c r="O2743">
        <v>-0.99939059999999902</v>
      </c>
      <c r="P2743">
        <v>-6.7327120000000004E-2</v>
      </c>
      <c r="Q2743">
        <v>5.2264230000000002E-2</v>
      </c>
      <c r="R2743">
        <v>-0.99636130000000001</v>
      </c>
      <c r="S2743">
        <v>-0.47810360000000002</v>
      </c>
      <c r="T2743">
        <v>-0.22800109999999901</v>
      </c>
      <c r="U2743">
        <v>-2.9912570000000001</v>
      </c>
      <c r="V2743">
        <v>4.0109310000000002E-2</v>
      </c>
      <c r="W2743">
        <v>7.4402490000000002E-2</v>
      </c>
      <c r="X2743">
        <v>0.99642129999999995</v>
      </c>
      <c r="Y2743">
        <v>0.1306129</v>
      </c>
      <c r="Z2743">
        <v>7.5160850000000001E-2</v>
      </c>
      <c r="AA2743">
        <v>0.98858029999999997</v>
      </c>
      <c r="AB2743">
        <v>24</v>
      </c>
      <c r="AC2743">
        <v>-2.33099999999998</v>
      </c>
      <c r="AD2743">
        <v>-1.1136239730119999</v>
      </c>
      <c r="AE2743">
        <v>-14.372999999999999</v>
      </c>
      <c r="AF2743">
        <v>1.9300317801187901</v>
      </c>
      <c r="AG2743">
        <v>-1.1136239730119999</v>
      </c>
      <c r="AH2743">
        <v>14.346879258617101</v>
      </c>
      <c r="AI2743">
        <v>94.399006363227201</v>
      </c>
      <c r="AJ2743">
        <v>82.338212271952102</v>
      </c>
      <c r="AK2743">
        <v>14.5188885761574</v>
      </c>
    </row>
    <row r="2744" spans="1:37" x14ac:dyDescent="0.2">
      <c r="A2744" t="str">
        <f>"20200111154120282"</f>
        <v>20200111154120282</v>
      </c>
      <c r="B2744" t="str">
        <f>"1578728480278670"</f>
        <v>1578728480278670</v>
      </c>
      <c r="C2744" t="s">
        <v>37</v>
      </c>
      <c r="D2744">
        <v>5.4514259999999997</v>
      </c>
      <c r="E2744">
        <v>0.53534569999999904</v>
      </c>
      <c r="F2744" t="s">
        <v>39</v>
      </c>
      <c r="G2744">
        <v>-192.40770000000001</v>
      </c>
      <c r="H2744" s="1">
        <v>-2.7198709999999998E-6</v>
      </c>
      <c r="I2744">
        <v>174.4359</v>
      </c>
      <c r="J2744">
        <v>-189.95310000000001</v>
      </c>
      <c r="K2744">
        <v>1.1134549999999901</v>
      </c>
      <c r="L2744">
        <v>189.32910000000001</v>
      </c>
      <c r="M2744">
        <v>-2.6059249999999999E-2</v>
      </c>
      <c r="N2744">
        <v>0</v>
      </c>
      <c r="O2744">
        <v>-0.99942439999999999</v>
      </c>
      <c r="P2744">
        <v>-6.8970489999999995E-2</v>
      </c>
      <c r="Q2744">
        <v>5.2824199999999898E-2</v>
      </c>
      <c r="R2744">
        <v>-0.99621959999999998</v>
      </c>
      <c r="S2744">
        <v>-0.48840329999999899</v>
      </c>
      <c r="T2744">
        <v>-0.2213386</v>
      </c>
      <c r="U2744">
        <v>-2.9895480000000001</v>
      </c>
      <c r="V2744">
        <v>4.274476E-2</v>
      </c>
      <c r="W2744">
        <v>7.4625979999999995E-2</v>
      </c>
      <c r="X2744">
        <v>0.99629500000000004</v>
      </c>
      <c r="Y2744">
        <v>0.1350239</v>
      </c>
      <c r="Z2744">
        <v>7.2978849999999998E-2</v>
      </c>
      <c r="AA2744">
        <v>0.98815109999999995</v>
      </c>
      <c r="AB2744">
        <v>24</v>
      </c>
      <c r="AC2744">
        <v>-2.4545999999999899</v>
      </c>
      <c r="AD2744">
        <v>-1.1134577198709901</v>
      </c>
      <c r="AE2744">
        <v>-14.8932</v>
      </c>
      <c r="AF2744">
        <v>2.0543895182504599</v>
      </c>
      <c r="AG2744">
        <v>-1.1134577198709901</v>
      </c>
      <c r="AH2744">
        <v>14.871195937090199</v>
      </c>
      <c r="AI2744">
        <v>94.241807622383604</v>
      </c>
      <c r="AJ2744">
        <v>82.134625771128398</v>
      </c>
      <c r="AK2744">
        <v>15.0536631085581</v>
      </c>
    </row>
    <row r="2745" spans="1:37" x14ac:dyDescent="0.2">
      <c r="A2745" t="str">
        <f>"20200111154120301"</f>
        <v>20200111154120301</v>
      </c>
      <c r="B2745" t="str">
        <f>"1578728480289406"</f>
        <v>1578728480289406</v>
      </c>
      <c r="C2745" t="s">
        <v>37</v>
      </c>
      <c r="D2745">
        <v>5.4251949999999898</v>
      </c>
      <c r="E2745">
        <v>0.5353232</v>
      </c>
      <c r="F2745" t="s">
        <v>39</v>
      </c>
      <c r="G2745">
        <v>-192.4879</v>
      </c>
      <c r="H2745" s="1">
        <v>-2.536754E-6</v>
      </c>
      <c r="I2745">
        <v>173.95930000000001</v>
      </c>
      <c r="J2745">
        <v>-189.95650000000001</v>
      </c>
      <c r="K2745">
        <v>1.1132879999999901</v>
      </c>
      <c r="L2745">
        <v>189.12960000000001</v>
      </c>
      <c r="M2745">
        <v>-2.4914459999999999E-2</v>
      </c>
      <c r="N2745">
        <v>0</v>
      </c>
      <c r="O2745">
        <v>-0.99945609999999996</v>
      </c>
      <c r="P2745">
        <v>-7.2747339999999994E-2</v>
      </c>
      <c r="Q2745">
        <v>5.3656089999999997E-2</v>
      </c>
      <c r="R2745">
        <v>-0.99590630000000002</v>
      </c>
      <c r="S2745">
        <v>-0.49290469999999997</v>
      </c>
      <c r="T2745">
        <v>-0.2165176</v>
      </c>
      <c r="U2745">
        <v>-2.9887389999999998</v>
      </c>
      <c r="V2745">
        <v>4.7689280000000001E-2</v>
      </c>
      <c r="W2745">
        <v>7.5333990000000003E-2</v>
      </c>
      <c r="X2745">
        <v>0.99601729999999999</v>
      </c>
      <c r="Y2745">
        <v>0.13766879999999901</v>
      </c>
      <c r="Z2745">
        <v>7.1397970000000005E-2</v>
      </c>
      <c r="AA2745">
        <v>0.98790159999999905</v>
      </c>
      <c r="AB2745">
        <v>24</v>
      </c>
      <c r="AC2745">
        <v>-2.5313999999999899</v>
      </c>
      <c r="AD2745">
        <v>-1.11329053675399</v>
      </c>
      <c r="AE2745">
        <v>-15.1702999999999</v>
      </c>
      <c r="AF2745">
        <v>2.14134589675424</v>
      </c>
      <c r="AG2745">
        <v>-1.11329053675399</v>
      </c>
      <c r="AH2745">
        <v>15.1492950733399</v>
      </c>
      <c r="AI2745">
        <v>94.161771486162706</v>
      </c>
      <c r="AJ2745">
        <v>81.954567124956199</v>
      </c>
      <c r="AK2745">
        <v>15.3403363485907</v>
      </c>
    </row>
    <row r="2746" spans="1:37" x14ac:dyDescent="0.2">
      <c r="A2746" t="str">
        <f>"20200111154120315"</f>
        <v>20200111154120315</v>
      </c>
      <c r="B2746" t="str">
        <f>"1578728480308926"</f>
        <v>1578728480308926</v>
      </c>
      <c r="C2746" t="s">
        <v>37</v>
      </c>
      <c r="D2746">
        <v>5.4409320000000001</v>
      </c>
      <c r="E2746">
        <v>0.53523359999999998</v>
      </c>
      <c r="F2746" t="s">
        <v>39</v>
      </c>
      <c r="G2746">
        <v>-192.5933</v>
      </c>
      <c r="H2746" s="1">
        <v>-2.3670520000000001E-6</v>
      </c>
      <c r="I2746">
        <v>173.4983</v>
      </c>
      <c r="J2746">
        <v>-189.959</v>
      </c>
      <c r="K2746">
        <v>1.113151</v>
      </c>
      <c r="L2746">
        <v>188.98230000000001</v>
      </c>
      <c r="M2746">
        <v>-2.4135810000000001E-2</v>
      </c>
      <c r="N2746">
        <v>0</v>
      </c>
      <c r="O2746">
        <v>-0.99947489999999894</v>
      </c>
      <c r="P2746">
        <v>-7.4067969999999997E-2</v>
      </c>
      <c r="Q2746">
        <v>5.450228E-2</v>
      </c>
      <c r="R2746">
        <v>-0.99576290000000001</v>
      </c>
      <c r="S2746">
        <v>-0.50386049999999905</v>
      </c>
      <c r="T2746">
        <v>-0.2127395</v>
      </c>
      <c r="U2746">
        <v>-2.9869840000000001</v>
      </c>
      <c r="V2746">
        <v>4.9812830000000002E-2</v>
      </c>
      <c r="W2746">
        <v>7.6188870000000006E-2</v>
      </c>
      <c r="X2746">
        <v>0.99584839999999997</v>
      </c>
      <c r="Y2746">
        <v>0.14207210000000001</v>
      </c>
      <c r="Z2746">
        <v>7.0157990000000003E-2</v>
      </c>
      <c r="AA2746">
        <v>0.98736689999999905</v>
      </c>
      <c r="AB2746">
        <v>24</v>
      </c>
      <c r="AC2746">
        <v>-2.6342999999999899</v>
      </c>
      <c r="AD2746">
        <v>-1.113153367052</v>
      </c>
      <c r="AE2746">
        <v>-15.484</v>
      </c>
      <c r="AF2746">
        <v>2.2484324121811001</v>
      </c>
      <c r="AG2746">
        <v>-1.113153367052</v>
      </c>
      <c r="AH2746">
        <v>15.465402378831699</v>
      </c>
      <c r="AI2746">
        <v>94.074193220893093</v>
      </c>
      <c r="AJ2746">
        <v>81.728027864876594</v>
      </c>
      <c r="AK2746">
        <v>15.6675853107586</v>
      </c>
    </row>
    <row r="2747" spans="1:37" x14ac:dyDescent="0.2">
      <c r="A2747" t="str">
        <f>"20200111154120337"</f>
        <v>20200111154120337</v>
      </c>
      <c r="B2747" t="str">
        <f>"1578728480329422"</f>
        <v>1578728480329422</v>
      </c>
      <c r="C2747" t="s">
        <v>37</v>
      </c>
      <c r="D2747">
        <v>5.423781</v>
      </c>
      <c r="E2747">
        <v>0.53494030000000004</v>
      </c>
      <c r="F2747" t="s">
        <v>39</v>
      </c>
      <c r="G2747">
        <v>-192.68190000000001</v>
      </c>
      <c r="H2747" s="1">
        <v>-2.1558990000000002E-6</v>
      </c>
      <c r="I2747">
        <v>172.9511</v>
      </c>
      <c r="J2747">
        <v>-189.96289999999999</v>
      </c>
      <c r="K2747">
        <v>1.11287</v>
      </c>
      <c r="L2747">
        <v>188.75210000000001</v>
      </c>
      <c r="M2747">
        <v>-2.2999189999999999E-2</v>
      </c>
      <c r="N2747">
        <v>0</v>
      </c>
      <c r="O2747">
        <v>-0.99950409999999901</v>
      </c>
      <c r="P2747">
        <v>-7.752357E-2</v>
      </c>
      <c r="Q2747">
        <v>5.6917040000000002E-2</v>
      </c>
      <c r="R2747">
        <v>-0.99536449999999999</v>
      </c>
      <c r="S2747">
        <v>-0.50724789999999997</v>
      </c>
      <c r="T2747">
        <v>-0.2073652</v>
      </c>
      <c r="U2747">
        <v>-2.986389</v>
      </c>
      <c r="V2747">
        <v>5.4453029999999999E-2</v>
      </c>
      <c r="W2747">
        <v>7.8448970000000007E-2</v>
      </c>
      <c r="X2747">
        <v>0.99542989999999998</v>
      </c>
      <c r="Y2747">
        <v>0.144339</v>
      </c>
      <c r="Z2747">
        <v>6.8392560000000005E-2</v>
      </c>
      <c r="AA2747">
        <v>0.98716190000000004</v>
      </c>
      <c r="AB2747">
        <v>24</v>
      </c>
      <c r="AC2747">
        <v>-2.7190000000000198</v>
      </c>
      <c r="AD2747">
        <v>-1.112872155899</v>
      </c>
      <c r="AE2747">
        <v>-15.801</v>
      </c>
      <c r="AF2747">
        <v>2.34349567911929</v>
      </c>
      <c r="AG2747">
        <v>-1.112872155899</v>
      </c>
      <c r="AH2747">
        <v>15.7833268713071</v>
      </c>
      <c r="AI2747">
        <v>93.989618945651998</v>
      </c>
      <c r="AJ2747">
        <v>81.554471601471704</v>
      </c>
      <c r="AK2747">
        <v>15.995119992046</v>
      </c>
    </row>
    <row r="2748" spans="1:37" x14ac:dyDescent="0.2">
      <c r="A2748" t="str">
        <f>"20200111154120359"</f>
        <v>20200111154120359</v>
      </c>
      <c r="B2748" t="str">
        <f>"1578728480348941"</f>
        <v>1578728480348941</v>
      </c>
      <c r="C2748" t="s">
        <v>37</v>
      </c>
      <c r="D2748">
        <v>5.4563329999999999</v>
      </c>
      <c r="E2748">
        <v>0.53472330000000001</v>
      </c>
      <c r="F2748" t="s">
        <v>39</v>
      </c>
      <c r="G2748">
        <v>-192.8571</v>
      </c>
      <c r="H2748" s="1">
        <v>-1.7971619999999999E-6</v>
      </c>
      <c r="I2748">
        <v>172.00630000000001</v>
      </c>
      <c r="J2748">
        <v>-189.96709999999999</v>
      </c>
      <c r="K2748">
        <v>1.112506</v>
      </c>
      <c r="L2748">
        <v>188.5093</v>
      </c>
      <c r="M2748">
        <v>-2.1986229999999999E-2</v>
      </c>
      <c r="N2748">
        <v>0</v>
      </c>
      <c r="O2748">
        <v>-0.99953649999999905</v>
      </c>
      <c r="P2748">
        <v>-8.0941479999999996E-2</v>
      </c>
      <c r="Q2748">
        <v>5.8946419999999999E-2</v>
      </c>
      <c r="R2748">
        <v>-0.99497459999999904</v>
      </c>
      <c r="S2748">
        <v>-0.51593020000000001</v>
      </c>
      <c r="T2748">
        <v>-0.19838349999999999</v>
      </c>
      <c r="U2748">
        <v>-2.9851529999999999</v>
      </c>
      <c r="V2748">
        <v>5.8935899999999999E-2</v>
      </c>
      <c r="W2748">
        <v>8.000285E-2</v>
      </c>
      <c r="X2748">
        <v>0.99505080000000001</v>
      </c>
      <c r="Y2748">
        <v>0.14823129999999901</v>
      </c>
      <c r="Z2748">
        <v>6.5437319999999993E-2</v>
      </c>
      <c r="AA2748">
        <v>0.98678539999999904</v>
      </c>
      <c r="AB2748">
        <v>24</v>
      </c>
      <c r="AC2748">
        <v>-2.8900000000000099</v>
      </c>
      <c r="AD2748">
        <v>-1.1125077971620001</v>
      </c>
      <c r="AE2748">
        <v>-16.502999999999901</v>
      </c>
      <c r="AF2748">
        <v>2.5152914017004302</v>
      </c>
      <c r="AG2748">
        <v>-1.1125077971620001</v>
      </c>
      <c r="AH2748">
        <v>16.4898558750915</v>
      </c>
      <c r="AI2748">
        <v>93.815677135621996</v>
      </c>
      <c r="AJ2748">
        <v>81.327200629089404</v>
      </c>
      <c r="AK2748">
        <v>16.717646700881801</v>
      </c>
    </row>
    <row r="2749" spans="1:37" x14ac:dyDescent="0.2">
      <c r="A2749" t="str">
        <f>"20200111154120380"</f>
        <v>20200111154120380</v>
      </c>
      <c r="B2749" t="str">
        <f>"1578728480369437"</f>
        <v>1578728480369437</v>
      </c>
      <c r="C2749" t="s">
        <v>37</v>
      </c>
      <c r="D2749">
        <v>5.4285180000000004</v>
      </c>
      <c r="E2749">
        <v>0.53436629999999996</v>
      </c>
      <c r="F2749" t="s">
        <v>39</v>
      </c>
      <c r="G2749">
        <v>-193.01849999999999</v>
      </c>
      <c r="H2749" s="1">
        <v>-1.475288E-6</v>
      </c>
      <c r="I2749">
        <v>171.1559</v>
      </c>
      <c r="J2749">
        <v>-189.97099999999901</v>
      </c>
      <c r="K2749">
        <v>1.112223</v>
      </c>
      <c r="L2749">
        <v>188.29519999999999</v>
      </c>
      <c r="M2749">
        <v>-2.1328650000000001E-2</v>
      </c>
      <c r="N2749">
        <v>0</v>
      </c>
      <c r="O2749">
        <v>-0.99956100000000003</v>
      </c>
      <c r="P2749">
        <v>-8.4143319999999994E-2</v>
      </c>
      <c r="Q2749">
        <v>6.0292449999999997E-2</v>
      </c>
      <c r="R2749">
        <v>-0.99462809999999902</v>
      </c>
      <c r="S2749">
        <v>-0.52465819999999996</v>
      </c>
      <c r="T2749">
        <v>-0.19128909999999999</v>
      </c>
      <c r="U2749">
        <v>-2.9838100000000001</v>
      </c>
      <c r="V2749">
        <v>6.2834230000000005E-2</v>
      </c>
      <c r="W2749">
        <v>8.0827490000000002E-2</v>
      </c>
      <c r="X2749">
        <v>0.99474560000000001</v>
      </c>
      <c r="Y2749">
        <v>0.151783</v>
      </c>
      <c r="Z2749">
        <v>6.3103270000000003E-2</v>
      </c>
      <c r="AA2749">
        <v>0.98639739999999998</v>
      </c>
      <c r="AB2749">
        <v>24</v>
      </c>
      <c r="AC2749">
        <v>-3.0475000000000101</v>
      </c>
      <c r="AD2749">
        <v>-1.1122244752879999</v>
      </c>
      <c r="AE2749">
        <v>-17.139299999999899</v>
      </c>
      <c r="AF2749">
        <v>2.6702707627308699</v>
      </c>
      <c r="AG2749">
        <v>-1.1122244752879999</v>
      </c>
      <c r="AH2749">
        <v>17.130484385969801</v>
      </c>
      <c r="AI2749">
        <v>93.670604138312697</v>
      </c>
      <c r="AJ2749">
        <v>81.140131387780897</v>
      </c>
      <c r="AK2749">
        <v>17.372992964013999</v>
      </c>
    </row>
    <row r="2750" spans="1:37" x14ac:dyDescent="0.2">
      <c r="A2750" t="str">
        <f>"20200111154120393"</f>
        <v>20200111154120393</v>
      </c>
      <c r="B2750" t="str">
        <f>"1578728480388958"</f>
        <v>1578728480388958</v>
      </c>
      <c r="C2750" t="s">
        <v>37</v>
      </c>
      <c r="D2750">
        <v>5.4290690000000001</v>
      </c>
      <c r="E2750">
        <v>0.53404700000000005</v>
      </c>
      <c r="F2750" t="s">
        <v>39</v>
      </c>
      <c r="G2750">
        <v>-193.12280000000001</v>
      </c>
      <c r="H2750" s="1">
        <v>-1.272496E-6</v>
      </c>
      <c r="I2750">
        <v>170.61850000000001</v>
      </c>
      <c r="J2750">
        <v>-189.97370000000001</v>
      </c>
      <c r="K2750">
        <v>1.1120459999999901</v>
      </c>
      <c r="L2750">
        <v>188.1456</v>
      </c>
      <c r="M2750">
        <v>-2.1029900000000001E-2</v>
      </c>
      <c r="N2750">
        <v>0</v>
      </c>
      <c r="O2750">
        <v>-0.99957530000000006</v>
      </c>
      <c r="P2750">
        <v>-8.5565600000000006E-2</v>
      </c>
      <c r="Q2750">
        <v>6.068146E-2</v>
      </c>
      <c r="R2750">
        <v>-0.99448329999999996</v>
      </c>
      <c r="S2750">
        <v>-0.53179929999999997</v>
      </c>
      <c r="T2750">
        <v>-0.18766620000000001</v>
      </c>
      <c r="U2750">
        <v>-2.9825900000000001</v>
      </c>
      <c r="V2750">
        <v>6.4577560000000006E-2</v>
      </c>
      <c r="W2750">
        <v>8.0817040000000007E-2</v>
      </c>
      <c r="X2750">
        <v>0.99463480000000004</v>
      </c>
      <c r="Y2750">
        <v>0.154449799999999</v>
      </c>
      <c r="Z2750">
        <v>6.191261E-2</v>
      </c>
      <c r="AA2750">
        <v>0.98605889999999996</v>
      </c>
      <c r="AB2750">
        <v>24</v>
      </c>
      <c r="AC2750">
        <v>-3.1490999999999998</v>
      </c>
      <c r="AD2750">
        <v>-1.11204727249599</v>
      </c>
      <c r="AE2750">
        <v>-17.527099999999901</v>
      </c>
      <c r="AF2750">
        <v>2.7689371480804299</v>
      </c>
      <c r="AG2750">
        <v>-1.11204727249599</v>
      </c>
      <c r="AH2750">
        <v>17.521134288085499</v>
      </c>
      <c r="AI2750">
        <v>93.587228919157994</v>
      </c>
      <c r="AJ2750">
        <v>81.019581392225405</v>
      </c>
      <c r="AK2750">
        <v>17.773401723007598</v>
      </c>
    </row>
    <row r="2751" spans="1:37" x14ac:dyDescent="0.2">
      <c r="A2751" t="str">
        <f>"20200111154120407"</f>
        <v>20200111154120407</v>
      </c>
      <c r="B2751" t="str">
        <f>"1578728480398718"</f>
        <v>1578728480398718</v>
      </c>
      <c r="C2751" t="s">
        <v>37</v>
      </c>
      <c r="D2751">
        <v>5.4852359999999996</v>
      </c>
      <c r="E2751">
        <v>0.53388349999999996</v>
      </c>
      <c r="F2751" t="s">
        <v>39</v>
      </c>
      <c r="G2751">
        <v>-193.13839999999999</v>
      </c>
      <c r="H2751" s="1">
        <v>-1.208278E-6</v>
      </c>
      <c r="I2751">
        <v>170.45910000000001</v>
      </c>
      <c r="J2751">
        <v>-189.97659999999999</v>
      </c>
      <c r="K2751">
        <v>1.1118790000000001</v>
      </c>
      <c r="L2751">
        <v>187.99449999999999</v>
      </c>
      <c r="M2751">
        <v>-2.08249E-2</v>
      </c>
      <c r="N2751">
        <v>0</v>
      </c>
      <c r="O2751">
        <v>-0.99958769999999997</v>
      </c>
      <c r="P2751">
        <v>-8.7128880000000006E-2</v>
      </c>
      <c r="Q2751">
        <v>6.112542E-2</v>
      </c>
      <c r="R2751">
        <v>-0.99432019999999899</v>
      </c>
      <c r="S2751">
        <v>-0.53359990000000002</v>
      </c>
      <c r="T2751">
        <v>-0.187503799999999</v>
      </c>
      <c r="U2751">
        <v>-2.9821469999999999</v>
      </c>
      <c r="V2751">
        <v>6.6367200000000001E-2</v>
      </c>
      <c r="W2751">
        <v>8.0834610000000001E-2</v>
      </c>
      <c r="X2751">
        <v>0.9945155</v>
      </c>
      <c r="Y2751">
        <v>0.15525529999999901</v>
      </c>
      <c r="Z2751">
        <v>6.186146E-2</v>
      </c>
      <c r="AA2751">
        <v>0.98593560000000002</v>
      </c>
      <c r="AB2751">
        <v>24</v>
      </c>
      <c r="AC2751">
        <v>-3.1617999999999902</v>
      </c>
      <c r="AD2751">
        <v>-1.1118802082779999</v>
      </c>
      <c r="AE2751">
        <v>-17.5353999999999</v>
      </c>
      <c r="AF2751">
        <v>2.7850250075422802</v>
      </c>
      <c r="AG2751">
        <v>-1.1118802082779999</v>
      </c>
      <c r="AH2751">
        <v>17.5291950836905</v>
      </c>
      <c r="AI2751">
        <v>93.584579304757298</v>
      </c>
      <c r="AJ2751">
        <v>80.972346545787303</v>
      </c>
      <c r="AK2751">
        <v>17.783850037949399</v>
      </c>
    </row>
    <row r="2752" spans="1:37" x14ac:dyDescent="0.2">
      <c r="A2752" t="str">
        <f>"20200111154120425"</f>
        <v>20200111154120425</v>
      </c>
      <c r="B2752" t="str">
        <f>"1578728480419213"</f>
        <v>1578728480419213</v>
      </c>
      <c r="C2752" t="s">
        <v>37</v>
      </c>
      <c r="D2752">
        <v>5.4559259999999998</v>
      </c>
      <c r="E2752">
        <v>0.53350559999999903</v>
      </c>
      <c r="F2752" t="s">
        <v>39</v>
      </c>
      <c r="G2752">
        <v>-193.178</v>
      </c>
      <c r="H2752" s="1">
        <v>-1.1161659999999999E-6</v>
      </c>
      <c r="I2752">
        <v>170.21979999999999</v>
      </c>
      <c r="J2752">
        <v>-189.98009999999999</v>
      </c>
      <c r="K2752">
        <v>1.111694</v>
      </c>
      <c r="L2752">
        <v>187.81200000000001</v>
      </c>
      <c r="M2752">
        <v>-2.071775E-2</v>
      </c>
      <c r="N2752">
        <v>0</v>
      </c>
      <c r="O2752">
        <v>-0.99960020000000005</v>
      </c>
      <c r="P2752">
        <v>-9.0333350000000007E-2</v>
      </c>
      <c r="Q2752">
        <v>6.2043769999999998E-2</v>
      </c>
      <c r="R2752">
        <v>-0.99397749999999996</v>
      </c>
      <c r="S2752">
        <v>-0.53701779999999999</v>
      </c>
      <c r="T2752">
        <v>-0.18650829999999999</v>
      </c>
      <c r="U2752">
        <v>-2.9815520000000002</v>
      </c>
      <c r="V2752">
        <v>6.9705719999999999E-2</v>
      </c>
      <c r="W2752">
        <v>8.1210560000000001E-2</v>
      </c>
      <c r="X2752">
        <v>0.99425649999999999</v>
      </c>
      <c r="Y2752">
        <v>0.15649389999999999</v>
      </c>
      <c r="Z2752">
        <v>6.1534320000000003E-2</v>
      </c>
      <c r="AA2752">
        <v>0.98576019999999898</v>
      </c>
      <c r="AB2752">
        <v>24</v>
      </c>
      <c r="AC2752">
        <v>-3.1979000000000002</v>
      </c>
      <c r="AD2752">
        <v>-1.111695116166</v>
      </c>
      <c r="AE2752">
        <v>-17.592199999999998</v>
      </c>
      <c r="AF2752">
        <v>2.8217673661365001</v>
      </c>
      <c r="AG2752">
        <v>-1.111695116166</v>
      </c>
      <c r="AH2752">
        <v>17.586705790095401</v>
      </c>
      <c r="AI2752">
        <v>93.571423812241804</v>
      </c>
      <c r="AJ2752">
        <v>80.884647498719701</v>
      </c>
      <c r="AK2752">
        <v>17.846300951381401</v>
      </c>
    </row>
    <row r="2753" spans="1:37" x14ac:dyDescent="0.2">
      <c r="A2753" t="str">
        <f>"20200111154120437"</f>
        <v>20200111154120437</v>
      </c>
      <c r="B2753" t="str">
        <f>"1578728480428974"</f>
        <v>1578728480428974</v>
      </c>
      <c r="C2753" t="s">
        <v>37</v>
      </c>
      <c r="D2753">
        <v>5.4698650000000004</v>
      </c>
      <c r="E2753">
        <v>0.53330319999999998</v>
      </c>
      <c r="F2753" t="s">
        <v>39</v>
      </c>
      <c r="G2753">
        <v>-193.23990000000001</v>
      </c>
      <c r="H2753" s="1">
        <v>-1.0036429999999999E-6</v>
      </c>
      <c r="I2753">
        <v>169.91909999999999</v>
      </c>
      <c r="J2753">
        <v>-189.9829</v>
      </c>
      <c r="K2753">
        <v>1.111564</v>
      </c>
      <c r="L2753">
        <v>187.66829999999999</v>
      </c>
      <c r="M2753">
        <v>-2.0723060000000001E-2</v>
      </c>
      <c r="N2753">
        <v>0</v>
      </c>
      <c r="O2753">
        <v>-0.99960780000000005</v>
      </c>
      <c r="P2753">
        <v>-9.1599810000000004E-2</v>
      </c>
      <c r="Q2753">
        <v>6.2767890000000007E-2</v>
      </c>
      <c r="R2753">
        <v>-0.99381580000000003</v>
      </c>
      <c r="S2753">
        <v>-0.54298400000000002</v>
      </c>
      <c r="T2753">
        <v>-0.18517149999999999</v>
      </c>
      <c r="U2753">
        <v>-2.980362</v>
      </c>
      <c r="V2753">
        <v>7.0985060000000003E-2</v>
      </c>
      <c r="W2753">
        <v>8.1517099999999995E-2</v>
      </c>
      <c r="X2753">
        <v>0.99414089999999999</v>
      </c>
      <c r="Y2753">
        <v>0.15847269999999999</v>
      </c>
      <c r="Z2753">
        <v>6.1098380000000001E-2</v>
      </c>
      <c r="AA2753">
        <v>0.98547109999999905</v>
      </c>
      <c r="AB2753">
        <v>24</v>
      </c>
      <c r="AC2753">
        <v>-3.2570000000000001</v>
      </c>
      <c r="AD2753">
        <v>-1.111565003643</v>
      </c>
      <c r="AE2753">
        <v>-17.749199999999998</v>
      </c>
      <c r="AF2753">
        <v>2.8774992886527699</v>
      </c>
      <c r="AG2753">
        <v>-1.111565003643</v>
      </c>
      <c r="AH2753">
        <v>17.745562473956198</v>
      </c>
      <c r="AI2753">
        <v>93.5381754701218</v>
      </c>
      <c r="AJ2753">
        <v>80.789475219756994</v>
      </c>
      <c r="AK2753">
        <v>18.0116786122395</v>
      </c>
    </row>
    <row r="2754" spans="1:37" x14ac:dyDescent="0.2">
      <c r="A2754" t="str">
        <f>"20200111154120450"</f>
        <v>20200111154120450</v>
      </c>
      <c r="B2754" t="str">
        <f>"1578728480438735"</f>
        <v>1578728480438735</v>
      </c>
      <c r="C2754" t="s">
        <v>37</v>
      </c>
      <c r="D2754">
        <v>5.4650610000000004</v>
      </c>
      <c r="E2754">
        <v>0.53311439999999999</v>
      </c>
      <c r="F2754" t="s">
        <v>39</v>
      </c>
      <c r="G2754">
        <v>-193.2773</v>
      </c>
      <c r="H2754" s="1">
        <v>-9.0353789999999996E-7</v>
      </c>
      <c r="I2754">
        <v>169.6626</v>
      </c>
      <c r="J2754">
        <v>-189.9854</v>
      </c>
      <c r="K2754">
        <v>1.111459</v>
      </c>
      <c r="L2754">
        <v>187.54300000000001</v>
      </c>
      <c r="M2754">
        <v>-2.0767939999999999E-2</v>
      </c>
      <c r="N2754">
        <v>0</v>
      </c>
      <c r="O2754">
        <v>-0.99961299999999997</v>
      </c>
      <c r="P2754">
        <v>-9.2808139999999997E-2</v>
      </c>
      <c r="Q2754">
        <v>6.3540680000000002E-2</v>
      </c>
      <c r="R2754">
        <v>-0.993654699999999</v>
      </c>
      <c r="S2754">
        <v>-0.54524229999999996</v>
      </c>
      <c r="T2754">
        <v>-0.1839691</v>
      </c>
      <c r="U2754">
        <v>-2.9800259999999898</v>
      </c>
      <c r="V2754">
        <v>7.2164160000000005E-2</v>
      </c>
      <c r="W2754">
        <v>8.1941970000000003E-2</v>
      </c>
      <c r="X2754">
        <v>0.99402109999999899</v>
      </c>
      <c r="Y2754">
        <v>0.15917500000000001</v>
      </c>
      <c r="Z2754">
        <v>6.0702199999999901E-2</v>
      </c>
      <c r="AA2754">
        <v>0.98538239999999999</v>
      </c>
      <c r="AB2754">
        <v>24</v>
      </c>
      <c r="AC2754">
        <v>-3.2918999999999898</v>
      </c>
      <c r="AD2754">
        <v>-1.11145990353789</v>
      </c>
      <c r="AE2754">
        <v>-17.880400000000002</v>
      </c>
      <c r="AF2754">
        <v>2.9089156230122102</v>
      </c>
      <c r="AG2754">
        <v>-1.11145990353789</v>
      </c>
      <c r="AH2754">
        <v>17.878104352453001</v>
      </c>
      <c r="AI2754">
        <v>93.5113716539976</v>
      </c>
      <c r="AJ2754">
        <v>80.758487544243906</v>
      </c>
      <c r="AK2754">
        <v>18.1472793678881</v>
      </c>
    </row>
    <row r="2755" spans="1:37" x14ac:dyDescent="0.2">
      <c r="A2755" t="str">
        <f>"20200111154120469"</f>
        <v>20200111154120469</v>
      </c>
      <c r="B2755" t="str">
        <f>"1578728480459231"</f>
        <v>1578728480459231</v>
      </c>
      <c r="C2755" t="s">
        <v>37</v>
      </c>
      <c r="D2755">
        <v>5.4642059999999999</v>
      </c>
      <c r="E2755">
        <v>0.53279409999999905</v>
      </c>
      <c r="F2755" t="s">
        <v>39</v>
      </c>
      <c r="G2755">
        <v>-193.33029999999999</v>
      </c>
      <c r="H2755" s="1">
        <v>-5.2185059999999998E-6</v>
      </c>
      <c r="I2755">
        <v>169.33709999999999</v>
      </c>
      <c r="J2755">
        <v>-189.9897</v>
      </c>
      <c r="K2755">
        <v>1.111302</v>
      </c>
      <c r="L2755">
        <v>187.33609999999999</v>
      </c>
      <c r="M2755">
        <v>-2.09272E-2</v>
      </c>
      <c r="N2755">
        <v>0</v>
      </c>
      <c r="O2755">
        <v>-0.99961949999999999</v>
      </c>
      <c r="P2755">
        <v>-9.4221100000000002E-2</v>
      </c>
      <c r="Q2755">
        <v>6.4609260000000002E-2</v>
      </c>
      <c r="R2755">
        <v>-0.99345280000000002</v>
      </c>
      <c r="S2755">
        <v>-0.54743960000000003</v>
      </c>
      <c r="T2755">
        <v>-0.1819065</v>
      </c>
      <c r="U2755">
        <v>-2.97966</v>
      </c>
      <c r="V2755">
        <v>7.3442179999999996E-2</v>
      </c>
      <c r="W2755">
        <v>8.2464250000000003E-2</v>
      </c>
      <c r="X2755">
        <v>0.99388430000000005</v>
      </c>
      <c r="Y2755">
        <v>0.159749799999999</v>
      </c>
      <c r="Z2755">
        <v>6.0024300000000003E-2</v>
      </c>
      <c r="AA2755">
        <v>0.98533090000000001</v>
      </c>
      <c r="AB2755">
        <v>24</v>
      </c>
      <c r="AC2755">
        <v>-3.34059999999999</v>
      </c>
      <c r="AD2755">
        <v>-1.111307218506</v>
      </c>
      <c r="AE2755">
        <v>-17.998999999999899</v>
      </c>
      <c r="AF2755">
        <v>2.9522589580002498</v>
      </c>
      <c r="AG2755">
        <v>-1.111307218506</v>
      </c>
      <c r="AH2755">
        <v>17.998648725145401</v>
      </c>
      <c r="AI2755">
        <v>93.486705098933399</v>
      </c>
      <c r="AJ2755">
        <v>80.684911357718804</v>
      </c>
      <c r="AK2755">
        <v>18.272990795712001</v>
      </c>
    </row>
    <row r="2756" spans="1:37" x14ac:dyDescent="0.2">
      <c r="A2756" t="str">
        <f>"20200111154120492"</f>
        <v>20200111154120492</v>
      </c>
      <c r="B2756" t="str">
        <f>"1578728480488510"</f>
        <v>1578728480488510</v>
      </c>
      <c r="C2756" t="s">
        <v>37</v>
      </c>
      <c r="D2756">
        <v>5.4830940000000004</v>
      </c>
      <c r="E2756">
        <v>0.5323485</v>
      </c>
      <c r="F2756" t="s">
        <v>39</v>
      </c>
      <c r="G2756">
        <v>-193.40119999999999</v>
      </c>
      <c r="H2756" s="1">
        <v>-5.0396669999999999E-6</v>
      </c>
      <c r="I2756">
        <v>168.83860000000001</v>
      </c>
      <c r="J2756">
        <v>-189.9948</v>
      </c>
      <c r="K2756">
        <v>1.1111340000000001</v>
      </c>
      <c r="L2756">
        <v>187.10400000000001</v>
      </c>
      <c r="M2756">
        <v>-2.125577E-2</v>
      </c>
      <c r="N2756">
        <v>0</v>
      </c>
      <c r="O2756">
        <v>-0.99962220000000002</v>
      </c>
      <c r="P2756">
        <v>-9.4956230000000003E-2</v>
      </c>
      <c r="Q2756">
        <v>6.5474030000000003E-2</v>
      </c>
      <c r="R2756">
        <v>-0.99332580000000004</v>
      </c>
      <c r="S2756">
        <v>-0.54946899999999999</v>
      </c>
      <c r="T2756">
        <v>-0.17899329999999999</v>
      </c>
      <c r="U2756">
        <v>-2.9793090000000002</v>
      </c>
      <c r="V2756">
        <v>7.3874819999999994E-2</v>
      </c>
      <c r="W2756">
        <v>8.2757910000000004E-2</v>
      </c>
      <c r="X2756">
        <v>0.99382780000000004</v>
      </c>
      <c r="Y2756">
        <v>0.16010569999999999</v>
      </c>
      <c r="Z2756">
        <v>5.9067370000000001E-2</v>
      </c>
      <c r="AA2756">
        <v>0.98533099999999996</v>
      </c>
      <c r="AB2756">
        <v>24</v>
      </c>
      <c r="AC2756">
        <v>-3.4063999999999899</v>
      </c>
      <c r="AD2756">
        <v>-1.111139039667</v>
      </c>
      <c r="AE2756">
        <v>-18.2654</v>
      </c>
      <c r="AF2756">
        <v>3.0065737408006998</v>
      </c>
      <c r="AG2756">
        <v>-1.111139039667</v>
      </c>
      <c r="AH2756">
        <v>18.268356131832199</v>
      </c>
      <c r="AI2756">
        <v>93.434531869323095</v>
      </c>
      <c r="AJ2756">
        <v>80.654141592184104</v>
      </c>
      <c r="AK2756">
        <v>18.547424386792802</v>
      </c>
    </row>
    <row r="2757" spans="1:37" x14ac:dyDescent="0.2">
      <c r="A2757" t="str">
        <f>"20200111154120505"</f>
        <v>20200111154120505</v>
      </c>
      <c r="B2757" t="str">
        <f>"1578728480499247"</f>
        <v>1578728480499247</v>
      </c>
      <c r="C2757" t="s">
        <v>37</v>
      </c>
      <c r="D2757">
        <v>5.4784249999999997</v>
      </c>
      <c r="E2757">
        <v>0.532138</v>
      </c>
      <c r="F2757" t="s">
        <v>39</v>
      </c>
      <c r="G2757">
        <v>-193.41470000000001</v>
      </c>
      <c r="H2757" s="1">
        <v>-4.918038E-6</v>
      </c>
      <c r="I2757">
        <v>168.51560000000001</v>
      </c>
      <c r="J2757">
        <v>-189.99799999999999</v>
      </c>
      <c r="K2757">
        <v>1.1110389999999899</v>
      </c>
      <c r="L2757">
        <v>186.96440000000001</v>
      </c>
      <c r="M2757">
        <v>-2.1517410000000001E-2</v>
      </c>
      <c r="N2757">
        <v>0</v>
      </c>
      <c r="O2757">
        <v>-0.99962209999999996</v>
      </c>
      <c r="P2757">
        <v>-9.5166559999999997E-2</v>
      </c>
      <c r="Q2757">
        <v>6.5138650000000006E-2</v>
      </c>
      <c r="R2757">
        <v>-0.99332790000000004</v>
      </c>
      <c r="S2757">
        <v>-0.54817199999999999</v>
      </c>
      <c r="T2757">
        <v>-0.1781027</v>
      </c>
      <c r="U2757">
        <v>-2.9795069999999999</v>
      </c>
      <c r="V2757">
        <v>7.383729E-2</v>
      </c>
      <c r="W2757">
        <v>8.2097840000000005E-2</v>
      </c>
      <c r="X2757">
        <v>0.99388529999999997</v>
      </c>
      <c r="Y2757">
        <v>0.15942400000000001</v>
      </c>
      <c r="Z2757">
        <v>5.8775699999999903E-2</v>
      </c>
      <c r="AA2757">
        <v>0.98545899999999997</v>
      </c>
      <c r="AB2757">
        <v>24</v>
      </c>
      <c r="AC2757">
        <v>-3.4167000000000201</v>
      </c>
      <c r="AD2757">
        <v>-1.1110439180379901</v>
      </c>
      <c r="AE2757">
        <v>-18.448799999999999</v>
      </c>
      <c r="AF2757">
        <v>3.0083313487673</v>
      </c>
      <c r="AG2757">
        <v>-1.1110439180379901</v>
      </c>
      <c r="AH2757">
        <v>18.453349041832301</v>
      </c>
      <c r="AI2757">
        <v>93.400733120926901</v>
      </c>
      <c r="AJ2757">
        <v>80.740888053483999</v>
      </c>
      <c r="AK2757">
        <v>18.729937718836101</v>
      </c>
    </row>
    <row r="2758" spans="1:37" x14ac:dyDescent="0.2">
      <c r="A2758" t="str">
        <f>"20200111154120518"</f>
        <v>20200111154120518</v>
      </c>
      <c r="B2758" t="str">
        <f>"1578728480509006"</f>
        <v>1578728480509006</v>
      </c>
      <c r="C2758" t="s">
        <v>37</v>
      </c>
      <c r="D2758">
        <v>5.4880629999999897</v>
      </c>
      <c r="E2758">
        <v>0.53196659999999996</v>
      </c>
      <c r="F2758" t="s">
        <v>39</v>
      </c>
      <c r="G2758">
        <v>-193.38489999999999</v>
      </c>
      <c r="H2758" s="1">
        <v>-4.9168099999999999E-6</v>
      </c>
      <c r="I2758">
        <v>168.52619999999999</v>
      </c>
      <c r="J2758">
        <v>-190.00149999999999</v>
      </c>
      <c r="K2758">
        <v>1.11094</v>
      </c>
      <c r="L2758">
        <v>186.8134</v>
      </c>
      <c r="M2758">
        <v>-2.1878459999999999E-2</v>
      </c>
      <c r="N2758">
        <v>0</v>
      </c>
      <c r="O2758">
        <v>-0.99961979999999995</v>
      </c>
      <c r="P2758">
        <v>-9.5637390000000003E-2</v>
      </c>
      <c r="Q2758">
        <v>6.4999479999999998E-2</v>
      </c>
      <c r="R2758">
        <v>-0.99329199999999995</v>
      </c>
      <c r="S2758">
        <v>-0.54730219999999996</v>
      </c>
      <c r="T2758">
        <v>-0.17953640000000001</v>
      </c>
      <c r="U2758">
        <v>-2.9794770000000002</v>
      </c>
      <c r="V2758">
        <v>7.3963310000000004E-2</v>
      </c>
      <c r="W2758">
        <v>8.1632579999999996E-2</v>
      </c>
      <c r="X2758">
        <v>0.99391419999999997</v>
      </c>
      <c r="Y2758">
        <v>0.15878599999999901</v>
      </c>
      <c r="Z2758">
        <v>5.9251680000000001E-2</v>
      </c>
      <c r="AA2758">
        <v>0.98553349999999995</v>
      </c>
      <c r="AB2758">
        <v>24</v>
      </c>
      <c r="AC2758">
        <v>-3.3833999999999902</v>
      </c>
      <c r="AD2758">
        <v>-1.1109449168100001</v>
      </c>
      <c r="AE2758">
        <v>-18.287199999999999</v>
      </c>
      <c r="AF2758">
        <v>2.9718331131710398</v>
      </c>
      <c r="AG2758">
        <v>-1.1109449168100001</v>
      </c>
      <c r="AH2758">
        <v>18.291583853896999</v>
      </c>
      <c r="AI2758">
        <v>93.430732078959807</v>
      </c>
      <c r="AJ2758">
        <v>80.771789989750701</v>
      </c>
      <c r="AK2758">
        <v>18.5646985040121</v>
      </c>
    </row>
    <row r="2759" spans="1:37" x14ac:dyDescent="0.2">
      <c r="A2759" t="str">
        <f>"20200111154120537"</f>
        <v>20200111154120537</v>
      </c>
      <c r="B2759" t="str">
        <f>"1578728480528525"</f>
        <v>1578728480528525</v>
      </c>
      <c r="C2759" t="s">
        <v>37</v>
      </c>
      <c r="D2759">
        <v>5.5033199999999898</v>
      </c>
      <c r="E2759">
        <v>0.52439990000000003</v>
      </c>
      <c r="F2759" t="s">
        <v>39</v>
      </c>
      <c r="G2759">
        <v>-193.36789999999999</v>
      </c>
      <c r="H2759" s="1">
        <v>-4.9005689999999902E-6</v>
      </c>
      <c r="I2759">
        <v>168.49180000000001</v>
      </c>
      <c r="J2759">
        <v>-190.00630000000001</v>
      </c>
      <c r="K2759">
        <v>1.1108199999999999</v>
      </c>
      <c r="L2759">
        <v>186.62020000000001</v>
      </c>
      <c r="M2759">
        <v>-2.243349E-2</v>
      </c>
      <c r="N2759">
        <v>0</v>
      </c>
      <c r="O2759">
        <v>-0.99961329999999904</v>
      </c>
      <c r="P2759">
        <v>-9.5426999999999998E-2</v>
      </c>
      <c r="Q2759">
        <v>6.3794420000000004E-2</v>
      </c>
      <c r="R2759">
        <v>-0.99339009999999905</v>
      </c>
      <c r="S2759">
        <v>-0.54740909999999998</v>
      </c>
      <c r="T2759">
        <v>-0.18065499999999901</v>
      </c>
      <c r="U2759">
        <v>-2.9793400000000001</v>
      </c>
      <c r="V2759">
        <v>7.3214689999999999E-2</v>
      </c>
      <c r="W2759">
        <v>8.0044680000000007E-2</v>
      </c>
      <c r="X2759">
        <v>0.99409879999999995</v>
      </c>
      <c r="Y2759">
        <v>0.15827620000000001</v>
      </c>
      <c r="Z2759">
        <v>5.9623379999999997E-2</v>
      </c>
      <c r="AA2759">
        <v>0.9855931</v>
      </c>
      <c r="AB2759">
        <v>24</v>
      </c>
      <c r="AC2759">
        <v>-3.3615999999999802</v>
      </c>
      <c r="AD2759">
        <v>-1.1108249005690001</v>
      </c>
      <c r="AE2759">
        <v>-18.128399999999999</v>
      </c>
      <c r="AF2759">
        <v>2.9433317089717401</v>
      </c>
      <c r="AG2759">
        <v>-1.1108249005690001</v>
      </c>
      <c r="AH2759">
        <v>18.1334372890156</v>
      </c>
      <c r="AI2759">
        <v>93.460291624716405</v>
      </c>
      <c r="AJ2759">
        <v>80.780432350956801</v>
      </c>
      <c r="AK2759">
        <v>18.4043114900673</v>
      </c>
    </row>
    <row r="2760" spans="1:37" x14ac:dyDescent="0.2">
      <c r="A2760" t="str">
        <f>"20200111154120559"</f>
        <v>20200111154120559</v>
      </c>
      <c r="B2760" t="str">
        <f>"1578728480549021"</f>
        <v>1578728480549021</v>
      </c>
      <c r="C2760" t="s">
        <v>37</v>
      </c>
      <c r="D2760">
        <v>5.4741939999999998</v>
      </c>
      <c r="E2760">
        <v>0.52520019999999901</v>
      </c>
      <c r="F2760" t="s">
        <v>39</v>
      </c>
      <c r="G2760">
        <v>-192.56399999999999</v>
      </c>
      <c r="H2760" s="1">
        <v>-1.2601489999999899E-6</v>
      </c>
      <c r="I2760">
        <v>170.93629999999999</v>
      </c>
      <c r="J2760">
        <v>-190.01230000000001</v>
      </c>
      <c r="K2760">
        <v>1.110692</v>
      </c>
      <c r="L2760">
        <v>186.38759999999999</v>
      </c>
      <c r="M2760">
        <v>-2.3245769999999999E-2</v>
      </c>
      <c r="N2760">
        <v>0</v>
      </c>
      <c r="O2760">
        <v>-0.99960130000000003</v>
      </c>
      <c r="P2760">
        <v>-9.5040910000000006E-2</v>
      </c>
      <c r="Q2760">
        <v>6.3799960000000003E-2</v>
      </c>
      <c r="R2760">
        <v>-0.99342659999999905</v>
      </c>
      <c r="S2760">
        <v>-0.4870758</v>
      </c>
      <c r="T2760">
        <v>-0.2115388</v>
      </c>
      <c r="U2760">
        <v>-2.986755</v>
      </c>
      <c r="V2760">
        <v>7.2040370000000006E-2</v>
      </c>
      <c r="W2760">
        <v>7.9631629999999995E-2</v>
      </c>
      <c r="X2760">
        <v>0.99421780000000004</v>
      </c>
      <c r="Y2760">
        <v>0.13757049999999901</v>
      </c>
      <c r="Z2760">
        <v>6.9825429999999994E-2</v>
      </c>
      <c r="AA2760">
        <v>0.98802769999999995</v>
      </c>
      <c r="AB2760">
        <v>24</v>
      </c>
      <c r="AC2760">
        <v>-2.5517000000000101</v>
      </c>
      <c r="AD2760">
        <v>-1.1106932601490001</v>
      </c>
      <c r="AE2760">
        <v>-15.4513</v>
      </c>
      <c r="AF2760">
        <v>2.1808171740062798</v>
      </c>
      <c r="AG2760">
        <v>-1.1106932601490001</v>
      </c>
      <c r="AH2760">
        <v>15.428839675682701</v>
      </c>
      <c r="AI2760">
        <v>94.077124756095102</v>
      </c>
      <c r="AJ2760">
        <v>81.954720853874605</v>
      </c>
      <c r="AK2760">
        <v>15.621737957170501</v>
      </c>
    </row>
    <row r="2761" spans="1:37" x14ac:dyDescent="0.2">
      <c r="A2761" t="str">
        <f>"20200111154120573"</f>
        <v>20200111154120573</v>
      </c>
      <c r="B2761" t="str">
        <f>"1578728480568541"</f>
        <v>1578728480568541</v>
      </c>
      <c r="C2761" t="s">
        <v>37</v>
      </c>
      <c r="D2761">
        <v>5.5163510000000002</v>
      </c>
      <c r="E2761">
        <v>0.52567419999999998</v>
      </c>
      <c r="F2761" t="s">
        <v>39</v>
      </c>
      <c r="G2761">
        <v>-192.63679999999999</v>
      </c>
      <c r="H2761" s="1">
        <v>-1.081455E-6</v>
      </c>
      <c r="I2761">
        <v>170.47460000000001</v>
      </c>
      <c r="J2761">
        <v>-190.01650000000001</v>
      </c>
      <c r="K2761">
        <v>1.1106149999999999</v>
      </c>
      <c r="L2761">
        <v>186.2355</v>
      </c>
      <c r="M2761">
        <v>-2.3877209999999999E-2</v>
      </c>
      <c r="N2761">
        <v>0</v>
      </c>
      <c r="O2761">
        <v>-0.99959030000000004</v>
      </c>
      <c r="P2761">
        <v>-9.5396030000000007E-2</v>
      </c>
      <c r="Q2761">
        <v>6.3848630000000003E-2</v>
      </c>
      <c r="R2761">
        <v>-0.99339</v>
      </c>
      <c r="S2761">
        <v>-0.49249269999999901</v>
      </c>
      <c r="T2761">
        <v>-0.20842350000000001</v>
      </c>
      <c r="U2761">
        <v>-2.9861149999999999</v>
      </c>
      <c r="V2761">
        <v>7.1781109999999995E-2</v>
      </c>
      <c r="W2761">
        <v>7.9432950000000002E-2</v>
      </c>
      <c r="X2761">
        <v>0.99425239999999904</v>
      </c>
      <c r="Y2761">
        <v>0.13873550000000001</v>
      </c>
      <c r="Z2761">
        <v>6.8799429999999995E-2</v>
      </c>
      <c r="AA2761">
        <v>0.98793679999999995</v>
      </c>
      <c r="AB2761">
        <v>24</v>
      </c>
      <c r="AC2761">
        <v>-2.6202999999999799</v>
      </c>
      <c r="AD2761">
        <v>-1.1106160814549999</v>
      </c>
      <c r="AE2761">
        <v>-15.7608999999999</v>
      </c>
      <c r="AF2761">
        <v>2.2323926921830801</v>
      </c>
      <c r="AG2761">
        <v>-1.1106160814549999</v>
      </c>
      <c r="AH2761">
        <v>15.7429093045107</v>
      </c>
      <c r="AI2761">
        <v>93.995523682378007</v>
      </c>
      <c r="AJ2761">
        <v>81.929093042460707</v>
      </c>
      <c r="AK2761">
        <v>15.9391417141121</v>
      </c>
    </row>
    <row r="2762" spans="1:37" x14ac:dyDescent="0.2">
      <c r="A2762" t="str">
        <f>"20200111154120592"</f>
        <v>20200111154120592</v>
      </c>
      <c r="B2762" t="str">
        <f>"1578728480589037"</f>
        <v>1578728480589037</v>
      </c>
      <c r="C2762" t="s">
        <v>37</v>
      </c>
      <c r="D2762">
        <v>5.5305039999999996</v>
      </c>
      <c r="E2762">
        <v>0.52601949999999997</v>
      </c>
      <c r="F2762" t="s">
        <v>39</v>
      </c>
      <c r="G2762">
        <v>-192.6525</v>
      </c>
      <c r="H2762" s="1">
        <v>-1.0616430000000001E-6</v>
      </c>
      <c r="I2762">
        <v>170.4187</v>
      </c>
      <c r="J2762">
        <v>-190.0222</v>
      </c>
      <c r="K2762">
        <v>1.1105229999999999</v>
      </c>
      <c r="L2762">
        <v>186.03890000000001</v>
      </c>
      <c r="M2762">
        <v>-2.4786510000000001E-2</v>
      </c>
      <c r="N2762">
        <v>0</v>
      </c>
      <c r="O2762">
        <v>-0.99957260000000003</v>
      </c>
      <c r="P2762">
        <v>-9.552389E-2</v>
      </c>
      <c r="Q2762">
        <v>6.3886139999999994E-2</v>
      </c>
      <c r="R2762">
        <v>-0.99337509999999996</v>
      </c>
      <c r="S2762">
        <v>-0.49757390000000001</v>
      </c>
      <c r="T2762">
        <v>-0.2096441</v>
      </c>
      <c r="U2762">
        <v>-2.98564099999999</v>
      </c>
      <c r="V2762">
        <v>7.1020360000000005E-2</v>
      </c>
      <c r="W2762">
        <v>7.9177689999999995E-2</v>
      </c>
      <c r="X2762">
        <v>0.99432739999999997</v>
      </c>
      <c r="Y2762">
        <v>0.1394918</v>
      </c>
      <c r="Z2762">
        <v>6.9195649999999997E-2</v>
      </c>
      <c r="AA2762">
        <v>0.98780259999999998</v>
      </c>
      <c r="AB2762">
        <v>24</v>
      </c>
      <c r="AC2762">
        <v>-2.6303000000000001</v>
      </c>
      <c r="AD2762">
        <v>-1.1105240616429899</v>
      </c>
      <c r="AE2762">
        <v>-15.620200000000001</v>
      </c>
      <c r="AF2762">
        <v>2.2313076512517598</v>
      </c>
      <c r="AG2762">
        <v>-1.1105240616429899</v>
      </c>
      <c r="AH2762">
        <v>15.6039075748476</v>
      </c>
      <c r="AI2762">
        <v>94.029997408276998</v>
      </c>
      <c r="AJ2762">
        <v>81.862060385624801</v>
      </c>
      <c r="AK2762">
        <v>15.801706525891699</v>
      </c>
    </row>
    <row r="2763" spans="1:37" x14ac:dyDescent="0.2">
      <c r="A2763" t="str">
        <f>"20200111154120605"</f>
        <v>20200111154120605</v>
      </c>
      <c r="B2763" t="str">
        <f>"1578728480598798"</f>
        <v>1578728480598798</v>
      </c>
      <c r="C2763" t="s">
        <v>37</v>
      </c>
      <c r="D2763">
        <v>5.5322789999999999</v>
      </c>
      <c r="E2763">
        <v>0.526340699999999</v>
      </c>
      <c r="F2763" t="s">
        <v>39</v>
      </c>
      <c r="G2763">
        <v>-192.68709999999999</v>
      </c>
      <c r="H2763" s="1">
        <v>-9.5146589999999999E-7</v>
      </c>
      <c r="I2763">
        <v>170.1404</v>
      </c>
      <c r="J2763">
        <v>-190.02629999999999</v>
      </c>
      <c r="K2763">
        <v>1.1104579999999999</v>
      </c>
      <c r="L2763">
        <v>185.89869999999999</v>
      </c>
      <c r="M2763">
        <v>-2.5491730000000001E-2</v>
      </c>
      <c r="N2763">
        <v>0</v>
      </c>
      <c r="O2763">
        <v>-0.99955780000000005</v>
      </c>
      <c r="P2763">
        <v>-9.5936560000000004E-2</v>
      </c>
      <c r="Q2763">
        <v>6.3673359999999998E-2</v>
      </c>
      <c r="R2763">
        <v>-0.99334920000000004</v>
      </c>
      <c r="S2763">
        <v>-0.50039670000000003</v>
      </c>
      <c r="T2763">
        <v>-0.20852759999999901</v>
      </c>
      <c r="U2763">
        <v>-2.9853209999999999</v>
      </c>
      <c r="V2763">
        <v>7.0741659999999998E-2</v>
      </c>
      <c r="W2763">
        <v>7.8771750000000001E-2</v>
      </c>
      <c r="X2763">
        <v>0.99437949999999997</v>
      </c>
      <c r="Y2763">
        <v>0.13972329999999999</v>
      </c>
      <c r="Z2763">
        <v>6.8827890000000003E-2</v>
      </c>
      <c r="AA2763">
        <v>0.9877956</v>
      </c>
      <c r="AB2763">
        <v>24</v>
      </c>
      <c r="AC2763">
        <v>-2.6607999999999898</v>
      </c>
      <c r="AD2763">
        <v>-1.1104589514659</v>
      </c>
      <c r="AE2763">
        <v>-15.758299999999901</v>
      </c>
      <c r="AF2763">
        <v>2.2473313404702799</v>
      </c>
      <c r="AG2763">
        <v>-1.1104589514659</v>
      </c>
      <c r="AH2763">
        <v>15.7449955808249</v>
      </c>
      <c r="AI2763">
        <v>93.993916286795596</v>
      </c>
      <c r="AJ2763">
        <v>81.876865210901201</v>
      </c>
      <c r="AK2763">
        <v>15.9432902211854</v>
      </c>
    </row>
    <row r="2764" spans="1:37" x14ac:dyDescent="0.2">
      <c r="A2764" t="str">
        <f>"20200111154120618"</f>
        <v>20200111154120618</v>
      </c>
      <c r="B2764" t="str">
        <f>"1578728480608558"</f>
        <v>1578728480608558</v>
      </c>
      <c r="C2764" t="s">
        <v>37</v>
      </c>
      <c r="D2764">
        <v>5.5653839999999999</v>
      </c>
      <c r="E2764">
        <v>0.52637259999999997</v>
      </c>
      <c r="F2764" t="s">
        <v>39</v>
      </c>
      <c r="G2764">
        <v>-192.6977</v>
      </c>
      <c r="H2764" s="1">
        <v>-9.3002229999999999E-7</v>
      </c>
      <c r="I2764">
        <v>170.0838</v>
      </c>
      <c r="J2764">
        <v>-190.0307</v>
      </c>
      <c r="K2764">
        <v>1.110403</v>
      </c>
      <c r="L2764">
        <v>185.75810000000001</v>
      </c>
      <c r="M2764">
        <v>-2.625744E-2</v>
      </c>
      <c r="N2764">
        <v>0</v>
      </c>
      <c r="O2764">
        <v>-0.999540599999999</v>
      </c>
      <c r="P2764">
        <v>-9.6480880000000005E-2</v>
      </c>
      <c r="Q2764">
        <v>6.3070230000000005E-2</v>
      </c>
      <c r="R2764">
        <v>-0.99333499999999997</v>
      </c>
      <c r="S2764">
        <v>-0.50418090000000004</v>
      </c>
      <c r="T2764">
        <v>-0.20958109999999999</v>
      </c>
      <c r="U2764">
        <v>-2.9848020000000002</v>
      </c>
      <c r="V2764">
        <v>7.0531559999999993E-2</v>
      </c>
      <c r="W2764">
        <v>7.7994510000000003E-2</v>
      </c>
      <c r="X2764">
        <v>0.99445569999999905</v>
      </c>
      <c r="Y2764">
        <v>0.14020669999999999</v>
      </c>
      <c r="Z2764">
        <v>6.9174150000000004E-2</v>
      </c>
      <c r="AA2764">
        <v>0.98770290000000005</v>
      </c>
      <c r="AB2764">
        <v>24</v>
      </c>
      <c r="AC2764">
        <v>-2.6669999999999998</v>
      </c>
      <c r="AD2764">
        <v>-1.1104039300223001</v>
      </c>
      <c r="AE2764">
        <v>-15.674300000000001</v>
      </c>
      <c r="AF2764">
        <v>2.2435234700401501</v>
      </c>
      <c r="AG2764">
        <v>-1.1104039300223001</v>
      </c>
      <c r="AH2764">
        <v>15.6625382072775</v>
      </c>
      <c r="AI2764">
        <v>94.014390885298397</v>
      </c>
      <c r="AJ2764">
        <v>81.848324363755594</v>
      </c>
      <c r="AK2764">
        <v>15.8613208007044</v>
      </c>
    </row>
    <row r="2765" spans="1:37" x14ac:dyDescent="0.2">
      <c r="A2765" t="str">
        <f>"20200111154120637"</f>
        <v>20200111154120637</v>
      </c>
      <c r="B2765" t="str">
        <f>"1578728480629056"</f>
        <v>1578728480629056</v>
      </c>
      <c r="C2765" t="s">
        <v>37</v>
      </c>
      <c r="D2765">
        <v>5.48888</v>
      </c>
      <c r="E2765">
        <v>0.52634179999999997</v>
      </c>
      <c r="F2765" t="s">
        <v>39</v>
      </c>
      <c r="G2765">
        <v>-192.6746</v>
      </c>
      <c r="H2765" s="1">
        <v>-9.6283929999999996E-7</v>
      </c>
      <c r="I2765">
        <v>170.1747</v>
      </c>
      <c r="J2765">
        <v>-190.03739999999999</v>
      </c>
      <c r="K2765">
        <v>1.110333</v>
      </c>
      <c r="L2765">
        <v>185.55500000000001</v>
      </c>
      <c r="M2765">
        <v>-2.7427190000000001E-2</v>
      </c>
      <c r="N2765">
        <v>0</v>
      </c>
      <c r="O2765">
        <v>-0.99951229999999902</v>
      </c>
      <c r="P2765">
        <v>-9.7440349999999995E-2</v>
      </c>
      <c r="Q2765">
        <v>6.1898599999999998E-2</v>
      </c>
      <c r="R2765">
        <v>-0.993314699999999</v>
      </c>
      <c r="S2765">
        <v>-0.50633240000000002</v>
      </c>
      <c r="T2765">
        <v>-0.2126586</v>
      </c>
      <c r="U2765">
        <v>-2.984451</v>
      </c>
      <c r="V2765">
        <v>7.0334049999999995E-2</v>
      </c>
      <c r="W2765">
        <v>7.6593949999999994E-2</v>
      </c>
      <c r="X2765">
        <v>0.99457850000000003</v>
      </c>
      <c r="Y2765">
        <v>0.1397475</v>
      </c>
      <c r="Z2765">
        <v>7.0187780000000005E-2</v>
      </c>
      <c r="AA2765">
        <v>0.98769649999999998</v>
      </c>
      <c r="AB2765">
        <v>24</v>
      </c>
      <c r="AC2765">
        <v>-2.6372</v>
      </c>
      <c r="AD2765">
        <v>-1.1103339628393001</v>
      </c>
      <c r="AE2765">
        <v>-15.3803</v>
      </c>
      <c r="AF2765">
        <v>2.2031679783529201</v>
      </c>
      <c r="AG2765">
        <v>-1.1103339628393001</v>
      </c>
      <c r="AH2765">
        <v>15.369040931669799</v>
      </c>
      <c r="AI2765">
        <v>94.090474823882602</v>
      </c>
      <c r="AJ2765">
        <v>81.842167392110895</v>
      </c>
      <c r="AK2765">
        <v>15.565802575171499</v>
      </c>
    </row>
    <row r="2766" spans="1:37" x14ac:dyDescent="0.2">
      <c r="A2766" t="str">
        <f>"20200111154120652"</f>
        <v>20200111154120652</v>
      </c>
      <c r="B2766" t="str">
        <f>"1578728480648574"</f>
        <v>1578728480648574</v>
      </c>
      <c r="C2766" t="s">
        <v>37</v>
      </c>
      <c r="D2766">
        <v>5.5259809999999998</v>
      </c>
      <c r="E2766">
        <v>0.52632440000000003</v>
      </c>
      <c r="F2766" t="s">
        <v>39</v>
      </c>
      <c r="G2766">
        <v>-192.65469999999999</v>
      </c>
      <c r="H2766" s="1">
        <v>-9.707491000000001E-7</v>
      </c>
      <c r="I2766">
        <v>170.2054</v>
      </c>
      <c r="J2766">
        <v>-190.04239999999999</v>
      </c>
      <c r="K2766">
        <v>1.110295</v>
      </c>
      <c r="L2766">
        <v>185.4075</v>
      </c>
      <c r="M2766">
        <v>-2.8317330000000002E-2</v>
      </c>
      <c r="N2766">
        <v>0</v>
      </c>
      <c r="O2766">
        <v>-0.99948979999999998</v>
      </c>
      <c r="P2766">
        <v>-9.8545789999999994E-2</v>
      </c>
      <c r="Q2766">
        <v>6.139725E-2</v>
      </c>
      <c r="R2766">
        <v>-0.99323709999999898</v>
      </c>
      <c r="S2766">
        <v>-0.50877380000000005</v>
      </c>
      <c r="T2766">
        <v>-0.21583330000000001</v>
      </c>
      <c r="U2766">
        <v>-2.9837340000000001</v>
      </c>
      <c r="V2766">
        <v>7.055873E-2</v>
      </c>
      <c r="W2766">
        <v>7.5943079999999996E-2</v>
      </c>
      <c r="X2766">
        <v>0.99461259999999996</v>
      </c>
      <c r="Y2766">
        <v>0.13967789999999999</v>
      </c>
      <c r="Z2766">
        <v>7.1239910000000004E-2</v>
      </c>
      <c r="AA2766">
        <v>0.98763099999999904</v>
      </c>
      <c r="AB2766">
        <v>24</v>
      </c>
      <c r="AC2766">
        <v>-2.6122999999999998</v>
      </c>
      <c r="AD2766">
        <v>-1.1102959707491</v>
      </c>
      <c r="AE2766">
        <v>-15.2021</v>
      </c>
      <c r="AF2766">
        <v>2.1694817637981401</v>
      </c>
      <c r="AG2766">
        <v>-1.1102959707491</v>
      </c>
      <c r="AH2766">
        <v>15.1912744800557</v>
      </c>
      <c r="AI2766">
        <v>94.138346856946995</v>
      </c>
      <c r="AJ2766">
        <v>81.872486123326695</v>
      </c>
      <c r="AK2766">
        <v>15.3855200950278</v>
      </c>
    </row>
    <row r="2767" spans="1:37" x14ac:dyDescent="0.2">
      <c r="A2767" t="str">
        <f>"20200111154120671"</f>
        <v>20200111154120671</v>
      </c>
      <c r="B2767" t="str">
        <f>"1578728480659310"</f>
        <v>1578728480659310</v>
      </c>
      <c r="C2767" t="s">
        <v>37</v>
      </c>
      <c r="D2767">
        <v>5.5074309999999898</v>
      </c>
      <c r="E2767">
        <v>0.52632440000000003</v>
      </c>
      <c r="F2767" t="s">
        <v>39</v>
      </c>
      <c r="G2767">
        <v>-192.6686</v>
      </c>
      <c r="H2767" s="1">
        <v>-9.2931590000000002E-7</v>
      </c>
      <c r="I2767">
        <v>170.1002</v>
      </c>
      <c r="J2767">
        <v>-190.04929999999999</v>
      </c>
      <c r="K2767">
        <v>1.1102540000000001</v>
      </c>
      <c r="L2767">
        <v>185.2124</v>
      </c>
      <c r="M2767">
        <v>-2.9527669999999999E-2</v>
      </c>
      <c r="N2767">
        <v>0</v>
      </c>
      <c r="O2767">
        <v>-0.99945720000000005</v>
      </c>
      <c r="P2767">
        <v>-0.1013162</v>
      </c>
      <c r="Q2767">
        <v>5.9734620000000002E-2</v>
      </c>
      <c r="R2767">
        <v>-0.99305940000000004</v>
      </c>
      <c r="S2767">
        <v>-0.511795</v>
      </c>
      <c r="T2767">
        <v>-0.2163727</v>
      </c>
      <c r="U2767">
        <v>-2.983047</v>
      </c>
      <c r="V2767">
        <v>7.212797E-2</v>
      </c>
      <c r="W2767">
        <v>7.4098620000000004E-2</v>
      </c>
      <c r="X2767">
        <v>0.9946391</v>
      </c>
      <c r="Y2767">
        <v>0.1394862</v>
      </c>
      <c r="Z2767">
        <v>7.1424360000000006E-2</v>
      </c>
      <c r="AA2767">
        <v>0.98764470000000004</v>
      </c>
      <c r="AB2767">
        <v>24</v>
      </c>
      <c r="AC2767">
        <v>-2.6193</v>
      </c>
      <c r="AD2767">
        <v>-1.1102549293159001</v>
      </c>
      <c r="AE2767">
        <v>-15.1122</v>
      </c>
      <c r="AF2767">
        <v>2.1605605185249401</v>
      </c>
      <c r="AG2767">
        <v>-1.1102549293159001</v>
      </c>
      <c r="AH2767">
        <v>15.103814443768799</v>
      </c>
      <c r="AI2767">
        <v>94.161935777577199</v>
      </c>
      <c r="AJ2767">
        <v>81.859218243557294</v>
      </c>
      <c r="AK2767">
        <v>15.2979050367714</v>
      </c>
    </row>
    <row r="2768" spans="1:37" x14ac:dyDescent="0.2">
      <c r="A2768" t="str">
        <f>"20200111154120692"</f>
        <v>20200111154120692</v>
      </c>
      <c r="B2768" t="str">
        <f>"1578728480688590"</f>
        <v>1578728480688590</v>
      </c>
      <c r="C2768" t="s">
        <v>37</v>
      </c>
      <c r="D2768">
        <v>5.5363350000000002</v>
      </c>
      <c r="E2768">
        <v>0.52665629999999997</v>
      </c>
      <c r="F2768" t="s">
        <v>39</v>
      </c>
      <c r="G2768">
        <v>-192.65520000000001</v>
      </c>
      <c r="H2768" s="1">
        <v>-9.9707179999999993E-7</v>
      </c>
      <c r="I2768">
        <v>170.26650000000001</v>
      </c>
      <c r="J2768">
        <v>-190.05770000000001</v>
      </c>
      <c r="K2768">
        <v>1.1102160000000001</v>
      </c>
      <c r="L2768">
        <v>184.98320000000001</v>
      </c>
      <c r="M2768">
        <v>-3.0979639999999999E-2</v>
      </c>
      <c r="N2768">
        <v>0</v>
      </c>
      <c r="O2768">
        <v>-0.99941610000000003</v>
      </c>
      <c r="P2768">
        <v>-0.1044866</v>
      </c>
      <c r="Q2768">
        <v>5.7475079999999998E-2</v>
      </c>
      <c r="R2768">
        <v>-0.99286439999999998</v>
      </c>
      <c r="S2768">
        <v>-0.51980590000000004</v>
      </c>
      <c r="T2768">
        <v>-0.2214605</v>
      </c>
      <c r="U2768">
        <v>-2.9812470000000002</v>
      </c>
      <c r="V2768">
        <v>7.3852589999999996E-2</v>
      </c>
      <c r="W2768">
        <v>7.1652300000000002E-2</v>
      </c>
      <c r="X2768">
        <v>0.99469180000000001</v>
      </c>
      <c r="Y2768">
        <v>0.14070279999999999</v>
      </c>
      <c r="Z2768">
        <v>7.3110449999999993E-2</v>
      </c>
      <c r="AA2768">
        <v>0.98734869999999997</v>
      </c>
      <c r="AB2768">
        <v>24</v>
      </c>
      <c r="AC2768">
        <v>-2.5974999999999899</v>
      </c>
      <c r="AD2768">
        <v>-1.1102169970718001</v>
      </c>
      <c r="AE2768">
        <v>-14.716699999999999</v>
      </c>
      <c r="AF2768">
        <v>2.1285398279602599</v>
      </c>
      <c r="AG2768">
        <v>-1.1102169970718001</v>
      </c>
      <c r="AH2768">
        <v>14.708931947309001</v>
      </c>
      <c r="AI2768">
        <v>94.272116900641905</v>
      </c>
      <c r="AJ2768">
        <v>81.765847819274896</v>
      </c>
      <c r="AK2768">
        <v>14.9035546971307</v>
      </c>
    </row>
    <row r="2769" spans="1:37" x14ac:dyDescent="0.2">
      <c r="A2769" t="str">
        <f>"20200111154120705"</f>
        <v>20200111154120705</v>
      </c>
      <c r="B2769" t="str">
        <f>"1578728480699326"</f>
        <v>1578728480699326</v>
      </c>
      <c r="C2769" t="s">
        <v>37</v>
      </c>
      <c r="D2769">
        <v>5.5609089999999997</v>
      </c>
      <c r="E2769">
        <v>0.52663209999999905</v>
      </c>
      <c r="F2769" t="s">
        <v>38</v>
      </c>
      <c r="G2769">
        <v>-190.2099</v>
      </c>
      <c r="H2769">
        <v>1.0447739999999901</v>
      </c>
      <c r="I2769">
        <v>184.13059999999999</v>
      </c>
      <c r="J2769">
        <v>-190.06270000000001</v>
      </c>
      <c r="K2769">
        <v>1.1101969999999901</v>
      </c>
      <c r="L2769">
        <v>184.85120000000001</v>
      </c>
      <c r="M2769">
        <v>-3.181929E-2</v>
      </c>
      <c r="N2769">
        <v>0</v>
      </c>
      <c r="O2769">
        <v>-0.99939100000000003</v>
      </c>
      <c r="P2769">
        <v>-0.10639749999999901</v>
      </c>
      <c r="Q2769">
        <v>5.6113900000000001E-2</v>
      </c>
      <c r="R2769">
        <v>-0.99273919999999904</v>
      </c>
      <c r="S2769">
        <v>-0.53170779999999995</v>
      </c>
      <c r="T2769">
        <v>-0.2286716</v>
      </c>
      <c r="U2769">
        <v>-2.9788509999999899</v>
      </c>
      <c r="V2769">
        <v>7.4926469999999995E-2</v>
      </c>
      <c r="W2769">
        <v>7.0194000000000006E-2</v>
      </c>
      <c r="X2769">
        <v>0.99471549999999997</v>
      </c>
      <c r="Y2769">
        <v>0.14379939999999999</v>
      </c>
      <c r="Z2769">
        <v>7.5491279999999994E-2</v>
      </c>
      <c r="AA2769">
        <v>0.98672320000000002</v>
      </c>
      <c r="AB2769">
        <v>24</v>
      </c>
      <c r="AC2769">
        <v>-0.147199999999998</v>
      </c>
      <c r="AD2769">
        <v>-6.5422999999999995E-2</v>
      </c>
      <c r="AE2769">
        <v>-0.720600000000018</v>
      </c>
      <c r="AF2769">
        <v>0.12321913425879601</v>
      </c>
      <c r="AG2769">
        <v>-6.5422999999999995E-2</v>
      </c>
      <c r="AH2769">
        <v>0.71922836930844203</v>
      </c>
      <c r="AI2769">
        <v>95.1232424313325</v>
      </c>
      <c r="AJ2769">
        <v>80.278392673383706</v>
      </c>
      <c r="AK2769">
        <v>0.73263399538553198</v>
      </c>
    </row>
    <row r="2770" spans="1:37" x14ac:dyDescent="0.2">
      <c r="A2770" t="str">
        <f>"20200111154120717"</f>
        <v>20200111154120717</v>
      </c>
      <c r="B2770" t="str">
        <f>"1578728480709086"</f>
        <v>1578728480709086</v>
      </c>
      <c r="C2770" t="s">
        <v>37</v>
      </c>
      <c r="D2770">
        <v>5.564101</v>
      </c>
      <c r="E2770">
        <v>0.52673349999999997</v>
      </c>
      <c r="F2770" t="s">
        <v>38</v>
      </c>
      <c r="G2770">
        <v>-190.2286</v>
      </c>
      <c r="H2770">
        <v>1.038397</v>
      </c>
      <c r="I2770">
        <v>183.93270000000001</v>
      </c>
      <c r="J2770">
        <v>-190.06829999999999</v>
      </c>
      <c r="K2770">
        <v>1.1101859999999999</v>
      </c>
      <c r="L2770">
        <v>184.70599999999999</v>
      </c>
      <c r="M2770">
        <v>-3.2740810000000002E-2</v>
      </c>
      <c r="N2770">
        <v>0</v>
      </c>
      <c r="O2770">
        <v>-0.99936259999999999</v>
      </c>
      <c r="P2770">
        <v>-0.10849249999999901</v>
      </c>
      <c r="Q2770">
        <v>5.5031620000000003E-2</v>
      </c>
      <c r="R2770">
        <v>-0.99257320000000004</v>
      </c>
      <c r="S2770">
        <v>-0.53706359999999997</v>
      </c>
      <c r="T2770">
        <v>-0.23279539999999899</v>
      </c>
      <c r="U2770">
        <v>-2.9775390000000002</v>
      </c>
      <c r="V2770">
        <v>7.6103840000000006E-2</v>
      </c>
      <c r="W2770">
        <v>6.9015740000000006E-2</v>
      </c>
      <c r="X2770">
        <v>0.994708499999999</v>
      </c>
      <c r="Y2770">
        <v>0.14466309999999999</v>
      </c>
      <c r="Z2770">
        <v>7.6857369999999994E-2</v>
      </c>
      <c r="AA2770">
        <v>0.98649149999999997</v>
      </c>
      <c r="AB2770">
        <v>24</v>
      </c>
      <c r="AC2770">
        <v>-0.16030000000000599</v>
      </c>
      <c r="AD2770">
        <v>-7.1789000000000103E-2</v>
      </c>
      <c r="AE2770">
        <v>-0.77329999999997701</v>
      </c>
      <c r="AF2770">
        <v>0.133787498982888</v>
      </c>
      <c r="AG2770">
        <v>-7.1789000000000103E-2</v>
      </c>
      <c r="AH2770">
        <v>0.77175703943889196</v>
      </c>
      <c r="AI2770">
        <v>95.236712686681003</v>
      </c>
      <c r="AJ2770">
        <v>80.165262740645801</v>
      </c>
      <c r="AK2770">
        <v>0.78655049636280805</v>
      </c>
    </row>
    <row r="2771" spans="1:37" x14ac:dyDescent="0.2">
      <c r="A2771" t="str">
        <f>"20200111154120731"</f>
        <v>20200111154120731</v>
      </c>
      <c r="B2771" t="str">
        <f>"1578728480718847"</f>
        <v>1578728480718847</v>
      </c>
      <c r="C2771" t="s">
        <v>37</v>
      </c>
      <c r="D2771">
        <v>5.7794179999999997</v>
      </c>
      <c r="E2771">
        <v>0.52673349999999997</v>
      </c>
      <c r="F2771" t="s">
        <v>39</v>
      </c>
      <c r="G2771">
        <v>-192.62540000000001</v>
      </c>
      <c r="H2771" s="1">
        <v>-1.1814640000000001E-6</v>
      </c>
      <c r="I2771">
        <v>170.7148</v>
      </c>
      <c r="J2771">
        <v>-190.0736</v>
      </c>
      <c r="K2771">
        <v>1.1101780000000001</v>
      </c>
      <c r="L2771">
        <v>184.5745</v>
      </c>
      <c r="M2771">
        <v>-3.3569670000000003E-2</v>
      </c>
      <c r="N2771">
        <v>0</v>
      </c>
      <c r="O2771">
        <v>-0.99933609999999995</v>
      </c>
      <c r="P2771">
        <v>-0.110509199999999</v>
      </c>
      <c r="Q2771">
        <v>5.3922400000000002E-2</v>
      </c>
      <c r="R2771">
        <v>-0.99241170000000001</v>
      </c>
      <c r="S2771">
        <v>-0.54391480000000003</v>
      </c>
      <c r="T2771">
        <v>-0.23614949999999901</v>
      </c>
      <c r="U2771">
        <v>-2.976089</v>
      </c>
      <c r="V2771">
        <v>7.7294920000000003E-2</v>
      </c>
      <c r="W2771">
        <v>6.7826449999999996E-2</v>
      </c>
      <c r="X2771">
        <v>0.99469850000000004</v>
      </c>
      <c r="Y2771">
        <v>0.1461093</v>
      </c>
      <c r="Z2771">
        <v>7.7967789999999995E-2</v>
      </c>
      <c r="AA2771">
        <v>0.98619120000000005</v>
      </c>
      <c r="AB2771">
        <v>24</v>
      </c>
      <c r="AC2771">
        <v>-2.5518000000000098</v>
      </c>
      <c r="AD2771">
        <v>-1.1101791814640001</v>
      </c>
      <c r="AE2771">
        <v>-13.8597</v>
      </c>
      <c r="AF2771">
        <v>2.0721896024346398</v>
      </c>
      <c r="AG2771">
        <v>-1.1101791814640001</v>
      </c>
      <c r="AH2771">
        <v>13.851597727068301</v>
      </c>
      <c r="AI2771">
        <v>94.532132230652294</v>
      </c>
      <c r="AJ2771">
        <v>81.491687803094706</v>
      </c>
      <c r="AK2771">
        <v>14.0496700016733</v>
      </c>
    </row>
    <row r="2772" spans="1:37" x14ac:dyDescent="0.2">
      <c r="A2772" t="str">
        <f>"20200111154120749"</f>
        <v>20200111154120749</v>
      </c>
      <c r="B2772" t="str">
        <f>"1578728480739342"</f>
        <v>1578728480739342</v>
      </c>
      <c r="C2772" t="s">
        <v>37</v>
      </c>
      <c r="D2772">
        <v>5.7482089999999904</v>
      </c>
      <c r="E2772">
        <v>0.56037040000000005</v>
      </c>
      <c r="F2772" t="s">
        <v>38</v>
      </c>
      <c r="G2772">
        <v>-190.2312</v>
      </c>
      <c r="H2772">
        <v>1.041445</v>
      </c>
      <c r="I2772">
        <v>183.72110000000001</v>
      </c>
      <c r="J2772">
        <v>-190.0813</v>
      </c>
      <c r="K2772">
        <v>1.110161</v>
      </c>
      <c r="L2772">
        <v>184.38570000000001</v>
      </c>
      <c r="M2772">
        <v>-3.4747680000000003E-2</v>
      </c>
      <c r="N2772">
        <v>0</v>
      </c>
      <c r="O2772">
        <v>-0.9992972</v>
      </c>
      <c r="P2772">
        <v>-0.114434799999999</v>
      </c>
      <c r="Q2772">
        <v>5.2064899999999997E-2</v>
      </c>
      <c r="R2772">
        <v>-0.99206530000000004</v>
      </c>
      <c r="S2772">
        <v>-0.54956050000000001</v>
      </c>
      <c r="T2772">
        <v>-0.23959759999999999</v>
      </c>
      <c r="U2772">
        <v>-2.9747619999999899</v>
      </c>
      <c r="V2772">
        <v>8.0049469999999998E-2</v>
      </c>
      <c r="W2772">
        <v>6.5860089999999996E-2</v>
      </c>
      <c r="X2772">
        <v>0.99461279999999996</v>
      </c>
      <c r="Y2772">
        <v>0.14681520000000001</v>
      </c>
      <c r="Z2772">
        <v>7.9111260000000003E-2</v>
      </c>
      <c r="AA2772">
        <v>0.98599530000000002</v>
      </c>
      <c r="AB2772">
        <v>24</v>
      </c>
      <c r="AC2772">
        <v>-0.149900000000002</v>
      </c>
      <c r="AD2772">
        <v>-6.8715999999999694E-2</v>
      </c>
      <c r="AE2772">
        <v>-0.66460000000000696</v>
      </c>
      <c r="AF2772">
        <v>0.12543780167931301</v>
      </c>
      <c r="AG2772">
        <v>-6.8715999999999694E-2</v>
      </c>
      <c r="AH2772">
        <v>0.662666527385254</v>
      </c>
      <c r="AI2772">
        <v>95.8176126854393</v>
      </c>
      <c r="AJ2772">
        <v>79.281162519584598</v>
      </c>
      <c r="AK2772">
        <v>0.67792584938396505</v>
      </c>
    </row>
    <row r="2773" spans="1:37" x14ac:dyDescent="0.2">
      <c r="A2773" t="str">
        <f>"20200111154120762"</f>
        <v>20200111154120762</v>
      </c>
      <c r="B2773" t="str">
        <f>"1578728480758861"</f>
        <v>1578728480758861</v>
      </c>
      <c r="C2773" t="s">
        <v>37</v>
      </c>
      <c r="D2773">
        <v>5.6578189999999999</v>
      </c>
      <c r="E2773">
        <v>0.56364609999999904</v>
      </c>
      <c r="F2773" t="s">
        <v>39</v>
      </c>
      <c r="G2773">
        <v>-193.5325</v>
      </c>
      <c r="H2773" s="1">
        <v>-2.02601E-6</v>
      </c>
      <c r="I2773">
        <v>172.1208</v>
      </c>
      <c r="J2773">
        <v>-190.0873</v>
      </c>
      <c r="K2773">
        <v>1.110161</v>
      </c>
      <c r="L2773">
        <v>184.24019999999999</v>
      </c>
      <c r="M2773">
        <v>-3.564469E-2</v>
      </c>
      <c r="N2773">
        <v>0</v>
      </c>
      <c r="O2773">
        <v>-0.99926689999999996</v>
      </c>
      <c r="P2773">
        <v>-0.1168236</v>
      </c>
      <c r="Q2773">
        <v>5.0927670000000001E-2</v>
      </c>
      <c r="R2773">
        <v>-0.99184609999999995</v>
      </c>
      <c r="S2773">
        <v>-0.82798769999999999</v>
      </c>
      <c r="T2773">
        <v>-0.26633600000000002</v>
      </c>
      <c r="U2773">
        <v>-2.9424440000000001</v>
      </c>
      <c r="V2773">
        <v>8.1546140000000003E-2</v>
      </c>
      <c r="W2773">
        <v>6.4648629999999999E-2</v>
      </c>
      <c r="X2773">
        <v>0.99457070000000003</v>
      </c>
      <c r="Y2773">
        <v>0.23535829999999999</v>
      </c>
      <c r="Z2773">
        <v>8.7117520000000004E-2</v>
      </c>
      <c r="AA2773">
        <v>0.96799639999999998</v>
      </c>
      <c r="AB2773">
        <v>23</v>
      </c>
      <c r="AC2773">
        <v>-3.4451999999999998</v>
      </c>
      <c r="AD2773">
        <v>-1.1101630260099999</v>
      </c>
      <c r="AE2773">
        <v>-12.119399999999899</v>
      </c>
      <c r="AF2773">
        <v>2.9877799740025699</v>
      </c>
      <c r="AG2773">
        <v>-1.1101630260099999</v>
      </c>
      <c r="AH2773">
        <v>12.1402601699463</v>
      </c>
      <c r="AI2773">
        <v>95.074282765173095</v>
      </c>
      <c r="AJ2773">
        <v>76.173982307641595</v>
      </c>
      <c r="AK2773">
        <v>12.5517014030511</v>
      </c>
    </row>
    <row r="2774" spans="1:37" x14ac:dyDescent="0.2">
      <c r="A2774" t="str">
        <f>"20200111154120781"</f>
        <v>20200111154120781</v>
      </c>
      <c r="B2774" t="str">
        <f>"1578728480768622"</f>
        <v>1578728480768622</v>
      </c>
      <c r="C2774" t="s">
        <v>37</v>
      </c>
      <c r="D2774">
        <v>5.6659699999999997</v>
      </c>
      <c r="E2774">
        <v>0.56434810000000002</v>
      </c>
      <c r="F2774" t="s">
        <v>39</v>
      </c>
      <c r="G2774">
        <v>-193.58240000000001</v>
      </c>
      <c r="H2774" s="1">
        <v>-2.1223150000000002E-6</v>
      </c>
      <c r="I2774">
        <v>172.31440000000001</v>
      </c>
      <c r="J2774">
        <v>-190.09559999999999</v>
      </c>
      <c r="K2774">
        <v>1.110166</v>
      </c>
      <c r="L2774">
        <v>184.04679999999999</v>
      </c>
      <c r="M2774">
        <v>-3.6815870000000001E-2</v>
      </c>
      <c r="N2774">
        <v>0</v>
      </c>
      <c r="O2774">
        <v>-0.99922549999999899</v>
      </c>
      <c r="P2774">
        <v>-0.1212893</v>
      </c>
      <c r="Q2774">
        <v>4.9494740000000002E-2</v>
      </c>
      <c r="R2774">
        <v>-0.99138280000000001</v>
      </c>
      <c r="S2774">
        <v>-0.86082459999999905</v>
      </c>
      <c r="T2774">
        <v>-0.27342959999999999</v>
      </c>
      <c r="U2774">
        <v>-2.9373019999999999</v>
      </c>
      <c r="V2774">
        <v>8.4852810000000001E-2</v>
      </c>
      <c r="W2774">
        <v>6.3123490000000004E-2</v>
      </c>
      <c r="X2774">
        <v>0.99439200000000005</v>
      </c>
      <c r="Y2774">
        <v>0.244590999999999</v>
      </c>
      <c r="Z2774">
        <v>8.9324760000000003E-2</v>
      </c>
      <c r="AA2774">
        <v>0.96550319999999901</v>
      </c>
      <c r="AB2774">
        <v>23</v>
      </c>
      <c r="AC2774">
        <v>-3.4868000000000099</v>
      </c>
      <c r="AD2774">
        <v>-1.110168122315</v>
      </c>
      <c r="AE2774">
        <v>-11.732399999999901</v>
      </c>
      <c r="AF2774">
        <v>3.0275476629478999</v>
      </c>
      <c r="AG2774">
        <v>-1.110168122315</v>
      </c>
      <c r="AH2774">
        <v>11.756108254745801</v>
      </c>
      <c r="AI2774">
        <v>95.2251336952081</v>
      </c>
      <c r="AJ2774">
        <v>75.558436138114601</v>
      </c>
      <c r="AK2774">
        <v>12.190348617186</v>
      </c>
    </row>
    <row r="2775" spans="1:37" x14ac:dyDescent="0.2">
      <c r="A2775" t="str">
        <f>"20200111154120795"</f>
        <v>20200111154120795</v>
      </c>
      <c r="B2775" t="str">
        <f>"1578728480789118"</f>
        <v>1578728480789118</v>
      </c>
      <c r="C2775" t="s">
        <v>37</v>
      </c>
      <c r="D2775">
        <v>5.6615070000000003</v>
      </c>
      <c r="E2775">
        <v>0.56473759999999995</v>
      </c>
      <c r="F2775" t="s">
        <v>39</v>
      </c>
      <c r="G2775">
        <v>-193.63140000000001</v>
      </c>
      <c r="H2775" s="1">
        <v>-2.1116950000000001E-6</v>
      </c>
      <c r="I2775">
        <v>172.25919999999999</v>
      </c>
      <c r="J2775">
        <v>-190.10239999999999</v>
      </c>
      <c r="K2775">
        <v>1.1101729999999901</v>
      </c>
      <c r="L2775">
        <v>183.8913</v>
      </c>
      <c r="M2775">
        <v>-3.7744489999999999E-2</v>
      </c>
      <c r="N2775">
        <v>0</v>
      </c>
      <c r="O2775">
        <v>-0.99919179999999996</v>
      </c>
      <c r="P2775">
        <v>-0.1238836</v>
      </c>
      <c r="Q2775">
        <v>4.9449050000000001E-2</v>
      </c>
      <c r="R2775">
        <v>-0.99106399999999994</v>
      </c>
      <c r="S2775">
        <v>-0.87956239999999997</v>
      </c>
      <c r="T2775">
        <v>-0.27616170000000001</v>
      </c>
      <c r="U2775">
        <v>-2.9322360000000001</v>
      </c>
      <c r="V2775">
        <v>8.6529960000000003E-2</v>
      </c>
      <c r="W2775">
        <v>6.301358E-2</v>
      </c>
      <c r="X2775">
        <v>0.99425439999999998</v>
      </c>
      <c r="Y2775">
        <v>0.24978420000000001</v>
      </c>
      <c r="Z2775">
        <v>9.0212929999999997E-2</v>
      </c>
      <c r="AA2775">
        <v>0.96409</v>
      </c>
      <c r="AB2775">
        <v>23</v>
      </c>
      <c r="AC2775">
        <v>-3.5290000000000199</v>
      </c>
      <c r="AD2775">
        <v>-1.1101751116949901</v>
      </c>
      <c r="AE2775">
        <v>-11.632099999999999</v>
      </c>
      <c r="AF2775">
        <v>3.0618557173605998</v>
      </c>
      <c r="AG2775">
        <v>-1.1101751116949901</v>
      </c>
      <c r="AH2775">
        <v>11.6597665145982</v>
      </c>
      <c r="AI2775">
        <v>95.2616327549798</v>
      </c>
      <c r="AJ2775">
        <v>75.286331269250695</v>
      </c>
      <c r="AK2775">
        <v>12.106097818352</v>
      </c>
    </row>
    <row r="2776" spans="1:37" x14ac:dyDescent="0.2">
      <c r="A2776" t="str">
        <f>"20200111154120809"</f>
        <v>20200111154120809</v>
      </c>
      <c r="B2776" t="str">
        <f>"1578728480798879"</f>
        <v>1578728480798879</v>
      </c>
      <c r="C2776" t="s">
        <v>37</v>
      </c>
      <c r="D2776">
        <v>5.6756630000000001</v>
      </c>
      <c r="E2776">
        <v>0.56481190000000003</v>
      </c>
      <c r="F2776" t="s">
        <v>39</v>
      </c>
      <c r="G2776">
        <v>-193.6799</v>
      </c>
      <c r="H2776" s="1">
        <v>-2.0664900000000002E-6</v>
      </c>
      <c r="I2776">
        <v>172.12370000000001</v>
      </c>
      <c r="J2776">
        <v>-190.1086</v>
      </c>
      <c r="K2776">
        <v>1.1101840000000001</v>
      </c>
      <c r="L2776">
        <v>183.75380000000001</v>
      </c>
      <c r="M2776">
        <v>-3.8559699999999898E-2</v>
      </c>
      <c r="N2776">
        <v>0</v>
      </c>
      <c r="O2776">
        <v>-0.99916119999999997</v>
      </c>
      <c r="P2776">
        <v>-0.1263505</v>
      </c>
      <c r="Q2776">
        <v>4.9677199999999998E-2</v>
      </c>
      <c r="R2776">
        <v>-0.99074089999999904</v>
      </c>
      <c r="S2776">
        <v>-0.89060969999999995</v>
      </c>
      <c r="T2776">
        <v>-0.27637309999999998</v>
      </c>
      <c r="U2776">
        <v>-2.9294739999999999</v>
      </c>
      <c r="V2776">
        <v>8.8194229999999998E-2</v>
      </c>
      <c r="W2776">
        <v>6.3187750000000001E-2</v>
      </c>
      <c r="X2776">
        <v>0.99409709999999996</v>
      </c>
      <c r="Y2776">
        <v>0.25257350000000001</v>
      </c>
      <c r="Z2776">
        <v>9.0276990000000001E-2</v>
      </c>
      <c r="AA2776">
        <v>0.96335700000000002</v>
      </c>
      <c r="AB2776">
        <v>23</v>
      </c>
      <c r="AC2776">
        <v>-3.5712999999999999</v>
      </c>
      <c r="AD2776">
        <v>-1.1101860664899901</v>
      </c>
      <c r="AE2776">
        <v>-11.630100000000001</v>
      </c>
      <c r="AF2776">
        <v>3.09438070454926</v>
      </c>
      <c r="AG2776">
        <v>-1.1101860664899901</v>
      </c>
      <c r="AH2776">
        <v>11.662059971205201</v>
      </c>
      <c r="AI2776">
        <v>95.257122987296597</v>
      </c>
      <c r="AJ2776">
        <v>75.139711185655898</v>
      </c>
      <c r="AK2776">
        <v>12.1165732704797</v>
      </c>
    </row>
    <row r="2777" spans="1:37" x14ac:dyDescent="0.2">
      <c r="A2777" t="str">
        <f>"20200111154120829"</f>
        <v>20200111154120829</v>
      </c>
      <c r="B2777" t="str">
        <f>"1578728480819374"</f>
        <v>1578728480819374</v>
      </c>
      <c r="C2777" t="s">
        <v>37</v>
      </c>
      <c r="D2777">
        <v>5.683783</v>
      </c>
      <c r="E2777">
        <v>0.56487509999999996</v>
      </c>
      <c r="F2777" t="s">
        <v>39</v>
      </c>
      <c r="G2777">
        <v>-193.74789999999999</v>
      </c>
      <c r="H2777" s="1">
        <v>-1.9884599999999998E-6</v>
      </c>
      <c r="I2777">
        <v>171.8997</v>
      </c>
      <c r="J2777">
        <v>-190.11789999999999</v>
      </c>
      <c r="K2777">
        <v>1.1101909999999999</v>
      </c>
      <c r="L2777">
        <v>183.5496</v>
      </c>
      <c r="M2777">
        <v>-3.9760829999999997E-2</v>
      </c>
      <c r="N2777">
        <v>0</v>
      </c>
      <c r="O2777">
        <v>-0.99911530000000004</v>
      </c>
      <c r="P2777">
        <v>-0.13139790000000001</v>
      </c>
      <c r="Q2777">
        <v>5.096113E-2</v>
      </c>
      <c r="R2777">
        <v>-0.99001919999999899</v>
      </c>
      <c r="S2777">
        <v>-0.89866639999999998</v>
      </c>
      <c r="T2777">
        <v>-0.27414080000000002</v>
      </c>
      <c r="U2777">
        <v>-2.927155</v>
      </c>
      <c r="V2777">
        <v>9.2070659999999999E-2</v>
      </c>
      <c r="W2777">
        <v>6.4393110000000003E-2</v>
      </c>
      <c r="X2777">
        <v>0.993668199999999</v>
      </c>
      <c r="Y2777">
        <v>0.25406679999999998</v>
      </c>
      <c r="Z2777">
        <v>8.9562069999999994E-2</v>
      </c>
      <c r="AA2777">
        <v>0.96303099999999997</v>
      </c>
      <c r="AB2777">
        <v>23</v>
      </c>
      <c r="AC2777">
        <v>-3.6299999999999901</v>
      </c>
      <c r="AD2777">
        <v>-1.1101929884599999</v>
      </c>
      <c r="AE2777">
        <v>-11.649900000000001</v>
      </c>
      <c r="AF2777">
        <v>3.1379011079601602</v>
      </c>
      <c r="AG2777">
        <v>-1.1101929884599999</v>
      </c>
      <c r="AH2777">
        <v>11.6882788695281</v>
      </c>
      <c r="AI2777">
        <v>95.241364753544005</v>
      </c>
      <c r="AJ2777">
        <v>74.972396200287093</v>
      </c>
      <c r="AK2777">
        <v>12.1529755519717</v>
      </c>
    </row>
    <row r="2778" spans="1:37" x14ac:dyDescent="0.2">
      <c r="A2778" t="str">
        <f>"20200111154120850"</f>
        <v>20200111154120850</v>
      </c>
      <c r="B2778" t="str">
        <f>"1578728480838894"</f>
        <v>1578728480838894</v>
      </c>
      <c r="C2778" t="s">
        <v>37</v>
      </c>
      <c r="D2778">
        <v>5.6450370000000003</v>
      </c>
      <c r="E2778">
        <v>0.56482330000000003</v>
      </c>
      <c r="F2778" t="s">
        <v>39</v>
      </c>
      <c r="G2778">
        <v>-193.94739999999999</v>
      </c>
      <c r="H2778" s="1">
        <v>-1.7851399999999999E-6</v>
      </c>
      <c r="I2778">
        <v>171.30199999999999</v>
      </c>
      <c r="J2778">
        <v>-190.1284</v>
      </c>
      <c r="K2778">
        <v>1.110193</v>
      </c>
      <c r="L2778">
        <v>183.3254</v>
      </c>
      <c r="M2778">
        <v>-4.1071669999999998E-2</v>
      </c>
      <c r="N2778">
        <v>0</v>
      </c>
      <c r="O2778">
        <v>-0.99906309999999998</v>
      </c>
      <c r="P2778">
        <v>-0.1365036</v>
      </c>
      <c r="Q2778">
        <v>5.1610499999999997E-2</v>
      </c>
      <c r="R2778">
        <v>-0.98929439999999902</v>
      </c>
      <c r="S2778">
        <v>-0.91383359999999902</v>
      </c>
      <c r="T2778">
        <v>-0.26492389999999999</v>
      </c>
      <c r="U2778">
        <v>-2.92262299999999</v>
      </c>
      <c r="V2778">
        <v>9.5896179999999998E-2</v>
      </c>
      <c r="W2778">
        <v>6.4967919999999998E-2</v>
      </c>
      <c r="X2778">
        <v>0.99326890000000001</v>
      </c>
      <c r="Y2778">
        <v>0.2578532</v>
      </c>
      <c r="Z2778">
        <v>8.658623E-2</v>
      </c>
      <c r="AA2778">
        <v>0.9622965</v>
      </c>
      <c r="AB2778">
        <v>23</v>
      </c>
      <c r="AC2778">
        <v>-3.81899999999998</v>
      </c>
      <c r="AD2778">
        <v>-1.11019478514</v>
      </c>
      <c r="AE2778">
        <v>-12.023399999999899</v>
      </c>
      <c r="AF2778">
        <v>3.29638066219146</v>
      </c>
      <c r="AG2778">
        <v>-1.11019478514</v>
      </c>
      <c r="AH2778">
        <v>12.0765914805863</v>
      </c>
      <c r="AI2778">
        <v>95.068021876116902</v>
      </c>
      <c r="AJ2778">
        <v>74.732672879928899</v>
      </c>
      <c r="AK2778">
        <v>12.5675263962322</v>
      </c>
    </row>
    <row r="2779" spans="1:37" x14ac:dyDescent="0.2">
      <c r="A2779" t="str">
        <f>"20200111154120866"</f>
        <v>20200111154120866</v>
      </c>
      <c r="B2779" t="str">
        <f>"1578728480859390"</f>
        <v>1578728480859390</v>
      </c>
      <c r="C2779" t="s">
        <v>37</v>
      </c>
      <c r="D2779">
        <v>5.6740570000000004</v>
      </c>
      <c r="E2779">
        <v>0.56442099999999995</v>
      </c>
      <c r="F2779" t="s">
        <v>39</v>
      </c>
      <c r="G2779">
        <v>-194.13650000000001</v>
      </c>
      <c r="H2779" s="1">
        <v>-1.589906E-6</v>
      </c>
      <c r="I2779">
        <v>170.7296</v>
      </c>
      <c r="J2779">
        <v>-190.13640000000001</v>
      </c>
      <c r="K2779">
        <v>1.110193</v>
      </c>
      <c r="L2779">
        <v>183.15780000000001</v>
      </c>
      <c r="M2779">
        <v>-4.2049049999999998E-2</v>
      </c>
      <c r="N2779">
        <v>0</v>
      </c>
      <c r="O2779">
        <v>-0.99902299999999999</v>
      </c>
      <c r="P2779">
        <v>-0.13953009999999999</v>
      </c>
      <c r="Q2779">
        <v>5.2058680000000003E-2</v>
      </c>
      <c r="R2779">
        <v>-0.98884859999999897</v>
      </c>
      <c r="S2779">
        <v>-0.92846679999999904</v>
      </c>
      <c r="T2779">
        <v>-0.2571697</v>
      </c>
      <c r="U2779">
        <v>-2.9177399999999998</v>
      </c>
      <c r="V2779">
        <v>9.7965750000000004E-2</v>
      </c>
      <c r="W2779">
        <v>6.5367140000000004E-2</v>
      </c>
      <c r="X2779">
        <v>0.993040699999999</v>
      </c>
      <c r="Y2779">
        <v>0.2618183</v>
      </c>
      <c r="Z2779">
        <v>8.4091509999999994E-2</v>
      </c>
      <c r="AA2779">
        <v>0.96144680000000005</v>
      </c>
      <c r="AB2779">
        <v>23</v>
      </c>
      <c r="AC2779">
        <v>-4.0000999999999998</v>
      </c>
      <c r="AD2779">
        <v>-1.110194589906</v>
      </c>
      <c r="AE2779">
        <v>-12.4282</v>
      </c>
      <c r="AF2779">
        <v>3.4489809754389</v>
      </c>
      <c r="AG2779">
        <v>-1.110194589906</v>
      </c>
      <c r="AH2779">
        <v>12.495075100063501</v>
      </c>
      <c r="AI2779">
        <v>94.895303457209295</v>
      </c>
      <c r="AJ2779">
        <v>74.569045202680201</v>
      </c>
      <c r="AK2779">
        <v>13.0098002887294</v>
      </c>
    </row>
    <row r="2780" spans="1:37" x14ac:dyDescent="0.2">
      <c r="A2780" t="str">
        <f>"20200111154120884"</f>
        <v>20200111154120884</v>
      </c>
      <c r="B2780" t="str">
        <f>"1578728480869150"</f>
        <v>1578728480869150</v>
      </c>
      <c r="C2780" t="s">
        <v>37</v>
      </c>
      <c r="D2780">
        <v>5.6646999999999998</v>
      </c>
      <c r="E2780">
        <v>0.56417469999999903</v>
      </c>
      <c r="F2780" t="s">
        <v>39</v>
      </c>
      <c r="G2780">
        <v>-194.25120000000001</v>
      </c>
      <c r="H2780" s="1">
        <v>-1.4438109999999999E-6</v>
      </c>
      <c r="I2780">
        <v>170.31799999999899</v>
      </c>
      <c r="J2780">
        <v>-190.14529999999999</v>
      </c>
      <c r="K2780">
        <v>1.1101799999999999</v>
      </c>
      <c r="L2780">
        <v>182.9752</v>
      </c>
      <c r="M2780">
        <v>-4.3113279999999997E-2</v>
      </c>
      <c r="N2780">
        <v>0</v>
      </c>
      <c r="O2780">
        <v>-0.99897809999999898</v>
      </c>
      <c r="P2780">
        <v>-0.1437667</v>
      </c>
      <c r="Q2780">
        <v>5.1847339999999999E-2</v>
      </c>
      <c r="R2780">
        <v>-0.98825280000000004</v>
      </c>
      <c r="S2780">
        <v>-0.93426509999999996</v>
      </c>
      <c r="T2780">
        <v>-0.2520695</v>
      </c>
      <c r="U2780">
        <v>-2.9152830000000001</v>
      </c>
      <c r="V2780">
        <v>0.1011638</v>
      </c>
      <c r="W2780">
        <v>6.5104499999999996E-2</v>
      </c>
      <c r="X2780">
        <v>0.99273729999999905</v>
      </c>
      <c r="Y2780">
        <v>0.26280110000000001</v>
      </c>
      <c r="Z2780">
        <v>8.2460279999999997E-2</v>
      </c>
      <c r="AA2780">
        <v>0.9613199</v>
      </c>
      <c r="AB2780">
        <v>23</v>
      </c>
      <c r="AC2780">
        <v>-4.1059000000000196</v>
      </c>
      <c r="AD2780">
        <v>-1.110181443811</v>
      </c>
      <c r="AE2780">
        <v>-12.6572</v>
      </c>
      <c r="AF2780">
        <v>3.53175410237459</v>
      </c>
      <c r="AG2780">
        <v>-1.110181443811</v>
      </c>
      <c r="AH2780">
        <v>12.7338263996871</v>
      </c>
      <c r="AI2780">
        <v>94.802268677910803</v>
      </c>
      <c r="AJ2780">
        <v>74.498531380181404</v>
      </c>
      <c r="AK2780">
        <v>13.2610755466964</v>
      </c>
    </row>
    <row r="2781" spans="1:37" x14ac:dyDescent="0.2">
      <c r="A2781" t="str">
        <f>"20200111154120906"</f>
        <v>20200111154120906</v>
      </c>
      <c r="B2781" t="str">
        <f>"1578728480898429"</f>
        <v>1578728480898429</v>
      </c>
      <c r="C2781" t="s">
        <v>37</v>
      </c>
      <c r="D2781">
        <v>5.6326169999999998</v>
      </c>
      <c r="E2781">
        <v>0.56352239999999998</v>
      </c>
      <c r="F2781" t="s">
        <v>39</v>
      </c>
      <c r="G2781">
        <v>-194.3596</v>
      </c>
      <c r="H2781" s="1">
        <v>-1.3346600000000001E-6</v>
      </c>
      <c r="I2781">
        <v>169.99629999999999</v>
      </c>
      <c r="J2781">
        <v>-190.15710000000001</v>
      </c>
      <c r="K2781">
        <v>1.1101639999999999</v>
      </c>
      <c r="L2781">
        <v>182.7405</v>
      </c>
      <c r="M2781">
        <v>-4.4476950000000001E-2</v>
      </c>
      <c r="N2781">
        <v>0</v>
      </c>
      <c r="O2781">
        <v>-0.99891919999999901</v>
      </c>
      <c r="P2781">
        <v>-0.1480747</v>
      </c>
      <c r="Q2781">
        <v>5.08061E-2</v>
      </c>
      <c r="R2781">
        <v>-0.98767090000000002</v>
      </c>
      <c r="S2781">
        <v>-0.94528199999999996</v>
      </c>
      <c r="T2781">
        <v>-0.24901770000000001</v>
      </c>
      <c r="U2781">
        <v>-2.9112239999999998</v>
      </c>
      <c r="V2781">
        <v>0.1041333</v>
      </c>
      <c r="W2781">
        <v>6.4008620000000002E-2</v>
      </c>
      <c r="X2781">
        <v>0.99250139999999998</v>
      </c>
      <c r="Y2781">
        <v>0.26519209999999999</v>
      </c>
      <c r="Z2781">
        <v>8.1495750000000006E-2</v>
      </c>
      <c r="AA2781">
        <v>0.96074530000000002</v>
      </c>
      <c r="AB2781">
        <v>23</v>
      </c>
      <c r="AC2781">
        <v>-4.2024999999999801</v>
      </c>
      <c r="AD2781">
        <v>-1.11016533466</v>
      </c>
      <c r="AE2781">
        <v>-12.744199999999999</v>
      </c>
      <c r="AF2781">
        <v>3.6067802998988299</v>
      </c>
      <c r="AG2781">
        <v>-1.11016533466</v>
      </c>
      <c r="AH2781">
        <v>12.8307021735714</v>
      </c>
      <c r="AI2781">
        <v>94.761498722880603</v>
      </c>
      <c r="AJ2781">
        <v>74.299037495347704</v>
      </c>
      <c r="AK2781">
        <v>13.374163505390101</v>
      </c>
    </row>
    <row r="2782" spans="1:37" x14ac:dyDescent="0.2">
      <c r="A2782" t="str">
        <f>"20200111154120918"</f>
        <v>20200111154120918</v>
      </c>
      <c r="B2782" t="str">
        <f>"1578728480909166"</f>
        <v>1578728480909166</v>
      </c>
      <c r="C2782" t="s">
        <v>37</v>
      </c>
      <c r="D2782">
        <v>5.6482190000000001</v>
      </c>
      <c r="E2782">
        <v>0.56314799999999998</v>
      </c>
      <c r="F2782" t="s">
        <v>39</v>
      </c>
      <c r="G2782">
        <v>-194.50630000000001</v>
      </c>
      <c r="H2782" s="1">
        <v>-5.4779319999999997E-6</v>
      </c>
      <c r="I2782">
        <v>169.46940000000001</v>
      </c>
      <c r="J2782">
        <v>-190.1643</v>
      </c>
      <c r="K2782">
        <v>1.11016</v>
      </c>
      <c r="L2782">
        <v>182.59950000000001</v>
      </c>
      <c r="M2782">
        <v>-4.5292440000000003E-2</v>
      </c>
      <c r="N2782">
        <v>0</v>
      </c>
      <c r="O2782">
        <v>-0.99888269999999901</v>
      </c>
      <c r="P2782">
        <v>-0.15056600000000001</v>
      </c>
      <c r="Q2782">
        <v>5.0364550000000001E-2</v>
      </c>
      <c r="R2782">
        <v>-0.98731639999999998</v>
      </c>
      <c r="S2782">
        <v>-0.95271299999999903</v>
      </c>
      <c r="T2782">
        <v>-0.2431886</v>
      </c>
      <c r="U2782">
        <v>-2.9071039999999999</v>
      </c>
      <c r="V2782">
        <v>0.10582509999999901</v>
      </c>
      <c r="W2782">
        <v>6.3537990000000003E-2</v>
      </c>
      <c r="X2782">
        <v>0.99235269999999998</v>
      </c>
      <c r="Y2782">
        <v>0.26707039999999999</v>
      </c>
      <c r="Z2782">
        <v>7.9651239999999998E-2</v>
      </c>
      <c r="AA2782">
        <v>0.96037969999999895</v>
      </c>
      <c r="AB2782">
        <v>23</v>
      </c>
      <c r="AC2782">
        <v>-4.3420000000000103</v>
      </c>
      <c r="AD2782">
        <v>-1.110165477932</v>
      </c>
      <c r="AE2782">
        <v>-13.130100000000001</v>
      </c>
      <c r="AF2782">
        <v>3.7188300790005</v>
      </c>
      <c r="AG2782">
        <v>-1.110165477932</v>
      </c>
      <c r="AH2782">
        <v>13.2280566127366</v>
      </c>
      <c r="AI2782">
        <v>94.619066413967403</v>
      </c>
      <c r="AJ2782">
        <v>74.297627399759904</v>
      </c>
      <c r="AK2782">
        <v>13.785631878685701</v>
      </c>
    </row>
    <row r="2783" spans="1:37" x14ac:dyDescent="0.2">
      <c r="A2783" t="str">
        <f>"20200111154120933"</f>
        <v>20200111154120933</v>
      </c>
      <c r="B2783" t="str">
        <f>"1578728480928686"</f>
        <v>1578728480928686</v>
      </c>
      <c r="C2783" t="s">
        <v>37</v>
      </c>
      <c r="D2783">
        <v>5.6405609999999999</v>
      </c>
      <c r="E2783">
        <v>0.56245210000000001</v>
      </c>
      <c r="F2783" t="s">
        <v>39</v>
      </c>
      <c r="G2783">
        <v>-194.51689999999999</v>
      </c>
      <c r="H2783" s="1">
        <v>-5.4469250000000004E-6</v>
      </c>
      <c r="I2783">
        <v>169.38380000000001</v>
      </c>
      <c r="J2783">
        <v>-190.17179999999999</v>
      </c>
      <c r="K2783">
        <v>1.1101620000000001</v>
      </c>
      <c r="L2783">
        <v>182.45590000000001</v>
      </c>
      <c r="M2783">
        <v>-4.6114330000000002E-2</v>
      </c>
      <c r="N2783">
        <v>0</v>
      </c>
      <c r="O2783">
        <v>-0.99884539999999999</v>
      </c>
      <c r="P2783">
        <v>-0.15310360000000001</v>
      </c>
      <c r="Q2783">
        <v>4.9640999999999998E-2</v>
      </c>
      <c r="R2783">
        <v>-0.98696269999999997</v>
      </c>
      <c r="S2783">
        <v>-0.956787099999999</v>
      </c>
      <c r="T2783">
        <v>-0.24403659999999999</v>
      </c>
      <c r="U2783">
        <v>-2.9050750000000001</v>
      </c>
      <c r="V2783">
        <v>0.10755619999999901</v>
      </c>
      <c r="W2783">
        <v>6.2787990000000002E-2</v>
      </c>
      <c r="X2783">
        <v>0.99221440000000005</v>
      </c>
      <c r="Y2783">
        <v>0.26768429999999999</v>
      </c>
      <c r="Z2783">
        <v>7.9951369999999994E-2</v>
      </c>
      <c r="AA2783">
        <v>0.96018379999999903</v>
      </c>
      <c r="AB2783">
        <v>23</v>
      </c>
      <c r="AC2783">
        <v>-4.3451000000000004</v>
      </c>
      <c r="AD2783">
        <v>-1.110167446925</v>
      </c>
      <c r="AE2783">
        <v>-13.072100000000001</v>
      </c>
      <c r="AF2783">
        <v>3.7134921204312099</v>
      </c>
      <c r="AG2783">
        <v>-1.110167446925</v>
      </c>
      <c r="AH2783">
        <v>13.1730229354255</v>
      </c>
      <c r="AI2783">
        <v>94.637361333673397</v>
      </c>
      <c r="AJ2783">
        <v>74.256787423470001</v>
      </c>
      <c r="AK2783">
        <v>13.7313884493143</v>
      </c>
    </row>
    <row r="2784" spans="1:37" x14ac:dyDescent="0.2">
      <c r="A2784" t="str">
        <f>"20200111154120949"</f>
        <v>20200111154120949</v>
      </c>
      <c r="B2784" t="str">
        <f>"1578728480938446"</f>
        <v>1578728480938446</v>
      </c>
      <c r="C2784" t="s">
        <v>37</v>
      </c>
      <c r="D2784">
        <v>5.6229690000000003</v>
      </c>
      <c r="E2784">
        <v>0.56217980000000001</v>
      </c>
      <c r="F2784" t="s">
        <v>39</v>
      </c>
      <c r="G2784">
        <v>-194.5136</v>
      </c>
      <c r="H2784" s="1">
        <v>-5.4166489999999998E-6</v>
      </c>
      <c r="I2784">
        <v>169.3065</v>
      </c>
      <c r="J2784">
        <v>-190.18049999999999</v>
      </c>
      <c r="K2784">
        <v>1.110168</v>
      </c>
      <c r="L2784">
        <v>182.29050000000001</v>
      </c>
      <c r="M2784">
        <v>-4.7046199999999899E-2</v>
      </c>
      <c r="N2784">
        <v>0</v>
      </c>
      <c r="O2784">
        <v>-0.99880230000000003</v>
      </c>
      <c r="P2784">
        <v>-0.15767020000000001</v>
      </c>
      <c r="Q2784">
        <v>4.7975589999999999E-2</v>
      </c>
      <c r="R2784">
        <v>-0.98632569999999997</v>
      </c>
      <c r="S2784">
        <v>-0.95861819999999898</v>
      </c>
      <c r="T2784">
        <v>-0.2451141</v>
      </c>
      <c r="U2784">
        <v>-2.9032589999999998</v>
      </c>
      <c r="V2784">
        <v>0.1112152</v>
      </c>
      <c r="W2784">
        <v>6.1089909999999997E-2</v>
      </c>
      <c r="X2784">
        <v>0.99191700000000005</v>
      </c>
      <c r="Y2784">
        <v>0.26750040000000003</v>
      </c>
      <c r="Z2784">
        <v>8.033854E-2</v>
      </c>
      <c r="AA2784">
        <v>0.96020269999999996</v>
      </c>
      <c r="AB2784">
        <v>23</v>
      </c>
      <c r="AC2784">
        <v>-4.3331</v>
      </c>
      <c r="AD2784">
        <v>-1.110173416649</v>
      </c>
      <c r="AE2784">
        <v>-12.984</v>
      </c>
      <c r="AF2784">
        <v>3.6931042716312499</v>
      </c>
      <c r="AG2784">
        <v>-1.110173416649</v>
      </c>
      <c r="AH2784">
        <v>13.0874036117887</v>
      </c>
      <c r="AI2784">
        <v>94.667243158528805</v>
      </c>
      <c r="AJ2784">
        <v>74.241586613634894</v>
      </c>
      <c r="AK2784">
        <v>13.6437398639095</v>
      </c>
    </row>
    <row r="2785" spans="1:37" x14ac:dyDescent="0.2">
      <c r="A2785" t="str">
        <f>"20200111154120963"</f>
        <v>20200111154120963</v>
      </c>
      <c r="B2785" t="str">
        <f>"1578728480958942"</f>
        <v>1578728480958942</v>
      </c>
      <c r="C2785" t="s">
        <v>37</v>
      </c>
      <c r="D2785">
        <v>5.630242</v>
      </c>
      <c r="E2785">
        <v>0.56167339999999999</v>
      </c>
      <c r="F2785" t="s">
        <v>39</v>
      </c>
      <c r="G2785">
        <v>-194.47900000000001</v>
      </c>
      <c r="H2785" s="1">
        <v>-5.45946199999999E-6</v>
      </c>
      <c r="I2785">
        <v>169.43389999999999</v>
      </c>
      <c r="J2785">
        <v>-190.1883</v>
      </c>
      <c r="K2785">
        <v>1.1101799999999999</v>
      </c>
      <c r="L2785">
        <v>182.1448</v>
      </c>
      <c r="M2785">
        <v>-4.7849699999999898E-2</v>
      </c>
      <c r="N2785">
        <v>0</v>
      </c>
      <c r="O2785">
        <v>-0.99876430000000005</v>
      </c>
      <c r="P2785">
        <v>-0.1601755</v>
      </c>
      <c r="Q2785">
        <v>4.7647149999999999E-2</v>
      </c>
      <c r="R2785">
        <v>-0.98593799999999898</v>
      </c>
      <c r="S2785">
        <v>-0.96919249999999901</v>
      </c>
      <c r="T2785">
        <v>-0.25031720000000002</v>
      </c>
      <c r="U2785">
        <v>-2.8988339999999999</v>
      </c>
      <c r="V2785">
        <v>0.112933899999999</v>
      </c>
      <c r="W2785">
        <v>6.0740559999999999E-2</v>
      </c>
      <c r="X2785">
        <v>0.99174419999999996</v>
      </c>
      <c r="Y2785">
        <v>0.27026999999999901</v>
      </c>
      <c r="Z2785">
        <v>8.2067379999999995E-2</v>
      </c>
      <c r="AA2785">
        <v>0.95928049999999998</v>
      </c>
      <c r="AB2785">
        <v>23</v>
      </c>
      <c r="AC2785">
        <v>-4.29070000000001</v>
      </c>
      <c r="AD2785">
        <v>-1.110185459462</v>
      </c>
      <c r="AE2785">
        <v>-12.710900000000001</v>
      </c>
      <c r="AF2785">
        <v>3.6525038072157998</v>
      </c>
      <c r="AG2785">
        <v>-1.110185459462</v>
      </c>
      <c r="AH2785">
        <v>12.813913133670701</v>
      </c>
      <c r="AI2785">
        <v>94.762900993912297</v>
      </c>
      <c r="AJ2785">
        <v>74.090220878885305</v>
      </c>
      <c r="AK2785">
        <v>13.370477389135599</v>
      </c>
    </row>
    <row r="2786" spans="1:37" x14ac:dyDescent="0.2">
      <c r="A2786" t="str">
        <f>"20200111154120977"</f>
        <v>20200111154120977</v>
      </c>
      <c r="B2786" t="str">
        <f>"1578728480968702"</f>
        <v>1578728480968702</v>
      </c>
      <c r="C2786" t="s">
        <v>37</v>
      </c>
      <c r="D2786">
        <v>5.5784120000000001</v>
      </c>
      <c r="E2786">
        <v>0.5613456</v>
      </c>
      <c r="F2786" t="s">
        <v>39</v>
      </c>
      <c r="G2786">
        <v>-194.4888</v>
      </c>
      <c r="H2786" s="1">
        <v>-5.4224169999999998E-6</v>
      </c>
      <c r="I2786">
        <v>169.3329</v>
      </c>
      <c r="J2786">
        <v>-190.19669999999999</v>
      </c>
      <c r="K2786">
        <v>1.110204</v>
      </c>
      <c r="L2786">
        <v>181.9915</v>
      </c>
      <c r="M2786">
        <v>-4.8660090000000003E-2</v>
      </c>
      <c r="N2786">
        <v>0</v>
      </c>
      <c r="O2786">
        <v>-0.99872549999999904</v>
      </c>
      <c r="P2786">
        <v>-0.16263620000000001</v>
      </c>
      <c r="Q2786">
        <v>4.7163320000000002E-2</v>
      </c>
      <c r="R2786">
        <v>-0.985558499999999</v>
      </c>
      <c r="S2786">
        <v>-0.97239690000000001</v>
      </c>
      <c r="T2786">
        <v>-0.25102729999999901</v>
      </c>
      <c r="U2786">
        <v>-2.8969269999999998</v>
      </c>
      <c r="V2786">
        <v>0.11459949999999899</v>
      </c>
      <c r="W2786">
        <v>6.024032E-2</v>
      </c>
      <c r="X2786">
        <v>0.99158359999999901</v>
      </c>
      <c r="Y2786">
        <v>0.27062609999999998</v>
      </c>
      <c r="Z2786">
        <v>8.2326499999999997E-2</v>
      </c>
      <c r="AA2786">
        <v>0.95915790000000001</v>
      </c>
      <c r="AB2786">
        <v>23</v>
      </c>
      <c r="AC2786">
        <v>-4.2920999999999996</v>
      </c>
      <c r="AD2786">
        <v>-1.110209422417</v>
      </c>
      <c r="AE2786">
        <v>-12.6586</v>
      </c>
      <c r="AF2786">
        <v>3.6458386120201101</v>
      </c>
      <c r="AG2786">
        <v>-1.110209422417</v>
      </c>
      <c r="AH2786">
        <v>12.764414772101601</v>
      </c>
      <c r="AI2786">
        <v>94.780655766729097</v>
      </c>
      <c r="AJ2786">
        <v>74.059322847331003</v>
      </c>
      <c r="AK2786">
        <v>13.3212232404072</v>
      </c>
    </row>
    <row r="2787" spans="1:37" x14ac:dyDescent="0.2">
      <c r="A2787" t="str">
        <f>"20200111154120996"</f>
        <v>20200111154120996</v>
      </c>
      <c r="B2787" t="str">
        <f>"1578728480989198"</f>
        <v>1578728480989198</v>
      </c>
      <c r="C2787" t="s">
        <v>37</v>
      </c>
      <c r="D2787">
        <v>5.635599</v>
      </c>
      <c r="E2787">
        <v>0.56105879999999997</v>
      </c>
      <c r="F2787" t="s">
        <v>39</v>
      </c>
      <c r="G2787">
        <v>-194.48609999999999</v>
      </c>
      <c r="H2787" s="1">
        <v>-5.401023E-6</v>
      </c>
      <c r="I2787">
        <v>169.27850000000001</v>
      </c>
      <c r="J2787">
        <v>-190.2063</v>
      </c>
      <c r="K2787">
        <v>1.110236</v>
      </c>
      <c r="L2787">
        <v>181.81549999999999</v>
      </c>
      <c r="M2787">
        <v>-4.9555130000000003E-2</v>
      </c>
      <c r="N2787">
        <v>0</v>
      </c>
      <c r="O2787">
        <v>-0.99868169999999901</v>
      </c>
      <c r="P2787">
        <v>-0.16705610000000001</v>
      </c>
      <c r="Q2787">
        <v>4.6887440000000002E-2</v>
      </c>
      <c r="R2787">
        <v>-0.98483199999999904</v>
      </c>
      <c r="S2787">
        <v>-0.97674559999999999</v>
      </c>
      <c r="T2787">
        <v>-0.25280789999999997</v>
      </c>
      <c r="U2787">
        <v>-2.8948969999999998</v>
      </c>
      <c r="V2787">
        <v>0.11815439999999899</v>
      </c>
      <c r="W2787">
        <v>5.9943320000000001E-2</v>
      </c>
      <c r="X2787">
        <v>0.99118430000000002</v>
      </c>
      <c r="Y2787">
        <v>0.27124470000000001</v>
      </c>
      <c r="Z2787">
        <v>8.2928870000000002E-2</v>
      </c>
      <c r="AA2787">
        <v>0.95893130000000004</v>
      </c>
      <c r="AB2787">
        <v>23</v>
      </c>
      <c r="AC2787">
        <v>-4.2797999999999901</v>
      </c>
      <c r="AD2787">
        <v>-1.110241401023</v>
      </c>
      <c r="AE2787">
        <v>-12.5369999999999</v>
      </c>
      <c r="AF2787">
        <v>3.6277319028758601</v>
      </c>
      <c r="AG2787">
        <v>-1.110241401023</v>
      </c>
      <c r="AH2787">
        <v>12.644883500720701</v>
      </c>
      <c r="AI2787">
        <v>94.824161787210102</v>
      </c>
      <c r="AJ2787">
        <v>73.992171226393296</v>
      </c>
      <c r="AK2787">
        <v>13.201748121914999</v>
      </c>
    </row>
    <row r="2788" spans="1:37" x14ac:dyDescent="0.2">
      <c r="A2788" t="str">
        <f>"20200111154121009"</f>
        <v>20200111154121009</v>
      </c>
      <c r="B2788" t="str">
        <f>"1578728480998958"</f>
        <v>1578728480998958</v>
      </c>
      <c r="C2788" t="s">
        <v>37</v>
      </c>
      <c r="D2788">
        <v>5.5976339999999896</v>
      </c>
      <c r="E2788">
        <v>0.55156269999999996</v>
      </c>
      <c r="F2788" t="s">
        <v>39</v>
      </c>
      <c r="G2788">
        <v>-194.52500000000001</v>
      </c>
      <c r="H2788" s="1">
        <v>-5.3647319999999997E-6</v>
      </c>
      <c r="I2788">
        <v>169.166</v>
      </c>
      <c r="J2788">
        <v>-190.21469999999999</v>
      </c>
      <c r="K2788">
        <v>1.110268</v>
      </c>
      <c r="L2788">
        <v>181.66390000000001</v>
      </c>
      <c r="M2788">
        <v>-5.0287039999999998E-2</v>
      </c>
      <c r="N2788">
        <v>0</v>
      </c>
      <c r="O2788">
        <v>-0.99864540000000002</v>
      </c>
      <c r="P2788">
        <v>-0.16945769999999999</v>
      </c>
      <c r="Q2788">
        <v>4.7422010000000001E-2</v>
      </c>
      <c r="R2788">
        <v>-0.98439599999999905</v>
      </c>
      <c r="S2788">
        <v>-0.98698430000000004</v>
      </c>
      <c r="T2788">
        <v>-0.2537317</v>
      </c>
      <c r="U2788">
        <v>-2.8908839999999998</v>
      </c>
      <c r="V2788">
        <v>0.11984300000000001</v>
      </c>
      <c r="W2788">
        <v>6.0466880000000001E-2</v>
      </c>
      <c r="X2788">
        <v>0.99094969999999905</v>
      </c>
      <c r="Y2788">
        <v>0.2739779</v>
      </c>
      <c r="Z2788">
        <v>8.3255040000000002E-2</v>
      </c>
      <c r="AA2788">
        <v>0.95812569999999997</v>
      </c>
      <c r="AB2788">
        <v>23</v>
      </c>
      <c r="AC2788">
        <v>-4.3103000000000096</v>
      </c>
      <c r="AD2788">
        <v>-1.110273364732</v>
      </c>
      <c r="AE2788">
        <v>-12.4979</v>
      </c>
      <c r="AF2788">
        <v>3.6505595249976999</v>
      </c>
      <c r="AG2788">
        <v>-1.110273364732</v>
      </c>
      <c r="AH2788">
        <v>12.609917989048901</v>
      </c>
      <c r="AI2788">
        <v>94.834276421608806</v>
      </c>
      <c r="AJ2788">
        <v>73.854319210172406</v>
      </c>
      <c r="AK2788">
        <v>13.1745710928487</v>
      </c>
    </row>
    <row r="2789" spans="1:37" x14ac:dyDescent="0.2">
      <c r="A2789" t="str">
        <f>"20200111154121029"</f>
        <v>20200111154121029</v>
      </c>
      <c r="B2789" t="str">
        <f>"1578728481018477"</f>
        <v>1578728481018477</v>
      </c>
      <c r="C2789" t="s">
        <v>37</v>
      </c>
      <c r="D2789">
        <v>5.6089969999999996</v>
      </c>
      <c r="E2789">
        <v>0.55117209999999905</v>
      </c>
      <c r="F2789" t="s">
        <v>39</v>
      </c>
      <c r="G2789">
        <v>-194.28829999999999</v>
      </c>
      <c r="H2789" s="1">
        <v>-5.182808E-6</v>
      </c>
      <c r="I2789">
        <v>168.80160000000001</v>
      </c>
      <c r="J2789">
        <v>-190.22620000000001</v>
      </c>
      <c r="K2789">
        <v>1.110322</v>
      </c>
      <c r="L2789">
        <v>181.45820000000001</v>
      </c>
      <c r="M2789">
        <v>-5.1207019999999999E-2</v>
      </c>
      <c r="N2789">
        <v>0</v>
      </c>
      <c r="O2789">
        <v>-0.99859889999999996</v>
      </c>
      <c r="P2789">
        <v>-0.174166299999999</v>
      </c>
      <c r="Q2789">
        <v>4.8208420000000002E-2</v>
      </c>
      <c r="R2789">
        <v>-0.98353559999999995</v>
      </c>
      <c r="S2789">
        <v>-0.91891480000000003</v>
      </c>
      <c r="T2789">
        <v>-0.2504518</v>
      </c>
      <c r="U2789">
        <v>-2.901443</v>
      </c>
      <c r="V2789">
        <v>0.123668</v>
      </c>
      <c r="W2789">
        <v>6.1238880000000002E-2</v>
      </c>
      <c r="X2789">
        <v>0.99043230000000004</v>
      </c>
      <c r="Y2789">
        <v>0.25168459999999998</v>
      </c>
      <c r="Z2789">
        <v>8.2444920000000005E-2</v>
      </c>
      <c r="AA2789">
        <v>0.96429129999999996</v>
      </c>
      <c r="AB2789">
        <v>23</v>
      </c>
      <c r="AC2789">
        <v>-4.0620999999999796</v>
      </c>
      <c r="AD2789">
        <v>-1.1103271828079999</v>
      </c>
      <c r="AE2789">
        <v>-12.6565999999999</v>
      </c>
      <c r="AF2789">
        <v>3.3849871477921698</v>
      </c>
      <c r="AG2789">
        <v>-1.1103271828079999</v>
      </c>
      <c r="AH2789">
        <v>12.758995125209299</v>
      </c>
      <c r="AI2789">
        <v>94.808017092857</v>
      </c>
      <c r="AJ2789">
        <v>75.141605283170804</v>
      </c>
      <c r="AK2789">
        <v>13.2469966803316</v>
      </c>
    </row>
    <row r="2790" spans="1:37" x14ac:dyDescent="0.2">
      <c r="A2790" t="str">
        <f>"20200111154121050"</f>
        <v>20200111154121050</v>
      </c>
      <c r="B2790" t="str">
        <f>"1578728481038973"</f>
        <v>1578728481038973</v>
      </c>
      <c r="C2790" t="s">
        <v>37</v>
      </c>
      <c r="D2790">
        <v>5.563269</v>
      </c>
      <c r="E2790">
        <v>0.55028679999999996</v>
      </c>
      <c r="F2790" t="s">
        <v>39</v>
      </c>
      <c r="G2790">
        <v>-194.49099999999899</v>
      </c>
      <c r="H2790" s="1">
        <v>-4.9701129999999998E-6</v>
      </c>
      <c r="I2790">
        <v>168.1541</v>
      </c>
      <c r="J2790">
        <v>-190.23820000000001</v>
      </c>
      <c r="K2790">
        <v>1.110384</v>
      </c>
      <c r="L2790">
        <v>181.2456</v>
      </c>
      <c r="M2790">
        <v>-5.2057699999999998E-2</v>
      </c>
      <c r="N2790">
        <v>0</v>
      </c>
      <c r="O2790">
        <v>-0.99855530000000003</v>
      </c>
      <c r="P2790">
        <v>-0.17920620000000001</v>
      </c>
      <c r="Q2790">
        <v>4.8878619999999998E-2</v>
      </c>
      <c r="R2790">
        <v>-0.98259680000000005</v>
      </c>
      <c r="S2790">
        <v>-0.92886349999999995</v>
      </c>
      <c r="T2790">
        <v>-0.2418245</v>
      </c>
      <c r="U2790">
        <v>-2.897583</v>
      </c>
      <c r="V2790">
        <v>0.1278957</v>
      </c>
      <c r="W2790">
        <v>6.1898990000000001E-2</v>
      </c>
      <c r="X2790">
        <v>0.98985419999999902</v>
      </c>
      <c r="Y2790">
        <v>0.25430389999999897</v>
      </c>
      <c r="Z2790">
        <v>7.9650949999999998E-2</v>
      </c>
      <c r="AA2790">
        <v>0.9638388</v>
      </c>
      <c r="AB2790">
        <v>23</v>
      </c>
      <c r="AC2790">
        <v>-4.2527999999999704</v>
      </c>
      <c r="AD2790">
        <v>-1.1103889701130001</v>
      </c>
      <c r="AE2790">
        <v>-13.0914999999999</v>
      </c>
      <c r="AF2790">
        <v>3.54240717189849</v>
      </c>
      <c r="AG2790">
        <v>-1.1103889701130001</v>
      </c>
      <c r="AH2790">
        <v>13.2092000839869</v>
      </c>
      <c r="AI2790">
        <v>94.641823734924102</v>
      </c>
      <c r="AJ2790">
        <v>74.987808379522406</v>
      </c>
      <c r="AK2790">
        <v>13.720954015492699</v>
      </c>
    </row>
    <row r="2791" spans="1:37" x14ac:dyDescent="0.2">
      <c r="A2791" t="str">
        <f>"20200111154121064"</f>
        <v>20200111154121064</v>
      </c>
      <c r="B2791" t="str">
        <f>"1578728481058494"</f>
        <v>1578728481058494</v>
      </c>
      <c r="C2791" t="s">
        <v>37</v>
      </c>
      <c r="D2791">
        <v>5.6034069999999998</v>
      </c>
      <c r="E2791">
        <v>0.54935800000000001</v>
      </c>
      <c r="F2791" t="s">
        <v>39</v>
      </c>
      <c r="G2791">
        <v>-194.56</v>
      </c>
      <c r="H2791" s="1">
        <v>-4.8763630000000001E-6</v>
      </c>
      <c r="I2791">
        <v>167.87809999999999</v>
      </c>
      <c r="J2791">
        <v>-190.2466</v>
      </c>
      <c r="K2791">
        <v>1.1104309999999999</v>
      </c>
      <c r="L2791">
        <v>181.0966</v>
      </c>
      <c r="M2791">
        <v>-5.2598029999999997E-2</v>
      </c>
      <c r="N2791">
        <v>0</v>
      </c>
      <c r="O2791">
        <v>-0.9985271</v>
      </c>
      <c r="P2791">
        <v>-0.18164240000000001</v>
      </c>
      <c r="Q2791">
        <v>4.8985269999999997E-2</v>
      </c>
      <c r="R2791">
        <v>-0.98214400000000002</v>
      </c>
      <c r="S2791">
        <v>-0.93579100000000004</v>
      </c>
      <c r="T2791">
        <v>-0.24042959999999999</v>
      </c>
      <c r="U2791">
        <v>-2.8944239999999999</v>
      </c>
      <c r="V2791">
        <v>0.12980829999999999</v>
      </c>
      <c r="W2791">
        <v>6.2005119999999997E-2</v>
      </c>
      <c r="X2791">
        <v>0.98959850000000005</v>
      </c>
      <c r="Y2791">
        <v>0.25618649999999998</v>
      </c>
      <c r="Z2791">
        <v>7.9224630000000004E-2</v>
      </c>
      <c r="AA2791">
        <v>0.96337530000000005</v>
      </c>
      <c r="AB2791">
        <v>23</v>
      </c>
      <c r="AC2791">
        <v>-4.3133999999999997</v>
      </c>
      <c r="AD2791">
        <v>-1.110435876363</v>
      </c>
      <c r="AE2791">
        <v>-13.218500000000001</v>
      </c>
      <c r="AF2791">
        <v>3.5892079149226199</v>
      </c>
      <c r="AG2791">
        <v>-1.110435876363</v>
      </c>
      <c r="AH2791">
        <v>13.342001604792999</v>
      </c>
      <c r="AI2791">
        <v>94.595051759132204</v>
      </c>
      <c r="AJ2791">
        <v>74.943002129608203</v>
      </c>
      <c r="AK2791">
        <v>13.8608978105445</v>
      </c>
    </row>
    <row r="2792" spans="1:37" x14ac:dyDescent="0.2">
      <c r="A2792" t="str">
        <f>"20200111154121078"</f>
        <v>20200111154121078</v>
      </c>
      <c r="B2792" t="str">
        <f>"1578728481069231"</f>
        <v>1578728481069231</v>
      </c>
      <c r="C2792" t="s">
        <v>37</v>
      </c>
      <c r="D2792">
        <v>5.6034499999999996</v>
      </c>
      <c r="E2792">
        <v>0.54865730000000001</v>
      </c>
      <c r="F2792" t="s">
        <v>39</v>
      </c>
      <c r="G2792">
        <v>-194.60400000000001</v>
      </c>
      <c r="H2792" s="1">
        <v>-4.7855369999999997E-6</v>
      </c>
      <c r="I2792">
        <v>167.62119999999999</v>
      </c>
      <c r="J2792">
        <v>-190.255</v>
      </c>
      <c r="K2792">
        <v>1.110476</v>
      </c>
      <c r="L2792">
        <v>180.9487</v>
      </c>
      <c r="M2792">
        <v>-5.3066699999999897E-2</v>
      </c>
      <c r="N2792">
        <v>0</v>
      </c>
      <c r="O2792">
        <v>-0.99850260000000002</v>
      </c>
      <c r="P2792">
        <v>-0.1839489</v>
      </c>
      <c r="Q2792">
        <v>4.8938509999999998E-2</v>
      </c>
      <c r="R2792">
        <v>-0.98171730000000001</v>
      </c>
      <c r="S2792">
        <v>-0.93560789999999905</v>
      </c>
      <c r="T2792">
        <v>-0.23842949999999999</v>
      </c>
      <c r="U2792">
        <v>-2.8933869999999899</v>
      </c>
      <c r="V2792">
        <v>0.13166079999999999</v>
      </c>
      <c r="W2792">
        <v>6.1960389999999997E-2</v>
      </c>
      <c r="X2792">
        <v>0.98935649999999997</v>
      </c>
      <c r="Y2792">
        <v>0.25579400000000002</v>
      </c>
      <c r="Z2792">
        <v>7.8598349999999997E-2</v>
      </c>
      <c r="AA2792">
        <v>0.96353089999999997</v>
      </c>
      <c r="AB2792">
        <v>23</v>
      </c>
      <c r="AC2792">
        <v>-4.34900000000001</v>
      </c>
      <c r="AD2792">
        <v>-1.110480785537</v>
      </c>
      <c r="AE2792">
        <v>-13.327500000000001</v>
      </c>
      <c r="AF2792">
        <v>3.6128930492840001</v>
      </c>
      <c r="AG2792">
        <v>-1.110480785537</v>
      </c>
      <c r="AH2792">
        <v>13.455101106957899</v>
      </c>
      <c r="AI2792">
        <v>94.557343803319597</v>
      </c>
      <c r="AJ2792">
        <v>74.969771116658293</v>
      </c>
      <c r="AK2792">
        <v>13.9759046061095</v>
      </c>
    </row>
    <row r="2793" spans="1:37" x14ac:dyDescent="0.2">
      <c r="A2793" t="str">
        <f>"20200111154121096"</f>
        <v>20200111154121096</v>
      </c>
      <c r="B2793" t="str">
        <f>"1578728481088751"</f>
        <v>1578728481088751</v>
      </c>
      <c r="C2793" t="s">
        <v>37</v>
      </c>
      <c r="D2793">
        <v>5.5456159999999999</v>
      </c>
      <c r="E2793">
        <v>0.54807220000000001</v>
      </c>
      <c r="F2793" t="s">
        <v>39</v>
      </c>
      <c r="G2793">
        <v>-194.6944</v>
      </c>
      <c r="H2793" s="1">
        <v>-4.6548680000000001E-6</v>
      </c>
      <c r="I2793">
        <v>167.23920000000001</v>
      </c>
      <c r="J2793">
        <v>-190.2654</v>
      </c>
      <c r="K2793">
        <v>1.11053</v>
      </c>
      <c r="L2793">
        <v>180.76769999999999</v>
      </c>
      <c r="M2793">
        <v>-5.3567070000000001E-2</v>
      </c>
      <c r="N2793">
        <v>0</v>
      </c>
      <c r="O2793">
        <v>-0.99847600000000003</v>
      </c>
      <c r="P2793">
        <v>-0.18795889999999901</v>
      </c>
      <c r="Q2793">
        <v>4.8726770000000003E-2</v>
      </c>
      <c r="R2793">
        <v>-0.98096779999999995</v>
      </c>
      <c r="S2793">
        <v>-0.93650820000000001</v>
      </c>
      <c r="T2793">
        <v>-0.23426179999999999</v>
      </c>
      <c r="U2793">
        <v>-2.89209</v>
      </c>
      <c r="V2793">
        <v>0.13519809999999999</v>
      </c>
      <c r="W2793">
        <v>6.1750029999999997E-2</v>
      </c>
      <c r="X2793">
        <v>0.98889249999999995</v>
      </c>
      <c r="Y2793">
        <v>0.25573979999999902</v>
      </c>
      <c r="Z2793">
        <v>7.7259620000000001E-2</v>
      </c>
      <c r="AA2793">
        <v>0.96365349999999905</v>
      </c>
      <c r="AB2793">
        <v>23</v>
      </c>
      <c r="AC2793">
        <v>-4.4290000000000003</v>
      </c>
      <c r="AD2793">
        <v>-1.110534654868</v>
      </c>
      <c r="AE2793">
        <v>-13.5284999999999</v>
      </c>
      <c r="AF2793">
        <v>3.67552397467378</v>
      </c>
      <c r="AG2793">
        <v>-1.110534654868</v>
      </c>
      <c r="AH2793">
        <v>13.663185540009099</v>
      </c>
      <c r="AI2793">
        <v>94.487885919678305</v>
      </c>
      <c r="AJ2793">
        <v>74.943344144530997</v>
      </c>
      <c r="AK2793">
        <v>14.192441749353</v>
      </c>
    </row>
    <row r="2794" spans="1:37" x14ac:dyDescent="0.2">
      <c r="A2794" t="str">
        <f>"20200111154121119"</f>
        <v>20200111154121119</v>
      </c>
      <c r="B2794" t="str">
        <f>"1578728481109245"</f>
        <v>1578728481109245</v>
      </c>
      <c r="C2794" t="s">
        <v>37</v>
      </c>
      <c r="D2794">
        <v>5.4990600000000001</v>
      </c>
      <c r="E2794">
        <v>0.53841019999999995</v>
      </c>
      <c r="F2794" t="s">
        <v>39</v>
      </c>
      <c r="G2794">
        <v>-194.77869999999999</v>
      </c>
      <c r="H2794" s="1">
        <v>-4.5603729999999999E-6</v>
      </c>
      <c r="I2794">
        <v>166.95419999999999</v>
      </c>
      <c r="J2794">
        <v>-190.27879999999999</v>
      </c>
      <c r="K2794">
        <v>1.1106100000000001</v>
      </c>
      <c r="L2794">
        <v>180.5308</v>
      </c>
      <c r="M2794">
        <v>-5.4097079999999999E-2</v>
      </c>
      <c r="N2794">
        <v>0</v>
      </c>
      <c r="O2794">
        <v>-0.99844759999999999</v>
      </c>
      <c r="P2794">
        <v>-0.19230139999999901</v>
      </c>
      <c r="Q2794">
        <v>4.8165119999999999E-2</v>
      </c>
      <c r="R2794">
        <v>-0.98015359999999996</v>
      </c>
      <c r="S2794">
        <v>-0.94389339999999999</v>
      </c>
      <c r="T2794">
        <v>-0.2322505</v>
      </c>
      <c r="U2794">
        <v>-2.8888699999999998</v>
      </c>
      <c r="V2794">
        <v>0.139038299999999</v>
      </c>
      <c r="W2794">
        <v>6.119604E-2</v>
      </c>
      <c r="X2794">
        <v>0.98839439999999901</v>
      </c>
      <c r="Y2794">
        <v>0.2577837</v>
      </c>
      <c r="Z2794">
        <v>7.6627130000000002E-2</v>
      </c>
      <c r="AA2794">
        <v>0.96315930000000005</v>
      </c>
      <c r="AB2794">
        <v>23</v>
      </c>
      <c r="AC2794">
        <v>-4.4998999999999896</v>
      </c>
      <c r="AD2794">
        <v>-1.110614560373</v>
      </c>
      <c r="AE2794">
        <v>-13.576599999999999</v>
      </c>
      <c r="AF2794">
        <v>3.7362629026170699</v>
      </c>
      <c r="AG2794">
        <v>-1.110614560373</v>
      </c>
      <c r="AH2794">
        <v>13.7174600791747</v>
      </c>
      <c r="AI2794">
        <v>94.466746170367401</v>
      </c>
      <c r="AJ2794">
        <v>74.763787146236794</v>
      </c>
      <c r="AK2794">
        <v>14.2604991568647</v>
      </c>
    </row>
    <row r="2795" spans="1:37" x14ac:dyDescent="0.2">
      <c r="A2795" t="str">
        <f>"20200111154121139"</f>
        <v>20200111154121139</v>
      </c>
      <c r="B2795" t="str">
        <f>"1578728481128766"</f>
        <v>1578728481128766</v>
      </c>
      <c r="C2795" t="s">
        <v>37</v>
      </c>
      <c r="D2795">
        <v>5.4645900000000003</v>
      </c>
      <c r="E2795">
        <v>0.53756479999999995</v>
      </c>
      <c r="F2795" t="s">
        <v>39</v>
      </c>
      <c r="G2795">
        <v>-194.62450000000001</v>
      </c>
      <c r="H2795" s="1">
        <v>-4.2542979999999996E-6</v>
      </c>
      <c r="I2795">
        <v>166.22839999999999</v>
      </c>
      <c r="J2795">
        <v>-190.29079999999999</v>
      </c>
      <c r="K2795">
        <v>1.1106879999999999</v>
      </c>
      <c r="L2795">
        <v>180.31890000000001</v>
      </c>
      <c r="M2795">
        <v>-5.4443369999999998E-2</v>
      </c>
      <c r="N2795">
        <v>0</v>
      </c>
      <c r="O2795">
        <v>-0.99842889999999995</v>
      </c>
      <c r="P2795">
        <v>-0.1964071</v>
      </c>
      <c r="Q2795">
        <v>4.7914529999999997E-2</v>
      </c>
      <c r="R2795">
        <v>-0.97935149999999904</v>
      </c>
      <c r="S2795">
        <v>-0.88082890000000003</v>
      </c>
      <c r="T2795">
        <v>-0.22511399999999901</v>
      </c>
      <c r="U2795">
        <v>-2.8990019999999999</v>
      </c>
      <c r="V2795">
        <v>0.14282549999999999</v>
      </c>
      <c r="W2795">
        <v>6.0954250000000001E-2</v>
      </c>
      <c r="X2795">
        <v>0.98786909999999895</v>
      </c>
      <c r="Y2795">
        <v>0.2373817</v>
      </c>
      <c r="Z2795">
        <v>7.447107E-2</v>
      </c>
      <c r="AA2795">
        <v>0.96855769999999997</v>
      </c>
      <c r="AB2795">
        <v>23</v>
      </c>
      <c r="AC2795">
        <v>-4.3337000000000199</v>
      </c>
      <c r="AD2795">
        <v>-1.110692254298</v>
      </c>
      <c r="AE2795">
        <v>-14.0905</v>
      </c>
      <c r="AF2795">
        <v>3.5399749898991502</v>
      </c>
      <c r="AG2795">
        <v>-1.110692254298</v>
      </c>
      <c r="AH2795">
        <v>14.2248127870585</v>
      </c>
      <c r="AI2795">
        <v>94.333039380859404</v>
      </c>
      <c r="AJ2795">
        <v>76.025293217061304</v>
      </c>
      <c r="AK2795">
        <v>14.700692468034701</v>
      </c>
    </row>
    <row r="2796" spans="1:37" x14ac:dyDescent="0.2">
      <c r="A2796" t="str">
        <f>"20200111154121154"</f>
        <v>20200111154121154</v>
      </c>
      <c r="B2796" t="str">
        <f>"1578728481149262"</f>
        <v>1578728481149262</v>
      </c>
      <c r="C2796" t="s">
        <v>37</v>
      </c>
      <c r="D2796">
        <v>5.4774779999999996</v>
      </c>
      <c r="E2796">
        <v>0.53685830000000001</v>
      </c>
      <c r="F2796" t="s">
        <v>39</v>
      </c>
      <c r="G2796">
        <v>-194.58670000000001</v>
      </c>
      <c r="H2796" s="1">
        <v>-4.2675810000000001E-6</v>
      </c>
      <c r="I2796">
        <v>166.28049999999999</v>
      </c>
      <c r="J2796">
        <v>-190.2988</v>
      </c>
      <c r="K2796">
        <v>1.1107389999999999</v>
      </c>
      <c r="L2796">
        <v>180.17840000000001</v>
      </c>
      <c r="M2796">
        <v>-5.4604970000000003E-2</v>
      </c>
      <c r="N2796">
        <v>0</v>
      </c>
      <c r="O2796">
        <v>-0.99841990000000003</v>
      </c>
      <c r="P2796">
        <v>-0.1984242</v>
      </c>
      <c r="Q2796">
        <v>4.7935169999999999E-2</v>
      </c>
      <c r="R2796">
        <v>-0.97894360000000002</v>
      </c>
      <c r="S2796">
        <v>-0.88639829999999997</v>
      </c>
      <c r="T2796">
        <v>-0.229180299999999</v>
      </c>
      <c r="U2796">
        <v>-2.89669799999999</v>
      </c>
      <c r="V2796">
        <v>0.14469370000000001</v>
      </c>
      <c r="W2796">
        <v>6.0983780000000001E-2</v>
      </c>
      <c r="X2796">
        <v>0.98759540000000001</v>
      </c>
      <c r="Y2796">
        <v>0.23911209999999999</v>
      </c>
      <c r="Z2796">
        <v>7.582767E-2</v>
      </c>
      <c r="AA2796">
        <v>0.96802659999999996</v>
      </c>
      <c r="AB2796">
        <v>23</v>
      </c>
      <c r="AC2796">
        <v>-4.2878999999999996</v>
      </c>
      <c r="AD2796">
        <v>-1.1107432675809901</v>
      </c>
      <c r="AE2796">
        <v>-13.8979</v>
      </c>
      <c r="AF2796">
        <v>3.5021149030108298</v>
      </c>
      <c r="AG2796">
        <v>-1.1107432675809901</v>
      </c>
      <c r="AH2796">
        <v>14.029498243282401</v>
      </c>
      <c r="AI2796">
        <v>94.392542636598805</v>
      </c>
      <c r="AJ2796">
        <v>75.983974957863694</v>
      </c>
      <c r="AK2796">
        <v>14.502599089771101</v>
      </c>
    </row>
    <row r="2797" spans="1:37" x14ac:dyDescent="0.2">
      <c r="A2797" t="str">
        <f>"20200111154121167"</f>
        <v>20200111154121167</v>
      </c>
      <c r="B2797" t="str">
        <f>"1578728481159022"</f>
        <v>1578728481159022</v>
      </c>
      <c r="C2797" t="s">
        <v>37</v>
      </c>
      <c r="D2797">
        <v>5.5087830000000002</v>
      </c>
      <c r="E2797">
        <v>0.53685830000000001</v>
      </c>
      <c r="F2797" t="s">
        <v>39</v>
      </c>
      <c r="G2797">
        <v>-194.58439999999999</v>
      </c>
      <c r="H2797" s="1">
        <v>-4.2282609999999998E-6</v>
      </c>
      <c r="I2797">
        <v>166.17910000000001</v>
      </c>
      <c r="J2797">
        <v>-190.3074</v>
      </c>
      <c r="K2797">
        <v>1.1107899999999999</v>
      </c>
      <c r="L2797">
        <v>180.0266</v>
      </c>
      <c r="M2797">
        <v>-5.4737699999999903E-2</v>
      </c>
      <c r="N2797">
        <v>0</v>
      </c>
      <c r="O2797">
        <v>-0.998412999999999</v>
      </c>
      <c r="P2797">
        <v>-0.20061860000000001</v>
      </c>
      <c r="Q2797">
        <v>4.7917960000000002E-2</v>
      </c>
      <c r="R2797">
        <v>-0.97849710000000001</v>
      </c>
      <c r="S2797">
        <v>-0.88658139999999996</v>
      </c>
      <c r="T2797">
        <v>-0.22978319999999999</v>
      </c>
      <c r="U2797">
        <v>-2.8960720000000002</v>
      </c>
      <c r="V2797">
        <v>0.1467695</v>
      </c>
      <c r="W2797">
        <v>6.0975199999999903E-2</v>
      </c>
      <c r="X2797">
        <v>0.98728959999999999</v>
      </c>
      <c r="Y2797">
        <v>0.2390929</v>
      </c>
      <c r="Z2797">
        <v>7.6040220000000006E-2</v>
      </c>
      <c r="AA2797">
        <v>0.96801469999999901</v>
      </c>
      <c r="AB2797">
        <v>23</v>
      </c>
      <c r="AC2797">
        <v>-4.2769999999999797</v>
      </c>
      <c r="AD2797">
        <v>-1.1107942282609999</v>
      </c>
      <c r="AE2797">
        <v>-13.847499999999901</v>
      </c>
      <c r="AF2797">
        <v>3.4920268689030198</v>
      </c>
      <c r="AG2797">
        <v>-1.1107942282609999</v>
      </c>
      <c r="AH2797">
        <v>13.9787546294704</v>
      </c>
      <c r="AI2797">
        <v>94.408436094565204</v>
      </c>
      <c r="AJ2797">
        <v>75.974025296820301</v>
      </c>
      <c r="AK2797">
        <v>14.451079422023</v>
      </c>
    </row>
    <row r="2798" spans="1:37" x14ac:dyDescent="0.2">
      <c r="A2798" t="str">
        <f>"20200111154121184"</f>
        <v>20200111154121184</v>
      </c>
      <c r="B2798" t="str">
        <f>"1578728481178542"</f>
        <v>1578728481178542</v>
      </c>
      <c r="C2798" t="s">
        <v>37</v>
      </c>
      <c r="D2798">
        <v>5.5064169999999999</v>
      </c>
      <c r="E2798">
        <v>0.53557869999999996</v>
      </c>
      <c r="F2798" t="s">
        <v>39</v>
      </c>
      <c r="G2798">
        <v>-194.62110000000001</v>
      </c>
      <c r="H2798" s="1">
        <v>-4.1832110000000001E-6</v>
      </c>
      <c r="I2798">
        <v>166.04490000000001</v>
      </c>
      <c r="J2798">
        <v>-190.31639999999999</v>
      </c>
      <c r="K2798">
        <v>1.1108389999999999</v>
      </c>
      <c r="L2798">
        <v>179.8655</v>
      </c>
      <c r="M2798">
        <v>-5.4828630000000003E-2</v>
      </c>
      <c r="N2798">
        <v>0</v>
      </c>
      <c r="O2798">
        <v>-0.99840799999999996</v>
      </c>
      <c r="P2798">
        <v>-0.20411170000000001</v>
      </c>
      <c r="Q2798">
        <v>4.8707359999999998E-2</v>
      </c>
      <c r="R2798">
        <v>-0.97773549999999998</v>
      </c>
      <c r="S2798">
        <v>-0.89291379999999998</v>
      </c>
      <c r="T2798">
        <v>-0.22992649999999901</v>
      </c>
      <c r="U2798">
        <v>-2.8941189999999999</v>
      </c>
      <c r="V2798">
        <v>0.1502009</v>
      </c>
      <c r="W2798">
        <v>6.1770499999999999E-2</v>
      </c>
      <c r="X2798">
        <v>0.98672389999999999</v>
      </c>
      <c r="Y2798">
        <v>0.24112069999999999</v>
      </c>
      <c r="Z2798">
        <v>7.6092400000000004E-2</v>
      </c>
      <c r="AA2798">
        <v>0.96750749999999996</v>
      </c>
      <c r="AB2798">
        <v>23</v>
      </c>
      <c r="AC2798">
        <v>-4.30470000000002</v>
      </c>
      <c r="AD2798">
        <v>-1.110843183211</v>
      </c>
      <c r="AE2798">
        <v>-13.820599999999899</v>
      </c>
      <c r="AF2798">
        <v>3.5196654355855999</v>
      </c>
      <c r="AG2798">
        <v>-1.110843183211</v>
      </c>
      <c r="AH2798">
        <v>13.953675755653</v>
      </c>
      <c r="AI2798">
        <v>94.413998607213301</v>
      </c>
      <c r="AJ2798">
        <v>75.843064947586797</v>
      </c>
      <c r="AK2798">
        <v>14.4335402604503</v>
      </c>
    </row>
    <row r="2799" spans="1:37" x14ac:dyDescent="0.2">
      <c r="A2799" t="str">
        <f>"20200111154121207"</f>
        <v>20200111154121207</v>
      </c>
      <c r="B2799" t="str">
        <f>"1578728481199040"</f>
        <v>1578728481199040</v>
      </c>
      <c r="C2799" t="s">
        <v>37</v>
      </c>
      <c r="D2799">
        <v>5.4710080000000003</v>
      </c>
      <c r="E2799">
        <v>0.53514450000000002</v>
      </c>
      <c r="F2799" t="s">
        <v>39</v>
      </c>
      <c r="G2799">
        <v>-194.41159999999999</v>
      </c>
      <c r="H2799" s="1">
        <v>-4.3572999999999998E-6</v>
      </c>
      <c r="I2799">
        <v>166.595</v>
      </c>
      <c r="J2799">
        <v>-190.33009999999999</v>
      </c>
      <c r="K2799">
        <v>1.1109069999999901</v>
      </c>
      <c r="L2799">
        <v>179.62</v>
      </c>
      <c r="M2799">
        <v>-5.4870090000000003E-2</v>
      </c>
      <c r="N2799">
        <v>0</v>
      </c>
      <c r="O2799">
        <v>-0.9984056</v>
      </c>
      <c r="P2799">
        <v>-0.20725740000000001</v>
      </c>
      <c r="Q2799">
        <v>4.9700769999999998E-2</v>
      </c>
      <c r="R2799">
        <v>-0.97702319999999998</v>
      </c>
      <c r="S2799">
        <v>-0.89305109999999999</v>
      </c>
      <c r="T2799">
        <v>-0.24224580000000001</v>
      </c>
      <c r="U2799">
        <v>-2.8939509999999999</v>
      </c>
      <c r="V2799">
        <v>0.15332999999999999</v>
      </c>
      <c r="W2799">
        <v>6.2772770000000006E-2</v>
      </c>
      <c r="X2799">
        <v>0.98617919999999903</v>
      </c>
      <c r="Y2799">
        <v>0.24104449999999999</v>
      </c>
      <c r="Z2799">
        <v>8.0147449999999995E-2</v>
      </c>
      <c r="AA2799">
        <v>0.96719900000000003</v>
      </c>
      <c r="AB2799">
        <v>23</v>
      </c>
      <c r="AC2799">
        <v>-4.0815000000000001</v>
      </c>
      <c r="AD2799">
        <v>-1.11091135729999</v>
      </c>
      <c r="AE2799">
        <v>-13.025</v>
      </c>
      <c r="AF2799">
        <v>3.3384901284967401</v>
      </c>
      <c r="AG2799">
        <v>-1.11091135729999</v>
      </c>
      <c r="AH2799">
        <v>13.1422910004265</v>
      </c>
      <c r="AI2799">
        <v>94.6836372877016</v>
      </c>
      <c r="AJ2799">
        <v>75.746832534449098</v>
      </c>
      <c r="AK2799">
        <v>13.6051259869852</v>
      </c>
    </row>
    <row r="2800" spans="1:37" x14ac:dyDescent="0.2">
      <c r="A2800" t="str">
        <f>"20200111154121230"</f>
        <v>20200111154121230</v>
      </c>
      <c r="B2800" t="str">
        <f>"1578728481218557"</f>
        <v>1578728481218557</v>
      </c>
      <c r="C2800" t="s">
        <v>37</v>
      </c>
      <c r="D2800">
        <v>5.474062</v>
      </c>
      <c r="E2800">
        <v>0.53502309999999997</v>
      </c>
      <c r="F2800" t="s">
        <v>39</v>
      </c>
      <c r="G2800">
        <v>-194.51830000000001</v>
      </c>
      <c r="H2800" s="1">
        <v>-4.2023859999999998E-6</v>
      </c>
      <c r="I2800">
        <v>166.14230000000001</v>
      </c>
      <c r="J2800">
        <v>-190.3424</v>
      </c>
      <c r="K2800">
        <v>1.110949</v>
      </c>
      <c r="L2800">
        <v>179.39779999999999</v>
      </c>
      <c r="M2800">
        <v>-5.4850469999999998E-2</v>
      </c>
      <c r="N2800">
        <v>0</v>
      </c>
      <c r="O2800">
        <v>-0.99840709999999999</v>
      </c>
      <c r="P2800">
        <v>-0.20987839999999999</v>
      </c>
      <c r="Q2800">
        <v>5.031973E-2</v>
      </c>
      <c r="R2800">
        <v>-0.97643210000000003</v>
      </c>
      <c r="S2800">
        <v>-0.89869690000000002</v>
      </c>
      <c r="T2800">
        <v>-0.2383776</v>
      </c>
      <c r="U2800">
        <v>-2.892029</v>
      </c>
      <c r="V2800">
        <v>0.15599260000000001</v>
      </c>
      <c r="W2800">
        <v>6.33938E-2</v>
      </c>
      <c r="X2800">
        <v>0.98572179999999998</v>
      </c>
      <c r="Y2800">
        <v>0.24299709999999999</v>
      </c>
      <c r="Z2800">
        <v>7.8884159999999995E-2</v>
      </c>
      <c r="AA2800">
        <v>0.96681419999999996</v>
      </c>
      <c r="AB2800">
        <v>23</v>
      </c>
      <c r="AC2800">
        <v>-4.1759000000000102</v>
      </c>
      <c r="AD2800">
        <v>-1.110953202386</v>
      </c>
      <c r="AE2800">
        <v>-13.2554999999999</v>
      </c>
      <c r="AF2800">
        <v>3.4206205309678999</v>
      </c>
      <c r="AG2800">
        <v>-1.110953202386</v>
      </c>
      <c r="AH2800">
        <v>13.379118146476801</v>
      </c>
      <c r="AI2800">
        <v>94.599462734822495</v>
      </c>
      <c r="AJ2800">
        <v>75.658484342430199</v>
      </c>
      <c r="AK2800">
        <v>13.8540847482667</v>
      </c>
    </row>
    <row r="2801" spans="1:37" x14ac:dyDescent="0.2">
      <c r="A2801" t="str">
        <f>"20200111154121243"</f>
        <v>20200111154121243</v>
      </c>
      <c r="B2801" t="str">
        <f>"1578728481239054"</f>
        <v>1578728481239054</v>
      </c>
      <c r="C2801" t="s">
        <v>37</v>
      </c>
      <c r="D2801">
        <v>5.5044879999999896</v>
      </c>
      <c r="E2801">
        <v>0.53482229999999997</v>
      </c>
      <c r="F2801" t="s">
        <v>39</v>
      </c>
      <c r="G2801">
        <v>-194.57990000000001</v>
      </c>
      <c r="H2801" s="1">
        <v>-4.1070039999999999E-6</v>
      </c>
      <c r="I2801">
        <v>165.86539999999999</v>
      </c>
      <c r="J2801">
        <v>-190.35</v>
      </c>
      <c r="K2801">
        <v>1.1109639999999901</v>
      </c>
      <c r="L2801">
        <v>179.25880000000001</v>
      </c>
      <c r="M2801">
        <v>-5.4823490000000002E-2</v>
      </c>
      <c r="N2801">
        <v>0</v>
      </c>
      <c r="O2801">
        <v>-0.99840830000000003</v>
      </c>
      <c r="P2801">
        <v>-0.21112439999999999</v>
      </c>
      <c r="Q2801">
        <v>5.0586800000000001E-2</v>
      </c>
      <c r="R2801">
        <v>-0.97614909999999999</v>
      </c>
      <c r="S2801">
        <v>-0.90501399999999999</v>
      </c>
      <c r="T2801">
        <v>-0.23726900000000001</v>
      </c>
      <c r="U2801">
        <v>-2.89013699999999</v>
      </c>
      <c r="V2801">
        <v>0.157276</v>
      </c>
      <c r="W2801">
        <v>6.3661250000000003E-2</v>
      </c>
      <c r="X2801">
        <v>0.98550059999999995</v>
      </c>
      <c r="Y2801">
        <v>0.2451364</v>
      </c>
      <c r="Z2801">
        <v>7.8522259999999997E-2</v>
      </c>
      <c r="AA2801">
        <v>0.96630349999999998</v>
      </c>
      <c r="AB2801">
        <v>23</v>
      </c>
      <c r="AC2801">
        <v>-4.2299000000000104</v>
      </c>
      <c r="AD2801">
        <v>-1.1109681070039901</v>
      </c>
      <c r="AE2801">
        <v>-13.3934</v>
      </c>
      <c r="AF2801">
        <v>3.4675056847398298</v>
      </c>
      <c r="AG2801">
        <v>-1.1109681070039901</v>
      </c>
      <c r="AH2801">
        <v>13.5205804642411</v>
      </c>
      <c r="AI2801">
        <v>94.550740509045696</v>
      </c>
      <c r="AJ2801">
        <v>75.615861111248705</v>
      </c>
      <c r="AK2801">
        <v>14.0022834530123</v>
      </c>
    </row>
    <row r="2802" spans="1:37" x14ac:dyDescent="0.2">
      <c r="A2802" t="str">
        <f>"20200111154121261"</f>
        <v>20200111154121261</v>
      </c>
      <c r="B2802" t="str">
        <f>"1578728481248814"</f>
        <v>1578728481248814</v>
      </c>
      <c r="C2802" t="s">
        <v>37</v>
      </c>
      <c r="D2802">
        <v>5.4909270000000001</v>
      </c>
      <c r="E2802">
        <v>0.53473749999999998</v>
      </c>
      <c r="F2802" t="s">
        <v>39</v>
      </c>
      <c r="G2802">
        <v>-194.53540000000001</v>
      </c>
      <c r="H2802" s="1">
        <v>-4.120561E-6</v>
      </c>
      <c r="I2802">
        <v>165.9213</v>
      </c>
      <c r="J2802">
        <v>-190.3604</v>
      </c>
      <c r="K2802">
        <v>1.1109690000000001</v>
      </c>
      <c r="L2802">
        <v>179.0703</v>
      </c>
      <c r="M2802">
        <v>-5.4776119999999998E-2</v>
      </c>
      <c r="N2802">
        <v>0</v>
      </c>
      <c r="O2802">
        <v>-0.99841119999999905</v>
      </c>
      <c r="P2802">
        <v>-0.21289050000000001</v>
      </c>
      <c r="Q2802">
        <v>5.0672590000000003E-2</v>
      </c>
      <c r="R2802">
        <v>-0.97576149999999995</v>
      </c>
      <c r="S2802">
        <v>-0.90678409999999998</v>
      </c>
      <c r="T2802">
        <v>-0.24069789999999999</v>
      </c>
      <c r="U2802">
        <v>-2.88964799999999</v>
      </c>
      <c r="V2802">
        <v>0.15910579999999999</v>
      </c>
      <c r="W2802">
        <v>6.374262E-2</v>
      </c>
      <c r="X2802">
        <v>0.98520160000000001</v>
      </c>
      <c r="Y2802">
        <v>0.24574109999999999</v>
      </c>
      <c r="Z2802">
        <v>7.9649440000000002E-2</v>
      </c>
      <c r="AA2802">
        <v>0.96605759999999996</v>
      </c>
      <c r="AB2802">
        <v>23</v>
      </c>
      <c r="AC2802">
        <v>-4.1750000000000096</v>
      </c>
      <c r="AD2802">
        <v>-1.1109731205610001</v>
      </c>
      <c r="AE2802">
        <v>-13.148999999999999</v>
      </c>
      <c r="AF2802">
        <v>3.4261979620691898</v>
      </c>
      <c r="AG2802">
        <v>-1.1109731205610001</v>
      </c>
      <c r="AH2802">
        <v>13.271898033570301</v>
      </c>
      <c r="AI2802">
        <v>94.633777290502294</v>
      </c>
      <c r="AJ2802">
        <v>75.5248812871327</v>
      </c>
      <c r="AK2802">
        <v>13.7519588118705</v>
      </c>
    </row>
    <row r="2803" spans="1:37" x14ac:dyDescent="0.2">
      <c r="A2803" t="str">
        <f>"20200111154121275"</f>
        <v>20200111154121275</v>
      </c>
      <c r="B2803" t="str">
        <f>"1578728481269046"</f>
        <v>1578728481269046</v>
      </c>
      <c r="C2803" t="s">
        <v>37</v>
      </c>
      <c r="D2803">
        <v>5.4625260000000004</v>
      </c>
      <c r="E2803">
        <v>0.534335</v>
      </c>
      <c r="F2803" t="s">
        <v>39</v>
      </c>
      <c r="G2803">
        <v>-194.5324</v>
      </c>
      <c r="H2803" s="1">
        <v>-4.0891709999999996E-6</v>
      </c>
      <c r="I2803">
        <v>165.8409</v>
      </c>
      <c r="J2803">
        <v>-190.36789999999999</v>
      </c>
      <c r="K2803">
        <v>1.110962</v>
      </c>
      <c r="L2803">
        <v>178.9331</v>
      </c>
      <c r="M2803">
        <v>-5.4742060000000002E-2</v>
      </c>
      <c r="N2803">
        <v>0</v>
      </c>
      <c r="O2803">
        <v>-0.99841309999999905</v>
      </c>
      <c r="P2803">
        <v>-0.21393999999999999</v>
      </c>
      <c r="Q2803">
        <v>5.0796319999999999E-2</v>
      </c>
      <c r="R2803">
        <v>-0.97552530000000004</v>
      </c>
      <c r="S2803">
        <v>-0.910888699999999</v>
      </c>
      <c r="T2803">
        <v>-0.2425609</v>
      </c>
      <c r="U2803">
        <v>-2.888382</v>
      </c>
      <c r="V2803">
        <v>0.16020019999999999</v>
      </c>
      <c r="W2803">
        <v>6.3861089999999995E-2</v>
      </c>
      <c r="X2803">
        <v>0.98501659999999902</v>
      </c>
      <c r="Y2803">
        <v>0.24712919999999999</v>
      </c>
      <c r="Z2803">
        <v>8.0264399999999902E-2</v>
      </c>
      <c r="AA2803">
        <v>0.96565249999999903</v>
      </c>
      <c r="AB2803">
        <v>23</v>
      </c>
      <c r="AC2803">
        <v>-4.1645000000000003</v>
      </c>
      <c r="AD2803">
        <v>-1.110966089171</v>
      </c>
      <c r="AE2803">
        <v>-13.092199999999901</v>
      </c>
      <c r="AF2803">
        <v>3.4191397216053399</v>
      </c>
      <c r="AG2803">
        <v>-1.110966089171</v>
      </c>
      <c r="AH2803">
        <v>13.2141498591432</v>
      </c>
      <c r="AI2803">
        <v>94.6532428448606</v>
      </c>
      <c r="AJ2803">
        <v>75.492976586234704</v>
      </c>
      <c r="AK2803">
        <v>13.6944703653351</v>
      </c>
    </row>
    <row r="2804" spans="1:37" x14ac:dyDescent="0.2">
      <c r="A2804" t="str">
        <f>"20200111154121288"</f>
        <v>20200111154121288</v>
      </c>
      <c r="B2804" t="str">
        <f>"1578728481278805"</f>
        <v>1578728481278805</v>
      </c>
      <c r="C2804" t="s">
        <v>37</v>
      </c>
      <c r="D2804">
        <v>5.4360569999999999</v>
      </c>
      <c r="E2804">
        <v>0.53416640000000004</v>
      </c>
      <c r="F2804" t="s">
        <v>39</v>
      </c>
      <c r="G2804">
        <v>-194.52369999999999</v>
      </c>
      <c r="H2804" s="1">
        <v>-4.0550460000000001E-6</v>
      </c>
      <c r="I2804">
        <v>165.7561</v>
      </c>
      <c r="J2804">
        <v>-190.37540000000001</v>
      </c>
      <c r="K2804">
        <v>1.1109560000000001</v>
      </c>
      <c r="L2804">
        <v>178.7953</v>
      </c>
      <c r="M2804">
        <v>-5.4710460000000002E-2</v>
      </c>
      <c r="N2804">
        <v>0</v>
      </c>
      <c r="O2804">
        <v>-0.99841499999999905</v>
      </c>
      <c r="P2804">
        <v>-0.21455489999999999</v>
      </c>
      <c r="Q2804">
        <v>5.0336659999999998E-2</v>
      </c>
      <c r="R2804">
        <v>-0.97541449999999996</v>
      </c>
      <c r="S2804">
        <v>-0.91087340000000006</v>
      </c>
      <c r="T2804">
        <v>-0.243505</v>
      </c>
      <c r="U2804">
        <v>-2.8881679999999998</v>
      </c>
      <c r="V2804">
        <v>0.1608521</v>
      </c>
      <c r="W2804">
        <v>6.3396179999999996E-2</v>
      </c>
      <c r="X2804">
        <v>0.98494040000000005</v>
      </c>
      <c r="Y2804">
        <v>0.2471682</v>
      </c>
      <c r="Z2804">
        <v>8.0580280000000004E-2</v>
      </c>
      <c r="AA2804">
        <v>0.96561620000000004</v>
      </c>
      <c r="AB2804">
        <v>23</v>
      </c>
      <c r="AC2804">
        <v>-4.1482999999999697</v>
      </c>
      <c r="AD2804">
        <v>-1.1109600550459999</v>
      </c>
      <c r="AE2804">
        <v>-13.0391999999999</v>
      </c>
      <c r="AF2804">
        <v>3.4061891307574998</v>
      </c>
      <c r="AG2804">
        <v>-1.1109600550459999</v>
      </c>
      <c r="AH2804">
        <v>13.159891199897601</v>
      </c>
      <c r="AI2804">
        <v>94.672224940834596</v>
      </c>
      <c r="AJ2804">
        <v>75.488533907393105</v>
      </c>
      <c r="AK2804">
        <v>13.638881663521399</v>
      </c>
    </row>
    <row r="2805" spans="1:37" x14ac:dyDescent="0.2">
      <c r="A2805" t="str">
        <f>"20200111154121308"</f>
        <v>20200111154121308</v>
      </c>
      <c r="B2805" t="str">
        <f>"1578728481299301"</f>
        <v>1578728481299301</v>
      </c>
      <c r="C2805" t="s">
        <v>37</v>
      </c>
      <c r="D2805">
        <v>5.4714529999999897</v>
      </c>
      <c r="E2805">
        <v>0.53390740000000003</v>
      </c>
      <c r="F2805" t="s">
        <v>39</v>
      </c>
      <c r="G2805">
        <v>-194.50659999999999</v>
      </c>
      <c r="H2805" s="1">
        <v>-4.0318680000000003E-6</v>
      </c>
      <c r="I2805">
        <v>165.70359999999999</v>
      </c>
      <c r="J2805">
        <v>-190.38659999999999</v>
      </c>
      <c r="K2805">
        <v>1.1109309999999999</v>
      </c>
      <c r="L2805">
        <v>178.59139999999999</v>
      </c>
      <c r="M2805">
        <v>-5.4672949999999998E-2</v>
      </c>
      <c r="N2805">
        <v>0</v>
      </c>
      <c r="O2805">
        <v>-0.99841689999999905</v>
      </c>
      <c r="P2805">
        <v>-0.216167999999999</v>
      </c>
      <c r="Q2805">
        <v>4.9535830000000003E-2</v>
      </c>
      <c r="R2805">
        <v>-0.97509869999999899</v>
      </c>
      <c r="S2805">
        <v>-0.91127009999999897</v>
      </c>
      <c r="T2805">
        <v>-0.24506129999999901</v>
      </c>
      <c r="U2805">
        <v>-2.8878330000000001</v>
      </c>
      <c r="V2805">
        <v>0.162519</v>
      </c>
      <c r="W2805">
        <v>6.2583829999999993E-2</v>
      </c>
      <c r="X2805">
        <v>0.98471869999999995</v>
      </c>
      <c r="Y2805">
        <v>0.2473447</v>
      </c>
      <c r="Z2805">
        <v>8.1097470000000005E-2</v>
      </c>
      <c r="AA2805">
        <v>0.96552769999999999</v>
      </c>
      <c r="AB2805">
        <v>23</v>
      </c>
      <c r="AC2805">
        <v>-4.12</v>
      </c>
      <c r="AD2805">
        <v>-1.11093503186799</v>
      </c>
      <c r="AE2805">
        <v>-12.8878</v>
      </c>
      <c r="AF2805">
        <v>3.3863319787566701</v>
      </c>
      <c r="AG2805">
        <v>-1.11093503186799</v>
      </c>
      <c r="AH2805">
        <v>13.006111241635001</v>
      </c>
      <c r="AI2805">
        <v>94.725358089545196</v>
      </c>
      <c r="AJ2805">
        <v>75.406214007560607</v>
      </c>
      <c r="AK2805">
        <v>13.4855608168576</v>
      </c>
    </row>
    <row r="2806" spans="1:37" x14ac:dyDescent="0.2">
      <c r="A2806" t="str">
        <f>"20200111154121328"</f>
        <v>20200111154121328</v>
      </c>
      <c r="B2806" t="str">
        <f>"1578728481318821"</f>
        <v>1578728481318821</v>
      </c>
      <c r="C2806" t="s">
        <v>37</v>
      </c>
      <c r="D2806">
        <v>5.4579829999999996</v>
      </c>
      <c r="E2806">
        <v>0.53361359999999902</v>
      </c>
      <c r="F2806" t="s">
        <v>39</v>
      </c>
      <c r="G2806">
        <v>-194.47139999999999</v>
      </c>
      <c r="H2806" s="1">
        <v>-4.0191670000000001E-6</v>
      </c>
      <c r="I2806">
        <v>165.68680000000001</v>
      </c>
      <c r="J2806">
        <v>-190.3982</v>
      </c>
      <c r="K2806">
        <v>1.110903</v>
      </c>
      <c r="L2806">
        <v>178.3794</v>
      </c>
      <c r="M2806">
        <v>-5.4649219999999998E-2</v>
      </c>
      <c r="N2806">
        <v>0</v>
      </c>
      <c r="O2806">
        <v>-0.99841809999999998</v>
      </c>
      <c r="P2806">
        <v>-0.21790570000000001</v>
      </c>
      <c r="Q2806">
        <v>4.8459559999999999E-2</v>
      </c>
      <c r="R2806">
        <v>-0.97476609999999997</v>
      </c>
      <c r="S2806">
        <v>-0.91375729999999999</v>
      </c>
      <c r="T2806">
        <v>-0.2485116</v>
      </c>
      <c r="U2806">
        <v>-2.8866879999999999</v>
      </c>
      <c r="V2806">
        <v>0.16429830000000001</v>
      </c>
      <c r="W2806">
        <v>6.1494449999999999E-2</v>
      </c>
      <c r="X2806">
        <v>0.98449200000000003</v>
      </c>
      <c r="Y2806">
        <v>0.2482056</v>
      </c>
      <c r="Z2806">
        <v>8.224281E-2</v>
      </c>
      <c r="AA2806">
        <v>0.96520989999999995</v>
      </c>
      <c r="AB2806">
        <v>23</v>
      </c>
      <c r="AC2806">
        <v>-4.0731999999999804</v>
      </c>
      <c r="AD2806">
        <v>-1.1109070191670001</v>
      </c>
      <c r="AE2806">
        <v>-12.692600000000001</v>
      </c>
      <c r="AF2806">
        <v>3.35014327062702</v>
      </c>
      <c r="AG2806">
        <v>-1.1109070191670001</v>
      </c>
      <c r="AH2806">
        <v>12.807296425028699</v>
      </c>
      <c r="AI2806">
        <v>94.796833213451805</v>
      </c>
      <c r="AJ2806">
        <v>75.340976617226801</v>
      </c>
      <c r="AK2806">
        <v>13.284743733227</v>
      </c>
    </row>
    <row r="2807" spans="1:37" x14ac:dyDescent="0.2">
      <c r="A2807" t="str">
        <f>"20200111154121341"</f>
        <v>20200111154121341</v>
      </c>
      <c r="B2807" t="str">
        <f>"1578728481328581"</f>
        <v>1578728481328581</v>
      </c>
      <c r="C2807" t="s">
        <v>37</v>
      </c>
      <c r="D2807">
        <v>5.4827149999999998</v>
      </c>
      <c r="E2807">
        <v>0.53349880000000005</v>
      </c>
      <c r="F2807" t="s">
        <v>39</v>
      </c>
      <c r="G2807">
        <v>-194.42439999999999</v>
      </c>
      <c r="H2807" s="1">
        <v>-4.017797E-6</v>
      </c>
      <c r="I2807">
        <v>165.70500000000001</v>
      </c>
      <c r="J2807">
        <v>-190.40520000000001</v>
      </c>
      <c r="K2807">
        <v>1.1108849999999999</v>
      </c>
      <c r="L2807">
        <v>178.25129999999999</v>
      </c>
      <c r="M2807">
        <v>-5.464165E-2</v>
      </c>
      <c r="N2807">
        <v>0</v>
      </c>
      <c r="O2807">
        <v>-0.99841859999999905</v>
      </c>
      <c r="P2807">
        <v>-0.21898969999999901</v>
      </c>
      <c r="Q2807">
        <v>4.7768869999999998E-2</v>
      </c>
      <c r="R2807">
        <v>-0.97455700000000001</v>
      </c>
      <c r="S2807">
        <v>-0.91656489999999902</v>
      </c>
      <c r="T2807">
        <v>-0.2528956</v>
      </c>
      <c r="U2807">
        <v>-2.8853149999999999</v>
      </c>
      <c r="V2807">
        <v>0.1654012</v>
      </c>
      <c r="W2807">
        <v>6.0795290000000002E-2</v>
      </c>
      <c r="X2807">
        <v>0.98435069999999902</v>
      </c>
      <c r="Y2807">
        <v>0.24916170000000001</v>
      </c>
      <c r="Z2807">
        <v>8.3698640000000005E-2</v>
      </c>
      <c r="AA2807">
        <v>0.96483829999999904</v>
      </c>
      <c r="AB2807">
        <v>23</v>
      </c>
      <c r="AC2807">
        <v>-4.0191999999999801</v>
      </c>
      <c r="AD2807">
        <v>-1.1108890177969999</v>
      </c>
      <c r="AE2807">
        <v>-12.546299999999899</v>
      </c>
      <c r="AF2807">
        <v>3.30409120141239</v>
      </c>
      <c r="AG2807">
        <v>-1.1108890177969999</v>
      </c>
      <c r="AH2807">
        <v>12.657192464607</v>
      </c>
      <c r="AI2807">
        <v>94.854004964449501</v>
      </c>
      <c r="AJ2807">
        <v>75.369738958480895</v>
      </c>
      <c r="AK2807">
        <v>13.128427711010101</v>
      </c>
    </row>
    <row r="2808" spans="1:37" x14ac:dyDescent="0.2">
      <c r="A2808" t="str">
        <f>"20200111154121362"</f>
        <v>20200111154121362</v>
      </c>
      <c r="B2808" t="str">
        <f>"1578728481358519"</f>
        <v>1578728481358519</v>
      </c>
      <c r="C2808" t="s">
        <v>37</v>
      </c>
      <c r="D2808">
        <v>5.4555949999999998</v>
      </c>
      <c r="E2808">
        <v>0.53316379999999997</v>
      </c>
      <c r="F2808" t="s">
        <v>39</v>
      </c>
      <c r="G2808">
        <v>-194.41200000000001</v>
      </c>
      <c r="H2808" s="1">
        <v>-4.0043860000000002E-6</v>
      </c>
      <c r="I2808">
        <v>165.67580000000001</v>
      </c>
      <c r="J2808">
        <v>-190.41650000000001</v>
      </c>
      <c r="K2808">
        <v>1.1108629999999999</v>
      </c>
      <c r="L2808">
        <v>178.04329999999999</v>
      </c>
      <c r="M2808">
        <v>-5.4642419999999997E-2</v>
      </c>
      <c r="N2808">
        <v>0</v>
      </c>
      <c r="O2808">
        <v>-0.99841869999999999</v>
      </c>
      <c r="P2808">
        <v>-0.22054079999999901</v>
      </c>
      <c r="Q2808">
        <v>4.681718E-2</v>
      </c>
      <c r="R2808">
        <v>-0.9742537</v>
      </c>
      <c r="S2808">
        <v>-0.91900630000000005</v>
      </c>
      <c r="T2808">
        <v>-0.2547913</v>
      </c>
      <c r="U2808">
        <v>-2.884293</v>
      </c>
      <c r="V2808">
        <v>0.16696810000000001</v>
      </c>
      <c r="W2808">
        <v>5.9830969999999997E-2</v>
      </c>
      <c r="X2808">
        <v>0.9841453</v>
      </c>
      <c r="Y2808">
        <v>0.24998490000000001</v>
      </c>
      <c r="Z2808">
        <v>8.4330130000000003E-2</v>
      </c>
      <c r="AA2808">
        <v>0.96457029999999999</v>
      </c>
      <c r="AB2808">
        <v>23</v>
      </c>
      <c r="AC2808">
        <v>-3.9954999999999901</v>
      </c>
      <c r="AD2808">
        <v>-1.1108670043859901</v>
      </c>
      <c r="AE2808">
        <v>-12.3674999999999</v>
      </c>
      <c r="AF2808">
        <v>3.28964831905486</v>
      </c>
      <c r="AG2808">
        <v>-1.1108670043859901</v>
      </c>
      <c r="AH2808">
        <v>12.4762183221514</v>
      </c>
      <c r="AI2808">
        <v>94.920813182083606</v>
      </c>
      <c r="AJ2808">
        <v>75.228811289769595</v>
      </c>
      <c r="AK2808">
        <v>12.950360426894701</v>
      </c>
    </row>
    <row r="2809" spans="1:37" x14ac:dyDescent="0.2">
      <c r="A2809" t="str">
        <f>"20200111154121376"</f>
        <v>20200111154121376</v>
      </c>
      <c r="B2809" t="str">
        <f>"1578728481369239"</f>
        <v>1578728481369239</v>
      </c>
      <c r="C2809" t="s">
        <v>37</v>
      </c>
      <c r="D2809">
        <v>5.4847080000000004</v>
      </c>
      <c r="E2809">
        <v>0.53307530000000003</v>
      </c>
      <c r="F2809" t="s">
        <v>39</v>
      </c>
      <c r="G2809">
        <v>-194.3759</v>
      </c>
      <c r="H2809" s="1">
        <v>-3.9881330000000003E-6</v>
      </c>
      <c r="I2809">
        <v>165.65010000000001</v>
      </c>
      <c r="J2809">
        <v>-190.4239</v>
      </c>
      <c r="K2809">
        <v>1.1108469999999999</v>
      </c>
      <c r="L2809">
        <v>177.9085</v>
      </c>
      <c r="M2809">
        <v>-5.464977E-2</v>
      </c>
      <c r="N2809">
        <v>0</v>
      </c>
      <c r="O2809">
        <v>-0.99841829999999998</v>
      </c>
      <c r="P2809">
        <v>-0.22144829999999899</v>
      </c>
      <c r="Q2809">
        <v>4.6516179999999997E-2</v>
      </c>
      <c r="R2809">
        <v>-0.97406219999999999</v>
      </c>
      <c r="S2809">
        <v>-0.92111209999999899</v>
      </c>
      <c r="T2809">
        <v>-0.25843690000000002</v>
      </c>
      <c r="U2809">
        <v>-2.883194</v>
      </c>
      <c r="V2809">
        <v>0.1678789</v>
      </c>
      <c r="W2809">
        <v>5.9522539999999999E-2</v>
      </c>
      <c r="X2809">
        <v>0.98400900000000002</v>
      </c>
      <c r="Y2809">
        <v>0.25069209999999997</v>
      </c>
      <c r="Z2809">
        <v>8.5541290000000006E-2</v>
      </c>
      <c r="AA2809">
        <v>0.96428009999999997</v>
      </c>
      <c r="AB2809">
        <v>23</v>
      </c>
      <c r="AC2809">
        <v>-3.9519999999999902</v>
      </c>
      <c r="AD2809">
        <v>-1.110850988133</v>
      </c>
      <c r="AE2809">
        <v>-12.2583999999999</v>
      </c>
      <c r="AF2809">
        <v>3.2519256383654001</v>
      </c>
      <c r="AG2809">
        <v>-1.110850988133</v>
      </c>
      <c r="AH2809">
        <v>12.364098907295601</v>
      </c>
      <c r="AI2809">
        <v>94.9659454988075</v>
      </c>
      <c r="AJ2809">
        <v>75.2641717387868</v>
      </c>
      <c r="AK2809">
        <v>12.8327686827389</v>
      </c>
    </row>
    <row r="2810" spans="1:37" x14ac:dyDescent="0.2">
      <c r="A2810" t="str">
        <f>"20200111154121398"</f>
        <v>20200111154121398</v>
      </c>
      <c r="B2810" t="str">
        <f>"1578728481388758"</f>
        <v>1578728481388758</v>
      </c>
      <c r="C2810" t="s">
        <v>37</v>
      </c>
      <c r="D2810">
        <v>5.4602149999999998</v>
      </c>
      <c r="E2810">
        <v>0.53303100000000003</v>
      </c>
      <c r="F2810" t="s">
        <v>39</v>
      </c>
      <c r="G2810">
        <v>-194.38570000000001</v>
      </c>
      <c r="H2810" s="1">
        <v>-3.9480579999999996E-6</v>
      </c>
      <c r="I2810">
        <v>165.5412</v>
      </c>
      <c r="J2810">
        <v>-190.4366</v>
      </c>
      <c r="K2810">
        <v>1.11083</v>
      </c>
      <c r="L2810">
        <v>177.67619999999999</v>
      </c>
      <c r="M2810">
        <v>-5.4667710000000001E-2</v>
      </c>
      <c r="N2810">
        <v>0</v>
      </c>
      <c r="O2810">
        <v>-0.99841759999999902</v>
      </c>
      <c r="P2810">
        <v>-0.22317139999999999</v>
      </c>
      <c r="Q2810">
        <v>4.6506350000000002E-2</v>
      </c>
      <c r="R2810">
        <v>-0.97366960000000002</v>
      </c>
      <c r="S2810">
        <v>-0.92335509999999998</v>
      </c>
      <c r="T2810">
        <v>-0.25889770000000001</v>
      </c>
      <c r="U2810">
        <v>-2.882339</v>
      </c>
      <c r="V2810">
        <v>0.16960520000000001</v>
      </c>
      <c r="W2810">
        <v>5.9499690000000001E-2</v>
      </c>
      <c r="X2810">
        <v>0.98371430000000004</v>
      </c>
      <c r="Y2810">
        <v>0.25143409999999999</v>
      </c>
      <c r="Z2810">
        <v>8.5698319999999995E-2</v>
      </c>
      <c r="AA2810">
        <v>0.96407289999999901</v>
      </c>
      <c r="AB2810">
        <v>23</v>
      </c>
      <c r="AC2810">
        <v>-3.9491000000000098</v>
      </c>
      <c r="AD2810">
        <v>-1.1108339480580001</v>
      </c>
      <c r="AE2810">
        <v>-12.1349999999999</v>
      </c>
      <c r="AF2810">
        <v>3.2550792631524801</v>
      </c>
      <c r="AG2810">
        <v>-1.1108339480580001</v>
      </c>
      <c r="AH2810">
        <v>12.240013854666399</v>
      </c>
      <c r="AI2810">
        <v>95.012350848069303</v>
      </c>
      <c r="AJ2810">
        <v>75.107591885886393</v>
      </c>
      <c r="AK2810">
        <v>12.714064347484999</v>
      </c>
    </row>
    <row r="2811" spans="1:37" x14ac:dyDescent="0.2">
      <c r="A2811" t="str">
        <f>"20200111154121419"</f>
        <v>20200111154121419</v>
      </c>
      <c r="B2811" t="str">
        <f>"1578728481409255"</f>
        <v>1578728481409255</v>
      </c>
      <c r="C2811" t="s">
        <v>37</v>
      </c>
      <c r="D2811">
        <v>5.4786640000000002</v>
      </c>
      <c r="E2811">
        <v>0.53305939999999996</v>
      </c>
      <c r="F2811" t="s">
        <v>39</v>
      </c>
      <c r="G2811">
        <v>-194.39330000000001</v>
      </c>
      <c r="H2811" s="1">
        <v>-3.8940520000000001E-6</v>
      </c>
      <c r="I2811">
        <v>165.39709999999999</v>
      </c>
      <c r="J2811">
        <v>-190.44880000000001</v>
      </c>
      <c r="K2811">
        <v>1.1108199999999999</v>
      </c>
      <c r="L2811">
        <v>177.45480000000001</v>
      </c>
      <c r="M2811">
        <v>-5.4688889999999997E-2</v>
      </c>
      <c r="N2811">
        <v>0</v>
      </c>
      <c r="O2811">
        <v>-0.99841639999999998</v>
      </c>
      <c r="P2811">
        <v>-0.22479679999999999</v>
      </c>
      <c r="Q2811">
        <v>4.6620920000000003E-2</v>
      </c>
      <c r="R2811">
        <v>-0.97329030000000005</v>
      </c>
      <c r="S2811">
        <v>-0.92828369999999905</v>
      </c>
      <c r="T2811">
        <v>-0.26061479999999998</v>
      </c>
      <c r="U2811">
        <v>-2.8808289999999999</v>
      </c>
      <c r="V2811">
        <v>0.17122950000000001</v>
      </c>
      <c r="W2811">
        <v>5.9603929999999999E-2</v>
      </c>
      <c r="X2811">
        <v>0.98342659999999904</v>
      </c>
      <c r="Y2811">
        <v>0.25304009999999999</v>
      </c>
      <c r="Z2811">
        <v>8.6264670000000002E-2</v>
      </c>
      <c r="AA2811">
        <v>0.96360210000000002</v>
      </c>
      <c r="AB2811">
        <v>23</v>
      </c>
      <c r="AC2811">
        <v>-3.9445000000000001</v>
      </c>
      <c r="AD2811">
        <v>-1.1108238940520001</v>
      </c>
      <c r="AE2811">
        <v>-12.057700000000001</v>
      </c>
      <c r="AF2811">
        <v>3.2541676161846098</v>
      </c>
      <c r="AG2811">
        <v>-1.1108238940520001</v>
      </c>
      <c r="AH2811">
        <v>12.162147683352901</v>
      </c>
      <c r="AI2811">
        <v>95.042197477523302</v>
      </c>
      <c r="AJ2811">
        <v>75.020528707802896</v>
      </c>
      <c r="AK2811">
        <v>12.638883371148999</v>
      </c>
    </row>
    <row r="2812" spans="1:37" x14ac:dyDescent="0.2">
      <c r="A2812" t="str">
        <f>"20200111154121442"</f>
        <v>20200111154121442</v>
      </c>
      <c r="B2812" t="str">
        <f>"1578728481438536"</f>
        <v>1578728481438536</v>
      </c>
      <c r="C2812" t="s">
        <v>37</v>
      </c>
      <c r="D2812">
        <v>5.4810509999999999</v>
      </c>
      <c r="E2812">
        <v>0.53276730000000005</v>
      </c>
      <c r="F2812" t="s">
        <v>39</v>
      </c>
      <c r="G2812">
        <v>-194.40209999999999</v>
      </c>
      <c r="H2812" s="1">
        <v>-3.8408609999999999E-6</v>
      </c>
      <c r="I2812">
        <v>165.25450000000001</v>
      </c>
      <c r="J2812">
        <v>-190.46109999999999</v>
      </c>
      <c r="K2812">
        <v>1.1108149999999899</v>
      </c>
      <c r="L2812">
        <v>177.2296</v>
      </c>
      <c r="M2812">
        <v>-5.4710699999999897E-2</v>
      </c>
      <c r="N2812">
        <v>0</v>
      </c>
      <c r="O2812">
        <v>-0.99841539999999995</v>
      </c>
      <c r="P2812">
        <v>-0.226146299999999</v>
      </c>
      <c r="Q2812">
        <v>4.6784239999999998E-2</v>
      </c>
      <c r="R2812">
        <v>-0.97296970000000005</v>
      </c>
      <c r="S2812">
        <v>-0.933029199999999</v>
      </c>
      <c r="T2812">
        <v>-0.26216489999999998</v>
      </c>
      <c r="U2812">
        <v>-2.8793950000000001</v>
      </c>
      <c r="V2812">
        <v>0.17257400000000001</v>
      </c>
      <c r="W2812">
        <v>5.9758150000000003E-2</v>
      </c>
      <c r="X2812">
        <v>0.98318220000000001</v>
      </c>
      <c r="Y2812">
        <v>0.25458320000000001</v>
      </c>
      <c r="Z2812">
        <v>8.67753E-2</v>
      </c>
      <c r="AA2812">
        <v>0.96314979999999994</v>
      </c>
      <c r="AB2812">
        <v>23</v>
      </c>
      <c r="AC2812">
        <v>-3.9409999999999998</v>
      </c>
      <c r="AD2812">
        <v>-1.11081884086099</v>
      </c>
      <c r="AE2812">
        <v>-11.9750999999999</v>
      </c>
      <c r="AF2812">
        <v>3.2546056561251002</v>
      </c>
      <c r="AG2812">
        <v>-1.11081884086099</v>
      </c>
      <c r="AH2812">
        <v>12.0790169587978</v>
      </c>
      <c r="AI2812">
        <v>95.074321013757995</v>
      </c>
      <c r="AJ2812">
        <v>74.920178386379206</v>
      </c>
      <c r="AK2812">
        <v>12.559021743950399</v>
      </c>
    </row>
    <row r="2813" spans="1:37" x14ac:dyDescent="0.2">
      <c r="A2813" t="str">
        <f>"20200111154121463"</f>
        <v>20200111154121463</v>
      </c>
      <c r="B2813" t="str">
        <f>"1578728481459031"</f>
        <v>1578728481459031</v>
      </c>
      <c r="C2813" t="s">
        <v>37</v>
      </c>
      <c r="D2813">
        <v>5.3263449999999999</v>
      </c>
      <c r="E2813">
        <v>0.50749699999999998</v>
      </c>
      <c r="F2813" t="s">
        <v>39</v>
      </c>
      <c r="G2813">
        <v>-194.4008</v>
      </c>
      <c r="H2813" s="1">
        <v>-3.7737360000000001E-6</v>
      </c>
      <c r="I2813">
        <v>165.09780000000001</v>
      </c>
      <c r="J2813">
        <v>-190.47280000000001</v>
      </c>
      <c r="K2813">
        <v>1.1108039999999999</v>
      </c>
      <c r="L2813">
        <v>177.01669999999999</v>
      </c>
      <c r="M2813">
        <v>-5.4732120000000002E-2</v>
      </c>
      <c r="N2813">
        <v>0</v>
      </c>
      <c r="O2813">
        <v>-0.99841399999999902</v>
      </c>
      <c r="P2813">
        <v>-0.22729549999999901</v>
      </c>
      <c r="Q2813">
        <v>4.6933580000000003E-2</v>
      </c>
      <c r="R2813">
        <v>-0.97269430000000001</v>
      </c>
      <c r="S2813">
        <v>-0.93484500000000004</v>
      </c>
      <c r="T2813">
        <v>-0.26358509999999902</v>
      </c>
      <c r="U2813">
        <v>-2.8787539999999998</v>
      </c>
      <c r="V2813">
        <v>0.17371619999999999</v>
      </c>
      <c r="W2813">
        <v>5.989999E-2</v>
      </c>
      <c r="X2813">
        <v>0.98297239999999997</v>
      </c>
      <c r="Y2813">
        <v>0.25516220000000001</v>
      </c>
      <c r="Z2813">
        <v>8.7244849999999999E-2</v>
      </c>
      <c r="AA2813">
        <v>0.96295409999999904</v>
      </c>
      <c r="AB2813">
        <v>23</v>
      </c>
      <c r="AC2813">
        <v>-3.9279999999999902</v>
      </c>
      <c r="AD2813">
        <v>-1.110807773736</v>
      </c>
      <c r="AE2813">
        <v>-11.918899999999899</v>
      </c>
      <c r="AF2813">
        <v>3.2442895245214198</v>
      </c>
      <c r="AG2813">
        <v>-1.110807773736</v>
      </c>
      <c r="AH2813">
        <v>12.021849304259201</v>
      </c>
      <c r="AI2813">
        <v>95.097734156443195</v>
      </c>
      <c r="AJ2813">
        <v>74.897576018403697</v>
      </c>
      <c r="AK2813">
        <v>12.501366690223501</v>
      </c>
    </row>
    <row r="2814" spans="1:37" x14ac:dyDescent="0.2">
      <c r="A2814" t="str">
        <f>"20200111154121477"</f>
        <v>20200111154121477</v>
      </c>
      <c r="B2814" t="str">
        <f>"1578728481468791"</f>
        <v>1578728481468791</v>
      </c>
      <c r="C2814" t="s">
        <v>37</v>
      </c>
      <c r="D2814">
        <v>5.4524299999999997</v>
      </c>
      <c r="E2814">
        <v>0.50750419999999996</v>
      </c>
      <c r="F2814" t="s">
        <v>39</v>
      </c>
      <c r="G2814">
        <v>-193.43690000000001</v>
      </c>
      <c r="H2814" s="1">
        <v>-3.6274000000000002E-6</v>
      </c>
      <c r="I2814">
        <v>165.33070000000001</v>
      </c>
      <c r="J2814">
        <v>-190.4812</v>
      </c>
      <c r="K2814">
        <v>1.1108020000000001</v>
      </c>
      <c r="L2814">
        <v>176.86359999999999</v>
      </c>
      <c r="M2814">
        <v>-5.4748810000000002E-2</v>
      </c>
      <c r="N2814">
        <v>0</v>
      </c>
      <c r="O2814">
        <v>-0.99841329999999995</v>
      </c>
      <c r="P2814">
        <v>-0.22782629999999901</v>
      </c>
      <c r="Q2814">
        <v>4.6825329999999998E-2</v>
      </c>
      <c r="R2814">
        <v>-0.97257559999999998</v>
      </c>
      <c r="S2814">
        <v>-0.74174499999999999</v>
      </c>
      <c r="T2814">
        <v>-0.27796959999999998</v>
      </c>
      <c r="U2814">
        <v>-2.9243160000000001</v>
      </c>
      <c r="V2814">
        <v>0.1742368</v>
      </c>
      <c r="W2814">
        <v>5.9788130000000002E-2</v>
      </c>
      <c r="X2814">
        <v>0.98288699999999996</v>
      </c>
      <c r="Y2814">
        <v>0.19137560000000001</v>
      </c>
      <c r="Z2814">
        <v>9.2097449999999997E-2</v>
      </c>
      <c r="AA2814">
        <v>0.97718649999999996</v>
      </c>
      <c r="AB2814">
        <v>23</v>
      </c>
      <c r="AC2814">
        <v>-2.9557000000000002</v>
      </c>
      <c r="AD2814">
        <v>-1.1108056274</v>
      </c>
      <c r="AE2814">
        <v>-11.5328999999999</v>
      </c>
      <c r="AF2814">
        <v>2.2997791247292101</v>
      </c>
      <c r="AG2814">
        <v>-1.1108056274</v>
      </c>
      <c r="AH2814">
        <v>11.576659096697201</v>
      </c>
      <c r="AI2814">
        <v>95.376446360399598</v>
      </c>
      <c r="AJ2814">
        <v>78.764100239587805</v>
      </c>
      <c r="AK2814">
        <v>11.8550372840217</v>
      </c>
    </row>
    <row r="2815" spans="1:37" x14ac:dyDescent="0.2">
      <c r="A2815" t="str">
        <f>"20200111154121498"</f>
        <v>20200111154121498</v>
      </c>
      <c r="B2815" t="str">
        <f>"1578728481489287"</f>
        <v>1578728481489287</v>
      </c>
      <c r="C2815" t="s">
        <v>37</v>
      </c>
      <c r="D2815">
        <v>5.4458989999999998</v>
      </c>
      <c r="E2815">
        <v>0.50730429999999904</v>
      </c>
      <c r="F2815" t="s">
        <v>39</v>
      </c>
      <c r="G2815">
        <v>-193.5581</v>
      </c>
      <c r="H2815" s="1">
        <v>-3.389695E-6</v>
      </c>
      <c r="I2815">
        <v>164.75970000000001</v>
      </c>
      <c r="J2815">
        <v>-190.4922</v>
      </c>
      <c r="K2815">
        <v>1.1107929999999999</v>
      </c>
      <c r="L2815">
        <v>176.6627</v>
      </c>
      <c r="M2815">
        <v>-5.4772029999999999E-2</v>
      </c>
      <c r="N2815">
        <v>0</v>
      </c>
      <c r="O2815">
        <v>-0.99841159999999995</v>
      </c>
      <c r="P2815">
        <v>-0.22925889999999999</v>
      </c>
      <c r="Q2815">
        <v>4.6536069999999999E-2</v>
      </c>
      <c r="R2815">
        <v>-0.97225249999999996</v>
      </c>
      <c r="S2815">
        <v>-0.74314880000000005</v>
      </c>
      <c r="T2815">
        <v>-0.26829120000000001</v>
      </c>
      <c r="U2815">
        <v>-2.9234309999999999</v>
      </c>
      <c r="V2815">
        <v>0.1756625</v>
      </c>
      <c r="W2815">
        <v>5.9492080000000003E-2</v>
      </c>
      <c r="X2815">
        <v>0.98265119999999895</v>
      </c>
      <c r="Y2815">
        <v>0.19193479999999999</v>
      </c>
      <c r="Z2815">
        <v>8.8932750000000005E-2</v>
      </c>
      <c r="AA2815">
        <v>0.97736999999999996</v>
      </c>
      <c r="AB2815">
        <v>23</v>
      </c>
      <c r="AC2815">
        <v>-3.0658999999999899</v>
      </c>
      <c r="AD2815">
        <v>-1.1107963896949999</v>
      </c>
      <c r="AE2815">
        <v>-11.902999999999899</v>
      </c>
      <c r="AF2815">
        <v>2.38977154419783</v>
      </c>
      <c r="AG2815">
        <v>-1.1107963896949999</v>
      </c>
      <c r="AH2815">
        <v>11.955430206314301</v>
      </c>
      <c r="AI2815">
        <v>95.205794511038604</v>
      </c>
      <c r="AJ2815">
        <v>78.696125018502102</v>
      </c>
      <c r="AK2815">
        <v>12.2424339112314</v>
      </c>
    </row>
    <row r="2816" spans="1:37" x14ac:dyDescent="0.2">
      <c r="A2816" t="str">
        <f>"20200111154121512"</f>
        <v>20200111154121512</v>
      </c>
      <c r="B2816" t="str">
        <f>"1578728481508807"</f>
        <v>1578728481508807</v>
      </c>
      <c r="C2816" t="s">
        <v>37</v>
      </c>
      <c r="D2816">
        <v>5.3883570000000001</v>
      </c>
      <c r="E2816">
        <v>0.50794209999999995</v>
      </c>
      <c r="F2816" t="s">
        <v>39</v>
      </c>
      <c r="G2816">
        <v>-193.7157</v>
      </c>
      <c r="H2816" s="1">
        <v>-3.0861329999999998E-6</v>
      </c>
      <c r="I2816">
        <v>164.02879999999999</v>
      </c>
      <c r="J2816">
        <v>-190.50030000000001</v>
      </c>
      <c r="K2816">
        <v>1.1107830000000001</v>
      </c>
      <c r="L2816">
        <v>176.51589999999999</v>
      </c>
      <c r="M2816">
        <v>-5.479651E-2</v>
      </c>
      <c r="N2816">
        <v>0</v>
      </c>
      <c r="O2816">
        <v>-0.99841059999999904</v>
      </c>
      <c r="P2816">
        <v>-0.23003699999999999</v>
      </c>
      <c r="Q2816">
        <v>4.6643919999999998E-2</v>
      </c>
      <c r="R2816">
        <v>-0.97206340000000002</v>
      </c>
      <c r="S2816">
        <v>-0.74555969999999905</v>
      </c>
      <c r="T2816">
        <v>-0.25691829999999999</v>
      </c>
      <c r="U2816">
        <v>-2.9221189999999999</v>
      </c>
      <c r="V2816">
        <v>0.17642659999999999</v>
      </c>
      <c r="W2816">
        <v>5.9593939999999998E-2</v>
      </c>
      <c r="X2816">
        <v>0.9825081</v>
      </c>
      <c r="Y2816">
        <v>0.1928531</v>
      </c>
      <c r="Z2816">
        <v>8.5211789999999996E-2</v>
      </c>
      <c r="AA2816">
        <v>0.97752059999999996</v>
      </c>
      <c r="AB2816">
        <v>23</v>
      </c>
      <c r="AC2816">
        <v>-3.2153999999999798</v>
      </c>
      <c r="AD2816">
        <v>-1.1107860861329999</v>
      </c>
      <c r="AE2816">
        <v>-12.4870999999999</v>
      </c>
      <c r="AF2816">
        <v>2.5076502470547002</v>
      </c>
      <c r="AG2816">
        <v>-1.1107860861329999</v>
      </c>
      <c r="AH2816">
        <v>12.5514007892612</v>
      </c>
      <c r="AI2816">
        <v>94.959923081920394</v>
      </c>
      <c r="AJ2816">
        <v>78.701611507099301</v>
      </c>
      <c r="AK2816">
        <v>12.8475607514955</v>
      </c>
    </row>
    <row r="2817" spans="1:37" x14ac:dyDescent="0.2">
      <c r="A2817" t="str">
        <f>"20200111154121530"</f>
        <v>20200111154121530</v>
      </c>
      <c r="B2817" t="str">
        <f>"1578728481518567"</f>
        <v>1578728481518567</v>
      </c>
      <c r="C2817" t="s">
        <v>37</v>
      </c>
      <c r="D2817">
        <v>5.4301459999999997</v>
      </c>
      <c r="E2817">
        <v>0.50827809999999995</v>
      </c>
      <c r="F2817" t="s">
        <v>39</v>
      </c>
      <c r="G2817">
        <v>-193.81399999999999</v>
      </c>
      <c r="H2817" s="1">
        <v>-2.938672E-6</v>
      </c>
      <c r="I2817">
        <v>163.66149999999999</v>
      </c>
      <c r="J2817">
        <v>-190.5103</v>
      </c>
      <c r="K2817">
        <v>1.110765</v>
      </c>
      <c r="L2817">
        <v>176.33439999999999</v>
      </c>
      <c r="M2817">
        <v>-5.4842769999999999E-2</v>
      </c>
      <c r="N2817">
        <v>0</v>
      </c>
      <c r="O2817">
        <v>-0.99840799999999996</v>
      </c>
      <c r="P2817">
        <v>-0.23204279999999999</v>
      </c>
      <c r="Q2817">
        <v>4.5575850000000001E-2</v>
      </c>
      <c r="R2817">
        <v>-0.97163750000000004</v>
      </c>
      <c r="S2817">
        <v>-0.75277709999999998</v>
      </c>
      <c r="T2817">
        <v>-0.25233919999999999</v>
      </c>
      <c r="U2817">
        <v>-2.920166</v>
      </c>
      <c r="V2817">
        <v>0.1784087</v>
      </c>
      <c r="W2817">
        <v>5.8515310000000001E-2</v>
      </c>
      <c r="X2817">
        <v>0.98221499999999995</v>
      </c>
      <c r="Y2817">
        <v>0.195262299999999</v>
      </c>
      <c r="Z2817">
        <v>8.3712220000000004E-2</v>
      </c>
      <c r="AA2817">
        <v>0.97717189999999998</v>
      </c>
      <c r="AB2817">
        <v>23</v>
      </c>
      <c r="AC2817">
        <v>-3.3037000000000201</v>
      </c>
      <c r="AD2817">
        <v>-1.110767938672</v>
      </c>
      <c r="AE2817">
        <v>-12.672899999999901</v>
      </c>
      <c r="AF2817">
        <v>2.58505417965047</v>
      </c>
      <c r="AG2817">
        <v>-1.110767938672</v>
      </c>
      <c r="AH2817">
        <v>12.7433545495891</v>
      </c>
      <c r="AI2817">
        <v>94.882614501086394</v>
      </c>
      <c r="AJ2817">
        <v>78.532862010984203</v>
      </c>
      <c r="AK2817">
        <v>13.050264200461299</v>
      </c>
    </row>
    <row r="2818" spans="1:37" x14ac:dyDescent="0.2">
      <c r="A2818" t="str">
        <f>"20200111154121552"</f>
        <v>20200111154121552</v>
      </c>
      <c r="B2818" t="str">
        <f>"1578728481548823"</f>
        <v>1578728481548823</v>
      </c>
      <c r="C2818" t="s">
        <v>37</v>
      </c>
      <c r="D2818">
        <v>5.4334850000000001</v>
      </c>
      <c r="E2818">
        <v>0.50896809999999904</v>
      </c>
      <c r="F2818" t="s">
        <v>39</v>
      </c>
      <c r="G2818">
        <v>-193.8723</v>
      </c>
      <c r="H2818" s="1">
        <v>-2.8557629999999999E-6</v>
      </c>
      <c r="I2818">
        <v>163.45330000000001</v>
      </c>
      <c r="J2818">
        <v>-190.52269999999999</v>
      </c>
      <c r="K2818">
        <v>1.110725</v>
      </c>
      <c r="L2818">
        <v>176.1104</v>
      </c>
      <c r="M2818">
        <v>-5.4937729999999997E-2</v>
      </c>
      <c r="N2818">
        <v>0</v>
      </c>
      <c r="O2818">
        <v>-0.99840300000000004</v>
      </c>
      <c r="P2818">
        <v>-0.23409530000000001</v>
      </c>
      <c r="Q2818">
        <v>4.4517359999999999E-2</v>
      </c>
      <c r="R2818">
        <v>-0.971194</v>
      </c>
      <c r="S2818">
        <v>-0.76145940000000001</v>
      </c>
      <c r="T2818">
        <v>-0.25158360000000002</v>
      </c>
      <c r="U2818">
        <v>-2.9175110000000002</v>
      </c>
      <c r="V2818">
        <v>0.18039229999999901</v>
      </c>
      <c r="W2818">
        <v>5.7439459999999998E-2</v>
      </c>
      <c r="X2818">
        <v>0.98191609999999996</v>
      </c>
      <c r="Y2818">
        <v>0.1981125</v>
      </c>
      <c r="Z2818">
        <v>8.3481059999999996E-2</v>
      </c>
      <c r="AA2818">
        <v>0.97661779999999998</v>
      </c>
      <c r="AB2818">
        <v>23</v>
      </c>
      <c r="AC2818">
        <v>-3.3496000000000001</v>
      </c>
      <c r="AD2818">
        <v>-1.110727855763</v>
      </c>
      <c r="AE2818">
        <v>-12.6570999999999</v>
      </c>
      <c r="AF2818">
        <v>2.63019847796946</v>
      </c>
      <c r="AG2818">
        <v>-1.110727855763</v>
      </c>
      <c r="AH2818">
        <v>12.730396988016</v>
      </c>
      <c r="AI2818">
        <v>94.883799577077895</v>
      </c>
      <c r="AJ2818">
        <v>78.326500474820506</v>
      </c>
      <c r="AK2818">
        <v>13.046634350496999</v>
      </c>
    </row>
    <row r="2819" spans="1:37" x14ac:dyDescent="0.2">
      <c r="A2819" t="str">
        <f>"20200111154121566"</f>
        <v>20200111154121566</v>
      </c>
      <c r="B2819" t="str">
        <f>"1578728481558583"</f>
        <v>1578728481558583</v>
      </c>
      <c r="C2819" t="s">
        <v>37</v>
      </c>
      <c r="D2819">
        <v>5.4446669999999999</v>
      </c>
      <c r="E2819">
        <v>0.50913809999999904</v>
      </c>
      <c r="F2819" t="s">
        <v>39</v>
      </c>
      <c r="G2819">
        <v>-193.9288</v>
      </c>
      <c r="H2819" s="1">
        <v>-2.7838700000000002E-6</v>
      </c>
      <c r="I2819">
        <v>163.26939999999999</v>
      </c>
      <c r="J2819">
        <v>-190.53039999999999</v>
      </c>
      <c r="K2819">
        <v>1.110698</v>
      </c>
      <c r="L2819">
        <v>175.97309999999999</v>
      </c>
      <c r="M2819">
        <v>-5.5017530000000002E-2</v>
      </c>
      <c r="N2819">
        <v>0</v>
      </c>
      <c r="O2819">
        <v>-0.99839840000000002</v>
      </c>
      <c r="P2819">
        <v>-0.23532220000000001</v>
      </c>
      <c r="Q2819">
        <v>4.3941830000000001E-2</v>
      </c>
      <c r="R2819">
        <v>-0.9709238</v>
      </c>
      <c r="S2819">
        <v>-0.77301030000000004</v>
      </c>
      <c r="T2819">
        <v>-0.25207689999999999</v>
      </c>
      <c r="U2819">
        <v>-2.9142299999999999</v>
      </c>
      <c r="V2819">
        <v>0.18155639999999901</v>
      </c>
      <c r="W2819">
        <v>5.6851539999999999E-2</v>
      </c>
      <c r="X2819">
        <v>0.98173580000000005</v>
      </c>
      <c r="Y2819">
        <v>0.2019176</v>
      </c>
      <c r="Z2819">
        <v>8.3659349999999993E-2</v>
      </c>
      <c r="AA2819">
        <v>0.97582289999999905</v>
      </c>
      <c r="AB2819">
        <v>23</v>
      </c>
      <c r="AC2819">
        <v>-3.3984000000000001</v>
      </c>
      <c r="AD2819">
        <v>-1.11070078387</v>
      </c>
      <c r="AE2819">
        <v>-12.7036999999999</v>
      </c>
      <c r="AF2819">
        <v>2.6751809534226201</v>
      </c>
      <c r="AG2819">
        <v>-1.11070078387</v>
      </c>
      <c r="AH2819">
        <v>12.780272431427299</v>
      </c>
      <c r="AI2819">
        <v>94.862096062270695</v>
      </c>
      <c r="AJ2819">
        <v>78.177479955391206</v>
      </c>
      <c r="AK2819">
        <v>13.104411958815399</v>
      </c>
    </row>
    <row r="2820" spans="1:37" x14ac:dyDescent="0.2">
      <c r="A2820" t="str">
        <f>"20200111154121579"</f>
        <v>20200111154121579</v>
      </c>
      <c r="B2820" t="str">
        <f>"1578728481569320"</f>
        <v>1578728481569320</v>
      </c>
      <c r="C2820" t="s">
        <v>37</v>
      </c>
      <c r="D2820">
        <v>5.4127700000000001</v>
      </c>
      <c r="E2820">
        <v>0.50934690000000005</v>
      </c>
      <c r="F2820" t="s">
        <v>39</v>
      </c>
      <c r="G2820">
        <v>-193.93860000000001</v>
      </c>
      <c r="H2820" s="1">
        <v>-2.759316E-6</v>
      </c>
      <c r="I2820">
        <v>163.21190000000001</v>
      </c>
      <c r="J2820">
        <v>-190.53799999999899</v>
      </c>
      <c r="K2820">
        <v>1.1106659999999999</v>
      </c>
      <c r="L2820">
        <v>175.83709999999999</v>
      </c>
      <c r="M2820">
        <v>-5.5119229999999998E-2</v>
      </c>
      <c r="N2820">
        <v>0</v>
      </c>
      <c r="O2820">
        <v>-0.99839290000000003</v>
      </c>
      <c r="P2820">
        <v>-0.23642460000000001</v>
      </c>
      <c r="Q2820">
        <v>4.3471049999999997E-2</v>
      </c>
      <c r="R2820">
        <v>-0.97067709999999996</v>
      </c>
      <c r="S2820">
        <v>-0.77795409999999998</v>
      </c>
      <c r="T2820">
        <v>-0.25352370000000002</v>
      </c>
      <c r="U2820">
        <v>-2.9127959999999899</v>
      </c>
      <c r="V2820">
        <v>0.18257379999999901</v>
      </c>
      <c r="W2820">
        <v>5.6366430000000002E-2</v>
      </c>
      <c r="X2820">
        <v>0.98157510000000003</v>
      </c>
      <c r="Y2820">
        <v>0.20347290000000001</v>
      </c>
      <c r="Z2820">
        <v>8.4143469999999998E-2</v>
      </c>
      <c r="AA2820">
        <v>0.97545820000000005</v>
      </c>
      <c r="AB2820">
        <v>23</v>
      </c>
      <c r="AC2820">
        <v>-3.4006000000000198</v>
      </c>
      <c r="AD2820">
        <v>-1.1106687593159901</v>
      </c>
      <c r="AE2820">
        <v>-12.6251999999999</v>
      </c>
      <c r="AF2820">
        <v>2.68013883308608</v>
      </c>
      <c r="AG2820">
        <v>-1.1106687593159901</v>
      </c>
      <c r="AH2820">
        <v>12.701806555688099</v>
      </c>
      <c r="AI2820">
        <v>94.890196990623394</v>
      </c>
      <c r="AJ2820">
        <v>78.085107207588507</v>
      </c>
      <c r="AK2820">
        <v>13.0289147297715</v>
      </c>
    </row>
    <row r="2821" spans="1:37" x14ac:dyDescent="0.2">
      <c r="A2821" t="str">
        <f>"20200111154121598"</f>
        <v>20200111154121598</v>
      </c>
      <c r="B2821" t="str">
        <f>"1578728481588839"</f>
        <v>1578728481588839</v>
      </c>
      <c r="C2821" t="s">
        <v>37</v>
      </c>
      <c r="D2821">
        <v>5.420528</v>
      </c>
      <c r="E2821">
        <v>0.50966230000000001</v>
      </c>
      <c r="F2821" t="s">
        <v>39</v>
      </c>
      <c r="G2821">
        <v>-193.97239999999999</v>
      </c>
      <c r="H2821" s="1">
        <v>-2.6991760000000001E-6</v>
      </c>
      <c r="I2821">
        <v>163.06569999999999</v>
      </c>
      <c r="J2821">
        <v>-190.5489</v>
      </c>
      <c r="K2821">
        <v>1.1106119999999999</v>
      </c>
      <c r="L2821">
        <v>175.64340000000001</v>
      </c>
      <c r="M2821">
        <v>-5.5307420000000003E-2</v>
      </c>
      <c r="N2821">
        <v>0</v>
      </c>
      <c r="O2821">
        <v>-0.9983824</v>
      </c>
      <c r="P2821">
        <v>-0.23911639999999901</v>
      </c>
      <c r="Q2821">
        <v>4.237937E-2</v>
      </c>
      <c r="R2821">
        <v>-0.97006579999999998</v>
      </c>
      <c r="S2821">
        <v>-0.78289790000000004</v>
      </c>
      <c r="T2821">
        <v>-0.25318059999999998</v>
      </c>
      <c r="U2821">
        <v>-2.9112849999999999</v>
      </c>
      <c r="V2821">
        <v>0.1851151</v>
      </c>
      <c r="W2821">
        <v>5.52495E-2</v>
      </c>
      <c r="X2821">
        <v>0.98116250000000005</v>
      </c>
      <c r="Y2821">
        <v>0.20496199999999901</v>
      </c>
      <c r="Z2821">
        <v>8.4039649999999994E-2</v>
      </c>
      <c r="AA2821">
        <v>0.97515540000000001</v>
      </c>
      <c r="AB2821">
        <v>23</v>
      </c>
      <c r="AC2821">
        <v>-3.42349999999999</v>
      </c>
      <c r="AD2821">
        <v>-1.110614699176</v>
      </c>
      <c r="AE2821">
        <v>-12.5777</v>
      </c>
      <c r="AF2821">
        <v>2.70293743582583</v>
      </c>
      <c r="AG2821">
        <v>-1.110614699176</v>
      </c>
      <c r="AH2821">
        <v>12.655935080902699</v>
      </c>
      <c r="AI2821">
        <v>94.905052306227006</v>
      </c>
      <c r="AJ2821">
        <v>77.944415134325496</v>
      </c>
      <c r="AK2821">
        <v>12.9889194532894</v>
      </c>
    </row>
    <row r="2822" spans="1:37" x14ac:dyDescent="0.2">
      <c r="A2822" t="str">
        <f>"20200111154121613"</f>
        <v>20200111154121613</v>
      </c>
      <c r="B2822" t="str">
        <f>"1578728481609336"</f>
        <v>1578728481609336</v>
      </c>
      <c r="C2822" t="s">
        <v>37</v>
      </c>
      <c r="D2822">
        <v>5.4071850000000001</v>
      </c>
      <c r="E2822">
        <v>0.5097758</v>
      </c>
      <c r="F2822" t="s">
        <v>39</v>
      </c>
      <c r="G2822">
        <v>-194.01429999999999</v>
      </c>
      <c r="H2822" s="1">
        <v>-2.6505810000000002E-6</v>
      </c>
      <c r="I2822">
        <v>162.9393</v>
      </c>
      <c r="J2822">
        <v>-190.55680000000001</v>
      </c>
      <c r="K2822">
        <v>1.110579</v>
      </c>
      <c r="L2822">
        <v>175.50309999999999</v>
      </c>
      <c r="M2822">
        <v>-5.5482719999999999E-2</v>
      </c>
      <c r="N2822">
        <v>0</v>
      </c>
      <c r="O2822">
        <v>-0.998372699999999</v>
      </c>
      <c r="P2822">
        <v>-0.24046010000000001</v>
      </c>
      <c r="Q2822">
        <v>4.1485800000000003E-2</v>
      </c>
      <c r="R2822">
        <v>-0.96977230000000003</v>
      </c>
      <c r="S2822">
        <v>-0.79328920000000003</v>
      </c>
      <c r="T2822">
        <v>-0.25423499999999999</v>
      </c>
      <c r="U2822">
        <v>-2.9081419999999998</v>
      </c>
      <c r="V2822">
        <v>0.18630439999999901</v>
      </c>
      <c r="W2822">
        <v>5.4338209999999998E-2</v>
      </c>
      <c r="X2822">
        <v>0.98098830000000004</v>
      </c>
      <c r="Y2822">
        <v>0.20829120000000001</v>
      </c>
      <c r="Z2822">
        <v>8.4404800000000002E-2</v>
      </c>
      <c r="AA2822">
        <v>0.97441809999999995</v>
      </c>
      <c r="AB2822">
        <v>23</v>
      </c>
      <c r="AC2822">
        <v>-3.45749999999998</v>
      </c>
      <c r="AD2822">
        <v>-1.110581650581</v>
      </c>
      <c r="AE2822">
        <v>-12.563799999999899</v>
      </c>
      <c r="AF2822">
        <v>2.7351716690767698</v>
      </c>
      <c r="AG2822">
        <v>-1.110581650581</v>
      </c>
      <c r="AH2822">
        <v>12.644447327991299</v>
      </c>
      <c r="AI2822">
        <v>94.906588815870194</v>
      </c>
      <c r="AJ2822">
        <v>77.794176017496397</v>
      </c>
      <c r="AK2822">
        <v>12.984475495462799</v>
      </c>
    </row>
    <row r="2823" spans="1:37" x14ac:dyDescent="0.2">
      <c r="A2823" t="str">
        <f>"20200111154121630"</f>
        <v>20200111154121630</v>
      </c>
      <c r="B2823" t="str">
        <f>"1578728481619095"</f>
        <v>1578728481619095</v>
      </c>
      <c r="C2823" t="s">
        <v>37</v>
      </c>
      <c r="D2823">
        <v>5.431235</v>
      </c>
      <c r="E2823">
        <v>0.5097758</v>
      </c>
      <c r="F2823" t="s">
        <v>39</v>
      </c>
      <c r="G2823">
        <v>-194.0146</v>
      </c>
      <c r="H2823" s="1">
        <v>-2.6383560000000001E-6</v>
      </c>
      <c r="I2823">
        <v>162.91329999999999</v>
      </c>
      <c r="J2823">
        <v>-190.56710000000001</v>
      </c>
      <c r="K2823">
        <v>1.1105240000000001</v>
      </c>
      <c r="L2823">
        <v>175.32230000000001</v>
      </c>
      <c r="M2823">
        <v>-5.575049E-2</v>
      </c>
      <c r="N2823">
        <v>0</v>
      </c>
      <c r="O2823">
        <v>-0.99835769999999902</v>
      </c>
      <c r="P2823">
        <v>-0.24303939999999999</v>
      </c>
      <c r="Q2823">
        <v>3.9112929999999997E-2</v>
      </c>
      <c r="R2823">
        <v>-0.96922759999999997</v>
      </c>
      <c r="S2823">
        <v>-0.79827879999999996</v>
      </c>
      <c r="T2823">
        <v>-0.25639279999999998</v>
      </c>
      <c r="U2823">
        <v>-2.9065249999999998</v>
      </c>
      <c r="V2823">
        <v>0.18865099999999899</v>
      </c>
      <c r="W2823">
        <v>5.1939300000000001E-2</v>
      </c>
      <c r="X2823">
        <v>0.98066969999999998</v>
      </c>
      <c r="Y2823">
        <v>0.20970630000000001</v>
      </c>
      <c r="Z2823">
        <v>8.5127469999999997E-2</v>
      </c>
      <c r="AA2823">
        <v>0.97405169999999996</v>
      </c>
      <c r="AB2823">
        <v>23</v>
      </c>
      <c r="AC2823">
        <v>-3.44749999999999</v>
      </c>
      <c r="AD2823">
        <v>-1.110526638356</v>
      </c>
      <c r="AE2823">
        <v>-12.409000000000001</v>
      </c>
      <c r="AF2823">
        <v>2.7299713858938999</v>
      </c>
      <c r="AG2823">
        <v>-1.110526638356</v>
      </c>
      <c r="AH2823">
        <v>12.489054942165</v>
      </c>
      <c r="AI2823">
        <v>94.964755526507901</v>
      </c>
      <c r="AJ2823">
        <v>77.669710449751705</v>
      </c>
      <c r="AK2823">
        <v>12.832088938700201</v>
      </c>
    </row>
    <row r="2824" spans="1:37" x14ac:dyDescent="0.2">
      <c r="A2824" t="str">
        <f>"20200111154121654"</f>
        <v>20200111154121654</v>
      </c>
      <c r="B2824" t="str">
        <f>"1578728481649350"</f>
        <v>1578728481649350</v>
      </c>
      <c r="C2824" t="s">
        <v>37</v>
      </c>
      <c r="D2824">
        <v>5.3154659999999998</v>
      </c>
      <c r="E2824">
        <v>0.54017850000000001</v>
      </c>
      <c r="F2824" t="s">
        <v>39</v>
      </c>
      <c r="G2824">
        <v>-193.9622</v>
      </c>
      <c r="H2824" s="1">
        <v>-2.7063580000000002E-6</v>
      </c>
      <c r="I2824">
        <v>163.0866</v>
      </c>
      <c r="J2824">
        <v>-190.58029999999999</v>
      </c>
      <c r="K2824">
        <v>1.1104620000000001</v>
      </c>
      <c r="L2824">
        <v>175.09460000000001</v>
      </c>
      <c r="M2824">
        <v>-5.6153189999999999E-2</v>
      </c>
      <c r="N2824">
        <v>0</v>
      </c>
      <c r="O2824">
        <v>-0.99833530000000004</v>
      </c>
      <c r="P2824">
        <v>-0.24588769999999999</v>
      </c>
      <c r="Q2824">
        <v>3.7078449999999999E-2</v>
      </c>
      <c r="R2824">
        <v>-0.96858909999999998</v>
      </c>
      <c r="S2824">
        <v>-0.80574040000000002</v>
      </c>
      <c r="T2824">
        <v>-0.26355719999999999</v>
      </c>
      <c r="U2824">
        <v>-2.9038390000000001</v>
      </c>
      <c r="V2824">
        <v>0.1911397</v>
      </c>
      <c r="W2824">
        <v>4.9873460000000001E-2</v>
      </c>
      <c r="X2824">
        <v>0.98029500000000003</v>
      </c>
      <c r="Y2824">
        <v>0.21181179999999999</v>
      </c>
      <c r="Z2824">
        <v>8.7512960000000001E-2</v>
      </c>
      <c r="AA2824">
        <v>0.97338440000000004</v>
      </c>
      <c r="AB2824">
        <v>23</v>
      </c>
      <c r="AC2824">
        <v>-3.3818999999999999</v>
      </c>
      <c r="AD2824">
        <v>-1.110464706358</v>
      </c>
      <c r="AE2824">
        <v>-12.007999999999999</v>
      </c>
      <c r="AF2824">
        <v>2.6809742514219801</v>
      </c>
      <c r="AG2824">
        <v>-1.110464706358</v>
      </c>
      <c r="AH2824">
        <v>12.0832293093034</v>
      </c>
      <c r="AI2824">
        <v>95.126819436543599</v>
      </c>
      <c r="AJ2824">
        <v>77.490116829281703</v>
      </c>
      <c r="AK2824">
        <v>12.4267930433424</v>
      </c>
    </row>
    <row r="2825" spans="1:37" x14ac:dyDescent="0.2">
      <c r="A2825" t="str">
        <f>"20200111154121667"</f>
        <v>20200111154121667</v>
      </c>
      <c r="B2825" t="str">
        <f>"1578728481658977"</f>
        <v>1578728481658977</v>
      </c>
      <c r="C2825" t="s">
        <v>37</v>
      </c>
      <c r="D2825">
        <v>5.3030029999999897</v>
      </c>
      <c r="E2825">
        <v>0.54102380000000005</v>
      </c>
      <c r="F2825" t="s">
        <v>39</v>
      </c>
      <c r="G2825">
        <v>-195.10659999999999</v>
      </c>
      <c r="H2825" s="1">
        <v>-2.8942190000000001E-6</v>
      </c>
      <c r="I2825">
        <v>162.8399</v>
      </c>
      <c r="J2825">
        <v>-190.58860000000001</v>
      </c>
      <c r="K2825">
        <v>1.110433</v>
      </c>
      <c r="L2825">
        <v>174.95249999999999</v>
      </c>
      <c r="M2825">
        <v>-5.6431340000000003E-2</v>
      </c>
      <c r="N2825">
        <v>0</v>
      </c>
      <c r="O2825">
        <v>-0.99831979999999998</v>
      </c>
      <c r="P2825">
        <v>-0.24743579999999901</v>
      </c>
      <c r="Q2825">
        <v>3.6448719999999997E-2</v>
      </c>
      <c r="R2825">
        <v>-0.96821869999999999</v>
      </c>
      <c r="S2825">
        <v>-1.04924</v>
      </c>
      <c r="T2825">
        <v>-0.25741740000000002</v>
      </c>
      <c r="U2825">
        <v>-2.8407749999999998</v>
      </c>
      <c r="V2825">
        <v>0.19243579999999999</v>
      </c>
      <c r="W2825">
        <v>4.9226720000000002E-2</v>
      </c>
      <c r="X2825">
        <v>0.98007409999999995</v>
      </c>
      <c r="Y2825">
        <v>0.29171999999999998</v>
      </c>
      <c r="Z2825">
        <v>8.527672E-2</v>
      </c>
      <c r="AA2825">
        <v>0.95269479999999995</v>
      </c>
      <c r="AB2825">
        <v>23</v>
      </c>
      <c r="AC2825">
        <v>-4.5179999999999696</v>
      </c>
      <c r="AD2825">
        <v>-1.110435894219</v>
      </c>
      <c r="AE2825">
        <v>-12.112599999999899</v>
      </c>
      <c r="AF2825">
        <v>3.7991794410533699</v>
      </c>
      <c r="AG2825">
        <v>-1.110435894219</v>
      </c>
      <c r="AH2825">
        <v>12.257835425418101</v>
      </c>
      <c r="AI2825">
        <v>94.945433477781293</v>
      </c>
      <c r="AJ2825">
        <v>72.779760211443602</v>
      </c>
      <c r="AK2825">
        <v>12.8810466041051</v>
      </c>
    </row>
    <row r="2826" spans="1:37" x14ac:dyDescent="0.2">
      <c r="A2826" t="str">
        <f>"20200111154121679"</f>
        <v>20200111154121679</v>
      </c>
      <c r="B2826" t="str">
        <f>"1578728481668716"</f>
        <v>1578728481668716</v>
      </c>
      <c r="C2826" t="s">
        <v>37</v>
      </c>
      <c r="D2826">
        <v>5.3024769999999997</v>
      </c>
      <c r="E2826">
        <v>0.54131560000000001</v>
      </c>
      <c r="F2826" t="s">
        <v>39</v>
      </c>
      <c r="G2826">
        <v>-195.2414</v>
      </c>
      <c r="H2826" s="1">
        <v>-2.7714249999999999E-6</v>
      </c>
      <c r="I2826">
        <v>162.5043</v>
      </c>
      <c r="J2826">
        <v>-190.59610000000001</v>
      </c>
      <c r="K2826">
        <v>1.110412</v>
      </c>
      <c r="L2826">
        <v>174.82400000000001</v>
      </c>
      <c r="M2826">
        <v>-5.6697999999999998E-2</v>
      </c>
      <c r="N2826">
        <v>0</v>
      </c>
      <c r="O2826">
        <v>-0.99830450000000004</v>
      </c>
      <c r="P2826">
        <v>-0.249068699999999</v>
      </c>
      <c r="Q2826">
        <v>3.628928E-2</v>
      </c>
      <c r="R2826">
        <v>-0.96780599999999894</v>
      </c>
      <c r="S2826">
        <v>-1.0603940000000001</v>
      </c>
      <c r="T2826">
        <v>-0.25307399999999902</v>
      </c>
      <c r="U2826">
        <v>-2.8370060000000001</v>
      </c>
      <c r="V2826">
        <v>0.19382949999999999</v>
      </c>
      <c r="W2826">
        <v>4.9053350000000003E-2</v>
      </c>
      <c r="X2826">
        <v>0.97980809999999996</v>
      </c>
      <c r="Y2826">
        <v>0.2952072</v>
      </c>
      <c r="Z2826">
        <v>8.3849060000000003E-2</v>
      </c>
      <c r="AA2826">
        <v>0.9517468</v>
      </c>
      <c r="AB2826">
        <v>23</v>
      </c>
      <c r="AC2826">
        <v>-4.64529999999999</v>
      </c>
      <c r="AD2826">
        <v>-1.1104147714249999</v>
      </c>
      <c r="AE2826">
        <v>-12.319699999999999</v>
      </c>
      <c r="AF2826">
        <v>3.9114421364358898</v>
      </c>
      <c r="AG2826">
        <v>-1.1104147714249999</v>
      </c>
      <c r="AH2826">
        <v>12.474552570075099</v>
      </c>
      <c r="AI2826">
        <v>94.854875767469906</v>
      </c>
      <c r="AJ2826">
        <v>72.590990443847801</v>
      </c>
      <c r="AK2826">
        <v>13.120474929470101</v>
      </c>
    </row>
    <row r="2827" spans="1:37" x14ac:dyDescent="0.2">
      <c r="A2827" t="str">
        <f>"20200111154121698"</f>
        <v>20200111154121698</v>
      </c>
      <c r="B2827" t="str">
        <f>"1578728481689211"</f>
        <v>1578728481689211</v>
      </c>
      <c r="C2827" t="s">
        <v>37</v>
      </c>
      <c r="D2827">
        <v>5.29305</v>
      </c>
      <c r="E2827">
        <v>0.54164429999999997</v>
      </c>
      <c r="F2827" t="s">
        <v>39</v>
      </c>
      <c r="G2827">
        <v>-195.3313</v>
      </c>
      <c r="H2827" s="1">
        <v>-2.6756770000000001E-6</v>
      </c>
      <c r="I2827">
        <v>162.25110000000001</v>
      </c>
      <c r="J2827">
        <v>-190.6071</v>
      </c>
      <c r="K2827">
        <v>1.1103959999999999</v>
      </c>
      <c r="L2827">
        <v>174.63910000000001</v>
      </c>
      <c r="M2827">
        <v>-5.7100060000000001E-2</v>
      </c>
      <c r="N2827">
        <v>0</v>
      </c>
      <c r="O2827">
        <v>-0.99828169999999905</v>
      </c>
      <c r="P2827">
        <v>-0.25189780000000001</v>
      </c>
      <c r="Q2827">
        <v>3.6299369999999997E-2</v>
      </c>
      <c r="R2827">
        <v>-0.96707299999999996</v>
      </c>
      <c r="S2827">
        <v>-1.06749</v>
      </c>
      <c r="T2827">
        <v>-0.25033249999999901</v>
      </c>
      <c r="U2827">
        <v>-2.8344419999999899</v>
      </c>
      <c r="V2827">
        <v>0.196302799999999</v>
      </c>
      <c r="W2827">
        <v>4.9047159999999999E-2</v>
      </c>
      <c r="X2827">
        <v>0.97931590000000002</v>
      </c>
      <c r="Y2827">
        <v>0.29721890000000001</v>
      </c>
      <c r="Z2827">
        <v>8.2952579999999998E-2</v>
      </c>
      <c r="AA2827">
        <v>0.95119920000000002</v>
      </c>
      <c r="AB2827">
        <v>23</v>
      </c>
      <c r="AC2827">
        <v>-4.72419999999999</v>
      </c>
      <c r="AD2827">
        <v>-1.1103986756769999</v>
      </c>
      <c r="AE2827">
        <v>-12.388</v>
      </c>
      <c r="AF2827">
        <v>3.9811489876217601</v>
      </c>
      <c r="AG2827">
        <v>-1.1103986756769999</v>
      </c>
      <c r="AH2827">
        <v>12.549533741616999</v>
      </c>
      <c r="AI2827">
        <v>94.820867277625794</v>
      </c>
      <c r="AJ2827">
        <v>72.399160462080999</v>
      </c>
      <c r="AK2827">
        <v>13.2126200888609</v>
      </c>
    </row>
    <row r="2828" spans="1:37" x14ac:dyDescent="0.2">
      <c r="A2828" t="str">
        <f>"20200111154121714"</f>
        <v>20200111154121714</v>
      </c>
      <c r="B2828" t="str">
        <f>"1578728481708731"</f>
        <v>1578728481708731</v>
      </c>
      <c r="C2828" t="s">
        <v>37</v>
      </c>
      <c r="D2828">
        <v>5.2544639999999996</v>
      </c>
      <c r="E2828">
        <v>0.54175059999999997</v>
      </c>
      <c r="F2828" t="s">
        <v>39</v>
      </c>
      <c r="G2828">
        <v>-195.4598</v>
      </c>
      <c r="H2828" s="1">
        <v>-2.5417219999999999E-6</v>
      </c>
      <c r="I2828">
        <v>161.8954</v>
      </c>
      <c r="J2828">
        <v>-190.61619999999999</v>
      </c>
      <c r="K2828">
        <v>1.1103889999999901</v>
      </c>
      <c r="L2828">
        <v>174.48570000000001</v>
      </c>
      <c r="M2828">
        <v>-5.7439869999999997E-2</v>
      </c>
      <c r="N2828">
        <v>0</v>
      </c>
      <c r="O2828">
        <v>-0.99826219999999999</v>
      </c>
      <c r="P2828">
        <v>-0.25321850000000001</v>
      </c>
      <c r="Q2828">
        <v>3.636942E-2</v>
      </c>
      <c r="R2828">
        <v>-0.96672549999999902</v>
      </c>
      <c r="S2828">
        <v>-1.077896</v>
      </c>
      <c r="T2828">
        <v>-0.2466428</v>
      </c>
      <c r="U2828">
        <v>-2.8306580000000001</v>
      </c>
      <c r="V2828">
        <v>0.19730809999999999</v>
      </c>
      <c r="W2828">
        <v>4.9110979999999999E-2</v>
      </c>
      <c r="X2828">
        <v>0.97911059999999905</v>
      </c>
      <c r="Y2828">
        <v>0.30040509999999998</v>
      </c>
      <c r="Z2828">
        <v>8.174468E-2</v>
      </c>
      <c r="AA2828">
        <v>0.95030239999999999</v>
      </c>
      <c r="AB2828">
        <v>23</v>
      </c>
      <c r="AC2828">
        <v>-4.8436000000000003</v>
      </c>
      <c r="AD2828">
        <v>-1.1103915417219901</v>
      </c>
      <c r="AE2828">
        <v>-12.590299999999999</v>
      </c>
      <c r="AF2828">
        <v>4.0846783089278</v>
      </c>
      <c r="AG2828">
        <v>-1.1103915417219901</v>
      </c>
      <c r="AH2828">
        <v>12.7612858544767</v>
      </c>
      <c r="AI2828">
        <v>94.737322615229104</v>
      </c>
      <c r="AJ2828">
        <v>72.2509835137339</v>
      </c>
      <c r="AK2828">
        <v>13.444998435218199</v>
      </c>
    </row>
    <row r="2829" spans="1:37" x14ac:dyDescent="0.2">
      <c r="A2829" t="str">
        <f>"20200111154121728"</f>
        <v>20200111154121728</v>
      </c>
      <c r="B2829" t="str">
        <f>"1578728481718492"</f>
        <v>1578728481718492</v>
      </c>
      <c r="C2829" t="s">
        <v>37</v>
      </c>
      <c r="D2829">
        <v>5.2829959999999998</v>
      </c>
      <c r="E2829">
        <v>0.54180819999999996</v>
      </c>
      <c r="F2829" t="s">
        <v>39</v>
      </c>
      <c r="G2829">
        <v>-195.56270000000001</v>
      </c>
      <c r="H2829" s="1">
        <v>-2.4124E-6</v>
      </c>
      <c r="I2829">
        <v>161.56389999999999</v>
      </c>
      <c r="J2829">
        <v>-190.62469999999999</v>
      </c>
      <c r="K2829">
        <v>1.1103909999999999</v>
      </c>
      <c r="L2829">
        <v>174.34460000000001</v>
      </c>
      <c r="M2829">
        <v>-5.7751329999999997E-2</v>
      </c>
      <c r="N2829">
        <v>0</v>
      </c>
      <c r="O2829">
        <v>-0.99824400000000002</v>
      </c>
      <c r="P2829">
        <v>-0.2547354</v>
      </c>
      <c r="Q2829">
        <v>3.6649679999999997E-2</v>
      </c>
      <c r="R2829">
        <v>-0.96631630000000002</v>
      </c>
      <c r="S2829">
        <v>-1.0828549999999999</v>
      </c>
      <c r="T2829">
        <v>-0.243079299999999</v>
      </c>
      <c r="U2829">
        <v>-2.8287659999999999</v>
      </c>
      <c r="V2829">
        <v>0.19854040000000001</v>
      </c>
      <c r="W2829">
        <v>4.9386739999999998E-2</v>
      </c>
      <c r="X2829">
        <v>0.97884760000000004</v>
      </c>
      <c r="Y2829">
        <v>0.30180649999999998</v>
      </c>
      <c r="Z2829">
        <v>8.0577049999999997E-2</v>
      </c>
      <c r="AA2829">
        <v>0.94995799999999997</v>
      </c>
      <c r="AB2829">
        <v>22</v>
      </c>
      <c r="AC2829">
        <v>-4.9380000000000104</v>
      </c>
      <c r="AD2829">
        <v>-1.1103934123999999</v>
      </c>
      <c r="AE2829">
        <v>-12.7807</v>
      </c>
      <c r="AF2829">
        <v>4.1642406155340304</v>
      </c>
      <c r="AG2829">
        <v>-1.1103934123999999</v>
      </c>
      <c r="AH2829">
        <v>12.9594510793402</v>
      </c>
      <c r="AI2829">
        <v>94.663532347615799</v>
      </c>
      <c r="AJ2829">
        <v>72.186309442412096</v>
      </c>
      <c r="AK2829">
        <v>13.657278122385</v>
      </c>
    </row>
    <row r="2830" spans="1:37" x14ac:dyDescent="0.2">
      <c r="A2830" t="str">
        <f>"20200111154121742"</f>
        <v>20200111154121742</v>
      </c>
      <c r="B2830" t="str">
        <f>"1578728481738988"</f>
        <v>1578728481738988</v>
      </c>
      <c r="C2830" t="s">
        <v>37</v>
      </c>
      <c r="D2830">
        <v>5.2942999999999998</v>
      </c>
      <c r="E2830">
        <v>0.54186369999999995</v>
      </c>
      <c r="F2830" t="s">
        <v>39</v>
      </c>
      <c r="G2830">
        <v>-195.6037</v>
      </c>
      <c r="H2830" s="1">
        <v>-2.3473200000000001E-6</v>
      </c>
      <c r="I2830">
        <v>161.4032</v>
      </c>
      <c r="J2830">
        <v>-190.6335</v>
      </c>
      <c r="K2830">
        <v>1.1104019999999999</v>
      </c>
      <c r="L2830">
        <v>174.19919999999999</v>
      </c>
      <c r="M2830">
        <v>-5.8067710000000002E-2</v>
      </c>
      <c r="N2830">
        <v>0</v>
      </c>
      <c r="O2830">
        <v>-0.9982259</v>
      </c>
      <c r="P2830">
        <v>-0.25685970000000002</v>
      </c>
      <c r="Q2830">
        <v>3.7159449999999997E-2</v>
      </c>
      <c r="R2830">
        <v>-0.96573439999999999</v>
      </c>
      <c r="S2830">
        <v>-1.0876459999999999</v>
      </c>
      <c r="T2830">
        <v>-0.2425658</v>
      </c>
      <c r="U2830">
        <v>-2.8270569999999999</v>
      </c>
      <c r="V2830">
        <v>0.20038410000000001</v>
      </c>
      <c r="W2830">
        <v>4.9892510000000001E-2</v>
      </c>
      <c r="X2830">
        <v>0.97844619999999904</v>
      </c>
      <c r="Y2830">
        <v>0.30310399999999998</v>
      </c>
      <c r="Z2830">
        <v>8.0410389999999998E-2</v>
      </c>
      <c r="AA2830">
        <v>0.94955889999999998</v>
      </c>
      <c r="AB2830">
        <v>22</v>
      </c>
      <c r="AC2830">
        <v>-4.9702000000000002</v>
      </c>
      <c r="AD2830">
        <v>-1.11040434732</v>
      </c>
      <c r="AE2830">
        <v>-12.7959999999999</v>
      </c>
      <c r="AF2830">
        <v>4.1912889873473</v>
      </c>
      <c r="AG2830">
        <v>-1.11040434732</v>
      </c>
      <c r="AH2830">
        <v>12.978119999821899</v>
      </c>
      <c r="AI2830">
        <v>94.654704884746707</v>
      </c>
      <c r="AJ2830">
        <v>72.102117055356999</v>
      </c>
      <c r="AK2830">
        <v>13.683256188487601</v>
      </c>
    </row>
    <row r="2831" spans="1:37" x14ac:dyDescent="0.2">
      <c r="A2831" t="str">
        <f>"20200111154121756"</f>
        <v>20200111154121756</v>
      </c>
      <c r="B2831" t="str">
        <f>"1578728481748748"</f>
        <v>1578728481748748</v>
      </c>
      <c r="C2831" t="s">
        <v>37</v>
      </c>
      <c r="D2831">
        <v>5.267118</v>
      </c>
      <c r="E2831">
        <v>0.54184679999999996</v>
      </c>
      <c r="F2831" t="s">
        <v>39</v>
      </c>
      <c r="G2831">
        <v>-195.69120000000001</v>
      </c>
      <c r="H2831" s="1">
        <v>-2.2462580000000001E-6</v>
      </c>
      <c r="I2831">
        <v>161.14009999999999</v>
      </c>
      <c r="J2831">
        <v>-190.64179999999999</v>
      </c>
      <c r="K2831">
        <v>1.110414</v>
      </c>
      <c r="L2831">
        <v>174.06180000000001</v>
      </c>
      <c r="M2831">
        <v>-5.8354620000000003E-2</v>
      </c>
      <c r="N2831">
        <v>0</v>
      </c>
      <c r="O2831">
        <v>-0.99820889999999995</v>
      </c>
      <c r="P2831">
        <v>-0.25821769999999999</v>
      </c>
      <c r="Q2831">
        <v>3.7455519999999999E-2</v>
      </c>
      <c r="R2831">
        <v>-0.96536049999999995</v>
      </c>
      <c r="S2831">
        <v>-1.0939939999999999</v>
      </c>
      <c r="T2831">
        <v>-0.2401837</v>
      </c>
      <c r="U2831">
        <v>-2.824722</v>
      </c>
      <c r="V2831">
        <v>0.2014792</v>
      </c>
      <c r="W2831">
        <v>5.0188730000000001E-2</v>
      </c>
      <c r="X2831">
        <v>0.97820620000000003</v>
      </c>
      <c r="Y2831">
        <v>0.30497209999999902</v>
      </c>
      <c r="Z2831">
        <v>7.962967E-2</v>
      </c>
      <c r="AA2831">
        <v>0.94902640000000005</v>
      </c>
      <c r="AB2831">
        <v>22</v>
      </c>
      <c r="AC2831">
        <v>-5.0494000000000199</v>
      </c>
      <c r="AD2831">
        <v>-1.1104162462580001</v>
      </c>
      <c r="AE2831">
        <v>-12.9217</v>
      </c>
      <c r="AF2831">
        <v>4.2593999730809502</v>
      </c>
      <c r="AG2831">
        <v>-1.1104162462580001</v>
      </c>
      <c r="AH2831">
        <v>13.1103673351002</v>
      </c>
      <c r="AI2831">
        <v>94.605398817687501</v>
      </c>
      <c r="AJ2831">
        <v>72.001646806760803</v>
      </c>
      <c r="AK2831">
        <v>13.8295785919853</v>
      </c>
    </row>
    <row r="2832" spans="1:37" x14ac:dyDescent="0.2">
      <c r="A2832" t="str">
        <f>"20200111154121768"</f>
        <v>20200111154121768</v>
      </c>
      <c r="B2832" t="str">
        <f>"1578728481759205"</f>
        <v>1578728481759205</v>
      </c>
      <c r="C2832" t="s">
        <v>37</v>
      </c>
      <c r="D2832">
        <v>5.2883230000000001</v>
      </c>
      <c r="E2832">
        <v>0.54183210000000004</v>
      </c>
      <c r="F2832" t="s">
        <v>39</v>
      </c>
      <c r="G2832">
        <v>-195.76060000000001</v>
      </c>
      <c r="H2832" s="1">
        <v>-2.14877399999999E-6</v>
      </c>
      <c r="I2832">
        <v>160.8948</v>
      </c>
      <c r="J2832">
        <v>-190.6497</v>
      </c>
      <c r="K2832">
        <v>1.1104270000000001</v>
      </c>
      <c r="L2832">
        <v>173.93190000000001</v>
      </c>
      <c r="M2832">
        <v>-5.8618730000000001E-2</v>
      </c>
      <c r="N2832">
        <v>0</v>
      </c>
      <c r="O2832">
        <v>-0.99819369999999996</v>
      </c>
      <c r="P2832">
        <v>-0.25952120000000001</v>
      </c>
      <c r="Q2832">
        <v>3.7938699999999902E-2</v>
      </c>
      <c r="R2832">
        <v>-0.96499230000000003</v>
      </c>
      <c r="S2832">
        <v>-1.09758</v>
      </c>
      <c r="T2832">
        <v>-0.23809739999999999</v>
      </c>
      <c r="U2832">
        <v>-2.8232879999999998</v>
      </c>
      <c r="V2832">
        <v>0.2025421</v>
      </c>
      <c r="W2832">
        <v>5.0671630000000002E-2</v>
      </c>
      <c r="X2832">
        <v>0.97796170000000004</v>
      </c>
      <c r="Y2832">
        <v>0.30594959999999999</v>
      </c>
      <c r="Z2832">
        <v>7.8947719999999999E-2</v>
      </c>
      <c r="AA2832">
        <v>0.94876870000000002</v>
      </c>
      <c r="AB2832">
        <v>22</v>
      </c>
      <c r="AC2832">
        <v>-5.1109000000000098</v>
      </c>
      <c r="AD2832">
        <v>-1.1104291487739999</v>
      </c>
      <c r="AE2832">
        <v>-13.037100000000001</v>
      </c>
      <c r="AF2832">
        <v>4.3107185372542798</v>
      </c>
      <c r="AG2832">
        <v>-1.1104291487739999</v>
      </c>
      <c r="AH2832">
        <v>13.231097572813001</v>
      </c>
      <c r="AI2832">
        <v>94.562384924716596</v>
      </c>
      <c r="AJ2832">
        <v>71.954284992541204</v>
      </c>
      <c r="AK2832">
        <v>13.959845636079701</v>
      </c>
    </row>
    <row r="2833" spans="1:37" x14ac:dyDescent="0.2">
      <c r="A2833" t="str">
        <f>"20200111154121788"</f>
        <v>20200111154121788</v>
      </c>
      <c r="B2833" t="str">
        <f>"1578728481778715"</f>
        <v>1578728481778715</v>
      </c>
      <c r="C2833" t="s">
        <v>37</v>
      </c>
      <c r="D2833">
        <v>5.2825449999999998</v>
      </c>
      <c r="E2833">
        <v>0.54186789999999996</v>
      </c>
      <c r="F2833" t="s">
        <v>39</v>
      </c>
      <c r="G2833">
        <v>-195.8262</v>
      </c>
      <c r="H2833" s="1">
        <v>-2.0570369999999999E-6</v>
      </c>
      <c r="I2833">
        <v>160.66380000000001</v>
      </c>
      <c r="J2833">
        <v>-190.66149999999999</v>
      </c>
      <c r="K2833">
        <v>1.1104499999999999</v>
      </c>
      <c r="L2833">
        <v>173.74</v>
      </c>
      <c r="M2833">
        <v>-5.8992679999999999E-2</v>
      </c>
      <c r="N2833">
        <v>0</v>
      </c>
      <c r="O2833">
        <v>-0.99817160000000005</v>
      </c>
      <c r="P2833">
        <v>-0.26179229999999998</v>
      </c>
      <c r="Q2833">
        <v>3.8364870000000002E-2</v>
      </c>
      <c r="R2833">
        <v>-0.96436139999999904</v>
      </c>
      <c r="S2833">
        <v>-1.1009979999999999</v>
      </c>
      <c r="T2833">
        <v>-0.236179799999999</v>
      </c>
      <c r="U2833">
        <v>-2.8220209999999999</v>
      </c>
      <c r="V2833">
        <v>0.20447839999999901</v>
      </c>
      <c r="W2833">
        <v>5.1097370000000003E-2</v>
      </c>
      <c r="X2833">
        <v>0.97753650000000003</v>
      </c>
      <c r="Y2833">
        <v>0.30675249999999998</v>
      </c>
      <c r="Z2833">
        <v>7.8319029999999998E-2</v>
      </c>
      <c r="AA2833">
        <v>0.94856149999999995</v>
      </c>
      <c r="AB2833">
        <v>22</v>
      </c>
      <c r="AC2833">
        <v>-5.1647000000000096</v>
      </c>
      <c r="AD2833">
        <v>-1.110452057037</v>
      </c>
      <c r="AE2833">
        <v>-13.0762</v>
      </c>
      <c r="AF2833">
        <v>4.3570553610195004</v>
      </c>
      <c r="AG2833">
        <v>-1.110452057037</v>
      </c>
      <c r="AH2833">
        <v>13.275310962408099</v>
      </c>
      <c r="AI2833">
        <v>94.544130579920306</v>
      </c>
      <c r="AJ2833">
        <v>71.829781047682403</v>
      </c>
      <c r="AK2833">
        <v>14.0160949033103</v>
      </c>
    </row>
    <row r="2834" spans="1:37" x14ac:dyDescent="0.2">
      <c r="A2834" t="str">
        <f>"20200111154121801"</f>
        <v>20200111154121801</v>
      </c>
      <c r="B2834" t="str">
        <f>"1578728481789449"</f>
        <v>1578728481789449</v>
      </c>
      <c r="C2834" t="s">
        <v>37</v>
      </c>
      <c r="D2834">
        <v>5.2901109999999996</v>
      </c>
      <c r="E2834">
        <v>0.54191149999999999</v>
      </c>
      <c r="F2834" t="s">
        <v>39</v>
      </c>
      <c r="G2834">
        <v>-195.8999</v>
      </c>
      <c r="H2834" s="1">
        <v>-1.9537239999999998E-6</v>
      </c>
      <c r="I2834">
        <v>160.40379999999999</v>
      </c>
      <c r="J2834">
        <v>-190.6696</v>
      </c>
      <c r="K2834">
        <v>1.11046</v>
      </c>
      <c r="L2834">
        <v>173.608</v>
      </c>
      <c r="M2834">
        <v>-5.9240269999999998E-2</v>
      </c>
      <c r="N2834">
        <v>0</v>
      </c>
      <c r="O2834">
        <v>-0.99815710000000002</v>
      </c>
      <c r="P2834">
        <v>-0.26326820000000001</v>
      </c>
      <c r="Q2834">
        <v>3.8044149999999999E-2</v>
      </c>
      <c r="R2834">
        <v>-0.96397259999999996</v>
      </c>
      <c r="S2834">
        <v>-1.107513</v>
      </c>
      <c r="T2834">
        <v>-0.23477289999999901</v>
      </c>
      <c r="U2834">
        <v>-2.8195649999999999</v>
      </c>
      <c r="V2834">
        <v>0.20573060000000001</v>
      </c>
      <c r="W2834">
        <v>5.0776399999999999E-2</v>
      </c>
      <c r="X2834">
        <v>0.97729049999999995</v>
      </c>
      <c r="Y2834">
        <v>0.30870940000000002</v>
      </c>
      <c r="Z2834">
        <v>7.7859739999999997E-2</v>
      </c>
      <c r="AA2834">
        <v>0.94796440000000004</v>
      </c>
      <c r="AB2834">
        <v>22</v>
      </c>
      <c r="AC2834">
        <v>-5.2302999999999997</v>
      </c>
      <c r="AD2834">
        <v>-1.1104619537239999</v>
      </c>
      <c r="AE2834">
        <v>-13.2042</v>
      </c>
      <c r="AF2834">
        <v>4.41185301549491</v>
      </c>
      <c r="AG2834">
        <v>-1.1104619537239999</v>
      </c>
      <c r="AH2834">
        <v>13.408902647671299</v>
      </c>
      <c r="AI2834">
        <v>94.497999287044706</v>
      </c>
      <c r="AJ2834">
        <v>71.787545061677903</v>
      </c>
      <c r="AK2834">
        <v>14.1596695934519</v>
      </c>
    </row>
    <row r="2835" spans="1:37" x14ac:dyDescent="0.2">
      <c r="A2835" t="str">
        <f>"20200111154121814"</f>
        <v>20200111154121814</v>
      </c>
      <c r="B2835" t="str">
        <f>"1578728481808968"</f>
        <v>1578728481808968</v>
      </c>
      <c r="C2835" t="s">
        <v>37</v>
      </c>
      <c r="D2835">
        <v>5.2537900000000004</v>
      </c>
      <c r="E2835">
        <v>0.54184469999999996</v>
      </c>
      <c r="F2835" t="s">
        <v>39</v>
      </c>
      <c r="G2835">
        <v>-195.90039999999999</v>
      </c>
      <c r="H2835" s="1">
        <v>-1.9284239999999999E-6</v>
      </c>
      <c r="I2835">
        <v>160.35</v>
      </c>
      <c r="J2835">
        <v>-190.67769999999999</v>
      </c>
      <c r="K2835">
        <v>1.110466</v>
      </c>
      <c r="L2835">
        <v>173.47630000000001</v>
      </c>
      <c r="M2835">
        <v>-5.9477820000000001E-2</v>
      </c>
      <c r="N2835">
        <v>0</v>
      </c>
      <c r="O2835">
        <v>-0.9981428</v>
      </c>
      <c r="P2835">
        <v>-0.26453130000000002</v>
      </c>
      <c r="Q2835">
        <v>3.7662979999999999E-2</v>
      </c>
      <c r="R2835">
        <v>-0.96364130000000003</v>
      </c>
      <c r="S2835">
        <v>-1.11174</v>
      </c>
      <c r="T2835">
        <v>-0.23601439999999901</v>
      </c>
      <c r="U2835">
        <v>-2.817825</v>
      </c>
      <c r="V2835">
        <v>0.206777299999999</v>
      </c>
      <c r="W2835">
        <v>5.0394460000000002E-2</v>
      </c>
      <c r="X2835">
        <v>0.97708930000000005</v>
      </c>
      <c r="Y2835">
        <v>0.30990109999999998</v>
      </c>
      <c r="Z2835">
        <v>7.8275600000000001E-2</v>
      </c>
      <c r="AA2835">
        <v>0.94754110000000003</v>
      </c>
      <c r="AB2835">
        <v>22</v>
      </c>
      <c r="AC2835">
        <v>-5.2226999999999997</v>
      </c>
      <c r="AD2835">
        <v>-1.110467928424</v>
      </c>
      <c r="AE2835">
        <v>-13.126300000000001</v>
      </c>
      <c r="AF2835">
        <v>4.4054406242725701</v>
      </c>
      <c r="AG2835">
        <v>-1.110467928424</v>
      </c>
      <c r="AH2835">
        <v>13.331347751609499</v>
      </c>
      <c r="AI2835">
        <v>94.522162461412904</v>
      </c>
      <c r="AJ2835">
        <v>71.713487196356695</v>
      </c>
      <c r="AK2835">
        <v>14.0842422227252</v>
      </c>
    </row>
    <row r="2836" spans="1:37" x14ac:dyDescent="0.2">
      <c r="A2836" t="str">
        <f>"20200111154121833"</f>
        <v>20200111154121833</v>
      </c>
      <c r="B2836" t="str">
        <f>"1578728481828488"</f>
        <v>1578728481828488</v>
      </c>
      <c r="C2836" t="s">
        <v>37</v>
      </c>
      <c r="D2836">
        <v>5.2390470000000002</v>
      </c>
      <c r="E2836">
        <v>0.54175960000000001</v>
      </c>
      <c r="F2836" t="s">
        <v>39</v>
      </c>
      <c r="G2836">
        <v>-195.87200000000001</v>
      </c>
      <c r="H2836" s="1">
        <v>-1.9217370000000001E-6</v>
      </c>
      <c r="I2836">
        <v>160.3518</v>
      </c>
      <c r="J2836">
        <v>-190.68860000000001</v>
      </c>
      <c r="K2836">
        <v>1.1104700000000001</v>
      </c>
      <c r="L2836">
        <v>173.3005</v>
      </c>
      <c r="M2836">
        <v>-5.9788670000000002E-2</v>
      </c>
      <c r="N2836">
        <v>0</v>
      </c>
      <c r="O2836">
        <v>-0.99812420000000002</v>
      </c>
      <c r="P2836">
        <v>-0.26725100000000002</v>
      </c>
      <c r="Q2836">
        <v>3.6560269999999999E-2</v>
      </c>
      <c r="R2836">
        <v>-0.96293309999999999</v>
      </c>
      <c r="S2836">
        <v>-1.1147</v>
      </c>
      <c r="T2836">
        <v>-0.23830699999999999</v>
      </c>
      <c r="U2836">
        <v>-2.816513</v>
      </c>
      <c r="V2836">
        <v>0.20922829999999901</v>
      </c>
      <c r="W2836">
        <v>4.9287669999999999E-2</v>
      </c>
      <c r="X2836">
        <v>0.97662389999999999</v>
      </c>
      <c r="Y2836">
        <v>0.31059490000000001</v>
      </c>
      <c r="Z2836">
        <v>7.903897E-2</v>
      </c>
      <c r="AA2836">
        <v>0.947250499999999</v>
      </c>
      <c r="AB2836">
        <v>22</v>
      </c>
      <c r="AC2836">
        <v>-5.1833999999999998</v>
      </c>
      <c r="AD2836">
        <v>-1.110471921737</v>
      </c>
      <c r="AE2836">
        <v>-12.948700000000001</v>
      </c>
      <c r="AF2836">
        <v>4.3721582155387599</v>
      </c>
      <c r="AG2836">
        <v>-1.110471921737</v>
      </c>
      <c r="AH2836">
        <v>13.152097086981801</v>
      </c>
      <c r="AI2836">
        <v>94.580862099408407</v>
      </c>
      <c r="AJ2836">
        <v>71.611619446406607</v>
      </c>
      <c r="AK2836">
        <v>13.9041926459635</v>
      </c>
    </row>
    <row r="2837" spans="1:37" x14ac:dyDescent="0.2">
      <c r="A2837" t="str">
        <f>"20200111154121855"</f>
        <v>20200111154121855</v>
      </c>
      <c r="B2837" t="str">
        <f>"1578728481848984"</f>
        <v>1578728481848984</v>
      </c>
      <c r="C2837" t="s">
        <v>37</v>
      </c>
      <c r="D2837">
        <v>5.2510349999999999</v>
      </c>
      <c r="E2837">
        <v>0.54169799999999901</v>
      </c>
      <c r="F2837" t="s">
        <v>39</v>
      </c>
      <c r="G2837">
        <v>-195.79409999999999</v>
      </c>
      <c r="H2837" s="1">
        <v>-1.9660540000000001E-6</v>
      </c>
      <c r="I2837">
        <v>160.48939999999999</v>
      </c>
      <c r="J2837">
        <v>-190.70259999999999</v>
      </c>
      <c r="K2837">
        <v>1.110471</v>
      </c>
      <c r="L2837">
        <v>173.07599999999999</v>
      </c>
      <c r="M2837">
        <v>-6.0178620000000002E-2</v>
      </c>
      <c r="N2837">
        <v>0</v>
      </c>
      <c r="O2837">
        <v>-0.99810080000000001</v>
      </c>
      <c r="P2837">
        <v>-0.27037939999999999</v>
      </c>
      <c r="Q2837">
        <v>3.5430650000000001E-2</v>
      </c>
      <c r="R2837">
        <v>-0.96210189999999995</v>
      </c>
      <c r="S2837">
        <v>-1.1212770000000001</v>
      </c>
      <c r="T2837">
        <v>-0.24388029999999999</v>
      </c>
      <c r="U2837">
        <v>-2.8135680000000001</v>
      </c>
      <c r="V2837">
        <v>0.21201739999999999</v>
      </c>
      <c r="W2837">
        <v>4.8151760000000002E-2</v>
      </c>
      <c r="X2837">
        <v>0.97607889999999997</v>
      </c>
      <c r="Y2837">
        <v>0.31241970000000002</v>
      </c>
      <c r="Z2837">
        <v>8.0891879999999999E-2</v>
      </c>
      <c r="AA2837">
        <v>0.94649369999999999</v>
      </c>
      <c r="AB2837">
        <v>22</v>
      </c>
      <c r="AC2837">
        <v>-5.0914999999999901</v>
      </c>
      <c r="AD2837">
        <v>-1.110472966054</v>
      </c>
      <c r="AE2837">
        <v>-12.586600000000001</v>
      </c>
      <c r="AF2837">
        <v>4.2960233054897001</v>
      </c>
      <c r="AG2837">
        <v>-1.110472966054</v>
      </c>
      <c r="AH2837">
        <v>12.784689402014701</v>
      </c>
      <c r="AI2837">
        <v>94.706855568452298</v>
      </c>
      <c r="AJ2837">
        <v>71.426170922623101</v>
      </c>
      <c r="AK2837">
        <v>13.5328211972092</v>
      </c>
    </row>
    <row r="2838" spans="1:37" x14ac:dyDescent="0.2">
      <c r="A2838" t="str">
        <f>"20200111154121870"</f>
        <v>20200111154121870</v>
      </c>
      <c r="B2838" t="str">
        <f>"1578728481859349"</f>
        <v>1578728481859349</v>
      </c>
      <c r="C2838" t="s">
        <v>37</v>
      </c>
      <c r="D2838">
        <v>5.2480459999999898</v>
      </c>
      <c r="E2838">
        <v>0.54166099999999995</v>
      </c>
      <c r="F2838" t="s">
        <v>39</v>
      </c>
      <c r="G2838">
        <v>-195.72460000000001</v>
      </c>
      <c r="H2838" s="1">
        <v>-1.9906399999999999E-6</v>
      </c>
      <c r="I2838">
        <v>160.5806</v>
      </c>
      <c r="J2838">
        <v>-190.71190000000001</v>
      </c>
      <c r="K2838">
        <v>1.1104719999999999</v>
      </c>
      <c r="L2838">
        <v>172.92580000000001</v>
      </c>
      <c r="M2838">
        <v>-6.0438659999999998E-2</v>
      </c>
      <c r="N2838">
        <v>0</v>
      </c>
      <c r="O2838">
        <v>-0.998085</v>
      </c>
      <c r="P2838">
        <v>-0.27213379999999998</v>
      </c>
      <c r="Q2838">
        <v>3.4796239999999999E-2</v>
      </c>
      <c r="R2838">
        <v>-0.96163019999999999</v>
      </c>
      <c r="S2838">
        <v>-1.1293489999999999</v>
      </c>
      <c r="T2838">
        <v>-0.249723</v>
      </c>
      <c r="U2838">
        <v>-2.80998199999999</v>
      </c>
      <c r="V2838">
        <v>0.2135417</v>
      </c>
      <c r="W2838">
        <v>4.751354E-2</v>
      </c>
      <c r="X2838">
        <v>0.97577789999999998</v>
      </c>
      <c r="Y2838">
        <v>0.31487029999999999</v>
      </c>
      <c r="Z2838">
        <v>8.2834660000000004E-2</v>
      </c>
      <c r="AA2838">
        <v>0.9455131</v>
      </c>
      <c r="AB2838">
        <v>22</v>
      </c>
      <c r="AC2838">
        <v>-5.0126999999999899</v>
      </c>
      <c r="AD2838">
        <v>-1.1104739906399901</v>
      </c>
      <c r="AE2838">
        <v>-12.3452</v>
      </c>
      <c r="AF2838">
        <v>4.2279746579134301</v>
      </c>
      <c r="AG2838">
        <v>-1.1104739906399901</v>
      </c>
      <c r="AH2838">
        <v>12.538521068584499</v>
      </c>
      <c r="AI2838">
        <v>94.797152568700199</v>
      </c>
      <c r="AJ2838">
        <v>71.365953785040602</v>
      </c>
      <c r="AK2838">
        <v>13.2786833978065</v>
      </c>
    </row>
    <row r="2839" spans="1:37" x14ac:dyDescent="0.2">
      <c r="A2839" t="str">
        <f>"20200111154121884"</f>
        <v>20200111154121884</v>
      </c>
      <c r="B2839" t="str">
        <f>"1578728481878858"</f>
        <v>1578728481878858</v>
      </c>
      <c r="C2839" t="s">
        <v>37</v>
      </c>
      <c r="D2839">
        <v>5.260141</v>
      </c>
      <c r="E2839">
        <v>0.54165980000000002</v>
      </c>
      <c r="F2839" t="s">
        <v>39</v>
      </c>
      <c r="G2839">
        <v>-195.6962</v>
      </c>
      <c r="H2839" s="1">
        <v>-1.98544299999999E-6</v>
      </c>
      <c r="I2839">
        <v>160.5855</v>
      </c>
      <c r="J2839">
        <v>-190.7209</v>
      </c>
      <c r="K2839">
        <v>1.1104780000000001</v>
      </c>
      <c r="L2839">
        <v>172.78229999999999</v>
      </c>
      <c r="M2839">
        <v>-6.0687999999999999E-2</v>
      </c>
      <c r="N2839">
        <v>0</v>
      </c>
      <c r="O2839">
        <v>-0.99807000000000001</v>
      </c>
      <c r="P2839">
        <v>-0.27378559999999902</v>
      </c>
      <c r="Q2839">
        <v>3.4313879999999998E-2</v>
      </c>
      <c r="R2839">
        <v>-0.96117849999999905</v>
      </c>
      <c r="S2839">
        <v>-1.134109</v>
      </c>
      <c r="T2839">
        <v>-0.25267679999999998</v>
      </c>
      <c r="U2839">
        <v>-2.8079070000000002</v>
      </c>
      <c r="V2839">
        <v>0.2149732</v>
      </c>
      <c r="W2839">
        <v>4.7027230000000003E-2</v>
      </c>
      <c r="X2839">
        <v>0.97548709999999905</v>
      </c>
      <c r="Y2839">
        <v>0.31622309999999998</v>
      </c>
      <c r="Z2839">
        <v>8.3817589999999997E-2</v>
      </c>
      <c r="AA2839">
        <v>0.94497489999999995</v>
      </c>
      <c r="AB2839">
        <v>22</v>
      </c>
      <c r="AC2839">
        <v>-4.9752999999999998</v>
      </c>
      <c r="AD2839">
        <v>-1.1104799854430001</v>
      </c>
      <c r="AE2839">
        <v>-12.1967999999999</v>
      </c>
      <c r="AF2839">
        <v>4.1960432781552397</v>
      </c>
      <c r="AG2839">
        <v>-1.1104799854430001</v>
      </c>
      <c r="AH2839">
        <v>12.388239371550901</v>
      </c>
      <c r="AI2839">
        <v>94.852879467677795</v>
      </c>
      <c r="AJ2839">
        <v>71.288151276320406</v>
      </c>
      <c r="AK2839">
        <v>13.126630173699001</v>
      </c>
    </row>
    <row r="2840" spans="1:37" x14ac:dyDescent="0.2">
      <c r="A2840" t="str">
        <f>"20200111154121899"</f>
        <v>20200111154121899</v>
      </c>
      <c r="B2840" t="str">
        <f>"1578728481888617"</f>
        <v>1578728481888617</v>
      </c>
      <c r="C2840" t="s">
        <v>37</v>
      </c>
      <c r="D2840">
        <v>5.264659</v>
      </c>
      <c r="E2840">
        <v>0.54162999999999994</v>
      </c>
      <c r="F2840" t="s">
        <v>39</v>
      </c>
      <c r="G2840">
        <v>-195.649</v>
      </c>
      <c r="H2840" s="1">
        <v>-1.9972309999999999E-6</v>
      </c>
      <c r="I2840">
        <v>160.637</v>
      </c>
      <c r="J2840">
        <v>-190.7304</v>
      </c>
      <c r="K2840">
        <v>1.110474</v>
      </c>
      <c r="L2840">
        <v>172.63239999999999</v>
      </c>
      <c r="M2840">
        <v>-6.0950890000000001E-2</v>
      </c>
      <c r="N2840">
        <v>0</v>
      </c>
      <c r="O2840">
        <v>-0.99805379999999999</v>
      </c>
      <c r="P2840">
        <v>-0.27691640000000001</v>
      </c>
      <c r="Q2840">
        <v>3.2895359999999998E-2</v>
      </c>
      <c r="R2840">
        <v>-0.96033089999999999</v>
      </c>
      <c r="S2840">
        <v>-1.138565</v>
      </c>
      <c r="T2840">
        <v>-0.25656190000000001</v>
      </c>
      <c r="U2840">
        <v>-2.806</v>
      </c>
      <c r="V2840">
        <v>0.21789159999999999</v>
      </c>
      <c r="W2840">
        <v>4.5600160000000001E-2</v>
      </c>
      <c r="X2840">
        <v>0.97490710000000003</v>
      </c>
      <c r="Y2840">
        <v>0.31744429999999901</v>
      </c>
      <c r="Z2840">
        <v>8.5105639999999996E-2</v>
      </c>
      <c r="AA2840">
        <v>0.94445020000000002</v>
      </c>
      <c r="AB2840">
        <v>22</v>
      </c>
      <c r="AC2840">
        <v>-4.9185999999999899</v>
      </c>
      <c r="AD2840">
        <v>-1.1104759972310001</v>
      </c>
      <c r="AE2840">
        <v>-11.995399999999901</v>
      </c>
      <c r="AF2840">
        <v>4.1478287293255001</v>
      </c>
      <c r="AG2840">
        <v>-1.1104759972310001</v>
      </c>
      <c r="AH2840">
        <v>12.1835269369108</v>
      </c>
      <c r="AI2840">
        <v>94.931411516189897</v>
      </c>
      <c r="AJ2840">
        <v>71.199081952710301</v>
      </c>
      <c r="AK2840">
        <v>12.9180481780598</v>
      </c>
    </row>
    <row r="2841" spans="1:37" x14ac:dyDescent="0.2">
      <c r="A2841" t="str">
        <f>"20200111154121913"</f>
        <v>20200111154121913</v>
      </c>
      <c r="B2841" t="str">
        <f>"1578728481909114"</f>
        <v>1578728481909114</v>
      </c>
      <c r="C2841" t="s">
        <v>37</v>
      </c>
      <c r="D2841">
        <v>5.2768239999999897</v>
      </c>
      <c r="E2841">
        <v>0.54166269999999905</v>
      </c>
      <c r="F2841" t="s">
        <v>39</v>
      </c>
      <c r="G2841">
        <v>-195.59960000000001</v>
      </c>
      <c r="H2841" s="1">
        <v>-2.032707E-6</v>
      </c>
      <c r="I2841">
        <v>160.73990000000001</v>
      </c>
      <c r="J2841">
        <v>-190.73869999999999</v>
      </c>
      <c r="K2841">
        <v>1.1104700000000001</v>
      </c>
      <c r="L2841">
        <v>172.50190000000001</v>
      </c>
      <c r="M2841">
        <v>-6.1181390000000002E-2</v>
      </c>
      <c r="N2841">
        <v>0</v>
      </c>
      <c r="O2841">
        <v>-0.99804020000000004</v>
      </c>
      <c r="P2841">
        <v>-0.27860200000000002</v>
      </c>
      <c r="Q2841">
        <v>3.239131E-2</v>
      </c>
      <c r="R2841">
        <v>-0.95986059999999995</v>
      </c>
      <c r="S2841">
        <v>-1.1472629999999999</v>
      </c>
      <c r="T2841">
        <v>-0.2616464</v>
      </c>
      <c r="U2841">
        <v>-2.802063</v>
      </c>
      <c r="V2841">
        <v>0.21937709999999999</v>
      </c>
      <c r="W2841">
        <v>4.509142E-2</v>
      </c>
      <c r="X2841">
        <v>0.97459759999999995</v>
      </c>
      <c r="Y2841">
        <v>0.3201444</v>
      </c>
      <c r="Z2841">
        <v>8.680003E-2</v>
      </c>
      <c r="AA2841">
        <v>0.94338389999999905</v>
      </c>
      <c r="AB2841">
        <v>22</v>
      </c>
      <c r="AC2841">
        <v>-4.8609000000000098</v>
      </c>
      <c r="AD2841">
        <v>-1.1104720327069999</v>
      </c>
      <c r="AE2841">
        <v>-11.762</v>
      </c>
      <c r="AF2841">
        <v>4.1008933988982896</v>
      </c>
      <c r="AG2841">
        <v>-1.1104720327069999</v>
      </c>
      <c r="AH2841">
        <v>11.9464325898025</v>
      </c>
      <c r="AI2841">
        <v>95.024439148274197</v>
      </c>
      <c r="AJ2841">
        <v>71.054013486303901</v>
      </c>
      <c r="AK2841">
        <v>12.679421375884999</v>
      </c>
    </row>
    <row r="2842" spans="1:37" x14ac:dyDescent="0.2">
      <c r="A2842" t="str">
        <f>"20200111154121927"</f>
        <v>20200111154121927</v>
      </c>
      <c r="B2842" t="str">
        <f>"1578728481918873"</f>
        <v>1578728481918873</v>
      </c>
      <c r="C2842" t="s">
        <v>37</v>
      </c>
      <c r="D2842">
        <v>5.2719440000000004</v>
      </c>
      <c r="E2842">
        <v>0.55002220000000002</v>
      </c>
      <c r="F2842" t="s">
        <v>39</v>
      </c>
      <c r="G2842">
        <v>-195.59610000000001</v>
      </c>
      <c r="H2842" s="1">
        <v>-2.01176199999999E-6</v>
      </c>
      <c r="I2842">
        <v>160.69749999999999</v>
      </c>
      <c r="J2842">
        <v>-190.74799999999999</v>
      </c>
      <c r="K2842">
        <v>1.1104670000000001</v>
      </c>
      <c r="L2842">
        <v>172.35409999999999</v>
      </c>
      <c r="M2842">
        <v>-6.1444039999999998E-2</v>
      </c>
      <c r="N2842">
        <v>0</v>
      </c>
      <c r="O2842">
        <v>-0.99802400000000002</v>
      </c>
      <c r="P2842">
        <v>-0.28031479999999998</v>
      </c>
      <c r="Q2842">
        <v>3.254576E-2</v>
      </c>
      <c r="R2842">
        <v>-0.95935689999999996</v>
      </c>
      <c r="S2842">
        <v>-1.152161</v>
      </c>
      <c r="T2842">
        <v>-0.26339699999999999</v>
      </c>
      <c r="U2842">
        <v>-2.7999269999999998</v>
      </c>
      <c r="V2842">
        <v>0.2208609</v>
      </c>
      <c r="W2842">
        <v>4.523957E-2</v>
      </c>
      <c r="X2842">
        <v>0.97425550000000005</v>
      </c>
      <c r="Y2842">
        <v>0.3215401</v>
      </c>
      <c r="Z2842">
        <v>8.7386229999999995E-2</v>
      </c>
      <c r="AA2842">
        <v>0.94285509999999995</v>
      </c>
      <c r="AB2842">
        <v>22</v>
      </c>
      <c r="AC2842">
        <v>-4.8481000000000103</v>
      </c>
      <c r="AD2842">
        <v>-1.110469011762</v>
      </c>
      <c r="AE2842">
        <v>-11.6565999999999</v>
      </c>
      <c r="AF2842">
        <v>4.0909951936736704</v>
      </c>
      <c r="AG2842">
        <v>-1.110469011762</v>
      </c>
      <c r="AH2842">
        <v>11.840870027019299</v>
      </c>
      <c r="AI2842">
        <v>95.065534359015601</v>
      </c>
      <c r="AJ2842">
        <v>70.9400786353782</v>
      </c>
      <c r="AK2842">
        <v>12.576787590537901</v>
      </c>
    </row>
    <row r="2843" spans="1:37" x14ac:dyDescent="0.2">
      <c r="A2843" t="str">
        <f>"20200111154121945"</f>
        <v>20200111154121945</v>
      </c>
      <c r="B2843" t="str">
        <f>"1578728481939369"</f>
        <v>1578728481939369</v>
      </c>
      <c r="C2843" t="s">
        <v>37</v>
      </c>
      <c r="D2843">
        <v>5.2305330000000003</v>
      </c>
      <c r="E2843">
        <v>0.55070949999999996</v>
      </c>
      <c r="F2843" t="s">
        <v>39</v>
      </c>
      <c r="G2843">
        <v>-195.73759999999999</v>
      </c>
      <c r="H2843" s="1">
        <v>-2.1906179999999999E-6</v>
      </c>
      <c r="I2843">
        <v>160.99629999999999</v>
      </c>
      <c r="J2843">
        <v>-190.7587</v>
      </c>
      <c r="K2843">
        <v>1.110465</v>
      </c>
      <c r="L2843">
        <v>172.18729999999999</v>
      </c>
      <c r="M2843">
        <v>-6.1742480000000002E-2</v>
      </c>
      <c r="N2843">
        <v>0</v>
      </c>
      <c r="O2843">
        <v>-0.99800540000000004</v>
      </c>
      <c r="P2843">
        <v>-0.28373330000000002</v>
      </c>
      <c r="Q2843">
        <v>3.2298099999999899E-2</v>
      </c>
      <c r="R2843">
        <v>-0.95835949999999903</v>
      </c>
      <c r="S2843">
        <v>-1.221069</v>
      </c>
      <c r="T2843">
        <v>-0.27176040000000001</v>
      </c>
      <c r="U2843">
        <v>-2.779541</v>
      </c>
      <c r="V2843">
        <v>0.22404289999999999</v>
      </c>
      <c r="W2843">
        <v>4.4979949999999998E-2</v>
      </c>
      <c r="X2843">
        <v>0.97354069999999904</v>
      </c>
      <c r="Y2843">
        <v>0.3432788</v>
      </c>
      <c r="Z2843">
        <v>8.9965580000000003E-2</v>
      </c>
      <c r="AA2843">
        <v>0.93491489999999999</v>
      </c>
      <c r="AB2843">
        <v>22</v>
      </c>
      <c r="AC2843">
        <v>-4.9788999999999799</v>
      </c>
      <c r="AD2843">
        <v>-1.1104671906179999</v>
      </c>
      <c r="AE2843">
        <v>-11.191000000000001</v>
      </c>
      <c r="AF2843">
        <v>4.2435003104006102</v>
      </c>
      <c r="AG2843">
        <v>-1.1104671906179999</v>
      </c>
      <c r="AH2843">
        <v>11.383515872234099</v>
      </c>
      <c r="AI2843">
        <v>95.222665280290499</v>
      </c>
      <c r="AJ2843">
        <v>69.555757477762</v>
      </c>
      <c r="AK2843">
        <v>12.1993797333805</v>
      </c>
    </row>
    <row r="2844" spans="1:37" x14ac:dyDescent="0.2">
      <c r="A2844" t="str">
        <f>"20200111154121957"</f>
        <v>20200111154121957</v>
      </c>
      <c r="B2844" t="str">
        <f>"1578728481949128"</f>
        <v>1578728481949128</v>
      </c>
      <c r="C2844" t="s">
        <v>37</v>
      </c>
      <c r="D2844">
        <v>5.2568789999999996</v>
      </c>
      <c r="E2844">
        <v>0.55027469999999901</v>
      </c>
      <c r="F2844" t="s">
        <v>39</v>
      </c>
      <c r="G2844">
        <v>-195.96440000000001</v>
      </c>
      <c r="H2844" s="1">
        <v>-2.0200830000000001E-6</v>
      </c>
      <c r="I2844">
        <v>160.50790000000001</v>
      </c>
      <c r="J2844">
        <v>-190.76750000000001</v>
      </c>
      <c r="K2844">
        <v>1.110466</v>
      </c>
      <c r="L2844">
        <v>172.0498</v>
      </c>
      <c r="M2844">
        <v>-6.1989929999999999E-2</v>
      </c>
      <c r="N2844">
        <v>0</v>
      </c>
      <c r="O2844">
        <v>-0.99799009999999999</v>
      </c>
      <c r="P2844">
        <v>-0.28548639999999997</v>
      </c>
      <c r="Q2844">
        <v>3.1803310000000001E-2</v>
      </c>
      <c r="R2844">
        <v>-0.95785509999999996</v>
      </c>
      <c r="S2844">
        <v>-1.2361149999999901</v>
      </c>
      <c r="T2844">
        <v>-0.263683</v>
      </c>
      <c r="U2844">
        <v>-2.7732999999999999</v>
      </c>
      <c r="V2844">
        <v>0.22558209999999901</v>
      </c>
      <c r="W2844">
        <v>4.4478829999999997E-2</v>
      </c>
      <c r="X2844">
        <v>0.97320819999999997</v>
      </c>
      <c r="Y2844">
        <v>0.34815180000000001</v>
      </c>
      <c r="Z2844">
        <v>8.7317729999999996E-2</v>
      </c>
      <c r="AA2844">
        <v>0.93336269999999999</v>
      </c>
      <c r="AB2844">
        <v>22</v>
      </c>
      <c r="AC2844">
        <v>-5.1968999999999896</v>
      </c>
      <c r="AD2844">
        <v>-1.1104680200829999</v>
      </c>
      <c r="AE2844">
        <v>-11.541899999999901</v>
      </c>
      <c r="AF2844">
        <v>4.4372095251930102</v>
      </c>
      <c r="AG2844">
        <v>-1.1104680200829999</v>
      </c>
      <c r="AH2844">
        <v>11.751438258537201</v>
      </c>
      <c r="AI2844">
        <v>95.052055173449801</v>
      </c>
      <c r="AJ2844">
        <v>69.314033503423403</v>
      </c>
      <c r="AK2844">
        <v>12.6102445947056</v>
      </c>
    </row>
    <row r="2845" spans="1:37" x14ac:dyDescent="0.2">
      <c r="A2845" t="str">
        <f>"20200111154121977"</f>
        <v>20200111154121977</v>
      </c>
      <c r="B2845" t="str">
        <f>"1578728481969198"</f>
        <v>1578728481969198</v>
      </c>
      <c r="C2845" t="s">
        <v>37</v>
      </c>
      <c r="D2845">
        <v>5.2136180000000003</v>
      </c>
      <c r="E2845">
        <v>0.55009469999999905</v>
      </c>
      <c r="F2845" t="s">
        <v>39</v>
      </c>
      <c r="G2845">
        <v>-196.0052</v>
      </c>
      <c r="H2845" s="1">
        <v>-1.9415949999999998E-6</v>
      </c>
      <c r="I2845">
        <v>160.31880000000001</v>
      </c>
      <c r="J2845">
        <v>-190.78020000000001</v>
      </c>
      <c r="K2845">
        <v>1.1104639999999999</v>
      </c>
      <c r="L2845">
        <v>171.85120000000001</v>
      </c>
      <c r="M2845">
        <v>-6.2348899999999999E-2</v>
      </c>
      <c r="N2845">
        <v>0</v>
      </c>
      <c r="O2845">
        <v>-0.99796770000000001</v>
      </c>
      <c r="P2845">
        <v>-0.2889912</v>
      </c>
      <c r="Q2845">
        <v>3.1595560000000002E-2</v>
      </c>
      <c r="R2845">
        <v>-0.95681059999999996</v>
      </c>
      <c r="S2845">
        <v>-1.237595</v>
      </c>
      <c r="T2845">
        <v>-0.26238610000000001</v>
      </c>
      <c r="U2845">
        <v>-2.7718509999999998</v>
      </c>
      <c r="V2845">
        <v>0.2287949</v>
      </c>
      <c r="W2845">
        <v>4.4257320000000003E-2</v>
      </c>
      <c r="X2845">
        <v>0.97246809999999995</v>
      </c>
      <c r="Y2845">
        <v>0.34842620000000002</v>
      </c>
      <c r="Z2845">
        <v>8.6916400000000005E-2</v>
      </c>
      <c r="AA2845">
        <v>0.93329779999999996</v>
      </c>
      <c r="AB2845">
        <v>22</v>
      </c>
      <c r="AC2845">
        <v>-5.2249999999999899</v>
      </c>
      <c r="AD2845">
        <v>-1.110465941595</v>
      </c>
      <c r="AE2845">
        <v>-11.5323999999999</v>
      </c>
      <c r="AF2845">
        <v>4.4614169991996899</v>
      </c>
      <c r="AG2845">
        <v>-1.110465941595</v>
      </c>
      <c r="AH2845">
        <v>11.7454047873769</v>
      </c>
      <c r="AI2845">
        <v>95.050873262463995</v>
      </c>
      <c r="AJ2845">
        <v>69.201039062704893</v>
      </c>
      <c r="AK2845">
        <v>12.613164149709901</v>
      </c>
    </row>
    <row r="2846" spans="1:37" x14ac:dyDescent="0.2">
      <c r="A2846" t="str">
        <f>"20200111154121999"</f>
        <v>20200111154121999</v>
      </c>
      <c r="B2846" t="str">
        <f>"1578728481988719"</f>
        <v>1578728481988719</v>
      </c>
      <c r="C2846" t="s">
        <v>37</v>
      </c>
      <c r="D2846">
        <v>5.2033050000000003</v>
      </c>
      <c r="E2846">
        <v>0.54989730000000003</v>
      </c>
      <c r="F2846" t="s">
        <v>39</v>
      </c>
      <c r="G2846">
        <v>-196.0436</v>
      </c>
      <c r="H2846" s="1">
        <v>-1.87619499999999E-6</v>
      </c>
      <c r="I2846">
        <v>160.15889999999999</v>
      </c>
      <c r="J2846">
        <v>-190.7937</v>
      </c>
      <c r="K2846">
        <v>1.110465</v>
      </c>
      <c r="L2846">
        <v>171.64279999999999</v>
      </c>
      <c r="M2846">
        <v>-6.2727060000000001E-2</v>
      </c>
      <c r="N2846">
        <v>0</v>
      </c>
      <c r="O2846">
        <v>-0.997944099999999</v>
      </c>
      <c r="P2846">
        <v>-0.29198449999999998</v>
      </c>
      <c r="Q2846">
        <v>3.211849E-2</v>
      </c>
      <c r="R2846">
        <v>-0.95588390000000001</v>
      </c>
      <c r="S2846">
        <v>-1.2459260000000001</v>
      </c>
      <c r="T2846">
        <v>-0.26286749999999998</v>
      </c>
      <c r="U2846">
        <v>-2.767792</v>
      </c>
      <c r="V2846">
        <v>0.23147219999999999</v>
      </c>
      <c r="W2846">
        <v>4.4768450000000001E-2</v>
      </c>
      <c r="X2846">
        <v>0.97181090000000003</v>
      </c>
      <c r="Y2846">
        <v>0.3509118</v>
      </c>
      <c r="Z2846">
        <v>8.7094370000000004E-2</v>
      </c>
      <c r="AA2846">
        <v>0.93234939999999999</v>
      </c>
      <c r="AB2846">
        <v>22</v>
      </c>
      <c r="AC2846">
        <v>-5.2498999999999896</v>
      </c>
      <c r="AD2846">
        <v>-1.1104668761950001</v>
      </c>
      <c r="AE2846">
        <v>-11.4839</v>
      </c>
      <c r="AF2846">
        <v>4.4844628103889299</v>
      </c>
      <c r="AG2846">
        <v>-1.1104668761950001</v>
      </c>
      <c r="AH2846">
        <v>11.700130279732299</v>
      </c>
      <c r="AI2846">
        <v>95.064545476017599</v>
      </c>
      <c r="AJ2846">
        <v>69.029013445356895</v>
      </c>
      <c r="AK2846">
        <v>12.579212691722599</v>
      </c>
    </row>
    <row r="2847" spans="1:37" x14ac:dyDescent="0.2">
      <c r="A2847" t="str">
        <f>"20200111154122013"</f>
        <v>20200111154122013</v>
      </c>
      <c r="B2847" t="str">
        <f>"1578728482009214"</f>
        <v>1578728482009214</v>
      </c>
      <c r="C2847" t="s">
        <v>37</v>
      </c>
      <c r="D2847">
        <v>5.2100629999999999</v>
      </c>
      <c r="E2847">
        <v>0.54980039999999997</v>
      </c>
      <c r="F2847" t="s">
        <v>39</v>
      </c>
      <c r="G2847">
        <v>-196.16489999999999</v>
      </c>
      <c r="H2847" s="1">
        <v>-1.735134E-6</v>
      </c>
      <c r="I2847">
        <v>159.79220000000001</v>
      </c>
      <c r="J2847">
        <v>-190.8021</v>
      </c>
      <c r="K2847">
        <v>1.1104620000000001</v>
      </c>
      <c r="L2847">
        <v>171.5145</v>
      </c>
      <c r="M2847">
        <v>-6.2960539999999995E-2</v>
      </c>
      <c r="N2847">
        <v>0</v>
      </c>
      <c r="O2847">
        <v>-0.99792909999999901</v>
      </c>
      <c r="P2847">
        <v>-0.29321039999999998</v>
      </c>
      <c r="Q2847">
        <v>3.2204919999999998E-2</v>
      </c>
      <c r="R2847">
        <v>-0.95550550000000001</v>
      </c>
      <c r="S2847">
        <v>-1.252945</v>
      </c>
      <c r="T2847">
        <v>-0.2590403</v>
      </c>
      <c r="U2847">
        <v>-2.7644199999999999</v>
      </c>
      <c r="V2847">
        <v>0.23249220000000001</v>
      </c>
      <c r="W2847">
        <v>4.484991E-2</v>
      </c>
      <c r="X2847">
        <v>0.97156359999999997</v>
      </c>
      <c r="Y2847">
        <v>0.35312769999999999</v>
      </c>
      <c r="Z2847">
        <v>8.5849579999999995E-2</v>
      </c>
      <c r="AA2847">
        <v>0.93162800000000001</v>
      </c>
      <c r="AB2847">
        <v>22</v>
      </c>
      <c r="AC2847">
        <v>-5.3627999999999902</v>
      </c>
      <c r="AD2847">
        <v>-1.1104637351340001</v>
      </c>
      <c r="AE2847">
        <v>-11.722299999999899</v>
      </c>
      <c r="AF2847">
        <v>4.5800643158639698</v>
      </c>
      <c r="AG2847">
        <v>-1.1104637351340001</v>
      </c>
      <c r="AH2847">
        <v>11.9480490415128</v>
      </c>
      <c r="AI2847">
        <v>94.959893474317894</v>
      </c>
      <c r="AJ2847">
        <v>69.026595007715997</v>
      </c>
      <c r="AK2847">
        <v>12.843908857621701</v>
      </c>
    </row>
    <row r="2848" spans="1:37" x14ac:dyDescent="0.2">
      <c r="A2848" t="str">
        <f>"20200111154122026"</f>
        <v>20200111154122026</v>
      </c>
      <c r="B2848" t="str">
        <f>"1578728482018975"</f>
        <v>1578728482018975</v>
      </c>
      <c r="C2848" t="s">
        <v>37</v>
      </c>
      <c r="D2848">
        <v>5.2794030000000003</v>
      </c>
      <c r="E2848">
        <v>0.54970410000000003</v>
      </c>
      <c r="F2848" t="s">
        <v>39</v>
      </c>
      <c r="G2848">
        <v>-196.1885</v>
      </c>
      <c r="H2848" s="1">
        <v>-1.6788759999999999E-6</v>
      </c>
      <c r="I2848">
        <v>159.65989999999999</v>
      </c>
      <c r="J2848">
        <v>-190.81129999999999</v>
      </c>
      <c r="K2848">
        <v>1.110463</v>
      </c>
      <c r="L2848">
        <v>171.37209999999999</v>
      </c>
      <c r="M2848">
        <v>-6.3219670000000006E-2</v>
      </c>
      <c r="N2848">
        <v>0</v>
      </c>
      <c r="O2848">
        <v>-0.99791299999999905</v>
      </c>
      <c r="P2848">
        <v>-0.29442229999999903</v>
      </c>
      <c r="Q2848">
        <v>3.2351579999999998E-2</v>
      </c>
      <c r="R2848">
        <v>-0.95512770000000002</v>
      </c>
      <c r="S2848">
        <v>-1.2555080000000001</v>
      </c>
      <c r="T2848">
        <v>-0.25883579999999901</v>
      </c>
      <c r="U2848">
        <v>-2.763153</v>
      </c>
      <c r="V2848">
        <v>0.23347319999999999</v>
      </c>
      <c r="W2848">
        <v>4.4991860000000002E-2</v>
      </c>
      <c r="X2848">
        <v>0.97132180000000001</v>
      </c>
      <c r="Y2848">
        <v>0.35376429999999998</v>
      </c>
      <c r="Z2848">
        <v>8.5789470000000007E-2</v>
      </c>
      <c r="AA2848">
        <v>0.931392</v>
      </c>
      <c r="AB2848">
        <v>22</v>
      </c>
      <c r="AC2848">
        <v>-5.37720000000001</v>
      </c>
      <c r="AD2848">
        <v>-1.110464678876</v>
      </c>
      <c r="AE2848">
        <v>-11.7121999999999</v>
      </c>
      <c r="AF2848">
        <v>4.5918442627625398</v>
      </c>
      <c r="AG2848">
        <v>-1.110464678876</v>
      </c>
      <c r="AH2848">
        <v>11.940092463904801</v>
      </c>
      <c r="AI2848">
        <v>94.961134283263902</v>
      </c>
      <c r="AJ2848">
        <v>68.964574906308997</v>
      </c>
      <c r="AK2848">
        <v>12.8407154622744</v>
      </c>
    </row>
    <row r="2849" spans="1:37" x14ac:dyDescent="0.2">
      <c r="A2849" t="str">
        <f>"20200111154122044"</f>
        <v>20200111154122044</v>
      </c>
      <c r="B2849" t="str">
        <f>"1578728482039471"</f>
        <v>1578728482039471</v>
      </c>
      <c r="C2849" t="s">
        <v>37</v>
      </c>
      <c r="D2849">
        <v>5.2517059999999898</v>
      </c>
      <c r="E2849">
        <v>0.54931770000000002</v>
      </c>
      <c r="F2849" t="s">
        <v>46</v>
      </c>
      <c r="G2849">
        <v>-196.23769999999999</v>
      </c>
      <c r="H2849" s="1">
        <v>-1.4938739999999999E-5</v>
      </c>
      <c r="I2849">
        <v>159.4623</v>
      </c>
      <c r="J2849">
        <v>-190.8227</v>
      </c>
      <c r="K2849">
        <v>1.110457</v>
      </c>
      <c r="L2849">
        <v>171.19799999999901</v>
      </c>
      <c r="M2849">
        <v>-6.3537109999999994E-2</v>
      </c>
      <c r="N2849">
        <v>0</v>
      </c>
      <c r="O2849">
        <v>-0.99789269999999997</v>
      </c>
      <c r="P2849">
        <v>-0.29618099999999897</v>
      </c>
      <c r="Q2849">
        <v>3.2858600000000002E-2</v>
      </c>
      <c r="R2849">
        <v>-0.95456659999999904</v>
      </c>
      <c r="S2849">
        <v>-1.2583309999999901</v>
      </c>
      <c r="T2849">
        <v>-0.2575094</v>
      </c>
      <c r="U2849">
        <v>-2.7617799999999999</v>
      </c>
      <c r="V2849">
        <v>0.2349552</v>
      </c>
      <c r="W2849">
        <v>4.5492030000000003E-2</v>
      </c>
      <c r="X2849">
        <v>0.9709411</v>
      </c>
      <c r="Y2849">
        <v>0.35444509999999901</v>
      </c>
      <c r="Z2849">
        <v>8.5360450000000004E-2</v>
      </c>
      <c r="AA2849">
        <v>0.93117249999999996</v>
      </c>
      <c r="AB2849">
        <v>22</v>
      </c>
      <c r="AC2849">
        <v>-5.4149999999999903</v>
      </c>
      <c r="AD2849">
        <v>-1.1104719387399999</v>
      </c>
      <c r="AE2849">
        <v>-11.7356999999999</v>
      </c>
      <c r="AF2849">
        <v>4.6242042419284797</v>
      </c>
      <c r="AG2849">
        <v>-1.1104719387399999</v>
      </c>
      <c r="AH2849">
        <v>11.9677216533406</v>
      </c>
      <c r="AI2849">
        <v>94.946768960604203</v>
      </c>
      <c r="AJ2849">
        <v>68.873982067197502</v>
      </c>
      <c r="AK2849">
        <v>12.8779957435012</v>
      </c>
    </row>
    <row r="2850" spans="1:37" x14ac:dyDescent="0.2">
      <c r="A2850" t="str">
        <f>"20200111154122058"</f>
        <v>20200111154122058</v>
      </c>
      <c r="B2850" t="str">
        <f>"1578728482049231"</f>
        <v>1578728482049231</v>
      </c>
      <c r="C2850" t="s">
        <v>37</v>
      </c>
      <c r="D2850">
        <v>5.2308659999999998</v>
      </c>
      <c r="E2850">
        <v>0.54916659999999995</v>
      </c>
      <c r="F2850" t="s">
        <v>46</v>
      </c>
      <c r="G2850">
        <v>-196.27080000000001</v>
      </c>
      <c r="H2850" s="1">
        <v>-1.488926E-5</v>
      </c>
      <c r="I2850">
        <v>159.26570000000001</v>
      </c>
      <c r="J2850">
        <v>-190.83179999999999</v>
      </c>
      <c r="K2850">
        <v>1.1104559999999899</v>
      </c>
      <c r="L2850">
        <v>171.06059999999999</v>
      </c>
      <c r="M2850">
        <v>-6.3787300000000005E-2</v>
      </c>
      <c r="N2850">
        <v>0</v>
      </c>
      <c r="O2850">
        <v>-0.99787700000000001</v>
      </c>
      <c r="P2850">
        <v>-0.29691250000000002</v>
      </c>
      <c r="Q2850">
        <v>3.2628999999999998E-2</v>
      </c>
      <c r="R2850">
        <v>-0.95434739999999996</v>
      </c>
      <c r="S2850">
        <v>-1.2604059999999999</v>
      </c>
      <c r="T2850">
        <v>-0.25690930000000001</v>
      </c>
      <c r="U2850">
        <v>-2.7605590000000002</v>
      </c>
      <c r="V2850">
        <v>0.23545549999999901</v>
      </c>
      <c r="W2850">
        <v>4.5259569999999999E-2</v>
      </c>
      <c r="X2850">
        <v>0.97083069999999905</v>
      </c>
      <c r="Y2850">
        <v>0.3549522</v>
      </c>
      <c r="Z2850">
        <v>8.5173929999999995E-2</v>
      </c>
      <c r="AA2850">
        <v>0.93099639999999995</v>
      </c>
      <c r="AB2850">
        <v>22</v>
      </c>
      <c r="AC2850">
        <v>-5.4390000000000196</v>
      </c>
      <c r="AD2850">
        <v>-1.1104708892599999</v>
      </c>
      <c r="AE2850">
        <v>-11.794899999999901</v>
      </c>
      <c r="AF2850">
        <v>4.6415639238927797</v>
      </c>
      <c r="AG2850">
        <v>-1.1104708892599999</v>
      </c>
      <c r="AH2850">
        <v>12.0299110707537</v>
      </c>
      <c r="AI2850">
        <v>94.922230004637399</v>
      </c>
      <c r="AJ2850">
        <v>68.901626842487502</v>
      </c>
      <c r="AK2850">
        <v>12.942025406624699</v>
      </c>
    </row>
    <row r="2851" spans="1:37" x14ac:dyDescent="0.2">
      <c r="A2851" t="str">
        <f>"20200111154122070"</f>
        <v>20200111154122070</v>
      </c>
      <c r="B2851" t="str">
        <f>"1578728482059676"</f>
        <v>1578728482059676</v>
      </c>
      <c r="C2851" t="s">
        <v>37</v>
      </c>
      <c r="D2851">
        <v>5.2377529999999997</v>
      </c>
      <c r="E2851">
        <v>0.54906929999999998</v>
      </c>
      <c r="F2851" t="s">
        <v>46</v>
      </c>
      <c r="G2851">
        <v>-196.2842</v>
      </c>
      <c r="H2851" s="1">
        <v>-1.485477E-5</v>
      </c>
      <c r="I2851">
        <v>159.12860000000001</v>
      </c>
      <c r="J2851">
        <v>-190.83969999999999</v>
      </c>
      <c r="K2851">
        <v>1.1104529999999999</v>
      </c>
      <c r="L2851">
        <v>170.94030000000001</v>
      </c>
      <c r="M2851">
        <v>-6.4006279999999999E-2</v>
      </c>
      <c r="N2851">
        <v>0</v>
      </c>
      <c r="O2851">
        <v>-0.99786269999999999</v>
      </c>
      <c r="P2851">
        <v>-0.29757129999999998</v>
      </c>
      <c r="Q2851">
        <v>3.2589569999999998E-2</v>
      </c>
      <c r="R2851">
        <v>-0.95414319999999897</v>
      </c>
      <c r="S2851">
        <v>-1.261169</v>
      </c>
      <c r="T2851">
        <v>-0.2568587</v>
      </c>
      <c r="U2851">
        <v>-2.7599490000000002</v>
      </c>
      <c r="V2851">
        <v>0.23591289999999901</v>
      </c>
      <c r="W2851">
        <v>4.521766E-2</v>
      </c>
      <c r="X2851">
        <v>0.97072159999999996</v>
      </c>
      <c r="Y2851">
        <v>0.35503809999999902</v>
      </c>
      <c r="Z2851">
        <v>8.5166389999999995E-2</v>
      </c>
      <c r="AA2851">
        <v>0.93096440000000003</v>
      </c>
      <c r="AB2851">
        <v>22</v>
      </c>
      <c r="AC2851">
        <v>-5.4444999999999997</v>
      </c>
      <c r="AD2851">
        <v>-1.11046785477</v>
      </c>
      <c r="AE2851">
        <v>-11.8117</v>
      </c>
      <c r="AF2851">
        <v>4.6433960658809603</v>
      </c>
      <c r="AG2851">
        <v>-1.11046785477</v>
      </c>
      <c r="AH2851">
        <v>12.0481592269317</v>
      </c>
      <c r="AI2851">
        <v>94.915507807123205</v>
      </c>
      <c r="AJ2851">
        <v>68.923190323721499</v>
      </c>
      <c r="AK2851">
        <v>12.959645312994301</v>
      </c>
    </row>
    <row r="2852" spans="1:37" x14ac:dyDescent="0.2">
      <c r="A2852" t="str">
        <f>"20200111154122085"</f>
        <v>20200111154122085</v>
      </c>
      <c r="B2852" t="str">
        <f>"1578728482079185"</f>
        <v>1578728482079185</v>
      </c>
      <c r="C2852" t="s">
        <v>37</v>
      </c>
      <c r="D2852">
        <v>5.2745550000000003</v>
      </c>
      <c r="E2852">
        <v>0.54889180000000004</v>
      </c>
      <c r="F2852" t="s">
        <v>46</v>
      </c>
      <c r="G2852">
        <v>-196.30690000000001</v>
      </c>
      <c r="H2852" s="1">
        <v>-1.482019E-5</v>
      </c>
      <c r="I2852">
        <v>158.99109999999999</v>
      </c>
      <c r="J2852">
        <v>-190.8486</v>
      </c>
      <c r="K2852">
        <v>1.1104540000000001</v>
      </c>
      <c r="L2852">
        <v>170.8056</v>
      </c>
      <c r="M2852">
        <v>-6.4251440000000007E-2</v>
      </c>
      <c r="N2852">
        <v>0</v>
      </c>
      <c r="O2852">
        <v>-0.99784719999999905</v>
      </c>
      <c r="P2852">
        <v>-0.2982147</v>
      </c>
      <c r="Q2852">
        <v>3.2190650000000001E-2</v>
      </c>
      <c r="R2852">
        <v>-0.95395620000000003</v>
      </c>
      <c r="S2852">
        <v>-1.262451</v>
      </c>
      <c r="T2852">
        <v>-0.25642339999999902</v>
      </c>
      <c r="U2852">
        <v>-2.7592319999999999</v>
      </c>
      <c r="V2852">
        <v>0.23632800000000001</v>
      </c>
      <c r="W2852">
        <v>4.4816559999999998E-2</v>
      </c>
      <c r="X2852">
        <v>0.97063920000000004</v>
      </c>
      <c r="Y2852">
        <v>0.35526249999999998</v>
      </c>
      <c r="Z2852">
        <v>8.5029530000000006E-2</v>
      </c>
      <c r="AA2852">
        <v>0.93089129999999998</v>
      </c>
      <c r="AB2852">
        <v>22</v>
      </c>
      <c r="AC2852">
        <v>-5.4583000000000004</v>
      </c>
      <c r="AD2852">
        <v>-1.1104688201899999</v>
      </c>
      <c r="AE2852">
        <v>-11.814500000000001</v>
      </c>
      <c r="AF2852">
        <v>4.6539722610086498</v>
      </c>
      <c r="AG2852">
        <v>-1.1104688201899999</v>
      </c>
      <c r="AH2852">
        <v>12.053065334252601</v>
      </c>
      <c r="AI2852">
        <v>94.912338071208296</v>
      </c>
      <c r="AJ2852">
        <v>68.887251501835493</v>
      </c>
      <c r="AK2852">
        <v>12.9679984098786</v>
      </c>
    </row>
    <row r="2853" spans="1:37" x14ac:dyDescent="0.2">
      <c r="A2853" t="str">
        <f>"20200111154122099"</f>
        <v>20200111154122099</v>
      </c>
      <c r="B2853" t="str">
        <f>"1578728482088945"</f>
        <v>1578728482088945</v>
      </c>
      <c r="C2853" t="s">
        <v>37</v>
      </c>
      <c r="D2853">
        <v>5.2571649999999996</v>
      </c>
      <c r="E2853">
        <v>0.54887379999999997</v>
      </c>
      <c r="F2853" t="s">
        <v>46</v>
      </c>
      <c r="G2853">
        <v>-196.26830000000001</v>
      </c>
      <c r="H2853" s="1">
        <v>-1.48134299999999E-5</v>
      </c>
      <c r="I2853">
        <v>158.96420000000001</v>
      </c>
      <c r="J2853">
        <v>-190.85900000000001</v>
      </c>
      <c r="K2853">
        <v>1.1104620000000001</v>
      </c>
      <c r="L2853">
        <v>170.6498</v>
      </c>
      <c r="M2853">
        <v>-6.453449E-2</v>
      </c>
      <c r="N2853">
        <v>0</v>
      </c>
      <c r="O2853">
        <v>-0.99782909999999903</v>
      </c>
      <c r="P2853">
        <v>-0.29898959999999902</v>
      </c>
      <c r="Q2853">
        <v>3.1809289999999997E-2</v>
      </c>
      <c r="R2853">
        <v>-0.95372659999999998</v>
      </c>
      <c r="S2853">
        <v>-1.26268</v>
      </c>
      <c r="T2853">
        <v>-0.258718</v>
      </c>
      <c r="U2853">
        <v>-2.758804</v>
      </c>
      <c r="V2853">
        <v>0.23684040000000001</v>
      </c>
      <c r="W2853">
        <v>4.4433090000000001E-2</v>
      </c>
      <c r="X2853">
        <v>0.97053199999999995</v>
      </c>
      <c r="Y2853">
        <v>0.35508869999999998</v>
      </c>
      <c r="Z2853">
        <v>8.5795590000000005E-2</v>
      </c>
      <c r="AA2853">
        <v>0.93088729999999997</v>
      </c>
      <c r="AB2853">
        <v>22</v>
      </c>
      <c r="AC2853">
        <v>-5.4093</v>
      </c>
      <c r="AD2853">
        <v>-1.11047681343</v>
      </c>
      <c r="AE2853">
        <v>-11.6855999999999</v>
      </c>
      <c r="AF2853">
        <v>4.6095517154373802</v>
      </c>
      <c r="AG2853">
        <v>-1.11047681343</v>
      </c>
      <c r="AH2853">
        <v>11.921691661155901</v>
      </c>
      <c r="AI2853">
        <v>94.965358314598205</v>
      </c>
      <c r="AJ2853">
        <v>68.860882021463397</v>
      </c>
      <c r="AK2853">
        <v>12.8299593855215</v>
      </c>
    </row>
    <row r="2854" spans="1:37" x14ac:dyDescent="0.2">
      <c r="A2854" t="str">
        <f>"20200111154122114"</f>
        <v>20200111154122114</v>
      </c>
      <c r="B2854" t="str">
        <f>"1578728482109442"</f>
        <v>1578728482109442</v>
      </c>
      <c r="C2854" t="s">
        <v>37</v>
      </c>
      <c r="D2854">
        <v>5.2574319999999997</v>
      </c>
      <c r="E2854">
        <v>0.54882810000000004</v>
      </c>
      <c r="F2854" t="s">
        <v>46</v>
      </c>
      <c r="G2854">
        <v>-196.25829999999999</v>
      </c>
      <c r="H2854" s="1">
        <v>-1.4792039999999999E-5</v>
      </c>
      <c r="I2854">
        <v>158.8793</v>
      </c>
      <c r="J2854">
        <v>-190.86789999999999</v>
      </c>
      <c r="K2854">
        <v>1.1104609999999999</v>
      </c>
      <c r="L2854">
        <v>170.5172</v>
      </c>
      <c r="M2854">
        <v>-6.4775020000000003E-2</v>
      </c>
      <c r="N2854">
        <v>0</v>
      </c>
      <c r="O2854">
        <v>-0.99781330000000001</v>
      </c>
      <c r="P2854">
        <v>-0.2991915</v>
      </c>
      <c r="Q2854">
        <v>3.2049790000000002E-2</v>
      </c>
      <c r="R2854">
        <v>-0.95365489999999997</v>
      </c>
      <c r="S2854">
        <v>-1.2649840000000001</v>
      </c>
      <c r="T2854">
        <v>-0.26016889999999998</v>
      </c>
      <c r="U2854">
        <v>-2.75766</v>
      </c>
      <c r="V2854">
        <v>0.23681260000000001</v>
      </c>
      <c r="W2854">
        <v>4.467318E-2</v>
      </c>
      <c r="X2854">
        <v>0.97052780000000005</v>
      </c>
      <c r="Y2854">
        <v>0.35563499999999998</v>
      </c>
      <c r="Z2854">
        <v>8.6279659999999994E-2</v>
      </c>
      <c r="AA2854">
        <v>0.93063399999999996</v>
      </c>
      <c r="AB2854">
        <v>22</v>
      </c>
      <c r="AC2854">
        <v>-5.3903999999999996</v>
      </c>
      <c r="AD2854">
        <v>-1.1104757920399999</v>
      </c>
      <c r="AE2854">
        <v>-11.6379</v>
      </c>
      <c r="AF2854">
        <v>4.5907525920149999</v>
      </c>
      <c r="AG2854">
        <v>-1.1104757920399999</v>
      </c>
      <c r="AH2854">
        <v>11.8736373857482</v>
      </c>
      <c r="AI2854">
        <v>94.985378929734395</v>
      </c>
      <c r="AJ2854">
        <v>68.861800600052902</v>
      </c>
      <c r="AK2854">
        <v>12.7785535415412</v>
      </c>
    </row>
    <row r="2855" spans="1:37" x14ac:dyDescent="0.2">
      <c r="A2855" t="str">
        <f>"20200111154122136"</f>
        <v>20200111154122136</v>
      </c>
      <c r="B2855" t="str">
        <f>"1578728482128961"</f>
        <v>1578728482128961</v>
      </c>
      <c r="C2855" t="s">
        <v>37</v>
      </c>
      <c r="D2855">
        <v>5.2690010000000003</v>
      </c>
      <c r="E2855">
        <v>0.54889909999999997</v>
      </c>
      <c r="F2855" t="s">
        <v>46</v>
      </c>
      <c r="G2855">
        <v>-196.2826</v>
      </c>
      <c r="H2855" s="1">
        <v>-1.4750989999999999E-5</v>
      </c>
      <c r="I2855">
        <v>158.71610000000001</v>
      </c>
      <c r="J2855">
        <v>-190.88249999999999</v>
      </c>
      <c r="K2855">
        <v>1.110455</v>
      </c>
      <c r="L2855">
        <v>170.29849999999999</v>
      </c>
      <c r="M2855">
        <v>-6.5171259999999995E-2</v>
      </c>
      <c r="N2855">
        <v>0</v>
      </c>
      <c r="O2855">
        <v>-0.99778739999999999</v>
      </c>
      <c r="P2855">
        <v>-0.29941000000000001</v>
      </c>
      <c r="Q2855">
        <v>3.1397830000000002E-2</v>
      </c>
      <c r="R2855">
        <v>-0.95360769999999995</v>
      </c>
      <c r="S2855">
        <v>-1.2652589999999999</v>
      </c>
      <c r="T2855">
        <v>-0.25948359999999998</v>
      </c>
      <c r="U2855">
        <v>-2.7575379999999998</v>
      </c>
      <c r="V2855">
        <v>0.23664749999999901</v>
      </c>
      <c r="W2855">
        <v>4.4021030000000003E-2</v>
      </c>
      <c r="X2855">
        <v>0.97059779999999996</v>
      </c>
      <c r="Y2855">
        <v>0.35536430000000002</v>
      </c>
      <c r="Z2855">
        <v>8.6057129999999996E-2</v>
      </c>
      <c r="AA2855">
        <v>0.93075799999999997</v>
      </c>
      <c r="AB2855">
        <v>22</v>
      </c>
      <c r="AC2855">
        <v>-5.4001000000000001</v>
      </c>
      <c r="AD2855">
        <v>-1.1104697509899999</v>
      </c>
      <c r="AE2855">
        <v>-11.5823999999999</v>
      </c>
      <c r="AF2855">
        <v>4.5989870009604399</v>
      </c>
      <c r="AG2855">
        <v>-1.1104697509899999</v>
      </c>
      <c r="AH2855">
        <v>11.820480414235799</v>
      </c>
      <c r="AI2855">
        <v>95.003568535923606</v>
      </c>
      <c r="AJ2855">
        <v>68.740512117940199</v>
      </c>
      <c r="AK2855">
        <v>12.732147569290801</v>
      </c>
    </row>
    <row r="2856" spans="1:37" x14ac:dyDescent="0.2">
      <c r="A2856" t="str">
        <f>"20200111154122158"</f>
        <v>20200111154122158</v>
      </c>
      <c r="B2856" t="str">
        <f>"1578728482149456"</f>
        <v>1578728482149456</v>
      </c>
      <c r="C2856" t="s">
        <v>37</v>
      </c>
      <c r="D2856">
        <v>5.2187060000000001</v>
      </c>
      <c r="E2856">
        <v>0.5488729</v>
      </c>
      <c r="F2856" t="s">
        <v>46</v>
      </c>
      <c r="G2856">
        <v>-196.26070000000001</v>
      </c>
      <c r="H2856" s="1">
        <v>-1.47198799999999E-5</v>
      </c>
      <c r="I2856">
        <v>158.5925</v>
      </c>
      <c r="J2856">
        <v>-190.8974</v>
      </c>
      <c r="K2856">
        <v>1.110452</v>
      </c>
      <c r="L2856">
        <v>170.0789</v>
      </c>
      <c r="M2856">
        <v>-6.5569000000000002E-2</v>
      </c>
      <c r="N2856">
        <v>0</v>
      </c>
      <c r="O2856">
        <v>-0.99776139999999902</v>
      </c>
      <c r="P2856">
        <v>-0.29979420000000001</v>
      </c>
      <c r="Q2856">
        <v>3.1029270000000001E-2</v>
      </c>
      <c r="R2856">
        <v>-0.9534994</v>
      </c>
      <c r="S2856">
        <v>-1.2666170000000001</v>
      </c>
      <c r="T2856">
        <v>-0.2615286</v>
      </c>
      <c r="U2856">
        <v>-2.7568969999999999</v>
      </c>
      <c r="V2856">
        <v>0.23665069999999999</v>
      </c>
      <c r="W2856">
        <v>4.365231E-2</v>
      </c>
      <c r="X2856">
        <v>0.97061369999999902</v>
      </c>
      <c r="Y2856">
        <v>0.35542809999999903</v>
      </c>
      <c r="Z2856">
        <v>8.6735129999999994E-2</v>
      </c>
      <c r="AA2856">
        <v>0.93067069999999996</v>
      </c>
      <c r="AB2856">
        <v>22</v>
      </c>
      <c r="AC2856">
        <v>-5.3632999999999997</v>
      </c>
      <c r="AD2856">
        <v>-1.11046671988</v>
      </c>
      <c r="AE2856">
        <v>-11.4864</v>
      </c>
      <c r="AF2856">
        <v>4.56352169857945</v>
      </c>
      <c r="AG2856">
        <v>-1.11046671988</v>
      </c>
      <c r="AH2856">
        <v>11.723415386256599</v>
      </c>
      <c r="AI2856">
        <v>95.044436674836106</v>
      </c>
      <c r="AJ2856">
        <v>68.7307510042573</v>
      </c>
      <c r="AK2856">
        <v>12.6292254294587</v>
      </c>
    </row>
    <row r="2857" spans="1:37" x14ac:dyDescent="0.2">
      <c r="A2857" t="str">
        <f>"20200111154122179"</f>
        <v>20200111154122179</v>
      </c>
      <c r="B2857" t="str">
        <f>"1578728482169487"</f>
        <v>1578728482169487</v>
      </c>
      <c r="C2857" t="s">
        <v>37</v>
      </c>
      <c r="D2857">
        <v>5.216761</v>
      </c>
      <c r="E2857">
        <v>0.54892399999999997</v>
      </c>
      <c r="F2857" t="s">
        <v>46</v>
      </c>
      <c r="G2857">
        <v>-196.24459999999999</v>
      </c>
      <c r="H2857" s="1">
        <v>-1.4683619999999999E-5</v>
      </c>
      <c r="I2857">
        <v>158.44829999999999</v>
      </c>
      <c r="J2857">
        <v>-190.91159999999999</v>
      </c>
      <c r="K2857">
        <v>1.110447</v>
      </c>
      <c r="L2857">
        <v>169.8698</v>
      </c>
      <c r="M2857">
        <v>-6.5947820000000004E-2</v>
      </c>
      <c r="N2857">
        <v>0</v>
      </c>
      <c r="O2857">
        <v>-0.99773630000000002</v>
      </c>
      <c r="P2857">
        <v>-0.30086059999999998</v>
      </c>
      <c r="Q2857">
        <v>2.9876E-2</v>
      </c>
      <c r="R2857">
        <v>-0.95320020000000005</v>
      </c>
      <c r="S2857">
        <v>-1.267288</v>
      </c>
      <c r="T2857">
        <v>-0.26317760000000001</v>
      </c>
      <c r="U2857">
        <v>-2.7564090000000001</v>
      </c>
      <c r="V2857">
        <v>0.23736479999999899</v>
      </c>
      <c r="W2857">
        <v>4.2496109999999997E-2</v>
      </c>
      <c r="X2857">
        <v>0.97049059999999898</v>
      </c>
      <c r="Y2857">
        <v>0.35530309999999998</v>
      </c>
      <c r="Z2857">
        <v>8.7286139999999998E-2</v>
      </c>
      <c r="AA2857">
        <v>0.93066689999999996</v>
      </c>
      <c r="AB2857">
        <v>22</v>
      </c>
      <c r="AC2857">
        <v>-5.3329999999999904</v>
      </c>
      <c r="AD2857">
        <v>-1.1104616836200001</v>
      </c>
      <c r="AE2857">
        <v>-11.4215</v>
      </c>
      <c r="AF2857">
        <v>4.5329211039174897</v>
      </c>
      <c r="AG2857">
        <v>-1.1104616836200001</v>
      </c>
      <c r="AH2857">
        <v>11.6578875911887</v>
      </c>
      <c r="AI2857">
        <v>95.073365478853304</v>
      </c>
      <c r="AJ2857">
        <v>68.752490832072198</v>
      </c>
      <c r="AK2857">
        <v>12.5573421540516</v>
      </c>
    </row>
    <row r="2858" spans="1:37" x14ac:dyDescent="0.2">
      <c r="A2858" t="str">
        <f>"20200111154122193"</f>
        <v>20200111154122193</v>
      </c>
      <c r="B2858" t="str">
        <f>"1578728482189007"</f>
        <v>1578728482189007</v>
      </c>
      <c r="C2858" t="s">
        <v>37</v>
      </c>
      <c r="D2858">
        <v>5.1782360000000001</v>
      </c>
      <c r="E2858">
        <v>0.54892769999999902</v>
      </c>
      <c r="F2858" t="s">
        <v>46</v>
      </c>
      <c r="G2858">
        <v>-196.19220000000001</v>
      </c>
      <c r="H2858" s="1">
        <v>-1.4676739999999901E-5</v>
      </c>
      <c r="I2858">
        <v>158.42099999999999</v>
      </c>
      <c r="J2858">
        <v>-190.9213</v>
      </c>
      <c r="K2858">
        <v>1.110447</v>
      </c>
      <c r="L2858">
        <v>169.7269</v>
      </c>
      <c r="M2858">
        <v>-6.6206520000000005E-2</v>
      </c>
      <c r="N2858">
        <v>0</v>
      </c>
      <c r="O2858">
        <v>-0.99771939999999903</v>
      </c>
      <c r="P2858">
        <v>-0.3017029</v>
      </c>
      <c r="Q2858">
        <v>2.9561239999999999E-2</v>
      </c>
      <c r="R2858">
        <v>-0.95294389999999995</v>
      </c>
      <c r="S2858">
        <v>-1.270554</v>
      </c>
      <c r="T2858">
        <v>-0.26718340000000002</v>
      </c>
      <c r="U2858">
        <v>-2.7546390000000001</v>
      </c>
      <c r="V2858">
        <v>0.2379703</v>
      </c>
      <c r="W2858">
        <v>4.2178819999999999E-2</v>
      </c>
      <c r="X2858">
        <v>0.9703562</v>
      </c>
      <c r="Y2858">
        <v>0.35614869999999998</v>
      </c>
      <c r="Z2858">
        <v>8.8617059999999997E-2</v>
      </c>
      <c r="AA2858">
        <v>0.93021779999999998</v>
      </c>
      <c r="AB2858">
        <v>22</v>
      </c>
      <c r="AC2858">
        <v>-5.2709000000000099</v>
      </c>
      <c r="AD2858">
        <v>-1.11046167674</v>
      </c>
      <c r="AE2858">
        <v>-11.305899999999999</v>
      </c>
      <c r="AF2858">
        <v>4.4752792655518201</v>
      </c>
      <c r="AG2858">
        <v>-1.11046167674</v>
      </c>
      <c r="AH2858">
        <v>11.5386479480644</v>
      </c>
      <c r="AI2858">
        <v>95.127197245810095</v>
      </c>
      <c r="AJ2858">
        <v>68.801153807317803</v>
      </c>
      <c r="AK2858">
        <v>12.4258458911077</v>
      </c>
    </row>
    <row r="2859" spans="1:37" x14ac:dyDescent="0.2">
      <c r="A2859" t="str">
        <f>"20200111154122211"</f>
        <v>20200111154122211</v>
      </c>
      <c r="B2859" t="str">
        <f>"1578728482198766"</f>
        <v>1578728482198766</v>
      </c>
      <c r="C2859" t="s">
        <v>37</v>
      </c>
      <c r="D2859">
        <v>5.2126080000000004</v>
      </c>
      <c r="E2859">
        <v>0.5490062</v>
      </c>
      <c r="F2859" t="s">
        <v>46</v>
      </c>
      <c r="G2859">
        <v>-196.2029</v>
      </c>
      <c r="H2859" s="1">
        <v>-1.46473E-5</v>
      </c>
      <c r="I2859">
        <v>158.304</v>
      </c>
      <c r="J2859">
        <v>-190.9333</v>
      </c>
      <c r="K2859">
        <v>1.110447</v>
      </c>
      <c r="L2859">
        <v>169.55090000000001</v>
      </c>
      <c r="M2859">
        <v>-6.6525550000000003E-2</v>
      </c>
      <c r="N2859">
        <v>0</v>
      </c>
      <c r="O2859">
        <v>-0.99769830000000004</v>
      </c>
      <c r="P2859">
        <v>-0.30322890000000002</v>
      </c>
      <c r="Q2859">
        <v>2.9625869999999999E-2</v>
      </c>
      <c r="R2859">
        <v>-0.95245740000000001</v>
      </c>
      <c r="S2859">
        <v>-1.273056</v>
      </c>
      <c r="T2859">
        <v>-0.26766230000000002</v>
      </c>
      <c r="U2859">
        <v>-2.7533569999999998</v>
      </c>
      <c r="V2859">
        <v>0.23921489999999901</v>
      </c>
      <c r="W2859">
        <v>4.2238369999999997E-2</v>
      </c>
      <c r="X2859">
        <v>0.97004749999999995</v>
      </c>
      <c r="Y2859">
        <v>0.3567053</v>
      </c>
      <c r="Z2859">
        <v>8.8783119999999993E-2</v>
      </c>
      <c r="AA2859">
        <v>0.929988699999999</v>
      </c>
      <c r="AB2859">
        <v>22</v>
      </c>
      <c r="AC2859">
        <v>-5.2695999999999898</v>
      </c>
      <c r="AD2859">
        <v>-1.1104616473</v>
      </c>
      <c r="AE2859">
        <v>-11.2469</v>
      </c>
      <c r="AF2859">
        <v>4.4738905282719399</v>
      </c>
      <c r="AG2859">
        <v>-1.1104616473</v>
      </c>
      <c r="AH2859">
        <v>11.480799489966399</v>
      </c>
      <c r="AI2859">
        <v>95.149720568799495</v>
      </c>
      <c r="AJ2859">
        <v>68.709904394819603</v>
      </c>
      <c r="AK2859">
        <v>12.3716441291325</v>
      </c>
    </row>
    <row r="2860" spans="1:37" x14ac:dyDescent="0.2">
      <c r="A2860" t="str">
        <f>"20200111154122225"</f>
        <v>20200111154122225</v>
      </c>
      <c r="B2860" t="str">
        <f>"1578728482219262"</f>
        <v>1578728482219262</v>
      </c>
      <c r="C2860" t="s">
        <v>37</v>
      </c>
      <c r="D2860">
        <v>4.9031599999999997</v>
      </c>
      <c r="E2860">
        <v>0.54919130000000005</v>
      </c>
      <c r="F2860" t="s">
        <v>46</v>
      </c>
      <c r="G2860">
        <v>-196.24529999999999</v>
      </c>
      <c r="H2860" s="1">
        <v>-1.4600820000000001E-5</v>
      </c>
      <c r="I2860">
        <v>158.11930000000001</v>
      </c>
      <c r="J2860">
        <v>-190.9425</v>
      </c>
      <c r="K2860">
        <v>1.110447</v>
      </c>
      <c r="L2860">
        <v>169.4177</v>
      </c>
      <c r="M2860">
        <v>-6.6766800000000001E-2</v>
      </c>
      <c r="N2860">
        <v>0</v>
      </c>
      <c r="O2860">
        <v>-0.99768189999999901</v>
      </c>
      <c r="P2860">
        <v>-0.3039924</v>
      </c>
      <c r="Q2860">
        <v>2.9534879999999999E-2</v>
      </c>
      <c r="R2860">
        <v>-0.95221669999999903</v>
      </c>
      <c r="S2860">
        <v>-1.278351</v>
      </c>
      <c r="T2860">
        <v>-0.26724049999999999</v>
      </c>
      <c r="U2860">
        <v>-2.751099</v>
      </c>
      <c r="V2860">
        <v>0.239757899999999</v>
      </c>
      <c r="W2860">
        <v>4.214499E-2</v>
      </c>
      <c r="X2860">
        <v>0.96991749999999899</v>
      </c>
      <c r="Y2860">
        <v>0.35824809999999901</v>
      </c>
      <c r="Z2860">
        <v>8.8646649999999994E-2</v>
      </c>
      <c r="AA2860">
        <v>0.92940840000000002</v>
      </c>
      <c r="AB2860">
        <v>22</v>
      </c>
      <c r="AC2860">
        <v>-5.3027999999999897</v>
      </c>
      <c r="AD2860">
        <v>-1.1104616008199999</v>
      </c>
      <c r="AE2860">
        <v>-11.2983999999999</v>
      </c>
      <c r="AF2860">
        <v>4.5009121933836296</v>
      </c>
      <c r="AG2860">
        <v>-1.1104616008199999</v>
      </c>
      <c r="AH2860">
        <v>11.5359459340835</v>
      </c>
      <c r="AI2860">
        <v>95.1244066875432</v>
      </c>
      <c r="AJ2860">
        <v>68.686054886543701</v>
      </c>
      <c r="AK2860">
        <v>12.4325936205421</v>
      </c>
    </row>
    <row r="2861" spans="1:37" x14ac:dyDescent="0.2">
      <c r="A2861" t="str">
        <f>"20200111154122246"</f>
        <v>20200111154122246</v>
      </c>
      <c r="B2861" t="str">
        <f>"1578728482238782"</f>
        <v>1578728482238782</v>
      </c>
      <c r="C2861" t="s">
        <v>37</v>
      </c>
      <c r="D2861">
        <v>5.1912139999999898</v>
      </c>
      <c r="E2861">
        <v>0.55386139999999995</v>
      </c>
      <c r="F2861" t="s">
        <v>46</v>
      </c>
      <c r="G2861">
        <v>-196.25909999999999</v>
      </c>
      <c r="H2861" s="1">
        <v>-1.457456E-5</v>
      </c>
      <c r="I2861">
        <v>158.01490000000001</v>
      </c>
      <c r="J2861">
        <v>-190.95660000000001</v>
      </c>
      <c r="K2861">
        <v>1.1104559999999899</v>
      </c>
      <c r="L2861">
        <v>169.21440000000001</v>
      </c>
      <c r="M2861">
        <v>-6.7134819999999998E-2</v>
      </c>
      <c r="N2861">
        <v>0</v>
      </c>
      <c r="O2861">
        <v>-0.99765729999999997</v>
      </c>
      <c r="P2861">
        <v>-0.305535</v>
      </c>
      <c r="Q2861">
        <v>3.0243349999999999E-2</v>
      </c>
      <c r="R2861">
        <v>-0.9517004</v>
      </c>
      <c r="S2861">
        <v>-1.281998</v>
      </c>
      <c r="T2861">
        <v>-0.26776609999999901</v>
      </c>
      <c r="U2861">
        <v>-2.7495729999999998</v>
      </c>
      <c r="V2861">
        <v>0.2409741</v>
      </c>
      <c r="W2861">
        <v>4.2847209999999997E-2</v>
      </c>
      <c r="X2861">
        <v>0.96958529999999998</v>
      </c>
      <c r="Y2861">
        <v>0.35910749999999902</v>
      </c>
      <c r="Z2861">
        <v>8.8821810000000001E-2</v>
      </c>
      <c r="AA2861">
        <v>0.92906</v>
      </c>
      <c r="AB2861">
        <v>22</v>
      </c>
      <c r="AC2861">
        <v>-5.3024999999999798</v>
      </c>
      <c r="AD2861">
        <v>-1.1104705745600001</v>
      </c>
      <c r="AE2861">
        <v>-11.1995</v>
      </c>
      <c r="AF2861">
        <v>4.5024339231624104</v>
      </c>
      <c r="AG2861">
        <v>-1.1104705745600001</v>
      </c>
      <c r="AH2861">
        <v>11.4383784336791</v>
      </c>
      <c r="AI2861">
        <v>95.161882873652701</v>
      </c>
      <c r="AJ2861">
        <v>68.514151268560994</v>
      </c>
      <c r="AK2861">
        <v>12.3426722115376</v>
      </c>
    </row>
    <row r="2862" spans="1:37" x14ac:dyDescent="0.2">
      <c r="A2862" t="str">
        <f>"20200111154122259"</f>
        <v>20200111154122259</v>
      </c>
      <c r="B2862" t="str">
        <f>"1578728482249518"</f>
        <v>1578728482249518</v>
      </c>
      <c r="C2862" t="s">
        <v>37</v>
      </c>
      <c r="D2862">
        <v>5.2016210000000003</v>
      </c>
      <c r="E2862">
        <v>0.55414069999999904</v>
      </c>
      <c r="F2862" t="s">
        <v>46</v>
      </c>
      <c r="G2862">
        <v>-197.3972</v>
      </c>
      <c r="H2862" s="1">
        <v>-1.404226E-5</v>
      </c>
      <c r="I2862">
        <v>155.89940000000001</v>
      </c>
      <c r="J2862">
        <v>-190.9657</v>
      </c>
      <c r="K2862">
        <v>1.1104529999999999</v>
      </c>
      <c r="L2862">
        <v>169.08279999999999</v>
      </c>
      <c r="M2862">
        <v>-6.7373000000000002E-2</v>
      </c>
      <c r="N2862">
        <v>0</v>
      </c>
      <c r="O2862">
        <v>-0.99764129999999995</v>
      </c>
      <c r="P2862">
        <v>-0.3064212</v>
      </c>
      <c r="Q2862">
        <v>3.0851380000000001E-2</v>
      </c>
      <c r="R2862">
        <v>-0.95139619999999903</v>
      </c>
      <c r="S2862">
        <v>-1.3228610000000001</v>
      </c>
      <c r="T2862">
        <v>-0.22808220000000001</v>
      </c>
      <c r="U2862">
        <v>-2.7348180000000002</v>
      </c>
      <c r="V2862">
        <v>0.24164759999999999</v>
      </c>
      <c r="W2862">
        <v>4.3452240000000003E-2</v>
      </c>
      <c r="X2862">
        <v>0.96939069999999905</v>
      </c>
      <c r="Y2862">
        <v>0.37255429999999901</v>
      </c>
      <c r="Z2862">
        <v>7.5673470000000007E-2</v>
      </c>
      <c r="AA2862">
        <v>0.92491990000000002</v>
      </c>
      <c r="AB2862">
        <v>22</v>
      </c>
      <c r="AC2862">
        <v>-6.4314999999999998</v>
      </c>
      <c r="AD2862">
        <v>-1.11046704226</v>
      </c>
      <c r="AE2862">
        <v>-13.183399999999899</v>
      </c>
      <c r="AF2862">
        <v>5.4970979070095298</v>
      </c>
      <c r="AG2862">
        <v>-1.11046704226</v>
      </c>
      <c r="AH2862">
        <v>13.509363756556199</v>
      </c>
      <c r="AI2862">
        <v>94.353976012084502</v>
      </c>
      <c r="AJ2862">
        <v>67.858090977269498</v>
      </c>
      <c r="AK2862">
        <v>14.6271710032443</v>
      </c>
    </row>
    <row r="2863" spans="1:37" x14ac:dyDescent="0.2">
      <c r="A2863" t="str">
        <f>"20200111154122272"</f>
        <v>20200111154122272</v>
      </c>
      <c r="B2863" t="str">
        <f>"1578728482269038"</f>
        <v>1578728482269038</v>
      </c>
      <c r="C2863" t="s">
        <v>37</v>
      </c>
      <c r="D2863">
        <v>5.170045</v>
      </c>
      <c r="E2863">
        <v>0.55423159999999905</v>
      </c>
      <c r="F2863" t="s">
        <v>46</v>
      </c>
      <c r="G2863">
        <v>-197.31120000000001</v>
      </c>
      <c r="H2863" s="1">
        <v>-1.4072159999999999E-5</v>
      </c>
      <c r="I2863">
        <v>156.01820000000001</v>
      </c>
      <c r="J2863">
        <v>-190.9742</v>
      </c>
      <c r="K2863">
        <v>1.1104579999999999</v>
      </c>
      <c r="L2863">
        <v>168.96029999999999</v>
      </c>
      <c r="M2863">
        <v>-6.7594379999999996E-2</v>
      </c>
      <c r="N2863">
        <v>0</v>
      </c>
      <c r="O2863">
        <v>-0.99762649999999997</v>
      </c>
      <c r="P2863">
        <v>-0.3071025</v>
      </c>
      <c r="Q2863">
        <v>3.1319699999999999E-2</v>
      </c>
      <c r="R2863">
        <v>-0.95116109999999898</v>
      </c>
      <c r="S2863">
        <v>-1.3275299999999901</v>
      </c>
      <c r="T2863">
        <v>-0.23231940000000001</v>
      </c>
      <c r="U2863">
        <v>-2.733231</v>
      </c>
      <c r="V2863">
        <v>0.24212819999999999</v>
      </c>
      <c r="W2863">
        <v>4.391813E-2</v>
      </c>
      <c r="X2863">
        <v>0.96924979999999905</v>
      </c>
      <c r="Y2863">
        <v>0.373791599999999</v>
      </c>
      <c r="Z2863">
        <v>7.7061610000000003E-2</v>
      </c>
      <c r="AA2863">
        <v>0.92430590000000001</v>
      </c>
      <c r="AB2863">
        <v>22</v>
      </c>
      <c r="AC2863">
        <v>-6.3370000000000104</v>
      </c>
      <c r="AD2863">
        <v>-1.1104720721600001</v>
      </c>
      <c r="AE2863">
        <v>-12.9420999999999</v>
      </c>
      <c r="AF2863">
        <v>5.4154560993942997</v>
      </c>
      <c r="AG2863">
        <v>-1.1104720721600001</v>
      </c>
      <c r="AH2863">
        <v>13.2621211137164</v>
      </c>
      <c r="AI2863">
        <v>94.432638075097302</v>
      </c>
      <c r="AJ2863">
        <v>67.787836138777607</v>
      </c>
      <c r="AK2863">
        <v>14.3681651376367</v>
      </c>
    </row>
    <row r="2864" spans="1:37" x14ac:dyDescent="0.2">
      <c r="A2864" t="str">
        <f>"20200111154122290"</f>
        <v>20200111154122290</v>
      </c>
      <c r="B2864" t="str">
        <f>"1578728482278802"</f>
        <v>1578728482278802</v>
      </c>
      <c r="C2864" t="s">
        <v>37</v>
      </c>
      <c r="D2864">
        <v>5.1951479999999997</v>
      </c>
      <c r="E2864">
        <v>0.55463430000000002</v>
      </c>
      <c r="F2864" t="s">
        <v>46</v>
      </c>
      <c r="G2864">
        <v>-197.05420000000001</v>
      </c>
      <c r="H2864" s="1">
        <v>-1.418611E-5</v>
      </c>
      <c r="I2864">
        <v>156.47110000000001</v>
      </c>
      <c r="J2864">
        <v>-190.9864</v>
      </c>
      <c r="K2864">
        <v>1.110463</v>
      </c>
      <c r="L2864">
        <v>168.78620000000001</v>
      </c>
      <c r="M2864">
        <v>-6.790831E-2</v>
      </c>
      <c r="N2864">
        <v>0</v>
      </c>
      <c r="O2864">
        <v>-0.99760530000000003</v>
      </c>
      <c r="P2864">
        <v>-0.30740309999999998</v>
      </c>
      <c r="Q2864">
        <v>3.2391780000000002E-2</v>
      </c>
      <c r="R2864">
        <v>-0.95102830000000005</v>
      </c>
      <c r="S2864">
        <v>-1.3302609999999999</v>
      </c>
      <c r="T2864">
        <v>-0.2429637</v>
      </c>
      <c r="U2864">
        <v>-2.7325590000000002</v>
      </c>
      <c r="V2864">
        <v>0.242132499999999</v>
      </c>
      <c r="W2864">
        <v>4.4989479999999998E-2</v>
      </c>
      <c r="X2864">
        <v>0.96919959999999905</v>
      </c>
      <c r="Y2864">
        <v>0.37421559999999998</v>
      </c>
      <c r="Z2864">
        <v>8.0559580000000006E-2</v>
      </c>
      <c r="AA2864">
        <v>0.92383590000000004</v>
      </c>
      <c r="AB2864">
        <v>22</v>
      </c>
      <c r="AC2864">
        <v>-6.0678000000000001</v>
      </c>
      <c r="AD2864">
        <v>-1.11047718611</v>
      </c>
      <c r="AE2864">
        <v>-12.315099999999999</v>
      </c>
      <c r="AF2864">
        <v>5.1835069418705197</v>
      </c>
      <c r="AG2864">
        <v>-1.11047718611</v>
      </c>
      <c r="AH2864">
        <v>12.6162124452639</v>
      </c>
      <c r="AI2864">
        <v>94.654522338143195</v>
      </c>
      <c r="AJ2864">
        <v>67.664161774445901</v>
      </c>
      <c r="AK2864">
        <v>13.684689264332</v>
      </c>
    </row>
    <row r="2865" spans="1:37" x14ac:dyDescent="0.2">
      <c r="A2865" t="str">
        <f>"20200111154122305"</f>
        <v>20200111154122305</v>
      </c>
      <c r="B2865" t="str">
        <f>"1578728482299295"</f>
        <v>1578728482299295</v>
      </c>
      <c r="C2865" t="s">
        <v>37</v>
      </c>
      <c r="D2865">
        <v>5.1936489999999997</v>
      </c>
      <c r="E2865">
        <v>0.55515389999999998</v>
      </c>
      <c r="F2865" t="s">
        <v>46</v>
      </c>
      <c r="G2865">
        <v>-197.184</v>
      </c>
      <c r="H2865" s="1">
        <v>-1.409415E-5</v>
      </c>
      <c r="I2865">
        <v>156.10560000000001</v>
      </c>
      <c r="J2865">
        <v>-190.99599999999899</v>
      </c>
      <c r="K2865">
        <v>1.110466</v>
      </c>
      <c r="L2865">
        <v>168.64830000000001</v>
      </c>
      <c r="M2865">
        <v>-6.8156289999999994E-2</v>
      </c>
      <c r="N2865">
        <v>0</v>
      </c>
      <c r="O2865">
        <v>-0.99758819999999904</v>
      </c>
      <c r="P2865">
        <v>-0.30738349999999998</v>
      </c>
      <c r="Q2865">
        <v>3.3180559999999998E-2</v>
      </c>
      <c r="R2865">
        <v>-0.95100689999999999</v>
      </c>
      <c r="S2865">
        <v>-1.334854</v>
      </c>
      <c r="T2865">
        <v>-0.23917629999999901</v>
      </c>
      <c r="U2865">
        <v>-2.7311709999999998</v>
      </c>
      <c r="V2865">
        <v>0.241873799999999</v>
      </c>
      <c r="W2865">
        <v>4.577879E-2</v>
      </c>
      <c r="X2865">
        <v>0.96922719999999996</v>
      </c>
      <c r="Y2865">
        <v>0.375469</v>
      </c>
      <c r="Z2865">
        <v>7.9297859999999998E-2</v>
      </c>
      <c r="AA2865">
        <v>0.92343649999999999</v>
      </c>
      <c r="AB2865">
        <v>22</v>
      </c>
      <c r="AC2865">
        <v>-6.1880000000000397</v>
      </c>
      <c r="AD2865">
        <v>-1.1104800941499999</v>
      </c>
      <c r="AE2865">
        <v>-12.5426999999999</v>
      </c>
      <c r="AF2865">
        <v>5.2853508122183399</v>
      </c>
      <c r="AG2865">
        <v>-1.1104800941499999</v>
      </c>
      <c r="AH2865">
        <v>12.854280603080101</v>
      </c>
      <c r="AI2865">
        <v>94.568196762381902</v>
      </c>
      <c r="AJ2865">
        <v>67.648790950332199</v>
      </c>
      <c r="AK2865">
        <v>13.942762605396499</v>
      </c>
    </row>
    <row r="2866" spans="1:37" x14ac:dyDescent="0.2">
      <c r="A2866" t="str">
        <f>"20200111154122324"</f>
        <v>20200111154122324</v>
      </c>
      <c r="B2866" t="str">
        <f>"1578728482318815"</f>
        <v>1578728482318815</v>
      </c>
      <c r="C2866" t="s">
        <v>37</v>
      </c>
      <c r="D2866">
        <v>5.2125639999999898</v>
      </c>
      <c r="E2866">
        <v>0.55540730000000005</v>
      </c>
      <c r="F2866" t="s">
        <v>46</v>
      </c>
      <c r="G2866">
        <v>-197.1129</v>
      </c>
      <c r="H2866" s="1">
        <v>-1.411164E-5</v>
      </c>
      <c r="I2866">
        <v>156.17509999999999</v>
      </c>
      <c r="J2866">
        <v>-191.01009999999999</v>
      </c>
      <c r="K2866">
        <v>1.1104700000000001</v>
      </c>
      <c r="L2866">
        <v>168.44829999999999</v>
      </c>
      <c r="M2866">
        <v>-6.8515099999999995E-2</v>
      </c>
      <c r="N2866">
        <v>0</v>
      </c>
      <c r="O2866">
        <v>-0.99756359999999999</v>
      </c>
      <c r="P2866">
        <v>-0.3072531</v>
      </c>
      <c r="Q2866">
        <v>3.3592249999999997E-2</v>
      </c>
      <c r="R2866">
        <v>-0.95103490000000002</v>
      </c>
      <c r="S2866">
        <v>-1.338943</v>
      </c>
      <c r="T2866">
        <v>-0.24307509999999999</v>
      </c>
      <c r="U2866">
        <v>-2.730286</v>
      </c>
      <c r="V2866">
        <v>0.241393</v>
      </c>
      <c r="W2866">
        <v>4.619177E-2</v>
      </c>
      <c r="X2866">
        <v>0.96932739999999995</v>
      </c>
      <c r="Y2866">
        <v>0.37632480000000001</v>
      </c>
      <c r="Z2866">
        <v>8.0562259999999997E-2</v>
      </c>
      <c r="AA2866">
        <v>0.92297850000000004</v>
      </c>
      <c r="AB2866">
        <v>22</v>
      </c>
      <c r="AC2866">
        <v>-6.1028000000000002</v>
      </c>
      <c r="AD2866">
        <v>-1.1104841116399999</v>
      </c>
      <c r="AE2866">
        <v>-12.273199999999999</v>
      </c>
      <c r="AF2866">
        <v>5.2132655948505899</v>
      </c>
      <c r="AG2866">
        <v>-1.1104841116399999</v>
      </c>
      <c r="AH2866">
        <v>12.5799519112703</v>
      </c>
      <c r="AI2866">
        <v>94.662095098537606</v>
      </c>
      <c r="AJ2866">
        <v>67.490363863325001</v>
      </c>
      <c r="AK2866">
        <v>13.6625950395425</v>
      </c>
    </row>
    <row r="2867" spans="1:37" x14ac:dyDescent="0.2">
      <c r="A2867" t="str">
        <f>"20200111154122339"</f>
        <v>20200111154122339</v>
      </c>
      <c r="B2867" t="str">
        <f>"1578728482329551"</f>
        <v>1578728482329551</v>
      </c>
      <c r="C2867" t="s">
        <v>37</v>
      </c>
      <c r="D2867">
        <v>5.1934059999999898</v>
      </c>
      <c r="E2867">
        <v>0.5556314</v>
      </c>
      <c r="F2867" t="s">
        <v>46</v>
      </c>
      <c r="G2867">
        <v>-197.05099999999999</v>
      </c>
      <c r="H2867" s="1">
        <v>-1.4104899999999999E-5</v>
      </c>
      <c r="I2867">
        <v>156.14830000000001</v>
      </c>
      <c r="J2867">
        <v>-191.0204</v>
      </c>
      <c r="K2867">
        <v>1.110473</v>
      </c>
      <c r="L2867">
        <v>168.30340000000001</v>
      </c>
      <c r="M2867">
        <v>-6.8774929999999998E-2</v>
      </c>
      <c r="N2867">
        <v>0</v>
      </c>
      <c r="O2867">
        <v>-0.99754599999999904</v>
      </c>
      <c r="P2867">
        <v>-0.30737129999999901</v>
      </c>
      <c r="Q2867">
        <v>3.3647539999999997E-2</v>
      </c>
      <c r="R2867">
        <v>-0.95099480000000003</v>
      </c>
      <c r="S2867">
        <v>-1.3407899999999999</v>
      </c>
      <c r="T2867">
        <v>-0.24647529999999901</v>
      </c>
      <c r="U2867">
        <v>-2.7300110000000002</v>
      </c>
      <c r="V2867">
        <v>0.241261</v>
      </c>
      <c r="W2867">
        <v>4.6247499999999997E-2</v>
      </c>
      <c r="X2867">
        <v>0.96935769999999899</v>
      </c>
      <c r="Y2867">
        <v>0.37658379999999902</v>
      </c>
      <c r="Z2867">
        <v>8.1670309999999996E-2</v>
      </c>
      <c r="AA2867">
        <v>0.92277549999999997</v>
      </c>
      <c r="AB2867">
        <v>22</v>
      </c>
      <c r="AC2867">
        <v>-6.03059999999999</v>
      </c>
      <c r="AD2867">
        <v>-1.1104871049</v>
      </c>
      <c r="AE2867">
        <v>-12.155099999999999</v>
      </c>
      <c r="AF2867">
        <v>5.1458140836305004</v>
      </c>
      <c r="AG2867">
        <v>-1.1104871049</v>
      </c>
      <c r="AH2867">
        <v>12.457663757859899</v>
      </c>
      <c r="AI2867">
        <v>94.709897285519304</v>
      </c>
      <c r="AJ2867">
        <v>67.556235669823593</v>
      </c>
      <c r="AK2867">
        <v>13.524273381492099</v>
      </c>
    </row>
    <row r="2868" spans="1:37" x14ac:dyDescent="0.2">
      <c r="A2868" t="str">
        <f>"20200111154122353"</f>
        <v>20200111154122353</v>
      </c>
      <c r="B2868" t="str">
        <f>"1578728482349071"</f>
        <v>1578728482349071</v>
      </c>
      <c r="C2868" t="s">
        <v>37</v>
      </c>
      <c r="D2868">
        <v>5.2530469999999996</v>
      </c>
      <c r="E2868">
        <v>0.56051989999999996</v>
      </c>
      <c r="F2868" t="s">
        <v>46</v>
      </c>
      <c r="G2868">
        <v>-197.005</v>
      </c>
      <c r="H2868" s="1">
        <v>-1.410328E-5</v>
      </c>
      <c r="I2868">
        <v>156.14189999999999</v>
      </c>
      <c r="J2868">
        <v>-191.03030000000001</v>
      </c>
      <c r="K2868">
        <v>1.110473</v>
      </c>
      <c r="L2868">
        <v>168.1636</v>
      </c>
      <c r="M2868">
        <v>-6.9024950000000002E-2</v>
      </c>
      <c r="N2868">
        <v>0</v>
      </c>
      <c r="O2868">
        <v>-0.99752830000000003</v>
      </c>
      <c r="P2868">
        <v>-0.30745339999999999</v>
      </c>
      <c r="Q2868">
        <v>3.3677029999999997E-2</v>
      </c>
      <c r="R2868">
        <v>-0.95096709999999995</v>
      </c>
      <c r="S2868">
        <v>-1.3430789999999999</v>
      </c>
      <c r="T2868">
        <v>-0.24921740000000001</v>
      </c>
      <c r="U2868">
        <v>-2.7293090000000002</v>
      </c>
      <c r="V2868">
        <v>0.2411017</v>
      </c>
      <c r="W2868">
        <v>4.6277029999999997E-2</v>
      </c>
      <c r="X2868">
        <v>0.96939589999999998</v>
      </c>
      <c r="Y2868">
        <v>0.37703629999999999</v>
      </c>
      <c r="Z2868">
        <v>8.256674E-2</v>
      </c>
      <c r="AA2868">
        <v>0.92251090000000002</v>
      </c>
      <c r="AB2868">
        <v>22</v>
      </c>
      <c r="AC2868">
        <v>-5.9746999999999799</v>
      </c>
      <c r="AD2868">
        <v>-1.1104871032800001</v>
      </c>
      <c r="AE2868">
        <v>-12.021699999999999</v>
      </c>
      <c r="AF2868">
        <v>5.0957100490490701</v>
      </c>
      <c r="AG2868">
        <v>-1.1104871032800001</v>
      </c>
      <c r="AH2868">
        <v>12.3211514385043</v>
      </c>
      <c r="AI2868">
        <v>94.760988615179798</v>
      </c>
      <c r="AJ2868">
        <v>67.531276279963507</v>
      </c>
      <c r="AK2868">
        <v>13.3794699177915</v>
      </c>
    </row>
    <row r="2869" spans="1:37" x14ac:dyDescent="0.2">
      <c r="A2869" t="str">
        <f>"20200111154122369"</f>
        <v>20200111154122369</v>
      </c>
      <c r="B2869" t="str">
        <f>"1578728482358830"</f>
        <v>1578728482358830</v>
      </c>
      <c r="C2869" t="s">
        <v>37</v>
      </c>
      <c r="D2869">
        <v>5.2714359999999996</v>
      </c>
      <c r="E2869">
        <v>0.56138069999999995</v>
      </c>
      <c r="F2869" t="s">
        <v>46</v>
      </c>
      <c r="G2869">
        <v>-196.26900000000001</v>
      </c>
      <c r="H2869" s="1">
        <v>-1.4531859999999999E-5</v>
      </c>
      <c r="I2869">
        <v>157.84520000000001</v>
      </c>
      <c r="J2869">
        <v>-191.04130000000001</v>
      </c>
      <c r="K2869">
        <v>1.110471</v>
      </c>
      <c r="L2869">
        <v>168.00899999999999</v>
      </c>
      <c r="M2869">
        <v>-6.9301870000000002E-2</v>
      </c>
      <c r="N2869">
        <v>0</v>
      </c>
      <c r="O2869">
        <v>-0.99750910000000004</v>
      </c>
      <c r="P2869">
        <v>-0.3076236</v>
      </c>
      <c r="Q2869">
        <v>3.3207960000000002E-2</v>
      </c>
      <c r="R2869">
        <v>-0.95092829999999995</v>
      </c>
      <c r="S2869">
        <v>-1.380341</v>
      </c>
      <c r="T2869">
        <v>-0.29260520000000001</v>
      </c>
      <c r="U2869">
        <v>-2.7188110000000001</v>
      </c>
      <c r="V2869">
        <v>0.24100450000000001</v>
      </c>
      <c r="W2869">
        <v>4.5807840000000002E-2</v>
      </c>
      <c r="X2869">
        <v>0.96944240000000004</v>
      </c>
      <c r="Y2869">
        <v>0.3876983</v>
      </c>
      <c r="Z2869">
        <v>9.6634880000000006E-2</v>
      </c>
      <c r="AA2869">
        <v>0.91670699999999905</v>
      </c>
      <c r="AB2869">
        <v>22</v>
      </c>
      <c r="AC2869">
        <v>-5.2276999999999898</v>
      </c>
      <c r="AD2869">
        <v>-1.11048553186</v>
      </c>
      <c r="AE2869">
        <v>-10.1638</v>
      </c>
      <c r="AF2869">
        <v>4.4685145282277396</v>
      </c>
      <c r="AG2869">
        <v>-1.11048553186</v>
      </c>
      <c r="AH2869">
        <v>10.4034700454161</v>
      </c>
      <c r="AI2869">
        <v>95.601509731551602</v>
      </c>
      <c r="AJ2869">
        <v>66.755434869298895</v>
      </c>
      <c r="AK2869">
        <v>11.376862009856801</v>
      </c>
    </row>
    <row r="2870" spans="1:37" x14ac:dyDescent="0.2">
      <c r="A2870" t="str">
        <f>"20200111154122391"</f>
        <v>20200111154122391</v>
      </c>
      <c r="B2870" t="str">
        <f>"1578728482379327"</f>
        <v>1578728482379327</v>
      </c>
      <c r="C2870" t="s">
        <v>37</v>
      </c>
      <c r="D2870">
        <v>5.3696120000000001</v>
      </c>
      <c r="E2870">
        <v>0.5619345</v>
      </c>
      <c r="F2870" t="s">
        <v>46</v>
      </c>
      <c r="G2870">
        <v>-196.30459999999999</v>
      </c>
      <c r="H2870" s="1">
        <v>-1.4496309999999999E-5</v>
      </c>
      <c r="I2870">
        <v>157.7039</v>
      </c>
      <c r="J2870">
        <v>-191.05590000000001</v>
      </c>
      <c r="K2870">
        <v>1.1104689999999999</v>
      </c>
      <c r="L2870">
        <v>167.80529999999999</v>
      </c>
      <c r="M2870">
        <v>-6.9669690000000006E-2</v>
      </c>
      <c r="N2870">
        <v>0</v>
      </c>
      <c r="O2870">
        <v>-0.99748359999999903</v>
      </c>
      <c r="P2870">
        <v>-0.30796609999999902</v>
      </c>
      <c r="Q2870">
        <v>3.2896710000000003E-2</v>
      </c>
      <c r="R2870">
        <v>-0.95082869999999997</v>
      </c>
      <c r="S2870">
        <v>-1.3873139999999999</v>
      </c>
      <c r="T2870">
        <v>-0.29270370000000001</v>
      </c>
      <c r="U2870">
        <v>-2.71623199999999</v>
      </c>
      <c r="V2870">
        <v>0.2409953</v>
      </c>
      <c r="W2870">
        <v>4.5494890000000003E-2</v>
      </c>
      <c r="X2870">
        <v>0.96945939999999997</v>
      </c>
      <c r="Y2870">
        <v>0.3895769</v>
      </c>
      <c r="Z2870">
        <v>9.6651689999999998E-2</v>
      </c>
      <c r="AA2870">
        <v>0.91590849999999902</v>
      </c>
      <c r="AB2870">
        <v>22</v>
      </c>
      <c r="AC2870">
        <v>-5.2486999999999799</v>
      </c>
      <c r="AD2870">
        <v>-1.1104834963100001</v>
      </c>
      <c r="AE2870">
        <v>-10.1013999999999</v>
      </c>
      <c r="AF2870">
        <v>4.4894000008143804</v>
      </c>
      <c r="AG2870">
        <v>-1.1104834963100001</v>
      </c>
      <c r="AH2870">
        <v>10.344120935705799</v>
      </c>
      <c r="AI2870">
        <v>95.624306689340301</v>
      </c>
      <c r="AJ2870">
        <v>66.538916373534505</v>
      </c>
      <c r="AK2870">
        <v>11.330874807154</v>
      </c>
    </row>
    <row r="2871" spans="1:37" x14ac:dyDescent="0.2">
      <c r="A2871" t="str">
        <f>"20200111154122406"</f>
        <v>20200111154122406</v>
      </c>
      <c r="B2871" t="str">
        <f>"1578728482398847"</f>
        <v>1578728482398847</v>
      </c>
      <c r="C2871" t="s">
        <v>37</v>
      </c>
      <c r="D2871">
        <v>5.3727879999999999</v>
      </c>
      <c r="E2871">
        <v>0.56264289999999995</v>
      </c>
      <c r="F2871" t="s">
        <v>46</v>
      </c>
      <c r="G2871">
        <v>-196.3852</v>
      </c>
      <c r="H2871" s="1">
        <v>-1.4423699999999901E-5</v>
      </c>
      <c r="I2871">
        <v>157.4153</v>
      </c>
      <c r="J2871">
        <v>-191.06620000000001</v>
      </c>
      <c r="K2871">
        <v>1.1104670000000001</v>
      </c>
      <c r="L2871">
        <v>167.6617</v>
      </c>
      <c r="M2871">
        <v>-6.9932040000000001E-2</v>
      </c>
      <c r="N2871">
        <v>0</v>
      </c>
      <c r="O2871">
        <v>-0.9974655</v>
      </c>
      <c r="P2871">
        <v>-0.3085485</v>
      </c>
      <c r="Q2871">
        <v>3.3116270000000003E-2</v>
      </c>
      <c r="R2871">
        <v>-0.95063229999999999</v>
      </c>
      <c r="S2871">
        <v>-1.392212</v>
      </c>
      <c r="T2871">
        <v>-0.29009869999999999</v>
      </c>
      <c r="U2871">
        <v>-2.7142330000000001</v>
      </c>
      <c r="V2871">
        <v>0.24133539999999901</v>
      </c>
      <c r="W2871">
        <v>4.5711149999999999E-2</v>
      </c>
      <c r="X2871">
        <v>0.96936460000000002</v>
      </c>
      <c r="Y2871">
        <v>0.3909551</v>
      </c>
      <c r="Z2871">
        <v>9.5793580000000003E-2</v>
      </c>
      <c r="AA2871">
        <v>0.91541119999999898</v>
      </c>
      <c r="AB2871">
        <v>22</v>
      </c>
      <c r="AC2871">
        <v>-5.3189999999999804</v>
      </c>
      <c r="AD2871">
        <v>-1.1104814237</v>
      </c>
      <c r="AE2871">
        <v>-10.2463999999999</v>
      </c>
      <c r="AF2871">
        <v>4.5472887436133496</v>
      </c>
      <c r="AG2871">
        <v>-1.1104814237</v>
      </c>
      <c r="AH2871">
        <v>10.496195170777201</v>
      </c>
      <c r="AI2871">
        <v>95.544874031825799</v>
      </c>
      <c r="AJ2871">
        <v>66.576190332794098</v>
      </c>
      <c r="AK2871">
        <v>11.492654914040701</v>
      </c>
    </row>
    <row r="2872" spans="1:37" x14ac:dyDescent="0.2">
      <c r="A2872" t="str">
        <f>"20200111154122424"</f>
        <v>20200111154122424</v>
      </c>
      <c r="B2872" t="str">
        <f>"1578728482419342"</f>
        <v>1578728482419342</v>
      </c>
      <c r="C2872" t="s">
        <v>37</v>
      </c>
      <c r="D2872">
        <v>5.348179</v>
      </c>
      <c r="E2872">
        <v>0.56312259999999903</v>
      </c>
      <c r="F2872" t="s">
        <v>46</v>
      </c>
      <c r="G2872">
        <v>-196.42689999999999</v>
      </c>
      <c r="H2872" s="1">
        <v>-1.4387599999999999E-5</v>
      </c>
      <c r="I2872">
        <v>157.27189999999999</v>
      </c>
      <c r="J2872">
        <v>-191.0795</v>
      </c>
      <c r="K2872">
        <v>1.110468</v>
      </c>
      <c r="L2872">
        <v>167.47890000000001</v>
      </c>
      <c r="M2872">
        <v>-7.0273269999999999E-2</v>
      </c>
      <c r="N2872">
        <v>0</v>
      </c>
      <c r="O2872">
        <v>-0.99744120000000003</v>
      </c>
      <c r="P2872">
        <v>-0.30975199999999897</v>
      </c>
      <c r="Q2872">
        <v>3.3298420000000002E-2</v>
      </c>
      <c r="R2872">
        <v>-0.95023400000000002</v>
      </c>
      <c r="S2872">
        <v>-1.3991549999999999</v>
      </c>
      <c r="T2872">
        <v>-0.28983799999999998</v>
      </c>
      <c r="U2872">
        <v>-2.7117610000000001</v>
      </c>
      <c r="V2872">
        <v>0.2422327</v>
      </c>
      <c r="W2872">
        <v>4.5885960000000003E-2</v>
      </c>
      <c r="X2872">
        <v>0.96913249999999995</v>
      </c>
      <c r="Y2872">
        <v>0.39283600000000002</v>
      </c>
      <c r="Z2872">
        <v>9.5689289999999996E-2</v>
      </c>
      <c r="AA2872">
        <v>0.91461650000000005</v>
      </c>
      <c r="AB2872">
        <v>22</v>
      </c>
      <c r="AC2872">
        <v>-5.3473999999999897</v>
      </c>
      <c r="AD2872">
        <v>-1.1104823876000001</v>
      </c>
      <c r="AE2872">
        <v>-10.207000000000001</v>
      </c>
      <c r="AF2872">
        <v>4.57435224482027</v>
      </c>
      <c r="AG2872">
        <v>-1.1104823876000001</v>
      </c>
      <c r="AH2872">
        <v>10.460422250641599</v>
      </c>
      <c r="AI2872">
        <v>95.555496629357805</v>
      </c>
      <c r="AJ2872">
        <v>66.3801970355739</v>
      </c>
      <c r="AK2872">
        <v>11.4707586172223</v>
      </c>
    </row>
    <row r="2873" spans="1:37" x14ac:dyDescent="0.2">
      <c r="A2873" t="str">
        <f>"20200111154122447"</f>
        <v>20200111154122447</v>
      </c>
      <c r="B2873" t="str">
        <f>"1578728482438862"</f>
        <v>1578728482438862</v>
      </c>
      <c r="C2873" t="s">
        <v>37</v>
      </c>
      <c r="D2873">
        <v>5.3392489999999997</v>
      </c>
      <c r="E2873">
        <v>0.56391829999999998</v>
      </c>
      <c r="F2873" t="s">
        <v>46</v>
      </c>
      <c r="G2873">
        <v>-196.38829999999999</v>
      </c>
      <c r="H2873" s="1">
        <v>-1.438172E-5</v>
      </c>
      <c r="I2873">
        <v>157.24850000000001</v>
      </c>
      <c r="J2873">
        <v>-191.09620000000001</v>
      </c>
      <c r="K2873">
        <v>1.1104590000000001</v>
      </c>
      <c r="L2873">
        <v>167.249</v>
      </c>
      <c r="M2873">
        <v>-7.0718950000000003E-2</v>
      </c>
      <c r="N2873">
        <v>0</v>
      </c>
      <c r="O2873">
        <v>-0.99740969999999995</v>
      </c>
      <c r="P2873">
        <v>-0.3111777</v>
      </c>
      <c r="Q2873">
        <v>3.3963779999999999E-2</v>
      </c>
      <c r="R2873">
        <v>-0.94974459999999905</v>
      </c>
      <c r="S2873">
        <v>-1.405853</v>
      </c>
      <c r="T2873">
        <v>-0.2940682</v>
      </c>
      <c r="U2873">
        <v>-2.7091369999999899</v>
      </c>
      <c r="V2873">
        <v>0.2432578</v>
      </c>
      <c r="W2873">
        <v>4.6539480000000001E-2</v>
      </c>
      <c r="X2873">
        <v>0.9688445</v>
      </c>
      <c r="Y2873">
        <v>0.39450839999999998</v>
      </c>
      <c r="Z2873">
        <v>9.7061910000000001E-2</v>
      </c>
      <c r="AA2873">
        <v>0.91375169999999994</v>
      </c>
      <c r="AB2873">
        <v>22</v>
      </c>
      <c r="AC2873">
        <v>-5.2920999999999703</v>
      </c>
      <c r="AD2873">
        <v>-1.1104733817200001</v>
      </c>
      <c r="AE2873">
        <v>-10.000500000000001</v>
      </c>
      <c r="AF2873">
        <v>4.5279452007533303</v>
      </c>
      <c r="AG2873">
        <v>-1.1104733817200001</v>
      </c>
      <c r="AH2873">
        <v>10.250995872181999</v>
      </c>
      <c r="AI2873">
        <v>95.659083202913394</v>
      </c>
      <c r="AJ2873">
        <v>66.1685767643133</v>
      </c>
      <c r="AK2873">
        <v>11.261365602982</v>
      </c>
    </row>
    <row r="2874" spans="1:37" x14ac:dyDescent="0.2">
      <c r="A2874" t="str">
        <f>"20200111154122461"</f>
        <v>20200111154122461</v>
      </c>
      <c r="B2874" t="str">
        <f>"1578728482448623"</f>
        <v>1578728482448623</v>
      </c>
      <c r="C2874" t="s">
        <v>37</v>
      </c>
      <c r="D2874">
        <v>5.3771930000000001</v>
      </c>
      <c r="E2874">
        <v>0.56434879999999998</v>
      </c>
      <c r="F2874" t="s">
        <v>46</v>
      </c>
      <c r="G2874">
        <v>-196.51499999999999</v>
      </c>
      <c r="H2874" s="1">
        <v>-1.4293E-5</v>
      </c>
      <c r="I2874">
        <v>156.89590000000001</v>
      </c>
      <c r="J2874">
        <v>-191.10589999999999</v>
      </c>
      <c r="K2874">
        <v>1.110455</v>
      </c>
      <c r="L2874">
        <v>167.11619999999999</v>
      </c>
      <c r="M2874">
        <v>-7.098459E-2</v>
      </c>
      <c r="N2874">
        <v>0</v>
      </c>
      <c r="O2874">
        <v>-0.99739109999999997</v>
      </c>
      <c r="P2874">
        <v>-0.31213999999999997</v>
      </c>
      <c r="Q2874">
        <v>3.4450269999999998E-2</v>
      </c>
      <c r="R2874">
        <v>-0.94941149999999996</v>
      </c>
      <c r="S2874">
        <v>-1.415894</v>
      </c>
      <c r="T2874">
        <v>-0.2901571</v>
      </c>
      <c r="U2874">
        <v>-2.7051699999999999</v>
      </c>
      <c r="V2874">
        <v>0.24398429999999999</v>
      </c>
      <c r="W2874">
        <v>4.7017699999999898E-2</v>
      </c>
      <c r="X2874">
        <v>0.96863869999999896</v>
      </c>
      <c r="Y2874">
        <v>0.3975341</v>
      </c>
      <c r="Z2874">
        <v>9.576258E-2</v>
      </c>
      <c r="AA2874">
        <v>0.91257670000000002</v>
      </c>
      <c r="AB2874">
        <v>22</v>
      </c>
      <c r="AC2874">
        <v>-5.4090999999999898</v>
      </c>
      <c r="AD2874">
        <v>-1.110469293</v>
      </c>
      <c r="AE2874">
        <v>-10.2202999999999</v>
      </c>
      <c r="AF2874">
        <v>4.6272326633223901</v>
      </c>
      <c r="AG2874">
        <v>-1.110469293</v>
      </c>
      <c r="AH2874">
        <v>10.4818429297469</v>
      </c>
      <c r="AI2874">
        <v>95.535732329912094</v>
      </c>
      <c r="AJ2874">
        <v>66.180833421973801</v>
      </c>
      <c r="AK2874">
        <v>11.5114488825299</v>
      </c>
    </row>
    <row r="2875" spans="1:37" x14ac:dyDescent="0.2">
      <c r="A2875" t="str">
        <f>"20200111154122479"</f>
        <v>20200111154122479</v>
      </c>
      <c r="B2875" t="str">
        <f>"1578728482469118"</f>
        <v>1578728482469118</v>
      </c>
      <c r="C2875" t="s">
        <v>37</v>
      </c>
      <c r="D2875">
        <v>5.3829349999999998</v>
      </c>
      <c r="E2875">
        <v>0.5648938</v>
      </c>
      <c r="F2875" t="s">
        <v>46</v>
      </c>
      <c r="G2875">
        <v>-196.58199999999999</v>
      </c>
      <c r="H2875" s="1">
        <v>-1.4245299999999901E-5</v>
      </c>
      <c r="I2875">
        <v>156.7063</v>
      </c>
      <c r="J2875">
        <v>-191.11879999999999</v>
      </c>
      <c r="K2875">
        <v>1.110452</v>
      </c>
      <c r="L2875">
        <v>166.94040000000001</v>
      </c>
      <c r="M2875">
        <v>-7.1353550000000002E-2</v>
      </c>
      <c r="N2875">
        <v>0</v>
      </c>
      <c r="O2875">
        <v>-0.99736440000000004</v>
      </c>
      <c r="P2875">
        <v>-0.31410909999999997</v>
      </c>
      <c r="Q2875">
        <v>3.6078239999999998E-2</v>
      </c>
      <c r="R2875">
        <v>-0.94870119999999902</v>
      </c>
      <c r="S2875">
        <v>-1.421829</v>
      </c>
      <c r="T2875">
        <v>-0.28832600000000003</v>
      </c>
      <c r="U2875">
        <v>-2.70286599999999</v>
      </c>
      <c r="V2875">
        <v>0.2456431</v>
      </c>
      <c r="W2875">
        <v>4.8629949999999998E-2</v>
      </c>
      <c r="X2875">
        <v>0.96813979999999999</v>
      </c>
      <c r="Y2875">
        <v>0.39911239999999998</v>
      </c>
      <c r="Z2875">
        <v>9.5152180000000003E-2</v>
      </c>
      <c r="AA2875">
        <v>0.91195139999999997</v>
      </c>
      <c r="AB2875">
        <v>22</v>
      </c>
      <c r="AC2875">
        <v>-5.4631999999999996</v>
      </c>
      <c r="AD2875">
        <v>-1.1104662453</v>
      </c>
      <c r="AE2875">
        <v>-10.2341</v>
      </c>
      <c r="AF2875">
        <v>4.6761243345740198</v>
      </c>
      <c r="AG2875">
        <v>-1.1104662453</v>
      </c>
      <c r="AH2875">
        <v>10.5016396104043</v>
      </c>
      <c r="AI2875">
        <v>95.517572610981901</v>
      </c>
      <c r="AJ2875">
        <v>65.997754639501906</v>
      </c>
      <c r="AK2875">
        <v>11.5491864900156</v>
      </c>
    </row>
    <row r="2876" spans="1:37" x14ac:dyDescent="0.2">
      <c r="A2876" t="str">
        <f>"20200111154122493"</f>
        <v>20200111154122493</v>
      </c>
      <c r="B2876" t="str">
        <f>"1578728482488639"</f>
        <v>1578728482488639</v>
      </c>
      <c r="C2876" t="s">
        <v>37</v>
      </c>
      <c r="D2876">
        <v>5.3663309999999997</v>
      </c>
      <c r="E2876">
        <v>0.56561640000000002</v>
      </c>
      <c r="F2876" t="s">
        <v>46</v>
      </c>
      <c r="G2876">
        <v>-196.66390000000001</v>
      </c>
      <c r="H2876" s="1">
        <v>-1.418974E-5</v>
      </c>
      <c r="I2876">
        <v>156.4855</v>
      </c>
      <c r="J2876">
        <v>-191.12870000000001</v>
      </c>
      <c r="K2876">
        <v>1.110436</v>
      </c>
      <c r="L2876">
        <v>166.8066</v>
      </c>
      <c r="M2876">
        <v>-7.1661550000000004E-2</v>
      </c>
      <c r="N2876">
        <v>0</v>
      </c>
      <c r="O2876">
        <v>-0.99734279999999997</v>
      </c>
      <c r="P2876">
        <v>-0.31510450000000001</v>
      </c>
      <c r="Q2876">
        <v>3.7370970000000003E-2</v>
      </c>
      <c r="R2876">
        <v>-0.94832129999999903</v>
      </c>
      <c r="S2876">
        <v>-1.4315799999999901</v>
      </c>
      <c r="T2876">
        <v>-0.28668959999999999</v>
      </c>
      <c r="U2876">
        <v>-2.6991419999999899</v>
      </c>
      <c r="V2876">
        <v>0.2463669</v>
      </c>
      <c r="W2876">
        <v>4.9908229999999998E-2</v>
      </c>
      <c r="X2876">
        <v>0.96789069999999899</v>
      </c>
      <c r="Y2876">
        <v>0.40194580000000002</v>
      </c>
      <c r="Z2876">
        <v>9.4592889999999999E-2</v>
      </c>
      <c r="AA2876">
        <v>0.91076440000000003</v>
      </c>
      <c r="AB2876">
        <v>22</v>
      </c>
      <c r="AC2876">
        <v>-5.5351999999999997</v>
      </c>
      <c r="AD2876">
        <v>-1.1104501897399901</v>
      </c>
      <c r="AE2876">
        <v>-10.321099999999999</v>
      </c>
      <c r="AF2876">
        <v>4.7386762807130198</v>
      </c>
      <c r="AG2876">
        <v>-1.1104501897399901</v>
      </c>
      <c r="AH2876">
        <v>10.5959971019139</v>
      </c>
      <c r="AI2876">
        <v>95.464740089340793</v>
      </c>
      <c r="AJ2876">
        <v>65.905146998910396</v>
      </c>
      <c r="AK2876">
        <v>11.660330488500501</v>
      </c>
    </row>
    <row r="2877" spans="1:37" x14ac:dyDescent="0.2">
      <c r="A2877" t="str">
        <f>"20200111154122507"</f>
        <v>20200111154122507</v>
      </c>
      <c r="B2877" t="str">
        <f>"1578728482499376"</f>
        <v>1578728482499376</v>
      </c>
      <c r="C2877" t="s">
        <v>37</v>
      </c>
      <c r="D2877">
        <v>5.424614</v>
      </c>
      <c r="E2877">
        <v>0.56603789999999998</v>
      </c>
      <c r="F2877" t="s">
        <v>46</v>
      </c>
      <c r="G2877">
        <v>-196.7765</v>
      </c>
      <c r="H2877" s="1">
        <v>-1.412631E-5</v>
      </c>
      <c r="I2877">
        <v>156.23339999999999</v>
      </c>
      <c r="J2877">
        <v>-191.13849999999999</v>
      </c>
      <c r="K2877">
        <v>1.1104160000000001</v>
      </c>
      <c r="L2877">
        <v>166.67599999999999</v>
      </c>
      <c r="M2877">
        <v>-7.1984060000000002E-2</v>
      </c>
      <c r="N2877">
        <v>0</v>
      </c>
      <c r="O2877">
        <v>-0.99731930000000002</v>
      </c>
      <c r="P2877">
        <v>-0.31585479999999999</v>
      </c>
      <c r="Q2877">
        <v>3.8198580000000003E-2</v>
      </c>
      <c r="R2877">
        <v>-0.94803809999999999</v>
      </c>
      <c r="S2877">
        <v>-1.44017</v>
      </c>
      <c r="T2877">
        <v>-0.28316029999999998</v>
      </c>
      <c r="U2877">
        <v>-2.6961360000000001</v>
      </c>
      <c r="V2877">
        <v>0.24682589999999999</v>
      </c>
      <c r="W2877">
        <v>5.071925E-2</v>
      </c>
      <c r="X2877">
        <v>0.96773169999999897</v>
      </c>
      <c r="Y2877">
        <v>0.40438220000000002</v>
      </c>
      <c r="Z2877">
        <v>9.3409729999999996E-2</v>
      </c>
      <c r="AA2877">
        <v>0.90980749999999999</v>
      </c>
      <c r="AB2877">
        <v>22</v>
      </c>
      <c r="AC2877">
        <v>-5.6379999999999999</v>
      </c>
      <c r="AD2877">
        <v>-1.11043012631</v>
      </c>
      <c r="AE2877">
        <v>-10.442600000000001</v>
      </c>
      <c r="AF2877">
        <v>4.8293234087880199</v>
      </c>
      <c r="AG2877">
        <v>-1.11043012631</v>
      </c>
      <c r="AH2877">
        <v>10.727463699898699</v>
      </c>
      <c r="AI2877">
        <v>95.392121886126901</v>
      </c>
      <c r="AJ2877">
        <v>65.763528652888894</v>
      </c>
      <c r="AK2877">
        <v>11.8166787670957</v>
      </c>
    </row>
    <row r="2878" spans="1:37" x14ac:dyDescent="0.2">
      <c r="A2878" t="str">
        <f>"20200111154122525"</f>
        <v>20200111154122525</v>
      </c>
      <c r="B2878" t="str">
        <f>"1578728482518895"</f>
        <v>1578728482518895</v>
      </c>
      <c r="C2878" t="s">
        <v>37</v>
      </c>
      <c r="D2878">
        <v>5.4258759999999997</v>
      </c>
      <c r="E2878">
        <v>0.56669340000000001</v>
      </c>
      <c r="F2878" t="s">
        <v>46</v>
      </c>
      <c r="G2878">
        <v>-196.833</v>
      </c>
      <c r="H2878" s="1">
        <v>-1.406326E-5</v>
      </c>
      <c r="I2878">
        <v>156.06379999999999</v>
      </c>
      <c r="J2878">
        <v>-191.15170000000001</v>
      </c>
      <c r="K2878">
        <v>1.1103749999999999</v>
      </c>
      <c r="L2878">
        <v>166.49889999999999</v>
      </c>
      <c r="M2878">
        <v>-7.2473709999999997E-2</v>
      </c>
      <c r="N2878">
        <v>0</v>
      </c>
      <c r="O2878">
        <v>-0.99728399999999995</v>
      </c>
      <c r="P2878">
        <v>-0.31740209999999902</v>
      </c>
      <c r="Q2878">
        <v>3.8716059999999997E-2</v>
      </c>
      <c r="R2878">
        <v>-0.94750049999999997</v>
      </c>
      <c r="S2878">
        <v>-1.4456789999999999</v>
      </c>
      <c r="T2878">
        <v>-0.28190779999999999</v>
      </c>
      <c r="U2878">
        <v>-2.694153</v>
      </c>
      <c r="V2878">
        <v>0.2479384</v>
      </c>
      <c r="W2878">
        <v>5.1204989999999999E-2</v>
      </c>
      <c r="X2878">
        <v>0.96742159999999999</v>
      </c>
      <c r="Y2878">
        <v>0.40567589999999998</v>
      </c>
      <c r="Z2878">
        <v>9.2985529999999997E-2</v>
      </c>
      <c r="AA2878">
        <v>0.9092749</v>
      </c>
      <c r="AB2878">
        <v>22</v>
      </c>
      <c r="AC2878">
        <v>-5.6812999999999896</v>
      </c>
      <c r="AD2878">
        <v>-1.11038906326</v>
      </c>
      <c r="AE2878">
        <v>-10.4351</v>
      </c>
      <c r="AF2878">
        <v>4.86750914345102</v>
      </c>
      <c r="AG2878">
        <v>-1.11038906326</v>
      </c>
      <c r="AH2878">
        <v>10.7257560396081</v>
      </c>
      <c r="AI2878">
        <v>95.3854743446458</v>
      </c>
      <c r="AJ2878">
        <v>65.590739556256196</v>
      </c>
      <c r="AK2878">
        <v>11.8307840718431</v>
      </c>
    </row>
    <row r="2879" spans="1:37" x14ac:dyDescent="0.2">
      <c r="A2879" t="str">
        <f>"20200111154122540"</f>
        <v>20200111154122540</v>
      </c>
      <c r="B2879" t="str">
        <f>"1578728482528654"</f>
        <v>1578728482528654</v>
      </c>
      <c r="C2879" t="s">
        <v>37</v>
      </c>
      <c r="D2879">
        <v>5.4448089999999896</v>
      </c>
      <c r="E2879">
        <v>0.56705899999999998</v>
      </c>
      <c r="F2879" t="s">
        <v>46</v>
      </c>
      <c r="G2879">
        <v>-196.89760000000001</v>
      </c>
      <c r="H2879" s="1">
        <v>-1.399019E-5</v>
      </c>
      <c r="I2879">
        <v>155.8801</v>
      </c>
      <c r="J2879">
        <v>-191.16329999999999</v>
      </c>
      <c r="K2879">
        <v>1.110328</v>
      </c>
      <c r="L2879">
        <v>166.34729999999999</v>
      </c>
      <c r="M2879">
        <v>-7.2944250000000002E-2</v>
      </c>
      <c r="N2879">
        <v>0</v>
      </c>
      <c r="O2879">
        <v>-0.99724969999999902</v>
      </c>
      <c r="P2879">
        <v>-0.31823069999999998</v>
      </c>
      <c r="Q2879">
        <v>3.8582640000000001E-2</v>
      </c>
      <c r="R2879">
        <v>-0.94722809999999902</v>
      </c>
      <c r="S2879">
        <v>-1.4556119999999999</v>
      </c>
      <c r="T2879">
        <v>-0.28129759999999998</v>
      </c>
      <c r="U2879">
        <v>-2.69009399999999</v>
      </c>
      <c r="V2879">
        <v>0.24833379999999899</v>
      </c>
      <c r="W2879">
        <v>5.1040700000000001E-2</v>
      </c>
      <c r="X2879">
        <v>0.96732890000000005</v>
      </c>
      <c r="Y2879">
        <v>0.4084256</v>
      </c>
      <c r="Z2879">
        <v>9.2768240000000002E-2</v>
      </c>
      <c r="AA2879">
        <v>0.90806529999999996</v>
      </c>
      <c r="AB2879">
        <v>22</v>
      </c>
      <c r="AC2879">
        <v>-5.7343000000000099</v>
      </c>
      <c r="AD2879">
        <v>-1.11034199019</v>
      </c>
      <c r="AE2879">
        <v>-10.467199999999901</v>
      </c>
      <c r="AF2879">
        <v>4.9129121749352302</v>
      </c>
      <c r="AG2879">
        <v>-1.11034199019</v>
      </c>
      <c r="AH2879">
        <v>10.7644643815441</v>
      </c>
      <c r="AI2879">
        <v>95.360797008465099</v>
      </c>
      <c r="AJ2879">
        <v>65.467997109537194</v>
      </c>
      <c r="AK2879">
        <v>11.8845807160092</v>
      </c>
    </row>
    <row r="2880" spans="1:37" x14ac:dyDescent="0.2">
      <c r="A2880" t="str">
        <f>"20200111154122558"</f>
        <v>20200111154122558</v>
      </c>
      <c r="B2880" t="str">
        <f>"1578728482549150"</f>
        <v>1578728482549150</v>
      </c>
      <c r="C2880" t="s">
        <v>37</v>
      </c>
      <c r="D2880">
        <v>5.4256919999999997</v>
      </c>
      <c r="E2880">
        <v>0.56765369999999904</v>
      </c>
      <c r="F2880" t="s">
        <v>46</v>
      </c>
      <c r="G2880">
        <v>-196.91970000000001</v>
      </c>
      <c r="H2880" s="1">
        <v>-1.39395399999999E-5</v>
      </c>
      <c r="I2880">
        <v>155.75749999999999</v>
      </c>
      <c r="J2880">
        <v>-191.1764</v>
      </c>
      <c r="K2880">
        <v>1.110271</v>
      </c>
      <c r="L2880">
        <v>166.17660000000001</v>
      </c>
      <c r="M2880">
        <v>-7.3539160000000006E-2</v>
      </c>
      <c r="N2880">
        <v>0</v>
      </c>
      <c r="O2880">
        <v>-0.99720620000000004</v>
      </c>
      <c r="P2880">
        <v>-0.31918359999999901</v>
      </c>
      <c r="Q2880">
        <v>3.838751E-2</v>
      </c>
      <c r="R2880">
        <v>-0.94691569999999903</v>
      </c>
      <c r="S2880">
        <v>-1.4610289999999999</v>
      </c>
      <c r="T2880">
        <v>-0.28181420000000001</v>
      </c>
      <c r="U2880">
        <v>-2.6877900000000001</v>
      </c>
      <c r="V2880">
        <v>0.2487356</v>
      </c>
      <c r="W2880">
        <v>5.0814020000000001E-2</v>
      </c>
      <c r="X2880">
        <v>0.96723760000000003</v>
      </c>
      <c r="Y2880">
        <v>0.40961359999999902</v>
      </c>
      <c r="Z2880">
        <v>9.2932719999999996E-2</v>
      </c>
      <c r="AA2880">
        <v>0.90751319999999902</v>
      </c>
      <c r="AB2880">
        <v>22</v>
      </c>
      <c r="AC2880">
        <v>-5.7432999999999996</v>
      </c>
      <c r="AD2880">
        <v>-1.1102849395400001</v>
      </c>
      <c r="AE2880">
        <v>-10.4191</v>
      </c>
      <c r="AF2880">
        <v>4.9186311608580899</v>
      </c>
      <c r="AG2880">
        <v>-1.1102849395400001</v>
      </c>
      <c r="AH2880">
        <v>10.7199151304361</v>
      </c>
      <c r="AI2880">
        <v>95.377751351990298</v>
      </c>
      <c r="AJ2880">
        <v>65.352867687876497</v>
      </c>
      <c r="AK2880">
        <v>11.846613252203699</v>
      </c>
    </row>
    <row r="2881" spans="1:37" x14ac:dyDescent="0.2">
      <c r="A2881" t="str">
        <f>"20200111154122579"</f>
        <v>20200111154122579</v>
      </c>
      <c r="B2881" t="str">
        <f>"1578728482568673"</f>
        <v>1578728482568673</v>
      </c>
      <c r="C2881" t="s">
        <v>37</v>
      </c>
      <c r="D2881">
        <v>5.4372720000000001</v>
      </c>
      <c r="E2881">
        <v>0.56830150000000001</v>
      </c>
      <c r="F2881" t="s">
        <v>46</v>
      </c>
      <c r="G2881">
        <v>-196.9393</v>
      </c>
      <c r="H2881" s="1">
        <v>-1.389156E-5</v>
      </c>
      <c r="I2881">
        <v>155.64160000000001</v>
      </c>
      <c r="J2881">
        <v>-191.19239999999999</v>
      </c>
      <c r="K2881">
        <v>1.1101540000000001</v>
      </c>
      <c r="L2881">
        <v>165.97229999999999</v>
      </c>
      <c r="M2881">
        <v>-7.4375060000000007E-2</v>
      </c>
      <c r="N2881">
        <v>0</v>
      </c>
      <c r="O2881">
        <v>-0.99714639999999999</v>
      </c>
      <c r="P2881">
        <v>-0.31949129999999998</v>
      </c>
      <c r="Q2881">
        <v>3.8323830000000003E-2</v>
      </c>
      <c r="R2881">
        <v>-0.9468143</v>
      </c>
      <c r="S2881">
        <v>-1.468567</v>
      </c>
      <c r="T2881">
        <v>-0.28293429999999897</v>
      </c>
      <c r="U2881">
        <v>-2.684631</v>
      </c>
      <c r="V2881">
        <v>0.2482471</v>
      </c>
      <c r="W2881">
        <v>5.0543999999999999E-2</v>
      </c>
      <c r="X2881">
        <v>0.96737719999999905</v>
      </c>
      <c r="Y2881">
        <v>0.41124480000000002</v>
      </c>
      <c r="Z2881">
        <v>9.3291009999999994E-2</v>
      </c>
      <c r="AA2881">
        <v>0.90673840000000006</v>
      </c>
      <c r="AB2881">
        <v>22</v>
      </c>
      <c r="AC2881">
        <v>-5.7469000000000099</v>
      </c>
      <c r="AD2881">
        <v>-1.11016789156</v>
      </c>
      <c r="AE2881">
        <v>-10.330699999999901</v>
      </c>
      <c r="AF2881">
        <v>4.9191867616719396</v>
      </c>
      <c r="AG2881">
        <v>-1.11016789156</v>
      </c>
      <c r="AH2881">
        <v>10.635746654717799</v>
      </c>
      <c r="AI2881">
        <v>95.4119534595103</v>
      </c>
      <c r="AJ2881">
        <v>65.1787755377796</v>
      </c>
      <c r="AK2881">
        <v>11.7707254681689</v>
      </c>
    </row>
    <row r="2882" spans="1:37" x14ac:dyDescent="0.2">
      <c r="A2882" t="str">
        <f>"20200111154122594"</f>
        <v>20200111154122594</v>
      </c>
      <c r="B2882" t="str">
        <f>"1578728482589167"</f>
        <v>1578728482589167</v>
      </c>
      <c r="C2882" t="s">
        <v>37</v>
      </c>
      <c r="D2882">
        <v>5.4104839999999896</v>
      </c>
      <c r="E2882">
        <v>0.56890450000000004</v>
      </c>
      <c r="F2882" t="s">
        <v>46</v>
      </c>
      <c r="G2882">
        <v>-196.97579999999999</v>
      </c>
      <c r="H2882" s="1">
        <v>-1.381499E-5</v>
      </c>
      <c r="I2882">
        <v>155.4556</v>
      </c>
      <c r="J2882">
        <v>-191.203</v>
      </c>
      <c r="K2882">
        <v>1.1100620000000001</v>
      </c>
      <c r="L2882">
        <v>165.83920000000001</v>
      </c>
      <c r="M2882">
        <v>-7.5021270000000001E-2</v>
      </c>
      <c r="N2882">
        <v>0</v>
      </c>
      <c r="O2882">
        <v>-0.99709979999999998</v>
      </c>
      <c r="P2882">
        <v>-0.3201002</v>
      </c>
      <c r="Q2882">
        <v>3.8407719999999999E-2</v>
      </c>
      <c r="R2882">
        <v>-0.94660480000000002</v>
      </c>
      <c r="S2882">
        <v>-1.4750209999999999</v>
      </c>
      <c r="T2882">
        <v>-0.28314020000000001</v>
      </c>
      <c r="U2882">
        <v>-2.68222</v>
      </c>
      <c r="V2882">
        <v>0.24824959999999999</v>
      </c>
      <c r="W2882">
        <v>5.0446369999999997E-2</v>
      </c>
      <c r="X2882">
        <v>0.96738169999999901</v>
      </c>
      <c r="Y2882">
        <v>0.41267219999999999</v>
      </c>
      <c r="Z2882">
        <v>9.3342480000000005E-2</v>
      </c>
      <c r="AA2882">
        <v>0.90608440000000001</v>
      </c>
      <c r="AB2882">
        <v>22</v>
      </c>
      <c r="AC2882">
        <v>-5.7727999999999797</v>
      </c>
      <c r="AD2882">
        <v>-1.1100758149900001</v>
      </c>
      <c r="AE2882">
        <v>-10.383599999999999</v>
      </c>
      <c r="AF2882">
        <v>4.9343945425001898</v>
      </c>
      <c r="AG2882">
        <v>-1.1100758149900001</v>
      </c>
      <c r="AH2882">
        <v>10.694086504675701</v>
      </c>
      <c r="AI2882">
        <v>95.384402934541995</v>
      </c>
      <c r="AJ2882">
        <v>65.230768078526907</v>
      </c>
      <c r="AK2882">
        <v>11.8297930660502</v>
      </c>
    </row>
    <row r="2883" spans="1:37" x14ac:dyDescent="0.2">
      <c r="A2883" t="str">
        <f>"20200111154122607"</f>
        <v>20200111154122607</v>
      </c>
      <c r="B2883" t="str">
        <f>"1578728482598926"</f>
        <v>1578728482598926</v>
      </c>
      <c r="C2883" t="s">
        <v>37</v>
      </c>
      <c r="D2883">
        <v>5.4128290000000003</v>
      </c>
      <c r="E2883">
        <v>0.56890450000000004</v>
      </c>
      <c r="F2883" t="s">
        <v>46</v>
      </c>
      <c r="G2883">
        <v>-197.00700000000001</v>
      </c>
      <c r="H2883" s="1">
        <v>-1.3768509999999999E-5</v>
      </c>
      <c r="I2883">
        <v>155.3408</v>
      </c>
      <c r="J2883">
        <v>-191.21420000000001</v>
      </c>
      <c r="K2883">
        <v>1.109969</v>
      </c>
      <c r="L2883">
        <v>165.69929999999999</v>
      </c>
      <c r="M2883">
        <v>-7.5767929999999997E-2</v>
      </c>
      <c r="N2883">
        <v>0</v>
      </c>
      <c r="O2883">
        <v>-0.99704530000000002</v>
      </c>
      <c r="P2883">
        <v>-0.32075609999999999</v>
      </c>
      <c r="Q2883">
        <v>3.8403239999999998E-2</v>
      </c>
      <c r="R2883">
        <v>-0.94638369999999905</v>
      </c>
      <c r="S2883">
        <v>-1.4814909999999999</v>
      </c>
      <c r="T2883">
        <v>-0.28334920000000002</v>
      </c>
      <c r="U2883">
        <v>-2.6797490000000002</v>
      </c>
      <c r="V2883">
        <v>0.24820309999999901</v>
      </c>
      <c r="W2883">
        <v>5.0274930000000002E-2</v>
      </c>
      <c r="X2883">
        <v>0.96740249999999905</v>
      </c>
      <c r="Y2883">
        <v>0.414018099999999</v>
      </c>
      <c r="Z2883">
        <v>9.3396889999999996E-2</v>
      </c>
      <c r="AA2883">
        <v>0.90546450000000001</v>
      </c>
      <c r="AB2883">
        <v>22</v>
      </c>
      <c r="AC2883">
        <v>-5.7927999999999997</v>
      </c>
      <c r="AD2883">
        <v>-1.1099827685100001</v>
      </c>
      <c r="AE2883">
        <v>-10.3584999999999</v>
      </c>
      <c r="AF2883">
        <v>4.9479610467738597</v>
      </c>
      <c r="AG2883">
        <v>-1.1099827685100001</v>
      </c>
      <c r="AH2883">
        <v>10.6742948102018</v>
      </c>
      <c r="AI2883">
        <v>95.3895356528094</v>
      </c>
      <c r="AJ2883">
        <v>65.130397564187405</v>
      </c>
      <c r="AK2883">
        <v>11.817569545464099</v>
      </c>
    </row>
    <row r="2884" spans="1:37" x14ac:dyDescent="0.2">
      <c r="A2884" t="str">
        <f>"20200111154122626"</f>
        <v>20200111154122626</v>
      </c>
      <c r="B2884" t="str">
        <f>"1578728482619423"</f>
        <v>1578728482619423</v>
      </c>
      <c r="C2884" t="s">
        <v>37</v>
      </c>
      <c r="D2884">
        <v>5.4231809999999996</v>
      </c>
      <c r="E2884">
        <v>0.57753069999999995</v>
      </c>
      <c r="F2884" t="s">
        <v>46</v>
      </c>
      <c r="G2884">
        <v>-197.03720000000001</v>
      </c>
      <c r="H2884" s="1">
        <v>-1.3705470000000001E-5</v>
      </c>
      <c r="I2884">
        <v>155.1876</v>
      </c>
      <c r="J2884">
        <v>-191.22839999999999</v>
      </c>
      <c r="K2884">
        <v>1.1098699999999999</v>
      </c>
      <c r="L2884">
        <v>165.52760000000001</v>
      </c>
      <c r="M2884">
        <v>-7.6802560000000006E-2</v>
      </c>
      <c r="N2884">
        <v>0</v>
      </c>
      <c r="O2884">
        <v>-0.99696700000000005</v>
      </c>
      <c r="P2884">
        <v>-0.32170609999999999</v>
      </c>
      <c r="Q2884">
        <v>3.8965340000000001E-2</v>
      </c>
      <c r="R2884">
        <v>-0.94603780000000004</v>
      </c>
      <c r="S2884">
        <v>-1.4837799999999901</v>
      </c>
      <c r="T2884">
        <v>-0.28284199999999998</v>
      </c>
      <c r="U2884">
        <v>-2.6785580000000002</v>
      </c>
      <c r="V2884">
        <v>0.2481844</v>
      </c>
      <c r="W2884">
        <v>5.0705449999999999E-2</v>
      </c>
      <c r="X2884">
        <v>0.96738489999999999</v>
      </c>
      <c r="Y2884">
        <v>0.4138442</v>
      </c>
      <c r="Z2884">
        <v>9.3241840000000006E-2</v>
      </c>
      <c r="AA2884">
        <v>0.90556000000000003</v>
      </c>
      <c r="AB2884">
        <v>22</v>
      </c>
      <c r="AC2884">
        <v>-5.8088000000000104</v>
      </c>
      <c r="AD2884">
        <v>-1.1098837054699999</v>
      </c>
      <c r="AE2884">
        <v>-10.34</v>
      </c>
      <c r="AF2884">
        <v>4.9540524467214002</v>
      </c>
      <c r="AG2884">
        <v>-1.1098837054699999</v>
      </c>
      <c r="AH2884">
        <v>10.662243135713901</v>
      </c>
      <c r="AI2884">
        <v>95.392870326826994</v>
      </c>
      <c r="AJ2884">
        <v>65.078764825732407</v>
      </c>
      <c r="AK2884">
        <v>11.809229702635699</v>
      </c>
    </row>
    <row r="2885" spans="1:37" x14ac:dyDescent="0.2">
      <c r="A2885" t="str">
        <f>"20200111154122639"</f>
        <v>20200111154122639</v>
      </c>
      <c r="B2885" t="str">
        <f>"1578728482629182"</f>
        <v>1578728482629182</v>
      </c>
      <c r="C2885" t="s">
        <v>37</v>
      </c>
      <c r="D2885">
        <v>5.4336070000000003</v>
      </c>
      <c r="E2885">
        <v>0.5780092</v>
      </c>
      <c r="F2885" t="s">
        <v>46</v>
      </c>
      <c r="G2885">
        <v>-197.16820000000001</v>
      </c>
      <c r="H2885" s="1">
        <v>-1.379467E-5</v>
      </c>
      <c r="I2885">
        <v>155.36840000000001</v>
      </c>
      <c r="J2885">
        <v>-191.24019999999999</v>
      </c>
      <c r="K2885">
        <v>1.109793</v>
      </c>
      <c r="L2885">
        <v>165.3861</v>
      </c>
      <c r="M2885">
        <v>-7.7758800000000003E-2</v>
      </c>
      <c r="N2885">
        <v>0</v>
      </c>
      <c r="O2885">
        <v>-0.99689289999999997</v>
      </c>
      <c r="P2885">
        <v>-0.32246740000000002</v>
      </c>
      <c r="Q2885">
        <v>3.8941370000000003E-2</v>
      </c>
      <c r="R2885">
        <v>-0.9457795</v>
      </c>
      <c r="S2885">
        <v>-1.5523990000000001</v>
      </c>
      <c r="T2885">
        <v>-0.29007280000000002</v>
      </c>
      <c r="U2885">
        <v>-2.655151</v>
      </c>
      <c r="V2885">
        <v>0.24804499999999999</v>
      </c>
      <c r="W2885">
        <v>5.0624490000000001E-2</v>
      </c>
      <c r="X2885">
        <v>0.96742490000000003</v>
      </c>
      <c r="Y2885">
        <v>0.43378649999999902</v>
      </c>
      <c r="Z2885">
        <v>9.528296E-2</v>
      </c>
      <c r="AA2885">
        <v>0.89596339999999997</v>
      </c>
      <c r="AB2885">
        <v>22</v>
      </c>
      <c r="AC2885">
        <v>-5.9280000000000204</v>
      </c>
      <c r="AD2885">
        <v>-1.1098067946700001</v>
      </c>
      <c r="AE2885">
        <v>-10.0176999999999</v>
      </c>
      <c r="AF2885">
        <v>5.0848009615340999</v>
      </c>
      <c r="AG2885">
        <v>-1.1098067946700001</v>
      </c>
      <c r="AH2885">
        <v>10.3542329434369</v>
      </c>
      <c r="AI2885">
        <v>95.495445660079596</v>
      </c>
      <c r="AJ2885">
        <v>63.8450712639887</v>
      </c>
      <c r="AK2885">
        <v>11.5886587570291</v>
      </c>
    </row>
    <row r="2886" spans="1:37" x14ac:dyDescent="0.2">
      <c r="A2886" t="str">
        <f>"20200111154122655"</f>
        <v>20200111154122655</v>
      </c>
      <c r="B2886" t="str">
        <f>"1578728482648703"</f>
        <v>1578728482648703</v>
      </c>
      <c r="C2886" t="s">
        <v>37</v>
      </c>
      <c r="D2886">
        <v>5.428229</v>
      </c>
      <c r="E2886">
        <v>0.57862369999999996</v>
      </c>
      <c r="F2886" t="s">
        <v>46</v>
      </c>
      <c r="G2886">
        <v>-197.23320000000001</v>
      </c>
      <c r="H2886" s="1">
        <v>-1.372338E-5</v>
      </c>
      <c r="I2886">
        <v>155.18879999999999</v>
      </c>
      <c r="J2886">
        <v>-191.25239999999999</v>
      </c>
      <c r="K2886">
        <v>1.1097139999999901</v>
      </c>
      <c r="L2886">
        <v>165.24469999999999</v>
      </c>
      <c r="M2886">
        <v>-7.8818769999999996E-2</v>
      </c>
      <c r="N2886">
        <v>0</v>
      </c>
      <c r="O2886">
        <v>-0.99680970000000002</v>
      </c>
      <c r="P2886">
        <v>-0.323360799999999</v>
      </c>
      <c r="Q2886">
        <v>3.890536E-2</v>
      </c>
      <c r="R2886">
        <v>-0.94547569999999903</v>
      </c>
      <c r="S2886">
        <v>-1.5588070000000001</v>
      </c>
      <c r="T2886">
        <v>-0.28866959999999903</v>
      </c>
      <c r="U2886">
        <v>-2.6524049999999999</v>
      </c>
      <c r="V2886">
        <v>0.24794070000000001</v>
      </c>
      <c r="W2886">
        <v>5.0527809999999999E-2</v>
      </c>
      <c r="X2886">
        <v>0.967456599999999</v>
      </c>
      <c r="Y2886">
        <v>0.43486669999999999</v>
      </c>
      <c r="Z2886">
        <v>9.4818970000000002E-2</v>
      </c>
      <c r="AA2886">
        <v>0.89548890000000003</v>
      </c>
      <c r="AB2886">
        <v>22</v>
      </c>
      <c r="AC2886">
        <v>-5.9808000000000101</v>
      </c>
      <c r="AD2886">
        <v>-1.10972772337999</v>
      </c>
      <c r="AE2886">
        <v>-10.055899999999999</v>
      </c>
      <c r="AF2886">
        <v>5.1234428886534502</v>
      </c>
      <c r="AG2886">
        <v>-1.10972772337999</v>
      </c>
      <c r="AH2886">
        <v>10.4024649569467</v>
      </c>
      <c r="AI2886">
        <v>95.466638506863603</v>
      </c>
      <c r="AJ2886">
        <v>63.778739135680802</v>
      </c>
      <c r="AK2886">
        <v>11.6487097926695</v>
      </c>
    </row>
    <row r="2887" spans="1:37" x14ac:dyDescent="0.2">
      <c r="A2887" t="str">
        <f>"20200111154122670"</f>
        <v>20200111154122670</v>
      </c>
      <c r="B2887" t="str">
        <f>"1578728482659438"</f>
        <v>1578728482659438</v>
      </c>
      <c r="C2887" t="s">
        <v>37</v>
      </c>
      <c r="D2887">
        <v>5.4200910000000002</v>
      </c>
      <c r="E2887">
        <v>0.57911880000000004</v>
      </c>
      <c r="F2887" t="s">
        <v>46</v>
      </c>
      <c r="G2887">
        <v>-197.16659999999999</v>
      </c>
      <c r="H2887" s="1">
        <v>-1.373997E-5</v>
      </c>
      <c r="I2887">
        <v>155.24119999999999</v>
      </c>
      <c r="J2887">
        <v>-191.26490000000001</v>
      </c>
      <c r="K2887">
        <v>1.109626</v>
      </c>
      <c r="L2887">
        <v>165.10169999999999</v>
      </c>
      <c r="M2887">
        <v>-7.9978960000000002E-2</v>
      </c>
      <c r="N2887">
        <v>0</v>
      </c>
      <c r="O2887">
        <v>-0.99671759999999998</v>
      </c>
      <c r="P2887">
        <v>-0.32450250000000003</v>
      </c>
      <c r="Q2887">
        <v>3.823178E-2</v>
      </c>
      <c r="R2887">
        <v>-0.94511229999999902</v>
      </c>
      <c r="S2887">
        <v>-1.56636</v>
      </c>
      <c r="T2887">
        <v>-0.29390879999999903</v>
      </c>
      <c r="U2887">
        <v>-2.6493989999999998</v>
      </c>
      <c r="V2887">
        <v>0.2479904</v>
      </c>
      <c r="W2887">
        <v>4.9779169999999998E-2</v>
      </c>
      <c r="X2887">
        <v>0.96748269999999903</v>
      </c>
      <c r="Y2887">
        <v>0.43607499999999999</v>
      </c>
      <c r="Z2887">
        <v>9.6507910000000002E-2</v>
      </c>
      <c r="AA2887">
        <v>0.89472059999999998</v>
      </c>
      <c r="AB2887">
        <v>22</v>
      </c>
      <c r="AC2887">
        <v>-5.9016999999999697</v>
      </c>
      <c r="AD2887">
        <v>-1.10963973997</v>
      </c>
      <c r="AE2887">
        <v>-9.8605</v>
      </c>
      <c r="AF2887">
        <v>5.0470388997524998</v>
      </c>
      <c r="AG2887">
        <v>-1.10963973997</v>
      </c>
      <c r="AH2887">
        <v>10.205799275317901</v>
      </c>
      <c r="AI2887">
        <v>95.566482853704997</v>
      </c>
      <c r="AJ2887">
        <v>63.686381287347302</v>
      </c>
      <c r="AK2887">
        <v>11.4395035231523</v>
      </c>
    </row>
    <row r="2888" spans="1:37" x14ac:dyDescent="0.2">
      <c r="A2888" t="str">
        <f>"20200111154122691"</f>
        <v>20200111154122691</v>
      </c>
      <c r="B2888" t="str">
        <f>"1578728482678958"</f>
        <v>1578728482678958</v>
      </c>
      <c r="C2888" t="s">
        <v>37</v>
      </c>
      <c r="D2888">
        <v>5.502821</v>
      </c>
      <c r="E2888">
        <v>0.57927530000000005</v>
      </c>
      <c r="F2888" t="s">
        <v>46</v>
      </c>
      <c r="G2888">
        <v>-197.16829999999999</v>
      </c>
      <c r="H2888" s="1">
        <v>-1.371207E-5</v>
      </c>
      <c r="I2888">
        <v>155.17580000000001</v>
      </c>
      <c r="J2888">
        <v>-191.28389999999999</v>
      </c>
      <c r="K2888">
        <v>1.10948</v>
      </c>
      <c r="L2888">
        <v>164.89019999999999</v>
      </c>
      <c r="M2888">
        <v>-8.1882339999999998E-2</v>
      </c>
      <c r="N2888">
        <v>0</v>
      </c>
      <c r="O2888">
        <v>-0.99656359999999999</v>
      </c>
      <c r="P2888">
        <v>-0.32688210000000001</v>
      </c>
      <c r="Q2888">
        <v>3.7172450000000003E-2</v>
      </c>
      <c r="R2888">
        <v>-0.94433409999999995</v>
      </c>
      <c r="S2888">
        <v>-1.573639</v>
      </c>
      <c r="T2888">
        <v>-0.29578939999999998</v>
      </c>
      <c r="U2888">
        <v>-2.6458740000000001</v>
      </c>
      <c r="V2888">
        <v>0.24859039999999999</v>
      </c>
      <c r="W2888">
        <v>4.8580419999999999E-2</v>
      </c>
      <c r="X2888">
        <v>0.96738969999999902</v>
      </c>
      <c r="Y2888">
        <v>0.43667020000000001</v>
      </c>
      <c r="Z2888">
        <v>9.7128530000000005E-2</v>
      </c>
      <c r="AA2888">
        <v>0.89436299999999902</v>
      </c>
      <c r="AB2888">
        <v>22</v>
      </c>
      <c r="AC2888">
        <v>-5.8843999999999896</v>
      </c>
      <c r="AD2888">
        <v>-1.1094937120699999</v>
      </c>
      <c r="AE2888">
        <v>-9.7143999999999799</v>
      </c>
      <c r="AF2888">
        <v>5.0212208017913902</v>
      </c>
      <c r="AG2888">
        <v>-1.1094937120699999</v>
      </c>
      <c r="AH2888">
        <v>10.0675676031299</v>
      </c>
      <c r="AI2888">
        <v>95.632257226951197</v>
      </c>
      <c r="AJ2888">
        <v>63.492175443936802</v>
      </c>
      <c r="AK2888">
        <v>11.3048463979418</v>
      </c>
    </row>
    <row r="2889" spans="1:37" x14ac:dyDescent="0.2">
      <c r="A2889" t="str">
        <f>"20200111154122716"</f>
        <v>20200111154122716</v>
      </c>
      <c r="B2889" t="str">
        <f>"1578728482709214"</f>
        <v>1578728482709214</v>
      </c>
      <c r="C2889" t="s">
        <v>37</v>
      </c>
      <c r="D2889">
        <v>5.4049959999999997</v>
      </c>
      <c r="E2889">
        <v>0.58030130000000002</v>
      </c>
      <c r="F2889" t="s">
        <v>46</v>
      </c>
      <c r="G2889">
        <v>-197.1694</v>
      </c>
      <c r="H2889" s="1">
        <v>-1.366318E-5</v>
      </c>
      <c r="I2889">
        <v>155.0617</v>
      </c>
      <c r="J2889">
        <v>-191.30529999999999</v>
      </c>
      <c r="K2889">
        <v>1.1093309999999901</v>
      </c>
      <c r="L2889">
        <v>164.66069999999999</v>
      </c>
      <c r="M2889">
        <v>-8.4170239999999993E-2</v>
      </c>
      <c r="N2889">
        <v>0</v>
      </c>
      <c r="O2889">
        <v>-0.99637369999999903</v>
      </c>
      <c r="P2889">
        <v>-0.32964450000000001</v>
      </c>
      <c r="Q2889">
        <v>3.6777789999999998E-2</v>
      </c>
      <c r="R2889">
        <v>-0.94338860000000002</v>
      </c>
      <c r="S2889">
        <v>-1.5815429999999999</v>
      </c>
      <c r="T2889">
        <v>-0.29814079999999998</v>
      </c>
      <c r="U2889">
        <v>-2.6410979999999999</v>
      </c>
      <c r="V2889">
        <v>0.24921550000000001</v>
      </c>
      <c r="W2889">
        <v>4.8044120000000003E-2</v>
      </c>
      <c r="X2889">
        <v>0.96725559999999999</v>
      </c>
      <c r="Y2889">
        <v>0.43725009999999997</v>
      </c>
      <c r="Z2889">
        <v>9.7930569999999995E-2</v>
      </c>
      <c r="AA2889">
        <v>0.89399209999999996</v>
      </c>
      <c r="AB2889">
        <v>22</v>
      </c>
      <c r="AC2889">
        <v>-5.8640999999999996</v>
      </c>
      <c r="AD2889">
        <v>-1.1093446631799999</v>
      </c>
      <c r="AE2889">
        <v>-9.5989999999999895</v>
      </c>
      <c r="AF2889">
        <v>4.9867721617659697</v>
      </c>
      <c r="AG2889">
        <v>-1.1093446631799999</v>
      </c>
      <c r="AH2889">
        <v>9.9616630447853094</v>
      </c>
      <c r="AI2889">
        <v>95.686816767008295</v>
      </c>
      <c r="AJ2889">
        <v>63.4076206659268</v>
      </c>
      <c r="AK2889">
        <v>11.195234378651101</v>
      </c>
    </row>
    <row r="2890" spans="1:37" x14ac:dyDescent="0.2">
      <c r="A2890" t="str">
        <f>"20200111154122729"</f>
        <v>20200111154122729</v>
      </c>
      <c r="B2890" t="str">
        <f>"1578728482718974"</f>
        <v>1578728482718974</v>
      </c>
      <c r="C2890" t="s">
        <v>37</v>
      </c>
      <c r="D2890">
        <v>5.4075959999999998</v>
      </c>
      <c r="E2890">
        <v>0.58060819999999902</v>
      </c>
      <c r="F2890" t="s">
        <v>46</v>
      </c>
      <c r="G2890">
        <v>-197.18620000000001</v>
      </c>
      <c r="H2890" s="1">
        <v>-1.362097E-5</v>
      </c>
      <c r="I2890">
        <v>154.9598</v>
      </c>
      <c r="J2890">
        <v>-191.31809999999999</v>
      </c>
      <c r="K2890">
        <v>1.109254</v>
      </c>
      <c r="L2890">
        <v>164.52699999999999</v>
      </c>
      <c r="M2890">
        <v>-8.5603609999999997E-2</v>
      </c>
      <c r="N2890">
        <v>0</v>
      </c>
      <c r="O2890">
        <v>-0.99625160000000001</v>
      </c>
      <c r="P2890">
        <v>-0.33139600000000002</v>
      </c>
      <c r="Q2890">
        <v>3.6731109999999997E-2</v>
      </c>
      <c r="R2890">
        <v>-0.94277659999999996</v>
      </c>
      <c r="S2890">
        <v>-1.5967100000000001</v>
      </c>
      <c r="T2890">
        <v>-0.3011914</v>
      </c>
      <c r="U2890">
        <v>-2.6338349999999999</v>
      </c>
      <c r="V2890">
        <v>0.2496295</v>
      </c>
      <c r="W2890">
        <v>4.7929819999999998E-2</v>
      </c>
      <c r="X2890">
        <v>0.96715450000000003</v>
      </c>
      <c r="Y2890">
        <v>0.44076490000000002</v>
      </c>
      <c r="Z2890">
        <v>9.8909810000000001E-2</v>
      </c>
      <c r="AA2890">
        <v>0.89215650000000002</v>
      </c>
      <c r="AB2890">
        <v>22</v>
      </c>
      <c r="AC2890">
        <v>-5.8681000000000196</v>
      </c>
      <c r="AD2890">
        <v>-1.1092676209700001</v>
      </c>
      <c r="AE2890">
        <v>-9.5672000000000104</v>
      </c>
      <c r="AF2890">
        <v>4.9788710505221898</v>
      </c>
      <c r="AG2890">
        <v>-1.1092676209700001</v>
      </c>
      <c r="AH2890">
        <v>9.9373740099305596</v>
      </c>
      <c r="AI2890">
        <v>95.699260429296103</v>
      </c>
      <c r="AJ2890">
        <v>63.387993673533202</v>
      </c>
      <c r="AK2890">
        <v>11.170095514627601</v>
      </c>
    </row>
    <row r="2891" spans="1:37" x14ac:dyDescent="0.2">
      <c r="A2891" t="str">
        <f>"20200111154122742"</f>
        <v>20200111154122742</v>
      </c>
      <c r="B2891" t="str">
        <f>"1578728482739470"</f>
        <v>1578728482739470</v>
      </c>
      <c r="C2891" t="s">
        <v>37</v>
      </c>
      <c r="D2891">
        <v>5.399635</v>
      </c>
      <c r="E2891">
        <v>0.58124330000000002</v>
      </c>
      <c r="F2891" t="s">
        <v>46</v>
      </c>
      <c r="G2891">
        <v>-197.19370000000001</v>
      </c>
      <c r="H2891" s="1">
        <v>-1.359195E-5</v>
      </c>
      <c r="I2891">
        <v>154.89060000000001</v>
      </c>
      <c r="J2891">
        <v>-191.33090000000001</v>
      </c>
      <c r="K2891">
        <v>1.1091839999999999</v>
      </c>
      <c r="L2891">
        <v>164.3956</v>
      </c>
      <c r="M2891">
        <v>-8.7070410000000001E-2</v>
      </c>
      <c r="N2891">
        <v>0</v>
      </c>
      <c r="O2891">
        <v>-0.99612489999999998</v>
      </c>
      <c r="P2891">
        <v>-0.3329975</v>
      </c>
      <c r="Q2891">
        <v>3.7104039999999998E-2</v>
      </c>
      <c r="R2891">
        <v>-0.94219779999999997</v>
      </c>
      <c r="S2891">
        <v>-1.603699</v>
      </c>
      <c r="T2891">
        <v>-0.30276219999999998</v>
      </c>
      <c r="U2891">
        <v>-2.6301570000000001</v>
      </c>
      <c r="V2891">
        <v>0.24986</v>
      </c>
      <c r="W2891">
        <v>4.8245589999999998E-2</v>
      </c>
      <c r="X2891">
        <v>0.96707929999999998</v>
      </c>
      <c r="Y2891">
        <v>0.44170090000000001</v>
      </c>
      <c r="Z2891">
        <v>9.9430959999999999E-2</v>
      </c>
      <c r="AA2891">
        <v>0.89163549999999903</v>
      </c>
      <c r="AB2891">
        <v>22</v>
      </c>
      <c r="AC2891">
        <v>-5.8627999999999902</v>
      </c>
      <c r="AD2891">
        <v>-1.1091975919499999</v>
      </c>
      <c r="AE2891">
        <v>-9.5049999999999901</v>
      </c>
      <c r="AF2891">
        <v>4.9638945497426796</v>
      </c>
      <c r="AG2891">
        <v>-1.1091975919499999</v>
      </c>
      <c r="AH2891">
        <v>9.8819278898812701</v>
      </c>
      <c r="AI2891">
        <v>95.727711180200302</v>
      </c>
      <c r="AJ2891">
        <v>63.328685588059002</v>
      </c>
      <c r="AK2891">
        <v>11.1140931802718</v>
      </c>
    </row>
    <row r="2892" spans="1:37" x14ac:dyDescent="0.2">
      <c r="A2892" t="str">
        <f>"20200111154122758"</f>
        <v>20200111154122758</v>
      </c>
      <c r="B2892" t="str">
        <f>"1578728482749232"</f>
        <v>1578728482749232</v>
      </c>
      <c r="C2892" t="s">
        <v>37</v>
      </c>
      <c r="D2892">
        <v>5.4035000000000002</v>
      </c>
      <c r="E2892">
        <v>0.58157769999999898</v>
      </c>
      <c r="F2892" t="s">
        <v>46</v>
      </c>
      <c r="G2892">
        <v>-197.24950000000001</v>
      </c>
      <c r="H2892" s="1">
        <v>-1.3540650000000001E-5</v>
      </c>
      <c r="I2892">
        <v>154.7595</v>
      </c>
      <c r="J2892">
        <v>-191.34690000000001</v>
      </c>
      <c r="K2892">
        <v>1.109105</v>
      </c>
      <c r="L2892">
        <v>164.2362</v>
      </c>
      <c r="M2892">
        <v>-8.8981240000000003E-2</v>
      </c>
      <c r="N2892">
        <v>0</v>
      </c>
      <c r="O2892">
        <v>-0.99595610000000001</v>
      </c>
      <c r="P2892">
        <v>-0.33542349999999999</v>
      </c>
      <c r="Q2892">
        <v>3.8156370000000002E-2</v>
      </c>
      <c r="R2892">
        <v>-0.94129449999999903</v>
      </c>
      <c r="S2892">
        <v>-1.6128690000000001</v>
      </c>
      <c r="T2892">
        <v>-0.30226170000000002</v>
      </c>
      <c r="U2892">
        <v>-2.6259000000000001</v>
      </c>
      <c r="V2892">
        <v>0.25051390000000001</v>
      </c>
      <c r="W2892">
        <v>4.9233859999999997E-2</v>
      </c>
      <c r="X2892">
        <v>0.96686030000000001</v>
      </c>
      <c r="Y2892">
        <v>0.44289729999999999</v>
      </c>
      <c r="Z2892">
        <v>9.9264539999999998E-2</v>
      </c>
      <c r="AA2892">
        <v>0.89106030000000003</v>
      </c>
      <c r="AB2892">
        <v>22</v>
      </c>
      <c r="AC2892">
        <v>-5.9025999999999996</v>
      </c>
      <c r="AD2892">
        <v>-1.1091185406499999</v>
      </c>
      <c r="AE2892">
        <v>-9.4766999999999904</v>
      </c>
      <c r="AF2892">
        <v>4.9866563805566804</v>
      </c>
      <c r="AG2892">
        <v>-1.1091185406499999</v>
      </c>
      <c r="AH2892">
        <v>9.8669877381348901</v>
      </c>
      <c r="AI2892">
        <v>95.728901084079695</v>
      </c>
      <c r="AJ2892">
        <v>63.1885175203752</v>
      </c>
      <c r="AK2892">
        <v>11.111000531881199</v>
      </c>
    </row>
    <row r="2893" spans="1:37" x14ac:dyDescent="0.2">
      <c r="A2893" t="str">
        <f>"20200111154122772"</f>
        <v>20200111154122772</v>
      </c>
      <c r="B2893" t="str">
        <f>"1578728482768750"</f>
        <v>1578728482768750</v>
      </c>
      <c r="C2893" t="s">
        <v>37</v>
      </c>
      <c r="D2893">
        <v>5.3602220000000003</v>
      </c>
      <c r="E2893">
        <v>0.58233829999999998</v>
      </c>
      <c r="F2893" t="s">
        <v>46</v>
      </c>
      <c r="G2893">
        <v>-197.36490000000001</v>
      </c>
      <c r="H2893" s="1">
        <v>-1.346295E-5</v>
      </c>
      <c r="I2893">
        <v>154.51089999999999</v>
      </c>
      <c r="J2893">
        <v>-191.3603</v>
      </c>
      <c r="K2893">
        <v>1.109038</v>
      </c>
      <c r="L2893">
        <v>164.10579999999999</v>
      </c>
      <c r="M2893">
        <v>-9.0624070000000001E-2</v>
      </c>
      <c r="N2893">
        <v>0</v>
      </c>
      <c r="O2893">
        <v>-0.99580789999999997</v>
      </c>
      <c r="P2893">
        <v>-0.33718029999999999</v>
      </c>
      <c r="Q2893">
        <v>3.859605E-2</v>
      </c>
      <c r="R2893">
        <v>-0.94064899999999996</v>
      </c>
      <c r="S2893">
        <v>-1.622009</v>
      </c>
      <c r="T2893">
        <v>-0.29893829999999999</v>
      </c>
      <c r="U2893">
        <v>-2.6212309999999999</v>
      </c>
      <c r="V2893">
        <v>0.25073570000000001</v>
      </c>
      <c r="W2893">
        <v>4.9622949999999999E-2</v>
      </c>
      <c r="X2893">
        <v>0.9667829</v>
      </c>
      <c r="Y2893">
        <v>0.44443379999999999</v>
      </c>
      <c r="Z2893">
        <v>9.8188120000000004E-2</v>
      </c>
      <c r="AA2893">
        <v>0.89041440000000005</v>
      </c>
      <c r="AB2893">
        <v>22</v>
      </c>
      <c r="AC2893">
        <v>-6.0046000000000097</v>
      </c>
      <c r="AD2893">
        <v>-1.1090514629499999</v>
      </c>
      <c r="AE2893">
        <v>-9.5948999999999902</v>
      </c>
      <c r="AF2893">
        <v>5.06169747585359</v>
      </c>
      <c r="AG2893">
        <v>-1.1090514629499999</v>
      </c>
      <c r="AH2893">
        <v>10.0035760247951</v>
      </c>
      <c r="AI2893">
        <v>95.649490813138598</v>
      </c>
      <c r="AJ2893">
        <v>63.161100334788699</v>
      </c>
      <c r="AK2893">
        <v>11.2659801956327</v>
      </c>
    </row>
    <row r="2894" spans="1:37" x14ac:dyDescent="0.2">
      <c r="A2894" t="str">
        <f>"20200111154122786"</f>
        <v>20200111154122786</v>
      </c>
      <c r="B2894" t="str">
        <f>"1578728482779486"</f>
        <v>1578728482779486</v>
      </c>
      <c r="C2894" t="s">
        <v>37</v>
      </c>
      <c r="D2894">
        <v>5.3357599999999996</v>
      </c>
      <c r="E2894">
        <v>0.58267579999999997</v>
      </c>
      <c r="F2894" t="s">
        <v>46</v>
      </c>
      <c r="G2894">
        <v>-197.44329999999999</v>
      </c>
      <c r="H2894" s="1">
        <v>-1.34316899999999E-5</v>
      </c>
      <c r="I2894">
        <v>154.35910000000001</v>
      </c>
      <c r="J2894">
        <v>-191.3733</v>
      </c>
      <c r="K2894">
        <v>1.108973</v>
      </c>
      <c r="L2894">
        <v>163.98169999999999</v>
      </c>
      <c r="M2894">
        <v>-9.2233029999999994E-2</v>
      </c>
      <c r="N2894">
        <v>0</v>
      </c>
      <c r="O2894">
        <v>-0.995660399999999</v>
      </c>
      <c r="P2894">
        <v>-0.3389334</v>
      </c>
      <c r="Q2894">
        <v>3.8430550000000001E-2</v>
      </c>
      <c r="R2894">
        <v>-0.94002529999999995</v>
      </c>
      <c r="S2894">
        <v>-1.6328129999999901</v>
      </c>
      <c r="T2894">
        <v>-0.29769309999999899</v>
      </c>
      <c r="U2894">
        <v>-2.6162259999999899</v>
      </c>
      <c r="V2894">
        <v>0.2509825</v>
      </c>
      <c r="W2894">
        <v>4.9410540000000003E-2</v>
      </c>
      <c r="X2894">
        <v>0.96672979999999997</v>
      </c>
      <c r="Y2894">
        <v>0.44642199999999999</v>
      </c>
      <c r="Z2894">
        <v>9.7769899999999896E-2</v>
      </c>
      <c r="AA2894">
        <v>0.88946530000000001</v>
      </c>
      <c r="AB2894">
        <v>22</v>
      </c>
      <c r="AC2894">
        <v>-6.0699999999999896</v>
      </c>
      <c r="AD2894">
        <v>-1.10898643169</v>
      </c>
      <c r="AE2894">
        <v>-9.6225999999999701</v>
      </c>
      <c r="AF2894">
        <v>5.1079996953338398</v>
      </c>
      <c r="AG2894">
        <v>-1.10898643169</v>
      </c>
      <c r="AH2894">
        <v>10.0460233413775</v>
      </c>
      <c r="AI2894">
        <v>95.619876463606005</v>
      </c>
      <c r="AJ2894">
        <v>63.048490702691701</v>
      </c>
      <c r="AK2894">
        <v>11.324491015878101</v>
      </c>
    </row>
    <row r="2895" spans="1:37" x14ac:dyDescent="0.2">
      <c r="A2895" t="str">
        <f>"20200111154122803"</f>
        <v>20200111154122803</v>
      </c>
      <c r="B2895" t="str">
        <f>"1578728482799006"</f>
        <v>1578728482799006</v>
      </c>
      <c r="C2895" t="s">
        <v>37</v>
      </c>
      <c r="D2895">
        <v>5.3563939999999999</v>
      </c>
      <c r="E2895">
        <v>0.58970409999999995</v>
      </c>
      <c r="F2895" t="s">
        <v>46</v>
      </c>
      <c r="G2895">
        <v>-197.48079999999999</v>
      </c>
      <c r="H2895" s="1">
        <v>-1.3408969999999999E-5</v>
      </c>
      <c r="I2895">
        <v>154.25550000000001</v>
      </c>
      <c r="J2895">
        <v>-191.39150000000001</v>
      </c>
      <c r="K2895">
        <v>1.1088709999999999</v>
      </c>
      <c r="L2895">
        <v>163.81180000000001</v>
      </c>
      <c r="M2895">
        <v>-9.4538120000000003E-2</v>
      </c>
      <c r="N2895">
        <v>0</v>
      </c>
      <c r="O2895">
        <v>-0.99544409999999905</v>
      </c>
      <c r="P2895">
        <v>-0.34214440000000002</v>
      </c>
      <c r="Q2895">
        <v>3.7346240000000003E-2</v>
      </c>
      <c r="R2895">
        <v>-0.93890509999999905</v>
      </c>
      <c r="S2895">
        <v>-1.6403049999999999</v>
      </c>
      <c r="T2895">
        <v>-0.29784070000000001</v>
      </c>
      <c r="U2895">
        <v>-2.6121669999999999</v>
      </c>
      <c r="V2895">
        <v>0.25205040000000001</v>
      </c>
      <c r="W2895">
        <v>4.8257029999999999E-2</v>
      </c>
      <c r="X2895">
        <v>0.96651019999999899</v>
      </c>
      <c r="Y2895">
        <v>0.44680209999999998</v>
      </c>
      <c r="Z2895">
        <v>9.7834829999999998E-2</v>
      </c>
      <c r="AA2895">
        <v>0.88926729999999998</v>
      </c>
      <c r="AB2895">
        <v>22</v>
      </c>
      <c r="AC2895">
        <v>-6.0892999999999802</v>
      </c>
      <c r="AD2895">
        <v>-1.1088844089699901</v>
      </c>
      <c r="AE2895">
        <v>-9.5562999999999896</v>
      </c>
      <c r="AF2895">
        <v>5.1095881591425396</v>
      </c>
      <c r="AG2895">
        <v>-1.1088844089699901</v>
      </c>
      <c r="AH2895">
        <v>9.9935070884647796</v>
      </c>
      <c r="AI2895">
        <v>95.642276584578894</v>
      </c>
      <c r="AJ2895">
        <v>62.919757730922797</v>
      </c>
      <c r="AK2895">
        <v>11.2786390896997</v>
      </c>
    </row>
    <row r="2896" spans="1:37" x14ac:dyDescent="0.2">
      <c r="A2896" t="str">
        <f>"20200111154122816"</f>
        <v>20200111154122816</v>
      </c>
      <c r="B2896" t="str">
        <f>"1578728482808766"</f>
        <v>1578728482808766</v>
      </c>
      <c r="C2896" t="s">
        <v>37</v>
      </c>
      <c r="D2896">
        <v>5.3445150000000003</v>
      </c>
      <c r="E2896">
        <v>0.58911530000000001</v>
      </c>
      <c r="F2896" t="s">
        <v>46</v>
      </c>
      <c r="G2896">
        <v>-198.01070000000001</v>
      </c>
      <c r="H2896" s="1">
        <v>-1.33286799999999E-5</v>
      </c>
      <c r="I2896">
        <v>153.74969999999999</v>
      </c>
      <c r="J2896">
        <v>-191.4057</v>
      </c>
      <c r="K2896">
        <v>1.10880499999999</v>
      </c>
      <c r="L2896">
        <v>163.6842</v>
      </c>
      <c r="M2896">
        <v>-9.634943E-2</v>
      </c>
      <c r="N2896">
        <v>0</v>
      </c>
      <c r="O2896">
        <v>-0.99527060000000001</v>
      </c>
      <c r="P2896">
        <v>-0.34459029999999902</v>
      </c>
      <c r="Q2896">
        <v>3.6620720000000002E-2</v>
      </c>
      <c r="R2896">
        <v>-0.93803879999999995</v>
      </c>
      <c r="S2896">
        <v>-1.70149199999999</v>
      </c>
      <c r="T2896">
        <v>-0.28504550000000001</v>
      </c>
      <c r="U2896">
        <v>-2.5865330000000002</v>
      </c>
      <c r="V2896">
        <v>0.25281189999999998</v>
      </c>
      <c r="W2896">
        <v>4.7485439999999997E-2</v>
      </c>
      <c r="X2896">
        <v>0.96634949999999997</v>
      </c>
      <c r="Y2896">
        <v>0.46412609999999899</v>
      </c>
      <c r="Z2896">
        <v>9.3436599999999995E-2</v>
      </c>
      <c r="AA2896">
        <v>0.88082719999999903</v>
      </c>
      <c r="AB2896">
        <v>22</v>
      </c>
      <c r="AC2896">
        <v>-6.6050000000000102</v>
      </c>
      <c r="AD2896">
        <v>-1.10881832867999</v>
      </c>
      <c r="AE2896">
        <v>-9.9345000000000105</v>
      </c>
      <c r="AF2896">
        <v>5.5689005656488701</v>
      </c>
      <c r="AG2896">
        <v>-1.10881832867999</v>
      </c>
      <c r="AH2896">
        <v>10.4345678469313</v>
      </c>
      <c r="AI2896">
        <v>95.355718938418704</v>
      </c>
      <c r="AJ2896">
        <v>61.9112804131275</v>
      </c>
      <c r="AK2896">
        <v>11.8794923186268</v>
      </c>
    </row>
    <row r="2897" spans="1:37" x14ac:dyDescent="0.2">
      <c r="A2897" t="str">
        <f>"20200111154122830"</f>
        <v>20200111154122830</v>
      </c>
      <c r="B2897" t="str">
        <f>"1578728482819502"</f>
        <v>1578728482819502</v>
      </c>
      <c r="C2897" t="s">
        <v>37</v>
      </c>
      <c r="D2897">
        <v>5.3392150000000003</v>
      </c>
      <c r="E2897">
        <v>0.58908579999999999</v>
      </c>
      <c r="F2897" t="s">
        <v>46</v>
      </c>
      <c r="G2897">
        <v>-197.81209999999999</v>
      </c>
      <c r="H2897" s="1">
        <v>-1.3366050000000001E-5</v>
      </c>
      <c r="I2897">
        <v>153.9682</v>
      </c>
      <c r="J2897">
        <v>-191.42060000000001</v>
      </c>
      <c r="K2897">
        <v>1.1087450000000001</v>
      </c>
      <c r="L2897">
        <v>163.55189999999999</v>
      </c>
      <c r="M2897">
        <v>-9.8266880000000001E-2</v>
      </c>
      <c r="N2897">
        <v>0</v>
      </c>
      <c r="O2897">
        <v>-0.9950833</v>
      </c>
      <c r="P2897">
        <v>-0.3473234</v>
      </c>
      <c r="Q2897">
        <v>3.5792810000000001E-2</v>
      </c>
      <c r="R2897">
        <v>-0.93706259999999997</v>
      </c>
      <c r="S2897">
        <v>-1.7036899999999999</v>
      </c>
      <c r="T2897">
        <v>-0.294871299999999</v>
      </c>
      <c r="U2897">
        <v>-2.5838169999999998</v>
      </c>
      <c r="V2897">
        <v>0.25376720000000003</v>
      </c>
      <c r="W2897">
        <v>4.6611890000000003E-2</v>
      </c>
      <c r="X2897">
        <v>0.96614159999999905</v>
      </c>
      <c r="Y2897">
        <v>0.46319880000000002</v>
      </c>
      <c r="Z2897">
        <v>9.6684329999999999E-2</v>
      </c>
      <c r="AA2897">
        <v>0.88096479999999999</v>
      </c>
      <c r="AB2897">
        <v>22</v>
      </c>
      <c r="AC2897">
        <v>-6.3914999999999704</v>
      </c>
      <c r="AD2897">
        <v>-1.10875836605</v>
      </c>
      <c r="AE2897">
        <v>-9.5836999999999897</v>
      </c>
      <c r="AF2897">
        <v>5.3689893973585701</v>
      </c>
      <c r="AG2897">
        <v>-1.10875836605</v>
      </c>
      <c r="AH2897">
        <v>10.0721194407318</v>
      </c>
      <c r="AI2897">
        <v>95.548437953465495</v>
      </c>
      <c r="AJ2897">
        <v>61.939948979843599</v>
      </c>
      <c r="AK2897">
        <v>11.467474974535699</v>
      </c>
    </row>
    <row r="2898" spans="1:37" x14ac:dyDescent="0.2">
      <c r="A2898" t="str">
        <f>"20200111154122847"</f>
        <v>20200111154122847</v>
      </c>
      <c r="B2898" t="str">
        <f>"1578728482839023"</f>
        <v>1578728482839023</v>
      </c>
      <c r="C2898" t="s">
        <v>37</v>
      </c>
      <c r="D2898">
        <v>5.3826849999999897</v>
      </c>
      <c r="E2898">
        <v>0.5896382</v>
      </c>
      <c r="F2898" t="s">
        <v>46</v>
      </c>
      <c r="G2898">
        <v>-197.70490000000001</v>
      </c>
      <c r="H2898" s="1">
        <v>-1.3384990000000001E-5</v>
      </c>
      <c r="I2898">
        <v>154.0812</v>
      </c>
      <c r="J2898">
        <v>-191.43960000000001</v>
      </c>
      <c r="K2898">
        <v>1.108673</v>
      </c>
      <c r="L2898">
        <v>163.38669999999999</v>
      </c>
      <c r="M2898">
        <v>-0.10073169999999999</v>
      </c>
      <c r="N2898">
        <v>0</v>
      </c>
      <c r="O2898">
        <v>-0.99483670000000002</v>
      </c>
      <c r="P2898">
        <v>-0.35045709999999902</v>
      </c>
      <c r="Q2898">
        <v>3.5005410000000001E-2</v>
      </c>
      <c r="R2898">
        <v>-0.93592489999999995</v>
      </c>
      <c r="S2898">
        <v>-1.7111509999999901</v>
      </c>
      <c r="T2898">
        <v>-0.30190400000000001</v>
      </c>
      <c r="U2898">
        <v>-2.5787659999999999</v>
      </c>
      <c r="V2898">
        <v>0.2546079</v>
      </c>
      <c r="W2898">
        <v>4.5773069999999999E-2</v>
      </c>
      <c r="X2898">
        <v>0.96596039999999905</v>
      </c>
      <c r="Y2898">
        <v>0.46344550000000001</v>
      </c>
      <c r="Z2898">
        <v>9.9008810000000003E-2</v>
      </c>
      <c r="AA2898">
        <v>0.88057680000000005</v>
      </c>
      <c r="AB2898">
        <v>22</v>
      </c>
      <c r="AC2898">
        <v>-6.2652999999999901</v>
      </c>
      <c r="AD2898">
        <v>-1.1086863849899999</v>
      </c>
      <c r="AE2898">
        <v>-9.3054999999999897</v>
      </c>
      <c r="AF2898">
        <v>5.2447693545426901</v>
      </c>
      <c r="AG2898">
        <v>-1.1086863849899999</v>
      </c>
      <c r="AH2898">
        <v>9.79366591344772</v>
      </c>
      <c r="AI2898">
        <v>95.6989766886296</v>
      </c>
      <c r="AJ2898">
        <v>61.829762770724301</v>
      </c>
      <c r="AK2898">
        <v>11.1647965994388</v>
      </c>
    </row>
    <row r="2899" spans="1:37" x14ac:dyDescent="0.2">
      <c r="A2899" t="str">
        <f>"20200111154122860"</f>
        <v>20200111154122860</v>
      </c>
      <c r="B2899" t="str">
        <f>"1578728482848783"</f>
        <v>1578728482848783</v>
      </c>
      <c r="C2899" t="s">
        <v>37</v>
      </c>
      <c r="D2899">
        <v>5.3127139999999997</v>
      </c>
      <c r="E2899">
        <v>0.58993280000000003</v>
      </c>
      <c r="F2899" t="s">
        <v>46</v>
      </c>
      <c r="G2899">
        <v>-197.63730000000001</v>
      </c>
      <c r="H2899" s="1">
        <v>-1.33945499999999E-5</v>
      </c>
      <c r="I2899">
        <v>154.1431</v>
      </c>
      <c r="J2899">
        <v>-191.45529999999999</v>
      </c>
      <c r="K2899">
        <v>1.1086100000000001</v>
      </c>
      <c r="L2899">
        <v>163.2535</v>
      </c>
      <c r="M2899">
        <v>-0.1027805</v>
      </c>
      <c r="N2899">
        <v>0</v>
      </c>
      <c r="O2899">
        <v>-0.99462700000000004</v>
      </c>
      <c r="P2899">
        <v>-0.3538115</v>
      </c>
      <c r="Q2899">
        <v>3.4688789999999997E-2</v>
      </c>
      <c r="R2899">
        <v>-0.93467319999999998</v>
      </c>
      <c r="S2899">
        <v>-1.724045</v>
      </c>
      <c r="T2899">
        <v>-0.30840800000000002</v>
      </c>
      <c r="U2899">
        <v>-2.5713349999999999</v>
      </c>
      <c r="V2899">
        <v>0.25608700000000001</v>
      </c>
      <c r="W2899">
        <v>4.5406769999999999E-2</v>
      </c>
      <c r="X2899">
        <v>0.96558670000000002</v>
      </c>
      <c r="Y2899">
        <v>0.46572799999999998</v>
      </c>
      <c r="Z2899">
        <v>0.1011334</v>
      </c>
      <c r="AA2899">
        <v>0.87912990000000002</v>
      </c>
      <c r="AB2899">
        <v>22</v>
      </c>
      <c r="AC2899">
        <v>-6.1820000000000102</v>
      </c>
      <c r="AD2899">
        <v>-1.1086233945499999</v>
      </c>
      <c r="AE2899">
        <v>-9.1103999999999896</v>
      </c>
      <c r="AF2899">
        <v>5.1604886827179399</v>
      </c>
      <c r="AG2899">
        <v>-1.1086233945499999</v>
      </c>
      <c r="AH2899">
        <v>9.6002428523735492</v>
      </c>
      <c r="AI2899">
        <v>95.807857856784594</v>
      </c>
      <c r="AJ2899">
        <v>61.7403120331455</v>
      </c>
      <c r="AK2899">
        <v>10.955562609923399</v>
      </c>
    </row>
    <row r="2900" spans="1:37" x14ac:dyDescent="0.2">
      <c r="A2900" t="str">
        <f>"20200111154122876"</f>
        <v>20200111154122876</v>
      </c>
      <c r="B2900" t="str">
        <f>"1578728482869278"</f>
        <v>1578728482869278</v>
      </c>
      <c r="C2900" t="s">
        <v>37</v>
      </c>
      <c r="D2900">
        <v>5.3415429999999997</v>
      </c>
      <c r="E2900">
        <v>0.60181709999999899</v>
      </c>
      <c r="F2900" t="s">
        <v>46</v>
      </c>
      <c r="G2900">
        <v>-197.69059999999999</v>
      </c>
      <c r="H2900" s="1">
        <v>-1.3373510000000001E-5</v>
      </c>
      <c r="I2900">
        <v>154.04060000000001</v>
      </c>
      <c r="J2900">
        <v>-191.47219999999999</v>
      </c>
      <c r="K2900">
        <v>1.1088519999999999</v>
      </c>
      <c r="L2900">
        <v>163.11279999999999</v>
      </c>
      <c r="M2900">
        <v>-0.10474219999999999</v>
      </c>
      <c r="N2900">
        <v>0</v>
      </c>
      <c r="O2900">
        <v>-0.99441460000000004</v>
      </c>
      <c r="P2900">
        <v>-0.3565605</v>
      </c>
      <c r="Q2900">
        <v>3.4273860000000003E-2</v>
      </c>
      <c r="R2900">
        <v>-0.93364389999999997</v>
      </c>
      <c r="S2900">
        <v>-1.7354579999999999</v>
      </c>
      <c r="T2900">
        <v>-0.30855879999999902</v>
      </c>
      <c r="U2900">
        <v>-2.5641780000000001</v>
      </c>
      <c r="V2900">
        <v>0.25701550000000001</v>
      </c>
      <c r="W2900">
        <v>4.5625409999999998E-2</v>
      </c>
      <c r="X2900">
        <v>0.96532960000000001</v>
      </c>
      <c r="Y2900">
        <v>0.46780259999999901</v>
      </c>
      <c r="Z2900">
        <v>0.1012092</v>
      </c>
      <c r="AA2900">
        <v>0.87801899999999999</v>
      </c>
      <c r="AB2900">
        <v>22</v>
      </c>
      <c r="AC2900">
        <v>-6.2183999999999999</v>
      </c>
      <c r="AD2900">
        <v>-1.10886537351</v>
      </c>
      <c r="AE2900">
        <v>-9.0721999999999792</v>
      </c>
      <c r="AF2900">
        <v>5.1812048110042097</v>
      </c>
      <c r="AG2900">
        <v>-1.10886537351</v>
      </c>
      <c r="AH2900">
        <v>9.5763382494472893</v>
      </c>
      <c r="AI2900">
        <v>95.815055084485095</v>
      </c>
      <c r="AJ2900">
        <v>61.5847336829627</v>
      </c>
      <c r="AK2900">
        <v>10.944437855731501</v>
      </c>
    </row>
    <row r="2901" spans="1:37" x14ac:dyDescent="0.2">
      <c r="A2901" t="str">
        <f>"20200111154122893"</f>
        <v>20200111154122893</v>
      </c>
      <c r="B2901" t="str">
        <f>"1578728482888798"</f>
        <v>1578728482888798</v>
      </c>
      <c r="C2901" t="s">
        <v>37</v>
      </c>
      <c r="D2901">
        <v>5.3430869999999997</v>
      </c>
      <c r="E2901">
        <v>0.60426820000000003</v>
      </c>
      <c r="F2901" t="s">
        <v>46</v>
      </c>
      <c r="G2901">
        <v>-199.202</v>
      </c>
      <c r="H2901" s="1">
        <v>-1.3110060000000001E-5</v>
      </c>
      <c r="I2901">
        <v>152.46090000000001</v>
      </c>
      <c r="J2901">
        <v>-191.4923</v>
      </c>
      <c r="K2901">
        <v>1.109278</v>
      </c>
      <c r="L2901">
        <v>162.94839999999999</v>
      </c>
      <c r="M2901">
        <v>-0.1069151</v>
      </c>
      <c r="N2901">
        <v>0</v>
      </c>
      <c r="O2901">
        <v>-0.99416849999999901</v>
      </c>
      <c r="P2901">
        <v>-0.35988320000000001</v>
      </c>
      <c r="Q2901">
        <v>3.3913599999999898E-2</v>
      </c>
      <c r="R2901">
        <v>-0.93238089999999996</v>
      </c>
      <c r="S2901">
        <v>-1.8312379999999999</v>
      </c>
      <c r="T2901">
        <v>-0.26269779999999998</v>
      </c>
      <c r="U2901">
        <v>-2.523514</v>
      </c>
      <c r="V2901">
        <v>0.2583278</v>
      </c>
      <c r="W2901">
        <v>4.6393719999999999E-2</v>
      </c>
      <c r="X2901">
        <v>0.96494269999999904</v>
      </c>
      <c r="Y2901">
        <v>0.495256999999999</v>
      </c>
      <c r="Z2901">
        <v>8.5861389999999996E-2</v>
      </c>
      <c r="AA2901">
        <v>0.86449310000000001</v>
      </c>
      <c r="AB2901">
        <v>22</v>
      </c>
      <c r="AC2901">
        <v>-7.70969999999999</v>
      </c>
      <c r="AD2901">
        <v>-1.10929111006</v>
      </c>
      <c r="AE2901">
        <v>-10.487499999999899</v>
      </c>
      <c r="AF2901">
        <v>6.4969308335073199</v>
      </c>
      <c r="AG2901">
        <v>-1.10929111006</v>
      </c>
      <c r="AH2901">
        <v>11.1706096838157</v>
      </c>
      <c r="AI2901">
        <v>94.906323347563898</v>
      </c>
      <c r="AJ2901">
        <v>59.817317795573402</v>
      </c>
      <c r="AK2901">
        <v>12.970087036346101</v>
      </c>
    </row>
    <row r="2902" spans="1:37" x14ac:dyDescent="0.2">
      <c r="A2902" t="str">
        <f>"20200111154122908"</f>
        <v>20200111154122908</v>
      </c>
      <c r="B2902" t="str">
        <f>"1578728482899535"</f>
        <v>1578728482899535</v>
      </c>
      <c r="C2902" t="s">
        <v>37</v>
      </c>
      <c r="D2902">
        <v>5.2428359999999996</v>
      </c>
      <c r="E2902">
        <v>0.60615969999999997</v>
      </c>
      <c r="F2902" t="s">
        <v>46</v>
      </c>
      <c r="G2902">
        <v>-199.88249999999999</v>
      </c>
      <c r="H2902" s="1">
        <v>-1.2958419999999999E-5</v>
      </c>
      <c r="I2902">
        <v>151.6183</v>
      </c>
      <c r="J2902">
        <v>-191.50909999999999</v>
      </c>
      <c r="K2902">
        <v>1.109686</v>
      </c>
      <c r="L2902">
        <v>162.81209999999999</v>
      </c>
      <c r="M2902">
        <v>-0.1086375</v>
      </c>
      <c r="N2902">
        <v>0</v>
      </c>
      <c r="O2902">
        <v>-0.99396549999999995</v>
      </c>
      <c r="P2902">
        <v>-0.36203089999999999</v>
      </c>
      <c r="Q2902">
        <v>3.331282E-2</v>
      </c>
      <c r="R2902">
        <v>-0.93157060000000003</v>
      </c>
      <c r="S2902">
        <v>-1.8581700000000001</v>
      </c>
      <c r="T2902">
        <v>-0.24567220000000001</v>
      </c>
      <c r="U2902">
        <v>-2.5092620000000001</v>
      </c>
      <c r="V2902">
        <v>0.25886039999999999</v>
      </c>
      <c r="W2902">
        <v>4.694007E-2</v>
      </c>
      <c r="X2902">
        <v>0.96477349999999995</v>
      </c>
      <c r="Y2902">
        <v>0.50236579999999997</v>
      </c>
      <c r="Z2902">
        <v>8.0276910000000007E-2</v>
      </c>
      <c r="AA2902">
        <v>0.86092060000000004</v>
      </c>
      <c r="AB2902">
        <v>21</v>
      </c>
      <c r="AC2902">
        <v>-8.3734000000000002</v>
      </c>
      <c r="AD2902">
        <v>-1.1096989584200001</v>
      </c>
      <c r="AE2902">
        <v>-11.1937999999999</v>
      </c>
      <c r="AF2902">
        <v>7.0631143031841903</v>
      </c>
      <c r="AG2902">
        <v>-1.1096989584200001</v>
      </c>
      <c r="AH2902">
        <v>11.9619239577162</v>
      </c>
      <c r="AI2902">
        <v>94.567260773475695</v>
      </c>
      <c r="AJ2902">
        <v>59.439576216988698</v>
      </c>
      <c r="AK2902">
        <v>13.9358042540913</v>
      </c>
    </row>
    <row r="2903" spans="1:37" x14ac:dyDescent="0.2">
      <c r="A2903" t="str">
        <f>"20200111154122921"</f>
        <v>20200111154122921</v>
      </c>
      <c r="B2903" t="str">
        <f>"1578728482909295"</f>
        <v>1578728482909295</v>
      </c>
      <c r="C2903" t="s">
        <v>37</v>
      </c>
      <c r="D2903">
        <v>5.2344650000000001</v>
      </c>
      <c r="E2903">
        <v>0.60718339999999904</v>
      </c>
      <c r="F2903" t="s">
        <v>46</v>
      </c>
      <c r="G2903">
        <v>-200.58709999999999</v>
      </c>
      <c r="H2903" s="1">
        <v>-1.2435419999999999E-5</v>
      </c>
      <c r="I2903">
        <v>150.7321</v>
      </c>
      <c r="J2903">
        <v>-191.52379999999999</v>
      </c>
      <c r="K2903">
        <v>1.1100379999999901</v>
      </c>
      <c r="L2903">
        <v>162.69290000000001</v>
      </c>
      <c r="M2903">
        <v>-0.1100893</v>
      </c>
      <c r="N2903">
        <v>0</v>
      </c>
      <c r="O2903">
        <v>-0.99378949999999999</v>
      </c>
      <c r="P2903">
        <v>-0.36361459999999901</v>
      </c>
      <c r="Q2903">
        <v>3.2849699999999898E-2</v>
      </c>
      <c r="R2903">
        <v>-0.93097030000000003</v>
      </c>
      <c r="S2903">
        <v>-1.877853</v>
      </c>
      <c r="T2903">
        <v>-0.22954820000000001</v>
      </c>
      <c r="U2903">
        <v>-2.49880999999999</v>
      </c>
      <c r="V2903">
        <v>0.25907590000000003</v>
      </c>
      <c r="W2903">
        <v>4.7562599999999997E-2</v>
      </c>
      <c r="X2903">
        <v>0.96468519999999902</v>
      </c>
      <c r="Y2903">
        <v>0.50741139999999996</v>
      </c>
      <c r="Z2903">
        <v>7.4998170000000003E-2</v>
      </c>
      <c r="AA2903">
        <v>0.85843400000000003</v>
      </c>
      <c r="AB2903">
        <v>21</v>
      </c>
      <c r="AC2903">
        <v>-9.0632999999999893</v>
      </c>
      <c r="AD2903">
        <v>-1.11005043541999</v>
      </c>
      <c r="AE2903">
        <v>-11.960800000000001</v>
      </c>
      <c r="AF2903">
        <v>7.6494128642200998</v>
      </c>
      <c r="AG2903">
        <v>-1.11005043541999</v>
      </c>
      <c r="AH2903">
        <v>12.8158605694338</v>
      </c>
      <c r="AI2903">
        <v>94.253516000318001</v>
      </c>
      <c r="AJ2903">
        <v>59.168256615549403</v>
      </c>
      <c r="AK2903">
        <v>14.966362660033299</v>
      </c>
    </row>
    <row r="2904" spans="1:37" x14ac:dyDescent="0.2">
      <c r="A2904" t="str">
        <f>"20200111154122938"</f>
        <v>20200111154122938</v>
      </c>
      <c r="B2904" t="str">
        <f>"1578728482928814"</f>
        <v>1578728482928814</v>
      </c>
      <c r="C2904" t="s">
        <v>37</v>
      </c>
      <c r="D2904">
        <v>5.2498550000000002</v>
      </c>
      <c r="E2904">
        <v>0.6077536</v>
      </c>
      <c r="F2904" t="s">
        <v>46</v>
      </c>
      <c r="G2904">
        <v>-201.26560000000001</v>
      </c>
      <c r="H2904" s="1">
        <v>-1.192863E-5</v>
      </c>
      <c r="I2904">
        <v>149.84360000000001</v>
      </c>
      <c r="J2904">
        <v>-191.5437</v>
      </c>
      <c r="K2904">
        <v>1.1103889999999901</v>
      </c>
      <c r="L2904">
        <v>162.535</v>
      </c>
      <c r="M2904">
        <v>-0.11194179999999999</v>
      </c>
      <c r="N2904">
        <v>0</v>
      </c>
      <c r="O2904">
        <v>-0.99355759999999904</v>
      </c>
      <c r="P2904">
        <v>-0.3659116</v>
      </c>
      <c r="Q2904">
        <v>3.1828219999999997E-2</v>
      </c>
      <c r="R2904">
        <v>-0.93010499999999996</v>
      </c>
      <c r="S2904">
        <v>-1.889389</v>
      </c>
      <c r="T2904">
        <v>-0.2152915</v>
      </c>
      <c r="U2904">
        <v>-2.4920810000000002</v>
      </c>
      <c r="V2904">
        <v>0.2596446</v>
      </c>
      <c r="W2904">
        <v>4.798173E-2</v>
      </c>
      <c r="X2904">
        <v>0.96451149999999997</v>
      </c>
      <c r="Y2904">
        <v>0.50964730000000003</v>
      </c>
      <c r="Z2904">
        <v>7.0358309999999993E-2</v>
      </c>
      <c r="AA2904">
        <v>0.85750179999999998</v>
      </c>
      <c r="AB2904">
        <v>21</v>
      </c>
      <c r="AC2904">
        <v>-9.7218999999999998</v>
      </c>
      <c r="AD2904">
        <v>-1.1104009286299901</v>
      </c>
      <c r="AE2904">
        <v>-12.6913999999999</v>
      </c>
      <c r="AF2904">
        <v>8.2002968714832392</v>
      </c>
      <c r="AG2904">
        <v>-1.1104009286299901</v>
      </c>
      <c r="AH2904">
        <v>13.634289664239001</v>
      </c>
      <c r="AI2904">
        <v>93.992266440456703</v>
      </c>
      <c r="AJ2904">
        <v>58.975339084905698</v>
      </c>
      <c r="AK2904">
        <v>15.9490348814947</v>
      </c>
    </row>
    <row r="2905" spans="1:37" x14ac:dyDescent="0.2">
      <c r="A2905" t="str">
        <f>"20200111154122953"</f>
        <v>20200111154122953</v>
      </c>
      <c r="B2905" t="str">
        <f>"1578728482949310"</f>
        <v>1578728482949310</v>
      </c>
      <c r="C2905" t="s">
        <v>37</v>
      </c>
      <c r="D2905">
        <v>5.2439299999999998</v>
      </c>
      <c r="E2905">
        <v>0.6078382</v>
      </c>
      <c r="F2905" t="s">
        <v>46</v>
      </c>
      <c r="G2905">
        <v>-201.8629</v>
      </c>
      <c r="H2905" s="1">
        <v>-1.144358E-5</v>
      </c>
      <c r="I2905">
        <v>149.035</v>
      </c>
      <c r="J2905">
        <v>-191.55959999999999</v>
      </c>
      <c r="K2905">
        <v>1.110519</v>
      </c>
      <c r="L2905">
        <v>162.41200000000001</v>
      </c>
      <c r="M2905">
        <v>-0.11359519999999999</v>
      </c>
      <c r="N2905">
        <v>0</v>
      </c>
      <c r="O2905">
        <v>-0.99335090000000004</v>
      </c>
      <c r="P2905">
        <v>-0.36760739999999997</v>
      </c>
      <c r="Q2905">
        <v>3.1160739999999999E-2</v>
      </c>
      <c r="R2905">
        <v>-0.92945900000000004</v>
      </c>
      <c r="S2905">
        <v>-1.89956699999999</v>
      </c>
      <c r="T2905">
        <v>-0.20440420000000001</v>
      </c>
      <c r="U2905">
        <v>-2.4851070000000002</v>
      </c>
      <c r="V2905">
        <v>0.2597989</v>
      </c>
      <c r="W2905">
        <v>4.8298939999999999E-2</v>
      </c>
      <c r="X2905">
        <v>0.96445409999999998</v>
      </c>
      <c r="Y2905">
        <v>0.51173869999999999</v>
      </c>
      <c r="Z2905">
        <v>6.682942E-2</v>
      </c>
      <c r="AA2905">
        <v>0.85653799999999902</v>
      </c>
      <c r="AB2905">
        <v>20</v>
      </c>
      <c r="AC2905">
        <v>-10.3033</v>
      </c>
      <c r="AD2905">
        <v>-1.1105304435800001</v>
      </c>
      <c r="AE2905">
        <v>-13.377000000000001</v>
      </c>
      <c r="AF2905">
        <v>8.6792114076783609</v>
      </c>
      <c r="AG2905">
        <v>-1.1105304435800001</v>
      </c>
      <c r="AH2905">
        <v>14.398707101947201</v>
      </c>
      <c r="AI2905">
        <v>93.779175131178107</v>
      </c>
      <c r="AJ2905">
        <v>58.919388208555198</v>
      </c>
      <c r="AK2905">
        <v>16.8488799251747</v>
      </c>
    </row>
    <row r="2906" spans="1:37" x14ac:dyDescent="0.2">
      <c r="A2906" t="str">
        <f>"20200111154122966"</f>
        <v>20200111154122966</v>
      </c>
      <c r="B2906" t="str">
        <f>"1578728482959071"</f>
        <v>1578728482959071</v>
      </c>
      <c r="C2906" t="s">
        <v>37</v>
      </c>
      <c r="D2906">
        <v>5.2934349999999997</v>
      </c>
      <c r="E2906">
        <v>0.60768859999999902</v>
      </c>
      <c r="F2906" t="s">
        <v>46</v>
      </c>
      <c r="G2906">
        <v>-202.0377</v>
      </c>
      <c r="H2906" s="1">
        <v>-1.128549E-5</v>
      </c>
      <c r="I2906">
        <v>148.76410000000001</v>
      </c>
      <c r="J2906">
        <v>-191.57560000000001</v>
      </c>
      <c r="K2906">
        <v>1.1104670000000001</v>
      </c>
      <c r="L2906">
        <v>162.28909999999999</v>
      </c>
      <c r="M2906">
        <v>-0.1155291</v>
      </c>
      <c r="N2906">
        <v>0</v>
      </c>
      <c r="O2906">
        <v>-0.99311319999999903</v>
      </c>
      <c r="P2906">
        <v>-0.36958990000000003</v>
      </c>
      <c r="Q2906">
        <v>3.0481000000000001E-2</v>
      </c>
      <c r="R2906">
        <v>-0.928695099999999</v>
      </c>
      <c r="S2906">
        <v>-1.90484599999999</v>
      </c>
      <c r="T2906">
        <v>-0.20188629999999999</v>
      </c>
      <c r="U2906">
        <v>-2.4810789999999998</v>
      </c>
      <c r="V2906">
        <v>0.25999</v>
      </c>
      <c r="W2906">
        <v>4.8270359999999998E-2</v>
      </c>
      <c r="X2906">
        <v>0.96440400000000004</v>
      </c>
      <c r="Y2906">
        <v>0.51191679999999995</v>
      </c>
      <c r="Z2906">
        <v>6.6030110000000003E-2</v>
      </c>
      <c r="AA2906">
        <v>0.85649349999999902</v>
      </c>
      <c r="AB2906">
        <v>20</v>
      </c>
      <c r="AC2906">
        <v>-10.4620999999999</v>
      </c>
      <c r="AD2906">
        <v>-1.1104782854899999</v>
      </c>
      <c r="AE2906">
        <v>-13.524999999999901</v>
      </c>
      <c r="AF2906">
        <v>8.7921106376512395</v>
      </c>
      <c r="AG2906">
        <v>-1.1104782854899999</v>
      </c>
      <c r="AH2906">
        <v>14.5818086587654</v>
      </c>
      <c r="AI2906">
        <v>93.731395331270903</v>
      </c>
      <c r="AJ2906">
        <v>58.912097671138298</v>
      </c>
      <c r="AK2906">
        <v>17.063514152954799</v>
      </c>
    </row>
    <row r="2907" spans="1:37" x14ac:dyDescent="0.2">
      <c r="A2907" t="str">
        <f>"20200111154122981"</f>
        <v>20200111154122981</v>
      </c>
      <c r="B2907" t="str">
        <f>"1578728482979566"</f>
        <v>1578728482979566</v>
      </c>
      <c r="C2907" t="s">
        <v>37</v>
      </c>
      <c r="D2907">
        <v>5.257822</v>
      </c>
      <c r="E2907">
        <v>0.60777429999999999</v>
      </c>
      <c r="F2907" t="s">
        <v>46</v>
      </c>
      <c r="G2907">
        <v>-202.11320000000001</v>
      </c>
      <c r="H2907" s="1">
        <v>-1.1208179999999899E-5</v>
      </c>
      <c r="I2907">
        <v>148.61680000000001</v>
      </c>
      <c r="J2907">
        <v>-191.59379999999999</v>
      </c>
      <c r="K2907">
        <v>1.1100159999999999</v>
      </c>
      <c r="L2907">
        <v>162.1541</v>
      </c>
      <c r="M2907">
        <v>-0.11823549999999999</v>
      </c>
      <c r="N2907">
        <v>0</v>
      </c>
      <c r="O2907">
        <v>-0.99279269999999997</v>
      </c>
      <c r="P2907">
        <v>-0.372332</v>
      </c>
      <c r="Q2907">
        <v>3.071287E-2</v>
      </c>
      <c r="R2907">
        <v>-0.92759130000000001</v>
      </c>
      <c r="S2907">
        <v>-1.9091639999999901</v>
      </c>
      <c r="T2907">
        <v>-0.2011935</v>
      </c>
      <c r="U2907">
        <v>-2.4771269999999999</v>
      </c>
      <c r="V2907">
        <v>0.26024999999999998</v>
      </c>
      <c r="W2907">
        <v>4.839943E-2</v>
      </c>
      <c r="X2907">
        <v>0.9643275</v>
      </c>
      <c r="Y2907">
        <v>0.51118180000000002</v>
      </c>
      <c r="Z2907">
        <v>6.583891E-2</v>
      </c>
      <c r="AA2907">
        <v>0.85694720000000002</v>
      </c>
      <c r="AB2907">
        <v>20</v>
      </c>
      <c r="AC2907">
        <v>-10.519399999999999</v>
      </c>
      <c r="AD2907">
        <v>-1.11002720817999</v>
      </c>
      <c r="AE2907">
        <v>-13.537299999999901</v>
      </c>
      <c r="AF2907">
        <v>8.8077640616034003</v>
      </c>
      <c r="AG2907">
        <v>-1.11002720817999</v>
      </c>
      <c r="AH2907">
        <v>14.6250008327657</v>
      </c>
      <c r="AI2907">
        <v>93.720064146686894</v>
      </c>
      <c r="AJ2907">
        <v>58.9419569660203</v>
      </c>
      <c r="AK2907">
        <v>17.108463330357001</v>
      </c>
    </row>
    <row r="2908" spans="1:37" x14ac:dyDescent="0.2">
      <c r="A2908" t="str">
        <f>"20200111154123004"</f>
        <v>20200111154123004</v>
      </c>
      <c r="B2908" t="str">
        <f>"1578728482999086"</f>
        <v>1578728482999086</v>
      </c>
      <c r="C2908" t="s">
        <v>37</v>
      </c>
      <c r="D2908">
        <v>5.2414379999999996</v>
      </c>
      <c r="E2908">
        <v>0.6079774</v>
      </c>
      <c r="F2908" t="s">
        <v>46</v>
      </c>
      <c r="G2908">
        <v>-202.4743</v>
      </c>
      <c r="H2908" s="1">
        <v>-1.0905719999999999E-5</v>
      </c>
      <c r="I2908">
        <v>148.13829999999999</v>
      </c>
      <c r="J2908">
        <v>-191.62280000000001</v>
      </c>
      <c r="K2908">
        <v>1.108954</v>
      </c>
      <c r="L2908">
        <v>161.9504</v>
      </c>
      <c r="M2908">
        <v>-0.1225493</v>
      </c>
      <c r="N2908">
        <v>0</v>
      </c>
      <c r="O2908">
        <v>-0.99228700000000003</v>
      </c>
      <c r="P2908">
        <v>-0.37648409999999999</v>
      </c>
      <c r="Q2908">
        <v>3.1445689999999998E-2</v>
      </c>
      <c r="R2908">
        <v>-0.92588930000000003</v>
      </c>
      <c r="S2908">
        <v>-1.9180599999999901</v>
      </c>
      <c r="T2908">
        <v>-0.19568070000000001</v>
      </c>
      <c r="U2908">
        <v>-2.470764</v>
      </c>
      <c r="V2908">
        <v>0.2604571</v>
      </c>
      <c r="W2908">
        <v>4.7847420000000002E-2</v>
      </c>
      <c r="X2908">
        <v>0.96429909999999996</v>
      </c>
      <c r="Y2908">
        <v>0.51051599999999997</v>
      </c>
      <c r="Z2908">
        <v>6.4071820000000002E-2</v>
      </c>
      <c r="AA2908">
        <v>0.85747779999999996</v>
      </c>
      <c r="AB2908">
        <v>20</v>
      </c>
      <c r="AC2908">
        <v>-10.8514999999999</v>
      </c>
      <c r="AD2908">
        <v>-1.1089649057199999</v>
      </c>
      <c r="AE2908">
        <v>-13.812099999999999</v>
      </c>
      <c r="AF2908">
        <v>9.0406831547514006</v>
      </c>
      <c r="AG2908">
        <v>-1.1089649057199999</v>
      </c>
      <c r="AH2908">
        <v>14.9783252975007</v>
      </c>
      <c r="AI2908">
        <v>93.626931541671397</v>
      </c>
      <c r="AJ2908">
        <v>58.885475087062197</v>
      </c>
      <c r="AK2908">
        <v>17.530373178699701</v>
      </c>
    </row>
    <row r="2909" spans="1:37" x14ac:dyDescent="0.2">
      <c r="A2909" t="str">
        <f>"20200111154123017"</f>
        <v>20200111154123017</v>
      </c>
      <c r="B2909" t="str">
        <f>"1578728483008847"</f>
        <v>1578728483008847</v>
      </c>
      <c r="C2909" t="s">
        <v>37</v>
      </c>
      <c r="D2909">
        <v>5.2298919999999898</v>
      </c>
      <c r="E2909">
        <v>0.60825180000000001</v>
      </c>
      <c r="F2909" t="s">
        <v>46</v>
      </c>
      <c r="G2909">
        <v>-202.83590000000001</v>
      </c>
      <c r="H2909" s="1">
        <v>-1.0602329999999901E-5</v>
      </c>
      <c r="I2909">
        <v>147.6576</v>
      </c>
      <c r="J2909">
        <v>-191.6414</v>
      </c>
      <c r="K2909">
        <v>1.1084399999999901</v>
      </c>
      <c r="L2909">
        <v>161.82650000000001</v>
      </c>
      <c r="M2909">
        <v>-0.12513009999999999</v>
      </c>
      <c r="N2909">
        <v>0</v>
      </c>
      <c r="O2909">
        <v>-0.99197469999999999</v>
      </c>
      <c r="P2909">
        <v>-0.37930580000000003</v>
      </c>
      <c r="Q2909">
        <v>3.1779040000000001E-2</v>
      </c>
      <c r="R2909">
        <v>-0.92472579999999904</v>
      </c>
      <c r="S2909">
        <v>-1.93104599999999</v>
      </c>
      <c r="T2909">
        <v>-0.190977799999999</v>
      </c>
      <c r="U2909">
        <v>-2.461395</v>
      </c>
      <c r="V2909">
        <v>0.26092710000000002</v>
      </c>
      <c r="W2909">
        <v>4.7480670000000003E-2</v>
      </c>
      <c r="X2909">
        <v>0.96419009999999905</v>
      </c>
      <c r="Y2909">
        <v>0.51272569999999995</v>
      </c>
      <c r="Z2909">
        <v>6.2559729999999994E-2</v>
      </c>
      <c r="AA2909">
        <v>0.85627019999999998</v>
      </c>
      <c r="AB2909">
        <v>20</v>
      </c>
      <c r="AC2909">
        <v>-11.1945</v>
      </c>
      <c r="AD2909">
        <v>-1.10845060232999</v>
      </c>
      <c r="AE2909">
        <v>-14.168900000000001</v>
      </c>
      <c r="AF2909">
        <v>9.2982027065751698</v>
      </c>
      <c r="AG2909">
        <v>-1.10845060232999</v>
      </c>
      <c r="AH2909">
        <v>15.400470055155299</v>
      </c>
      <c r="AI2909">
        <v>93.525861003417305</v>
      </c>
      <c r="AJ2909">
        <v>58.8780595817516</v>
      </c>
      <c r="AK2909">
        <v>18.0238651301574</v>
      </c>
    </row>
    <row r="2910" spans="1:37" x14ac:dyDescent="0.2">
      <c r="A2910" t="str">
        <f>"20200111154123031"</f>
        <v>20200111154123031</v>
      </c>
      <c r="B2910" t="str">
        <f>"1578728483029342"</f>
        <v>1578728483029342</v>
      </c>
      <c r="C2910" t="s">
        <v>37</v>
      </c>
      <c r="D2910">
        <v>5.2435239999999999</v>
      </c>
      <c r="E2910">
        <v>0.60869719999999905</v>
      </c>
      <c r="F2910" t="s">
        <v>46</v>
      </c>
      <c r="G2910">
        <v>-203.06270000000001</v>
      </c>
      <c r="H2910" s="1">
        <v>-1.0420319999999901E-5</v>
      </c>
      <c r="I2910">
        <v>147.38390000000001</v>
      </c>
      <c r="J2910">
        <v>-191.65950000000001</v>
      </c>
      <c r="K2910">
        <v>1.1081350000000001</v>
      </c>
      <c r="L2910">
        <v>161.70939999999999</v>
      </c>
      <c r="M2910">
        <v>-0.12758699999999901</v>
      </c>
      <c r="N2910">
        <v>0</v>
      </c>
      <c r="O2910">
        <v>-0.99166690000000002</v>
      </c>
      <c r="P2910">
        <v>-0.38189119999999999</v>
      </c>
      <c r="Q2910">
        <v>3.2062229999999997E-2</v>
      </c>
      <c r="R2910">
        <v>-0.92365129999999995</v>
      </c>
      <c r="S2910">
        <v>-1.941055</v>
      </c>
      <c r="T2910">
        <v>-0.18838189999999999</v>
      </c>
      <c r="U2910">
        <v>-2.454529</v>
      </c>
      <c r="V2910">
        <v>0.2612602</v>
      </c>
      <c r="W2910">
        <v>4.736493E-2</v>
      </c>
      <c r="X2910">
        <v>0.96410569999999896</v>
      </c>
      <c r="Y2910">
        <v>0.51394770000000001</v>
      </c>
      <c r="Z2910">
        <v>6.1724559999999998E-2</v>
      </c>
      <c r="AA2910">
        <v>0.85559799999999997</v>
      </c>
      <c r="AB2910">
        <v>20</v>
      </c>
      <c r="AC2910">
        <v>-11.403199999999901</v>
      </c>
      <c r="AD2910">
        <v>-1.1081454203200001</v>
      </c>
      <c r="AE2910">
        <v>-14.3254999999999</v>
      </c>
      <c r="AF2910">
        <v>9.4473333669820008</v>
      </c>
      <c r="AG2910">
        <v>-1.1081454203200001</v>
      </c>
      <c r="AH2910">
        <v>15.6063534639451</v>
      </c>
      <c r="AI2910">
        <v>93.476063214706002</v>
      </c>
      <c r="AJ2910">
        <v>58.811310532450499</v>
      </c>
      <c r="AK2910">
        <v>18.276716402599799</v>
      </c>
    </row>
    <row r="2911" spans="1:37" x14ac:dyDescent="0.2">
      <c r="A2911" t="str">
        <f>"20200111154123049"</f>
        <v>20200111154123049</v>
      </c>
      <c r="B2911" t="str">
        <f>"1578728483039102"</f>
        <v>1578728483039102</v>
      </c>
      <c r="C2911" t="s">
        <v>37</v>
      </c>
      <c r="D2911">
        <v>5.2356230000000004</v>
      </c>
      <c r="E2911">
        <v>0.60899969999999903</v>
      </c>
      <c r="F2911" t="s">
        <v>46</v>
      </c>
      <c r="G2911">
        <v>-203.23159999999999</v>
      </c>
      <c r="H2911" s="1">
        <v>-1.02885E-5</v>
      </c>
      <c r="I2911">
        <v>147.1926</v>
      </c>
      <c r="J2911">
        <v>-191.68530000000001</v>
      </c>
      <c r="K2911">
        <v>1.10795</v>
      </c>
      <c r="L2911">
        <v>161.54769999999999</v>
      </c>
      <c r="M2911">
        <v>-0.13115959999999999</v>
      </c>
      <c r="N2911">
        <v>0</v>
      </c>
      <c r="O2911">
        <v>-0.99120339999999996</v>
      </c>
      <c r="P2911">
        <v>-0.3860962</v>
      </c>
      <c r="Q2911">
        <v>3.1136509999999999E-2</v>
      </c>
      <c r="R2911">
        <v>-0.92193289999999894</v>
      </c>
      <c r="S2911">
        <v>-1.9512020000000001</v>
      </c>
      <c r="T2911">
        <v>-0.18684690000000001</v>
      </c>
      <c r="U2911">
        <v>-2.447708</v>
      </c>
      <c r="V2911">
        <v>0.2621812</v>
      </c>
      <c r="W2911">
        <v>4.6193190000000002E-2</v>
      </c>
      <c r="X2911">
        <v>0.9639124</v>
      </c>
      <c r="Y2911">
        <v>0.51420969999999999</v>
      </c>
      <c r="Z2911">
        <v>6.1237010000000001E-2</v>
      </c>
      <c r="AA2911">
        <v>0.85547549999999895</v>
      </c>
      <c r="AB2911">
        <v>20</v>
      </c>
      <c r="AC2911">
        <v>-11.546299999999899</v>
      </c>
      <c r="AD2911">
        <v>-1.1079602884999999</v>
      </c>
      <c r="AE2911">
        <v>-14.355099999999901</v>
      </c>
      <c r="AF2911">
        <v>9.5289526354425895</v>
      </c>
      <c r="AG2911">
        <v>-1.1079602884999999</v>
      </c>
      <c r="AH2911">
        <v>15.6889485316707</v>
      </c>
      <c r="AI2911">
        <v>93.454151240217797</v>
      </c>
      <c r="AJ2911">
        <v>58.726877669362501</v>
      </c>
      <c r="AK2911">
        <v>18.389443176964701</v>
      </c>
    </row>
    <row r="2912" spans="1:37" x14ac:dyDescent="0.2">
      <c r="A2912" t="str">
        <f>"20200111154123062"</f>
        <v>20200111154123062</v>
      </c>
      <c r="B2912" t="str">
        <f>"1578728483059599"</f>
        <v>1578728483059599</v>
      </c>
      <c r="C2912" t="s">
        <v>37</v>
      </c>
      <c r="D2912">
        <v>5.1984849999999998</v>
      </c>
      <c r="E2912">
        <v>0.60961049999999894</v>
      </c>
      <c r="F2912" t="s">
        <v>46</v>
      </c>
      <c r="G2912">
        <v>-203.2405</v>
      </c>
      <c r="H2912" s="1">
        <v>-1.0290479999999999E-5</v>
      </c>
      <c r="I2912">
        <v>147.21250000000001</v>
      </c>
      <c r="J2912">
        <v>-191.70490000000001</v>
      </c>
      <c r="K2912">
        <v>1.1079369999999999</v>
      </c>
      <c r="L2912">
        <v>161.4273</v>
      </c>
      <c r="M2912">
        <v>-0.13404460000000001</v>
      </c>
      <c r="N2912">
        <v>0</v>
      </c>
      <c r="O2912">
        <v>-0.99081810000000003</v>
      </c>
      <c r="P2912">
        <v>-0.3890863</v>
      </c>
      <c r="Q2912">
        <v>3.0929970000000001E-2</v>
      </c>
      <c r="R2912">
        <v>-0.92068189999999905</v>
      </c>
      <c r="S2912">
        <v>-1.96482799999999</v>
      </c>
      <c r="T2912">
        <v>-0.18839520000000001</v>
      </c>
      <c r="U2912">
        <v>-2.4375309999999999</v>
      </c>
      <c r="V2912">
        <v>0.26250050000000003</v>
      </c>
      <c r="W2912">
        <v>4.5939790000000001E-2</v>
      </c>
      <c r="X2912">
        <v>0.96383770000000002</v>
      </c>
      <c r="Y2912">
        <v>0.51633790000000002</v>
      </c>
      <c r="Z2912">
        <v>6.1766929999999998E-2</v>
      </c>
      <c r="AA2912">
        <v>0.85415450000000004</v>
      </c>
      <c r="AB2912">
        <v>20</v>
      </c>
      <c r="AC2912">
        <v>-11.535599999999899</v>
      </c>
      <c r="AD2912">
        <v>-1.1079472904799901</v>
      </c>
      <c r="AE2912">
        <v>-14.214799999999901</v>
      </c>
      <c r="AF2912">
        <v>9.4909835784494998</v>
      </c>
      <c r="AG2912">
        <v>-1.1079472904799901</v>
      </c>
      <c r="AH2912">
        <v>15.5759483260659</v>
      </c>
      <c r="AI2912">
        <v>93.476075942110199</v>
      </c>
      <c r="AJ2912">
        <v>58.6445508885053</v>
      </c>
      <c r="AK2912">
        <v>18.273381809100201</v>
      </c>
    </row>
    <row r="2913" spans="1:37" x14ac:dyDescent="0.2">
      <c r="A2913" t="str">
        <f>"20200111154123076"</f>
        <v>20200111154123076</v>
      </c>
      <c r="B2913" t="str">
        <f>"1578728483069359"</f>
        <v>1578728483069359</v>
      </c>
      <c r="C2913" t="s">
        <v>37</v>
      </c>
      <c r="D2913">
        <v>5.1870019999999997</v>
      </c>
      <c r="E2913">
        <v>0.60991249999999997</v>
      </c>
      <c r="F2913" t="s">
        <v>46</v>
      </c>
      <c r="G2913">
        <v>-203.34389999999999</v>
      </c>
      <c r="H2913" s="1">
        <v>-1.021898E-5</v>
      </c>
      <c r="I2913">
        <v>147.12629999999999</v>
      </c>
      <c r="J2913">
        <v>-191.7251</v>
      </c>
      <c r="K2913">
        <v>1.107961</v>
      </c>
      <c r="L2913">
        <v>161.3057</v>
      </c>
      <c r="M2913">
        <v>-0.13743720000000001</v>
      </c>
      <c r="N2913">
        <v>0</v>
      </c>
      <c r="O2913">
        <v>-0.99035640000000003</v>
      </c>
      <c r="P2913">
        <v>-0.39278079999999999</v>
      </c>
      <c r="Q2913">
        <v>3.0794419999999999E-2</v>
      </c>
      <c r="R2913">
        <v>-0.91911659999999995</v>
      </c>
      <c r="S2913">
        <v>-1.9770810000000001</v>
      </c>
      <c r="T2913">
        <v>-0.18820229999999999</v>
      </c>
      <c r="U2913">
        <v>-2.4292449999999999</v>
      </c>
      <c r="V2913">
        <v>0.26306069999999998</v>
      </c>
      <c r="W2913">
        <v>4.5684950000000002E-2</v>
      </c>
      <c r="X2913">
        <v>0.96369699999999903</v>
      </c>
      <c r="Y2913">
        <v>0.51742909999999998</v>
      </c>
      <c r="Z2913">
        <v>6.1713450000000003E-2</v>
      </c>
      <c r="AA2913">
        <v>0.85349779999999997</v>
      </c>
      <c r="AB2913">
        <v>20</v>
      </c>
      <c r="AC2913">
        <v>-11.618799999999901</v>
      </c>
      <c r="AD2913">
        <v>-1.1079712189799999</v>
      </c>
      <c r="AE2913">
        <v>-14.179399999999999</v>
      </c>
      <c r="AF2913">
        <v>9.5246412797544693</v>
      </c>
      <c r="AG2913">
        <v>-1.1079712189799999</v>
      </c>
      <c r="AH2913">
        <v>15.584970128903199</v>
      </c>
      <c r="AI2913">
        <v>93.471360166337305</v>
      </c>
      <c r="AJ2913">
        <v>58.569115138945101</v>
      </c>
      <c r="AK2913">
        <v>18.298570590319201</v>
      </c>
    </row>
    <row r="2914" spans="1:37" x14ac:dyDescent="0.2">
      <c r="A2914" t="str">
        <f>"20200111154123093"</f>
        <v>20200111154123093</v>
      </c>
      <c r="B2914" t="str">
        <f>"1578728483088879"</f>
        <v>1578728483088879</v>
      </c>
      <c r="C2914" t="s">
        <v>37</v>
      </c>
      <c r="D2914">
        <v>5.184113</v>
      </c>
      <c r="E2914">
        <v>0.61047669999999998</v>
      </c>
      <c r="F2914" t="s">
        <v>46</v>
      </c>
      <c r="G2914">
        <v>-203.4008</v>
      </c>
      <c r="H2914" s="1">
        <v>-1.018525E-5</v>
      </c>
      <c r="I2914">
        <v>147.0976</v>
      </c>
      <c r="J2914">
        <v>-191.75139999999999</v>
      </c>
      <c r="K2914">
        <v>1.107947</v>
      </c>
      <c r="L2914">
        <v>161.1514</v>
      </c>
      <c r="M2914">
        <v>-0.1419591</v>
      </c>
      <c r="N2914">
        <v>0</v>
      </c>
      <c r="O2914">
        <v>-0.98972349999999998</v>
      </c>
      <c r="P2914">
        <v>-0.39809929999999999</v>
      </c>
      <c r="Q2914">
        <v>3.0253189999999999E-2</v>
      </c>
      <c r="R2914">
        <v>-0.91684370000000004</v>
      </c>
      <c r="S2914">
        <v>-1.988937</v>
      </c>
      <c r="T2914">
        <v>-0.188742299999999</v>
      </c>
      <c r="U2914">
        <v>-2.4203489999999999</v>
      </c>
      <c r="V2914">
        <v>0.26422899999999999</v>
      </c>
      <c r="W2914">
        <v>4.4875159999999997E-2</v>
      </c>
      <c r="X2914">
        <v>0.96341540000000003</v>
      </c>
      <c r="Y2914">
        <v>0.51755169999999995</v>
      </c>
      <c r="Z2914">
        <v>6.1915989999999997E-2</v>
      </c>
      <c r="AA2914">
        <v>0.85340890000000003</v>
      </c>
      <c r="AB2914">
        <v>20</v>
      </c>
      <c r="AC2914">
        <v>-11.6494</v>
      </c>
      <c r="AD2914">
        <v>-1.1079571852500001</v>
      </c>
      <c r="AE2914">
        <v>-14.053799999999899</v>
      </c>
      <c r="AF2914">
        <v>9.5010252190398905</v>
      </c>
      <c r="AG2914">
        <v>-1.1079571852500001</v>
      </c>
      <c r="AH2914">
        <v>15.5082783389498</v>
      </c>
      <c r="AI2914">
        <v>93.486118237596102</v>
      </c>
      <c r="AJ2914">
        <v>58.506607711559603</v>
      </c>
      <c r="AK2914">
        <v>18.220969962532699</v>
      </c>
    </row>
    <row r="2915" spans="1:37" x14ac:dyDescent="0.2">
      <c r="A2915" t="str">
        <f>"20200111154123107"</f>
        <v>20200111154123107</v>
      </c>
      <c r="B2915" t="str">
        <f>"1578728483098638"</f>
        <v>1578728483098638</v>
      </c>
      <c r="C2915" t="s">
        <v>37</v>
      </c>
      <c r="D2915">
        <v>5.21502</v>
      </c>
      <c r="E2915">
        <v>0.61073849999999996</v>
      </c>
      <c r="F2915" t="s">
        <v>46</v>
      </c>
      <c r="G2915">
        <v>-203.38460000000001</v>
      </c>
      <c r="H2915" s="1">
        <v>-1.0222450000000001E-5</v>
      </c>
      <c r="I2915">
        <v>147.1986</v>
      </c>
      <c r="J2915">
        <v>-191.7714</v>
      </c>
      <c r="K2915">
        <v>1.107896</v>
      </c>
      <c r="L2915">
        <v>161.03559999999999</v>
      </c>
      <c r="M2915">
        <v>-0.1454416</v>
      </c>
      <c r="N2915">
        <v>0</v>
      </c>
      <c r="O2915">
        <v>-0.98922239999999995</v>
      </c>
      <c r="P2915">
        <v>-0.40194239999999998</v>
      </c>
      <c r="Q2915">
        <v>3.022934E-2</v>
      </c>
      <c r="R2915">
        <v>-0.91516609999999998</v>
      </c>
      <c r="S2915">
        <v>-2.006866</v>
      </c>
      <c r="T2915">
        <v>-0.19113529999999901</v>
      </c>
      <c r="U2915">
        <v>-2.4070279999999999</v>
      </c>
      <c r="V2915">
        <v>0.26487840000000001</v>
      </c>
      <c r="W2915">
        <v>4.4588870000000003E-2</v>
      </c>
      <c r="X2915">
        <v>0.96325039999999995</v>
      </c>
      <c r="Y2915">
        <v>0.52058329999999997</v>
      </c>
      <c r="Z2915">
        <v>6.2720330000000005E-2</v>
      </c>
      <c r="AA2915">
        <v>0.85150409999999899</v>
      </c>
      <c r="AB2915">
        <v>20</v>
      </c>
      <c r="AC2915">
        <v>-11.613200000000001</v>
      </c>
      <c r="AD2915">
        <v>-1.10790622245</v>
      </c>
      <c r="AE2915">
        <v>-13.8369999999999</v>
      </c>
      <c r="AF2915">
        <v>9.4414034670535205</v>
      </c>
      <c r="AG2915">
        <v>-1.10790622245</v>
      </c>
      <c r="AH2915">
        <v>15.3214801231707</v>
      </c>
      <c r="AI2915">
        <v>93.522739907096906</v>
      </c>
      <c r="AJ2915">
        <v>58.357791210904999</v>
      </c>
      <c r="AK2915">
        <v>18.030954184128699</v>
      </c>
    </row>
    <row r="2916" spans="1:37" x14ac:dyDescent="0.2">
      <c r="A2916" t="str">
        <f>"20200111154123121"</f>
        <v>20200111154123121</v>
      </c>
      <c r="B2916" t="str">
        <f>"1578728483109375"</f>
        <v>1578728483109375</v>
      </c>
      <c r="C2916" t="s">
        <v>37</v>
      </c>
      <c r="D2916">
        <v>5.1893539999999998</v>
      </c>
      <c r="E2916">
        <v>0.61100049999999995</v>
      </c>
      <c r="F2916" t="s">
        <v>46</v>
      </c>
      <c r="G2916">
        <v>-203.434</v>
      </c>
      <c r="H2916" s="1">
        <v>-1.019592E-5</v>
      </c>
      <c r="I2916">
        <v>147.18299999999999</v>
      </c>
      <c r="J2916">
        <v>-191.79390000000001</v>
      </c>
      <c r="K2916">
        <v>1.107796</v>
      </c>
      <c r="L2916">
        <v>160.90870000000001</v>
      </c>
      <c r="M2916">
        <v>-0.14924219999999999</v>
      </c>
      <c r="N2916">
        <v>0</v>
      </c>
      <c r="O2916">
        <v>-0.98866119999999902</v>
      </c>
      <c r="P2916">
        <v>-0.40618739999999998</v>
      </c>
      <c r="Q2916">
        <v>3.0338230000000001E-2</v>
      </c>
      <c r="R2916">
        <v>-0.91328619999999905</v>
      </c>
      <c r="S2916">
        <v>-2.0187529999999998</v>
      </c>
      <c r="T2916">
        <v>-0.1917748</v>
      </c>
      <c r="U2916">
        <v>-2.3978269999999999</v>
      </c>
      <c r="V2916">
        <v>0.26565440000000001</v>
      </c>
      <c r="W2916">
        <v>4.437402E-2</v>
      </c>
      <c r="X2916">
        <v>0.96304659999999997</v>
      </c>
      <c r="Y2916">
        <v>0.52137659999999997</v>
      </c>
      <c r="Z2916">
        <v>6.2953149999999999E-2</v>
      </c>
      <c r="AA2916">
        <v>0.85100140000000002</v>
      </c>
      <c r="AB2916">
        <v>20</v>
      </c>
      <c r="AC2916">
        <v>-11.6401</v>
      </c>
      <c r="AD2916">
        <v>-1.1078061959200001</v>
      </c>
      <c r="AE2916">
        <v>-13.7257</v>
      </c>
      <c r="AF2916">
        <v>9.42525322658142</v>
      </c>
      <c r="AG2916">
        <v>-1.1078061959200001</v>
      </c>
      <c r="AH2916">
        <v>15.2515829054666</v>
      </c>
      <c r="AI2916">
        <v>93.535741526858004</v>
      </c>
      <c r="AJ2916">
        <v>58.284546453309098</v>
      </c>
      <c r="AK2916">
        <v>17.963112594292301</v>
      </c>
    </row>
    <row r="2917" spans="1:37" x14ac:dyDescent="0.2">
      <c r="A2917" t="str">
        <f>"20200111154123138"</f>
        <v>20200111154123138</v>
      </c>
      <c r="B2917" t="str">
        <f>"1578728483128894"</f>
        <v>1578728483128894</v>
      </c>
      <c r="C2917" t="s">
        <v>37</v>
      </c>
      <c r="D2917">
        <v>5.2136949999999898</v>
      </c>
      <c r="E2917">
        <v>0.61153570000000002</v>
      </c>
      <c r="F2917" t="s">
        <v>46</v>
      </c>
      <c r="G2917">
        <v>-203.5712</v>
      </c>
      <c r="H2917" s="1">
        <v>-1.0100959999999999E-5</v>
      </c>
      <c r="I2917">
        <v>147.06829999999999</v>
      </c>
      <c r="J2917">
        <v>-191.82259999999999</v>
      </c>
      <c r="K2917">
        <v>1.1076539999999999</v>
      </c>
      <c r="L2917">
        <v>160.75239999999999</v>
      </c>
      <c r="M2917">
        <v>-0.1538002</v>
      </c>
      <c r="N2917">
        <v>0</v>
      </c>
      <c r="O2917">
        <v>-0.98796719999999905</v>
      </c>
      <c r="P2917">
        <v>-0.41173609999999999</v>
      </c>
      <c r="Q2917">
        <v>3.014389E-2</v>
      </c>
      <c r="R2917">
        <v>-0.91080469999999902</v>
      </c>
      <c r="S2917">
        <v>-2.0316770000000002</v>
      </c>
      <c r="T2917">
        <v>-0.19110669999999999</v>
      </c>
      <c r="U2917">
        <v>-2.3876040000000001</v>
      </c>
      <c r="V2917">
        <v>0.26708029999999999</v>
      </c>
      <c r="W2917">
        <v>4.3816670000000002E-2</v>
      </c>
      <c r="X2917">
        <v>0.96267769999999997</v>
      </c>
      <c r="Y2917">
        <v>0.52192399999999906</v>
      </c>
      <c r="Z2917">
        <v>6.2762680000000001E-2</v>
      </c>
      <c r="AA2917">
        <v>0.85067990000000004</v>
      </c>
      <c r="AB2917">
        <v>20</v>
      </c>
      <c r="AC2917">
        <v>-11.7486</v>
      </c>
      <c r="AD2917">
        <v>-1.1076641009599999</v>
      </c>
      <c r="AE2917">
        <v>-13.684100000000001</v>
      </c>
      <c r="AF2917">
        <v>9.4681672964426102</v>
      </c>
      <c r="AG2917">
        <v>-1.1076641009599999</v>
      </c>
      <c r="AH2917">
        <v>15.270821098939701</v>
      </c>
      <c r="AI2917">
        <v>93.527645917502099</v>
      </c>
      <c r="AJ2917">
        <v>58.2003873707732</v>
      </c>
      <c r="AK2917">
        <v>18.001974579190001</v>
      </c>
    </row>
    <row r="2918" spans="1:37" x14ac:dyDescent="0.2">
      <c r="A2918" t="str">
        <f>"20200111154123160"</f>
        <v>20200111154123160</v>
      </c>
      <c r="B2918" t="str">
        <f>"1578728483149390"</f>
        <v>1578728483149390</v>
      </c>
      <c r="C2918" t="s">
        <v>37</v>
      </c>
      <c r="D2918">
        <v>5.1788739999999898</v>
      </c>
      <c r="E2918">
        <v>0.61195189999999999</v>
      </c>
      <c r="F2918" t="s">
        <v>46</v>
      </c>
      <c r="G2918">
        <v>-203.70189999999999</v>
      </c>
      <c r="H2918" s="1">
        <v>-1.0026009999999999E-5</v>
      </c>
      <c r="I2918">
        <v>146.99930000000001</v>
      </c>
      <c r="J2918">
        <v>-191.85849999999999</v>
      </c>
      <c r="K2918">
        <v>1.107488</v>
      </c>
      <c r="L2918">
        <v>160.56290000000001</v>
      </c>
      <c r="M2918">
        <v>-0.1592655</v>
      </c>
      <c r="N2918">
        <v>0</v>
      </c>
      <c r="O2918">
        <v>-0.98710529999999996</v>
      </c>
      <c r="P2918">
        <v>-0.41796819999999901</v>
      </c>
      <c r="Q2918">
        <v>3.0331219999999999E-2</v>
      </c>
      <c r="R2918">
        <v>-0.90795530000000002</v>
      </c>
      <c r="S2918">
        <v>-2.0500029999999998</v>
      </c>
      <c r="T2918">
        <v>-0.19114970000000001</v>
      </c>
      <c r="U2918">
        <v>-2.373367</v>
      </c>
      <c r="V2918">
        <v>0.26836749999999998</v>
      </c>
      <c r="W2918">
        <v>4.3622300000000003E-2</v>
      </c>
      <c r="X2918">
        <v>0.96232839999999997</v>
      </c>
      <c r="Y2918">
        <v>0.5234936</v>
      </c>
      <c r="Z2918">
        <v>6.2805239999999998E-2</v>
      </c>
      <c r="AA2918">
        <v>0.84971169999999996</v>
      </c>
      <c r="AB2918">
        <v>20</v>
      </c>
      <c r="AC2918">
        <v>-11.843400000000001</v>
      </c>
      <c r="AD2918">
        <v>-1.10749802601</v>
      </c>
      <c r="AE2918">
        <v>-13.563599999999999</v>
      </c>
      <c r="AF2918">
        <v>9.4957758610187604</v>
      </c>
      <c r="AG2918">
        <v>-1.10749802601</v>
      </c>
      <c r="AH2918">
        <v>15.219341489984201</v>
      </c>
      <c r="AI2918">
        <v>93.532831917955804</v>
      </c>
      <c r="AJ2918">
        <v>58.038799090440897</v>
      </c>
      <c r="AK2918">
        <v>17.9728869820371</v>
      </c>
    </row>
    <row r="2919" spans="1:37" x14ac:dyDescent="0.2">
      <c r="A2919" t="str">
        <f>"20200111154123175"</f>
        <v>20200111154123175</v>
      </c>
      <c r="B2919" t="str">
        <f>"1578728483168910"</f>
        <v>1578728483168910</v>
      </c>
      <c r="C2919" t="s">
        <v>37</v>
      </c>
      <c r="D2919">
        <v>5.1802999999999999</v>
      </c>
      <c r="E2919">
        <v>0.61231329999999995</v>
      </c>
      <c r="F2919" t="s">
        <v>46</v>
      </c>
      <c r="G2919">
        <v>-203.9067</v>
      </c>
      <c r="H2919" s="1">
        <v>-9.905166E-6</v>
      </c>
      <c r="I2919">
        <v>146.83369999999999</v>
      </c>
      <c r="J2919">
        <v>-191.8837</v>
      </c>
      <c r="K2919">
        <v>1.107389</v>
      </c>
      <c r="L2919">
        <v>160.4349</v>
      </c>
      <c r="M2919">
        <v>-0.163017299999999</v>
      </c>
      <c r="N2919">
        <v>0</v>
      </c>
      <c r="O2919">
        <v>-0.98649540000000002</v>
      </c>
      <c r="P2919">
        <v>-0.42181299999999999</v>
      </c>
      <c r="Q2919">
        <v>3.0684960000000001E-2</v>
      </c>
      <c r="R2919">
        <v>-0.90616339999999995</v>
      </c>
      <c r="S2919">
        <v>-2.0692140000000001</v>
      </c>
      <c r="T2919">
        <v>-0.19020699999999999</v>
      </c>
      <c r="U2919">
        <v>-2.3579249999999998</v>
      </c>
      <c r="V2919">
        <v>0.26880120000000002</v>
      </c>
      <c r="W2919">
        <v>4.3747109999999999E-2</v>
      </c>
      <c r="X2919">
        <v>0.96220169999999905</v>
      </c>
      <c r="Y2919">
        <v>0.52693669999999904</v>
      </c>
      <c r="Z2919">
        <v>6.2526250000000005E-2</v>
      </c>
      <c r="AA2919">
        <v>0.84760139999999995</v>
      </c>
      <c r="AB2919">
        <v>20</v>
      </c>
      <c r="AC2919">
        <v>-12.0229999999999</v>
      </c>
      <c r="AD2919">
        <v>-1.107398905166</v>
      </c>
      <c r="AE2919">
        <v>-13.6012</v>
      </c>
      <c r="AF2919">
        <v>9.6088621486366002</v>
      </c>
      <c r="AG2919">
        <v>-1.107398905166</v>
      </c>
      <c r="AH2919">
        <v>15.322398538399201</v>
      </c>
      <c r="AI2919">
        <v>93.503809879572202</v>
      </c>
      <c r="AJ2919">
        <v>57.907676108611298</v>
      </c>
      <c r="AK2919">
        <v>18.119946498160601</v>
      </c>
    </row>
    <row r="2920" spans="1:37" x14ac:dyDescent="0.2">
      <c r="A2920" t="str">
        <f>"20200111154123188"</f>
        <v>20200111154123188</v>
      </c>
      <c r="B2920" t="str">
        <f>"1578728483178671"</f>
        <v>1578728483178671</v>
      </c>
      <c r="C2920" t="s">
        <v>37</v>
      </c>
      <c r="D2920">
        <v>5.1866589999999997</v>
      </c>
      <c r="E2920">
        <v>0.61252640000000003</v>
      </c>
      <c r="F2920" t="s">
        <v>46</v>
      </c>
      <c r="G2920">
        <v>-204.136</v>
      </c>
      <c r="H2920" s="1">
        <v>-9.7617709999999993E-6</v>
      </c>
      <c r="I2920">
        <v>146.6174</v>
      </c>
      <c r="J2920">
        <v>-191.90729999999999</v>
      </c>
      <c r="K2920">
        <v>1.107313</v>
      </c>
      <c r="L2920">
        <v>160.3169</v>
      </c>
      <c r="M2920">
        <v>-0.1665335</v>
      </c>
      <c r="N2920">
        <v>0</v>
      </c>
      <c r="O2920">
        <v>-0.98591059999999997</v>
      </c>
      <c r="P2920">
        <v>-0.42555219999999999</v>
      </c>
      <c r="Q2920">
        <v>3.0940659999999998E-2</v>
      </c>
      <c r="R2920">
        <v>-0.90440540000000003</v>
      </c>
      <c r="S2920">
        <v>-2.0819549999999998</v>
      </c>
      <c r="T2920">
        <v>-0.1881727</v>
      </c>
      <c r="U2920">
        <v>-2.3479000000000001</v>
      </c>
      <c r="V2920">
        <v>0.26935520000000002</v>
      </c>
      <c r="W2920">
        <v>4.3800949999999998E-2</v>
      </c>
      <c r="X2920">
        <v>0.96204429999999996</v>
      </c>
      <c r="Y2920">
        <v>0.52830840000000001</v>
      </c>
      <c r="Z2920">
        <v>6.1875590000000001E-2</v>
      </c>
      <c r="AA2920">
        <v>0.84679490000000002</v>
      </c>
      <c r="AB2920">
        <v>20</v>
      </c>
      <c r="AC2920">
        <v>-12.2287</v>
      </c>
      <c r="AD2920">
        <v>-1.107322761771</v>
      </c>
      <c r="AE2920">
        <v>-13.6995</v>
      </c>
      <c r="AF2920">
        <v>9.7407675072921904</v>
      </c>
      <c r="AG2920">
        <v>-1.107322761771</v>
      </c>
      <c r="AH2920">
        <v>15.488571134929799</v>
      </c>
      <c r="AI2920">
        <v>93.463289332298402</v>
      </c>
      <c r="AJ2920">
        <v>57.834199104227601</v>
      </c>
      <c r="AK2920">
        <v>18.330426921695999</v>
      </c>
    </row>
    <row r="2921" spans="1:37" x14ac:dyDescent="0.2">
      <c r="A2921" t="str">
        <f>"20200111154123207"</f>
        <v>20200111154123207</v>
      </c>
      <c r="B2921" t="str">
        <f>"1578728483199169"</f>
        <v>1578728483199169</v>
      </c>
      <c r="C2921" t="s">
        <v>37</v>
      </c>
      <c r="D2921">
        <v>5.1917980000000004</v>
      </c>
      <c r="E2921">
        <v>0.61292800000000003</v>
      </c>
      <c r="F2921" t="s">
        <v>46</v>
      </c>
      <c r="G2921">
        <v>-204.3177</v>
      </c>
      <c r="H2921" s="1">
        <v>-9.6496360000000001E-6</v>
      </c>
      <c r="I2921">
        <v>146.45179999999999</v>
      </c>
      <c r="J2921">
        <v>-191.94139999999999</v>
      </c>
      <c r="K2921">
        <v>1.1072340000000001</v>
      </c>
      <c r="L2921">
        <v>160.15119999999999</v>
      </c>
      <c r="M2921">
        <v>-0.17160429999999999</v>
      </c>
      <c r="N2921">
        <v>0</v>
      </c>
      <c r="O2921">
        <v>-0.98504389999999997</v>
      </c>
      <c r="P2921">
        <v>-0.43085479999999998</v>
      </c>
      <c r="Q2921">
        <v>3.0961289999999999E-2</v>
      </c>
      <c r="R2921">
        <v>-0.90189030000000003</v>
      </c>
      <c r="S2921">
        <v>-2.0932009999999899</v>
      </c>
      <c r="T2921">
        <v>-0.18676689999999899</v>
      </c>
      <c r="U2921">
        <v>-2.338562</v>
      </c>
      <c r="V2921">
        <v>0.27005980000000002</v>
      </c>
      <c r="W2921">
        <v>4.3565609999999998E-2</v>
      </c>
      <c r="X2921">
        <v>0.96185739999999997</v>
      </c>
      <c r="Y2921">
        <v>0.52790360000000003</v>
      </c>
      <c r="Z2921">
        <v>6.1436940000000002E-2</v>
      </c>
      <c r="AA2921">
        <v>0.84707929999999998</v>
      </c>
      <c r="AB2921">
        <v>20</v>
      </c>
      <c r="AC2921">
        <v>-12.376300000000001</v>
      </c>
      <c r="AD2921">
        <v>-1.1072436496360001</v>
      </c>
      <c r="AE2921">
        <v>-13.699399999999899</v>
      </c>
      <c r="AF2921">
        <v>9.8062342896381498</v>
      </c>
      <c r="AG2921">
        <v>-1.1072436496360001</v>
      </c>
      <c r="AH2921">
        <v>15.564232078733699</v>
      </c>
      <c r="AI2921">
        <v>93.444468147939602</v>
      </c>
      <c r="AJ2921">
        <v>57.787048202130698</v>
      </c>
      <c r="AK2921">
        <v>18.429149183931901</v>
      </c>
    </row>
    <row r="2922" spans="1:37" x14ac:dyDescent="0.2">
      <c r="A2922" t="str">
        <f>"20200111154123220"</f>
        <v>20200111154123220</v>
      </c>
      <c r="B2922" t="str">
        <f>"1578728483208926"</f>
        <v>1578728483208926</v>
      </c>
      <c r="C2922" t="s">
        <v>37</v>
      </c>
      <c r="D2922">
        <v>5.1854769999999997</v>
      </c>
      <c r="E2922">
        <v>0.61292800000000003</v>
      </c>
      <c r="F2922" t="s">
        <v>46</v>
      </c>
      <c r="G2922">
        <v>-204.6183</v>
      </c>
      <c r="H2922" s="1">
        <v>-9.4656719999999999E-6</v>
      </c>
      <c r="I2922">
        <v>146.18360000000001</v>
      </c>
      <c r="J2922">
        <v>-191.9667</v>
      </c>
      <c r="K2922">
        <v>1.107202</v>
      </c>
      <c r="L2922">
        <v>160.03110000000001</v>
      </c>
      <c r="M2922">
        <v>-0.1753567</v>
      </c>
      <c r="N2922">
        <v>0</v>
      </c>
      <c r="O2922">
        <v>-0.98438510000000001</v>
      </c>
      <c r="P2922">
        <v>-0.43472650000000002</v>
      </c>
      <c r="Q2922">
        <v>3.0436520000000002E-2</v>
      </c>
      <c r="R2922">
        <v>-0.90004819999999996</v>
      </c>
      <c r="S2922">
        <v>-2.109909</v>
      </c>
      <c r="T2922">
        <v>-0.18428639999999999</v>
      </c>
      <c r="U2922">
        <v>-2.324722</v>
      </c>
      <c r="V2922">
        <v>0.2705227</v>
      </c>
      <c r="W2922">
        <v>4.2881030000000001E-2</v>
      </c>
      <c r="X2922">
        <v>0.96175809999999995</v>
      </c>
      <c r="Y2922">
        <v>0.53055010000000002</v>
      </c>
      <c r="Z2922">
        <v>6.064779E-2</v>
      </c>
      <c r="AA2922">
        <v>0.84548120000000004</v>
      </c>
      <c r="AB2922">
        <v>20</v>
      </c>
      <c r="AC2922">
        <v>-12.6516</v>
      </c>
      <c r="AD2922">
        <v>-1.107211465672</v>
      </c>
      <c r="AE2922">
        <v>-13.847499999999901</v>
      </c>
      <c r="AF2922">
        <v>9.9921598288302302</v>
      </c>
      <c r="AG2922">
        <v>-1.107211465672</v>
      </c>
      <c r="AH2922">
        <v>15.7966421207454</v>
      </c>
      <c r="AI2922">
        <v>93.3899926924108</v>
      </c>
      <c r="AJ2922">
        <v>57.6846166914939</v>
      </c>
      <c r="AK2922">
        <v>18.724397922643899</v>
      </c>
    </row>
    <row r="2923" spans="1:37" x14ac:dyDescent="0.2">
      <c r="A2923" t="str">
        <f>"20200111154123235"</f>
        <v>20200111154123235</v>
      </c>
      <c r="B2923" t="str">
        <f>"1578728483229422"</f>
        <v>1578728483229422</v>
      </c>
      <c r="C2923" t="s">
        <v>37</v>
      </c>
      <c r="D2923">
        <v>5.1994759999999998</v>
      </c>
      <c r="E2923">
        <v>0.62016669999999996</v>
      </c>
      <c r="F2923" t="s">
        <v>46</v>
      </c>
      <c r="G2923">
        <v>-204.59350000000001</v>
      </c>
      <c r="H2923" s="1">
        <v>-9.4895290000000005E-6</v>
      </c>
      <c r="I2923">
        <v>146.23859999999999</v>
      </c>
      <c r="J2923">
        <v>-191.99289999999999</v>
      </c>
      <c r="K2923">
        <v>1.1071869999999999</v>
      </c>
      <c r="L2923">
        <v>159.90979999999999</v>
      </c>
      <c r="M2923">
        <v>-0.1792078</v>
      </c>
      <c r="N2923">
        <v>0</v>
      </c>
      <c r="O2923">
        <v>-0.98369309999999999</v>
      </c>
      <c r="P2923">
        <v>-0.43848739999999897</v>
      </c>
      <c r="Q2923">
        <v>2.9839770000000002E-2</v>
      </c>
      <c r="R2923">
        <v>-0.89824190000000004</v>
      </c>
      <c r="S2923">
        <v>-2.1198429999999999</v>
      </c>
      <c r="T2923">
        <v>-0.1858831</v>
      </c>
      <c r="U2923">
        <v>-2.3155519999999998</v>
      </c>
      <c r="V2923">
        <v>0.2707735</v>
      </c>
      <c r="W2923">
        <v>4.2154039999999997E-2</v>
      </c>
      <c r="X2923">
        <v>0.96171969999999996</v>
      </c>
      <c r="Y2923">
        <v>0.53085369999999998</v>
      </c>
      <c r="Z2923">
        <v>6.1199780000000002E-2</v>
      </c>
      <c r="AA2923">
        <v>0.84525079999999997</v>
      </c>
      <c r="AB2923">
        <v>20</v>
      </c>
      <c r="AC2923">
        <v>-12.6006</v>
      </c>
      <c r="AD2923">
        <v>-1.1071964895290001</v>
      </c>
      <c r="AE2923">
        <v>-13.671200000000001</v>
      </c>
      <c r="AF2923">
        <v>9.9111454815871092</v>
      </c>
      <c r="AG2923">
        <v>-1.1071964895290001</v>
      </c>
      <c r="AH2923">
        <v>15.652707040027099</v>
      </c>
      <c r="AI2923">
        <v>93.420057370112104</v>
      </c>
      <c r="AJ2923">
        <v>57.658397554794398</v>
      </c>
      <c r="AK2923">
        <v>18.559739397537999</v>
      </c>
    </row>
    <row r="2924" spans="1:37" x14ac:dyDescent="0.2">
      <c r="A2924" t="str">
        <f>"20200111154123249"</f>
        <v>20200111154123249</v>
      </c>
      <c r="B2924" t="str">
        <f>"1578728483239182"</f>
        <v>1578728483239182</v>
      </c>
      <c r="C2924" t="s">
        <v>37</v>
      </c>
      <c r="D2924">
        <v>5.2148659999999998</v>
      </c>
      <c r="E2924">
        <v>0.62061009999999905</v>
      </c>
      <c r="F2924" t="s">
        <v>46</v>
      </c>
      <c r="G2924">
        <v>-205.3887</v>
      </c>
      <c r="H2924" s="1">
        <v>-9.0720309999999902E-6</v>
      </c>
      <c r="I2924">
        <v>145.90029999999999</v>
      </c>
      <c r="J2924">
        <v>-192.0215</v>
      </c>
      <c r="K2924">
        <v>1.1071819999999899</v>
      </c>
      <c r="L2924">
        <v>159.77979999999999</v>
      </c>
      <c r="M2924">
        <v>-0.18336279999999999</v>
      </c>
      <c r="N2924">
        <v>0</v>
      </c>
      <c r="O2924">
        <v>-0.982929099999999</v>
      </c>
      <c r="P2924">
        <v>-0.44298409999999899</v>
      </c>
      <c r="Q2924">
        <v>2.8618129999999999E-2</v>
      </c>
      <c r="R2924">
        <v>-0.89607269999999895</v>
      </c>
      <c r="S2924">
        <v>-2.181168</v>
      </c>
      <c r="T2924">
        <v>-0.18027989999999999</v>
      </c>
      <c r="U2924">
        <v>-2.2810969999999999</v>
      </c>
      <c r="V2924">
        <v>0.27151249999999999</v>
      </c>
      <c r="W2924">
        <v>4.0800990000000002E-2</v>
      </c>
      <c r="X2924">
        <v>0.96156969999999997</v>
      </c>
      <c r="Y2924">
        <v>0.54562630000000001</v>
      </c>
      <c r="Z2924">
        <v>5.9171179999999997E-2</v>
      </c>
      <c r="AA2924">
        <v>0.83593700000000004</v>
      </c>
      <c r="AB2924">
        <v>20</v>
      </c>
      <c r="AC2924">
        <v>-13.367199999999899</v>
      </c>
      <c r="AD2924">
        <v>-1.1071910720309901</v>
      </c>
      <c r="AE2924">
        <v>-13.8795</v>
      </c>
      <c r="AF2924">
        <v>10.5603726212818</v>
      </c>
      <c r="AG2924">
        <v>-1.1071910720309901</v>
      </c>
      <c r="AH2924">
        <v>16.042488272936399</v>
      </c>
      <c r="AI2924">
        <v>93.299290485556796</v>
      </c>
      <c r="AJ2924">
        <v>56.644080254011598</v>
      </c>
      <c r="AK2924">
        <v>19.2382112463089</v>
      </c>
    </row>
    <row r="2925" spans="1:37" x14ac:dyDescent="0.2">
      <c r="A2925" t="str">
        <f>"20200111154123263"</f>
        <v>20200111154123263</v>
      </c>
      <c r="B2925" t="str">
        <f>"1578728483258703"</f>
        <v>1578728483258703</v>
      </c>
      <c r="C2925" t="s">
        <v>37</v>
      </c>
      <c r="D2925">
        <v>5.227176</v>
      </c>
      <c r="E2925">
        <v>0.62088699999999997</v>
      </c>
      <c r="F2925" t="s">
        <v>46</v>
      </c>
      <c r="G2925">
        <v>-205.16460000000001</v>
      </c>
      <c r="H2925" s="1">
        <v>-9.2500359999999997E-6</v>
      </c>
      <c r="I2925">
        <v>146.19820000000001</v>
      </c>
      <c r="J2925">
        <v>-192.04750000000001</v>
      </c>
      <c r="K2925">
        <v>1.107178</v>
      </c>
      <c r="L2925">
        <v>159.66370000000001</v>
      </c>
      <c r="M2925">
        <v>-0.18710099999999999</v>
      </c>
      <c r="N2925">
        <v>0</v>
      </c>
      <c r="O2925">
        <v>-0.98222589999999999</v>
      </c>
      <c r="P2925">
        <v>-0.44658799999999998</v>
      </c>
      <c r="Q2925">
        <v>2.8360320000000001E-2</v>
      </c>
      <c r="R2925">
        <v>-0.89429029999999998</v>
      </c>
      <c r="S2925">
        <v>-2.1953429999999998</v>
      </c>
      <c r="T2925">
        <v>-0.1849384</v>
      </c>
      <c r="U2925">
        <v>-2.2685849999999999</v>
      </c>
      <c r="V2925">
        <v>0.2717215</v>
      </c>
      <c r="W2925">
        <v>4.0441280000000003E-2</v>
      </c>
      <c r="X2925">
        <v>0.96152579999999999</v>
      </c>
      <c r="Y2925">
        <v>0.54737819999999904</v>
      </c>
      <c r="Z2925">
        <v>6.0716159999999998E-2</v>
      </c>
      <c r="AA2925">
        <v>0.83467999999999998</v>
      </c>
      <c r="AB2925">
        <v>20</v>
      </c>
      <c r="AC2925">
        <v>-13.117099999999899</v>
      </c>
      <c r="AD2925">
        <v>-1.107187250036</v>
      </c>
      <c r="AE2925">
        <v>-13.465499999999899</v>
      </c>
      <c r="AF2925">
        <v>10.329881401400201</v>
      </c>
      <c r="AG2925">
        <v>-1.107187250036</v>
      </c>
      <c r="AH2925">
        <v>15.6279405054153</v>
      </c>
      <c r="AI2925">
        <v>93.3823846409298</v>
      </c>
      <c r="AJ2925">
        <v>56.535774299318199</v>
      </c>
      <c r="AK2925">
        <v>18.766055467637301</v>
      </c>
    </row>
    <row r="2926" spans="1:37" x14ac:dyDescent="0.2">
      <c r="A2926" t="str">
        <f>"20200111154123276"</f>
        <v>20200111154123276</v>
      </c>
      <c r="B2926" t="str">
        <f>"1578728483269439"</f>
        <v>1578728483269439</v>
      </c>
      <c r="C2926" t="s">
        <v>37</v>
      </c>
      <c r="D2926">
        <v>5.2128969999999999</v>
      </c>
      <c r="E2926">
        <v>0.62106949999999905</v>
      </c>
      <c r="F2926" t="s">
        <v>46</v>
      </c>
      <c r="G2926">
        <v>-205.16069999999999</v>
      </c>
      <c r="H2926" s="1">
        <v>-9.2628719999999906E-6</v>
      </c>
      <c r="I2926">
        <v>146.24029999999999</v>
      </c>
      <c r="J2926">
        <v>-192.0753</v>
      </c>
      <c r="K2926">
        <v>1.107175</v>
      </c>
      <c r="L2926">
        <v>159.54259999999999</v>
      </c>
      <c r="M2926">
        <v>-0.19103680000000001</v>
      </c>
      <c r="N2926">
        <v>0</v>
      </c>
      <c r="O2926">
        <v>-0.98146939999999905</v>
      </c>
      <c r="P2926">
        <v>-0.45025209999999999</v>
      </c>
      <c r="Q2926">
        <v>2.7797240000000001E-2</v>
      </c>
      <c r="R2926">
        <v>-0.89246890000000001</v>
      </c>
      <c r="S2926">
        <v>-2.2064509999999999</v>
      </c>
      <c r="T2926">
        <v>-0.18629770000000001</v>
      </c>
      <c r="U2926">
        <v>-2.2586520000000001</v>
      </c>
      <c r="V2926">
        <v>0.271802299999999</v>
      </c>
      <c r="W2926">
        <v>3.9782820000000003E-2</v>
      </c>
      <c r="X2926">
        <v>0.96153040000000001</v>
      </c>
      <c r="Y2926">
        <v>0.54794319999999996</v>
      </c>
      <c r="Z2926">
        <v>6.1177719999999998E-2</v>
      </c>
      <c r="AA2926">
        <v>0.83427549999999995</v>
      </c>
      <c r="AB2926">
        <v>20</v>
      </c>
      <c r="AC2926">
        <v>-13.0853999999999</v>
      </c>
      <c r="AD2926">
        <v>-1.1071842628719999</v>
      </c>
      <c r="AE2926">
        <v>-13.302300000000001</v>
      </c>
      <c r="AF2926">
        <v>10.266691807242999</v>
      </c>
      <c r="AG2926">
        <v>-1.1071842628719999</v>
      </c>
      <c r="AH2926">
        <v>15.502744633101999</v>
      </c>
      <c r="AI2926">
        <v>93.407651699543706</v>
      </c>
      <c r="AJ2926">
        <v>56.485484764502502</v>
      </c>
      <c r="AK2926">
        <v>18.627020932399201</v>
      </c>
    </row>
    <row r="2927" spans="1:37" x14ac:dyDescent="0.2">
      <c r="A2927" t="str">
        <f>"20200111154123289"</f>
        <v>20200111154123289</v>
      </c>
      <c r="B2927" t="str">
        <f>"1578728483279198"</f>
        <v>1578728483279198</v>
      </c>
      <c r="C2927" t="s">
        <v>37</v>
      </c>
      <c r="D2927">
        <v>5.2132110000000003</v>
      </c>
      <c r="E2927">
        <v>0.62106619999999901</v>
      </c>
      <c r="F2927" t="s">
        <v>46</v>
      </c>
      <c r="G2927">
        <v>-205.1557</v>
      </c>
      <c r="H2927" s="1">
        <v>-9.2736149999999998E-6</v>
      </c>
      <c r="I2927">
        <v>146.27250000000001</v>
      </c>
      <c r="J2927">
        <v>-192.10050000000001</v>
      </c>
      <c r="K2927">
        <v>1.107172</v>
      </c>
      <c r="L2927">
        <v>159.43450000000001</v>
      </c>
      <c r="M2927">
        <v>-0.19456499999999999</v>
      </c>
      <c r="N2927">
        <v>0</v>
      </c>
      <c r="O2927">
        <v>-0.98077729999999996</v>
      </c>
      <c r="P2927">
        <v>-0.45394449999999997</v>
      </c>
      <c r="Q2927">
        <v>2.7412369999999998E-2</v>
      </c>
      <c r="R2927">
        <v>-0.89060849999999903</v>
      </c>
      <c r="S2927">
        <v>-2.2167819999999998</v>
      </c>
      <c r="T2927">
        <v>-0.18763949999999999</v>
      </c>
      <c r="U2927">
        <v>-2.2489319999999999</v>
      </c>
      <c r="V2927">
        <v>0.27232129999999999</v>
      </c>
      <c r="W2927">
        <v>3.9311110000000003E-2</v>
      </c>
      <c r="X2927">
        <v>0.96140300000000001</v>
      </c>
      <c r="Y2927">
        <v>0.5486645</v>
      </c>
      <c r="Z2927">
        <v>6.1638030000000003E-2</v>
      </c>
      <c r="AA2927">
        <v>0.83376740000000005</v>
      </c>
      <c r="AB2927">
        <v>20</v>
      </c>
      <c r="AC2927">
        <v>-13.0551999999999</v>
      </c>
      <c r="AD2927">
        <v>-1.107181273615</v>
      </c>
      <c r="AE2927">
        <v>-13.162000000000001</v>
      </c>
      <c r="AF2927">
        <v>10.2080970355535</v>
      </c>
      <c r="AG2927">
        <v>-1.107181273615</v>
      </c>
      <c r="AH2927">
        <v>15.3958630955849</v>
      </c>
      <c r="AI2927">
        <v>93.429995326947306</v>
      </c>
      <c r="AJ2927">
        <v>56.453967887510302</v>
      </c>
      <c r="AK2927">
        <v>18.505774664085699</v>
      </c>
    </row>
    <row r="2928" spans="1:37" x14ac:dyDescent="0.2">
      <c r="A2928" t="str">
        <f>"20200111154123306"</f>
        <v>20200111154123306</v>
      </c>
      <c r="B2928" t="str">
        <f>"1578728483298721"</f>
        <v>1578728483298721</v>
      </c>
      <c r="C2928" t="s">
        <v>37</v>
      </c>
      <c r="D2928">
        <v>5.1993229999999997</v>
      </c>
      <c r="E2928">
        <v>0.62115419999999999</v>
      </c>
      <c r="F2928" t="s">
        <v>46</v>
      </c>
      <c r="G2928">
        <v>-205.304</v>
      </c>
      <c r="H2928" s="1">
        <v>-9.1752880000000006E-6</v>
      </c>
      <c r="I2928">
        <v>146.14920000000001</v>
      </c>
      <c r="J2928">
        <v>-192.13669999999999</v>
      </c>
      <c r="K2928">
        <v>1.107172</v>
      </c>
      <c r="L2928">
        <v>159.28270000000001</v>
      </c>
      <c r="M2928">
        <v>-0.19955329999999999</v>
      </c>
      <c r="N2928">
        <v>0</v>
      </c>
      <c r="O2928">
        <v>-0.97977630000000004</v>
      </c>
      <c r="P2928">
        <v>-0.45896219999999999</v>
      </c>
      <c r="Q2928">
        <v>2.7039549999999999E-2</v>
      </c>
      <c r="R2928">
        <v>-0.88804450000000001</v>
      </c>
      <c r="S2928">
        <v>-2.2258909999999998</v>
      </c>
      <c r="T2928">
        <v>-0.18665299999999899</v>
      </c>
      <c r="U2928">
        <v>-2.2396849999999899</v>
      </c>
      <c r="V2928">
        <v>0.27284809999999998</v>
      </c>
      <c r="W2928">
        <v>3.8825119999999998E-2</v>
      </c>
      <c r="X2928">
        <v>0.96127339999999994</v>
      </c>
      <c r="Y2928">
        <v>0.5478539</v>
      </c>
      <c r="Z2928">
        <v>6.1341010000000001E-2</v>
      </c>
      <c r="AA2928">
        <v>0.83432209999999996</v>
      </c>
      <c r="AB2928">
        <v>20</v>
      </c>
      <c r="AC2928">
        <v>-13.167299999999999</v>
      </c>
      <c r="AD2928">
        <v>-1.1071811752880001</v>
      </c>
      <c r="AE2928">
        <v>-13.1334999999999</v>
      </c>
      <c r="AF2928">
        <v>10.2449790506274</v>
      </c>
      <c r="AG2928">
        <v>-1.1071811752880001</v>
      </c>
      <c r="AH2928">
        <v>15.4424184779472</v>
      </c>
      <c r="AI2928">
        <v>93.419067025073602</v>
      </c>
      <c r="AJ2928">
        <v>56.438471382732097</v>
      </c>
      <c r="AK2928">
        <v>18.564852123051001</v>
      </c>
    </row>
    <row r="2929" spans="1:37" x14ac:dyDescent="0.2">
      <c r="A2929" t="str">
        <f>"20200111154123319"</f>
        <v>20200111154123319</v>
      </c>
      <c r="B2929" t="str">
        <f>"1578728483309454"</f>
        <v>1578728483309454</v>
      </c>
      <c r="C2929" t="s">
        <v>37</v>
      </c>
      <c r="D2929">
        <v>5.231128</v>
      </c>
      <c r="E2929">
        <v>0.62116039999999995</v>
      </c>
      <c r="F2929" t="s">
        <v>46</v>
      </c>
      <c r="G2929">
        <v>-205.2329</v>
      </c>
      <c r="H2929" s="1">
        <v>-9.2347690000000003E-6</v>
      </c>
      <c r="I2929">
        <v>146.2551</v>
      </c>
      <c r="J2929">
        <v>-192.1628</v>
      </c>
      <c r="K2929">
        <v>1.107172</v>
      </c>
      <c r="L2929">
        <v>159.17509999999999</v>
      </c>
      <c r="M2929">
        <v>-0.20311109999999999</v>
      </c>
      <c r="N2929">
        <v>0</v>
      </c>
      <c r="O2929">
        <v>-0.97904590000000002</v>
      </c>
      <c r="P2929">
        <v>-0.46267219999999998</v>
      </c>
      <c r="Q2929">
        <v>2.6869000000000001E-2</v>
      </c>
      <c r="R2929">
        <v>-0.88612250000000004</v>
      </c>
      <c r="S2929">
        <v>-2.238693</v>
      </c>
      <c r="T2929">
        <v>-0.18926379999999901</v>
      </c>
      <c r="U2929">
        <v>-2.2269589999999999</v>
      </c>
      <c r="V2929">
        <v>0.27337410000000001</v>
      </c>
      <c r="W2929">
        <v>3.8579719999999998E-2</v>
      </c>
      <c r="X2929">
        <v>0.96113379999999904</v>
      </c>
      <c r="Y2929">
        <v>0.54954729999999996</v>
      </c>
      <c r="Z2929">
        <v>6.2228520000000002E-2</v>
      </c>
      <c r="AA2929">
        <v>0.83314189999999999</v>
      </c>
      <c r="AB2929">
        <v>20</v>
      </c>
      <c r="AC2929">
        <v>-13.070099999999901</v>
      </c>
      <c r="AD2929">
        <v>-1.107181234769</v>
      </c>
      <c r="AE2929">
        <v>-12.9199999999999</v>
      </c>
      <c r="AF2929">
        <v>10.1363371008964</v>
      </c>
      <c r="AG2929">
        <v>-1.107181234769</v>
      </c>
      <c r="AH2929">
        <v>15.2502513646665</v>
      </c>
      <c r="AI2929">
        <v>93.460079999672402</v>
      </c>
      <c r="AJ2929">
        <v>56.389329581807701</v>
      </c>
      <c r="AK2929">
        <v>18.3450632813067</v>
      </c>
    </row>
    <row r="2930" spans="1:37" x14ac:dyDescent="0.2">
      <c r="A2930" t="str">
        <f>"20200111154123331"</f>
        <v>20200111154123331</v>
      </c>
      <c r="B2930" t="str">
        <f>"1578728483328976"</f>
        <v>1578728483328976</v>
      </c>
      <c r="C2930" t="s">
        <v>37</v>
      </c>
      <c r="D2930">
        <v>5.2342699999999898</v>
      </c>
      <c r="E2930">
        <v>0.62062249999999997</v>
      </c>
      <c r="F2930" t="s">
        <v>46</v>
      </c>
      <c r="G2930">
        <v>-205.3135</v>
      </c>
      <c r="H2930" s="1">
        <v>-9.185088E-6</v>
      </c>
      <c r="I2930">
        <v>146.2022</v>
      </c>
      <c r="J2930">
        <v>-192.18979999999999</v>
      </c>
      <c r="K2930">
        <v>1.107173</v>
      </c>
      <c r="L2930">
        <v>159.0659</v>
      </c>
      <c r="M2930">
        <v>-0.20674690000000001</v>
      </c>
      <c r="N2930">
        <v>0</v>
      </c>
      <c r="O2930">
        <v>-0.97828549999999903</v>
      </c>
      <c r="P2930">
        <v>-0.46631400000000001</v>
      </c>
      <c r="Q2930">
        <v>2.6449480000000001E-2</v>
      </c>
      <c r="R2930">
        <v>-0.8842238</v>
      </c>
      <c r="S2930">
        <v>-2.2479399999999998</v>
      </c>
      <c r="T2930">
        <v>-0.18925829999999999</v>
      </c>
      <c r="U2930">
        <v>-2.2175449999999999</v>
      </c>
      <c r="V2930">
        <v>0.27375139999999998</v>
      </c>
      <c r="W2930">
        <v>3.8093229999999999E-2</v>
      </c>
      <c r="X2930">
        <v>0.96104579999999995</v>
      </c>
      <c r="Y2930">
        <v>0.5499271</v>
      </c>
      <c r="Z2930">
        <v>6.2250699999999902E-2</v>
      </c>
      <c r="AA2930">
        <v>0.83288949999999995</v>
      </c>
      <c r="AB2930">
        <v>20</v>
      </c>
      <c r="AC2930">
        <v>-13.123699999999999</v>
      </c>
      <c r="AD2930">
        <v>-1.1071821850879999</v>
      </c>
      <c r="AE2930">
        <v>-12.8636999999999</v>
      </c>
      <c r="AF2930">
        <v>10.1434604750633</v>
      </c>
      <c r="AG2930">
        <v>-1.1071821850879999</v>
      </c>
      <c r="AH2930">
        <v>15.243951888232299</v>
      </c>
      <c r="AI2930">
        <v>93.460328171319205</v>
      </c>
      <c r="AJ2930">
        <v>56.359854440022602</v>
      </c>
      <c r="AK2930">
        <v>18.343764934464499</v>
      </c>
    </row>
    <row r="2931" spans="1:37" x14ac:dyDescent="0.2">
      <c r="A2931" t="str">
        <f>"20200111154123351"</f>
        <v>20200111154123351</v>
      </c>
      <c r="B2931" t="str">
        <f>"1578728483338734"</f>
        <v>1578728483338734</v>
      </c>
      <c r="C2931" t="s">
        <v>37</v>
      </c>
      <c r="D2931">
        <v>5.2332650000000003</v>
      </c>
      <c r="E2931">
        <v>0.62079609999999996</v>
      </c>
      <c r="F2931" t="s">
        <v>46</v>
      </c>
      <c r="G2931">
        <v>-205.1627</v>
      </c>
      <c r="H2931" s="1">
        <v>-9.2880300000000002E-6</v>
      </c>
      <c r="I2931">
        <v>146.339</v>
      </c>
      <c r="J2931">
        <v>-192.23070000000001</v>
      </c>
      <c r="K2931">
        <v>1.1071709999999999</v>
      </c>
      <c r="L2931">
        <v>158.90360000000001</v>
      </c>
      <c r="M2931">
        <v>-0.21218039999999999</v>
      </c>
      <c r="N2931">
        <v>0</v>
      </c>
      <c r="O2931">
        <v>-0.97712269999999901</v>
      </c>
      <c r="P2931">
        <v>-0.4718736</v>
      </c>
      <c r="Q2931">
        <v>2.6940680000000002E-2</v>
      </c>
      <c r="R2931">
        <v>-0.88125469999999895</v>
      </c>
      <c r="S2931">
        <v>-2.253082</v>
      </c>
      <c r="T2931">
        <v>-0.19229089999999999</v>
      </c>
      <c r="U2931">
        <v>-2.2103579999999998</v>
      </c>
      <c r="V2931">
        <v>0.27447090000000002</v>
      </c>
      <c r="W2931">
        <v>3.84911E-2</v>
      </c>
      <c r="X2931">
        <v>0.96082469999999998</v>
      </c>
      <c r="Y2931">
        <v>0.54754449999999999</v>
      </c>
      <c r="Z2931">
        <v>6.3280639999999999E-2</v>
      </c>
      <c r="AA2931">
        <v>0.83438040000000002</v>
      </c>
      <c r="AB2931">
        <v>20</v>
      </c>
      <c r="AC2931">
        <v>-12.931999999999899</v>
      </c>
      <c r="AD2931">
        <v>-1.1071802880299999</v>
      </c>
      <c r="AE2931">
        <v>-12.5646</v>
      </c>
      <c r="AF2931">
        <v>9.9337830101485594</v>
      </c>
      <c r="AG2931">
        <v>-1.1071802880299999</v>
      </c>
      <c r="AH2931">
        <v>14.966223742071801</v>
      </c>
      <c r="AI2931">
        <v>93.527069558099996</v>
      </c>
      <c r="AJ2931">
        <v>56.425909226077202</v>
      </c>
      <c r="AK2931">
        <v>17.997048262997801</v>
      </c>
    </row>
    <row r="2932" spans="1:37" x14ac:dyDescent="0.2">
      <c r="A2932" t="str">
        <f>"20200111154123365"</f>
        <v>20200111154123365</v>
      </c>
      <c r="B2932" t="str">
        <f>"1578728483359230"</f>
        <v>1578728483359230</v>
      </c>
      <c r="C2932" t="s">
        <v>37</v>
      </c>
      <c r="D2932">
        <v>5.2445360000000001</v>
      </c>
      <c r="E2932">
        <v>0.62098869999999995</v>
      </c>
      <c r="F2932" t="s">
        <v>46</v>
      </c>
      <c r="G2932">
        <v>-205.33940000000001</v>
      </c>
      <c r="H2932" s="1">
        <v>-9.1759119999999992E-6</v>
      </c>
      <c r="I2932">
        <v>146.21119999999999</v>
      </c>
      <c r="J2932">
        <v>-192.261</v>
      </c>
      <c r="K2932">
        <v>1.10717</v>
      </c>
      <c r="L2932">
        <v>158.78550000000001</v>
      </c>
      <c r="M2932">
        <v>-0.21615319999999999</v>
      </c>
      <c r="N2932">
        <v>0</v>
      </c>
      <c r="O2932">
        <v>-0.97625219999999902</v>
      </c>
      <c r="P2932">
        <v>-0.47589690000000001</v>
      </c>
      <c r="Q2932">
        <v>2.7445480000000001E-2</v>
      </c>
      <c r="R2932">
        <v>-0.87907279999999999</v>
      </c>
      <c r="S2932">
        <v>-2.2678219999999998</v>
      </c>
      <c r="T2932">
        <v>-0.1915433</v>
      </c>
      <c r="U2932">
        <v>-2.1958009999999999</v>
      </c>
      <c r="V2932">
        <v>0.2749625</v>
      </c>
      <c r="W2932">
        <v>3.8933750000000003E-2</v>
      </c>
      <c r="X2932">
        <v>0.96066629999999997</v>
      </c>
      <c r="Y2932">
        <v>0.54962769999999905</v>
      </c>
      <c r="Z2932">
        <v>6.3064579999999995E-2</v>
      </c>
      <c r="AA2932">
        <v>0.83302600000000004</v>
      </c>
      <c r="AB2932">
        <v>20</v>
      </c>
      <c r="AC2932">
        <v>-13.0784</v>
      </c>
      <c r="AD2932">
        <v>-1.107179175912</v>
      </c>
      <c r="AE2932">
        <v>-12.574299999999999</v>
      </c>
      <c r="AF2932">
        <v>10.0136015876888</v>
      </c>
      <c r="AG2932">
        <v>-1.107179175912</v>
      </c>
      <c r="AH2932">
        <v>15.0481655691606</v>
      </c>
      <c r="AI2932">
        <v>93.505183324568605</v>
      </c>
      <c r="AJ2932">
        <v>56.358748542799397</v>
      </c>
      <c r="AK2932">
        <v>18.109261428379899</v>
      </c>
    </row>
    <row r="2933" spans="1:37" x14ac:dyDescent="0.2">
      <c r="A2933" t="str">
        <f>"20200111154123377"</f>
        <v>20200111154123377</v>
      </c>
      <c r="B2933" t="str">
        <f>"1578728483368990"</f>
        <v>1578728483368990</v>
      </c>
      <c r="C2933" t="s">
        <v>37</v>
      </c>
      <c r="D2933">
        <v>5.2132870000000002</v>
      </c>
      <c r="E2933">
        <v>0.62112389999999995</v>
      </c>
      <c r="F2933" t="s">
        <v>46</v>
      </c>
      <c r="G2933">
        <v>-205.48820000000001</v>
      </c>
      <c r="H2933" s="1">
        <v>-9.0824809999999995E-6</v>
      </c>
      <c r="I2933">
        <v>146.10720000000001</v>
      </c>
      <c r="J2933">
        <v>-192.29220000000001</v>
      </c>
      <c r="K2933">
        <v>1.107165</v>
      </c>
      <c r="L2933">
        <v>158.66679999999999</v>
      </c>
      <c r="M2933">
        <v>-0.2201737</v>
      </c>
      <c r="N2933">
        <v>0</v>
      </c>
      <c r="O2933">
        <v>-0.97535419999999995</v>
      </c>
      <c r="P2933">
        <v>-0.47960760000000002</v>
      </c>
      <c r="Q2933">
        <v>2.7682999999999999E-2</v>
      </c>
      <c r="R2933">
        <v>-0.87704660000000001</v>
      </c>
      <c r="S2933">
        <v>-2.2792819999999998</v>
      </c>
      <c r="T2933">
        <v>-0.1907867</v>
      </c>
      <c r="U2933">
        <v>-2.1847080000000001</v>
      </c>
      <c r="V2933">
        <v>0.27506809999999998</v>
      </c>
      <c r="W2933">
        <v>3.9118630000000001E-2</v>
      </c>
      <c r="X2933">
        <v>0.96062860000000005</v>
      </c>
      <c r="Y2933">
        <v>0.55040540000000004</v>
      </c>
      <c r="Z2933">
        <v>6.2830659999999997E-2</v>
      </c>
      <c r="AA2933">
        <v>0.83252999999999899</v>
      </c>
      <c r="AB2933">
        <v>20</v>
      </c>
      <c r="AC2933">
        <v>-13.1959999999999</v>
      </c>
      <c r="AD2933">
        <v>-1.1071740824809999</v>
      </c>
      <c r="AE2933">
        <v>-12.5595999999999</v>
      </c>
      <c r="AF2933">
        <v>10.069337762682499</v>
      </c>
      <c r="AG2933">
        <v>-1.1071740824809999</v>
      </c>
      <c r="AH2933">
        <v>15.1012666035643</v>
      </c>
      <c r="AI2933">
        <v>93.4907014109248</v>
      </c>
      <c r="AJ2933">
        <v>56.305134588461897</v>
      </c>
      <c r="AK2933">
        <v>18.1842143206636</v>
      </c>
    </row>
    <row r="2934" spans="1:37" x14ac:dyDescent="0.2">
      <c r="A2934" t="str">
        <f>"20200111154123396"</f>
        <v>20200111154123396</v>
      </c>
      <c r="B2934" t="str">
        <f>"1578728483389486"</f>
        <v>1578728483389486</v>
      </c>
      <c r="C2934" t="s">
        <v>37</v>
      </c>
      <c r="D2934">
        <v>5.2277610000000001</v>
      </c>
      <c r="E2934">
        <v>0.62119250000000004</v>
      </c>
      <c r="F2934" t="s">
        <v>46</v>
      </c>
      <c r="G2934">
        <v>-205.6319</v>
      </c>
      <c r="H2934" s="1">
        <v>-8.9896100000000001E-6</v>
      </c>
      <c r="I2934">
        <v>145.9966</v>
      </c>
      <c r="J2934">
        <v>-192.333</v>
      </c>
      <c r="K2934">
        <v>1.1071580000000001</v>
      </c>
      <c r="L2934">
        <v>158.51419999999999</v>
      </c>
      <c r="M2934">
        <v>-0.2253637</v>
      </c>
      <c r="N2934">
        <v>0</v>
      </c>
      <c r="O2934">
        <v>-0.97416909999999901</v>
      </c>
      <c r="P2934">
        <v>-0.48492370000000001</v>
      </c>
      <c r="Q2934">
        <v>2.7693019999999999E-2</v>
      </c>
      <c r="R2934">
        <v>-0.87411830000000001</v>
      </c>
      <c r="S2934">
        <v>-2.2895050000000001</v>
      </c>
      <c r="T2934">
        <v>-0.19002559999999999</v>
      </c>
      <c r="U2934">
        <v>-2.1745909999999999</v>
      </c>
      <c r="V2934">
        <v>0.27578629999999998</v>
      </c>
      <c r="W2934">
        <v>3.905811E-2</v>
      </c>
      <c r="X2934">
        <v>0.96042510000000003</v>
      </c>
      <c r="Y2934">
        <v>0.54976590000000003</v>
      </c>
      <c r="Z2934">
        <v>6.2589580000000006E-2</v>
      </c>
      <c r="AA2934">
        <v>0.83297060000000001</v>
      </c>
      <c r="AB2934">
        <v>20</v>
      </c>
      <c r="AC2934">
        <v>-13.2989</v>
      </c>
      <c r="AD2934">
        <v>-1.10716698961</v>
      </c>
      <c r="AE2934">
        <v>-12.5175999999999</v>
      </c>
      <c r="AF2934">
        <v>10.0982958132302</v>
      </c>
      <c r="AG2934">
        <v>-1.10716698961</v>
      </c>
      <c r="AH2934">
        <v>15.1372812647732</v>
      </c>
      <c r="AI2934">
        <v>93.481870838322394</v>
      </c>
      <c r="AJ2934">
        <v>56.292182751358503</v>
      </c>
      <c r="AK2934">
        <v>18.230158561110802</v>
      </c>
    </row>
    <row r="2935" spans="1:37" x14ac:dyDescent="0.2">
      <c r="A2935" t="str">
        <f>"20200111154123409"</f>
        <v>20200111154123409</v>
      </c>
      <c r="B2935" t="str">
        <f>"1578728483399247"</f>
        <v>1578728483399247</v>
      </c>
      <c r="C2935" t="s">
        <v>37</v>
      </c>
      <c r="D2935">
        <v>5.2368750000000004</v>
      </c>
      <c r="E2935">
        <v>0.62125379999999997</v>
      </c>
      <c r="F2935" t="s">
        <v>46</v>
      </c>
      <c r="G2935">
        <v>-205.8151</v>
      </c>
      <c r="H2935" s="1">
        <v>-8.8740709999999993E-6</v>
      </c>
      <c r="I2935">
        <v>145.86680000000001</v>
      </c>
      <c r="J2935">
        <v>-192.363</v>
      </c>
      <c r="K2935">
        <v>1.107151</v>
      </c>
      <c r="L2935">
        <v>158.4041</v>
      </c>
      <c r="M2935">
        <v>-0.22912589999999999</v>
      </c>
      <c r="N2935">
        <v>0</v>
      </c>
      <c r="O2935">
        <v>-0.97329169999999998</v>
      </c>
      <c r="P2935">
        <v>-0.48866149999999903</v>
      </c>
      <c r="Q2935">
        <v>2.7593820000000002E-2</v>
      </c>
      <c r="R2935">
        <v>-0.87203739999999996</v>
      </c>
      <c r="S2935">
        <v>-2.3030240000000002</v>
      </c>
      <c r="T2935">
        <v>-0.18912679999999901</v>
      </c>
      <c r="U2935">
        <v>-2.160431</v>
      </c>
      <c r="V2935">
        <v>0.27618619999999999</v>
      </c>
      <c r="W2935">
        <v>3.8912790000000003E-2</v>
      </c>
      <c r="X2935">
        <v>0.96031610000000001</v>
      </c>
      <c r="Y2935">
        <v>0.55171689999999995</v>
      </c>
      <c r="Z2935">
        <v>6.2324930000000001E-2</v>
      </c>
      <c r="AA2935">
        <v>0.83169959999999898</v>
      </c>
      <c r="AB2935">
        <v>20</v>
      </c>
      <c r="AC2935">
        <v>-13.4521</v>
      </c>
      <c r="AD2935">
        <v>-1.107159874071</v>
      </c>
      <c r="AE2935">
        <v>-12.537299999999901</v>
      </c>
      <c r="AF2935">
        <v>10.184323532430099</v>
      </c>
      <c r="AG2935">
        <v>-1.107159874071</v>
      </c>
      <c r="AH2935">
        <v>15.2310242845793</v>
      </c>
      <c r="AI2935">
        <v>93.458012778345804</v>
      </c>
      <c r="AJ2935">
        <v>56.231075229706697</v>
      </c>
      <c r="AK2935">
        <v>18.3556626019713</v>
      </c>
    </row>
    <row r="2936" spans="1:37" x14ac:dyDescent="0.2">
      <c r="A2936" t="str">
        <f>"20200111154123421"</f>
        <v>20200111154123421</v>
      </c>
      <c r="B2936" t="str">
        <f>"1578728483409008"</f>
        <v>1578728483409008</v>
      </c>
      <c r="C2936" t="s">
        <v>37</v>
      </c>
      <c r="D2936">
        <v>5.2061279999999996</v>
      </c>
      <c r="E2936">
        <v>0.62134889999999998</v>
      </c>
      <c r="F2936" t="s">
        <v>46</v>
      </c>
      <c r="G2936">
        <v>-205.86760000000001</v>
      </c>
      <c r="H2936" s="1">
        <v>-8.8457219999999992E-6</v>
      </c>
      <c r="I2936">
        <v>145.8475</v>
      </c>
      <c r="J2936">
        <v>-192.39179999999999</v>
      </c>
      <c r="K2936">
        <v>1.1071420000000001</v>
      </c>
      <c r="L2936">
        <v>158.29949999999999</v>
      </c>
      <c r="M2936">
        <v>-0.23270959999999999</v>
      </c>
      <c r="N2936">
        <v>0</v>
      </c>
      <c r="O2936">
        <v>-0.97244149999999996</v>
      </c>
      <c r="P2936">
        <v>-0.49215609999999999</v>
      </c>
      <c r="Q2936">
        <v>2.706946E-2</v>
      </c>
      <c r="R2936">
        <v>-0.87008639999999904</v>
      </c>
      <c r="S2936">
        <v>-2.3126370000000001</v>
      </c>
      <c r="T2936">
        <v>-0.18959909999999999</v>
      </c>
      <c r="U2936">
        <v>-2.1502840000000001</v>
      </c>
      <c r="V2936">
        <v>0.2764935</v>
      </c>
      <c r="W2936">
        <v>3.8347199999999998E-2</v>
      </c>
      <c r="X2936">
        <v>0.96025039999999995</v>
      </c>
      <c r="Y2936">
        <v>0.55232079999999995</v>
      </c>
      <c r="Z2936">
        <v>6.2497419999999998E-2</v>
      </c>
      <c r="AA2936">
        <v>0.83128559999999996</v>
      </c>
      <c r="AB2936">
        <v>20</v>
      </c>
      <c r="AC2936">
        <v>-13.4758</v>
      </c>
      <c r="AD2936">
        <v>-1.1071508457220001</v>
      </c>
      <c r="AE2936">
        <v>-12.4519999999999</v>
      </c>
      <c r="AF2936">
        <v>10.170734384776599</v>
      </c>
      <c r="AG2936">
        <v>-1.1071508457220001</v>
      </c>
      <c r="AH2936">
        <v>15.191030600406201</v>
      </c>
      <c r="AI2936">
        <v>93.465682605758602</v>
      </c>
      <c r="AJ2936">
        <v>56.196807620871802</v>
      </c>
      <c r="AK2936">
        <v>18.314940120659401</v>
      </c>
    </row>
    <row r="2937" spans="1:37" x14ac:dyDescent="0.2">
      <c r="A2937" t="str">
        <f>"20200111154123435"</f>
        <v>20200111154123435</v>
      </c>
      <c r="B2937" t="str">
        <f>"1578728483429502"</f>
        <v>1578728483429502</v>
      </c>
      <c r="C2937" t="s">
        <v>37</v>
      </c>
      <c r="D2937">
        <v>5.2178050000000002</v>
      </c>
      <c r="E2937">
        <v>0.62146250000000003</v>
      </c>
      <c r="F2937" t="s">
        <v>46</v>
      </c>
      <c r="G2937">
        <v>-205.79910000000001</v>
      </c>
      <c r="H2937" s="1">
        <v>-8.9000570000000004E-6</v>
      </c>
      <c r="I2937">
        <v>145.9384</v>
      </c>
      <c r="J2937">
        <v>-192.4247</v>
      </c>
      <c r="K2937">
        <v>1.1071309999999901</v>
      </c>
      <c r="L2937">
        <v>158.18279999999999</v>
      </c>
      <c r="M2937">
        <v>-0.23673530000000001</v>
      </c>
      <c r="N2937">
        <v>0</v>
      </c>
      <c r="O2937">
        <v>-0.9714699</v>
      </c>
      <c r="P2937">
        <v>-0.49636819999999998</v>
      </c>
      <c r="Q2937">
        <v>2.6715719999999998E-2</v>
      </c>
      <c r="R2937">
        <v>-0.86770119999999895</v>
      </c>
      <c r="S2937">
        <v>-2.321777</v>
      </c>
      <c r="T2937">
        <v>-0.19172809999999901</v>
      </c>
      <c r="U2937">
        <v>-2.1406099999999899</v>
      </c>
      <c r="V2937">
        <v>0.27716609999999903</v>
      </c>
      <c r="W2937">
        <v>3.794695E-2</v>
      </c>
      <c r="X2937">
        <v>0.96007240000000005</v>
      </c>
      <c r="Y2937">
        <v>0.55234130000000004</v>
      </c>
      <c r="Z2937">
        <v>6.320916E-2</v>
      </c>
      <c r="AA2937">
        <v>0.83121819999999902</v>
      </c>
      <c r="AB2937">
        <v>20</v>
      </c>
      <c r="AC2937">
        <v>-13.3744</v>
      </c>
      <c r="AD2937">
        <v>-1.1071399000569999</v>
      </c>
      <c r="AE2937">
        <v>-12.244399999999899</v>
      </c>
      <c r="AF2937">
        <v>10.057673389433701</v>
      </c>
      <c r="AG2937">
        <v>-1.1071399000569999</v>
      </c>
      <c r="AH2937">
        <v>15.0068396464375</v>
      </c>
      <c r="AI2937">
        <v>93.506973574127997</v>
      </c>
      <c r="AJ2937">
        <v>56.169770961558797</v>
      </c>
      <c r="AK2937">
        <v>18.099386424426399</v>
      </c>
    </row>
    <row r="2938" spans="1:37" x14ac:dyDescent="0.2">
      <c r="A2938" t="str">
        <f>"20200111154123451"</f>
        <v>20200111154123451</v>
      </c>
      <c r="B2938" t="str">
        <f>"1578728483449023"</f>
        <v>1578728483449023</v>
      </c>
      <c r="C2938" t="s">
        <v>37</v>
      </c>
      <c r="D2938">
        <v>5.2182170000000001</v>
      </c>
      <c r="E2938">
        <v>0.62144889999999997</v>
      </c>
      <c r="F2938" t="s">
        <v>46</v>
      </c>
      <c r="G2938">
        <v>-205.71029999999999</v>
      </c>
      <c r="H2938" s="1">
        <v>-8.9710339999999905E-6</v>
      </c>
      <c r="I2938">
        <v>146.0581</v>
      </c>
      <c r="J2938">
        <v>-192.46469999999999</v>
      </c>
      <c r="K2938">
        <v>1.107116</v>
      </c>
      <c r="L2938">
        <v>158.04329999999999</v>
      </c>
      <c r="M2938">
        <v>-0.2415667</v>
      </c>
      <c r="N2938">
        <v>0</v>
      </c>
      <c r="O2938">
        <v>-0.97028029999999998</v>
      </c>
      <c r="P2938">
        <v>-0.50130989999999997</v>
      </c>
      <c r="Q2938">
        <v>2.5783230000000001E-2</v>
      </c>
      <c r="R2938">
        <v>-0.86488369999999903</v>
      </c>
      <c r="S2938">
        <v>-2.3327789999999999</v>
      </c>
      <c r="T2938">
        <v>-0.1943995</v>
      </c>
      <c r="U2938">
        <v>-2.1289370000000001</v>
      </c>
      <c r="V2938">
        <v>0.27785110000000002</v>
      </c>
      <c r="W2938">
        <v>3.6963459999999997E-2</v>
      </c>
      <c r="X2938">
        <v>0.95991269999999995</v>
      </c>
      <c r="Y2938">
        <v>0.55237630000000004</v>
      </c>
      <c r="Z2938">
        <v>6.4099379999999997E-2</v>
      </c>
      <c r="AA2938">
        <v>0.83112680000000005</v>
      </c>
      <c r="AB2938">
        <v>19</v>
      </c>
      <c r="AC2938">
        <v>-13.2455999999999</v>
      </c>
      <c r="AD2938">
        <v>-1.1071249710340001</v>
      </c>
      <c r="AE2938">
        <v>-11.985199999999899</v>
      </c>
      <c r="AF2938">
        <v>9.9196193748470698</v>
      </c>
      <c r="AG2938">
        <v>-1.1071249710340001</v>
      </c>
      <c r="AH2938">
        <v>14.7734454889621</v>
      </c>
      <c r="AI2938">
        <v>93.560144915649502</v>
      </c>
      <c r="AJ2938">
        <v>56.120642275792697</v>
      </c>
      <c r="AK2938">
        <v>17.829168961526499</v>
      </c>
    </row>
    <row r="2939" spans="1:37" x14ac:dyDescent="0.2">
      <c r="A2939" t="str">
        <f>"20200111154123466"</f>
        <v>20200111154123466</v>
      </c>
      <c r="B2939" t="str">
        <f>"1578728483458783"</f>
        <v>1578728483458783</v>
      </c>
      <c r="C2939" t="s">
        <v>37</v>
      </c>
      <c r="D2939">
        <v>5.2273209999999999</v>
      </c>
      <c r="E2939">
        <v>0.62141159999999995</v>
      </c>
      <c r="F2939" t="s">
        <v>46</v>
      </c>
      <c r="G2939">
        <v>-205.5556</v>
      </c>
      <c r="H2939" s="1">
        <v>-9.0857360000000002E-6</v>
      </c>
      <c r="I2939">
        <v>146.23269999999999</v>
      </c>
      <c r="J2939">
        <v>-192.5001</v>
      </c>
      <c r="K2939">
        <v>1.1071059999999999</v>
      </c>
      <c r="L2939">
        <v>157.92160000000001</v>
      </c>
      <c r="M2939">
        <v>-0.2457994</v>
      </c>
      <c r="N2939">
        <v>0</v>
      </c>
      <c r="O2939">
        <v>-0.96921689999999905</v>
      </c>
      <c r="P2939">
        <v>-0.50547149999999996</v>
      </c>
      <c r="Q2939">
        <v>2.5362539999999999E-2</v>
      </c>
      <c r="R2939">
        <v>-0.86247030000000002</v>
      </c>
      <c r="S2939">
        <v>-2.3448180000000001</v>
      </c>
      <c r="T2939">
        <v>-0.1983055</v>
      </c>
      <c r="U2939">
        <v>-2.1154790000000001</v>
      </c>
      <c r="V2939">
        <v>0.27828079999999999</v>
      </c>
      <c r="W2939">
        <v>3.6502180000000002E-2</v>
      </c>
      <c r="X2939">
        <v>0.95980589999999999</v>
      </c>
      <c r="Y2939">
        <v>0.55342930000000001</v>
      </c>
      <c r="Z2939">
        <v>6.5409549999999997E-2</v>
      </c>
      <c r="AA2939">
        <v>0.83032379999999995</v>
      </c>
      <c r="AB2939">
        <v>19</v>
      </c>
      <c r="AC2939">
        <v>-13.055499999999901</v>
      </c>
      <c r="AD2939">
        <v>-1.1071150857359999</v>
      </c>
      <c r="AE2939">
        <v>-11.6889</v>
      </c>
      <c r="AF2939">
        <v>9.7425831911942407</v>
      </c>
      <c r="AG2939">
        <v>-1.1071150857359999</v>
      </c>
      <c r="AH2939">
        <v>14.481772272715199</v>
      </c>
      <c r="AI2939">
        <v>93.629449362489694</v>
      </c>
      <c r="AJ2939">
        <v>56.069385392077997</v>
      </c>
      <c r="AK2939">
        <v>17.4890068102562</v>
      </c>
    </row>
    <row r="2940" spans="1:37" x14ac:dyDescent="0.2">
      <c r="A2940" t="str">
        <f>"20200111154123480"</f>
        <v>20200111154123480</v>
      </c>
      <c r="B2940" t="str">
        <f>"1578728483469519"</f>
        <v>1578728483469519</v>
      </c>
      <c r="C2940" t="s">
        <v>37</v>
      </c>
      <c r="D2940">
        <v>5.2258129999999996</v>
      </c>
      <c r="E2940">
        <v>0.62133859999999996</v>
      </c>
      <c r="F2940" t="s">
        <v>46</v>
      </c>
      <c r="G2940">
        <v>-205.49459999999999</v>
      </c>
      <c r="H2940" s="1">
        <v>-9.1331060000000004E-6</v>
      </c>
      <c r="I2940">
        <v>146.30959999999999</v>
      </c>
      <c r="J2940">
        <v>-192.53579999999999</v>
      </c>
      <c r="K2940">
        <v>1.107097</v>
      </c>
      <c r="L2940">
        <v>157.8013</v>
      </c>
      <c r="M2940">
        <v>-0.25000630000000001</v>
      </c>
      <c r="N2940">
        <v>0</v>
      </c>
      <c r="O2940">
        <v>-0.96814089999999997</v>
      </c>
      <c r="P2940">
        <v>-0.50958779999999904</v>
      </c>
      <c r="Q2940">
        <v>2.526776E-2</v>
      </c>
      <c r="R2940">
        <v>-0.86004789999999998</v>
      </c>
      <c r="S2940">
        <v>-2.3547359999999999</v>
      </c>
      <c r="T2940">
        <v>-0.2006211</v>
      </c>
      <c r="U2940">
        <v>-2.1042179999999999</v>
      </c>
      <c r="V2940">
        <v>0.27869879999999903</v>
      </c>
      <c r="W2940">
        <v>3.6370659999999999E-2</v>
      </c>
      <c r="X2940">
        <v>0.95968960000000003</v>
      </c>
      <c r="Y2940">
        <v>0.55372259999999995</v>
      </c>
      <c r="Z2940">
        <v>6.6189150000000002E-2</v>
      </c>
      <c r="AA2940">
        <v>0.83006639999999998</v>
      </c>
      <c r="AB2940">
        <v>19</v>
      </c>
      <c r="AC2940">
        <v>-12.958799999999901</v>
      </c>
      <c r="AD2940">
        <v>-1.1071061331059999</v>
      </c>
      <c r="AE2940">
        <v>-11.4917</v>
      </c>
      <c r="AF2940">
        <v>9.6345501655994301</v>
      </c>
      <c r="AG2940">
        <v>-1.1071061331059999</v>
      </c>
      <c r="AH2940">
        <v>14.308343145145701</v>
      </c>
      <c r="AI2940">
        <v>93.672267356229199</v>
      </c>
      <c r="AJ2940">
        <v>56.045571170305401</v>
      </c>
      <c r="AK2940">
        <v>17.285222718919499</v>
      </c>
    </row>
    <row r="2941" spans="1:37" x14ac:dyDescent="0.2">
      <c r="A2941" t="str">
        <f>"20200111154123497"</f>
        <v>20200111154123497</v>
      </c>
      <c r="B2941" t="str">
        <f>"1578728483489038"</f>
        <v>1578728483489038</v>
      </c>
      <c r="C2941" t="s">
        <v>37</v>
      </c>
      <c r="D2941">
        <v>5.2459989999999896</v>
      </c>
      <c r="E2941">
        <v>0.62129799999999902</v>
      </c>
      <c r="F2941" t="s">
        <v>46</v>
      </c>
      <c r="G2941">
        <v>-205.56229999999999</v>
      </c>
      <c r="H2941" s="1">
        <v>-9.0920879999999994E-6</v>
      </c>
      <c r="I2941">
        <v>146.2679</v>
      </c>
      <c r="J2941">
        <v>-192.5796</v>
      </c>
      <c r="K2941">
        <v>1.1070869999999999</v>
      </c>
      <c r="L2941">
        <v>157.65600000000001</v>
      </c>
      <c r="M2941">
        <v>-0.25511479999999997</v>
      </c>
      <c r="N2941">
        <v>0</v>
      </c>
      <c r="O2941">
        <v>-0.96680779999999999</v>
      </c>
      <c r="P2941">
        <v>-0.5148739</v>
      </c>
      <c r="Q2941">
        <v>2.5261349999999998E-2</v>
      </c>
      <c r="R2941">
        <v>-0.85689389999999999</v>
      </c>
      <c r="S2941">
        <v>-2.3642430000000001</v>
      </c>
      <c r="T2941">
        <v>-0.2009339</v>
      </c>
      <c r="U2941">
        <v>-2.0932459999999899</v>
      </c>
      <c r="V2941">
        <v>0.2795414</v>
      </c>
      <c r="W2941">
        <v>3.6320150000000002E-2</v>
      </c>
      <c r="X2941">
        <v>0.95944640000000003</v>
      </c>
      <c r="Y2941">
        <v>0.55313990000000002</v>
      </c>
      <c r="Z2941">
        <v>6.6303420000000002E-2</v>
      </c>
      <c r="AA2941">
        <v>0.83044569999999995</v>
      </c>
      <c r="AB2941">
        <v>19</v>
      </c>
      <c r="AC2941">
        <v>-12.9826999999999</v>
      </c>
      <c r="AD2941">
        <v>-1.107096092088</v>
      </c>
      <c r="AE2941">
        <v>-11.3881</v>
      </c>
      <c r="AF2941">
        <v>9.6079777969068196</v>
      </c>
      <c r="AG2941">
        <v>-1.107096092088</v>
      </c>
      <c r="AH2941">
        <v>14.2649847113371</v>
      </c>
      <c r="AI2941">
        <v>93.683052284506502</v>
      </c>
      <c r="AJ2941">
        <v>56.038322710414</v>
      </c>
      <c r="AK2941">
        <v>17.234520240425901</v>
      </c>
    </row>
    <row r="2942" spans="1:37" x14ac:dyDescent="0.2">
      <c r="A2942" t="str">
        <f>"20200111154123510"</f>
        <v>20200111154123510</v>
      </c>
      <c r="B2942" t="str">
        <f>"1578728483498799"</f>
        <v>1578728483498799</v>
      </c>
      <c r="C2942" t="s">
        <v>37</v>
      </c>
      <c r="D2942">
        <v>5.2390419999999898</v>
      </c>
      <c r="E2942">
        <v>0.62128119999999998</v>
      </c>
      <c r="F2942" t="s">
        <v>46</v>
      </c>
      <c r="G2942">
        <v>-205.64670000000001</v>
      </c>
      <c r="H2942" s="1">
        <v>-9.0438119999999992E-6</v>
      </c>
      <c r="I2942">
        <v>146.2269</v>
      </c>
      <c r="J2942">
        <v>-192.613</v>
      </c>
      <c r="K2942">
        <v>1.1070770000000001</v>
      </c>
      <c r="L2942">
        <v>157.54759999999999</v>
      </c>
      <c r="M2942">
        <v>-0.25894349999999999</v>
      </c>
      <c r="N2942">
        <v>0</v>
      </c>
      <c r="O2942">
        <v>-0.96578969999999897</v>
      </c>
      <c r="P2942">
        <v>-0.51858279999999901</v>
      </c>
      <c r="Q2942">
        <v>2.5314420000000001E-2</v>
      </c>
      <c r="R2942">
        <v>-0.85465290000000005</v>
      </c>
      <c r="S2942">
        <v>-2.37675499999999</v>
      </c>
      <c r="T2942">
        <v>-0.2013684</v>
      </c>
      <c r="U2942">
        <v>-2.078827</v>
      </c>
      <c r="V2942">
        <v>0.27989940000000002</v>
      </c>
      <c r="W2942">
        <v>3.6346839999999998E-2</v>
      </c>
      <c r="X2942">
        <v>0.959341</v>
      </c>
      <c r="Y2942">
        <v>0.5548535</v>
      </c>
      <c r="Z2942">
        <v>6.6476579999999993E-2</v>
      </c>
      <c r="AA2942">
        <v>0.82928789999999997</v>
      </c>
      <c r="AB2942">
        <v>19</v>
      </c>
      <c r="AC2942">
        <v>-13.0337</v>
      </c>
      <c r="AD2942">
        <v>-1.107086043812</v>
      </c>
      <c r="AE2942">
        <v>-11.320699999999899</v>
      </c>
      <c r="AF2942">
        <v>9.6177979976037502</v>
      </c>
      <c r="AG2942">
        <v>-1.107086043812</v>
      </c>
      <c r="AH2942">
        <v>14.251221185861301</v>
      </c>
      <c r="AI2942">
        <v>93.684284127013996</v>
      </c>
      <c r="AJ2942">
        <v>55.985556412533597</v>
      </c>
      <c r="AK2942">
        <v>17.2286094366161</v>
      </c>
    </row>
    <row r="2943" spans="1:37" x14ac:dyDescent="0.2">
      <c r="A2943" t="str">
        <f>"20200111154123524"</f>
        <v>20200111154123524</v>
      </c>
      <c r="B2943" t="str">
        <f>"1578728483519295"</f>
        <v>1578728483519295</v>
      </c>
      <c r="C2943" t="s">
        <v>37</v>
      </c>
      <c r="D2943">
        <v>5.2162110000000004</v>
      </c>
      <c r="E2943">
        <v>0.62114440000000004</v>
      </c>
      <c r="F2943" t="s">
        <v>46</v>
      </c>
      <c r="G2943">
        <v>-205.7002</v>
      </c>
      <c r="H2943" s="1">
        <v>-9.0124829999999905E-6</v>
      </c>
      <c r="I2943">
        <v>146.19810000000001</v>
      </c>
      <c r="J2943">
        <v>-192.64769999999999</v>
      </c>
      <c r="K2943">
        <v>1.1070709999999999</v>
      </c>
      <c r="L2943">
        <v>157.4358</v>
      </c>
      <c r="M2943">
        <v>-0.26290000000000002</v>
      </c>
      <c r="N2943">
        <v>0</v>
      </c>
      <c r="O2943">
        <v>-0.96472039999999903</v>
      </c>
      <c r="P2943">
        <v>-0.52245229999999998</v>
      </c>
      <c r="Q2943">
        <v>2.5616770000000001E-2</v>
      </c>
      <c r="R2943">
        <v>-0.85228379999999904</v>
      </c>
      <c r="S2943">
        <v>-2.3854829999999998</v>
      </c>
      <c r="T2943">
        <v>-0.20179469999999999</v>
      </c>
      <c r="U2943">
        <v>-2.0687410000000002</v>
      </c>
      <c r="V2943">
        <v>0.28032209999999902</v>
      </c>
      <c r="W2943">
        <v>3.6622740000000001E-2</v>
      </c>
      <c r="X2943">
        <v>0.95920709999999998</v>
      </c>
      <c r="Y2943">
        <v>0.55494239999999995</v>
      </c>
      <c r="Z2943">
        <v>6.6627190000000003E-2</v>
      </c>
      <c r="AA2943">
        <v>0.82921639999999996</v>
      </c>
      <c r="AB2943">
        <v>19</v>
      </c>
      <c r="AC2943">
        <v>-13.0525</v>
      </c>
      <c r="AD2943">
        <v>-1.10708001248299</v>
      </c>
      <c r="AE2943">
        <v>-11.237699999999901</v>
      </c>
      <c r="AF2943">
        <v>9.5989186481150099</v>
      </c>
      <c r="AG2943">
        <v>-1.10708001248299</v>
      </c>
      <c r="AH2943">
        <v>14.215423799842499</v>
      </c>
      <c r="AI2943">
        <v>93.692881902128406</v>
      </c>
      <c r="AJ2943">
        <v>55.970938839085797</v>
      </c>
      <c r="AK2943">
        <v>17.188459476529498</v>
      </c>
    </row>
    <row r="2944" spans="1:37" x14ac:dyDescent="0.2">
      <c r="A2944" t="str">
        <f>"20200111154123540"</f>
        <v>20200111154123540</v>
      </c>
      <c r="B2944" t="str">
        <f>"1578728483529054"</f>
        <v>1578728483529054</v>
      </c>
      <c r="C2944" t="s">
        <v>37</v>
      </c>
      <c r="D2944">
        <v>5.2122859999999998</v>
      </c>
      <c r="E2944">
        <v>0.62108419999999998</v>
      </c>
      <c r="F2944" t="s">
        <v>46</v>
      </c>
      <c r="G2944">
        <v>-205.76490000000001</v>
      </c>
      <c r="H2944" s="1">
        <v>-8.9730379999999992E-6</v>
      </c>
      <c r="I2944">
        <v>146.1574</v>
      </c>
      <c r="J2944">
        <v>-192.6934</v>
      </c>
      <c r="K2944">
        <v>1.107067</v>
      </c>
      <c r="L2944">
        <v>157.29159999999999</v>
      </c>
      <c r="M2944">
        <v>-0.26803399999999999</v>
      </c>
      <c r="N2944">
        <v>0</v>
      </c>
      <c r="O2944">
        <v>-0.96330680000000002</v>
      </c>
      <c r="P2944">
        <v>-0.52775660000000002</v>
      </c>
      <c r="Q2944">
        <v>2.5586999999999999E-2</v>
      </c>
      <c r="R2944">
        <v>-0.84901019999999905</v>
      </c>
      <c r="S2944">
        <v>-2.3940730000000001</v>
      </c>
      <c r="T2944">
        <v>-0.202057399999999</v>
      </c>
      <c r="U2944">
        <v>-2.0584720000000001</v>
      </c>
      <c r="V2944">
        <v>0.28119499999999997</v>
      </c>
      <c r="W2944">
        <v>3.6557939999999997E-2</v>
      </c>
      <c r="X2944">
        <v>0.95895409999999903</v>
      </c>
      <c r="Y2944">
        <v>0.5540273</v>
      </c>
      <c r="Z2944">
        <v>6.6717090000000007E-2</v>
      </c>
      <c r="AA2944">
        <v>0.82982089999999997</v>
      </c>
      <c r="AB2944">
        <v>19</v>
      </c>
      <c r="AC2944">
        <v>-13.0715</v>
      </c>
      <c r="AD2944">
        <v>-1.107075973038</v>
      </c>
      <c r="AE2944">
        <v>-11.1341999999999</v>
      </c>
      <c r="AF2944">
        <v>9.5686941804068599</v>
      </c>
      <c r="AG2944">
        <v>-1.107075973038</v>
      </c>
      <c r="AH2944">
        <v>14.171752870482599</v>
      </c>
      <c r="AI2944">
        <v>93.704305529457699</v>
      </c>
      <c r="AJ2944">
        <v>55.9729821250356</v>
      </c>
      <c r="AK2944">
        <v>17.135463371332001</v>
      </c>
    </row>
    <row r="2945" spans="1:37" x14ac:dyDescent="0.2">
      <c r="A2945" t="str">
        <f>"20200111154123554"</f>
        <v>20200111154123554</v>
      </c>
      <c r="B2945" t="str">
        <f>"1578728483549551"</f>
        <v>1578728483549551</v>
      </c>
      <c r="C2945" t="s">
        <v>37</v>
      </c>
      <c r="D2945">
        <v>5.2387309999999996</v>
      </c>
      <c r="E2945">
        <v>0.62094879999999997</v>
      </c>
      <c r="F2945" t="s">
        <v>46</v>
      </c>
      <c r="G2945">
        <v>-205.85040000000001</v>
      </c>
      <c r="H2945" s="1">
        <v>-8.9242909999999905E-6</v>
      </c>
      <c r="I2945">
        <v>146.1163</v>
      </c>
      <c r="J2945">
        <v>-192.7277</v>
      </c>
      <c r="K2945">
        <v>1.107064</v>
      </c>
      <c r="L2945">
        <v>157.18559999999999</v>
      </c>
      <c r="M2945">
        <v>-0.27182099999999998</v>
      </c>
      <c r="N2945">
        <v>0</v>
      </c>
      <c r="O2945">
        <v>-0.96224519999999902</v>
      </c>
      <c r="P2945">
        <v>-0.53131790000000001</v>
      </c>
      <c r="Q2945">
        <v>2.57468E-2</v>
      </c>
      <c r="R2945">
        <v>-0.84678149999999996</v>
      </c>
      <c r="S2945">
        <v>-2.4062809999999999</v>
      </c>
      <c r="T2945">
        <v>-0.2024735</v>
      </c>
      <c r="U2945">
        <v>-2.0438540000000001</v>
      </c>
      <c r="V2945">
        <v>0.28145340000000002</v>
      </c>
      <c r="W2945">
        <v>3.6700410000000003E-2</v>
      </c>
      <c r="X2945">
        <v>0.95887279999999997</v>
      </c>
      <c r="Y2945">
        <v>0.55575169999999996</v>
      </c>
      <c r="Z2945">
        <v>6.6883890000000001E-2</v>
      </c>
      <c r="AA2945">
        <v>0.82865349999999904</v>
      </c>
      <c r="AB2945">
        <v>19</v>
      </c>
      <c r="AC2945">
        <v>-13.1227</v>
      </c>
      <c r="AD2945">
        <v>-1.107072924291</v>
      </c>
      <c r="AE2945">
        <v>-11.069299999999901</v>
      </c>
      <c r="AF2945">
        <v>9.5795019972489399</v>
      </c>
      <c r="AG2945">
        <v>-1.107072924291</v>
      </c>
      <c r="AH2945">
        <v>14.1609245309218</v>
      </c>
      <c r="AI2945">
        <v>93.704926211904095</v>
      </c>
      <c r="AJ2945">
        <v>55.922657464056996</v>
      </c>
      <c r="AK2945">
        <v>17.132549505122</v>
      </c>
    </row>
    <row r="2946" spans="1:37" x14ac:dyDescent="0.2">
      <c r="A2946" t="str">
        <f>"20200111154123568"</f>
        <v>20200111154123568</v>
      </c>
      <c r="B2946" t="str">
        <f>"1578728483559310"</f>
        <v>1578728483559310</v>
      </c>
      <c r="C2946" t="s">
        <v>37</v>
      </c>
      <c r="D2946">
        <v>5.2307990000000002</v>
      </c>
      <c r="E2946">
        <v>0.62084810000000001</v>
      </c>
      <c r="F2946" t="s">
        <v>46</v>
      </c>
      <c r="G2946">
        <v>-205.9597</v>
      </c>
      <c r="H2946" s="1">
        <v>-8.8545729999999994E-6</v>
      </c>
      <c r="I2946">
        <v>146.03579999999999</v>
      </c>
      <c r="J2946">
        <v>-192.7664</v>
      </c>
      <c r="K2946">
        <v>1.107062</v>
      </c>
      <c r="L2946">
        <v>157.06710000000001</v>
      </c>
      <c r="M2946">
        <v>-0.27606579999999997</v>
      </c>
      <c r="N2946">
        <v>0</v>
      </c>
      <c r="O2946">
        <v>-0.96103629999999995</v>
      </c>
      <c r="P2946">
        <v>-0.53539329999999996</v>
      </c>
      <c r="Q2946">
        <v>2.5716800000000001E-2</v>
      </c>
      <c r="R2946">
        <v>-0.8442115</v>
      </c>
      <c r="S2946">
        <v>-2.4141080000000001</v>
      </c>
      <c r="T2946">
        <v>-0.2019793</v>
      </c>
      <c r="U2946">
        <v>-2.0342250000000002</v>
      </c>
      <c r="V2946">
        <v>0.28184229999999999</v>
      </c>
      <c r="W2946">
        <v>3.6650380000000003E-2</v>
      </c>
      <c r="X2946">
        <v>0.95876049999999902</v>
      </c>
      <c r="Y2946">
        <v>0.55535019999999902</v>
      </c>
      <c r="Z2946">
        <v>6.6727060000000005E-2</v>
      </c>
      <c r="AA2946">
        <v>0.82893530000000004</v>
      </c>
      <c r="AB2946">
        <v>19</v>
      </c>
      <c r="AC2946">
        <v>-13.193299999999899</v>
      </c>
      <c r="AD2946">
        <v>-1.1070708545729999</v>
      </c>
      <c r="AE2946">
        <v>-11.0313</v>
      </c>
      <c r="AF2946">
        <v>9.5950620243724902</v>
      </c>
      <c r="AG2946">
        <v>-1.1070708545729999</v>
      </c>
      <c r="AH2946">
        <v>14.1863127920011</v>
      </c>
      <c r="AI2946">
        <v>93.698502074184304</v>
      </c>
      <c r="AJ2946">
        <v>55.927131145932997</v>
      </c>
      <c r="AK2946">
        <v>17.162234462944902</v>
      </c>
    </row>
    <row r="2947" spans="1:37" x14ac:dyDescent="0.2">
      <c r="A2947" t="str">
        <f>"20200111154123580"</f>
        <v>20200111154123580</v>
      </c>
      <c r="B2947" t="str">
        <f>"1578728483569071"</f>
        <v>1578728483569071</v>
      </c>
      <c r="C2947" t="s">
        <v>37</v>
      </c>
      <c r="D2947">
        <v>5.2361599999999999</v>
      </c>
      <c r="E2947">
        <v>0.62075170000000002</v>
      </c>
      <c r="F2947" t="s">
        <v>46</v>
      </c>
      <c r="G2947">
        <v>-206.02420000000001</v>
      </c>
      <c r="H2947" s="1">
        <v>-8.8159270000000003E-6</v>
      </c>
      <c r="I2947">
        <v>145.99780000000001</v>
      </c>
      <c r="J2947">
        <v>-192.80250000000001</v>
      </c>
      <c r="K2947">
        <v>1.1070679999999999</v>
      </c>
      <c r="L2947">
        <v>156.9581</v>
      </c>
      <c r="M2947">
        <v>-0.27997739999999999</v>
      </c>
      <c r="N2947">
        <v>0</v>
      </c>
      <c r="O2947">
        <v>-0.95990429999999904</v>
      </c>
      <c r="P2947">
        <v>-0.53940239999999995</v>
      </c>
      <c r="Q2947">
        <v>2.5954979999999999E-2</v>
      </c>
      <c r="R2947">
        <v>-0.84164830000000002</v>
      </c>
      <c r="S2947">
        <v>-2.4230649999999998</v>
      </c>
      <c r="T2947">
        <v>-0.2023345</v>
      </c>
      <c r="U2947">
        <v>-2.0230869999999999</v>
      </c>
      <c r="V2947">
        <v>0.28250189999999997</v>
      </c>
      <c r="W2947">
        <v>3.6868159999999997E-2</v>
      </c>
      <c r="X2947">
        <v>0.95855800000000002</v>
      </c>
      <c r="Y2947">
        <v>0.55571269999999995</v>
      </c>
      <c r="Z2947">
        <v>6.6858219999999996E-2</v>
      </c>
      <c r="AA2947">
        <v>0.82868169999999897</v>
      </c>
      <c r="AB2947">
        <v>19</v>
      </c>
      <c r="AC2947">
        <v>-13.221699999999901</v>
      </c>
      <c r="AD2947">
        <v>-1.1070768159269999</v>
      </c>
      <c r="AE2947">
        <v>-10.960299999999901</v>
      </c>
      <c r="AF2947">
        <v>9.5840492729928499</v>
      </c>
      <c r="AG2947">
        <v>-1.1070768159269999</v>
      </c>
      <c r="AH2947">
        <v>14.165150306027099</v>
      </c>
      <c r="AI2947">
        <v>93.703632664367902</v>
      </c>
      <c r="AJ2947">
        <v>55.917971782212597</v>
      </c>
      <c r="AK2947">
        <v>17.138585202281401</v>
      </c>
    </row>
    <row r="2948" spans="1:37" x14ac:dyDescent="0.2">
      <c r="A2948" t="str">
        <f>"20200111154123599"</f>
        <v>20200111154123599</v>
      </c>
      <c r="B2948" t="str">
        <f>"1578728483588590"</f>
        <v>1578728483588590</v>
      </c>
      <c r="C2948" t="s">
        <v>37</v>
      </c>
      <c r="D2948">
        <v>5.2330050000000004</v>
      </c>
      <c r="E2948">
        <v>0.62063800000000002</v>
      </c>
      <c r="F2948" t="s">
        <v>46</v>
      </c>
      <c r="G2948">
        <v>-206.1437</v>
      </c>
      <c r="H2948" s="1">
        <v>-8.7431340000000007E-6</v>
      </c>
      <c r="I2948">
        <v>145.92269999999999</v>
      </c>
      <c r="J2948">
        <v>-192.8527</v>
      </c>
      <c r="K2948">
        <v>1.107067</v>
      </c>
      <c r="L2948">
        <v>156.80930000000001</v>
      </c>
      <c r="M2948">
        <v>-0.28533579999999997</v>
      </c>
      <c r="N2948">
        <v>0</v>
      </c>
      <c r="O2948">
        <v>-0.95832519999999999</v>
      </c>
      <c r="P2948">
        <v>-0.54428049999999994</v>
      </c>
      <c r="Q2948">
        <v>2.6031180000000001E-2</v>
      </c>
      <c r="R2948">
        <v>-0.8384992</v>
      </c>
      <c r="S2948">
        <v>-2.4322509999999999</v>
      </c>
      <c r="T2948">
        <v>-0.20183299999999901</v>
      </c>
      <c r="U2948">
        <v>-2.01187099999999</v>
      </c>
      <c r="V2948">
        <v>0.28271390000000002</v>
      </c>
      <c r="W2948">
        <v>3.6928179999999998E-2</v>
      </c>
      <c r="X2948">
        <v>0.95849319999999905</v>
      </c>
      <c r="Y2948">
        <v>0.55488680000000001</v>
      </c>
      <c r="Z2948">
        <v>6.668876E-2</v>
      </c>
      <c r="AA2948">
        <v>0.829248599999999</v>
      </c>
      <c r="AB2948">
        <v>19</v>
      </c>
      <c r="AC2948">
        <v>-13.290999999999899</v>
      </c>
      <c r="AD2948">
        <v>-1.1070757431339999</v>
      </c>
      <c r="AE2948">
        <v>-10.8866</v>
      </c>
      <c r="AF2948">
        <v>9.5918809121821695</v>
      </c>
      <c r="AG2948">
        <v>-1.1070757431339999</v>
      </c>
      <c r="AH2948">
        <v>14.167868959932299</v>
      </c>
      <c r="AI2948">
        <v>93.7021955057307</v>
      </c>
      <c r="AJ2948">
        <v>55.901351873600497</v>
      </c>
      <c r="AK2948">
        <v>17.145212363815599</v>
      </c>
    </row>
    <row r="2949" spans="1:37" x14ac:dyDescent="0.2">
      <c r="A2949" t="str">
        <f>"20200111154123613"</f>
        <v>20200111154123613</v>
      </c>
      <c r="B2949" t="str">
        <f>"1578728483609087"</f>
        <v>1578728483609087</v>
      </c>
      <c r="C2949" t="s">
        <v>37</v>
      </c>
      <c r="D2949">
        <v>5.208717</v>
      </c>
      <c r="E2949">
        <v>0.62050509999999903</v>
      </c>
      <c r="F2949" t="s">
        <v>46</v>
      </c>
      <c r="G2949">
        <v>-206.2003</v>
      </c>
      <c r="H2949" s="1">
        <v>-8.7100089999999992E-6</v>
      </c>
      <c r="I2949">
        <v>145.89240000000001</v>
      </c>
      <c r="J2949">
        <v>-192.89240000000001</v>
      </c>
      <c r="K2949">
        <v>1.1070690000000001</v>
      </c>
      <c r="L2949">
        <v>156.69380000000001</v>
      </c>
      <c r="M2949">
        <v>-0.28950700000000001</v>
      </c>
      <c r="N2949">
        <v>0</v>
      </c>
      <c r="O2949">
        <v>-0.95707359999999897</v>
      </c>
      <c r="P2949">
        <v>-0.54791089999999998</v>
      </c>
      <c r="Q2949">
        <v>2.613789E-2</v>
      </c>
      <c r="R2949">
        <v>-0.83612849999999905</v>
      </c>
      <c r="S2949">
        <v>-2.4431759999999998</v>
      </c>
      <c r="T2949">
        <v>-0.20264179999999901</v>
      </c>
      <c r="U2949">
        <v>-1.998245</v>
      </c>
      <c r="V2949">
        <v>0.28269670000000002</v>
      </c>
      <c r="W2949">
        <v>3.7024920000000003E-2</v>
      </c>
      <c r="X2949">
        <v>0.95849449999999903</v>
      </c>
      <c r="Y2949">
        <v>0.55584</v>
      </c>
      <c r="Z2949">
        <v>6.6972340000000005E-2</v>
      </c>
      <c r="AA2949">
        <v>0.82858709999999902</v>
      </c>
      <c r="AB2949">
        <v>19</v>
      </c>
      <c r="AC2949">
        <v>-13.307899999999901</v>
      </c>
      <c r="AD2949">
        <v>-1.1070777100089999</v>
      </c>
      <c r="AE2949">
        <v>-10.801399999999999</v>
      </c>
      <c r="AF2949">
        <v>9.5705710939855795</v>
      </c>
      <c r="AG2949">
        <v>-1.1070777100089999</v>
      </c>
      <c r="AH2949">
        <v>14.1328916472001</v>
      </c>
      <c r="AI2949">
        <v>93.711050852790095</v>
      </c>
      <c r="AJ2949">
        <v>55.894762909593901</v>
      </c>
      <c r="AK2949">
        <v>17.1043876953409</v>
      </c>
    </row>
    <row r="2950" spans="1:37" x14ac:dyDescent="0.2">
      <c r="A2950" t="str">
        <f>"20200111154123631"</f>
        <v>20200111154123631</v>
      </c>
      <c r="B2950" t="str">
        <f>"1578728483628606"</f>
        <v>1578728483628606</v>
      </c>
      <c r="C2950" t="s">
        <v>37</v>
      </c>
      <c r="D2950">
        <v>5.2296100000000001</v>
      </c>
      <c r="E2950">
        <v>0.620345699999999</v>
      </c>
      <c r="F2950" t="s">
        <v>46</v>
      </c>
      <c r="G2950">
        <v>-206.2002</v>
      </c>
      <c r="H2950" s="1">
        <v>-8.7118149999999995E-6</v>
      </c>
      <c r="I2950">
        <v>145.899</v>
      </c>
      <c r="J2950">
        <v>-192.9444</v>
      </c>
      <c r="K2950">
        <v>1.1070690000000001</v>
      </c>
      <c r="L2950">
        <v>156.5446</v>
      </c>
      <c r="M2950">
        <v>-0.29490739999999999</v>
      </c>
      <c r="N2950">
        <v>0</v>
      </c>
      <c r="O2950">
        <v>-0.95542349999999998</v>
      </c>
      <c r="P2950">
        <v>-0.55294189999999999</v>
      </c>
      <c r="Q2950">
        <v>2.6048450000000001E-2</v>
      </c>
      <c r="R2950">
        <v>-0.83281269999999996</v>
      </c>
      <c r="S2950">
        <v>-2.45105</v>
      </c>
      <c r="T2950">
        <v>-0.203904</v>
      </c>
      <c r="U2950">
        <v>-1.988205</v>
      </c>
      <c r="V2950">
        <v>0.2830607</v>
      </c>
      <c r="W2950">
        <v>3.6918659999999999E-2</v>
      </c>
      <c r="X2950">
        <v>0.9583912</v>
      </c>
      <c r="Y2950">
        <v>0.55447690000000005</v>
      </c>
      <c r="Z2950">
        <v>6.7375649999999995E-2</v>
      </c>
      <c r="AA2950">
        <v>0.82946719999999896</v>
      </c>
      <c r="AB2950">
        <v>19</v>
      </c>
      <c r="AC2950">
        <v>-13.255799999999899</v>
      </c>
      <c r="AD2950">
        <v>-1.1070777118149999</v>
      </c>
      <c r="AE2950">
        <v>-10.6456</v>
      </c>
      <c r="AF2950">
        <v>9.4861445984319595</v>
      </c>
      <c r="AG2950">
        <v>-1.1070777118149999</v>
      </c>
      <c r="AH2950">
        <v>14.0222093355273</v>
      </c>
      <c r="AI2950">
        <v>93.741430606761995</v>
      </c>
      <c r="AJ2950">
        <v>55.921312285581202</v>
      </c>
      <c r="AK2950">
        <v>16.965698189337999</v>
      </c>
    </row>
    <row r="2951" spans="1:37" x14ac:dyDescent="0.2">
      <c r="A2951" t="str">
        <f>"20200111154123646"</f>
        <v>20200111154123646</v>
      </c>
      <c r="B2951" t="str">
        <f>"1578728483639343"</f>
        <v>1578728483639343</v>
      </c>
      <c r="C2951" t="s">
        <v>37</v>
      </c>
      <c r="D2951">
        <v>5.1948309999999998</v>
      </c>
      <c r="E2951">
        <v>0.62029109999999998</v>
      </c>
      <c r="F2951" t="s">
        <v>46</v>
      </c>
      <c r="G2951">
        <v>-206.25200000000001</v>
      </c>
      <c r="H2951" s="1">
        <v>-8.6824890000000002E-6</v>
      </c>
      <c r="I2951">
        <v>145.8749</v>
      </c>
      <c r="J2951">
        <v>-192.98830000000001</v>
      </c>
      <c r="K2951">
        <v>1.107057</v>
      </c>
      <c r="L2951">
        <v>156.42070000000001</v>
      </c>
      <c r="M2951">
        <v>-0.29940319999999998</v>
      </c>
      <c r="N2951">
        <v>0</v>
      </c>
      <c r="O2951">
        <v>-0.95402450000000005</v>
      </c>
      <c r="P2951">
        <v>-0.55697249999999998</v>
      </c>
      <c r="Q2951">
        <v>2.6073679999999998E-2</v>
      </c>
      <c r="R2951">
        <v>-0.83012160000000002</v>
      </c>
      <c r="S2951">
        <v>-2.4620359999999999</v>
      </c>
      <c r="T2951">
        <v>-0.204820899999999</v>
      </c>
      <c r="U2951">
        <v>-1.9739990000000001</v>
      </c>
      <c r="V2951">
        <v>0.2831941</v>
      </c>
      <c r="W2951">
        <v>3.6932479999999997E-2</v>
      </c>
      <c r="X2951">
        <v>0.95835130000000002</v>
      </c>
      <c r="Y2951">
        <v>0.55526390000000003</v>
      </c>
      <c r="Z2951">
        <v>6.7693180000000006E-2</v>
      </c>
      <c r="AA2951">
        <v>0.82891479999999995</v>
      </c>
      <c r="AB2951">
        <v>19</v>
      </c>
      <c r="AC2951">
        <v>-13.2637</v>
      </c>
      <c r="AD2951">
        <v>-1.1070656824889999</v>
      </c>
      <c r="AE2951">
        <v>-10.5458</v>
      </c>
      <c r="AF2951">
        <v>9.4570091939660195</v>
      </c>
      <c r="AG2951">
        <v>-1.1070656824889999</v>
      </c>
      <c r="AH2951">
        <v>13.9738694824556</v>
      </c>
      <c r="AI2951">
        <v>93.753852232434895</v>
      </c>
      <c r="AJ2951">
        <v>55.911280217680101</v>
      </c>
      <c r="AK2951">
        <v>16.909454326879001</v>
      </c>
    </row>
    <row r="2952" spans="1:37" x14ac:dyDescent="0.2">
      <c r="A2952" t="str">
        <f>"20200111154123663"</f>
        <v>20200111154123663</v>
      </c>
      <c r="B2952" t="str">
        <f>"1578728483658863"</f>
        <v>1578728483658863</v>
      </c>
      <c r="C2952" t="s">
        <v>37</v>
      </c>
      <c r="D2952">
        <v>5.197425</v>
      </c>
      <c r="E2952">
        <v>0.62014159999999996</v>
      </c>
      <c r="F2952" t="s">
        <v>46</v>
      </c>
      <c r="G2952">
        <v>-206.30199999999999</v>
      </c>
      <c r="H2952" s="1">
        <v>-8.6535199999999906E-6</v>
      </c>
      <c r="I2952">
        <v>145.8492</v>
      </c>
      <c r="J2952">
        <v>-193.03970000000001</v>
      </c>
      <c r="K2952">
        <v>1.1070489999999999</v>
      </c>
      <c r="L2952">
        <v>156.27799999999999</v>
      </c>
      <c r="M2952">
        <v>-0.3046024</v>
      </c>
      <c r="N2952">
        <v>0</v>
      </c>
      <c r="O2952">
        <v>-0.95237729999999998</v>
      </c>
      <c r="P2952">
        <v>-0.56205899999999998</v>
      </c>
      <c r="Q2952">
        <v>2.5932070000000002E-2</v>
      </c>
      <c r="R2952">
        <v>-0.82669059999999905</v>
      </c>
      <c r="S2952">
        <v>-2.4712679999999998</v>
      </c>
      <c r="T2952">
        <v>-0.20549120000000001</v>
      </c>
      <c r="U2952">
        <v>-1.9622649999999999</v>
      </c>
      <c r="V2952">
        <v>0.28384879999999901</v>
      </c>
      <c r="W2952">
        <v>3.6770940000000002E-2</v>
      </c>
      <c r="X2952">
        <v>0.95816369999999895</v>
      </c>
      <c r="Y2952">
        <v>0.55464230000000003</v>
      </c>
      <c r="Z2952">
        <v>6.79038E-2</v>
      </c>
      <c r="AA2952">
        <v>0.82931359999999998</v>
      </c>
      <c r="AB2952">
        <v>19</v>
      </c>
      <c r="AC2952">
        <v>-13.2623</v>
      </c>
      <c r="AD2952">
        <v>-1.1070576535200001</v>
      </c>
      <c r="AE2952">
        <v>-10.428799999999899</v>
      </c>
      <c r="AF2952">
        <v>9.4144624671854498</v>
      </c>
      <c r="AG2952">
        <v>-1.1070576535200001</v>
      </c>
      <c r="AH2952">
        <v>13.9133372685534</v>
      </c>
      <c r="AI2952">
        <v>93.770307949507298</v>
      </c>
      <c r="AJ2952">
        <v>55.915745073958099</v>
      </c>
      <c r="AK2952">
        <v>16.835635840168798</v>
      </c>
    </row>
    <row r="2953" spans="1:37" x14ac:dyDescent="0.2">
      <c r="A2953" t="str">
        <f>"20200111154123687"</f>
        <v>20200111154123687</v>
      </c>
      <c r="B2953" t="str">
        <f>"1578728483679083"</f>
        <v>1578728483679083</v>
      </c>
      <c r="C2953" t="s">
        <v>37</v>
      </c>
      <c r="D2953">
        <v>5.2062119999999998</v>
      </c>
      <c r="E2953">
        <v>0.61997190000000002</v>
      </c>
      <c r="F2953" t="s">
        <v>46</v>
      </c>
      <c r="G2953">
        <v>-206.25970000000001</v>
      </c>
      <c r="H2953" s="1">
        <v>-8.6867389999999994E-6</v>
      </c>
      <c r="I2953">
        <v>145.9041</v>
      </c>
      <c r="J2953">
        <v>-193.1122</v>
      </c>
      <c r="K2953">
        <v>1.107029</v>
      </c>
      <c r="L2953">
        <v>156.08099999999999</v>
      </c>
      <c r="M2953">
        <v>-0.31181129999999901</v>
      </c>
      <c r="N2953">
        <v>0</v>
      </c>
      <c r="O2953">
        <v>-0.95004219999999895</v>
      </c>
      <c r="P2953">
        <v>-0.56977019999999901</v>
      </c>
      <c r="Q2953">
        <v>2.5493519999999999E-2</v>
      </c>
      <c r="R2953">
        <v>-0.82140899999999994</v>
      </c>
      <c r="S2953">
        <v>-2.482208</v>
      </c>
      <c r="T2953">
        <v>-0.2078623</v>
      </c>
      <c r="U2953">
        <v>-1.9478150000000001</v>
      </c>
      <c r="V2953">
        <v>0.28554590000000002</v>
      </c>
      <c r="W2953">
        <v>3.628203E-2</v>
      </c>
      <c r="X2953">
        <v>0.95767800000000003</v>
      </c>
      <c r="Y2953">
        <v>0.5530621</v>
      </c>
      <c r="Z2953">
        <v>6.86615E-2</v>
      </c>
      <c r="AA2953">
        <v>0.83030590000000004</v>
      </c>
      <c r="AB2953">
        <v>19</v>
      </c>
      <c r="AC2953">
        <v>-13.147500000000001</v>
      </c>
      <c r="AD2953">
        <v>-1.1070376867389999</v>
      </c>
      <c r="AE2953">
        <v>-10.1769</v>
      </c>
      <c r="AF2953">
        <v>9.2771788517801692</v>
      </c>
      <c r="AG2953">
        <v>-1.1070376867389999</v>
      </c>
      <c r="AH2953">
        <v>13.708579133871901</v>
      </c>
      <c r="AI2953">
        <v>93.8262247259254</v>
      </c>
      <c r="AJ2953">
        <v>55.912115656934802</v>
      </c>
      <c r="AK2953">
        <v>16.589657071724101</v>
      </c>
    </row>
    <row r="2954" spans="1:37" x14ac:dyDescent="0.2">
      <c r="A2954" t="str">
        <f>"20200111154123699"</f>
        <v>20200111154123699</v>
      </c>
      <c r="B2954" t="str">
        <f>"1578728483688844"</f>
        <v>1578728483688844</v>
      </c>
      <c r="C2954" t="s">
        <v>37</v>
      </c>
      <c r="D2954">
        <v>5.1980979999999999</v>
      </c>
      <c r="E2954">
        <v>0.61991169999999995</v>
      </c>
      <c r="F2954" t="s">
        <v>46</v>
      </c>
      <c r="G2954">
        <v>-206.22389999999999</v>
      </c>
      <c r="H2954" s="1">
        <v>-8.7223419999999994E-6</v>
      </c>
      <c r="I2954">
        <v>145.9787</v>
      </c>
      <c r="J2954">
        <v>-193.15029999999999</v>
      </c>
      <c r="K2954">
        <v>1.1070139999999999</v>
      </c>
      <c r="L2954">
        <v>155.97919999999999</v>
      </c>
      <c r="M2954">
        <v>-0.31555359999999899</v>
      </c>
      <c r="N2954">
        <v>0</v>
      </c>
      <c r="O2954">
        <v>-0.94880569999999897</v>
      </c>
      <c r="P2954">
        <v>-0.57388450000000002</v>
      </c>
      <c r="Q2954">
        <v>2.5423100000000001E-2</v>
      </c>
      <c r="R2954">
        <v>-0.81854159999999998</v>
      </c>
      <c r="S2954">
        <v>-2.4989779999999899</v>
      </c>
      <c r="T2954">
        <v>-0.21099290000000001</v>
      </c>
      <c r="U2954">
        <v>-1.92543</v>
      </c>
      <c r="V2954">
        <v>0.28657589999999999</v>
      </c>
      <c r="W2954">
        <v>3.6172429999999998E-2</v>
      </c>
      <c r="X2954">
        <v>0.95737450000000002</v>
      </c>
      <c r="Y2954">
        <v>0.55707410000000002</v>
      </c>
      <c r="Z2954">
        <v>6.9751450000000007E-2</v>
      </c>
      <c r="AA2954">
        <v>0.82752839999999905</v>
      </c>
      <c r="AB2954">
        <v>19</v>
      </c>
      <c r="AC2954">
        <v>-13.073600000000001</v>
      </c>
      <c r="AD2954">
        <v>-1.1070227223419999</v>
      </c>
      <c r="AE2954">
        <v>-10.000499999999899</v>
      </c>
      <c r="AF2954">
        <v>9.2078580273977</v>
      </c>
      <c r="AG2954">
        <v>-1.1070227223419999</v>
      </c>
      <c r="AH2954">
        <v>13.5539624978943</v>
      </c>
      <c r="AI2954">
        <v>93.865022078358507</v>
      </c>
      <c r="AJ2954">
        <v>55.809848443032202</v>
      </c>
      <c r="AK2954">
        <v>16.423155852479098</v>
      </c>
    </row>
    <row r="2955" spans="1:37" x14ac:dyDescent="0.2">
      <c r="A2955" t="str">
        <f>"20200111154123712"</f>
        <v>20200111154123712</v>
      </c>
      <c r="B2955" t="str">
        <f>"1578728483709340"</f>
        <v>1578728483709340</v>
      </c>
      <c r="C2955" t="s">
        <v>37</v>
      </c>
      <c r="D2955">
        <v>5.1926680000000003</v>
      </c>
      <c r="E2955">
        <v>0.61979419999999996</v>
      </c>
      <c r="F2955" t="s">
        <v>46</v>
      </c>
      <c r="G2955">
        <v>-206.23920000000001</v>
      </c>
      <c r="H2955" s="1">
        <v>-8.7199540000000004E-6</v>
      </c>
      <c r="I2955">
        <v>145.99549999999999</v>
      </c>
      <c r="J2955">
        <v>-193.18690000000001</v>
      </c>
      <c r="K2955">
        <v>1.107002</v>
      </c>
      <c r="L2955">
        <v>155.88319999999999</v>
      </c>
      <c r="M2955">
        <v>-0.31910549999999999</v>
      </c>
      <c r="N2955">
        <v>0</v>
      </c>
      <c r="O2955">
        <v>-0.94761770000000001</v>
      </c>
      <c r="P2955">
        <v>-0.57808419999999905</v>
      </c>
      <c r="Q2955">
        <v>2.527838E-2</v>
      </c>
      <c r="R2955">
        <v>-0.81558560000000002</v>
      </c>
      <c r="S2955">
        <v>-2.5081630000000001</v>
      </c>
      <c r="T2955">
        <v>-0.21213370000000001</v>
      </c>
      <c r="U2955">
        <v>-1.9131469999999999</v>
      </c>
      <c r="V2955">
        <v>0.28790840000000001</v>
      </c>
      <c r="W2955">
        <v>3.5969910000000001E-2</v>
      </c>
      <c r="X2955">
        <v>0.95698220000000001</v>
      </c>
      <c r="Y2955">
        <v>0.55796769999999996</v>
      </c>
      <c r="Z2955">
        <v>7.0136899999999905E-2</v>
      </c>
      <c r="AA2955">
        <v>0.8268934</v>
      </c>
      <c r="AB2955">
        <v>19</v>
      </c>
      <c r="AC2955">
        <v>-13.052300000000001</v>
      </c>
      <c r="AD2955">
        <v>-1.107010719954</v>
      </c>
      <c r="AE2955">
        <v>-9.8876999999999899</v>
      </c>
      <c r="AF2955">
        <v>9.1723356246096195</v>
      </c>
      <c r="AG2955">
        <v>-1.107010719954</v>
      </c>
      <c r="AH2955">
        <v>13.4745375207631</v>
      </c>
      <c r="AI2955">
        <v>93.885227691696997</v>
      </c>
      <c r="AJ2955">
        <v>55.756248037430097</v>
      </c>
      <c r="AK2955">
        <v>16.337697969512998</v>
      </c>
    </row>
    <row r="2956" spans="1:37" x14ac:dyDescent="0.2">
      <c r="A2956" t="str">
        <f>"20200111154123730"</f>
        <v>20200111154123730</v>
      </c>
      <c r="B2956" t="str">
        <f>"1578728483719100"</f>
        <v>1578728483719100</v>
      </c>
      <c r="C2956" t="s">
        <v>37</v>
      </c>
      <c r="D2956">
        <v>5.1881709999999996</v>
      </c>
      <c r="E2956">
        <v>0.61973639999999997</v>
      </c>
      <c r="F2956" t="s">
        <v>46</v>
      </c>
      <c r="G2956">
        <v>-206.18510000000001</v>
      </c>
      <c r="H2956" s="1">
        <v>-8.7629690000000008E-6</v>
      </c>
      <c r="I2956">
        <v>146.0675</v>
      </c>
      <c r="J2956">
        <v>-193.24430000000001</v>
      </c>
      <c r="K2956">
        <v>1.106959</v>
      </c>
      <c r="L2956">
        <v>155.73400000000001</v>
      </c>
      <c r="M2956">
        <v>-0.32464539999999997</v>
      </c>
      <c r="N2956">
        <v>0</v>
      </c>
      <c r="O2956">
        <v>-0.945735399999999</v>
      </c>
      <c r="P2956">
        <v>-0.5847019</v>
      </c>
      <c r="Q2956">
        <v>2.5117469999999999E-2</v>
      </c>
      <c r="R2956">
        <v>-0.81085989999999997</v>
      </c>
      <c r="S2956">
        <v>-2.517166</v>
      </c>
      <c r="T2956">
        <v>-0.2143777</v>
      </c>
      <c r="U2956">
        <v>-1.9008479999999901</v>
      </c>
      <c r="V2956">
        <v>0.29009420000000002</v>
      </c>
      <c r="W2956">
        <v>3.5688270000000001E-2</v>
      </c>
      <c r="X2956">
        <v>0.95633239999999997</v>
      </c>
      <c r="Y2956">
        <v>0.557069699999999</v>
      </c>
      <c r="Z2956">
        <v>7.0856089999999997E-2</v>
      </c>
      <c r="AA2956">
        <v>0.82743750000000005</v>
      </c>
      <c r="AB2956">
        <v>19</v>
      </c>
      <c r="AC2956">
        <v>-12.9407999999999</v>
      </c>
      <c r="AD2956">
        <v>-1.106967762969</v>
      </c>
      <c r="AE2956">
        <v>-9.6665000000000099</v>
      </c>
      <c r="AF2956">
        <v>9.0587067642221299</v>
      </c>
      <c r="AG2956">
        <v>-1.106967762969</v>
      </c>
      <c r="AH2956">
        <v>13.2820089351696</v>
      </c>
      <c r="AI2956">
        <v>93.938818875276596</v>
      </c>
      <c r="AJ2956">
        <v>55.704903137404301</v>
      </c>
      <c r="AK2956">
        <v>16.115126658588299</v>
      </c>
    </row>
    <row r="2957" spans="1:37" x14ac:dyDescent="0.2">
      <c r="A2957" t="str">
        <f>"20200111154123743"</f>
        <v>20200111154123743</v>
      </c>
      <c r="B2957" t="str">
        <f>"1578728483738620"</f>
        <v>1578728483738620</v>
      </c>
      <c r="C2957" t="s">
        <v>37</v>
      </c>
      <c r="D2957">
        <v>5.4941629999999897</v>
      </c>
      <c r="E2957">
        <v>0.61962759999999995</v>
      </c>
      <c r="F2957" t="s">
        <v>46</v>
      </c>
      <c r="G2957">
        <v>-206.28870000000001</v>
      </c>
      <c r="H2957" s="1">
        <v>-8.7116679999999906E-6</v>
      </c>
      <c r="I2957">
        <v>146.0471</v>
      </c>
      <c r="J2957">
        <v>-193.28559999999999</v>
      </c>
      <c r="K2957">
        <v>1.106924</v>
      </c>
      <c r="L2957">
        <v>155.62819999999999</v>
      </c>
      <c r="M2957">
        <v>-0.32859479999999902</v>
      </c>
      <c r="N2957">
        <v>0</v>
      </c>
      <c r="O2957">
        <v>-0.94437150000000003</v>
      </c>
      <c r="P2957">
        <v>-0.58886549999999904</v>
      </c>
      <c r="Q2957">
        <v>2.4859829999999999E-2</v>
      </c>
      <c r="R2957">
        <v>-0.80784889999999998</v>
      </c>
      <c r="S2957">
        <v>-2.5322269999999998</v>
      </c>
      <c r="T2957">
        <v>-0.21488959999999999</v>
      </c>
      <c r="U2957">
        <v>-1.880463</v>
      </c>
      <c r="V2957">
        <v>0.29101379999999999</v>
      </c>
      <c r="W2957">
        <v>3.5329449999999998E-2</v>
      </c>
      <c r="X2957">
        <v>0.95606630000000004</v>
      </c>
      <c r="Y2957">
        <v>0.56023650000000003</v>
      </c>
      <c r="Z2957">
        <v>7.1064409999999995E-2</v>
      </c>
      <c r="AA2957">
        <v>0.82527870000000003</v>
      </c>
      <c r="AB2957">
        <v>19</v>
      </c>
      <c r="AC2957">
        <v>-13.0031</v>
      </c>
      <c r="AD2957">
        <v>-1.1069327116679999</v>
      </c>
      <c r="AE2957">
        <v>-9.5810999999999904</v>
      </c>
      <c r="AF2957">
        <v>9.0896231450487797</v>
      </c>
      <c r="AG2957">
        <v>-1.1069327116679999</v>
      </c>
      <c r="AH2957">
        <v>13.259841455772699</v>
      </c>
      <c r="AI2957">
        <v>93.938901801632696</v>
      </c>
      <c r="AJ2957">
        <v>55.569357149870797</v>
      </c>
      <c r="AK2957">
        <v>16.1142776561469</v>
      </c>
    </row>
    <row r="2958" spans="1:37" x14ac:dyDescent="0.2">
      <c r="A2958" t="str">
        <f>"20200111154123757"</f>
        <v>20200111154123757</v>
      </c>
      <c r="B2958" t="str">
        <f>"1578728483749357"</f>
        <v>1578728483749357</v>
      </c>
      <c r="C2958" t="s">
        <v>37</v>
      </c>
      <c r="D2958">
        <v>5.3695599999999999</v>
      </c>
      <c r="E2958">
        <v>0.61962759999999995</v>
      </c>
      <c r="F2958" t="s">
        <v>46</v>
      </c>
      <c r="G2958">
        <v>-206.3725</v>
      </c>
      <c r="H2958" s="1">
        <v>-8.6647420000000001E-6</v>
      </c>
      <c r="I2958">
        <v>146.0103</v>
      </c>
      <c r="J2958">
        <v>-193.32990000000001</v>
      </c>
      <c r="K2958">
        <v>1.1068770000000001</v>
      </c>
      <c r="L2958">
        <v>155.51650000000001</v>
      </c>
      <c r="M2958">
        <v>-0.33279140000000001</v>
      </c>
      <c r="N2958">
        <v>0</v>
      </c>
      <c r="O2958">
        <v>-0.94290239999999903</v>
      </c>
      <c r="P2958">
        <v>-0.59320949999999995</v>
      </c>
      <c r="Q2958">
        <v>2.4592630000000001E-2</v>
      </c>
      <c r="R2958">
        <v>-0.80467250000000001</v>
      </c>
      <c r="S2958">
        <v>-2.5413669999999899</v>
      </c>
      <c r="T2958">
        <v>-0.21495600000000001</v>
      </c>
      <c r="U2958">
        <v>-1.8677060000000001</v>
      </c>
      <c r="V2958">
        <v>0.29190949999999999</v>
      </c>
      <c r="W2958">
        <v>3.4930099999999999E-2</v>
      </c>
      <c r="X2958">
        <v>0.95580789999999904</v>
      </c>
      <c r="Y2958">
        <v>0.56066159999999998</v>
      </c>
      <c r="Z2958">
        <v>7.1085590000000004E-2</v>
      </c>
      <c r="AA2958">
        <v>0.824988099999999</v>
      </c>
      <c r="AB2958">
        <v>19</v>
      </c>
      <c r="AC2958">
        <v>-13.042599999999901</v>
      </c>
      <c r="AD2958">
        <v>-1.106885664742</v>
      </c>
      <c r="AE2958">
        <v>-9.5061999999999998</v>
      </c>
      <c r="AF2958">
        <v>9.0923945275031297</v>
      </c>
      <c r="AG2958">
        <v>-1.106885664742</v>
      </c>
      <c r="AH2958">
        <v>13.242824627707201</v>
      </c>
      <c r="AI2958">
        <v>93.941781457023595</v>
      </c>
      <c r="AJ2958">
        <v>55.526886408855397</v>
      </c>
      <c r="AK2958">
        <v>16.101839591760498</v>
      </c>
    </row>
    <row r="2959" spans="1:37" x14ac:dyDescent="0.2">
      <c r="A2959" t="str">
        <f>"20200111154123770"</f>
        <v>20200111154123770</v>
      </c>
      <c r="B2959" t="str">
        <f>"1578728483759116"</f>
        <v>1578728483759116</v>
      </c>
      <c r="C2959" t="s">
        <v>37</v>
      </c>
      <c r="D2959">
        <v>5.2577169999999898</v>
      </c>
      <c r="E2959">
        <v>0.61933319999999903</v>
      </c>
      <c r="F2959" t="s">
        <v>46</v>
      </c>
      <c r="G2959">
        <v>-206.44579999999999</v>
      </c>
      <c r="H2959" s="1">
        <v>-8.6258419999999995E-6</v>
      </c>
      <c r="I2959">
        <v>145.98599999999999</v>
      </c>
      <c r="J2959">
        <v>-193.37090000000001</v>
      </c>
      <c r="K2959">
        <v>1.1068340000000001</v>
      </c>
      <c r="L2959">
        <v>155.4143</v>
      </c>
      <c r="M2959">
        <v>-0.33664729999999998</v>
      </c>
      <c r="N2959">
        <v>0</v>
      </c>
      <c r="O2959">
        <v>-0.94153430000000005</v>
      </c>
      <c r="P2959">
        <v>-0.59704979999999996</v>
      </c>
      <c r="Q2959">
        <v>2.4357190000000001E-2</v>
      </c>
      <c r="R2959">
        <v>-0.80183479999999996</v>
      </c>
      <c r="S2959">
        <v>-2.5513460000000001</v>
      </c>
      <c r="T2959">
        <v>-0.21531449999999999</v>
      </c>
      <c r="U2959">
        <v>-1.853912</v>
      </c>
      <c r="V2959">
        <v>0.2925643</v>
      </c>
      <c r="W2959">
        <v>3.4571739999999997E-2</v>
      </c>
      <c r="X2959">
        <v>0.95562069999999999</v>
      </c>
      <c r="Y2959">
        <v>0.56172319999999998</v>
      </c>
      <c r="Z2959">
        <v>7.1209300000000003E-2</v>
      </c>
      <c r="AA2959">
        <v>0.82425490000000001</v>
      </c>
      <c r="AB2959">
        <v>19</v>
      </c>
      <c r="AC2959">
        <v>-13.0748999999999</v>
      </c>
      <c r="AD2959">
        <v>-1.1068426258420001</v>
      </c>
      <c r="AE2959">
        <v>-9.4283000000000001</v>
      </c>
      <c r="AF2959">
        <v>9.0944079097583703</v>
      </c>
      <c r="AG2959">
        <v>-1.1068426258420001</v>
      </c>
      <c r="AH2959">
        <v>13.2175873064917</v>
      </c>
      <c r="AI2959">
        <v>93.946442873312506</v>
      </c>
      <c r="AJ2959">
        <v>55.469945808902501</v>
      </c>
      <c r="AK2959">
        <v>16.0822252823478</v>
      </c>
    </row>
    <row r="2960" spans="1:37" x14ac:dyDescent="0.2">
      <c r="A2960" t="str">
        <f>"20200111154123788"</f>
        <v>20200111154123788</v>
      </c>
      <c r="B2960" t="str">
        <f>"1578728483779483"</f>
        <v>1578728483779483</v>
      </c>
      <c r="C2960" t="s">
        <v>37</v>
      </c>
      <c r="D2960">
        <v>5.3080290000000003</v>
      </c>
      <c r="E2960">
        <v>0.61921289999999996</v>
      </c>
      <c r="F2960" t="s">
        <v>46</v>
      </c>
      <c r="G2960">
        <v>-206.2594</v>
      </c>
      <c r="H2960" s="1">
        <v>-8.7463339999999993E-6</v>
      </c>
      <c r="I2960">
        <v>146.1293</v>
      </c>
      <c r="J2960">
        <v>-193.4297</v>
      </c>
      <c r="K2960">
        <v>1.106779</v>
      </c>
      <c r="L2960">
        <v>155.26990000000001</v>
      </c>
      <c r="M2960">
        <v>-0.34211929999999902</v>
      </c>
      <c r="N2960">
        <v>0</v>
      </c>
      <c r="O2960">
        <v>-0.9395618</v>
      </c>
      <c r="P2960">
        <v>-0.60240070000000001</v>
      </c>
      <c r="Q2960">
        <v>2.3790990000000001E-2</v>
      </c>
      <c r="R2960">
        <v>-0.79783930000000003</v>
      </c>
      <c r="S2960">
        <v>-2.558395</v>
      </c>
      <c r="T2960">
        <v>-0.2197114</v>
      </c>
      <c r="U2960">
        <v>-1.8431090000000001</v>
      </c>
      <c r="V2960">
        <v>0.29338809999999999</v>
      </c>
      <c r="W2960">
        <v>3.3830209999999999E-2</v>
      </c>
      <c r="X2960">
        <v>0.95539470000000004</v>
      </c>
      <c r="Y2960">
        <v>0.56019680000000005</v>
      </c>
      <c r="Z2960">
        <v>7.2627899999999995E-2</v>
      </c>
      <c r="AA2960">
        <v>0.82516959999999995</v>
      </c>
      <c r="AB2960">
        <v>19</v>
      </c>
      <c r="AC2960">
        <v>-12.829700000000001</v>
      </c>
      <c r="AD2960">
        <v>-1.1067877463339999</v>
      </c>
      <c r="AE2960">
        <v>-9.1405999999999992</v>
      </c>
      <c r="AF2960">
        <v>8.8840596406030592</v>
      </c>
      <c r="AG2960">
        <v>-1.1067877463339999</v>
      </c>
      <c r="AH2960">
        <v>12.9148487739032</v>
      </c>
      <c r="AI2960">
        <v>94.038747762923506</v>
      </c>
      <c r="AJ2960">
        <v>55.476112584109899</v>
      </c>
      <c r="AK2960">
        <v>15.714477836250801</v>
      </c>
    </row>
    <row r="2961" spans="1:37" x14ac:dyDescent="0.2">
      <c r="A2961" t="str">
        <f>"20200111154123814"</f>
        <v>20200111154123814</v>
      </c>
      <c r="B2961" t="str">
        <f>"1578728483808764"</f>
        <v>1578728483808764</v>
      </c>
      <c r="C2961" t="s">
        <v>37</v>
      </c>
      <c r="D2961">
        <v>5.3142069999999997</v>
      </c>
      <c r="E2961">
        <v>0.61926499999999995</v>
      </c>
      <c r="F2961" t="s">
        <v>46</v>
      </c>
      <c r="G2961">
        <v>-206.20939999999999</v>
      </c>
      <c r="H2961" s="1">
        <v>-8.7839999999999992E-6</v>
      </c>
      <c r="I2961">
        <v>146.18790000000001</v>
      </c>
      <c r="J2961">
        <v>-193.51730000000001</v>
      </c>
      <c r="K2961">
        <v>1.106708</v>
      </c>
      <c r="L2961">
        <v>155.0592</v>
      </c>
      <c r="M2961">
        <v>-0.35016379999999903</v>
      </c>
      <c r="N2961">
        <v>0</v>
      </c>
      <c r="O2961">
        <v>-0.93659689999999995</v>
      </c>
      <c r="P2961">
        <v>-0.6102204</v>
      </c>
      <c r="Q2961">
        <v>2.389962E-2</v>
      </c>
      <c r="R2961">
        <v>-0.79187159999999901</v>
      </c>
      <c r="S2961">
        <v>-2.5699619999999999</v>
      </c>
      <c r="T2961">
        <v>-0.2225724</v>
      </c>
      <c r="U2961">
        <v>-1.82637</v>
      </c>
      <c r="V2961">
        <v>0.29459730000000001</v>
      </c>
      <c r="W2961">
        <v>3.368438E-2</v>
      </c>
      <c r="X2961">
        <v>0.95502759999999998</v>
      </c>
      <c r="Y2961">
        <v>0.55836980000000003</v>
      </c>
      <c r="Z2961">
        <v>7.3513049999999996E-2</v>
      </c>
      <c r="AA2961">
        <v>0.82632859999999997</v>
      </c>
      <c r="AB2961">
        <v>19</v>
      </c>
      <c r="AC2961">
        <v>-12.6920999999999</v>
      </c>
      <c r="AD2961">
        <v>-1.1067167840000001</v>
      </c>
      <c r="AE2961">
        <v>-8.8712999999999909</v>
      </c>
      <c r="AF2961">
        <v>8.7370984290917892</v>
      </c>
      <c r="AG2961">
        <v>-1.1067167840000001</v>
      </c>
      <c r="AH2961">
        <v>12.689423741083001</v>
      </c>
      <c r="AI2961">
        <v>94.108766917774702</v>
      </c>
      <c r="AJ2961">
        <v>55.451271043201203</v>
      </c>
      <c r="AK2961">
        <v>15.4461382189979</v>
      </c>
    </row>
    <row r="2962" spans="1:37" x14ac:dyDescent="0.2">
      <c r="A2962" t="str">
        <f>"20200111154123832"</f>
        <v>20200111154123832</v>
      </c>
      <c r="B2962" t="str">
        <f>"1578728483829260"</f>
        <v>1578728483829260</v>
      </c>
      <c r="C2962" t="s">
        <v>37</v>
      </c>
      <c r="D2962">
        <v>5.3033839999999897</v>
      </c>
      <c r="E2962">
        <v>0.6190116</v>
      </c>
      <c r="F2962" t="s">
        <v>46</v>
      </c>
      <c r="G2962">
        <v>-206.489</v>
      </c>
      <c r="H2962" s="1">
        <v>-8.6190989999999906E-6</v>
      </c>
      <c r="I2962">
        <v>146.03309999999999</v>
      </c>
      <c r="J2962">
        <v>-193.57689999999999</v>
      </c>
      <c r="K2962">
        <v>1.1066769999999999</v>
      </c>
      <c r="L2962">
        <v>154.9188</v>
      </c>
      <c r="M2962">
        <v>-0.3555545</v>
      </c>
      <c r="N2962">
        <v>0</v>
      </c>
      <c r="O2962">
        <v>-0.9345658</v>
      </c>
      <c r="P2962">
        <v>-0.61633970000000005</v>
      </c>
      <c r="Q2962">
        <v>2.474384E-2</v>
      </c>
      <c r="R2962">
        <v>-0.78709189999999996</v>
      </c>
      <c r="S2962">
        <v>-2.5880130000000001</v>
      </c>
      <c r="T2962">
        <v>-0.22080369999999999</v>
      </c>
      <c r="U2962">
        <v>-1.800827</v>
      </c>
      <c r="V2962">
        <v>0.29651459999999902</v>
      </c>
      <c r="W2962">
        <v>3.4346330000000001E-2</v>
      </c>
      <c r="X2962">
        <v>0.95441049999999905</v>
      </c>
      <c r="Y2962">
        <v>0.56182399999999999</v>
      </c>
      <c r="Z2962">
        <v>7.2959999999999997E-2</v>
      </c>
      <c r="AA2962">
        <v>0.82403309999999996</v>
      </c>
      <c r="AB2962">
        <v>19</v>
      </c>
      <c r="AC2962">
        <v>-12.912100000000001</v>
      </c>
      <c r="AD2962">
        <v>-1.106685619099</v>
      </c>
      <c r="AE2962">
        <v>-8.8857000000000106</v>
      </c>
      <c r="AF2962">
        <v>8.8644129037669401</v>
      </c>
      <c r="AG2962">
        <v>-1.106685619099</v>
      </c>
      <c r="AH2962">
        <v>12.832336675738301</v>
      </c>
      <c r="AI2962">
        <v>94.058785765043595</v>
      </c>
      <c r="AJ2962">
        <v>55.363783088722798</v>
      </c>
      <c r="AK2962">
        <v>15.635582296399701</v>
      </c>
    </row>
    <row r="2963" spans="1:37" x14ac:dyDescent="0.2">
      <c r="A2963" t="str">
        <f>"20200111154123847"</f>
        <v>20200111154123847</v>
      </c>
      <c r="B2963" t="str">
        <f>"1578728483839020"</f>
        <v>1578728483839020</v>
      </c>
      <c r="C2963" t="s">
        <v>37</v>
      </c>
      <c r="D2963">
        <v>5.2789320000000002</v>
      </c>
      <c r="E2963">
        <v>0.61890210000000001</v>
      </c>
      <c r="F2963" t="s">
        <v>46</v>
      </c>
      <c r="G2963">
        <v>-206.56219999999999</v>
      </c>
      <c r="H2963" s="1">
        <v>-8.5828879999999993E-6</v>
      </c>
      <c r="I2963">
        <v>146.0188</v>
      </c>
      <c r="J2963">
        <v>-193.62989999999999</v>
      </c>
      <c r="K2963">
        <v>1.106654</v>
      </c>
      <c r="L2963">
        <v>154.79580000000001</v>
      </c>
      <c r="M2963">
        <v>-0.360292</v>
      </c>
      <c r="N2963">
        <v>0</v>
      </c>
      <c r="O2963">
        <v>-0.93275169999999996</v>
      </c>
      <c r="P2963">
        <v>-0.62095359999999999</v>
      </c>
      <c r="Q2963">
        <v>2.5189389999999999E-2</v>
      </c>
      <c r="R2963">
        <v>-0.78344279999999999</v>
      </c>
      <c r="S2963">
        <v>-2.6003419999999999</v>
      </c>
      <c r="T2963">
        <v>-0.22161649999999999</v>
      </c>
      <c r="U2963">
        <v>-1.7822419999999899</v>
      </c>
      <c r="V2963">
        <v>0.29728899999999903</v>
      </c>
      <c r="W2963">
        <v>3.4647039999999997E-2</v>
      </c>
      <c r="X2963">
        <v>0.95415869999999903</v>
      </c>
      <c r="Y2963">
        <v>0.563442</v>
      </c>
      <c r="Z2963">
        <v>7.3239570000000004E-2</v>
      </c>
      <c r="AA2963">
        <v>0.82290289999999999</v>
      </c>
      <c r="AB2963">
        <v>19</v>
      </c>
      <c r="AC2963">
        <v>-12.9322999999999</v>
      </c>
      <c r="AD2963">
        <v>-1.1066625828879999</v>
      </c>
      <c r="AE2963">
        <v>-8.7770000000000099</v>
      </c>
      <c r="AF2963">
        <v>8.8566685376566898</v>
      </c>
      <c r="AG2963">
        <v>-1.1066625828879999</v>
      </c>
      <c r="AH2963">
        <v>12.7831306173731</v>
      </c>
      <c r="AI2963">
        <v>94.070373223986294</v>
      </c>
      <c r="AJ2963">
        <v>55.284221206333299</v>
      </c>
      <c r="AK2963">
        <v>15.5908212753243</v>
      </c>
    </row>
    <row r="2964" spans="1:37" x14ac:dyDescent="0.2">
      <c r="A2964" t="str">
        <f>"20200111154123890"</f>
        <v>20200111154123890</v>
      </c>
      <c r="B2964" t="str">
        <f>"1578728483879036"</f>
        <v>1578728483879036</v>
      </c>
      <c r="C2964" t="s">
        <v>37</v>
      </c>
      <c r="D2964">
        <v>5.4896079999999996</v>
      </c>
      <c r="E2964">
        <v>0.61861180000000004</v>
      </c>
      <c r="F2964" t="s">
        <v>46</v>
      </c>
      <c r="G2964">
        <v>-206.67580000000001</v>
      </c>
      <c r="H2964" s="1">
        <v>-8.5170709999999907E-6</v>
      </c>
      <c r="I2964">
        <v>145.96019999999999</v>
      </c>
      <c r="J2964">
        <v>-193.7816</v>
      </c>
      <c r="K2964">
        <v>1.1066009999999999</v>
      </c>
      <c r="L2964">
        <v>154.45269999999999</v>
      </c>
      <c r="M2964">
        <v>-0.37353500000000001</v>
      </c>
      <c r="N2964">
        <v>0</v>
      </c>
      <c r="O2964">
        <v>-0.92753229999999998</v>
      </c>
      <c r="P2964">
        <v>-0.63397320000000001</v>
      </c>
      <c r="Q2964">
        <v>2.598083E-2</v>
      </c>
      <c r="R2964">
        <v>-0.77291860000000001</v>
      </c>
      <c r="S2964">
        <v>-2.6100310000000002</v>
      </c>
      <c r="T2964">
        <v>-0.22140460000000001</v>
      </c>
      <c r="U2964">
        <v>-1.767685</v>
      </c>
      <c r="V2964">
        <v>0.29968459999999902</v>
      </c>
      <c r="W2964">
        <v>3.5057339999999999E-2</v>
      </c>
      <c r="X2964">
        <v>0.95339399999999996</v>
      </c>
      <c r="Y2964">
        <v>0.55625230000000003</v>
      </c>
      <c r="Z2964">
        <v>7.2971289999999994E-2</v>
      </c>
      <c r="AA2964">
        <v>0.82780350000000003</v>
      </c>
      <c r="AB2964">
        <v>19</v>
      </c>
      <c r="AC2964">
        <v>-12.8942</v>
      </c>
      <c r="AD2964">
        <v>-1.106609517071</v>
      </c>
      <c r="AE2964">
        <v>-8.4924999999999997</v>
      </c>
      <c r="AF2964">
        <v>8.7433092279323894</v>
      </c>
      <c r="AG2964">
        <v>-1.106609517071</v>
      </c>
      <c r="AH2964">
        <v>12.6296107698969</v>
      </c>
      <c r="AI2964">
        <v>94.120548968311994</v>
      </c>
      <c r="AJ2964">
        <v>55.305666708402299</v>
      </c>
      <c r="AK2964">
        <v>15.4005554795149</v>
      </c>
    </row>
    <row r="2965" spans="1:37" x14ac:dyDescent="0.2">
      <c r="A2965" t="str">
        <f>"20200111154123912"</f>
        <v>20200111154123912</v>
      </c>
      <c r="B2965" t="str">
        <f>"1578728483909292"</f>
        <v>1578728483909292</v>
      </c>
      <c r="C2965" t="s">
        <v>37</v>
      </c>
      <c r="D2965">
        <v>5.5283769999999999</v>
      </c>
      <c r="E2965">
        <v>0.61826289999999995</v>
      </c>
      <c r="F2965" t="s">
        <v>46</v>
      </c>
      <c r="G2965">
        <v>-207.28479999999999</v>
      </c>
      <c r="H2965" s="1">
        <v>-8.1578629999999906E-6</v>
      </c>
      <c r="I2965">
        <v>145.62270000000001</v>
      </c>
      <c r="J2965">
        <v>-193.85990000000001</v>
      </c>
      <c r="K2965">
        <v>1.1065739999999999</v>
      </c>
      <c r="L2965">
        <v>154.2808</v>
      </c>
      <c r="M2965">
        <v>-0.38017139999999999</v>
      </c>
      <c r="N2965">
        <v>0</v>
      </c>
      <c r="O2965">
        <v>-0.92483439999999995</v>
      </c>
      <c r="P2965">
        <v>-0.64024630000000005</v>
      </c>
      <c r="Q2965">
        <v>2.570909E-2</v>
      </c>
      <c r="R2965">
        <v>-0.76773999999999998</v>
      </c>
      <c r="S2965">
        <v>-2.63789399999999</v>
      </c>
      <c r="T2965">
        <v>-0.21617939999999999</v>
      </c>
      <c r="U2965">
        <v>-1.7249759999999901</v>
      </c>
      <c r="V2965">
        <v>0.30061109999999902</v>
      </c>
      <c r="W2965">
        <v>3.4606049999999999E-2</v>
      </c>
      <c r="X2965">
        <v>0.95311880000000004</v>
      </c>
      <c r="Y2965">
        <v>0.56377880000000002</v>
      </c>
      <c r="Z2965">
        <v>7.1350159999999996E-2</v>
      </c>
      <c r="AA2965">
        <v>0.82283819999999996</v>
      </c>
      <c r="AB2965">
        <v>19</v>
      </c>
      <c r="AC2965">
        <v>-13.4248999999999</v>
      </c>
      <c r="AD2965">
        <v>-1.106582157863</v>
      </c>
      <c r="AE2965">
        <v>-8.6580999999999904</v>
      </c>
      <c r="AF2965">
        <v>9.0813598620492701</v>
      </c>
      <c r="AG2965">
        <v>-1.106582157863</v>
      </c>
      <c r="AH2965">
        <v>13.0494446603133</v>
      </c>
      <c r="AI2965">
        <v>93.981557842839194</v>
      </c>
      <c r="AJ2965">
        <v>55.165199758021501</v>
      </c>
      <c r="AK2965">
        <v>15.9368637742412</v>
      </c>
    </row>
    <row r="2966" spans="1:37" x14ac:dyDescent="0.2">
      <c r="A2966" t="str">
        <f>"20200111154123932"</f>
        <v>20200111154123932</v>
      </c>
      <c r="B2966" t="str">
        <f>"1578728483928812"</f>
        <v>1578728483928812</v>
      </c>
      <c r="C2966" t="s">
        <v>37</v>
      </c>
      <c r="D2966">
        <v>5.46326</v>
      </c>
      <c r="E2966">
        <v>0.6180755</v>
      </c>
      <c r="F2966" t="s">
        <v>46</v>
      </c>
      <c r="G2966">
        <v>-207.58779999999999</v>
      </c>
      <c r="H2966" s="1">
        <v>-7.9774669999999992E-6</v>
      </c>
      <c r="I2966">
        <v>145.44820000000001</v>
      </c>
      <c r="J2966">
        <v>-193.93680000000001</v>
      </c>
      <c r="K2966">
        <v>1.1065449999999999</v>
      </c>
      <c r="L2966">
        <v>154.11500000000001</v>
      </c>
      <c r="M2966">
        <v>-0.386569</v>
      </c>
      <c r="N2966">
        <v>0</v>
      </c>
      <c r="O2966">
        <v>-0.92218099999999903</v>
      </c>
      <c r="P2966">
        <v>-0.64655419999999997</v>
      </c>
      <c r="Q2966">
        <v>2.5390949999999999E-2</v>
      </c>
      <c r="R2966">
        <v>-0.76244579999999995</v>
      </c>
      <c r="S2966">
        <v>-2.6498719999999998</v>
      </c>
      <c r="T2966">
        <v>-0.2136016</v>
      </c>
      <c r="U2966">
        <v>-1.704941</v>
      </c>
      <c r="V2966">
        <v>0.30185959999999901</v>
      </c>
      <c r="W2966">
        <v>3.4112339999999998E-2</v>
      </c>
      <c r="X2966">
        <v>0.95274190000000003</v>
      </c>
      <c r="Y2966">
        <v>0.56420890000000001</v>
      </c>
      <c r="Z2966">
        <v>7.0483790000000004E-2</v>
      </c>
      <c r="AA2966">
        <v>0.82261799999999996</v>
      </c>
      <c r="AB2966">
        <v>19</v>
      </c>
      <c r="AC2966">
        <v>-13.6509999999999</v>
      </c>
      <c r="AD2966">
        <v>-1.106552977467</v>
      </c>
      <c r="AE2966">
        <v>-8.6667999999999896</v>
      </c>
      <c r="AF2966">
        <v>9.1959881525093792</v>
      </c>
      <c r="AG2966">
        <v>-1.106552977467</v>
      </c>
      <c r="AH2966">
        <v>13.2085276309415</v>
      </c>
      <c r="AI2966">
        <v>93.933106634132997</v>
      </c>
      <c r="AJ2966">
        <v>55.153747180359403</v>
      </c>
      <c r="AK2966">
        <v>16.132447420350701</v>
      </c>
    </row>
    <row r="2967" spans="1:37" x14ac:dyDescent="0.2">
      <c r="A2967" t="str">
        <f>"20200111154123947"</f>
        <v>20200111154123947</v>
      </c>
      <c r="B2967" t="str">
        <f>"1578728483938572"</f>
        <v>1578728483938572</v>
      </c>
      <c r="C2967" t="s">
        <v>37</v>
      </c>
      <c r="D2967">
        <v>5.4540670000000002</v>
      </c>
      <c r="E2967">
        <v>0.61796309999999999</v>
      </c>
      <c r="F2967" t="s">
        <v>46</v>
      </c>
      <c r="G2967">
        <v>-207.80619999999999</v>
      </c>
      <c r="H2967" s="1">
        <v>-7.8537090000000003E-6</v>
      </c>
      <c r="I2967">
        <v>145.34630000000001</v>
      </c>
      <c r="J2967">
        <v>-193.99170000000001</v>
      </c>
      <c r="K2967">
        <v>1.1065240000000001</v>
      </c>
      <c r="L2967">
        <v>153.9982</v>
      </c>
      <c r="M2967">
        <v>-0.39107039999999998</v>
      </c>
      <c r="N2967">
        <v>0</v>
      </c>
      <c r="O2967">
        <v>-0.9202825</v>
      </c>
      <c r="P2967">
        <v>-0.65062900000000001</v>
      </c>
      <c r="Q2967">
        <v>2.529263E-2</v>
      </c>
      <c r="R2967">
        <v>-0.758974699999999</v>
      </c>
      <c r="S2967">
        <v>-2.6629330000000002</v>
      </c>
      <c r="T2967">
        <v>-0.21245799999999901</v>
      </c>
      <c r="U2967">
        <v>-1.68357799999999</v>
      </c>
      <c r="V2967">
        <v>0.30230570000000001</v>
      </c>
      <c r="W2967">
        <v>3.3895019999999998E-2</v>
      </c>
      <c r="X2967">
        <v>0.95260820000000002</v>
      </c>
      <c r="Y2967">
        <v>0.56673569999999995</v>
      </c>
      <c r="Z2967">
        <v>7.0128940000000001E-2</v>
      </c>
      <c r="AA2967">
        <v>0.82090959999999902</v>
      </c>
      <c r="AB2967">
        <v>19</v>
      </c>
      <c r="AC2967">
        <v>-13.814499999999899</v>
      </c>
      <c r="AD2967">
        <v>-1.1065318537090001</v>
      </c>
      <c r="AE2967">
        <v>-8.6518999999999799</v>
      </c>
      <c r="AF2967">
        <v>9.2876123637557892</v>
      </c>
      <c r="AG2967">
        <v>-1.1065318537090001</v>
      </c>
      <c r="AH2967">
        <v>13.3042864904035</v>
      </c>
      <c r="AI2967">
        <v>93.901387258595193</v>
      </c>
      <c r="AJ2967">
        <v>55.081425373770301</v>
      </c>
      <c r="AK2967">
        <v>16.2630930385765</v>
      </c>
    </row>
    <row r="2968" spans="1:37" x14ac:dyDescent="0.2">
      <c r="A2968" t="str">
        <f>"20200111154123967"</f>
        <v>20200111154123967</v>
      </c>
      <c r="B2968" t="str">
        <f>"1578728483959067"</f>
        <v>1578728483959067</v>
      </c>
      <c r="C2968" t="s">
        <v>37</v>
      </c>
      <c r="D2968">
        <v>5.524254</v>
      </c>
      <c r="E2968">
        <v>0.61768409999999996</v>
      </c>
      <c r="F2968" t="s">
        <v>46</v>
      </c>
      <c r="G2968">
        <v>-207.95099999999999</v>
      </c>
      <c r="H2968" s="1">
        <v>-7.7701039999999996E-6</v>
      </c>
      <c r="I2968">
        <v>145.27289999999999</v>
      </c>
      <c r="J2968">
        <v>-194.07089999999999</v>
      </c>
      <c r="K2968">
        <v>1.1064909999999999</v>
      </c>
      <c r="L2968">
        <v>153.83250000000001</v>
      </c>
      <c r="M2968">
        <v>-0.39745910000000001</v>
      </c>
      <c r="N2968">
        <v>0</v>
      </c>
      <c r="O2968">
        <v>-0.91754340000000001</v>
      </c>
      <c r="P2968">
        <v>-0.6574219</v>
      </c>
      <c r="Q2968">
        <v>2.4947159999999999E-2</v>
      </c>
      <c r="R2968">
        <v>-0.7531099</v>
      </c>
      <c r="S2968">
        <v>-2.6713559999999998</v>
      </c>
      <c r="T2968">
        <v>-0.2117532</v>
      </c>
      <c r="U2968">
        <v>-1.6697389999999901</v>
      </c>
      <c r="V2968">
        <v>0.3042337</v>
      </c>
      <c r="W2968">
        <v>3.3359840000000002E-2</v>
      </c>
      <c r="X2968">
        <v>0.95201309999999995</v>
      </c>
      <c r="Y2968">
        <v>0.56525269999999905</v>
      </c>
      <c r="Z2968">
        <v>6.9825960000000006E-2</v>
      </c>
      <c r="AA2968">
        <v>0.82195720000000005</v>
      </c>
      <c r="AB2968">
        <v>19</v>
      </c>
      <c r="AC2968">
        <v>-13.880100000000001</v>
      </c>
      <c r="AD2968">
        <v>-1.1064987701039899</v>
      </c>
      <c r="AE2968">
        <v>-8.5596000000000103</v>
      </c>
      <c r="AF2968">
        <v>9.29137997505463</v>
      </c>
      <c r="AG2968">
        <v>-1.1064987701039899</v>
      </c>
      <c r="AH2968">
        <v>13.3102334685565</v>
      </c>
      <c r="AI2968">
        <v>93.899585904707806</v>
      </c>
      <c r="AJ2968">
        <v>55.082536545673001</v>
      </c>
      <c r="AK2968">
        <v>16.270107447603699</v>
      </c>
    </row>
    <row r="2969" spans="1:37" x14ac:dyDescent="0.2">
      <c r="A2969" t="str">
        <f>"20200111154123981"</f>
        <v>20200111154123981</v>
      </c>
      <c r="B2969" t="str">
        <f>"1578728483978588"</f>
        <v>1578728483978588</v>
      </c>
      <c r="C2969" t="s">
        <v>37</v>
      </c>
      <c r="D2969">
        <v>5.3174830000000002</v>
      </c>
      <c r="E2969">
        <v>0.6174982</v>
      </c>
      <c r="F2969" t="s">
        <v>46</v>
      </c>
      <c r="G2969">
        <v>-208.0994</v>
      </c>
      <c r="H2969" s="1">
        <v>-7.6914950000000005E-6</v>
      </c>
      <c r="I2969">
        <v>145.2244</v>
      </c>
      <c r="J2969">
        <v>-194.1241</v>
      </c>
      <c r="K2969">
        <v>1.1064670000000001</v>
      </c>
      <c r="L2969">
        <v>153.7227</v>
      </c>
      <c r="M2969">
        <v>-0.40169159999999998</v>
      </c>
      <c r="N2969">
        <v>0</v>
      </c>
      <c r="O2969">
        <v>-0.91569959999999995</v>
      </c>
      <c r="P2969">
        <v>-0.66172359999999997</v>
      </c>
      <c r="Q2969">
        <v>2.4796039999999998E-2</v>
      </c>
      <c r="R2969">
        <v>-0.74933799999999995</v>
      </c>
      <c r="S2969">
        <v>-2.684402</v>
      </c>
      <c r="T2969">
        <v>-0.21173159999999999</v>
      </c>
      <c r="U2969">
        <v>-1.647186</v>
      </c>
      <c r="V2969">
        <v>0.3052858</v>
      </c>
      <c r="W2969">
        <v>3.308581E-2</v>
      </c>
      <c r="X2969">
        <v>0.95168580000000003</v>
      </c>
      <c r="Y2969">
        <v>0.56823889999999999</v>
      </c>
      <c r="Z2969">
        <v>6.98545E-2</v>
      </c>
      <c r="AA2969">
        <v>0.81989319999999899</v>
      </c>
      <c r="AB2969">
        <v>19</v>
      </c>
      <c r="AC2969">
        <v>-13.975300000000001</v>
      </c>
      <c r="AD2969">
        <v>-1.1064746914950001</v>
      </c>
      <c r="AE2969">
        <v>-8.4983000000000004</v>
      </c>
      <c r="AF2969">
        <v>9.3413803505782607</v>
      </c>
      <c r="AG2969">
        <v>-1.1064746914950001</v>
      </c>
      <c r="AH2969">
        <v>13.3355487179223</v>
      </c>
      <c r="AI2969">
        <v>93.887706454848001</v>
      </c>
      <c r="AJ2969">
        <v>54.989251918905701</v>
      </c>
      <c r="AK2969">
        <v>16.319391309272699</v>
      </c>
    </row>
    <row r="2970" spans="1:37" x14ac:dyDescent="0.2">
      <c r="A2970" t="str">
        <f>"20200111154124000"</f>
        <v>20200111154124000</v>
      </c>
      <c r="B2970" t="str">
        <f>"1578728483989324"</f>
        <v>1578728483989324</v>
      </c>
      <c r="C2970" t="s">
        <v>37</v>
      </c>
      <c r="D2970">
        <v>5.5541710000000002</v>
      </c>
      <c r="E2970">
        <v>0.61768630000000002</v>
      </c>
      <c r="F2970" t="s">
        <v>46</v>
      </c>
      <c r="G2970">
        <v>-208.1763</v>
      </c>
      <c r="H2970" s="1">
        <v>-7.6513329999999993E-6</v>
      </c>
      <c r="I2970">
        <v>145.20140000000001</v>
      </c>
      <c r="J2970">
        <v>-194.19550000000001</v>
      </c>
      <c r="K2970">
        <v>1.1064309999999999</v>
      </c>
      <c r="L2970">
        <v>153.57749999999999</v>
      </c>
      <c r="M2970">
        <v>-0.40728370000000003</v>
      </c>
      <c r="N2970">
        <v>0</v>
      </c>
      <c r="O2970">
        <v>-0.91322829999999999</v>
      </c>
      <c r="P2970">
        <v>-0.66776809999999998</v>
      </c>
      <c r="Q2970">
        <v>2.3449350000000001E-2</v>
      </c>
      <c r="R2970">
        <v>-0.74400029999999995</v>
      </c>
      <c r="S2970">
        <v>-2.6925659999999998</v>
      </c>
      <c r="T2970">
        <v>-0.21201349999999999</v>
      </c>
      <c r="U2970">
        <v>-1.632782</v>
      </c>
      <c r="V2970">
        <v>0.30714000000000002</v>
      </c>
      <c r="W2970">
        <v>3.157455E-2</v>
      </c>
      <c r="X2970">
        <v>0.9511404</v>
      </c>
      <c r="Y2970">
        <v>0.56751779999999996</v>
      </c>
      <c r="Z2970">
        <v>6.9897299999999996E-2</v>
      </c>
      <c r="AA2970">
        <v>0.82038889999999998</v>
      </c>
      <c r="AB2970">
        <v>19</v>
      </c>
      <c r="AC2970">
        <v>-13.980799999999901</v>
      </c>
      <c r="AD2970">
        <v>-1.106438651333</v>
      </c>
      <c r="AE2970">
        <v>-8.3760999999999797</v>
      </c>
      <c r="AF2970">
        <v>9.3139141554167892</v>
      </c>
      <c r="AG2970">
        <v>-1.106438651333</v>
      </c>
      <c r="AH2970">
        <v>13.2831183479689</v>
      </c>
      <c r="AI2970">
        <v>93.901603045963796</v>
      </c>
      <c r="AJ2970">
        <v>54.962464271649303</v>
      </c>
      <c r="AK2970">
        <v>16.2608252075282</v>
      </c>
    </row>
    <row r="2971" spans="1:37" x14ac:dyDescent="0.2">
      <c r="A2971" t="str">
        <f>"20200111154124015"</f>
        <v>20200111154124015</v>
      </c>
      <c r="B2971" t="str">
        <f>"1578728484008844"</f>
        <v>1578728484008844</v>
      </c>
      <c r="C2971" t="s">
        <v>37</v>
      </c>
      <c r="D2971">
        <v>5.1025799999999997</v>
      </c>
      <c r="E2971">
        <v>0.65955600000000003</v>
      </c>
      <c r="F2971" t="s">
        <v>46</v>
      </c>
      <c r="G2971">
        <v>-208.1328</v>
      </c>
      <c r="H2971" s="1">
        <v>-7.6936190000000006E-6</v>
      </c>
      <c r="I2971">
        <v>145.2886</v>
      </c>
      <c r="J2971">
        <v>-194.2525</v>
      </c>
      <c r="K2971">
        <v>1.1064069999999999</v>
      </c>
      <c r="L2971">
        <v>153.4633</v>
      </c>
      <c r="M2971">
        <v>-0.4116805</v>
      </c>
      <c r="N2971">
        <v>0</v>
      </c>
      <c r="O2971">
        <v>-0.91125579999999995</v>
      </c>
      <c r="P2971">
        <v>-0.67201509999999998</v>
      </c>
      <c r="Q2971">
        <v>2.2610410000000001E-2</v>
      </c>
      <c r="R2971">
        <v>-0.74019239999999997</v>
      </c>
      <c r="S2971">
        <v>-2.70668</v>
      </c>
      <c r="T2971">
        <v>-0.21487439999999999</v>
      </c>
      <c r="U2971">
        <v>-1.609726</v>
      </c>
      <c r="V2971">
        <v>0.30798049999999999</v>
      </c>
      <c r="W2971">
        <v>3.0614659999999998E-2</v>
      </c>
      <c r="X2971">
        <v>0.95089999999999997</v>
      </c>
      <c r="Y2971">
        <v>0.57053180000000003</v>
      </c>
      <c r="Z2971">
        <v>7.0847709999999994E-2</v>
      </c>
      <c r="AA2971">
        <v>0.81821390000000005</v>
      </c>
      <c r="AB2971">
        <v>19</v>
      </c>
      <c r="AC2971">
        <v>-13.8803</v>
      </c>
      <c r="AD2971">
        <v>-1.106414693619</v>
      </c>
      <c r="AE2971">
        <v>-8.1746999999999996</v>
      </c>
      <c r="AF2971">
        <v>9.2401611423470307</v>
      </c>
      <c r="AG2971">
        <v>-1.106414693619</v>
      </c>
      <c r="AH2971">
        <v>13.102548608055701</v>
      </c>
      <c r="AI2971">
        <v>93.9476402618685</v>
      </c>
      <c r="AJ2971">
        <v>54.807797284362202</v>
      </c>
      <c r="AK2971">
        <v>16.0711390833773</v>
      </c>
    </row>
    <row r="2972" spans="1:37" x14ac:dyDescent="0.2">
      <c r="A2972" t="str">
        <f>"20200111154124033"</f>
        <v>20200111154124033</v>
      </c>
      <c r="B2972" t="str">
        <f>"1578728484029340"</f>
        <v>1578728484029340</v>
      </c>
      <c r="C2972" t="s">
        <v>37</v>
      </c>
      <c r="D2972">
        <v>5.1400889999999997</v>
      </c>
      <c r="E2972">
        <v>0.66556470000000001</v>
      </c>
      <c r="F2972" t="s">
        <v>46</v>
      </c>
      <c r="G2972">
        <v>-208.33340000000001</v>
      </c>
      <c r="H2972" s="1">
        <v>-8.0445500000000008E-6</v>
      </c>
      <c r="I2972">
        <v>146.95490000000001</v>
      </c>
      <c r="J2972">
        <v>-194.32409999999999</v>
      </c>
      <c r="K2972">
        <v>1.1063700000000001</v>
      </c>
      <c r="L2972">
        <v>153.32159999999999</v>
      </c>
      <c r="M2972">
        <v>-0.41713869999999997</v>
      </c>
      <c r="N2972">
        <v>0</v>
      </c>
      <c r="O2972">
        <v>-0.90877209999999997</v>
      </c>
      <c r="P2972">
        <v>-0.67769889999999999</v>
      </c>
      <c r="Q2972">
        <v>2.0358810000000001E-2</v>
      </c>
      <c r="R2972">
        <v>-0.73505819999999999</v>
      </c>
      <c r="S2972">
        <v>-2.9633479999999999</v>
      </c>
      <c r="T2972">
        <v>-0.23284629999999901</v>
      </c>
      <c r="U2972">
        <v>-1.369705</v>
      </c>
      <c r="V2972">
        <v>0.30955549999999998</v>
      </c>
      <c r="W2972">
        <v>2.8206249999999999E-2</v>
      </c>
      <c r="X2972">
        <v>0.9504629</v>
      </c>
      <c r="Y2972">
        <v>0.64720239999999996</v>
      </c>
      <c r="Z2972">
        <v>7.5602260000000004E-2</v>
      </c>
      <c r="AA2972">
        <v>0.75856009999999996</v>
      </c>
      <c r="AB2972">
        <v>19</v>
      </c>
      <c r="AC2972">
        <v>-14.0093</v>
      </c>
      <c r="AD2972">
        <v>-1.10637804455</v>
      </c>
      <c r="AE2972">
        <v>-6.3666999999999803</v>
      </c>
      <c r="AF2972">
        <v>10.024292971354701</v>
      </c>
      <c r="AG2972">
        <v>-1.10637804455</v>
      </c>
      <c r="AH2972">
        <v>11.5706358485081</v>
      </c>
      <c r="AI2972">
        <v>94.133561760499703</v>
      </c>
      <c r="AJ2972">
        <v>49.095774258411801</v>
      </c>
      <c r="AK2972">
        <v>15.3489457583182</v>
      </c>
    </row>
    <row r="2973" spans="1:37" x14ac:dyDescent="0.2">
      <c r="A2973" t="str">
        <f>"20200111154124057"</f>
        <v>20200111154124057</v>
      </c>
      <c r="B2973" t="str">
        <f>"1578728484048860"</f>
        <v>1578728484048860</v>
      </c>
      <c r="C2973" t="s">
        <v>37</v>
      </c>
      <c r="D2973">
        <v>5.12554</v>
      </c>
      <c r="E2973">
        <v>0.66337069999999998</v>
      </c>
      <c r="F2973" t="s">
        <v>46</v>
      </c>
      <c r="G2973">
        <v>-209.59030000000001</v>
      </c>
      <c r="H2973" s="1">
        <v>-7.4082209999999996E-6</v>
      </c>
      <c r="I2973">
        <v>146.6558</v>
      </c>
      <c r="J2973">
        <v>-194.4222</v>
      </c>
      <c r="K2973">
        <v>1.1063240000000001</v>
      </c>
      <c r="L2973">
        <v>153.13059999999999</v>
      </c>
      <c r="M2973">
        <v>-0.42449510000000001</v>
      </c>
      <c r="N2973">
        <v>0</v>
      </c>
      <c r="O2973">
        <v>-0.90536139999999998</v>
      </c>
      <c r="P2973">
        <v>-0.68433269999999902</v>
      </c>
      <c r="Q2973">
        <v>1.9198369999999999E-2</v>
      </c>
      <c r="R2973">
        <v>-0.72891740000000005</v>
      </c>
      <c r="S2973">
        <v>-3.0084840000000002</v>
      </c>
      <c r="T2973">
        <v>-0.21803169999999999</v>
      </c>
      <c r="U2973">
        <v>-1.3136139999999901</v>
      </c>
      <c r="V2973">
        <v>0.31043709999999902</v>
      </c>
      <c r="W2973">
        <v>2.6848250000000001E-2</v>
      </c>
      <c r="X2973">
        <v>0.95021469999999897</v>
      </c>
      <c r="Y2973">
        <v>0.65747849999999997</v>
      </c>
      <c r="Z2973">
        <v>7.0590079999999999E-2</v>
      </c>
      <c r="AA2973">
        <v>0.75015940000000003</v>
      </c>
      <c r="AB2973">
        <v>19</v>
      </c>
      <c r="AC2973">
        <v>-15.168100000000001</v>
      </c>
      <c r="AD2973">
        <v>-1.1063314082210001</v>
      </c>
      <c r="AE2973">
        <v>-6.4747999999999797</v>
      </c>
      <c r="AF2973">
        <v>10.935566159077601</v>
      </c>
      <c r="AG2973">
        <v>-1.1063314082210001</v>
      </c>
      <c r="AH2973">
        <v>12.246475900825899</v>
      </c>
      <c r="AI2973">
        <v>93.854977844072906</v>
      </c>
      <c r="AJ2973">
        <v>48.236543547055597</v>
      </c>
      <c r="AK2973">
        <v>16.4555993021795</v>
      </c>
    </row>
    <row r="2974" spans="1:37" x14ac:dyDescent="0.2">
      <c r="A2974" t="str">
        <f>"20200111154124079"</f>
        <v>20200111154124079</v>
      </c>
      <c r="B2974" t="str">
        <f>"1578728484068909"</f>
        <v>1578728484068909</v>
      </c>
      <c r="C2974" t="s">
        <v>37</v>
      </c>
      <c r="D2974">
        <v>5.2010860000000001</v>
      </c>
      <c r="E2974">
        <v>0.66332639999999998</v>
      </c>
      <c r="F2974" t="s">
        <v>39</v>
      </c>
      <c r="G2974">
        <v>-210.08580000000001</v>
      </c>
      <c r="H2974" s="1">
        <v>-5.87675399999999E-6</v>
      </c>
      <c r="I2974">
        <v>146.3724</v>
      </c>
      <c r="J2974">
        <v>-194.5145</v>
      </c>
      <c r="K2974">
        <v>1.106285</v>
      </c>
      <c r="L2974">
        <v>152.95429999999999</v>
      </c>
      <c r="M2974">
        <v>-0.43128469999999902</v>
      </c>
      <c r="N2974">
        <v>0</v>
      </c>
      <c r="O2974">
        <v>-0.90214889999999903</v>
      </c>
      <c r="P2974">
        <v>-0.68999829999999995</v>
      </c>
      <c r="Q2974">
        <v>1.9153340000000001E-2</v>
      </c>
      <c r="R2974">
        <v>-0.72355789999999998</v>
      </c>
      <c r="S2974">
        <v>-3.0075989999999999</v>
      </c>
      <c r="T2974">
        <v>-0.2124286</v>
      </c>
      <c r="U2974">
        <v>-1.2976529999999999</v>
      </c>
      <c r="V2974">
        <v>0.31071079999999901</v>
      </c>
      <c r="W2974">
        <v>2.6634709999999999E-2</v>
      </c>
      <c r="X2974">
        <v>0.95013119999999995</v>
      </c>
      <c r="Y2974">
        <v>0.65521189999999996</v>
      </c>
      <c r="Z2974">
        <v>6.8841289999999999E-2</v>
      </c>
      <c r="AA2974">
        <v>0.75230200000000003</v>
      </c>
      <c r="AB2974">
        <v>19</v>
      </c>
      <c r="AC2974">
        <v>-15.571300000000001</v>
      </c>
      <c r="AD2974">
        <v>-1.1062908767540001</v>
      </c>
      <c r="AE2974">
        <v>-6.5818999999999903</v>
      </c>
      <c r="AF2974">
        <v>11.161835407956399</v>
      </c>
      <c r="AG2974">
        <v>-1.1062908767540001</v>
      </c>
      <c r="AH2974">
        <v>12.6003213083668</v>
      </c>
      <c r="AI2974">
        <v>93.760128355944403</v>
      </c>
      <c r="AJ2974">
        <v>48.464277759160701</v>
      </c>
      <c r="AK2974">
        <v>16.8694560153072</v>
      </c>
    </row>
    <row r="2975" spans="1:37" x14ac:dyDescent="0.2">
      <c r="A2975" t="str">
        <f>"20200111154124092"</f>
        <v>20200111154124092</v>
      </c>
      <c r="B2975" t="str">
        <f>"1578728484089393"</f>
        <v>1578728484089393</v>
      </c>
      <c r="C2975" t="s">
        <v>37</v>
      </c>
      <c r="D2975">
        <v>5.1607469999999998</v>
      </c>
      <c r="E2975">
        <v>0.66341740000000005</v>
      </c>
      <c r="F2975" t="s">
        <v>39</v>
      </c>
      <c r="G2975">
        <v>-212.12389999999999</v>
      </c>
      <c r="H2975" s="1">
        <v>-4.9425370000000001E-6</v>
      </c>
      <c r="I2975">
        <v>145.5181</v>
      </c>
      <c r="J2975">
        <v>-194.56780000000001</v>
      </c>
      <c r="K2975">
        <v>1.1062669999999999</v>
      </c>
      <c r="L2975">
        <v>152.85419999999999</v>
      </c>
      <c r="M2975">
        <v>-0.43514330000000001</v>
      </c>
      <c r="N2975">
        <v>0</v>
      </c>
      <c r="O2975">
        <v>-0.90029499999999996</v>
      </c>
      <c r="P2975">
        <v>-0.69315249999999995</v>
      </c>
      <c r="Q2975">
        <v>1.9662909999999999E-2</v>
      </c>
      <c r="R2975">
        <v>-0.72052289999999997</v>
      </c>
      <c r="S2975">
        <v>-3.0170439999999998</v>
      </c>
      <c r="T2975">
        <v>-0.18954219999999999</v>
      </c>
      <c r="U2975">
        <v>-1.2740629999999999</v>
      </c>
      <c r="V2975">
        <v>0.31080449999999998</v>
      </c>
      <c r="W2975">
        <v>2.7053219999999999E-2</v>
      </c>
      <c r="X2975">
        <v>0.95008879999999996</v>
      </c>
      <c r="Y2975">
        <v>0.65828469999999994</v>
      </c>
      <c r="Z2975">
        <v>6.1489969999999998E-2</v>
      </c>
      <c r="AA2975">
        <v>0.75025339999999996</v>
      </c>
      <c r="AB2975">
        <v>20</v>
      </c>
      <c r="AC2975">
        <v>-17.556099999999901</v>
      </c>
      <c r="AD2975">
        <v>-1.106271942537</v>
      </c>
      <c r="AE2975">
        <v>-7.3360999999999796</v>
      </c>
      <c r="AF2975">
        <v>12.5716684780131</v>
      </c>
      <c r="AG2975">
        <v>-1.106271942537</v>
      </c>
      <c r="AH2975">
        <v>14.1969307422521</v>
      </c>
      <c r="AI2975">
        <v>93.338742439503505</v>
      </c>
      <c r="AJ2975">
        <v>48.4744625643131</v>
      </c>
      <c r="AK2975">
        <v>18.9953554436925</v>
      </c>
    </row>
    <row r="2976" spans="1:37" x14ac:dyDescent="0.2">
      <c r="A2976" t="str">
        <f>"20200111154124112"</f>
        <v>20200111154124112</v>
      </c>
      <c r="B2976" t="str">
        <f>"1578728484108913"</f>
        <v>1578728484108913</v>
      </c>
      <c r="C2976" t="s">
        <v>37</v>
      </c>
      <c r="D2976">
        <v>5.4436660000000003</v>
      </c>
      <c r="E2976">
        <v>0.66127469999999999</v>
      </c>
      <c r="F2976" t="s">
        <v>39</v>
      </c>
      <c r="G2976">
        <v>-213.5401</v>
      </c>
      <c r="H2976" s="1">
        <v>-4.2971159999999902E-6</v>
      </c>
      <c r="I2976">
        <v>144.9453</v>
      </c>
      <c r="J2976">
        <v>-194.65260000000001</v>
      </c>
      <c r="K2976">
        <v>1.1062369999999999</v>
      </c>
      <c r="L2976">
        <v>152.69659999999999</v>
      </c>
      <c r="M2976">
        <v>-0.44121279999999902</v>
      </c>
      <c r="N2976">
        <v>0</v>
      </c>
      <c r="O2976">
        <v>-0.89733759999999996</v>
      </c>
      <c r="P2976">
        <v>-0.69781949999999904</v>
      </c>
      <c r="Q2976">
        <v>2.093795E-2</v>
      </c>
      <c r="R2976">
        <v>-0.71596769999999998</v>
      </c>
      <c r="S2976">
        <v>-3.0230869999999999</v>
      </c>
      <c r="T2976">
        <v>-0.17627570000000001</v>
      </c>
      <c r="U2976">
        <v>-1.260208</v>
      </c>
      <c r="V2976">
        <v>0.3105907</v>
      </c>
      <c r="W2976">
        <v>2.8193860000000001E-2</v>
      </c>
      <c r="X2976">
        <v>0.95012559999999902</v>
      </c>
      <c r="Y2976">
        <v>0.65692329999999999</v>
      </c>
      <c r="Z2976">
        <v>5.7131439999999999E-2</v>
      </c>
      <c r="AA2976">
        <v>0.75178970000000001</v>
      </c>
      <c r="AB2976">
        <v>20</v>
      </c>
      <c r="AC2976">
        <v>-18.8874999999999</v>
      </c>
      <c r="AD2976">
        <v>-1.1062412971160001</v>
      </c>
      <c r="AE2976">
        <v>-7.7512999999999801</v>
      </c>
      <c r="AF2976">
        <v>13.489674014926701</v>
      </c>
      <c r="AG2976">
        <v>-1.1062412971160001</v>
      </c>
      <c r="AH2976">
        <v>15.245071337684999</v>
      </c>
      <c r="AI2976">
        <v>93.110600890422006</v>
      </c>
      <c r="AJ2976">
        <v>48.495838230276298</v>
      </c>
      <c r="AK2976">
        <v>20.386448315671402</v>
      </c>
    </row>
    <row r="2977" spans="1:37" x14ac:dyDescent="0.2">
      <c r="A2977" t="str">
        <f>"20200111154124127"</f>
        <v>20200111154124127</v>
      </c>
      <c r="B2977" t="str">
        <f>"1578728484119649"</f>
        <v>1578728484119649</v>
      </c>
      <c r="C2977" t="s">
        <v>37</v>
      </c>
      <c r="D2977">
        <v>5.4391119999999997</v>
      </c>
      <c r="E2977">
        <v>0.65984019999999899</v>
      </c>
      <c r="F2977" t="s">
        <v>39</v>
      </c>
      <c r="G2977">
        <v>-212.94399999999999</v>
      </c>
      <c r="H2977" s="1">
        <v>-4.5544739999999999E-6</v>
      </c>
      <c r="I2977">
        <v>145.10570000000001</v>
      </c>
      <c r="J2977">
        <v>-194.72</v>
      </c>
      <c r="K2977">
        <v>1.1062160000000001</v>
      </c>
      <c r="L2977">
        <v>152.57310000000001</v>
      </c>
      <c r="M2977">
        <v>-0.44597219999999999</v>
      </c>
      <c r="N2977">
        <v>0</v>
      </c>
      <c r="O2977">
        <v>-0.89498319999999998</v>
      </c>
      <c r="P2977">
        <v>-0.70147809999999999</v>
      </c>
      <c r="Q2977">
        <v>2.1181720000000001E-2</v>
      </c>
      <c r="R2977">
        <v>-0.71237640000000002</v>
      </c>
      <c r="S2977">
        <v>-3.0190579999999998</v>
      </c>
      <c r="T2977">
        <v>-0.18258920000000001</v>
      </c>
      <c r="U2977">
        <v>-1.2529139999999901</v>
      </c>
      <c r="V2977">
        <v>0.31041799999999897</v>
      </c>
      <c r="W2977">
        <v>2.8334939999999999E-2</v>
      </c>
      <c r="X2977">
        <v>0.95017779999999996</v>
      </c>
      <c r="Y2977">
        <v>0.65399160000000001</v>
      </c>
      <c r="Z2977">
        <v>5.9204E-2</v>
      </c>
      <c r="AA2977">
        <v>0.75418160000000001</v>
      </c>
      <c r="AB2977">
        <v>20</v>
      </c>
      <c r="AC2977">
        <v>-18.224</v>
      </c>
      <c r="AD2977">
        <v>-1.106220554474</v>
      </c>
      <c r="AE2977">
        <v>-7.4673999999999898</v>
      </c>
      <c r="AF2977">
        <v>12.9398357687879</v>
      </c>
      <c r="AG2977">
        <v>-1.106220554474</v>
      </c>
      <c r="AH2977">
        <v>14.7648560772005</v>
      </c>
      <c r="AI2977">
        <v>93.224978347417505</v>
      </c>
      <c r="AJ2977">
        <v>48.768859928488901</v>
      </c>
      <c r="AK2977">
        <v>19.663775034788902</v>
      </c>
    </row>
    <row r="2978" spans="1:37" x14ac:dyDescent="0.2">
      <c r="A2978" t="str">
        <f>"20200111154124146"</f>
        <v>20200111154124146</v>
      </c>
      <c r="B2978" t="str">
        <f>"1578728484139170"</f>
        <v>1578728484139170</v>
      </c>
      <c r="C2978" t="s">
        <v>37</v>
      </c>
      <c r="D2978">
        <v>5.4670230000000002</v>
      </c>
      <c r="E2978">
        <v>0.65740189999999998</v>
      </c>
      <c r="F2978" t="s">
        <v>39</v>
      </c>
      <c r="G2978">
        <v>-212.3596</v>
      </c>
      <c r="H2978" s="1">
        <v>-4.8116419999999997E-6</v>
      </c>
      <c r="I2978">
        <v>145.29040000000001</v>
      </c>
      <c r="J2978">
        <v>-194.80019999999999</v>
      </c>
      <c r="K2978">
        <v>1.10619</v>
      </c>
      <c r="L2978">
        <v>152.428</v>
      </c>
      <c r="M2978">
        <v>-0.45156259999999998</v>
      </c>
      <c r="N2978">
        <v>0</v>
      </c>
      <c r="O2978">
        <v>-0.89217679999999999</v>
      </c>
      <c r="P2978">
        <v>-0.70584230000000003</v>
      </c>
      <c r="Q2978">
        <v>2.181369E-2</v>
      </c>
      <c r="R2978">
        <v>-0.70803300000000002</v>
      </c>
      <c r="S2978">
        <v>-3.0173030000000001</v>
      </c>
      <c r="T2978">
        <v>-0.1892219</v>
      </c>
      <c r="U2978">
        <v>-1.2457279999999999</v>
      </c>
      <c r="V2978">
        <v>0.31032769999999998</v>
      </c>
      <c r="W2978">
        <v>2.8847810000000002E-2</v>
      </c>
      <c r="X2978">
        <v>0.95019189999999998</v>
      </c>
      <c r="Y2978">
        <v>0.65050909999999995</v>
      </c>
      <c r="Z2978">
        <v>6.1321250000000001E-2</v>
      </c>
      <c r="AA2978">
        <v>0.75701890000000005</v>
      </c>
      <c r="AB2978">
        <v>20</v>
      </c>
      <c r="AC2978">
        <v>-17.5594</v>
      </c>
      <c r="AD2978">
        <v>-1.106194811642</v>
      </c>
      <c r="AE2978">
        <v>-7.1375999999999902</v>
      </c>
      <c r="AF2978">
        <v>12.40147329677</v>
      </c>
      <c r="AG2978">
        <v>-1.106194811642</v>
      </c>
      <c r="AH2978">
        <v>14.249436298179001</v>
      </c>
      <c r="AI2978">
        <v>93.351351576657606</v>
      </c>
      <c r="AJ2978">
        <v>48.966516707639798</v>
      </c>
      <c r="AK2978">
        <v>18.9226489083232</v>
      </c>
    </row>
    <row r="2979" spans="1:37" x14ac:dyDescent="0.2">
      <c r="A2979" t="str">
        <f>"20200111154124169"</f>
        <v>20200111154124169</v>
      </c>
      <c r="B2979" t="str">
        <f>"1578728484158692"</f>
        <v>1578728484158692</v>
      </c>
      <c r="C2979" t="s">
        <v>37</v>
      </c>
      <c r="D2979">
        <v>5.4080379999999897</v>
      </c>
      <c r="E2979">
        <v>0.65521119999999899</v>
      </c>
      <c r="F2979" t="s">
        <v>39</v>
      </c>
      <c r="G2979">
        <v>-211.26840000000001</v>
      </c>
      <c r="H2979" s="1">
        <v>-5.2922790000000002E-6</v>
      </c>
      <c r="I2979">
        <v>145.63759999999999</v>
      </c>
      <c r="J2979">
        <v>-194.8997</v>
      </c>
      <c r="K2979">
        <v>1.1061540000000001</v>
      </c>
      <c r="L2979">
        <v>152.25139999999999</v>
      </c>
      <c r="M2979">
        <v>-0.45837499999999998</v>
      </c>
      <c r="N2979">
        <v>0</v>
      </c>
      <c r="O2979">
        <v>-0.88869759999999998</v>
      </c>
      <c r="P2979">
        <v>-0.71144319999999905</v>
      </c>
      <c r="Q2979">
        <v>2.166622E-2</v>
      </c>
      <c r="R2979">
        <v>-0.70240959999999997</v>
      </c>
      <c r="S2979">
        <v>-3.011047</v>
      </c>
      <c r="T2979">
        <v>-0.20225779999999999</v>
      </c>
      <c r="U2979">
        <v>-1.2415769999999999</v>
      </c>
      <c r="V2979">
        <v>0.31060219999999999</v>
      </c>
      <c r="W2979">
        <v>2.8556580000000002E-2</v>
      </c>
      <c r="X2979">
        <v>0.95011089999999998</v>
      </c>
      <c r="Y2979">
        <v>0.64476049999999996</v>
      </c>
      <c r="Z2979">
        <v>6.5500989999999995E-2</v>
      </c>
      <c r="AA2979">
        <v>0.76157299999999895</v>
      </c>
      <c r="AB2979">
        <v>20</v>
      </c>
      <c r="AC2979">
        <v>-16.3687</v>
      </c>
      <c r="AD2979">
        <v>-1.106159292279</v>
      </c>
      <c r="AE2979">
        <v>-6.6137999999999897</v>
      </c>
      <c r="AF2979">
        <v>11.470818652176799</v>
      </c>
      <c r="AG2979">
        <v>-1.106159292279</v>
      </c>
      <c r="AH2979">
        <v>13.329072306037</v>
      </c>
      <c r="AI2979">
        <v>93.599299254826093</v>
      </c>
      <c r="AJ2979">
        <v>49.285160039093199</v>
      </c>
      <c r="AK2979">
        <v>17.620086193619699</v>
      </c>
    </row>
    <row r="2980" spans="1:37" x14ac:dyDescent="0.2">
      <c r="A2980" t="str">
        <f>"20200111154124191"</f>
        <v>20200111154124191</v>
      </c>
      <c r="B2980" t="str">
        <f>"1578728484189521"</f>
        <v>1578728484189521</v>
      </c>
      <c r="C2980" t="s">
        <v>37</v>
      </c>
      <c r="D2980">
        <v>5.4860519999999999</v>
      </c>
      <c r="E2980">
        <v>0.65262310000000001</v>
      </c>
      <c r="F2980" t="s">
        <v>39</v>
      </c>
      <c r="G2980">
        <v>-210.5907</v>
      </c>
      <c r="H2980" s="1">
        <v>-5.5873620000000003E-6</v>
      </c>
      <c r="I2980">
        <v>145.8339</v>
      </c>
      <c r="J2980">
        <v>-194.99889999999999</v>
      </c>
      <c r="K2980">
        <v>1.1061159999999901</v>
      </c>
      <c r="L2980">
        <v>152.078</v>
      </c>
      <c r="M2980">
        <v>-0.46506039999999998</v>
      </c>
      <c r="N2980">
        <v>0</v>
      </c>
      <c r="O2980">
        <v>-0.88521890000000003</v>
      </c>
      <c r="P2980">
        <v>-0.71738789999999997</v>
      </c>
      <c r="Q2980">
        <v>2.143569E-2</v>
      </c>
      <c r="R2980">
        <v>-0.69634459999999998</v>
      </c>
      <c r="S2980">
        <v>-3.0084230000000001</v>
      </c>
      <c r="T2980">
        <v>-0.2120832</v>
      </c>
      <c r="U2980">
        <v>-1.230423</v>
      </c>
      <c r="V2980">
        <v>0.31151200000000001</v>
      </c>
      <c r="W2980">
        <v>2.8184319999999999E-2</v>
      </c>
      <c r="X2980">
        <v>0.94982420000000001</v>
      </c>
      <c r="Y2980">
        <v>0.64096839999999999</v>
      </c>
      <c r="Z2980">
        <v>6.8661699999999895E-2</v>
      </c>
      <c r="AA2980">
        <v>0.76449</v>
      </c>
      <c r="AB2980">
        <v>20</v>
      </c>
      <c r="AC2980">
        <v>-15.591799999999999</v>
      </c>
      <c r="AD2980">
        <v>-1.1061215873619901</v>
      </c>
      <c r="AE2980">
        <v>-6.2441000000000004</v>
      </c>
      <c r="AF2980">
        <v>10.851785027352999</v>
      </c>
      <c r="AG2980">
        <v>-1.1061215873619901</v>
      </c>
      <c r="AH2980">
        <v>12.7240163538241</v>
      </c>
      <c r="AI2980">
        <v>93.784223358273394</v>
      </c>
      <c r="AJ2980">
        <v>49.540515962437198</v>
      </c>
      <c r="AK2980">
        <v>16.759634107530399</v>
      </c>
    </row>
    <row r="2981" spans="1:37" x14ac:dyDescent="0.2">
      <c r="A2981" t="str">
        <f>"20200111154124205"</f>
        <v>20200111154124205</v>
      </c>
      <c r="B2981" t="str">
        <f>"1578728484199280"</f>
        <v>1578728484199280</v>
      </c>
      <c r="C2981" t="s">
        <v>37</v>
      </c>
      <c r="D2981">
        <v>5.508337</v>
      </c>
      <c r="E2981">
        <v>0.65187629999999996</v>
      </c>
      <c r="F2981" t="s">
        <v>46</v>
      </c>
      <c r="G2981">
        <v>-209.7996</v>
      </c>
      <c r="H2981" s="1">
        <v>-7.1601929999999997E-6</v>
      </c>
      <c r="I2981">
        <v>146.06790000000001</v>
      </c>
      <c r="J2981">
        <v>-195.06219999999999</v>
      </c>
      <c r="K2981">
        <v>1.10609</v>
      </c>
      <c r="L2981">
        <v>151.96889999999999</v>
      </c>
      <c r="M2981">
        <v>-0.46926889999999999</v>
      </c>
      <c r="N2981">
        <v>0</v>
      </c>
      <c r="O2981">
        <v>-0.88299589999999994</v>
      </c>
      <c r="P2981">
        <v>-0.72111029999999998</v>
      </c>
      <c r="Q2981">
        <v>2.1217239999999998E-2</v>
      </c>
      <c r="R2981">
        <v>-0.69249569999999905</v>
      </c>
      <c r="S2981">
        <v>-3.0043489999999999</v>
      </c>
      <c r="T2981">
        <v>-0.22452900000000001</v>
      </c>
      <c r="U2981">
        <v>-1.219986</v>
      </c>
      <c r="V2981">
        <v>0.31207770000000001</v>
      </c>
      <c r="W2981">
        <v>2.7878790000000001E-2</v>
      </c>
      <c r="X2981">
        <v>0.94964749999999998</v>
      </c>
      <c r="Y2981">
        <v>0.63894150000000005</v>
      </c>
      <c r="Z2981">
        <v>7.2753470000000001E-2</v>
      </c>
      <c r="AA2981">
        <v>0.76580729999999997</v>
      </c>
      <c r="AB2981">
        <v>20</v>
      </c>
      <c r="AC2981">
        <v>-14.737399999999999</v>
      </c>
      <c r="AD2981">
        <v>-1.1060971601930001</v>
      </c>
      <c r="AE2981">
        <v>-5.9009999999999803</v>
      </c>
      <c r="AF2981">
        <v>10.194951919823801</v>
      </c>
      <c r="AG2981">
        <v>-1.1060971601930001</v>
      </c>
      <c r="AH2981">
        <v>12.068409884595299</v>
      </c>
      <c r="AI2981">
        <v>94.004974827695804</v>
      </c>
      <c r="AJ2981">
        <v>49.810097347346002</v>
      </c>
      <c r="AK2981">
        <v>15.836887721958</v>
      </c>
    </row>
    <row r="2982" spans="1:37" x14ac:dyDescent="0.2">
      <c r="A2982" t="str">
        <f>"20200111154124223"</f>
        <v>20200111154124223</v>
      </c>
      <c r="B2982" t="str">
        <f>"1578728484218801"</f>
        <v>1578728484218801</v>
      </c>
      <c r="C2982" t="s">
        <v>37</v>
      </c>
      <c r="D2982">
        <v>5.2959909999999999</v>
      </c>
      <c r="E2982">
        <v>0.65162129999999996</v>
      </c>
      <c r="F2982" t="s">
        <v>46</v>
      </c>
      <c r="G2982">
        <v>-209.58789999999999</v>
      </c>
      <c r="H2982" s="1">
        <v>-7.2706240000000001E-6</v>
      </c>
      <c r="I2982">
        <v>146.13050000000001</v>
      </c>
      <c r="J2982">
        <v>-195.14619999999999</v>
      </c>
      <c r="K2982">
        <v>1.1060559999999999</v>
      </c>
      <c r="L2982">
        <v>151.82589999999999</v>
      </c>
      <c r="M2982">
        <v>-0.47478629999999999</v>
      </c>
      <c r="N2982">
        <v>0</v>
      </c>
      <c r="O2982">
        <v>-0.88004249999999995</v>
      </c>
      <c r="P2982">
        <v>-0.72648080000000004</v>
      </c>
      <c r="Q2982">
        <v>2.0907829999999999E-2</v>
      </c>
      <c r="R2982">
        <v>-0.68686849999999999</v>
      </c>
      <c r="S2982">
        <v>-3.006516</v>
      </c>
      <c r="T2982">
        <v>-0.22894020000000001</v>
      </c>
      <c r="U2982">
        <v>-1.2084349999999999</v>
      </c>
      <c r="V2982">
        <v>0.31352209999999903</v>
      </c>
      <c r="W2982">
        <v>2.744313E-2</v>
      </c>
      <c r="X2982">
        <v>0.94918429999999998</v>
      </c>
      <c r="Y2982">
        <v>0.63675249999999906</v>
      </c>
      <c r="Z2982">
        <v>7.4109590000000003E-2</v>
      </c>
      <c r="AA2982">
        <v>0.76749860000000003</v>
      </c>
      <c r="AB2982">
        <v>20</v>
      </c>
      <c r="AC2982">
        <v>-14.4416999999999</v>
      </c>
      <c r="AD2982">
        <v>-1.1060632706239999</v>
      </c>
      <c r="AE2982">
        <v>-5.69539999999997</v>
      </c>
      <c r="AF2982">
        <v>9.9551930476972395</v>
      </c>
      <c r="AG2982">
        <v>-1.1060632706239999</v>
      </c>
      <c r="AH2982">
        <v>11.809579360615</v>
      </c>
      <c r="AI2982">
        <v>94.095926366340194</v>
      </c>
      <c r="AJ2982">
        <v>49.869912088746297</v>
      </c>
      <c r="AK2982">
        <v>15.4853288389432</v>
      </c>
    </row>
    <row r="2983" spans="1:37" x14ac:dyDescent="0.2">
      <c r="A2983" t="str">
        <f>"20200111154124247"</f>
        <v>20200111154124247</v>
      </c>
      <c r="B2983" t="str">
        <f>"1578728484239297"</f>
        <v>1578728484239297</v>
      </c>
      <c r="C2983" t="s">
        <v>37</v>
      </c>
      <c r="D2983">
        <v>8.6845219999999994</v>
      </c>
      <c r="E2983">
        <v>0.64997559999999999</v>
      </c>
      <c r="F2983" t="s">
        <v>46</v>
      </c>
      <c r="G2983">
        <v>-209.71680000000001</v>
      </c>
      <c r="H2983" s="1">
        <v>-7.2024109999999999E-6</v>
      </c>
      <c r="I2983">
        <v>146.08879999999999</v>
      </c>
      <c r="J2983">
        <v>-195.25829999999999</v>
      </c>
      <c r="K2983">
        <v>1.1060110000000001</v>
      </c>
      <c r="L2983">
        <v>151.6387</v>
      </c>
      <c r="M2983">
        <v>-0.48202399999999901</v>
      </c>
      <c r="N2983">
        <v>0</v>
      </c>
      <c r="O2983">
        <v>-0.87610080000000001</v>
      </c>
      <c r="P2983">
        <v>-0.73250649999999995</v>
      </c>
      <c r="Q2983">
        <v>2.0608660000000001E-2</v>
      </c>
      <c r="R2983">
        <v>-0.68044890000000002</v>
      </c>
      <c r="S2983">
        <v>-3.014008</v>
      </c>
      <c r="T2983">
        <v>-0.2287952</v>
      </c>
      <c r="U2983">
        <v>-1.186768</v>
      </c>
      <c r="V2983">
        <v>0.3140578</v>
      </c>
      <c r="W2983">
        <v>2.6988870000000002E-2</v>
      </c>
      <c r="X2983">
        <v>0.94902009999999903</v>
      </c>
      <c r="Y2983">
        <v>0.63584240000000003</v>
      </c>
      <c r="Z2983">
        <v>7.3970540000000001E-2</v>
      </c>
      <c r="AA2983">
        <v>0.76826609999999995</v>
      </c>
      <c r="AB2983">
        <v>20</v>
      </c>
      <c r="AC2983">
        <v>-14.458500000000001</v>
      </c>
      <c r="AD2983">
        <v>-1.1060182024109999</v>
      </c>
      <c r="AE2983">
        <v>-5.5499000000000001</v>
      </c>
      <c r="AF2983">
        <v>9.9417147723908705</v>
      </c>
      <c r="AG2983">
        <v>-1.1060182024109999</v>
      </c>
      <c r="AH2983">
        <v>11.772168765040201</v>
      </c>
      <c r="AI2983">
        <v>94.105636827733605</v>
      </c>
      <c r="AJ2983">
        <v>49.818572080213599</v>
      </c>
      <c r="AK2983">
        <v>15.448136661495001</v>
      </c>
    </row>
    <row r="2984" spans="1:37" x14ac:dyDescent="0.2">
      <c r="A2984" t="str">
        <f>"20200111154124260"</f>
        <v>20200111154124260</v>
      </c>
      <c r="B2984" t="str">
        <f>"1578728484249058"</f>
        <v>1578728484249058</v>
      </c>
      <c r="C2984" t="s">
        <v>37</v>
      </c>
      <c r="D2984">
        <v>5.451098</v>
      </c>
      <c r="E2984">
        <v>0.64898559999999905</v>
      </c>
      <c r="F2984" t="s">
        <v>46</v>
      </c>
      <c r="G2984">
        <v>-209.19649999999999</v>
      </c>
      <c r="H2984" s="1">
        <v>-7.471056E-6</v>
      </c>
      <c r="I2984">
        <v>146.23240000000001</v>
      </c>
      <c r="J2984">
        <v>-195.32259999999999</v>
      </c>
      <c r="K2984">
        <v>1.1059840000000001</v>
      </c>
      <c r="L2984">
        <v>151.5325</v>
      </c>
      <c r="M2984">
        <v>-0.48612879999999897</v>
      </c>
      <c r="N2984">
        <v>0</v>
      </c>
      <c r="O2984">
        <v>-0.87383069999999896</v>
      </c>
      <c r="P2984">
        <v>-0.73561829999999995</v>
      </c>
      <c r="Q2984">
        <v>2.068089E-2</v>
      </c>
      <c r="R2984">
        <v>-0.67708089999999999</v>
      </c>
      <c r="S2984">
        <v>-3.0156860000000001</v>
      </c>
      <c r="T2984">
        <v>-0.23929819999999999</v>
      </c>
      <c r="U2984">
        <v>-1.169708</v>
      </c>
      <c r="V2984">
        <v>0.3139593</v>
      </c>
      <c r="W2984">
        <v>2.697743E-2</v>
      </c>
      <c r="X2984">
        <v>0.94905309999999898</v>
      </c>
      <c r="Y2984">
        <v>0.63587859999999996</v>
      </c>
      <c r="Z2984">
        <v>7.7406740000000002E-2</v>
      </c>
      <c r="AA2984">
        <v>0.76789759999999996</v>
      </c>
      <c r="AB2984">
        <v>20</v>
      </c>
      <c r="AC2984">
        <v>-13.8738999999999</v>
      </c>
      <c r="AD2984">
        <v>-1.1059914710559999</v>
      </c>
      <c r="AE2984">
        <v>-5.30009999999998</v>
      </c>
      <c r="AF2984">
        <v>9.4947261372443208</v>
      </c>
      <c r="AG2984">
        <v>-1.1059914710559999</v>
      </c>
      <c r="AH2984">
        <v>11.3137130663444</v>
      </c>
      <c r="AI2984">
        <v>94.282398805426894</v>
      </c>
      <c r="AJ2984">
        <v>49.995858469224402</v>
      </c>
      <c r="AK2984">
        <v>14.8112506191371</v>
      </c>
    </row>
    <row r="2985" spans="1:37" x14ac:dyDescent="0.2">
      <c r="A2985" t="str">
        <f>"20200111154124280"</f>
        <v>20200111154124280</v>
      </c>
      <c r="B2985" t="str">
        <f>"1578728484269314"</f>
        <v>1578728484269314</v>
      </c>
      <c r="C2985" t="s">
        <v>37</v>
      </c>
      <c r="D2985">
        <v>5.5378419999999897</v>
      </c>
      <c r="E2985">
        <v>0.64743890000000004</v>
      </c>
      <c r="F2985" t="s">
        <v>46</v>
      </c>
      <c r="G2985">
        <v>-208.8467</v>
      </c>
      <c r="H2985" s="1">
        <v>-7.6503119999999997E-6</v>
      </c>
      <c r="I2985">
        <v>146.32380000000001</v>
      </c>
      <c r="J2985">
        <v>-195.41200000000001</v>
      </c>
      <c r="K2985">
        <v>1.1059369999999999</v>
      </c>
      <c r="L2985">
        <v>151.387</v>
      </c>
      <c r="M2985">
        <v>-0.49176130000000001</v>
      </c>
      <c r="N2985">
        <v>0</v>
      </c>
      <c r="O2985">
        <v>-0.87067450000000002</v>
      </c>
      <c r="P2985">
        <v>-0.73956119999999903</v>
      </c>
      <c r="Q2985">
        <v>2.0667419999999999E-2</v>
      </c>
      <c r="R2985">
        <v>-0.67277200000000004</v>
      </c>
      <c r="S2985">
        <v>-3.0159910000000001</v>
      </c>
      <c r="T2985">
        <v>-0.24664510000000001</v>
      </c>
      <c r="U2985">
        <v>-1.161575</v>
      </c>
      <c r="V2985">
        <v>0.31337589999999999</v>
      </c>
      <c r="W2985">
        <v>2.6858739999999999E-2</v>
      </c>
      <c r="X2985">
        <v>0.94924929999999996</v>
      </c>
      <c r="Y2985">
        <v>0.63254270000000001</v>
      </c>
      <c r="Z2985">
        <v>7.9661670000000004E-2</v>
      </c>
      <c r="AA2985">
        <v>0.77041789999999999</v>
      </c>
      <c r="AB2985">
        <v>20</v>
      </c>
      <c r="AC2985">
        <v>-13.4346999999999</v>
      </c>
      <c r="AD2985">
        <v>-1.1059446503120001</v>
      </c>
      <c r="AE2985">
        <v>-5.0631999999999904</v>
      </c>
      <c r="AF2985">
        <v>9.1534954342278905</v>
      </c>
      <c r="AG2985">
        <v>-1.1059446503120001</v>
      </c>
      <c r="AH2985">
        <v>10.9506189140104</v>
      </c>
      <c r="AI2985">
        <v>94.430888643882497</v>
      </c>
      <c r="AJ2985">
        <v>50.108140284029197</v>
      </c>
      <c r="AK2985">
        <v>14.315224302604101</v>
      </c>
    </row>
    <row r="2986" spans="1:37" x14ac:dyDescent="0.2">
      <c r="A2986" t="str">
        <f>"20200111154124302"</f>
        <v>20200111154124302</v>
      </c>
      <c r="B2986" t="str">
        <f>"1578728484299562"</f>
        <v>1578728484299562</v>
      </c>
      <c r="C2986" t="s">
        <v>37</v>
      </c>
      <c r="D2986">
        <v>5.4654189999999998</v>
      </c>
      <c r="E2986">
        <v>0.64517179999999996</v>
      </c>
      <c r="F2986" t="s">
        <v>46</v>
      </c>
      <c r="G2986">
        <v>-208.09229999999999</v>
      </c>
      <c r="H2986" s="1">
        <v>-8.0410169999999996E-6</v>
      </c>
      <c r="I2986">
        <v>146.53649999999999</v>
      </c>
      <c r="J2986">
        <v>-195.52010000000001</v>
      </c>
      <c r="K2986">
        <v>1.1058870000000001</v>
      </c>
      <c r="L2986">
        <v>151.21360000000001</v>
      </c>
      <c r="M2986">
        <v>-0.4984883</v>
      </c>
      <c r="N2986">
        <v>0</v>
      </c>
      <c r="O2986">
        <v>-0.86684169999999905</v>
      </c>
      <c r="P2986">
        <v>-0.74355419999999905</v>
      </c>
      <c r="Q2986">
        <v>2.054651E-2</v>
      </c>
      <c r="R2986">
        <v>-0.66835999999999995</v>
      </c>
      <c r="S2986">
        <v>-3.0147400000000002</v>
      </c>
      <c r="T2986">
        <v>-0.26293810000000001</v>
      </c>
      <c r="U2986">
        <v>-1.1531979999999999</v>
      </c>
      <c r="V2986">
        <v>0.31167620000000001</v>
      </c>
      <c r="W2986">
        <v>2.6627560000000002E-2</v>
      </c>
      <c r="X2986">
        <v>0.94981519999999997</v>
      </c>
      <c r="Y2986">
        <v>0.62787119999999996</v>
      </c>
      <c r="Z2986">
        <v>8.4756189999999995E-2</v>
      </c>
      <c r="AA2986">
        <v>0.77368870000000001</v>
      </c>
      <c r="AB2986">
        <v>20</v>
      </c>
      <c r="AC2986">
        <v>-12.572199999999899</v>
      </c>
      <c r="AD2986">
        <v>-1.1058950410170001</v>
      </c>
      <c r="AE2986">
        <v>-4.6771000000000198</v>
      </c>
      <c r="AF2986">
        <v>8.5091978451216992</v>
      </c>
      <c r="AG2986">
        <v>-1.1058950410170001</v>
      </c>
      <c r="AH2986">
        <v>10.252206368165799</v>
      </c>
      <c r="AI2986">
        <v>94.744884062436796</v>
      </c>
      <c r="AJ2986">
        <v>50.307768411291001</v>
      </c>
      <c r="AK2986">
        <v>13.369262777903201</v>
      </c>
    </row>
    <row r="2987" spans="1:37" x14ac:dyDescent="0.2">
      <c r="A2987" t="str">
        <f>"20200111154124325"</f>
        <v>20200111154124325</v>
      </c>
      <c r="B2987" t="str">
        <f>"1578728484319081"</f>
        <v>1578728484319081</v>
      </c>
      <c r="C2987" t="s">
        <v>37</v>
      </c>
      <c r="D2987">
        <v>5.4651269999999998</v>
      </c>
      <c r="E2987">
        <v>0.64388230000000002</v>
      </c>
      <c r="F2987" t="s">
        <v>46</v>
      </c>
      <c r="G2987">
        <v>-207.2842</v>
      </c>
      <c r="H2987" s="1">
        <v>-8.4483349999999907E-6</v>
      </c>
      <c r="I2987">
        <v>146.72190000000001</v>
      </c>
      <c r="J2987">
        <v>-195.6337</v>
      </c>
      <c r="K2987">
        <v>1.105829</v>
      </c>
      <c r="L2987">
        <v>151.03489999999999</v>
      </c>
      <c r="M2987">
        <v>-0.50545929999999994</v>
      </c>
      <c r="N2987">
        <v>0</v>
      </c>
      <c r="O2987">
        <v>-0.86279669999999897</v>
      </c>
      <c r="P2987">
        <v>-0.748058</v>
      </c>
      <c r="Q2987">
        <v>2.078671E-2</v>
      </c>
      <c r="R2987">
        <v>-0.66330809999999996</v>
      </c>
      <c r="S2987">
        <v>-3.0095830000000001</v>
      </c>
      <c r="T2987">
        <v>-0.28292040000000002</v>
      </c>
      <c r="U2987">
        <v>-1.1491089999999999</v>
      </c>
      <c r="V2987">
        <v>0.31045299999999998</v>
      </c>
      <c r="W2987">
        <v>2.6747199999999999E-2</v>
      </c>
      <c r="X2987">
        <v>0.95021239999999996</v>
      </c>
      <c r="Y2987">
        <v>0.62149449999999995</v>
      </c>
      <c r="Z2987">
        <v>9.0999280000000002E-2</v>
      </c>
      <c r="AA2987">
        <v>0.77811549999999996</v>
      </c>
      <c r="AB2987">
        <v>20</v>
      </c>
      <c r="AC2987">
        <v>-11.6504999999999</v>
      </c>
      <c r="AD2987">
        <v>-1.105837448335</v>
      </c>
      <c r="AE2987">
        <v>-4.3129999999999802</v>
      </c>
      <c r="AF2987">
        <v>7.81044630349112</v>
      </c>
      <c r="AG2987">
        <v>-1.105837448335</v>
      </c>
      <c r="AH2987">
        <v>9.5349912968812198</v>
      </c>
      <c r="AI2987">
        <v>95.126800869212801</v>
      </c>
      <c r="AJ2987">
        <v>50.6778901693717</v>
      </c>
      <c r="AK2987">
        <v>12.375055836377401</v>
      </c>
    </row>
    <row r="2988" spans="1:37" x14ac:dyDescent="0.2">
      <c r="A2988" t="str">
        <f>"20200111154124348"</f>
        <v>20200111154124348</v>
      </c>
      <c r="B2988" t="str">
        <f>"1578728484339577"</f>
        <v>1578728484339577</v>
      </c>
      <c r="C2988" t="s">
        <v>37</v>
      </c>
      <c r="D2988">
        <v>5.4661790000000003</v>
      </c>
      <c r="E2988">
        <v>0.64272059999999998</v>
      </c>
      <c r="F2988" t="s">
        <v>46</v>
      </c>
      <c r="G2988">
        <v>-206.95670000000001</v>
      </c>
      <c r="H2988" s="1">
        <v>-8.6034990000000005E-6</v>
      </c>
      <c r="I2988">
        <v>146.75960000000001</v>
      </c>
      <c r="J2988">
        <v>-195.74770000000001</v>
      </c>
      <c r="K2988">
        <v>1.105761</v>
      </c>
      <c r="L2988">
        <v>150.8586</v>
      </c>
      <c r="M2988">
        <v>-0.51237920000000003</v>
      </c>
      <c r="N2988">
        <v>0</v>
      </c>
      <c r="O2988">
        <v>-0.85870639999999998</v>
      </c>
      <c r="P2988">
        <v>-0.75288750000000004</v>
      </c>
      <c r="Q2988">
        <v>2.1187089999999999E-2</v>
      </c>
      <c r="R2988">
        <v>-0.65780830000000001</v>
      </c>
      <c r="S2988">
        <v>-3.01063499999999</v>
      </c>
      <c r="T2988">
        <v>-0.2940258</v>
      </c>
      <c r="U2988">
        <v>-1.136719</v>
      </c>
      <c r="V2988">
        <v>0.30977500000000002</v>
      </c>
      <c r="W2988">
        <v>2.7018899999999998E-2</v>
      </c>
      <c r="X2988">
        <v>0.95042590000000005</v>
      </c>
      <c r="Y2988">
        <v>0.61776409999999904</v>
      </c>
      <c r="Z2988">
        <v>9.4374609999999998E-2</v>
      </c>
      <c r="AA2988">
        <v>0.78067980000000003</v>
      </c>
      <c r="AB2988">
        <v>20</v>
      </c>
      <c r="AC2988">
        <v>-11.209</v>
      </c>
      <c r="AD2988">
        <v>-1.1057696034990001</v>
      </c>
      <c r="AE2988">
        <v>-4.0989999999999798</v>
      </c>
      <c r="AF2988">
        <v>7.461292341739</v>
      </c>
      <c r="AG2988">
        <v>-1.1057696034990001</v>
      </c>
      <c r="AH2988">
        <v>9.1846761858160395</v>
      </c>
      <c r="AI2988">
        <v>95.338493492030494</v>
      </c>
      <c r="AJ2988">
        <v>50.910864948036298</v>
      </c>
      <c r="AK2988">
        <v>11.884943687843499</v>
      </c>
    </row>
    <row r="2989" spans="1:37" x14ac:dyDescent="0.2">
      <c r="A2989" t="str">
        <f>"20200111154124361"</f>
        <v>20200111154124361</v>
      </c>
      <c r="B2989" t="str">
        <f>"1578728484359097"</f>
        <v>1578728484359097</v>
      </c>
      <c r="C2989" t="s">
        <v>37</v>
      </c>
      <c r="D2989">
        <v>5.4452030000000002</v>
      </c>
      <c r="E2989">
        <v>0.641883599999999</v>
      </c>
      <c r="F2989" t="s">
        <v>46</v>
      </c>
      <c r="G2989">
        <v>-206.72110000000001</v>
      </c>
      <c r="H2989" s="1">
        <v>-8.7111580000000007E-6</v>
      </c>
      <c r="I2989">
        <v>146.77170000000001</v>
      </c>
      <c r="J2989">
        <v>-195.81700000000001</v>
      </c>
      <c r="K2989">
        <v>1.1057159999999999</v>
      </c>
      <c r="L2989">
        <v>150.75280000000001</v>
      </c>
      <c r="M2989">
        <v>-0.51654460000000002</v>
      </c>
      <c r="N2989">
        <v>0</v>
      </c>
      <c r="O2989">
        <v>-0.85620790000000002</v>
      </c>
      <c r="P2989">
        <v>-0.75603240000000005</v>
      </c>
      <c r="Q2989">
        <v>2.1527020000000001E-2</v>
      </c>
      <c r="R2989">
        <v>-0.65418019999999999</v>
      </c>
      <c r="S2989">
        <v>-3.0128330000000001</v>
      </c>
      <c r="T2989">
        <v>-0.30359740000000002</v>
      </c>
      <c r="U2989">
        <v>-1.1220859999999999</v>
      </c>
      <c r="V2989">
        <v>0.3097258</v>
      </c>
      <c r="W2989">
        <v>2.7277249999999999E-2</v>
      </c>
      <c r="X2989">
        <v>0.95043459999999902</v>
      </c>
      <c r="Y2989">
        <v>0.6171605</v>
      </c>
      <c r="Z2989">
        <v>9.7401719999999997E-2</v>
      </c>
      <c r="AA2989">
        <v>0.78078539999999996</v>
      </c>
      <c r="AB2989">
        <v>20</v>
      </c>
      <c r="AC2989">
        <v>-10.9041</v>
      </c>
      <c r="AD2989">
        <v>-1.105724711158</v>
      </c>
      <c r="AE2989">
        <v>-3.9810999999999899</v>
      </c>
      <c r="AF2989">
        <v>7.2146262357440101</v>
      </c>
      <c r="AG2989">
        <v>-1.105724711158</v>
      </c>
      <c r="AH2989">
        <v>8.9602092647354095</v>
      </c>
      <c r="AI2989">
        <v>95.490327098978</v>
      </c>
      <c r="AJ2989">
        <v>51.1595033176188</v>
      </c>
      <c r="AK2989">
        <v>11.556764639214601</v>
      </c>
    </row>
    <row r="2990" spans="1:37" x14ac:dyDescent="0.2">
      <c r="A2990" t="str">
        <f>"20200111154124381"</f>
        <v>20200111154124381</v>
      </c>
      <c r="B2990" t="str">
        <f>"1578728484369406"</f>
        <v>1578728484369406</v>
      </c>
      <c r="C2990" t="s">
        <v>37</v>
      </c>
      <c r="D2990">
        <v>7.806864</v>
      </c>
      <c r="E2990">
        <v>0.64149829999999997</v>
      </c>
      <c r="F2990" t="s">
        <v>46</v>
      </c>
      <c r="G2990">
        <v>-206.5223</v>
      </c>
      <c r="H2990" s="1">
        <v>-8.8066459999999904E-6</v>
      </c>
      <c r="I2990">
        <v>146.79939999999999</v>
      </c>
      <c r="J2990">
        <v>-195.9152</v>
      </c>
      <c r="K2990">
        <v>1.1056509999999999</v>
      </c>
      <c r="L2990">
        <v>150.60509999999999</v>
      </c>
      <c r="M2990">
        <v>-0.52239749999999996</v>
      </c>
      <c r="N2990">
        <v>0</v>
      </c>
      <c r="O2990">
        <v>-0.85265049999999898</v>
      </c>
      <c r="P2990">
        <v>-0.76092059999999995</v>
      </c>
      <c r="Q2990">
        <v>2.1922569999999999E-2</v>
      </c>
      <c r="R2990">
        <v>-0.64847519999999903</v>
      </c>
      <c r="S2990">
        <v>-3.0138849999999899</v>
      </c>
      <c r="T2990">
        <v>-0.31129659999999998</v>
      </c>
      <c r="U2990">
        <v>-1.1129910000000001</v>
      </c>
      <c r="V2990">
        <v>0.31036239999999998</v>
      </c>
      <c r="W2990">
        <v>2.755324E-2</v>
      </c>
      <c r="X2990">
        <v>0.95021889999999998</v>
      </c>
      <c r="Y2990">
        <v>0.6137011</v>
      </c>
      <c r="Z2990">
        <v>9.9652190000000002E-2</v>
      </c>
      <c r="AA2990">
        <v>0.78322429999999998</v>
      </c>
      <c r="AB2990">
        <v>20</v>
      </c>
      <c r="AC2990">
        <v>-10.607100000000001</v>
      </c>
      <c r="AD2990">
        <v>-1.1056598066459999</v>
      </c>
      <c r="AE2990">
        <v>-3.8056999999999999</v>
      </c>
      <c r="AF2990">
        <v>6.9890921499920298</v>
      </c>
      <c r="AG2990">
        <v>-1.1056598066459999</v>
      </c>
      <c r="AH2990">
        <v>8.7026664248636294</v>
      </c>
      <c r="AI2990">
        <v>95.657164931266394</v>
      </c>
      <c r="AJ2990">
        <v>51.232129472562903</v>
      </c>
      <c r="AK2990">
        <v>11.2163405615005</v>
      </c>
    </row>
    <row r="2991" spans="1:37" x14ac:dyDescent="0.2">
      <c r="A2991" t="str">
        <f>"20200111154124401"</f>
        <v>20200111154124401</v>
      </c>
      <c r="B2991" t="str">
        <f>"1578728484399658"</f>
        <v>1578728484399658</v>
      </c>
      <c r="C2991" t="s">
        <v>37</v>
      </c>
      <c r="D2991">
        <v>5.386088</v>
      </c>
      <c r="E2991">
        <v>0.63999119999999998</v>
      </c>
      <c r="F2991" t="s">
        <v>46</v>
      </c>
      <c r="G2991">
        <v>-206.57169999999999</v>
      </c>
      <c r="H2991" s="1">
        <v>-8.7715239999999996E-6</v>
      </c>
      <c r="I2991">
        <v>146.74930000000001</v>
      </c>
      <c r="J2991">
        <v>-196.0239</v>
      </c>
      <c r="K2991">
        <v>1.105583</v>
      </c>
      <c r="L2991">
        <v>150.44409999999999</v>
      </c>
      <c r="M2991">
        <v>-0.52882439999999997</v>
      </c>
      <c r="N2991">
        <v>0</v>
      </c>
      <c r="O2991">
        <v>-0.84867999999999899</v>
      </c>
      <c r="P2991">
        <v>-0.76643689999999998</v>
      </c>
      <c r="Q2991">
        <v>2.213089E-2</v>
      </c>
      <c r="R2991">
        <v>-0.64193840000000002</v>
      </c>
      <c r="S2991">
        <v>-3.0203090000000001</v>
      </c>
      <c r="T2991">
        <v>-0.31337120000000002</v>
      </c>
      <c r="U2991">
        <v>-1.0928040000000001</v>
      </c>
      <c r="V2991">
        <v>0.31131769999999998</v>
      </c>
      <c r="W2991">
        <v>2.7631409999999999E-2</v>
      </c>
      <c r="X2991">
        <v>0.94990409999999903</v>
      </c>
      <c r="Y2991">
        <v>0.61285639999999997</v>
      </c>
      <c r="Z2991">
        <v>0.1001397</v>
      </c>
      <c r="AA2991">
        <v>0.78382339999999995</v>
      </c>
      <c r="AB2991">
        <v>20</v>
      </c>
      <c r="AC2991">
        <v>-10.547799999999899</v>
      </c>
      <c r="AD2991">
        <v>-1.105591771524</v>
      </c>
      <c r="AE2991">
        <v>-3.6947999999999799</v>
      </c>
      <c r="AF2991">
        <v>6.9302918565499096</v>
      </c>
      <c r="AG2991">
        <v>-1.105591771524</v>
      </c>
      <c r="AH2991">
        <v>8.6295679295250594</v>
      </c>
      <c r="AI2991">
        <v>95.704452075967097</v>
      </c>
      <c r="AJ2991">
        <v>51.232513133369203</v>
      </c>
      <c r="AK2991">
        <v>11.122981661070501</v>
      </c>
    </row>
    <row r="2992" spans="1:37" x14ac:dyDescent="0.2">
      <c r="A2992" t="str">
        <f>"20200111154124426"</f>
        <v>20200111154124426</v>
      </c>
      <c r="B2992" t="str">
        <f>"1578728484419178"</f>
        <v>1578728484419178</v>
      </c>
      <c r="C2992" t="s">
        <v>37</v>
      </c>
      <c r="D2992">
        <v>5.7583080000000004</v>
      </c>
      <c r="E2992">
        <v>0.62231650000000005</v>
      </c>
      <c r="F2992" t="s">
        <v>46</v>
      </c>
      <c r="G2992">
        <v>-206.44890000000001</v>
      </c>
      <c r="H2992" s="1">
        <v>-8.8214369999999995E-6</v>
      </c>
      <c r="I2992">
        <v>146.732</v>
      </c>
      <c r="J2992">
        <v>-196.1515</v>
      </c>
      <c r="K2992">
        <v>1.1054889999999999</v>
      </c>
      <c r="L2992">
        <v>150.2587</v>
      </c>
      <c r="M2992">
        <v>-0.53632119999999905</v>
      </c>
      <c r="N2992">
        <v>0</v>
      </c>
      <c r="O2992">
        <v>-0.84396309999999997</v>
      </c>
      <c r="P2992">
        <v>-0.77252310000000002</v>
      </c>
      <c r="Q2992">
        <v>2.2516629999999999E-2</v>
      </c>
      <c r="R2992">
        <v>-0.63458769999999998</v>
      </c>
      <c r="S2992">
        <v>-3.022141</v>
      </c>
      <c r="T2992">
        <v>-0.32050499999999998</v>
      </c>
      <c r="U2992">
        <v>-1.0761259999999999</v>
      </c>
      <c r="V2992">
        <v>0.31197819999999998</v>
      </c>
      <c r="W2992">
        <v>2.787688E-2</v>
      </c>
      <c r="X2992">
        <v>0.94968019999999997</v>
      </c>
      <c r="Y2992">
        <v>0.60962620000000001</v>
      </c>
      <c r="Z2992">
        <v>0.10219439999999901</v>
      </c>
      <c r="AA2992">
        <v>0.78607389999999999</v>
      </c>
      <c r="AB2992">
        <v>20</v>
      </c>
      <c r="AC2992">
        <v>-10.2974</v>
      </c>
      <c r="AD2992">
        <v>-1.1054978214369999</v>
      </c>
      <c r="AE2992">
        <v>-3.5266999999999999</v>
      </c>
      <c r="AF2992">
        <v>6.7300493644368604</v>
      </c>
      <c r="AG2992">
        <v>-1.1054978214369999</v>
      </c>
      <c r="AH2992">
        <v>8.4127017938090791</v>
      </c>
      <c r="AI2992">
        <v>95.858798210447901</v>
      </c>
      <c r="AJ2992">
        <v>51.3406571582018</v>
      </c>
      <c r="AK2992">
        <v>10.8300157595692</v>
      </c>
    </row>
    <row r="2993" spans="1:37" x14ac:dyDescent="0.2">
      <c r="A2993" t="str">
        <f>"20200111154124448"</f>
        <v>20200111154124448</v>
      </c>
      <c r="B2993" t="str">
        <f>"1578728484439675"</f>
        <v>1578728484439675</v>
      </c>
      <c r="C2993" t="s">
        <v>37</v>
      </c>
      <c r="D2993">
        <v>5.3938980000000001</v>
      </c>
      <c r="E2993">
        <v>0.62387349999999997</v>
      </c>
      <c r="F2993" t="s">
        <v>46</v>
      </c>
      <c r="G2993">
        <v>-203.8314</v>
      </c>
      <c r="H2993" s="1">
        <v>-1.004089E-5</v>
      </c>
      <c r="I2993">
        <v>147.24039999999999</v>
      </c>
      <c r="J2993">
        <v>-196.27160000000001</v>
      </c>
      <c r="K2993">
        <v>1.1053959999999901</v>
      </c>
      <c r="L2993">
        <v>150.08750000000001</v>
      </c>
      <c r="M2993">
        <v>-0.54333009999999904</v>
      </c>
      <c r="N2993">
        <v>0</v>
      </c>
      <c r="O2993">
        <v>-0.83946880000000001</v>
      </c>
      <c r="P2993">
        <v>-0.77812809999999999</v>
      </c>
      <c r="Q2993">
        <v>2.2921090000000002E-2</v>
      </c>
      <c r="R2993">
        <v>-0.62768800000000002</v>
      </c>
      <c r="S2993">
        <v>-2.9449770000000002</v>
      </c>
      <c r="T2993">
        <v>-0.42392190000000002</v>
      </c>
      <c r="U2993">
        <v>-1.15741</v>
      </c>
      <c r="V2993">
        <v>0.31252229999999998</v>
      </c>
      <c r="W2993">
        <v>2.815668E-2</v>
      </c>
      <c r="X2993">
        <v>0.94949309999999998</v>
      </c>
      <c r="Y2993">
        <v>0.57296959999999997</v>
      </c>
      <c r="Z2993">
        <v>0.1345478</v>
      </c>
      <c r="AA2993">
        <v>0.80845710000000004</v>
      </c>
      <c r="AB2993">
        <v>20</v>
      </c>
      <c r="AC2993">
        <v>-7.5597999999999903</v>
      </c>
      <c r="AD2993">
        <v>-1.1054060408899899</v>
      </c>
      <c r="AE2993">
        <v>-2.84710000000001</v>
      </c>
      <c r="AF2993">
        <v>4.7112856205150697</v>
      </c>
      <c r="AG2993">
        <v>-1.1054060408899899</v>
      </c>
      <c r="AH2993">
        <v>6.3783590251735003</v>
      </c>
      <c r="AI2993">
        <v>97.935961572908994</v>
      </c>
      <c r="AJ2993">
        <v>53.549090163510002</v>
      </c>
      <c r="AK2993">
        <v>8.0063473923706603</v>
      </c>
    </row>
    <row r="2994" spans="1:37" x14ac:dyDescent="0.2">
      <c r="A2994" t="str">
        <f>"20200111154124462"</f>
        <v>20200111154124462</v>
      </c>
      <c r="B2994" t="str">
        <f>"1578728484459194"</f>
        <v>1578728484459194</v>
      </c>
      <c r="C2994" t="s">
        <v>37</v>
      </c>
      <c r="D2994">
        <v>5.391877</v>
      </c>
      <c r="E2994">
        <v>0.62425079999999999</v>
      </c>
      <c r="F2994" t="s">
        <v>46</v>
      </c>
      <c r="G2994">
        <v>-203.94329999999999</v>
      </c>
      <c r="H2994" s="1">
        <v>-9.9839460000000002E-6</v>
      </c>
      <c r="I2994">
        <v>147.18430000000001</v>
      </c>
      <c r="J2994">
        <v>-196.34530000000001</v>
      </c>
      <c r="K2994">
        <v>1.1053389999999901</v>
      </c>
      <c r="L2994">
        <v>149.9838</v>
      </c>
      <c r="M2994">
        <v>-0.54760310000000001</v>
      </c>
      <c r="N2994">
        <v>0</v>
      </c>
      <c r="O2994">
        <v>-0.83668790000000004</v>
      </c>
      <c r="P2994">
        <v>-0.7813177</v>
      </c>
      <c r="Q2994">
        <v>2.3084670000000002E-2</v>
      </c>
      <c r="R2994">
        <v>-0.62370630000000005</v>
      </c>
      <c r="S2994">
        <v>-2.9633940000000001</v>
      </c>
      <c r="T2994">
        <v>-0.42699179999999998</v>
      </c>
      <c r="U2994">
        <v>-1.121429</v>
      </c>
      <c r="V2994">
        <v>0.31253059999999899</v>
      </c>
      <c r="W2994">
        <v>2.825248E-2</v>
      </c>
      <c r="X2994">
        <v>0.94948739999999998</v>
      </c>
      <c r="Y2994">
        <v>0.57892840000000001</v>
      </c>
      <c r="Z2994">
        <v>0.1354418</v>
      </c>
      <c r="AA2994">
        <v>0.80405059999999995</v>
      </c>
      <c r="AB2994">
        <v>21</v>
      </c>
      <c r="AC2994">
        <v>-7.5979999999999803</v>
      </c>
      <c r="AD2994">
        <v>-1.10534898394599</v>
      </c>
      <c r="AE2994">
        <v>-2.7994999999999899</v>
      </c>
      <c r="AF2994">
        <v>4.7360888491298496</v>
      </c>
      <c r="AG2994">
        <v>-1.10534898394599</v>
      </c>
      <c r="AH2994">
        <v>6.3843024506656096</v>
      </c>
      <c r="AI2994">
        <v>97.916304143557696</v>
      </c>
      <c r="AJ2994">
        <v>53.430741276921502</v>
      </c>
      <c r="AK2994">
        <v>8.0256869951884795</v>
      </c>
    </row>
    <row r="2995" spans="1:37" x14ac:dyDescent="0.2">
      <c r="A2995" t="str">
        <f>"20200111154124481"</f>
        <v>20200111154124481</v>
      </c>
      <c r="B2995" t="str">
        <f>"1578728484469533"</f>
        <v>1578728484469533</v>
      </c>
      <c r="C2995" t="s">
        <v>37</v>
      </c>
      <c r="D2995">
        <v>5.3891260000000001</v>
      </c>
      <c r="E2995">
        <v>0.62344449999999996</v>
      </c>
      <c r="F2995" t="s">
        <v>46</v>
      </c>
      <c r="G2995">
        <v>-204.05269999999999</v>
      </c>
      <c r="H2995" s="1">
        <v>-9.9257610000000007E-6</v>
      </c>
      <c r="I2995">
        <v>147.1198</v>
      </c>
      <c r="J2995">
        <v>-196.44820000000001</v>
      </c>
      <c r="K2995">
        <v>1.1052629999999899</v>
      </c>
      <c r="L2995">
        <v>149.84129999999999</v>
      </c>
      <c r="M2995">
        <v>-0.55353649999999999</v>
      </c>
      <c r="N2995">
        <v>0</v>
      </c>
      <c r="O2995">
        <v>-0.83277479999999904</v>
      </c>
      <c r="P2995">
        <v>-0.78543739999999995</v>
      </c>
      <c r="Q2995">
        <v>2.3340779999999998E-2</v>
      </c>
      <c r="R2995">
        <v>-0.61850139999999998</v>
      </c>
      <c r="S2995">
        <v>-2.9709629999999998</v>
      </c>
      <c r="T2995">
        <v>-0.4260795</v>
      </c>
      <c r="U2995">
        <v>-1.1039889999999899</v>
      </c>
      <c r="V2995">
        <v>0.31209179999999997</v>
      </c>
      <c r="W2995">
        <v>2.842741E-2</v>
      </c>
      <c r="X2995">
        <v>0.94962659999999999</v>
      </c>
      <c r="Y2995">
        <v>0.57805499999999999</v>
      </c>
      <c r="Z2995">
        <v>0.13480719999999999</v>
      </c>
      <c r="AA2995">
        <v>0.80478530000000004</v>
      </c>
      <c r="AB2995">
        <v>21</v>
      </c>
      <c r="AC2995">
        <v>-7.6044999999999696</v>
      </c>
      <c r="AD2995">
        <v>-1.1052729257609999</v>
      </c>
      <c r="AE2995">
        <v>-2.72149999999999</v>
      </c>
      <c r="AF2995">
        <v>4.7378638422202002</v>
      </c>
      <c r="AG2995">
        <v>-1.1052729257609999</v>
      </c>
      <c r="AH2995">
        <v>6.3569905301307301</v>
      </c>
      <c r="AI2995">
        <v>97.936326167308493</v>
      </c>
      <c r="AJ2995">
        <v>53.302844179282303</v>
      </c>
      <c r="AK2995">
        <v>8.0050178405803507</v>
      </c>
    </row>
    <row r="2996" spans="1:37" x14ac:dyDescent="0.2">
      <c r="A2996" t="str">
        <f>"20200111154124503"</f>
        <v>20200111154124503</v>
      </c>
      <c r="B2996" t="str">
        <f>"1578728484499780"</f>
        <v>1578728484499780</v>
      </c>
      <c r="C2996" t="s">
        <v>37</v>
      </c>
      <c r="D2996">
        <v>5.3254269999999897</v>
      </c>
      <c r="E2996">
        <v>0.62193169999999898</v>
      </c>
      <c r="F2996" t="s">
        <v>46</v>
      </c>
      <c r="G2996">
        <v>-204.089</v>
      </c>
      <c r="H2996" s="1">
        <v>-9.8918870000000004E-6</v>
      </c>
      <c r="I2996">
        <v>147.04339999999999</v>
      </c>
      <c r="J2996">
        <v>-196.57400000000001</v>
      </c>
      <c r="K2996">
        <v>1.1051519999999999</v>
      </c>
      <c r="L2996">
        <v>149.66970000000001</v>
      </c>
      <c r="M2996">
        <v>-0.56075969999999997</v>
      </c>
      <c r="N2996">
        <v>0</v>
      </c>
      <c r="O2996">
        <v>-0.82792869999999996</v>
      </c>
      <c r="P2996">
        <v>-0.79010469999999999</v>
      </c>
      <c r="Q2996">
        <v>2.311796E-2</v>
      </c>
      <c r="R2996">
        <v>-0.61253630000000003</v>
      </c>
      <c r="S2996">
        <v>-2.9745789999999999</v>
      </c>
      <c r="T2996">
        <v>-0.43028240000000001</v>
      </c>
      <c r="U2996">
        <v>-1.0892329999999999</v>
      </c>
      <c r="V2996">
        <v>0.31103059999999899</v>
      </c>
      <c r="W2996">
        <v>2.8116639999999998E-2</v>
      </c>
      <c r="X2996">
        <v>0.94998389999999999</v>
      </c>
      <c r="Y2996">
        <v>0.57466729999999999</v>
      </c>
      <c r="Z2996">
        <v>0.13568169999999999</v>
      </c>
      <c r="AA2996">
        <v>0.80706129999999998</v>
      </c>
      <c r="AB2996">
        <v>21</v>
      </c>
      <c r="AC2996">
        <v>-7.5150000000000103</v>
      </c>
      <c r="AD2996">
        <v>-1.1051618918870001</v>
      </c>
      <c r="AE2996">
        <v>-2.6263000000000098</v>
      </c>
      <c r="AF2996">
        <v>4.6595535318515102</v>
      </c>
      <c r="AG2996">
        <v>-1.1051618918870001</v>
      </c>
      <c r="AH2996">
        <v>6.2679597290460496</v>
      </c>
      <c r="AI2996">
        <v>98.054048589029506</v>
      </c>
      <c r="AJ2996">
        <v>53.373168432993502</v>
      </c>
      <c r="AK2996">
        <v>7.88797446043103</v>
      </c>
    </row>
    <row r="2997" spans="1:37" x14ac:dyDescent="0.2">
      <c r="A2997" t="str">
        <f>"20200111154124528"</f>
        <v>20200111154124528</v>
      </c>
      <c r="B2997" t="str">
        <f>"1578728484519299"</f>
        <v>1578728484519299</v>
      </c>
      <c r="C2997" t="s">
        <v>37</v>
      </c>
      <c r="D2997">
        <v>5.3041510000000001</v>
      </c>
      <c r="E2997">
        <v>0.62171719999999997</v>
      </c>
      <c r="F2997" t="s">
        <v>46</v>
      </c>
      <c r="G2997">
        <v>-204.0677</v>
      </c>
      <c r="H2997" s="1">
        <v>-9.8779199999999903E-6</v>
      </c>
      <c r="I2997">
        <v>146.96</v>
      </c>
      <c r="J2997">
        <v>-196.71090000000001</v>
      </c>
      <c r="K2997">
        <v>1.1050340000000001</v>
      </c>
      <c r="L2997">
        <v>149.4872</v>
      </c>
      <c r="M2997">
        <v>-0.56857800000000003</v>
      </c>
      <c r="N2997">
        <v>0</v>
      </c>
      <c r="O2997">
        <v>-0.82257930000000001</v>
      </c>
      <c r="P2997">
        <v>-0.79504169999999996</v>
      </c>
      <c r="Q2997">
        <v>2.2482749999999999E-2</v>
      </c>
      <c r="R2997">
        <v>-0.60613869999999903</v>
      </c>
      <c r="S2997">
        <v>-2.9756320000000001</v>
      </c>
      <c r="T2997">
        <v>-0.43884590000000001</v>
      </c>
      <c r="U2997">
        <v>-1.076004</v>
      </c>
      <c r="V2997">
        <v>0.30971320000000002</v>
      </c>
      <c r="W2997">
        <v>2.7395940000000001E-2</v>
      </c>
      <c r="X2997">
        <v>0.95043529999999998</v>
      </c>
      <c r="Y2997">
        <v>0.56984669999999904</v>
      </c>
      <c r="Z2997">
        <v>0.13785529999999999</v>
      </c>
      <c r="AA2997">
        <v>0.81010530000000003</v>
      </c>
      <c r="AB2997">
        <v>21</v>
      </c>
      <c r="AC2997">
        <v>-7.35679999999999</v>
      </c>
      <c r="AD2997">
        <v>-1.10504387792</v>
      </c>
      <c r="AE2997">
        <v>-2.5271999999999899</v>
      </c>
      <c r="AF2997">
        <v>4.5235426164608201</v>
      </c>
      <c r="AG2997">
        <v>-1.10504387792</v>
      </c>
      <c r="AH2997">
        <v>6.1381229646457403</v>
      </c>
      <c r="AI2997">
        <v>98.246224694513501</v>
      </c>
      <c r="AJ2997">
        <v>53.611321816082302</v>
      </c>
      <c r="AK2997">
        <v>7.7045514667745003</v>
      </c>
    </row>
    <row r="2998" spans="1:37" x14ac:dyDescent="0.2">
      <c r="A2998" t="str">
        <f>"20200111154124548"</f>
        <v>20200111154124548</v>
      </c>
      <c r="B2998" t="str">
        <f>"1578728484539795"</f>
        <v>1578728484539795</v>
      </c>
      <c r="C2998" t="s">
        <v>37</v>
      </c>
      <c r="D2998">
        <v>5.3518410000000003</v>
      </c>
      <c r="E2998">
        <v>0.6218399</v>
      </c>
      <c r="F2998" t="s">
        <v>46</v>
      </c>
      <c r="G2998">
        <v>-204.1942</v>
      </c>
      <c r="H2998" s="1">
        <v>-9.8002869999999994E-6</v>
      </c>
      <c r="I2998">
        <v>146.84639999999999</v>
      </c>
      <c r="J2998">
        <v>-196.83160000000001</v>
      </c>
      <c r="K2998">
        <v>1.1049370000000001</v>
      </c>
      <c r="L2998">
        <v>149.32919999999999</v>
      </c>
      <c r="M2998">
        <v>-0.57542439999999995</v>
      </c>
      <c r="N2998">
        <v>0</v>
      </c>
      <c r="O2998">
        <v>-0.81780459999999899</v>
      </c>
      <c r="P2998">
        <v>-0.79908970000000001</v>
      </c>
      <c r="Q2998">
        <v>2.1852770000000001E-2</v>
      </c>
      <c r="R2998">
        <v>-0.60081490000000004</v>
      </c>
      <c r="S2998">
        <v>-2.983215</v>
      </c>
      <c r="T2998">
        <v>-0.44052089999999999</v>
      </c>
      <c r="U2998">
        <v>-1.052765</v>
      </c>
      <c r="V2998">
        <v>0.30813940000000001</v>
      </c>
      <c r="W2998">
        <v>2.6706210000000001E-2</v>
      </c>
      <c r="X2998">
        <v>0.95096630000000004</v>
      </c>
      <c r="Y2998">
        <v>0.5692315</v>
      </c>
      <c r="Z2998">
        <v>0.1380142</v>
      </c>
      <c r="AA2998">
        <v>0.81051079999999998</v>
      </c>
      <c r="AB2998">
        <v>21</v>
      </c>
      <c r="AC2998">
        <v>-7.36259999999998</v>
      </c>
      <c r="AD2998">
        <v>-1.104946800287</v>
      </c>
      <c r="AE2998">
        <v>-2.4827999999999899</v>
      </c>
      <c r="AF2998">
        <v>4.5016565899219296</v>
      </c>
      <c r="AG2998">
        <v>-1.104946800287</v>
      </c>
      <c r="AH2998">
        <v>6.1430913232040902</v>
      </c>
      <c r="AI2998">
        <v>98.255073823430294</v>
      </c>
      <c r="AJ2998">
        <v>53.766043125917903</v>
      </c>
      <c r="AK2998">
        <v>7.6956734916625296</v>
      </c>
    </row>
    <row r="2999" spans="1:37" x14ac:dyDescent="0.2">
      <c r="A2999" t="str">
        <f>"20200111154124571"</f>
        <v>20200111154124571</v>
      </c>
      <c r="B2999" t="str">
        <f>"1578728484559316"</f>
        <v>1578728484559316</v>
      </c>
      <c r="C2999" t="s">
        <v>37</v>
      </c>
      <c r="D2999">
        <v>5.3417029999999999</v>
      </c>
      <c r="E2999">
        <v>0.62197799999999903</v>
      </c>
      <c r="F2999" t="s">
        <v>46</v>
      </c>
      <c r="G2999">
        <v>-204.357</v>
      </c>
      <c r="H2999" s="1">
        <v>-9.7093379999999993E-6</v>
      </c>
      <c r="I2999">
        <v>146.73400000000001</v>
      </c>
      <c r="J2999">
        <v>-196.96379999999999</v>
      </c>
      <c r="K2999">
        <v>1.1048290000000001</v>
      </c>
      <c r="L2999">
        <v>149.15940000000001</v>
      </c>
      <c r="M2999">
        <v>-0.58287250000000002</v>
      </c>
      <c r="N2999">
        <v>0</v>
      </c>
      <c r="O2999">
        <v>-0.81251319999999905</v>
      </c>
      <c r="P2999">
        <v>-0.80365279999999994</v>
      </c>
      <c r="Q2999">
        <v>2.1050840000000001E-2</v>
      </c>
      <c r="R2999">
        <v>-0.59472639999999999</v>
      </c>
      <c r="S2999">
        <v>-2.990799</v>
      </c>
      <c r="T2999">
        <v>-0.43913340000000001</v>
      </c>
      <c r="U2999">
        <v>-1.0314179999999999</v>
      </c>
      <c r="V2999">
        <v>0.30668829999999903</v>
      </c>
      <c r="W2999">
        <v>2.584295E-2</v>
      </c>
      <c r="X2999">
        <v>0.9514591</v>
      </c>
      <c r="Y2999">
        <v>0.56767309999999904</v>
      </c>
      <c r="Z2999">
        <v>0.1370942</v>
      </c>
      <c r="AA2999">
        <v>0.81175889999999995</v>
      </c>
      <c r="AB2999">
        <v>21</v>
      </c>
      <c r="AC2999">
        <v>-7.3932000000000002</v>
      </c>
      <c r="AD2999">
        <v>-1.1048387093380001</v>
      </c>
      <c r="AE2999">
        <v>-2.42539999999999</v>
      </c>
      <c r="AF2999">
        <v>4.50277530714681</v>
      </c>
      <c r="AG2999">
        <v>-1.1048387093380001</v>
      </c>
      <c r="AH2999">
        <v>6.1560983887947698</v>
      </c>
      <c r="AI2999">
        <v>98.242370131744494</v>
      </c>
      <c r="AJ2999">
        <v>53.817019740039697</v>
      </c>
      <c r="AK2999">
        <v>7.70669847683327</v>
      </c>
    </row>
    <row r="3000" spans="1:37" x14ac:dyDescent="0.2">
      <c r="A3000" t="str">
        <f>"20200111154124585"</f>
        <v>20200111154124585</v>
      </c>
      <c r="B3000" t="str">
        <f>"1578728484578836"</f>
        <v>1578728484578836</v>
      </c>
      <c r="C3000" t="s">
        <v>37</v>
      </c>
      <c r="D3000">
        <v>5.3623909999999997</v>
      </c>
      <c r="E3000">
        <v>0.62195059999999902</v>
      </c>
      <c r="F3000" t="s">
        <v>46</v>
      </c>
      <c r="G3000">
        <v>-204.52590000000001</v>
      </c>
      <c r="H3000" s="1">
        <v>-9.6157259999999996E-6</v>
      </c>
      <c r="I3000">
        <v>146.62020000000001</v>
      </c>
      <c r="J3000">
        <v>-197.05080000000001</v>
      </c>
      <c r="K3000">
        <v>1.1047629999999999</v>
      </c>
      <c r="L3000">
        <v>149.04929999999999</v>
      </c>
      <c r="M3000">
        <v>-0.58773769999999903</v>
      </c>
      <c r="N3000">
        <v>0</v>
      </c>
      <c r="O3000">
        <v>-0.80900099999999997</v>
      </c>
      <c r="P3000">
        <v>-0.80686859999999905</v>
      </c>
      <c r="Q3000">
        <v>2.0834220000000001E-2</v>
      </c>
      <c r="R3000">
        <v>-0.59036359999999999</v>
      </c>
      <c r="S3000">
        <v>-2.9991759999999998</v>
      </c>
      <c r="T3000">
        <v>-0.4381893</v>
      </c>
      <c r="U3000">
        <v>-1.0070649999999901</v>
      </c>
      <c r="V3000">
        <v>0.30613899999999999</v>
      </c>
      <c r="W3000">
        <v>2.5583160000000001E-2</v>
      </c>
      <c r="X3000">
        <v>0.95164300000000002</v>
      </c>
      <c r="Y3000">
        <v>0.56942289999999995</v>
      </c>
      <c r="Z3000">
        <v>0.136626</v>
      </c>
      <c r="AA3000">
        <v>0.81061149999999904</v>
      </c>
      <c r="AB3000">
        <v>21</v>
      </c>
      <c r="AC3000">
        <v>-7.4750999999999896</v>
      </c>
      <c r="AD3000">
        <v>-1.1047726157259901</v>
      </c>
      <c r="AE3000">
        <v>-2.4290999999999698</v>
      </c>
      <c r="AF3000">
        <v>4.5303733988236399</v>
      </c>
      <c r="AG3000">
        <v>-1.1047726157259901</v>
      </c>
      <c r="AH3000">
        <v>6.23560738645455</v>
      </c>
      <c r="AI3000">
        <v>98.156960655641697</v>
      </c>
      <c r="AJ3000">
        <v>54.000364178160297</v>
      </c>
      <c r="AK3000">
        <v>7.7863730416178702</v>
      </c>
    </row>
    <row r="3001" spans="1:37" x14ac:dyDescent="0.2">
      <c r="A3001" t="str">
        <f>"20200111154124604"</f>
        <v>20200111154124604</v>
      </c>
      <c r="B3001" t="str">
        <f>"1578728484599332"</f>
        <v>1578728484599332</v>
      </c>
      <c r="C3001" t="s">
        <v>37</v>
      </c>
      <c r="D3001">
        <v>5.3179869999999996</v>
      </c>
      <c r="E3001">
        <v>0.62182349999999997</v>
      </c>
      <c r="F3001" t="s">
        <v>46</v>
      </c>
      <c r="G3001">
        <v>-204.68610000000001</v>
      </c>
      <c r="H3001" s="1">
        <v>-9.5319870000000007E-6</v>
      </c>
      <c r="I3001">
        <v>146.53139999999999</v>
      </c>
      <c r="J3001">
        <v>-197.1583</v>
      </c>
      <c r="K3001">
        <v>1.1046860000000001</v>
      </c>
      <c r="L3001">
        <v>148.9153</v>
      </c>
      <c r="M3001">
        <v>-0.59372709999999995</v>
      </c>
      <c r="N3001">
        <v>0</v>
      </c>
      <c r="O3001">
        <v>-0.80461559999999999</v>
      </c>
      <c r="P3001">
        <v>-0.81069080000000004</v>
      </c>
      <c r="Q3001">
        <v>2.0775769999999999E-2</v>
      </c>
      <c r="R3001">
        <v>-0.58510609999999996</v>
      </c>
      <c r="S3001">
        <v>-3.0043790000000001</v>
      </c>
      <c r="T3001">
        <v>-0.43471159999999998</v>
      </c>
      <c r="U3001">
        <v>-0.99078369999999905</v>
      </c>
      <c r="V3001">
        <v>0.30526550000000002</v>
      </c>
      <c r="W3001">
        <v>2.5477820000000002E-2</v>
      </c>
      <c r="X3001">
        <v>0.95192639999999995</v>
      </c>
      <c r="Y3001">
        <v>0.56793179999999999</v>
      </c>
      <c r="Z3001">
        <v>0.13514519999999999</v>
      </c>
      <c r="AA3001">
        <v>0.81190469999999904</v>
      </c>
      <c r="AB3001">
        <v>21</v>
      </c>
      <c r="AC3001">
        <v>-7.5278000000000098</v>
      </c>
      <c r="AD3001">
        <v>-1.104695531987</v>
      </c>
      <c r="AE3001">
        <v>-2.3839000000000099</v>
      </c>
      <c r="AF3001">
        <v>4.5526824856153096</v>
      </c>
      <c r="AG3001">
        <v>-1.104695531987</v>
      </c>
      <c r="AH3001">
        <v>6.2652182808582397</v>
      </c>
      <c r="AI3001">
        <v>98.117881381977696</v>
      </c>
      <c r="AJ3001">
        <v>53.995601145295197</v>
      </c>
      <c r="AK3001">
        <v>7.8230575953408801</v>
      </c>
    </row>
    <row r="3002" spans="1:37" x14ac:dyDescent="0.2">
      <c r="A3002" t="str">
        <f>"20200111154124626"</f>
        <v>20200111154124626</v>
      </c>
      <c r="B3002" t="str">
        <f>"1578728484618852"</f>
        <v>1578728484618852</v>
      </c>
      <c r="C3002" t="s">
        <v>37</v>
      </c>
      <c r="D3002">
        <v>5.3049609999999996</v>
      </c>
      <c r="E3002">
        <v>0.62175069999999999</v>
      </c>
      <c r="F3002" t="s">
        <v>46</v>
      </c>
      <c r="G3002">
        <v>-204.8184</v>
      </c>
      <c r="H3002" s="1">
        <v>-9.4585930000000004E-6</v>
      </c>
      <c r="I3002">
        <v>146.44210000000001</v>
      </c>
      <c r="J3002">
        <v>-197.29929999999999</v>
      </c>
      <c r="K3002">
        <v>1.1045860000000001</v>
      </c>
      <c r="L3002">
        <v>148.74289999999999</v>
      </c>
      <c r="M3002">
        <v>-0.60153109999999999</v>
      </c>
      <c r="N3002">
        <v>0</v>
      </c>
      <c r="O3002">
        <v>-0.79879829999999996</v>
      </c>
      <c r="P3002">
        <v>-0.81571229999999995</v>
      </c>
      <c r="Q3002">
        <v>2.1265099999999999E-2</v>
      </c>
      <c r="R3002">
        <v>-0.57806709999999994</v>
      </c>
      <c r="S3002">
        <v>-3.0102389999999999</v>
      </c>
      <c r="T3002">
        <v>-0.43411809999999901</v>
      </c>
      <c r="U3002">
        <v>-0.97189329999999996</v>
      </c>
      <c r="V3002">
        <v>0.30424109999999999</v>
      </c>
      <c r="W3002">
        <v>2.5908730000000001E-2</v>
      </c>
      <c r="X3002">
        <v>0.9522427</v>
      </c>
      <c r="Y3002">
        <v>0.56511619999999996</v>
      </c>
      <c r="Z3002">
        <v>0.13436589999999901</v>
      </c>
      <c r="AA3002">
        <v>0.81399600000000005</v>
      </c>
      <c r="AB3002">
        <v>21</v>
      </c>
      <c r="AC3002">
        <v>-7.5190999999999999</v>
      </c>
      <c r="AD3002">
        <v>-1.104595458593</v>
      </c>
      <c r="AE3002">
        <v>-2.3007999999999802</v>
      </c>
      <c r="AF3002">
        <v>4.5329787742694396</v>
      </c>
      <c r="AG3002">
        <v>-1.104595458593</v>
      </c>
      <c r="AH3002">
        <v>6.2380096309947097</v>
      </c>
      <c r="AI3002">
        <v>98.152044409398201</v>
      </c>
      <c r="AJ3002">
        <v>53.9951940754163</v>
      </c>
      <c r="AK3002">
        <v>7.7897876640832999</v>
      </c>
    </row>
    <row r="3003" spans="1:37" x14ac:dyDescent="0.2">
      <c r="A3003" t="str">
        <f>"20200111154124650"</f>
        <v>20200111154124650</v>
      </c>
      <c r="B3003" t="str">
        <f>"1578728484639348"</f>
        <v>1578728484639348</v>
      </c>
      <c r="C3003" t="s">
        <v>37</v>
      </c>
      <c r="D3003">
        <v>5.3914859999999996</v>
      </c>
      <c r="E3003">
        <v>0.62158290000000005</v>
      </c>
      <c r="F3003" t="s">
        <v>46</v>
      </c>
      <c r="G3003">
        <v>-205.04849999999999</v>
      </c>
      <c r="H3003" s="1">
        <v>-9.3322270000000007E-6</v>
      </c>
      <c r="I3003">
        <v>146.31450000000001</v>
      </c>
      <c r="J3003">
        <v>-197.4401</v>
      </c>
      <c r="K3003">
        <v>1.104495</v>
      </c>
      <c r="L3003">
        <v>148.5744</v>
      </c>
      <c r="M3003">
        <v>-0.60925609999999997</v>
      </c>
      <c r="N3003">
        <v>0</v>
      </c>
      <c r="O3003">
        <v>-0.79292200000000002</v>
      </c>
      <c r="P3003">
        <v>-0.82118919999999995</v>
      </c>
      <c r="Q3003">
        <v>2.241104E-2</v>
      </c>
      <c r="R3003">
        <v>-0.57021630000000001</v>
      </c>
      <c r="S3003">
        <v>-3.0186160000000002</v>
      </c>
      <c r="T3003">
        <v>-0.43028509999999998</v>
      </c>
      <c r="U3003">
        <v>-0.94595339999999895</v>
      </c>
      <c r="V3003">
        <v>0.3041295</v>
      </c>
      <c r="W3003">
        <v>2.6986489999999998E-2</v>
      </c>
      <c r="X3003">
        <v>0.95224839999999999</v>
      </c>
      <c r="Y3003">
        <v>0.56438730000000004</v>
      </c>
      <c r="Z3003">
        <v>0.13268550000000001</v>
      </c>
      <c r="AA3003">
        <v>0.81477699999999997</v>
      </c>
      <c r="AB3003">
        <v>21</v>
      </c>
      <c r="AC3003">
        <v>-7.6083999999999801</v>
      </c>
      <c r="AD3003">
        <v>-1.1045043322270001</v>
      </c>
      <c r="AE3003">
        <v>-2.25989999999998</v>
      </c>
      <c r="AF3003">
        <v>4.5677433228362396</v>
      </c>
      <c r="AG3003">
        <v>-1.1045043322270001</v>
      </c>
      <c r="AH3003">
        <v>6.3055409699144898</v>
      </c>
      <c r="AI3003">
        <v>98.073824847823801</v>
      </c>
      <c r="AJ3003">
        <v>54.080371639402898</v>
      </c>
      <c r="AK3003">
        <v>7.8640991732361396</v>
      </c>
    </row>
    <row r="3004" spans="1:37" x14ac:dyDescent="0.2">
      <c r="A3004" t="str">
        <f>"20200111154124670"</f>
        <v>20200111154124670</v>
      </c>
      <c r="B3004" t="str">
        <f>"1578728484658871"</f>
        <v>1578728484658871</v>
      </c>
      <c r="C3004" t="s">
        <v>37</v>
      </c>
      <c r="D3004">
        <v>5.4417279999999897</v>
      </c>
      <c r="E3004">
        <v>0.58914339999999998</v>
      </c>
      <c r="F3004" t="s">
        <v>46</v>
      </c>
      <c r="G3004">
        <v>-205.29679999999999</v>
      </c>
      <c r="H3004" s="1">
        <v>-9.1896969999999996E-6</v>
      </c>
      <c r="I3004">
        <v>146.1917</v>
      </c>
      <c r="J3004">
        <v>-197.5693</v>
      </c>
      <c r="K3004">
        <v>1.104411</v>
      </c>
      <c r="L3004">
        <v>148.42269999999999</v>
      </c>
      <c r="M3004">
        <v>-0.61628209999999894</v>
      </c>
      <c r="N3004">
        <v>0</v>
      </c>
      <c r="O3004">
        <v>-0.78747349999999905</v>
      </c>
      <c r="P3004">
        <v>-0.82620090000000002</v>
      </c>
      <c r="Q3004">
        <v>2.3653230000000001E-2</v>
      </c>
      <c r="R3004">
        <v>-0.56287940000000003</v>
      </c>
      <c r="S3004">
        <v>-3.0273279999999998</v>
      </c>
      <c r="T3004">
        <v>-0.4255893</v>
      </c>
      <c r="U3004">
        <v>-0.91810609999999904</v>
      </c>
      <c r="V3004">
        <v>0.30413970000000001</v>
      </c>
      <c r="W3004">
        <v>2.8168120000000001E-2</v>
      </c>
      <c r="X3004">
        <v>0.95221089999999997</v>
      </c>
      <c r="Y3004">
        <v>0.56485129999999995</v>
      </c>
      <c r="Z3004">
        <v>0.13084409999999999</v>
      </c>
      <c r="AA3004">
        <v>0.81475319999999996</v>
      </c>
      <c r="AB3004">
        <v>21</v>
      </c>
      <c r="AC3004">
        <v>-7.7274999999999903</v>
      </c>
      <c r="AD3004">
        <v>-1.1044201896969901</v>
      </c>
      <c r="AE3004">
        <v>-2.2309999999999901</v>
      </c>
      <c r="AF3004">
        <v>4.6232978077948896</v>
      </c>
      <c r="AG3004">
        <v>-1.1044201896969901</v>
      </c>
      <c r="AH3004">
        <v>6.3987925497760099</v>
      </c>
      <c r="AI3004">
        <v>97.964079421031499</v>
      </c>
      <c r="AJ3004">
        <v>54.150887508915403</v>
      </c>
      <c r="AK3004">
        <v>7.9711462582266304</v>
      </c>
    </row>
    <row r="3005" spans="1:37" x14ac:dyDescent="0.2">
      <c r="A3005" t="str">
        <f>"20200111154124693"</f>
        <v>20200111154124693</v>
      </c>
      <c r="B3005" t="str">
        <f>"1578728484689124"</f>
        <v>1578728484689124</v>
      </c>
      <c r="C3005" t="s">
        <v>37</v>
      </c>
      <c r="D3005">
        <v>5.390161</v>
      </c>
      <c r="E3005">
        <v>0.58701250000000005</v>
      </c>
      <c r="F3005" t="s">
        <v>46</v>
      </c>
      <c r="G3005">
        <v>-205.1593</v>
      </c>
      <c r="H3005" s="1">
        <v>-9.0736939999999995E-6</v>
      </c>
      <c r="I3005">
        <v>145.5213</v>
      </c>
      <c r="J3005">
        <v>-197.7115</v>
      </c>
      <c r="K3005">
        <v>1.1043149999999999</v>
      </c>
      <c r="L3005">
        <v>148.25899999999999</v>
      </c>
      <c r="M3005">
        <v>-0.62394989999999995</v>
      </c>
      <c r="N3005">
        <v>0</v>
      </c>
      <c r="O3005">
        <v>-0.78141190000000005</v>
      </c>
      <c r="P3005">
        <v>-0.83170820000000001</v>
      </c>
      <c r="Q3005">
        <v>2.4489750000000001E-2</v>
      </c>
      <c r="R3005">
        <v>-0.55467279999999997</v>
      </c>
      <c r="S3005">
        <v>-2.8903810000000001</v>
      </c>
      <c r="T3005">
        <v>-0.42057909999999998</v>
      </c>
      <c r="U3005">
        <v>-1.104889</v>
      </c>
      <c r="V3005">
        <v>0.30425720000000001</v>
      </c>
      <c r="W3005">
        <v>2.8939799999999901E-2</v>
      </c>
      <c r="X3005">
        <v>0.95215019999999995</v>
      </c>
      <c r="Y3005">
        <v>0.49774009999999902</v>
      </c>
      <c r="Z3005">
        <v>0.12802169999999999</v>
      </c>
      <c r="AA3005">
        <v>0.85782590000000003</v>
      </c>
      <c r="AB3005">
        <v>21</v>
      </c>
      <c r="AC3005">
        <v>-7.4478</v>
      </c>
      <c r="AD3005">
        <v>-1.1043240736939901</v>
      </c>
      <c r="AE3005">
        <v>-2.7376999999999798</v>
      </c>
      <c r="AF3005">
        <v>4.03365462305619</v>
      </c>
      <c r="AG3005">
        <v>-1.1043240736939901</v>
      </c>
      <c r="AH3005">
        <v>6.6576548406586298</v>
      </c>
      <c r="AI3005">
        <v>98.074456081137001</v>
      </c>
      <c r="AJ3005">
        <v>58.789702888931501</v>
      </c>
      <c r="AK3005">
        <v>7.86220511403691</v>
      </c>
    </row>
    <row r="3006" spans="1:37" x14ac:dyDescent="0.2">
      <c r="A3006" t="str">
        <f>"20200111154124715"</f>
        <v>20200111154124715</v>
      </c>
      <c r="B3006" t="str">
        <f>"1578728484709620"</f>
        <v>1578728484709620</v>
      </c>
      <c r="C3006" t="s">
        <v>37</v>
      </c>
      <c r="D3006">
        <v>5.4152569999999898</v>
      </c>
      <c r="E3006">
        <v>0.58691719999999903</v>
      </c>
      <c r="F3006" t="s">
        <v>46</v>
      </c>
      <c r="G3006">
        <v>-205.54990000000001</v>
      </c>
      <c r="H3006" s="1">
        <v>-8.8427450000000007E-6</v>
      </c>
      <c r="I3006">
        <v>145.30269999999999</v>
      </c>
      <c r="J3006">
        <v>-197.85980000000001</v>
      </c>
      <c r="K3006">
        <v>1.1042209999999999</v>
      </c>
      <c r="L3006">
        <v>148.09190000000001</v>
      </c>
      <c r="M3006">
        <v>-0.63187419999999905</v>
      </c>
      <c r="N3006">
        <v>0</v>
      </c>
      <c r="O3006">
        <v>-0.77501799999999998</v>
      </c>
      <c r="P3006">
        <v>-0.83721489999999998</v>
      </c>
      <c r="Q3006">
        <v>2.466161E-2</v>
      </c>
      <c r="R3006">
        <v>-0.54631759999999996</v>
      </c>
      <c r="S3006">
        <v>-2.89167799999999</v>
      </c>
      <c r="T3006">
        <v>-0.40739549999999902</v>
      </c>
      <c r="U3006">
        <v>-1.0906370000000001</v>
      </c>
      <c r="V3006">
        <v>0.3041006</v>
      </c>
      <c r="W3006">
        <v>2.905276E-2</v>
      </c>
      <c r="X3006">
        <v>0.95219679999999995</v>
      </c>
      <c r="Y3006">
        <v>0.49337720000000002</v>
      </c>
      <c r="Z3006">
        <v>0.1234291</v>
      </c>
      <c r="AA3006">
        <v>0.86101349999999999</v>
      </c>
      <c r="AB3006">
        <v>21</v>
      </c>
      <c r="AC3006">
        <v>-7.6901000000000002</v>
      </c>
      <c r="AD3006">
        <v>-1.1042298427449999</v>
      </c>
      <c r="AE3006">
        <v>-2.7892000000000201</v>
      </c>
      <c r="AF3006">
        <v>4.1225954297290004</v>
      </c>
      <c r="AG3006">
        <v>-1.1042298427449999</v>
      </c>
      <c r="AH3006">
        <v>6.8954988517983598</v>
      </c>
      <c r="AI3006">
        <v>97.826048009716004</v>
      </c>
      <c r="AJ3006">
        <v>59.126163908393302</v>
      </c>
      <c r="AK3006">
        <v>8.1094402419639096</v>
      </c>
    </row>
    <row r="3007" spans="1:37" x14ac:dyDescent="0.2">
      <c r="A3007" t="str">
        <f>"20200111154124739"</f>
        <v>20200111154124739</v>
      </c>
      <c r="B3007" t="str">
        <f>"1578728484729139"</f>
        <v>1578728484729139</v>
      </c>
      <c r="C3007" t="s">
        <v>37</v>
      </c>
      <c r="D3007">
        <v>5.4030100000000001</v>
      </c>
      <c r="E3007">
        <v>0.58675639999999996</v>
      </c>
      <c r="F3007" t="s">
        <v>46</v>
      </c>
      <c r="G3007">
        <v>-205.74440000000001</v>
      </c>
      <c r="H3007" s="1">
        <v>-8.7309059999999994E-6</v>
      </c>
      <c r="I3007">
        <v>145.2056</v>
      </c>
      <c r="J3007">
        <v>-198.01220000000001</v>
      </c>
      <c r="K3007">
        <v>1.1041219999999901</v>
      </c>
      <c r="L3007">
        <v>147.92359999999999</v>
      </c>
      <c r="M3007">
        <v>-0.6399378</v>
      </c>
      <c r="N3007">
        <v>0</v>
      </c>
      <c r="O3007">
        <v>-0.76837330000000004</v>
      </c>
      <c r="P3007">
        <v>-0.84260759999999901</v>
      </c>
      <c r="Q3007">
        <v>2.510956E-2</v>
      </c>
      <c r="R3007">
        <v>-0.53794240000000004</v>
      </c>
      <c r="S3007">
        <v>-2.9020839999999999</v>
      </c>
      <c r="T3007">
        <v>-0.40643570000000001</v>
      </c>
      <c r="U3007">
        <v>-1.0623320000000001</v>
      </c>
      <c r="V3007">
        <v>0.30364869999999999</v>
      </c>
      <c r="W3007">
        <v>2.9448370000000001E-2</v>
      </c>
      <c r="X3007">
        <v>0.95232890000000003</v>
      </c>
      <c r="Y3007">
        <v>0.49280760000000001</v>
      </c>
      <c r="Z3007">
        <v>0.1225325</v>
      </c>
      <c r="AA3007">
        <v>0.8614676</v>
      </c>
      <c r="AB3007">
        <v>21</v>
      </c>
      <c r="AC3007">
        <v>-7.7321999999999997</v>
      </c>
      <c r="AD3007">
        <v>-1.10413073090599</v>
      </c>
      <c r="AE3007">
        <v>-2.71799999999998</v>
      </c>
      <c r="AF3007">
        <v>4.1271368654486498</v>
      </c>
      <c r="AG3007">
        <v>-1.10413073090599</v>
      </c>
      <c r="AH3007">
        <v>6.9114236250075001</v>
      </c>
      <c r="AI3007">
        <v>97.809992934680594</v>
      </c>
      <c r="AJ3007">
        <v>59.156583515907101</v>
      </c>
      <c r="AK3007">
        <v>8.1252778353351207</v>
      </c>
    </row>
    <row r="3008" spans="1:37" x14ac:dyDescent="0.2">
      <c r="A3008" t="str">
        <f>"20200111154124760"</f>
        <v>20200111154124760</v>
      </c>
      <c r="B3008" t="str">
        <f>"1578728484749639"</f>
        <v>1578728484749639</v>
      </c>
      <c r="C3008" t="s">
        <v>37</v>
      </c>
      <c r="D3008">
        <v>5.4290979999999998</v>
      </c>
      <c r="E3008">
        <v>0.58615240000000002</v>
      </c>
      <c r="F3008" t="s">
        <v>46</v>
      </c>
      <c r="G3008">
        <v>-205.94059999999999</v>
      </c>
      <c r="H3008" s="1">
        <v>-8.6179519999999998E-6</v>
      </c>
      <c r="I3008">
        <v>145.10749999999999</v>
      </c>
      <c r="J3008">
        <v>-198.15610000000001</v>
      </c>
      <c r="K3008">
        <v>1.1040299999999901</v>
      </c>
      <c r="L3008">
        <v>147.76820000000001</v>
      </c>
      <c r="M3008">
        <v>-0.64747699999999997</v>
      </c>
      <c r="N3008">
        <v>0</v>
      </c>
      <c r="O3008">
        <v>-0.76203089999999996</v>
      </c>
      <c r="P3008">
        <v>-0.84776739999999995</v>
      </c>
      <c r="Q3008">
        <v>2.4974860000000002E-2</v>
      </c>
      <c r="R3008">
        <v>-0.52978009999999998</v>
      </c>
      <c r="S3008">
        <v>-2.91209399999999</v>
      </c>
      <c r="T3008">
        <v>-0.405543599999999</v>
      </c>
      <c r="U3008">
        <v>-1.034378</v>
      </c>
      <c r="V3008">
        <v>0.30347059999999998</v>
      </c>
      <c r="W3008">
        <v>2.9262010000000001E-2</v>
      </c>
      <c r="X3008">
        <v>0.9523914</v>
      </c>
      <c r="Y3008">
        <v>0.49262050000000002</v>
      </c>
      <c r="Z3008">
        <v>0.121697499999999</v>
      </c>
      <c r="AA3008">
        <v>0.86169300000000004</v>
      </c>
      <c r="AB3008">
        <v>21</v>
      </c>
      <c r="AC3008">
        <v>-7.78449999999998</v>
      </c>
      <c r="AD3008">
        <v>-1.1040386179520001</v>
      </c>
      <c r="AE3008">
        <v>-2.6607000000000198</v>
      </c>
      <c r="AF3008">
        <v>4.1349883576485897</v>
      </c>
      <c r="AG3008">
        <v>-1.1040386179520001</v>
      </c>
      <c r="AH3008">
        <v>6.9430645531288198</v>
      </c>
      <c r="AI3008">
        <v>97.779571430652396</v>
      </c>
      <c r="AJ3008">
        <v>59.223804920412299</v>
      </c>
      <c r="AK3008">
        <v>8.1561740648868302</v>
      </c>
    </row>
    <row r="3009" spans="1:37" x14ac:dyDescent="0.2">
      <c r="A3009" t="str">
        <f>"20200111154124782"</f>
        <v>20200111154124782</v>
      </c>
      <c r="B3009" t="str">
        <f>"1578728484778916"</f>
        <v>1578728484778916</v>
      </c>
      <c r="C3009" t="s">
        <v>37</v>
      </c>
      <c r="D3009">
        <v>5.4540860000000002</v>
      </c>
      <c r="E3009">
        <v>0.58567290000000005</v>
      </c>
      <c r="F3009" t="s">
        <v>46</v>
      </c>
      <c r="G3009">
        <v>-206.03120000000001</v>
      </c>
      <c r="H3009" s="1">
        <v>-8.5609990000000005E-6</v>
      </c>
      <c r="I3009">
        <v>145.0438</v>
      </c>
      <c r="J3009">
        <v>-198.3039</v>
      </c>
      <c r="K3009">
        <v>1.1039319999999999</v>
      </c>
      <c r="L3009">
        <v>147.61170000000001</v>
      </c>
      <c r="M3009">
        <v>-0.65515029999999996</v>
      </c>
      <c r="N3009">
        <v>0</v>
      </c>
      <c r="O3009">
        <v>-0.75544389999999995</v>
      </c>
      <c r="P3009">
        <v>-0.85282839999999904</v>
      </c>
      <c r="Q3009">
        <v>2.592614E-2</v>
      </c>
      <c r="R3009">
        <v>-0.5215476</v>
      </c>
      <c r="S3009">
        <v>-2.919556</v>
      </c>
      <c r="T3009">
        <v>-0.4093039</v>
      </c>
      <c r="U3009">
        <v>-1.01004</v>
      </c>
      <c r="V3009">
        <v>0.30305870000000001</v>
      </c>
      <c r="W3009">
        <v>3.0166640000000002E-2</v>
      </c>
      <c r="X3009">
        <v>0.95249430000000002</v>
      </c>
      <c r="Y3009">
        <v>0.49082720000000002</v>
      </c>
      <c r="Z3009">
        <v>0.1221622</v>
      </c>
      <c r="AA3009">
        <v>0.86265000000000003</v>
      </c>
      <c r="AB3009">
        <v>21</v>
      </c>
      <c r="AC3009">
        <v>-7.7273000000000103</v>
      </c>
      <c r="AD3009">
        <v>-1.1039405609989901</v>
      </c>
      <c r="AE3009">
        <v>-2.5678999999999998</v>
      </c>
      <c r="AF3009">
        <v>4.0803562434172802</v>
      </c>
      <c r="AG3009">
        <v>-1.1039405609989901</v>
      </c>
      <c r="AH3009">
        <v>6.8763498505248801</v>
      </c>
      <c r="AI3009">
        <v>97.860807491639704</v>
      </c>
      <c r="AJ3009">
        <v>59.315536179294099</v>
      </c>
      <c r="AK3009">
        <v>8.0716899780793501</v>
      </c>
    </row>
    <row r="3010" spans="1:37" x14ac:dyDescent="0.2">
      <c r="A3010" t="str">
        <f>"20200111154124806"</f>
        <v>20200111154124806</v>
      </c>
      <c r="B3010" t="str">
        <f>"1578728484799413"</f>
        <v>1578728484799413</v>
      </c>
      <c r="C3010" t="s">
        <v>37</v>
      </c>
      <c r="D3010">
        <v>5.4755599999999998</v>
      </c>
      <c r="E3010">
        <v>0.58509619999999996</v>
      </c>
      <c r="F3010" t="s">
        <v>46</v>
      </c>
      <c r="G3010">
        <v>-206.21719999999999</v>
      </c>
      <c r="H3010" s="1">
        <v>-8.4533650000000003E-6</v>
      </c>
      <c r="I3010">
        <v>144.9485</v>
      </c>
      <c r="J3010">
        <v>-198.45760000000001</v>
      </c>
      <c r="K3010">
        <v>1.103845</v>
      </c>
      <c r="L3010">
        <v>147.45269999999999</v>
      </c>
      <c r="M3010">
        <v>-0.66304049999999903</v>
      </c>
      <c r="N3010">
        <v>0</v>
      </c>
      <c r="O3010">
        <v>-0.74852810000000003</v>
      </c>
      <c r="P3010">
        <v>-0.85780569999999901</v>
      </c>
      <c r="Q3010">
        <v>2.8341060000000001E-2</v>
      </c>
      <c r="R3010">
        <v>-0.51319239999999999</v>
      </c>
      <c r="S3010">
        <v>-2.9275669999999998</v>
      </c>
      <c r="T3010">
        <v>-0.4084103</v>
      </c>
      <c r="U3010">
        <v>-0.98526000000000002</v>
      </c>
      <c r="V3010">
        <v>0.30235440000000002</v>
      </c>
      <c r="W3010">
        <v>3.2539650000000003E-2</v>
      </c>
      <c r="X3010">
        <v>0.95263999999999904</v>
      </c>
      <c r="Y3010">
        <v>0.48908049999999997</v>
      </c>
      <c r="Z3010">
        <v>0.12119049999999899</v>
      </c>
      <c r="AA3010">
        <v>0.86377839999999995</v>
      </c>
      <c r="AB3010">
        <v>21</v>
      </c>
      <c r="AC3010">
        <v>-7.7595999999999696</v>
      </c>
      <c r="AD3010">
        <v>-1.103853453365</v>
      </c>
      <c r="AE3010">
        <v>-2.5041999999999902</v>
      </c>
      <c r="AF3010">
        <v>4.07340714887874</v>
      </c>
      <c r="AG3010">
        <v>-1.103853453365</v>
      </c>
      <c r="AH3010">
        <v>6.8933428975369502</v>
      </c>
      <c r="AI3010">
        <v>97.849452664906707</v>
      </c>
      <c r="AJ3010">
        <v>59.420353196517198</v>
      </c>
      <c r="AK3010">
        <v>8.0826551670886797</v>
      </c>
    </row>
    <row r="3011" spans="1:37" x14ac:dyDescent="0.2">
      <c r="A3011" t="str">
        <f>"20200111154124828"</f>
        <v>20200111154124828</v>
      </c>
      <c r="B3011" t="str">
        <f>"1578728484818932"</f>
        <v>1578728484818932</v>
      </c>
      <c r="C3011" t="s">
        <v>37</v>
      </c>
      <c r="D3011">
        <v>5.2584150000000003</v>
      </c>
      <c r="E3011">
        <v>0.58655389999999996</v>
      </c>
      <c r="F3011" t="s">
        <v>46</v>
      </c>
      <c r="G3011">
        <v>-206.45480000000001</v>
      </c>
      <c r="H3011" s="1">
        <v>-8.3178720000000005E-6</v>
      </c>
      <c r="I3011">
        <v>144.83439999999999</v>
      </c>
      <c r="J3011">
        <v>-198.62</v>
      </c>
      <c r="K3011">
        <v>1.1037619999999999</v>
      </c>
      <c r="L3011">
        <v>147.2885</v>
      </c>
      <c r="M3011">
        <v>-0.67127950000000003</v>
      </c>
      <c r="N3011">
        <v>0</v>
      </c>
      <c r="O3011">
        <v>-0.74114789999999997</v>
      </c>
      <c r="P3011">
        <v>-0.86254229999999998</v>
      </c>
      <c r="Q3011">
        <v>3.1185580000000001E-2</v>
      </c>
      <c r="R3011">
        <v>-0.50502309999999995</v>
      </c>
      <c r="S3011">
        <v>-2.9356689999999999</v>
      </c>
      <c r="T3011">
        <v>-0.4052113</v>
      </c>
      <c r="U3011">
        <v>-0.96116639999999998</v>
      </c>
      <c r="V3011">
        <v>0.30084050000000001</v>
      </c>
      <c r="W3011">
        <v>3.5358979999999998E-2</v>
      </c>
      <c r="X3011">
        <v>0.95301880000000005</v>
      </c>
      <c r="Y3011">
        <v>0.4867727</v>
      </c>
      <c r="Z3011">
        <v>0.1194481</v>
      </c>
      <c r="AA3011">
        <v>0.86532339999999996</v>
      </c>
      <c r="AB3011">
        <v>22</v>
      </c>
      <c r="AC3011">
        <v>-7.8348000000000004</v>
      </c>
      <c r="AD3011">
        <v>-1.103770317872</v>
      </c>
      <c r="AE3011">
        <v>-2.4541000000000102</v>
      </c>
      <c r="AF3011">
        <v>4.0856877306625101</v>
      </c>
      <c r="AG3011">
        <v>-1.103770317872</v>
      </c>
      <c r="AH3011">
        <v>6.9528223199026797</v>
      </c>
      <c r="AI3011">
        <v>97.793616203731403</v>
      </c>
      <c r="AJ3011">
        <v>59.560222723066097</v>
      </c>
      <c r="AK3011">
        <v>8.13958791089809</v>
      </c>
    </row>
    <row r="3012" spans="1:37" x14ac:dyDescent="0.2">
      <c r="A3012" t="str">
        <f>"20200111154124853"</f>
        <v>20200111154124853</v>
      </c>
      <c r="B3012" t="str">
        <f>"1578728484849188"</f>
        <v>1578728484849188</v>
      </c>
      <c r="C3012" t="s">
        <v>37</v>
      </c>
      <c r="D3012">
        <v>5.2650940000000004</v>
      </c>
      <c r="E3012">
        <v>0.58750089999999999</v>
      </c>
      <c r="F3012" t="s">
        <v>46</v>
      </c>
      <c r="G3012">
        <v>-207.34049999999999</v>
      </c>
      <c r="H3012" s="1">
        <v>-7.8524260000000007E-6</v>
      </c>
      <c r="I3012">
        <v>144.5592</v>
      </c>
      <c r="J3012">
        <v>-198.78870000000001</v>
      </c>
      <c r="K3012">
        <v>1.10368</v>
      </c>
      <c r="L3012">
        <v>147.1217</v>
      </c>
      <c r="M3012">
        <v>-0.67971740000000003</v>
      </c>
      <c r="N3012">
        <v>0</v>
      </c>
      <c r="O3012">
        <v>-0.73341699999999999</v>
      </c>
      <c r="P3012">
        <v>-0.86745680000000003</v>
      </c>
      <c r="Q3012">
        <v>3.2835049999999998E-2</v>
      </c>
      <c r="R3012">
        <v>-0.49642849999999999</v>
      </c>
      <c r="S3012">
        <v>-2.9508509999999899</v>
      </c>
      <c r="T3012">
        <v>-0.37349299999999902</v>
      </c>
      <c r="U3012">
        <v>-0.92353819999999998</v>
      </c>
      <c r="V3012">
        <v>0.2993904</v>
      </c>
      <c r="W3012">
        <v>3.6989189999999998E-2</v>
      </c>
      <c r="X3012">
        <v>0.95341339999999997</v>
      </c>
      <c r="Y3012">
        <v>0.48949789999999999</v>
      </c>
      <c r="Z3012">
        <v>0.10956009999999999</v>
      </c>
      <c r="AA3012">
        <v>0.86509439999999904</v>
      </c>
      <c r="AB3012">
        <v>22</v>
      </c>
      <c r="AC3012">
        <v>-8.5517999999999805</v>
      </c>
      <c r="AD3012">
        <v>-1.1036878524260001</v>
      </c>
      <c r="AE3012">
        <v>-2.5625</v>
      </c>
      <c r="AF3012">
        <v>4.4622485736201396</v>
      </c>
      <c r="AG3012">
        <v>-1.1036878524260001</v>
      </c>
      <c r="AH3012">
        <v>7.5767083850764401</v>
      </c>
      <c r="AI3012">
        <v>97.154228329024903</v>
      </c>
      <c r="AJ3012">
        <v>59.504344082976203</v>
      </c>
      <c r="AK3012">
        <v>8.8620708167366402</v>
      </c>
    </row>
    <row r="3013" spans="1:37" x14ac:dyDescent="0.2">
      <c r="A3013" t="str">
        <f>"20200111154124873"</f>
        <v>20200111154124873</v>
      </c>
      <c r="B3013" t="str">
        <f>"1578728484869684"</f>
        <v>1578728484869684</v>
      </c>
      <c r="C3013" t="s">
        <v>37</v>
      </c>
      <c r="D3013">
        <v>5.2513740000000002</v>
      </c>
      <c r="E3013">
        <v>0.58861619999999903</v>
      </c>
      <c r="F3013" t="s">
        <v>46</v>
      </c>
      <c r="G3013">
        <v>-208.136</v>
      </c>
      <c r="H3013" s="1">
        <v>-7.4368800000000002E-6</v>
      </c>
      <c r="I3013">
        <v>144.32140000000001</v>
      </c>
      <c r="J3013">
        <v>-198.93680000000001</v>
      </c>
      <c r="K3013">
        <v>1.103607</v>
      </c>
      <c r="L3013">
        <v>146.97839999999999</v>
      </c>
      <c r="M3013">
        <v>-0.68702079999999999</v>
      </c>
      <c r="N3013">
        <v>0</v>
      </c>
      <c r="O3013">
        <v>-0.72657989999999995</v>
      </c>
      <c r="P3013">
        <v>-0.87189819999999996</v>
      </c>
      <c r="Q3013">
        <v>3.2912480000000001E-2</v>
      </c>
      <c r="R3013">
        <v>-0.48858000000000001</v>
      </c>
      <c r="S3013">
        <v>-2.9635470000000002</v>
      </c>
      <c r="T3013">
        <v>-0.34992099999999998</v>
      </c>
      <c r="U3013">
        <v>-0.88783259999999897</v>
      </c>
      <c r="V3013">
        <v>0.29846040000000001</v>
      </c>
      <c r="W3013">
        <v>3.7049220000000001E-2</v>
      </c>
      <c r="X3013">
        <v>0.95370259999999996</v>
      </c>
      <c r="Y3013">
        <v>0.49232579999999998</v>
      </c>
      <c r="Z3013">
        <v>0.10223169999999999</v>
      </c>
      <c r="AA3013">
        <v>0.86438649999999995</v>
      </c>
      <c r="AB3013">
        <v>22</v>
      </c>
      <c r="AC3013">
        <v>-9.1991999999999905</v>
      </c>
      <c r="AD3013">
        <v>-1.1036144368799901</v>
      </c>
      <c r="AE3013">
        <v>-2.65699999999998</v>
      </c>
      <c r="AF3013">
        <v>4.79504524717842</v>
      </c>
      <c r="AG3013">
        <v>-1.1036144368799901</v>
      </c>
      <c r="AH3013">
        <v>8.1427412212661299</v>
      </c>
      <c r="AI3013">
        <v>96.661305720915806</v>
      </c>
      <c r="AJ3013">
        <v>59.507292497408699</v>
      </c>
      <c r="AK3013">
        <v>9.5139191894972992</v>
      </c>
    </row>
    <row r="3014" spans="1:37" x14ac:dyDescent="0.2">
      <c r="A3014" t="str">
        <f>"20200111154124895"</f>
        <v>20200111154124895</v>
      </c>
      <c r="B3014" t="str">
        <f>"1578728484889205"</f>
        <v>1578728484889205</v>
      </c>
      <c r="C3014" t="s">
        <v>37</v>
      </c>
      <c r="D3014">
        <v>5.2460639999999996</v>
      </c>
      <c r="E3014">
        <v>0.589391199999999</v>
      </c>
      <c r="F3014" t="s">
        <v>46</v>
      </c>
      <c r="G3014">
        <v>-208.90049999999999</v>
      </c>
      <c r="H3014" s="1">
        <v>-7.0450149999999997E-6</v>
      </c>
      <c r="I3014">
        <v>144.12119999999999</v>
      </c>
      <c r="J3014">
        <v>-199.09379999999999</v>
      </c>
      <c r="K3014">
        <v>1.1035409999999899</v>
      </c>
      <c r="L3014">
        <v>146.8297</v>
      </c>
      <c r="M3014">
        <v>-0.694658199999999</v>
      </c>
      <c r="N3014">
        <v>0</v>
      </c>
      <c r="O3014">
        <v>-0.71928139999999996</v>
      </c>
      <c r="P3014">
        <v>-0.87666829999999996</v>
      </c>
      <c r="Q3014">
        <v>3.2324789999999999E-2</v>
      </c>
      <c r="R3014">
        <v>-0.4800084</v>
      </c>
      <c r="S3014">
        <v>-2.9751590000000001</v>
      </c>
      <c r="T3014">
        <v>-0.32953890000000002</v>
      </c>
      <c r="U3014">
        <v>-0.853164699999999</v>
      </c>
      <c r="V3014">
        <v>0.29774790000000001</v>
      </c>
      <c r="W3014">
        <v>3.6439289999999999E-2</v>
      </c>
      <c r="X3014">
        <v>0.95394889999999999</v>
      </c>
      <c r="Y3014">
        <v>0.49413170000000001</v>
      </c>
      <c r="Z3014">
        <v>9.5801949999999997E-2</v>
      </c>
      <c r="AA3014">
        <v>0.86409249999999904</v>
      </c>
      <c r="AB3014">
        <v>22</v>
      </c>
      <c r="AC3014">
        <v>-9.8066999999999993</v>
      </c>
      <c r="AD3014">
        <v>-1.1035480450149999</v>
      </c>
      <c r="AE3014">
        <v>-2.7085000000000101</v>
      </c>
      <c r="AF3014">
        <v>5.1123634286944801</v>
      </c>
      <c r="AG3014">
        <v>-1.1035480450149999</v>
      </c>
      <c r="AH3014">
        <v>8.6589699743621793</v>
      </c>
      <c r="AI3014">
        <v>96.2628739633533</v>
      </c>
      <c r="AJ3014">
        <v>59.441869940128598</v>
      </c>
      <c r="AK3014">
        <v>10.1159200832951</v>
      </c>
    </row>
    <row r="3015" spans="1:37" x14ac:dyDescent="0.2">
      <c r="A3015" t="str">
        <f>"20200111154124917"</f>
        <v>20200111154124917</v>
      </c>
      <c r="B3015" t="str">
        <f>"1578728484909701"</f>
        <v>1578728484909701</v>
      </c>
      <c r="C3015" t="s">
        <v>37</v>
      </c>
      <c r="D3015">
        <v>5.2712019999999997</v>
      </c>
      <c r="E3015">
        <v>0.58979459999999995</v>
      </c>
      <c r="F3015" t="s">
        <v>46</v>
      </c>
      <c r="G3015">
        <v>-209.3691</v>
      </c>
      <c r="H3015" s="1">
        <v>-6.8086659999999899E-6</v>
      </c>
      <c r="I3015">
        <v>144.01310000000001</v>
      </c>
      <c r="J3015">
        <v>-199.26349999999999</v>
      </c>
      <c r="K3015">
        <v>1.103467</v>
      </c>
      <c r="L3015">
        <v>146.67230000000001</v>
      </c>
      <c r="M3015">
        <v>-0.70279259999999999</v>
      </c>
      <c r="N3015">
        <v>0</v>
      </c>
      <c r="O3015">
        <v>-0.71133550000000001</v>
      </c>
      <c r="P3015">
        <v>-0.88175709999999996</v>
      </c>
      <c r="Q3015">
        <v>3.3141240000000002E-2</v>
      </c>
      <c r="R3015">
        <v>-0.47053829999999902</v>
      </c>
      <c r="S3015">
        <v>-2.9857640000000001</v>
      </c>
      <c r="T3015">
        <v>-0.32066450000000002</v>
      </c>
      <c r="U3015">
        <v>-0.81842040000000005</v>
      </c>
      <c r="V3015">
        <v>0.2971722</v>
      </c>
      <c r="W3015">
        <v>3.722458E-2</v>
      </c>
      <c r="X3015">
        <v>0.954098</v>
      </c>
      <c r="Y3015">
        <v>0.49475010000000003</v>
      </c>
      <c r="Z3015">
        <v>9.2647370000000007E-2</v>
      </c>
      <c r="AA3015">
        <v>0.86408259999999903</v>
      </c>
      <c r="AB3015">
        <v>22</v>
      </c>
      <c r="AC3015">
        <v>-10.105600000000001</v>
      </c>
      <c r="AD3015">
        <v>-1.1034738086660001</v>
      </c>
      <c r="AE3015">
        <v>-2.65919999999999</v>
      </c>
      <c r="AF3015">
        <v>5.2611618642573204</v>
      </c>
      <c r="AG3015">
        <v>-1.1034738086660001</v>
      </c>
      <c r="AH3015">
        <v>8.89491431652975</v>
      </c>
      <c r="AI3015">
        <v>96.094779449352501</v>
      </c>
      <c r="AJ3015">
        <v>59.396544022703303</v>
      </c>
      <c r="AK3015">
        <v>10.3931217305838</v>
      </c>
    </row>
    <row r="3016" spans="1:37" x14ac:dyDescent="0.2">
      <c r="A3016" t="str">
        <f>"20200111154124939"</f>
        <v>20200111154124939</v>
      </c>
      <c r="B3016" t="str">
        <f>"1578728484929219"</f>
        <v>1578728484929219</v>
      </c>
      <c r="C3016" t="s">
        <v>37</v>
      </c>
      <c r="D3016">
        <v>5.2985920000000002</v>
      </c>
      <c r="E3016">
        <v>0.59024200000000004</v>
      </c>
      <c r="F3016" t="s">
        <v>46</v>
      </c>
      <c r="G3016">
        <v>-209.89850000000001</v>
      </c>
      <c r="H3016" s="1">
        <v>-6.5415019999999996E-6</v>
      </c>
      <c r="I3016">
        <v>143.8903</v>
      </c>
      <c r="J3016">
        <v>-199.42779999999999</v>
      </c>
      <c r="K3016">
        <v>1.103405</v>
      </c>
      <c r="L3016">
        <v>146.52350000000001</v>
      </c>
      <c r="M3016">
        <v>-0.71054119999999998</v>
      </c>
      <c r="N3016">
        <v>0</v>
      </c>
      <c r="O3016">
        <v>-0.70359539999999998</v>
      </c>
      <c r="P3016">
        <v>-0.88682190000000005</v>
      </c>
      <c r="Q3016">
        <v>3.4098099999999999E-2</v>
      </c>
      <c r="R3016">
        <v>-0.46085130000000002</v>
      </c>
      <c r="S3016">
        <v>-2.9957729999999998</v>
      </c>
      <c r="T3016">
        <v>-0.31083939999999999</v>
      </c>
      <c r="U3016">
        <v>-0.78369140000000004</v>
      </c>
      <c r="V3016">
        <v>0.29716949999999998</v>
      </c>
      <c r="W3016">
        <v>3.813851E-2</v>
      </c>
      <c r="X3016">
        <v>0.95406279999999999</v>
      </c>
      <c r="Y3016">
        <v>0.4957008</v>
      </c>
      <c r="Z3016">
        <v>8.9282159999999999E-2</v>
      </c>
      <c r="AA3016">
        <v>0.86389199999999999</v>
      </c>
      <c r="AB3016">
        <v>22</v>
      </c>
      <c r="AC3016">
        <v>-10.470700000000001</v>
      </c>
      <c r="AD3016">
        <v>-1.103411541502</v>
      </c>
      <c r="AE3016">
        <v>-2.6332000000000102</v>
      </c>
      <c r="AF3016">
        <v>5.43955820359486</v>
      </c>
      <c r="AG3016">
        <v>-1.103411541502</v>
      </c>
      <c r="AH3016">
        <v>9.1969069881787799</v>
      </c>
      <c r="AI3016">
        <v>95.895815534055799</v>
      </c>
      <c r="AJ3016">
        <v>59.3975880802519</v>
      </c>
      <c r="AK3016">
        <v>10.7419462216782</v>
      </c>
    </row>
    <row r="3017" spans="1:37" x14ac:dyDescent="0.2">
      <c r="A3017" t="str">
        <f>"20200111154124962"</f>
        <v>20200111154124962</v>
      </c>
      <c r="B3017" t="str">
        <f>"1578728484959476"</f>
        <v>1578728484959476</v>
      </c>
      <c r="C3017" t="s">
        <v>37</v>
      </c>
      <c r="D3017">
        <v>5.2828660000000003</v>
      </c>
      <c r="E3017">
        <v>0.59049549999999995</v>
      </c>
      <c r="F3017" t="s">
        <v>39</v>
      </c>
      <c r="G3017">
        <v>-210.42590000000001</v>
      </c>
      <c r="H3017" s="1">
        <v>-5.2873749999999902E-6</v>
      </c>
      <c r="I3017">
        <v>143.786</v>
      </c>
      <c r="J3017">
        <v>-199.5941</v>
      </c>
      <c r="K3017">
        <v>1.103343</v>
      </c>
      <c r="L3017">
        <v>146.37629999999999</v>
      </c>
      <c r="M3017">
        <v>-0.71825490000000003</v>
      </c>
      <c r="N3017">
        <v>0</v>
      </c>
      <c r="O3017">
        <v>-0.69571930000000004</v>
      </c>
      <c r="P3017">
        <v>-0.89195840000000004</v>
      </c>
      <c r="Q3017">
        <v>3.5952699999999997E-2</v>
      </c>
      <c r="R3017">
        <v>-0.45068619999999998</v>
      </c>
      <c r="S3017">
        <v>-3.0056759999999998</v>
      </c>
      <c r="T3017">
        <v>-0.3015525</v>
      </c>
      <c r="U3017">
        <v>-0.74813839999999998</v>
      </c>
      <c r="V3017">
        <v>0.297541</v>
      </c>
      <c r="W3017">
        <v>3.9943380000000001E-2</v>
      </c>
      <c r="X3017">
        <v>0.95387310000000003</v>
      </c>
      <c r="Y3017">
        <v>0.49677280000000001</v>
      </c>
      <c r="Z3017">
        <v>8.6090879999999995E-2</v>
      </c>
      <c r="AA3017">
        <v>0.86360009999999998</v>
      </c>
      <c r="AB3017">
        <v>22</v>
      </c>
      <c r="AC3017">
        <v>-10.831799999999999</v>
      </c>
      <c r="AD3017">
        <v>-1.103348287375</v>
      </c>
      <c r="AE3017">
        <v>-2.5902999999999801</v>
      </c>
      <c r="AF3017">
        <v>5.6204739628028397</v>
      </c>
      <c r="AG3017">
        <v>-1.103348287375</v>
      </c>
      <c r="AH3017">
        <v>9.4893858430717604</v>
      </c>
      <c r="AI3017">
        <v>95.7129145520978</v>
      </c>
      <c r="AJ3017">
        <v>59.362139963478398</v>
      </c>
      <c r="AK3017">
        <v>11.0840222251892</v>
      </c>
    </row>
    <row r="3018" spans="1:37" x14ac:dyDescent="0.2">
      <c r="A3018" t="str">
        <f>"20200111154124985"</f>
        <v>20200111154124985</v>
      </c>
      <c r="B3018" t="str">
        <f>"1578728484978996"</f>
        <v>1578728484978996</v>
      </c>
      <c r="C3018" t="s">
        <v>37</v>
      </c>
      <c r="D3018">
        <v>5.3026730000000004</v>
      </c>
      <c r="E3018">
        <v>0.59666560000000002</v>
      </c>
      <c r="F3018" t="s">
        <v>39</v>
      </c>
      <c r="G3018">
        <v>-211.00960000000001</v>
      </c>
      <c r="H3018" s="1">
        <v>-5.0440219999999997E-6</v>
      </c>
      <c r="I3018">
        <v>143.67779999999999</v>
      </c>
      <c r="J3018">
        <v>-199.7681</v>
      </c>
      <c r="K3018">
        <v>1.103281</v>
      </c>
      <c r="L3018">
        <v>146.22569999999999</v>
      </c>
      <c r="M3018">
        <v>-0.72619239999999996</v>
      </c>
      <c r="N3018">
        <v>0</v>
      </c>
      <c r="O3018">
        <v>-0.68742979999999998</v>
      </c>
      <c r="P3018">
        <v>-0.8966286</v>
      </c>
      <c r="Q3018">
        <v>3.7882260000000001E-2</v>
      </c>
      <c r="R3018">
        <v>-0.4411602</v>
      </c>
      <c r="S3018">
        <v>-3.015015</v>
      </c>
      <c r="T3018">
        <v>-0.29141089999999997</v>
      </c>
      <c r="U3018">
        <v>-0.71269229999999995</v>
      </c>
      <c r="V3018">
        <v>0.29673670000000002</v>
      </c>
      <c r="W3018">
        <v>4.1844850000000003E-2</v>
      </c>
      <c r="X3018">
        <v>0.9540421</v>
      </c>
      <c r="Y3018">
        <v>0.49740200000000001</v>
      </c>
      <c r="Z3018">
        <v>8.2641329999999999E-2</v>
      </c>
      <c r="AA3018">
        <v>0.86357490000000003</v>
      </c>
      <c r="AB3018">
        <v>22</v>
      </c>
      <c r="AC3018">
        <v>-11.2415</v>
      </c>
      <c r="AD3018">
        <v>-1.103286044022</v>
      </c>
      <c r="AE3018">
        <v>-2.5478999999999901</v>
      </c>
      <c r="AF3018">
        <v>5.8243653368768298</v>
      </c>
      <c r="AG3018">
        <v>-1.103286044022</v>
      </c>
      <c r="AH3018">
        <v>9.8253985406892692</v>
      </c>
      <c r="AI3018">
        <v>95.517266958455394</v>
      </c>
      <c r="AJ3018">
        <v>59.341102715186501</v>
      </c>
      <c r="AK3018">
        <v>11.4751439274514</v>
      </c>
    </row>
    <row r="3019" spans="1:37" x14ac:dyDescent="0.2">
      <c r="A3019" t="str">
        <f>"20200111154125007"</f>
        <v>20200111154125007</v>
      </c>
      <c r="B3019" t="str">
        <f>"1578728484999492"</f>
        <v>1578728484999492</v>
      </c>
      <c r="C3019" t="s">
        <v>37</v>
      </c>
      <c r="D3019">
        <v>5.2423339999999996</v>
      </c>
      <c r="E3019">
        <v>0.59732079999999999</v>
      </c>
      <c r="F3019" t="s">
        <v>39</v>
      </c>
      <c r="G3019">
        <v>-215.5591</v>
      </c>
      <c r="H3019" s="1">
        <v>-2.95946599999999E-6</v>
      </c>
      <c r="I3019">
        <v>142.9228</v>
      </c>
      <c r="J3019">
        <v>-199.94120000000001</v>
      </c>
      <c r="K3019">
        <v>1.103213</v>
      </c>
      <c r="L3019">
        <v>146.0797</v>
      </c>
      <c r="M3019">
        <v>-0.73394820000000005</v>
      </c>
      <c r="N3019">
        <v>0</v>
      </c>
      <c r="O3019">
        <v>-0.67914269999999999</v>
      </c>
      <c r="P3019">
        <v>-0.90111509999999995</v>
      </c>
      <c r="Q3019">
        <v>3.937802E-2</v>
      </c>
      <c r="R3019">
        <v>-0.43178840000000002</v>
      </c>
      <c r="S3019">
        <v>-3.0418240000000001</v>
      </c>
      <c r="T3019">
        <v>-0.21252550000000001</v>
      </c>
      <c r="U3019">
        <v>-0.63624569999999903</v>
      </c>
      <c r="V3019">
        <v>0.29584199999999999</v>
      </c>
      <c r="W3019">
        <v>4.3315979999999997E-2</v>
      </c>
      <c r="X3019">
        <v>0.9542543</v>
      </c>
      <c r="Y3019">
        <v>0.51206399999999996</v>
      </c>
      <c r="Z3019">
        <v>6.0192830000000003E-2</v>
      </c>
      <c r="AA3019">
        <v>0.85683560000000003</v>
      </c>
      <c r="AB3019">
        <v>22</v>
      </c>
      <c r="AC3019">
        <v>-15.617899999999899</v>
      </c>
      <c r="AD3019">
        <v>-1.103215959466</v>
      </c>
      <c r="AE3019">
        <v>-3.1568999999999998</v>
      </c>
      <c r="AF3019">
        <v>8.2505829568400006</v>
      </c>
      <c r="AG3019">
        <v>-1.103215959466</v>
      </c>
      <c r="AH3019">
        <v>13.5423749890626</v>
      </c>
      <c r="AI3019">
        <v>93.979628983050105</v>
      </c>
      <c r="AJ3019">
        <v>58.648474024531097</v>
      </c>
      <c r="AK3019">
        <v>15.8960726258188</v>
      </c>
    </row>
    <row r="3020" spans="1:37" x14ac:dyDescent="0.2">
      <c r="A3020" t="str">
        <f>"20200111154125028"</f>
        <v>20200111154125028</v>
      </c>
      <c r="B3020" t="str">
        <f>"1578728485019015"</f>
        <v>1578728485019015</v>
      </c>
      <c r="C3020" t="s">
        <v>37</v>
      </c>
      <c r="D3020">
        <v>5.2358460000000004</v>
      </c>
      <c r="E3020">
        <v>0.59723510000000002</v>
      </c>
      <c r="F3020" t="s">
        <v>39</v>
      </c>
      <c r="G3020">
        <v>-215.81870000000001</v>
      </c>
      <c r="H3020" s="1">
        <v>-2.845243E-6</v>
      </c>
      <c r="I3020">
        <v>142.9546</v>
      </c>
      <c r="J3020">
        <v>-200.1114</v>
      </c>
      <c r="K3020">
        <v>1.103148</v>
      </c>
      <c r="L3020">
        <v>145.9391</v>
      </c>
      <c r="M3020">
        <v>-0.74144600000000005</v>
      </c>
      <c r="N3020">
        <v>0</v>
      </c>
      <c r="O3020">
        <v>-0.67094900000000002</v>
      </c>
      <c r="P3020">
        <v>-0.90553079999999997</v>
      </c>
      <c r="Q3020">
        <v>3.9348069999999999E-2</v>
      </c>
      <c r="R3020">
        <v>-0.42245270000000001</v>
      </c>
      <c r="S3020">
        <v>-3.050735</v>
      </c>
      <c r="T3020">
        <v>-0.21197359999999901</v>
      </c>
      <c r="U3020">
        <v>-0.6004486</v>
      </c>
      <c r="V3020">
        <v>0.29511219999999999</v>
      </c>
      <c r="W3020">
        <v>4.3264049999999998E-2</v>
      </c>
      <c r="X3020">
        <v>0.95448259999999996</v>
      </c>
      <c r="Y3020">
        <v>0.51272229999999996</v>
      </c>
      <c r="Z3020">
        <v>5.9610459999999997E-2</v>
      </c>
      <c r="AA3020">
        <v>0.85648259999999898</v>
      </c>
      <c r="AB3020">
        <v>22</v>
      </c>
      <c r="AC3020">
        <v>-15.7073</v>
      </c>
      <c r="AD3020">
        <v>-1.1031508452429999</v>
      </c>
      <c r="AE3020">
        <v>-2.9844999999999899</v>
      </c>
      <c r="AF3020">
        <v>8.28685602602045</v>
      </c>
      <c r="AG3020">
        <v>-1.1031508452429999</v>
      </c>
      <c r="AH3020">
        <v>13.584473405659301</v>
      </c>
      <c r="AI3020">
        <v>93.965727688992203</v>
      </c>
      <c r="AJ3020">
        <v>58.615803015022003</v>
      </c>
      <c r="AK3020">
        <v>15.9507630630142</v>
      </c>
    </row>
    <row r="3021" spans="1:37" x14ac:dyDescent="0.2">
      <c r="A3021" t="str">
        <f>"20200111154125051"</f>
        <v>20200111154125051</v>
      </c>
      <c r="B3021" t="str">
        <f>"1578728485039508"</f>
        <v>1578728485039508</v>
      </c>
      <c r="C3021" t="s">
        <v>37</v>
      </c>
      <c r="D3021">
        <v>5.2664019999999896</v>
      </c>
      <c r="E3021">
        <v>0.59678880000000001</v>
      </c>
      <c r="F3021" t="s">
        <v>39</v>
      </c>
      <c r="G3021">
        <v>-215.76730000000001</v>
      </c>
      <c r="H3021" s="1">
        <v>-2.8873989999999998E-6</v>
      </c>
      <c r="I3021">
        <v>143.02189999999999</v>
      </c>
      <c r="J3021">
        <v>-200.28440000000001</v>
      </c>
      <c r="K3021">
        <v>1.1030819999999999</v>
      </c>
      <c r="L3021">
        <v>145.7996</v>
      </c>
      <c r="M3021">
        <v>-0.74892689999999995</v>
      </c>
      <c r="N3021">
        <v>0</v>
      </c>
      <c r="O3021">
        <v>-0.66258839999999997</v>
      </c>
      <c r="P3021">
        <v>-0.909910199999999</v>
      </c>
      <c r="Q3021">
        <v>3.8821670000000003E-2</v>
      </c>
      <c r="R3021">
        <v>-0.4129852</v>
      </c>
      <c r="S3021">
        <v>-3.0566249999999999</v>
      </c>
      <c r="T3021">
        <v>-0.2153766</v>
      </c>
      <c r="U3021">
        <v>-0.56956479999999998</v>
      </c>
      <c r="V3021">
        <v>0.29437079999999999</v>
      </c>
      <c r="W3021">
        <v>4.2718579999999999E-2</v>
      </c>
      <c r="X3021">
        <v>0.95473609999999898</v>
      </c>
      <c r="Y3021">
        <v>0.51170000000000004</v>
      </c>
      <c r="Z3021">
        <v>6.0097440000000002E-2</v>
      </c>
      <c r="AA3021">
        <v>0.85705980000000004</v>
      </c>
      <c r="AB3021">
        <v>22</v>
      </c>
      <c r="AC3021">
        <v>-15.482900000000001</v>
      </c>
      <c r="AD3021">
        <v>-1.10308488739899</v>
      </c>
      <c r="AE3021">
        <v>-2.7776999999999998</v>
      </c>
      <c r="AF3021">
        <v>8.1388200921839697</v>
      </c>
      <c r="AG3021">
        <v>-1.10308488739899</v>
      </c>
      <c r="AH3021">
        <v>13.3708510920195</v>
      </c>
      <c r="AI3021">
        <v>94.031005384198906</v>
      </c>
      <c r="AJ3021">
        <v>58.671178418214502</v>
      </c>
      <c r="AK3021">
        <v>15.691935753332199</v>
      </c>
    </row>
    <row r="3022" spans="1:37" x14ac:dyDescent="0.2">
      <c r="A3022" t="str">
        <f>"20200111154125072"</f>
        <v>20200111154125072</v>
      </c>
      <c r="B3022" t="str">
        <f>"1578728485068788"</f>
        <v>1578728485068788</v>
      </c>
      <c r="C3022" t="s">
        <v>37</v>
      </c>
      <c r="D3022">
        <v>5.2917139999999998</v>
      </c>
      <c r="E3022">
        <v>0.59604409999999997</v>
      </c>
      <c r="F3022" t="s">
        <v>39</v>
      </c>
      <c r="G3022">
        <v>-215.49340000000001</v>
      </c>
      <c r="H3022" s="1">
        <v>-3.0413459999999898E-6</v>
      </c>
      <c r="I3022">
        <v>143.11369999999999</v>
      </c>
      <c r="J3022">
        <v>-200.4547</v>
      </c>
      <c r="K3022">
        <v>1.103019</v>
      </c>
      <c r="L3022">
        <v>145.6653</v>
      </c>
      <c r="M3022">
        <v>-0.75616079999999997</v>
      </c>
      <c r="N3022">
        <v>0</v>
      </c>
      <c r="O3022">
        <v>-0.65432060000000003</v>
      </c>
      <c r="P3022">
        <v>-0.91409959999999901</v>
      </c>
      <c r="Q3022">
        <v>3.8973750000000001E-2</v>
      </c>
      <c r="R3022">
        <v>-0.40361229999999998</v>
      </c>
      <c r="S3022">
        <v>-3.0611570000000001</v>
      </c>
      <c r="T3022">
        <v>-0.2220211</v>
      </c>
      <c r="U3022">
        <v>-0.54060359999999996</v>
      </c>
      <c r="V3022">
        <v>0.29369780000000001</v>
      </c>
      <c r="W3022">
        <v>4.2852460000000002E-2</v>
      </c>
      <c r="X3022">
        <v>0.95493729999999999</v>
      </c>
      <c r="Y3022">
        <v>0.51021179999999999</v>
      </c>
      <c r="Z3022">
        <v>6.1463429999999999E-2</v>
      </c>
      <c r="AA3022">
        <v>0.8578498</v>
      </c>
      <c r="AB3022">
        <v>22</v>
      </c>
      <c r="AC3022">
        <v>-15.0387</v>
      </c>
      <c r="AD3022">
        <v>-1.1030220413459999</v>
      </c>
      <c r="AE3022">
        <v>-2.5516000000000001</v>
      </c>
      <c r="AF3022">
        <v>7.8698970880126797</v>
      </c>
      <c r="AG3022">
        <v>-1.1030220413459999</v>
      </c>
      <c r="AH3022">
        <v>12.9739553908278</v>
      </c>
      <c r="AI3022">
        <v>94.157531355318397</v>
      </c>
      <c r="AJ3022">
        <v>58.7593364181159</v>
      </c>
      <c r="AK3022">
        <v>15.2143174767321</v>
      </c>
    </row>
    <row r="3023" spans="1:37" x14ac:dyDescent="0.2">
      <c r="A3023" t="str">
        <f>"20200111154125095"</f>
        <v>20200111154125095</v>
      </c>
      <c r="B3023" t="str">
        <f>"1578728485089284"</f>
        <v>1578728485089284</v>
      </c>
      <c r="C3023" t="s">
        <v>37</v>
      </c>
      <c r="D3023">
        <v>5.3129549999999997</v>
      </c>
      <c r="E3023">
        <v>0.59545669999999995</v>
      </c>
      <c r="F3023" t="s">
        <v>39</v>
      </c>
      <c r="G3023">
        <v>-215.58099999999999</v>
      </c>
      <c r="H3023" s="1">
        <v>-3.003618E-6</v>
      </c>
      <c r="I3023">
        <v>143.1276</v>
      </c>
      <c r="J3023">
        <v>-200.64420000000001</v>
      </c>
      <c r="K3023">
        <v>1.102951</v>
      </c>
      <c r="L3023">
        <v>145.51939999999999</v>
      </c>
      <c r="M3023">
        <v>-0.76406019999999997</v>
      </c>
      <c r="N3023">
        <v>0</v>
      </c>
      <c r="O3023">
        <v>-0.6450785</v>
      </c>
      <c r="P3023">
        <v>-0.91864400000000002</v>
      </c>
      <c r="Q3023">
        <v>3.9238179999999998E-2</v>
      </c>
      <c r="R3023">
        <v>-0.39313320000000002</v>
      </c>
      <c r="S3023">
        <v>-3.0644840000000002</v>
      </c>
      <c r="T3023">
        <v>-0.22346389999999999</v>
      </c>
      <c r="U3023">
        <v>-0.51411439999999997</v>
      </c>
      <c r="V3023">
        <v>0.29301050000000001</v>
      </c>
      <c r="W3023">
        <v>4.3097320000000001E-2</v>
      </c>
      <c r="X3023">
        <v>0.95513740000000003</v>
      </c>
      <c r="Y3023">
        <v>0.50711519999999999</v>
      </c>
      <c r="Z3023">
        <v>6.1272519999999997E-2</v>
      </c>
      <c r="AA3023">
        <v>0.8596975</v>
      </c>
      <c r="AB3023">
        <v>22</v>
      </c>
      <c r="AC3023">
        <v>-14.9367999999999</v>
      </c>
      <c r="AD3023">
        <v>-1.1029540036179999</v>
      </c>
      <c r="AE3023">
        <v>-2.3917999999999799</v>
      </c>
      <c r="AF3023">
        <v>7.7669730315392203</v>
      </c>
      <c r="AG3023">
        <v>-1.1029540036179999</v>
      </c>
      <c r="AH3023">
        <v>12.887555293677</v>
      </c>
      <c r="AI3023">
        <v>94.192291562306295</v>
      </c>
      <c r="AJ3023">
        <v>58.923792752120001</v>
      </c>
      <c r="AK3023">
        <v>15.0874603248637</v>
      </c>
    </row>
    <row r="3024" spans="1:37" x14ac:dyDescent="0.2">
      <c r="A3024" t="str">
        <f>"20200111154125120"</f>
        <v>20200111154125120</v>
      </c>
      <c r="B3024" t="str">
        <f>"1578728485108806"</f>
        <v>1578728485108806</v>
      </c>
      <c r="C3024" t="s">
        <v>37</v>
      </c>
      <c r="D3024">
        <v>5.2896299999999998</v>
      </c>
      <c r="E3024">
        <v>0.59481740000000005</v>
      </c>
      <c r="F3024" t="s">
        <v>39</v>
      </c>
      <c r="G3024">
        <v>-215.75069999999999</v>
      </c>
      <c r="H3024" s="1">
        <v>-2.9271100000000002E-6</v>
      </c>
      <c r="I3024">
        <v>143.1414</v>
      </c>
      <c r="J3024">
        <v>-200.8485</v>
      </c>
      <c r="K3024">
        <v>1.102878</v>
      </c>
      <c r="L3024">
        <v>145.36609999999999</v>
      </c>
      <c r="M3024">
        <v>-0.77239659999999999</v>
      </c>
      <c r="N3024">
        <v>0</v>
      </c>
      <c r="O3024">
        <v>-0.63507279999999999</v>
      </c>
      <c r="P3024">
        <v>-0.92292479999999999</v>
      </c>
      <c r="Q3024">
        <v>3.8400910000000003E-2</v>
      </c>
      <c r="R3024">
        <v>-0.38306059999999997</v>
      </c>
      <c r="S3024">
        <v>-3.0685419999999999</v>
      </c>
      <c r="T3024">
        <v>-0.2240413</v>
      </c>
      <c r="U3024">
        <v>-0.48303220000000002</v>
      </c>
      <c r="V3024">
        <v>0.29103309999999999</v>
      </c>
      <c r="W3024">
        <v>4.2265049999999998E-2</v>
      </c>
      <c r="X3024">
        <v>0.95577900000000005</v>
      </c>
      <c r="Y3024">
        <v>0.50458289999999995</v>
      </c>
      <c r="Z3024">
        <v>6.0805899999999899E-2</v>
      </c>
      <c r="AA3024">
        <v>0.86121930000000002</v>
      </c>
      <c r="AB3024">
        <v>22</v>
      </c>
      <c r="AC3024">
        <v>-14.902199999999899</v>
      </c>
      <c r="AD3024">
        <v>-1.10288092711</v>
      </c>
      <c r="AE3024">
        <v>-2.2246999999999799</v>
      </c>
      <c r="AF3024">
        <v>7.7046844615629597</v>
      </c>
      <c r="AG3024">
        <v>-1.10288092711</v>
      </c>
      <c r="AH3024">
        <v>12.8549372447349</v>
      </c>
      <c r="AI3024">
        <v>94.208749489429806</v>
      </c>
      <c r="AJ3024">
        <v>59.0633801365856</v>
      </c>
      <c r="AK3024">
        <v>15.0275720113964</v>
      </c>
    </row>
    <row r="3025" spans="1:37" x14ac:dyDescent="0.2">
      <c r="A3025" t="str">
        <f>"20200111154125141"</f>
        <v>20200111154125141</v>
      </c>
      <c r="B3025" t="str">
        <f>"1578728485129300"</f>
        <v>1578728485129300</v>
      </c>
      <c r="C3025" t="s">
        <v>37</v>
      </c>
      <c r="D3025">
        <v>5.2691330000000001</v>
      </c>
      <c r="E3025">
        <v>0.59421230000000003</v>
      </c>
      <c r="F3025" t="s">
        <v>39</v>
      </c>
      <c r="G3025">
        <v>-215.58709999999999</v>
      </c>
      <c r="H3025" s="1">
        <v>-3.0176209999999899E-6</v>
      </c>
      <c r="I3025">
        <v>143.191</v>
      </c>
      <c r="J3025">
        <v>-201.02209999999999</v>
      </c>
      <c r="K3025">
        <v>1.1028149999999901</v>
      </c>
      <c r="L3025">
        <v>145.23910000000001</v>
      </c>
      <c r="M3025">
        <v>-0.77933280000000005</v>
      </c>
      <c r="N3025">
        <v>0</v>
      </c>
      <c r="O3025">
        <v>-0.62654160000000003</v>
      </c>
      <c r="P3025">
        <v>-0.92633339999999997</v>
      </c>
      <c r="Q3025">
        <v>3.7209100000000002E-2</v>
      </c>
      <c r="R3025">
        <v>-0.3748631</v>
      </c>
      <c r="S3025">
        <v>-3.07193</v>
      </c>
      <c r="T3025">
        <v>-0.22987089999999999</v>
      </c>
      <c r="U3025">
        <v>-0.45333859999999898</v>
      </c>
      <c r="V3025">
        <v>0.2890123</v>
      </c>
      <c r="W3025">
        <v>4.1086850000000001E-2</v>
      </c>
      <c r="X3025">
        <v>0.9564433</v>
      </c>
      <c r="Y3025">
        <v>0.50326130000000002</v>
      </c>
      <c r="Z3025">
        <v>6.1867890000000002E-2</v>
      </c>
      <c r="AA3025">
        <v>0.86191679999999904</v>
      </c>
      <c r="AB3025">
        <v>22</v>
      </c>
      <c r="AC3025">
        <v>-14.5649999999999</v>
      </c>
      <c r="AD3025">
        <v>-1.1028180176209901</v>
      </c>
      <c r="AE3025">
        <v>-2.0480999999999998</v>
      </c>
      <c r="AF3025">
        <v>7.48765587538609</v>
      </c>
      <c r="AG3025">
        <v>-1.1028180176209901</v>
      </c>
      <c r="AH3025">
        <v>12.5641112876103</v>
      </c>
      <c r="AI3025">
        <v>94.311991239330695</v>
      </c>
      <c r="AJ3025">
        <v>59.206923642211301</v>
      </c>
      <c r="AK3025">
        <v>14.6675863909387</v>
      </c>
    </row>
    <row r="3026" spans="1:37" x14ac:dyDescent="0.2">
      <c r="A3026" t="str">
        <f>"20200111154125163"</f>
        <v>20200111154125163</v>
      </c>
      <c r="B3026" t="str">
        <f>"1578728485159557"</f>
        <v>1578728485159557</v>
      </c>
      <c r="C3026" t="s">
        <v>37</v>
      </c>
      <c r="D3026">
        <v>5.2618720000000003</v>
      </c>
      <c r="E3026">
        <v>0.59341119999999903</v>
      </c>
      <c r="F3026" t="s">
        <v>39</v>
      </c>
      <c r="G3026">
        <v>-215.41</v>
      </c>
      <c r="H3026" s="1">
        <v>-3.1108619999999999E-6</v>
      </c>
      <c r="I3026">
        <v>143.2268</v>
      </c>
      <c r="J3026">
        <v>-201.2039</v>
      </c>
      <c r="K3026">
        <v>1.102757</v>
      </c>
      <c r="L3026">
        <v>145.10929999999999</v>
      </c>
      <c r="M3026">
        <v>-0.78644689999999995</v>
      </c>
      <c r="N3026">
        <v>0</v>
      </c>
      <c r="O3026">
        <v>-0.61758819999999903</v>
      </c>
      <c r="P3026">
        <v>-0.92917549999999904</v>
      </c>
      <c r="Q3026">
        <v>3.6305080000000003E-2</v>
      </c>
      <c r="R3026">
        <v>-0.36785250000000003</v>
      </c>
      <c r="S3026">
        <v>-3.0740509999999999</v>
      </c>
      <c r="T3026">
        <v>-0.2356231</v>
      </c>
      <c r="U3026">
        <v>-0.42993159999999903</v>
      </c>
      <c r="V3026">
        <v>0.28531030000000002</v>
      </c>
      <c r="W3026">
        <v>4.0232579999999997E-2</v>
      </c>
      <c r="X3026">
        <v>0.95759039999999995</v>
      </c>
      <c r="Y3026">
        <v>0.49978909999999999</v>
      </c>
      <c r="Z3026">
        <v>6.2775810000000001E-2</v>
      </c>
      <c r="AA3026">
        <v>0.863869199999999</v>
      </c>
      <c r="AB3026">
        <v>22</v>
      </c>
      <c r="AC3026">
        <v>-14.2060999999999</v>
      </c>
      <c r="AD3026">
        <v>-1.102760110862</v>
      </c>
      <c r="AE3026">
        <v>-1.8824999999999901</v>
      </c>
      <c r="AF3026">
        <v>7.2504120241573</v>
      </c>
      <c r="AG3026">
        <v>-1.102760110862</v>
      </c>
      <c r="AH3026">
        <v>12.2628660585181</v>
      </c>
      <c r="AI3026">
        <v>94.426371332905205</v>
      </c>
      <c r="AJ3026">
        <v>59.406323874500302</v>
      </c>
      <c r="AK3026">
        <v>14.288542205253499</v>
      </c>
    </row>
    <row r="3027" spans="1:37" x14ac:dyDescent="0.2">
      <c r="A3027" t="str">
        <f>"20200111154125185"</f>
        <v>20200111154125185</v>
      </c>
      <c r="B3027" t="str">
        <f>"1578728485179076"</f>
        <v>1578728485179076</v>
      </c>
      <c r="C3027" t="s">
        <v>37</v>
      </c>
      <c r="D3027">
        <v>5.3171879999999998</v>
      </c>
      <c r="E3027">
        <v>0.59280200000000005</v>
      </c>
      <c r="F3027" t="s">
        <v>39</v>
      </c>
      <c r="G3027">
        <v>-215.22929999999999</v>
      </c>
      <c r="H3027" s="1">
        <v>-3.1966019999999899E-6</v>
      </c>
      <c r="I3027">
        <v>143.22810000000001</v>
      </c>
      <c r="J3027">
        <v>-201.39019999999999</v>
      </c>
      <c r="K3027">
        <v>1.1027020000000001</v>
      </c>
      <c r="L3027">
        <v>144.9795</v>
      </c>
      <c r="M3027">
        <v>-0.79358039999999996</v>
      </c>
      <c r="N3027">
        <v>0</v>
      </c>
      <c r="O3027">
        <v>-0.6083944</v>
      </c>
      <c r="P3027">
        <v>-0.93207220000000002</v>
      </c>
      <c r="Q3027">
        <v>3.6120079999999999E-2</v>
      </c>
      <c r="R3027">
        <v>-0.36046809999999901</v>
      </c>
      <c r="S3027">
        <v>-3.0748599999999899</v>
      </c>
      <c r="T3027">
        <v>-0.2417629</v>
      </c>
      <c r="U3027">
        <v>-0.41241459999999902</v>
      </c>
      <c r="V3027">
        <v>0.28176809999999902</v>
      </c>
      <c r="W3027">
        <v>4.009824E-2</v>
      </c>
      <c r="X3027">
        <v>0.9586443</v>
      </c>
      <c r="Y3027">
        <v>0.494455599999999</v>
      </c>
      <c r="Z3027">
        <v>6.3669710000000004E-2</v>
      </c>
      <c r="AA3027">
        <v>0.86686779999999997</v>
      </c>
      <c r="AB3027">
        <v>23</v>
      </c>
      <c r="AC3027">
        <v>-13.8391</v>
      </c>
      <c r="AD3027">
        <v>-1.1027051966020001</v>
      </c>
      <c r="AE3027">
        <v>-1.7513999999999801</v>
      </c>
      <c r="AF3027">
        <v>6.98640072329707</v>
      </c>
      <c r="AG3027">
        <v>-1.1027051966020001</v>
      </c>
      <c r="AH3027">
        <v>11.9736788378068</v>
      </c>
      <c r="AI3027">
        <v>94.547952073358999</v>
      </c>
      <c r="AJ3027">
        <v>59.737298372113102</v>
      </c>
      <c r="AK3027">
        <v>13.9066436902669</v>
      </c>
    </row>
    <row r="3028" spans="1:37" x14ac:dyDescent="0.2">
      <c r="A3028" t="str">
        <f>"20200111154125209"</f>
        <v>20200111154125209</v>
      </c>
      <c r="B3028" t="str">
        <f>"1578728485199572"</f>
        <v>1578728485199572</v>
      </c>
      <c r="C3028" t="s">
        <v>37</v>
      </c>
      <c r="D3028">
        <v>5.2898449999999997</v>
      </c>
      <c r="E3028">
        <v>0.59252720000000003</v>
      </c>
      <c r="F3028" t="s">
        <v>39</v>
      </c>
      <c r="G3028">
        <v>-215.33070000000001</v>
      </c>
      <c r="H3028" s="1">
        <v>-3.1412559999999999E-6</v>
      </c>
      <c r="I3028">
        <v>143.2002</v>
      </c>
      <c r="J3028">
        <v>-201.59909999999999</v>
      </c>
      <c r="K3028">
        <v>1.1026609999999999</v>
      </c>
      <c r="L3028">
        <v>144.83799999999999</v>
      </c>
      <c r="M3028">
        <v>-0.80138369999999903</v>
      </c>
      <c r="N3028">
        <v>0</v>
      </c>
      <c r="O3028">
        <v>-0.598078</v>
      </c>
      <c r="P3028">
        <v>-0.9354635</v>
      </c>
      <c r="Q3028">
        <v>3.6040490000000001E-2</v>
      </c>
      <c r="R3028">
        <v>-0.35158049999999902</v>
      </c>
      <c r="S3028">
        <v>-3.0762330000000002</v>
      </c>
      <c r="T3028">
        <v>-0.2433324</v>
      </c>
      <c r="U3028">
        <v>-0.39262390000000003</v>
      </c>
      <c r="V3028">
        <v>0.27849359999999901</v>
      </c>
      <c r="W3028">
        <v>4.0065829999999997E-2</v>
      </c>
      <c r="X3028">
        <v>0.95960199999999996</v>
      </c>
      <c r="Y3028">
        <v>0.48875089999999999</v>
      </c>
      <c r="Z3028">
        <v>6.3240950000000004E-2</v>
      </c>
      <c r="AA3028">
        <v>0.87012819999999902</v>
      </c>
      <c r="AB3028">
        <v>23</v>
      </c>
      <c r="AC3028">
        <v>-13.7316</v>
      </c>
      <c r="AD3028">
        <v>-1.1026641412560001</v>
      </c>
      <c r="AE3028">
        <v>-1.6377999999999899</v>
      </c>
      <c r="AF3028">
        <v>6.85676714786515</v>
      </c>
      <c r="AG3028">
        <v>-1.1026641412560001</v>
      </c>
      <c r="AH3028">
        <v>11.908620033596099</v>
      </c>
      <c r="AI3028">
        <v>94.587755727513198</v>
      </c>
      <c r="AJ3028">
        <v>60.067444078331903</v>
      </c>
      <c r="AK3028">
        <v>13.785730123320301</v>
      </c>
    </row>
    <row r="3029" spans="1:37" x14ac:dyDescent="0.2">
      <c r="A3029" t="str">
        <f>"20200111154125230"</f>
        <v>20200111154125230</v>
      </c>
      <c r="B3029" t="str">
        <f>"1578728485219091"</f>
        <v>1578728485219091</v>
      </c>
      <c r="C3029" t="s">
        <v>37</v>
      </c>
      <c r="D3029">
        <v>5.3111309999999996</v>
      </c>
      <c r="E3029">
        <v>0.58520050000000001</v>
      </c>
      <c r="F3029" t="s">
        <v>39</v>
      </c>
      <c r="G3029">
        <v>-215.47309999999999</v>
      </c>
      <c r="H3029" s="1">
        <v>-3.0713189999999899E-6</v>
      </c>
      <c r="I3029">
        <v>143.19030000000001</v>
      </c>
      <c r="J3029">
        <v>-201.78450000000001</v>
      </c>
      <c r="K3029">
        <v>1.1026279999999999</v>
      </c>
      <c r="L3029">
        <v>144.71549999999999</v>
      </c>
      <c r="M3029">
        <v>-0.80814659999999905</v>
      </c>
      <c r="N3029">
        <v>0</v>
      </c>
      <c r="O3029">
        <v>-0.58890750000000003</v>
      </c>
      <c r="P3029">
        <v>-0.9382722</v>
      </c>
      <c r="Q3029">
        <v>3.6271199999999899E-2</v>
      </c>
      <c r="R3029">
        <v>-0.34399089999999999</v>
      </c>
      <c r="S3029">
        <v>-3.0789789999999999</v>
      </c>
      <c r="T3029">
        <v>-0.24470700000000001</v>
      </c>
      <c r="U3029">
        <v>-0.36564639999999998</v>
      </c>
      <c r="V3029">
        <v>0.27533299999999999</v>
      </c>
      <c r="W3029">
        <v>4.0345989999999998E-2</v>
      </c>
      <c r="X3029">
        <v>0.96050190000000002</v>
      </c>
      <c r="Y3029">
        <v>0.48642370000000001</v>
      </c>
      <c r="Z3029">
        <v>6.2935530000000003E-2</v>
      </c>
      <c r="AA3029">
        <v>0.87145349999999999</v>
      </c>
      <c r="AB3029">
        <v>23</v>
      </c>
      <c r="AC3029">
        <v>-13.6885999999999</v>
      </c>
      <c r="AD3029">
        <v>-1.102631071319</v>
      </c>
      <c r="AE3029">
        <v>-1.5251999999999799</v>
      </c>
      <c r="AF3029">
        <v>6.7855432656417998</v>
      </c>
      <c r="AG3029">
        <v>-1.102631071319</v>
      </c>
      <c r="AH3029">
        <v>11.884948238182</v>
      </c>
      <c r="AI3029">
        <v>94.606297661601602</v>
      </c>
      <c r="AJ3029">
        <v>60.276404067576301</v>
      </c>
      <c r="AK3029">
        <v>13.7299449129849</v>
      </c>
    </row>
    <row r="3030" spans="1:37" x14ac:dyDescent="0.2">
      <c r="A3030" t="str">
        <f>"20200111154125251"</f>
        <v>20200111154125251</v>
      </c>
      <c r="B3030" t="str">
        <f>"1578728485239588"</f>
        <v>1578728485239588</v>
      </c>
      <c r="C3030" t="s">
        <v>37</v>
      </c>
      <c r="D3030">
        <v>5.3581300000000001</v>
      </c>
      <c r="E3030">
        <v>0.58453759999999999</v>
      </c>
      <c r="F3030" t="s">
        <v>39</v>
      </c>
      <c r="G3030">
        <v>-214.8467</v>
      </c>
      <c r="H3030" s="1">
        <v>-3.3237480000000001E-6</v>
      </c>
      <c r="I3030">
        <v>143.02610000000001</v>
      </c>
      <c r="J3030">
        <v>-201.96889999999999</v>
      </c>
      <c r="K3030">
        <v>1.1025909999999901</v>
      </c>
      <c r="L3030">
        <v>144.59649999999999</v>
      </c>
      <c r="M3030">
        <v>-0.8147219</v>
      </c>
      <c r="N3030">
        <v>0</v>
      </c>
      <c r="O3030">
        <v>-0.57977690000000004</v>
      </c>
      <c r="P3030">
        <v>-0.9410155</v>
      </c>
      <c r="Q3030">
        <v>3.665765E-2</v>
      </c>
      <c r="R3030">
        <v>-0.33637230000000001</v>
      </c>
      <c r="S3030">
        <v>-3.0621640000000001</v>
      </c>
      <c r="T3030">
        <v>-0.25848880000000002</v>
      </c>
      <c r="U3030">
        <v>-0.39602659999999901</v>
      </c>
      <c r="V3030">
        <v>0.27231240000000001</v>
      </c>
      <c r="W3030">
        <v>4.0781459999999999E-2</v>
      </c>
      <c r="X3030">
        <v>0.96134430000000004</v>
      </c>
      <c r="Y3030">
        <v>0.46712219999999999</v>
      </c>
      <c r="Z3030">
        <v>6.5327910000000003E-2</v>
      </c>
      <c r="AA3030">
        <v>0.88177609999999995</v>
      </c>
      <c r="AB3030">
        <v>23</v>
      </c>
      <c r="AC3030">
        <v>-12.877800000000001</v>
      </c>
      <c r="AD3030">
        <v>-1.10259432374799</v>
      </c>
      <c r="AE3030">
        <v>-1.57039999999997</v>
      </c>
      <c r="AF3030">
        <v>6.1427099374835903</v>
      </c>
      <c r="AG3030">
        <v>-1.10259432374799</v>
      </c>
      <c r="AH3030">
        <v>11.321027700354501</v>
      </c>
      <c r="AI3030">
        <v>94.892823995253195</v>
      </c>
      <c r="AJ3030">
        <v>61.516053877307499</v>
      </c>
      <c r="AK3030">
        <v>12.9272683816425</v>
      </c>
    </row>
    <row r="3031" spans="1:37" x14ac:dyDescent="0.2">
      <c r="A3031" t="str">
        <f>"20200111154125274"</f>
        <v>20200111154125274</v>
      </c>
      <c r="B3031" t="str">
        <f>"1578728485268868"</f>
        <v>1578728485268868</v>
      </c>
      <c r="C3031" t="s">
        <v>37</v>
      </c>
      <c r="D3031">
        <v>5.3768409999999998</v>
      </c>
      <c r="E3031">
        <v>0.58388999999999902</v>
      </c>
      <c r="F3031" t="s">
        <v>39</v>
      </c>
      <c r="G3031">
        <v>-215.01339999999999</v>
      </c>
      <c r="H3031" s="1">
        <v>-3.2365540000000001E-6</v>
      </c>
      <c r="I3031">
        <v>142.99459999999999</v>
      </c>
      <c r="J3031">
        <v>-202.17179999999999</v>
      </c>
      <c r="K3031">
        <v>1.102563</v>
      </c>
      <c r="L3031">
        <v>144.46899999999999</v>
      </c>
      <c r="M3031">
        <v>-0.82177670000000003</v>
      </c>
      <c r="N3031">
        <v>0</v>
      </c>
      <c r="O3031">
        <v>-0.56973300000000004</v>
      </c>
      <c r="P3031">
        <v>-0.943986199999999</v>
      </c>
      <c r="Q3031">
        <v>3.7159810000000001E-2</v>
      </c>
      <c r="R3031">
        <v>-0.3278857</v>
      </c>
      <c r="S3031">
        <v>-3.063644</v>
      </c>
      <c r="T3031">
        <v>-0.2589573</v>
      </c>
      <c r="U3031">
        <v>-0.37622070000000002</v>
      </c>
      <c r="V3031">
        <v>0.2691673</v>
      </c>
      <c r="W3031">
        <v>4.1335070000000002E-2</v>
      </c>
      <c r="X3031">
        <v>0.96220599999999901</v>
      </c>
      <c r="Y3031">
        <v>0.46197440000000001</v>
      </c>
      <c r="Z3031">
        <v>6.4561140000000003E-2</v>
      </c>
      <c r="AA3031">
        <v>0.88454029999999995</v>
      </c>
      <c r="AB3031">
        <v>23</v>
      </c>
      <c r="AC3031">
        <v>-12.8416</v>
      </c>
      <c r="AD3031">
        <v>-1.1025662365539901</v>
      </c>
      <c r="AE3031">
        <v>-1.4743999999999999</v>
      </c>
      <c r="AF3031">
        <v>6.0608247803476498</v>
      </c>
      <c r="AG3031">
        <v>-1.1025662365539901</v>
      </c>
      <c r="AH3031">
        <v>11.3111415821263</v>
      </c>
      <c r="AI3031">
        <v>94.910746687149995</v>
      </c>
      <c r="AJ3031">
        <v>61.816353921215097</v>
      </c>
      <c r="AK3031">
        <v>12.8798747359969</v>
      </c>
    </row>
    <row r="3032" spans="1:37" x14ac:dyDescent="0.2">
      <c r="A3032" t="str">
        <f>"20200111154125297"</f>
        <v>20200111154125297</v>
      </c>
      <c r="B3032" t="str">
        <f>"1578728485289364"</f>
        <v>1578728485289364</v>
      </c>
      <c r="C3032" t="s">
        <v>37</v>
      </c>
      <c r="D3032">
        <v>5.3770030000000002</v>
      </c>
      <c r="E3032">
        <v>0.58357819999999905</v>
      </c>
      <c r="F3032" t="s">
        <v>39</v>
      </c>
      <c r="G3032">
        <v>-215.20419999999999</v>
      </c>
      <c r="H3032" s="1">
        <v>-3.1378490000000001E-6</v>
      </c>
      <c r="I3032">
        <v>142.96260000000001</v>
      </c>
      <c r="J3032">
        <v>-202.3818</v>
      </c>
      <c r="K3032">
        <v>1.102533</v>
      </c>
      <c r="L3032">
        <v>144.34049999999999</v>
      </c>
      <c r="M3032">
        <v>-0.82889009999999996</v>
      </c>
      <c r="N3032">
        <v>0</v>
      </c>
      <c r="O3032">
        <v>-0.55933319999999997</v>
      </c>
      <c r="P3032">
        <v>-0.94709189999999999</v>
      </c>
      <c r="Q3032">
        <v>3.827237E-2</v>
      </c>
      <c r="R3032">
        <v>-0.31867230000000002</v>
      </c>
      <c r="S3032">
        <v>-3.0651549999999999</v>
      </c>
      <c r="T3032">
        <v>-0.25931749999999998</v>
      </c>
      <c r="U3032">
        <v>-0.354278599999999</v>
      </c>
      <c r="V3032">
        <v>0.26641599999999999</v>
      </c>
      <c r="W3032">
        <v>4.2490390000000003E-2</v>
      </c>
      <c r="X3032">
        <v>0.96292109999999997</v>
      </c>
      <c r="Y3032">
        <v>0.45713930000000003</v>
      </c>
      <c r="Z3032">
        <v>6.3747470000000001E-2</v>
      </c>
      <c r="AA3032">
        <v>0.887107599999999</v>
      </c>
      <c r="AB3032">
        <v>23</v>
      </c>
      <c r="AC3032">
        <v>-12.822399999999901</v>
      </c>
      <c r="AD3032">
        <v>-1.102536137849</v>
      </c>
      <c r="AE3032">
        <v>-1.3778999999999799</v>
      </c>
      <c r="AF3032">
        <v>5.9863757102374198</v>
      </c>
      <c r="AG3032">
        <v>-1.102536137849</v>
      </c>
      <c r="AH3032">
        <v>11.3168494320861</v>
      </c>
      <c r="AI3032">
        <v>94.922044163709899</v>
      </c>
      <c r="AJ3032">
        <v>62.122099744591502</v>
      </c>
      <c r="AK3032">
        <v>12.8500335076564</v>
      </c>
    </row>
    <row r="3033" spans="1:37" x14ac:dyDescent="0.2">
      <c r="A3033" t="str">
        <f>"20200111154125319"</f>
        <v>20200111154125319</v>
      </c>
      <c r="B3033" t="str">
        <f>"1578728485308883"</f>
        <v>1578728485308883</v>
      </c>
      <c r="C3033" t="s">
        <v>37</v>
      </c>
      <c r="D3033">
        <v>5.4159670000000002</v>
      </c>
      <c r="E3033">
        <v>0.58324370000000003</v>
      </c>
      <c r="F3033" t="s">
        <v>39</v>
      </c>
      <c r="G3033">
        <v>-215.5558</v>
      </c>
      <c r="H3033" s="1">
        <v>-2.964549E-6</v>
      </c>
      <c r="I3033">
        <v>142.9359</v>
      </c>
      <c r="J3033">
        <v>-202.58260000000001</v>
      </c>
      <c r="K3033">
        <v>1.1025100000000001</v>
      </c>
      <c r="L3033">
        <v>144.2209</v>
      </c>
      <c r="M3033">
        <v>-0.83550930000000001</v>
      </c>
      <c r="N3033">
        <v>0</v>
      </c>
      <c r="O3033">
        <v>-0.54939669999999996</v>
      </c>
      <c r="P3033">
        <v>-0.95013649999999905</v>
      </c>
      <c r="Q3033">
        <v>3.9132710000000001E-2</v>
      </c>
      <c r="R3033">
        <v>-0.30936970000000003</v>
      </c>
      <c r="S3033">
        <v>-3.067917</v>
      </c>
      <c r="T3033">
        <v>-0.25675579999999998</v>
      </c>
      <c r="U3033">
        <v>-0.32710270000000002</v>
      </c>
      <c r="V3033">
        <v>0.26435999999999998</v>
      </c>
      <c r="W3033">
        <v>4.338173E-2</v>
      </c>
      <c r="X3033">
        <v>0.96344789999999902</v>
      </c>
      <c r="Y3033">
        <v>0.45448909999999998</v>
      </c>
      <c r="Z3033">
        <v>6.232443E-2</v>
      </c>
      <c r="AA3033">
        <v>0.88856919999999995</v>
      </c>
      <c r="AB3033">
        <v>23</v>
      </c>
      <c r="AC3033">
        <v>-12.973199999999901</v>
      </c>
      <c r="AD3033">
        <v>-1.1025129645489999</v>
      </c>
      <c r="AE3033">
        <v>-1.2849999999999899</v>
      </c>
      <c r="AF3033">
        <v>6.0110768403314401</v>
      </c>
      <c r="AG3033">
        <v>-1.1025129645489999</v>
      </c>
      <c r="AH3033">
        <v>11.463719428323101</v>
      </c>
      <c r="AI3033">
        <v>94.868411653411897</v>
      </c>
      <c r="AJ3033">
        <v>62.329434102638501</v>
      </c>
      <c r="AK3033">
        <v>12.990975434842399</v>
      </c>
    </row>
    <row r="3034" spans="1:37" x14ac:dyDescent="0.2">
      <c r="A3034" t="str">
        <f>"20200111154125341"</f>
        <v>20200111154125341</v>
      </c>
      <c r="B3034" t="str">
        <f>"1578728485329379"</f>
        <v>1578728485329379</v>
      </c>
      <c r="C3034" t="s">
        <v>37</v>
      </c>
      <c r="D3034">
        <v>5.4111750000000001</v>
      </c>
      <c r="E3034">
        <v>0.58282069999999997</v>
      </c>
      <c r="F3034" t="s">
        <v>39</v>
      </c>
      <c r="G3034">
        <v>-215.9222</v>
      </c>
      <c r="H3034" s="1">
        <v>-2.7866959999999998E-6</v>
      </c>
      <c r="I3034">
        <v>142.91849999999999</v>
      </c>
      <c r="J3034">
        <v>-202.78039999999999</v>
      </c>
      <c r="K3034">
        <v>1.102484</v>
      </c>
      <c r="L3034">
        <v>144.1063</v>
      </c>
      <c r="M3034">
        <v>-0.84185390000000004</v>
      </c>
      <c r="N3034">
        <v>0</v>
      </c>
      <c r="O3034">
        <v>-0.53962399999999999</v>
      </c>
      <c r="P3034">
        <v>-0.95303269999999995</v>
      </c>
      <c r="Q3034">
        <v>3.9319750000000001E-2</v>
      </c>
      <c r="R3034">
        <v>-0.30030429999999902</v>
      </c>
      <c r="S3034">
        <v>-3.0702970000000001</v>
      </c>
      <c r="T3034">
        <v>-0.25375879999999901</v>
      </c>
      <c r="U3034">
        <v>-0.29977419999999999</v>
      </c>
      <c r="V3034">
        <v>0.26231290000000002</v>
      </c>
      <c r="W3034">
        <v>4.3601340000000002E-2</v>
      </c>
      <c r="X3034">
        <v>0.9639974</v>
      </c>
      <c r="Y3034">
        <v>0.4521329</v>
      </c>
      <c r="Z3034">
        <v>6.0834619999999999E-2</v>
      </c>
      <c r="AA3034">
        <v>0.88987359999999904</v>
      </c>
      <c r="AB3034">
        <v>23</v>
      </c>
      <c r="AC3034">
        <v>-13.1418</v>
      </c>
      <c r="AD3034">
        <v>-1.102486786696</v>
      </c>
      <c r="AE3034">
        <v>-1.18780000000001</v>
      </c>
      <c r="AF3034">
        <v>6.0497128315072404</v>
      </c>
      <c r="AG3034">
        <v>-1.102486786696</v>
      </c>
      <c r="AH3034">
        <v>11.6238124790827</v>
      </c>
      <c r="AI3034">
        <v>94.809213413884095</v>
      </c>
      <c r="AJ3034">
        <v>62.504890440476601</v>
      </c>
      <c r="AK3034">
        <v>13.1501908353993</v>
      </c>
    </row>
    <row r="3035" spans="1:37" x14ac:dyDescent="0.2">
      <c r="A3035" t="str">
        <f>"20200111154125363"</f>
        <v>20200111154125363</v>
      </c>
      <c r="B3035" t="str">
        <f>"1578728485358660"</f>
        <v>1578728485358660</v>
      </c>
      <c r="C3035" t="s">
        <v>37</v>
      </c>
      <c r="D3035">
        <v>5.4421309999999998</v>
      </c>
      <c r="E3035">
        <v>0.58223599999999998</v>
      </c>
      <c r="F3035" t="s">
        <v>39</v>
      </c>
      <c r="G3035">
        <v>-216.10140000000001</v>
      </c>
      <c r="H3035" s="1">
        <v>-2.702309E-6</v>
      </c>
      <c r="I3035">
        <v>142.91970000000001</v>
      </c>
      <c r="J3035">
        <v>-202.98150000000001</v>
      </c>
      <c r="K3035">
        <v>1.1024670000000001</v>
      </c>
      <c r="L3035">
        <v>143.99279999999999</v>
      </c>
      <c r="M3035">
        <v>-0.84813150000000004</v>
      </c>
      <c r="N3035">
        <v>0</v>
      </c>
      <c r="O3035">
        <v>-0.52970319999999904</v>
      </c>
      <c r="P3035">
        <v>-0.95583490000000004</v>
      </c>
      <c r="Q3035">
        <v>3.9686199999999998E-2</v>
      </c>
      <c r="R3035">
        <v>-0.29121340000000001</v>
      </c>
      <c r="S3035">
        <v>-3.07212799999999</v>
      </c>
      <c r="T3035">
        <v>-0.25425809999999999</v>
      </c>
      <c r="U3035">
        <v>-0.27366639999999998</v>
      </c>
      <c r="V3035">
        <v>0.26017610000000002</v>
      </c>
      <c r="W3035">
        <v>4.400627E-2</v>
      </c>
      <c r="X3035">
        <v>0.96455780000000002</v>
      </c>
      <c r="Y3035">
        <v>0.4492449</v>
      </c>
      <c r="Z3035">
        <v>6.0154279999999997E-2</v>
      </c>
      <c r="AA3035">
        <v>0.89138119999999998</v>
      </c>
      <c r="AB3035">
        <v>23</v>
      </c>
      <c r="AC3035">
        <v>-13.119899999999999</v>
      </c>
      <c r="AD3035">
        <v>-1.102469702309</v>
      </c>
      <c r="AE3035">
        <v>-1.07309999999998</v>
      </c>
      <c r="AF3035">
        <v>5.9977182404924703</v>
      </c>
      <c r="AG3035">
        <v>-1.102469702309</v>
      </c>
      <c r="AH3035">
        <v>11.614867861475799</v>
      </c>
      <c r="AI3035">
        <v>94.820809381214204</v>
      </c>
      <c r="AJ3035">
        <v>62.688946671647997</v>
      </c>
      <c r="AK3035">
        <v>13.118430507358299</v>
      </c>
    </row>
    <row r="3036" spans="1:37" x14ac:dyDescent="0.2">
      <c r="A3036" t="str">
        <f>"20200111154125386"</f>
        <v>20200111154125386</v>
      </c>
      <c r="B3036" t="str">
        <f>"1578728485379156"</f>
        <v>1578728485379156</v>
      </c>
      <c r="C3036" t="s">
        <v>37</v>
      </c>
      <c r="D3036">
        <v>5.3854610000000003</v>
      </c>
      <c r="E3036">
        <v>0.58201899999999995</v>
      </c>
      <c r="F3036" t="s">
        <v>39</v>
      </c>
      <c r="G3036">
        <v>-216.39859999999999</v>
      </c>
      <c r="H3036" s="1">
        <v>-2.5587690000000002E-6</v>
      </c>
      <c r="I3036">
        <v>142.90819999999999</v>
      </c>
      <c r="J3036">
        <v>-203.19990000000001</v>
      </c>
      <c r="K3036">
        <v>1.1024659999999999</v>
      </c>
      <c r="L3036">
        <v>143.8732</v>
      </c>
      <c r="M3036">
        <v>-0.85473940000000004</v>
      </c>
      <c r="N3036">
        <v>0</v>
      </c>
      <c r="O3036">
        <v>-0.51897289999999996</v>
      </c>
      <c r="P3036">
        <v>-0.95878859999999999</v>
      </c>
      <c r="Q3036">
        <v>3.9984110000000003E-2</v>
      </c>
      <c r="R3036">
        <v>-0.28129320000000002</v>
      </c>
      <c r="S3036">
        <v>-3.0734560000000002</v>
      </c>
      <c r="T3036">
        <v>-0.25254209999999999</v>
      </c>
      <c r="U3036">
        <v>-0.24842829999999999</v>
      </c>
      <c r="V3036">
        <v>0.25801469999999999</v>
      </c>
      <c r="W3036">
        <v>4.4346400000000001E-2</v>
      </c>
      <c r="X3036">
        <v>0.965122699999999</v>
      </c>
      <c r="Y3036">
        <v>0.44538139999999998</v>
      </c>
      <c r="Z3036">
        <v>5.8857590000000001E-2</v>
      </c>
      <c r="AA3036">
        <v>0.89340419999999998</v>
      </c>
      <c r="AB3036">
        <v>23</v>
      </c>
      <c r="AC3036">
        <v>-13.198699999999899</v>
      </c>
      <c r="AD3036">
        <v>-1.102468558769</v>
      </c>
      <c r="AE3036">
        <v>-0.96500000000000297</v>
      </c>
      <c r="AF3036">
        <v>5.9836819651705797</v>
      </c>
      <c r="AG3036">
        <v>-1.102468558769</v>
      </c>
      <c r="AH3036">
        <v>11.7015663894014</v>
      </c>
      <c r="AI3036">
        <v>94.7949933729777</v>
      </c>
      <c r="AJ3036">
        <v>62.9167347134305</v>
      </c>
      <c r="AK3036">
        <v>13.188879510745</v>
      </c>
    </row>
    <row r="3037" spans="1:37" x14ac:dyDescent="0.2">
      <c r="A3037" t="str">
        <f>"20200111154125411"</f>
        <v>20200111154125411</v>
      </c>
      <c r="B3037" t="str">
        <f>"1578728485399652"</f>
        <v>1578728485399652</v>
      </c>
      <c r="C3037" t="s">
        <v>37</v>
      </c>
      <c r="D3037">
        <v>5.4038539999999999</v>
      </c>
      <c r="E3037">
        <v>0.5766348</v>
      </c>
      <c r="F3037" t="s">
        <v>39</v>
      </c>
      <c r="G3037">
        <v>-216.71010000000001</v>
      </c>
      <c r="H3037" s="1">
        <v>-2.413651E-6</v>
      </c>
      <c r="I3037">
        <v>142.9162</v>
      </c>
      <c r="J3037">
        <v>-203.43109999999999</v>
      </c>
      <c r="K3037">
        <v>1.1024670000000001</v>
      </c>
      <c r="L3037">
        <v>143.75020000000001</v>
      </c>
      <c r="M3037">
        <v>-0.86151029999999995</v>
      </c>
      <c r="N3037">
        <v>0</v>
      </c>
      <c r="O3037">
        <v>-0.50765389999999999</v>
      </c>
      <c r="P3037">
        <v>-0.96177579999999996</v>
      </c>
      <c r="Q3037">
        <v>4.0703040000000003E-2</v>
      </c>
      <c r="R3037">
        <v>-0.27079639999999999</v>
      </c>
      <c r="S3037">
        <v>-3.075485</v>
      </c>
      <c r="T3037">
        <v>-0.2509673</v>
      </c>
      <c r="U3037">
        <v>-0.21784970000000001</v>
      </c>
      <c r="V3037">
        <v>0.25583030000000001</v>
      </c>
      <c r="W3037">
        <v>4.5106189999999997E-2</v>
      </c>
      <c r="X3037">
        <v>0.96566890000000005</v>
      </c>
      <c r="Y3037">
        <v>0.44254259999999901</v>
      </c>
      <c r="Z3037">
        <v>5.7590540000000003E-2</v>
      </c>
      <c r="AA3037">
        <v>0.89489629999999998</v>
      </c>
      <c r="AB3037">
        <v>23</v>
      </c>
      <c r="AC3037">
        <v>-13.279</v>
      </c>
      <c r="AD3037">
        <v>-1.102469413651</v>
      </c>
      <c r="AE3037">
        <v>-0.83400000000000296</v>
      </c>
      <c r="AF3037">
        <v>5.98182993153394</v>
      </c>
      <c r="AG3037">
        <v>-1.102469413651</v>
      </c>
      <c r="AH3037">
        <v>11.7829978268679</v>
      </c>
      <c r="AI3037">
        <v>94.769094642054895</v>
      </c>
      <c r="AJ3037">
        <v>63.084633935046199</v>
      </c>
      <c r="AK3037">
        <v>13.2603456186408</v>
      </c>
    </row>
    <row r="3038" spans="1:37" x14ac:dyDescent="0.2">
      <c r="A3038" t="str">
        <f>"20200111154125431"</f>
        <v>20200111154125431</v>
      </c>
      <c r="B3038" t="str">
        <f>"1578728485419173"</f>
        <v>1578728485419173</v>
      </c>
      <c r="C3038" t="s">
        <v>37</v>
      </c>
      <c r="D3038">
        <v>5.4188070000000002</v>
      </c>
      <c r="E3038">
        <v>0.57652749999999997</v>
      </c>
      <c r="F3038" t="s">
        <v>39</v>
      </c>
      <c r="G3038">
        <v>-216.4966</v>
      </c>
      <c r="H3038" s="1">
        <v>-2.4814949999999999E-6</v>
      </c>
      <c r="I3038">
        <v>142.7919</v>
      </c>
      <c r="J3038">
        <v>-203.62459999999999</v>
      </c>
      <c r="K3038">
        <v>1.1024700000000001</v>
      </c>
      <c r="L3038">
        <v>143.65020000000001</v>
      </c>
      <c r="M3038">
        <v>-0.86699959999999898</v>
      </c>
      <c r="N3038">
        <v>0</v>
      </c>
      <c r="O3038">
        <v>-0.49822100000000002</v>
      </c>
      <c r="P3038">
        <v>-0.9639624</v>
      </c>
      <c r="Q3038">
        <v>4.1450800000000003E-2</v>
      </c>
      <c r="R3038">
        <v>-0.26279000000000002</v>
      </c>
      <c r="S3038">
        <v>-3.0668489999999999</v>
      </c>
      <c r="T3038">
        <v>-0.25878129999999999</v>
      </c>
      <c r="U3038">
        <v>-0.22494510000000001</v>
      </c>
      <c r="V3038">
        <v>0.25331609999999999</v>
      </c>
      <c r="W3038">
        <v>4.589787E-2</v>
      </c>
      <c r="X3038">
        <v>0.96629409999999905</v>
      </c>
      <c r="Y3038">
        <v>0.43035600000000002</v>
      </c>
      <c r="Z3038">
        <v>5.8328829999999998E-2</v>
      </c>
      <c r="AA3038">
        <v>0.90077269999999898</v>
      </c>
      <c r="AB3038">
        <v>23</v>
      </c>
      <c r="AC3038">
        <v>-12.872</v>
      </c>
      <c r="AD3038">
        <v>-1.102472481495</v>
      </c>
      <c r="AE3038">
        <v>-0.85830000000001405</v>
      </c>
      <c r="AF3038">
        <v>5.6280995929823003</v>
      </c>
      <c r="AG3038">
        <v>-1.102472481495</v>
      </c>
      <c r="AH3038">
        <v>11.504131427188399</v>
      </c>
      <c r="AI3038">
        <v>94.920077456942906</v>
      </c>
      <c r="AJ3038">
        <v>63.931000516688997</v>
      </c>
      <c r="AK3038">
        <v>12.854415214042399</v>
      </c>
    </row>
    <row r="3039" spans="1:37" x14ac:dyDescent="0.2">
      <c r="A3039" t="str">
        <f>"20200111154125452"</f>
        <v>20200111154125452</v>
      </c>
      <c r="B3039" t="str">
        <f>"1578728485449428"</f>
        <v>1578728485449428</v>
      </c>
      <c r="C3039" t="s">
        <v>37</v>
      </c>
      <c r="D3039">
        <v>5.4231790000000002</v>
      </c>
      <c r="E3039">
        <v>0.57490909999999995</v>
      </c>
      <c r="F3039" t="s">
        <v>39</v>
      </c>
      <c r="G3039">
        <v>-216.4573</v>
      </c>
      <c r="H3039" s="1">
        <v>-2.5060729999999999E-6</v>
      </c>
      <c r="I3039">
        <v>142.81440000000001</v>
      </c>
      <c r="J3039">
        <v>-203.82509999999999</v>
      </c>
      <c r="K3039">
        <v>1.102474</v>
      </c>
      <c r="L3039">
        <v>143.54920000000001</v>
      </c>
      <c r="M3039">
        <v>-0.87252109999999905</v>
      </c>
      <c r="N3039">
        <v>0</v>
      </c>
      <c r="O3039">
        <v>-0.48848739999999902</v>
      </c>
      <c r="P3039">
        <v>-0.96611100000000005</v>
      </c>
      <c r="Q3039">
        <v>4.2443729999999999E-2</v>
      </c>
      <c r="R3039">
        <v>-0.25461420000000001</v>
      </c>
      <c r="S3039">
        <v>-3.069</v>
      </c>
      <c r="T3039">
        <v>-0.26366129999999999</v>
      </c>
      <c r="U3039">
        <v>-0.19989009999999999</v>
      </c>
      <c r="V3039">
        <v>0.25068249999999997</v>
      </c>
      <c r="W3039">
        <v>4.6931970000000003E-2</v>
      </c>
      <c r="X3039">
        <v>0.96693099999999998</v>
      </c>
      <c r="Y3039">
        <v>0.4275526</v>
      </c>
      <c r="Z3039">
        <v>5.8569629999999998E-2</v>
      </c>
      <c r="AA3039">
        <v>0.90209110000000003</v>
      </c>
      <c r="AB3039">
        <v>23</v>
      </c>
      <c r="AC3039">
        <v>-12.632199999999999</v>
      </c>
      <c r="AD3039">
        <v>-1.102476506073</v>
      </c>
      <c r="AE3039">
        <v>-0.734800000000007</v>
      </c>
      <c r="AF3039">
        <v>5.4881208174958704</v>
      </c>
      <c r="AG3039">
        <v>-1.102476506073</v>
      </c>
      <c r="AH3039">
        <v>11.2955492041258</v>
      </c>
      <c r="AI3039">
        <v>95.017089924638896</v>
      </c>
      <c r="AJ3039">
        <v>64.086469343777296</v>
      </c>
      <c r="AK3039">
        <v>12.6065203913174</v>
      </c>
    </row>
    <row r="3040" spans="1:37" x14ac:dyDescent="0.2">
      <c r="A3040" t="str">
        <f>"20200111154125475"</f>
        <v>20200111154125475</v>
      </c>
      <c r="B3040" t="str">
        <f>"1578728485468948"</f>
        <v>1578728485468948</v>
      </c>
      <c r="C3040" t="s">
        <v>37</v>
      </c>
      <c r="D3040">
        <v>5.4717690000000001</v>
      </c>
      <c r="E3040">
        <v>0.57418269999999905</v>
      </c>
      <c r="F3040" t="s">
        <v>39</v>
      </c>
      <c r="G3040">
        <v>-216.39689999999999</v>
      </c>
      <c r="H3040" s="1">
        <v>-2.5270499999999998E-6</v>
      </c>
      <c r="I3040">
        <v>142.786</v>
      </c>
      <c r="J3040">
        <v>-204.0521</v>
      </c>
      <c r="K3040">
        <v>1.1024959999999999</v>
      </c>
      <c r="L3040">
        <v>143.43809999999999</v>
      </c>
      <c r="M3040">
        <v>-0.87855759999999905</v>
      </c>
      <c r="N3040">
        <v>0</v>
      </c>
      <c r="O3040">
        <v>-0.47754589999999902</v>
      </c>
      <c r="P3040">
        <v>-0.96850859999999905</v>
      </c>
      <c r="Q3040">
        <v>4.371183E-2</v>
      </c>
      <c r="R3040">
        <v>-0.24511379999999999</v>
      </c>
      <c r="S3040">
        <v>-3.0679630000000002</v>
      </c>
      <c r="T3040">
        <v>-0.26904359999999999</v>
      </c>
      <c r="U3040">
        <v>-0.18624879999999999</v>
      </c>
      <c r="V3040">
        <v>0.24808720000000001</v>
      </c>
      <c r="W3040">
        <v>4.8233209999999999E-2</v>
      </c>
      <c r="X3040">
        <v>0.96753619999999996</v>
      </c>
      <c r="Y3040">
        <v>0.42015950000000002</v>
      </c>
      <c r="Z3040">
        <v>5.8631379999999997E-2</v>
      </c>
      <c r="AA3040">
        <v>0.90555419999999998</v>
      </c>
      <c r="AB3040">
        <v>23</v>
      </c>
      <c r="AC3040">
        <v>-12.3447999999999</v>
      </c>
      <c r="AD3040">
        <v>-1.1024985270499901</v>
      </c>
      <c r="AE3040">
        <v>-0.65209999999999002</v>
      </c>
      <c r="AF3040">
        <v>5.2805307197675297</v>
      </c>
      <c r="AG3040">
        <v>-1.1024985270499901</v>
      </c>
      <c r="AH3040">
        <v>11.069462950546299</v>
      </c>
      <c r="AI3040">
        <v>95.136726180329603</v>
      </c>
      <c r="AJ3040">
        <v>64.497184440240105</v>
      </c>
      <c r="AK3040">
        <v>12.3139156119438</v>
      </c>
    </row>
    <row r="3041" spans="1:37" x14ac:dyDescent="0.2">
      <c r="A3041" t="str">
        <f>"20200111154125499"</f>
        <v>20200111154125499</v>
      </c>
      <c r="B3041" t="str">
        <f>"1578728485489444"</f>
        <v>1578728485489444</v>
      </c>
      <c r="C3041" t="s">
        <v>37</v>
      </c>
      <c r="D3041">
        <v>5.4583079999999997</v>
      </c>
      <c r="E3041">
        <v>0.57345330000000005</v>
      </c>
      <c r="F3041" t="s">
        <v>39</v>
      </c>
      <c r="G3041">
        <v>-216.67320000000001</v>
      </c>
      <c r="H3041" s="1">
        <v>-2.3926370000000001E-6</v>
      </c>
      <c r="I3041">
        <v>142.77170000000001</v>
      </c>
      <c r="J3041">
        <v>-204.27690000000001</v>
      </c>
      <c r="K3041">
        <v>1.1025209999999901</v>
      </c>
      <c r="L3041">
        <v>143.3312</v>
      </c>
      <c r="M3041">
        <v>-0.88431729999999997</v>
      </c>
      <c r="N3041">
        <v>0</v>
      </c>
      <c r="O3041">
        <v>-0.46679480000000001</v>
      </c>
      <c r="P3041">
        <v>-0.97060149999999901</v>
      </c>
      <c r="Q3041">
        <v>4.5151440000000001E-2</v>
      </c>
      <c r="R3041">
        <v>-0.23642099999999999</v>
      </c>
      <c r="S3041">
        <v>-3.0686490000000002</v>
      </c>
      <c r="T3041">
        <v>-0.26805679999999998</v>
      </c>
      <c r="U3041">
        <v>-0.16201779999999999</v>
      </c>
      <c r="V3041">
        <v>0.24494949999999999</v>
      </c>
      <c r="W3041">
        <v>4.9709160000000002E-2</v>
      </c>
      <c r="X3041">
        <v>0.96826069999999997</v>
      </c>
      <c r="Y3041">
        <v>0.41631409999999902</v>
      </c>
      <c r="Z3041">
        <v>5.7434350000000002E-2</v>
      </c>
      <c r="AA3041">
        <v>0.90740499999999902</v>
      </c>
      <c r="AB3041">
        <v>24</v>
      </c>
      <c r="AC3041">
        <v>-12.396299999999901</v>
      </c>
      <c r="AD3041">
        <v>-1.1025233926369999</v>
      </c>
      <c r="AE3041">
        <v>-0.55949999999998501</v>
      </c>
      <c r="AF3041">
        <v>5.2505304665986898</v>
      </c>
      <c r="AG3041">
        <v>-1.1025233926369999</v>
      </c>
      <c r="AH3041">
        <v>11.1360044716199</v>
      </c>
      <c r="AI3041">
        <v>95.117224897632198</v>
      </c>
      <c r="AJ3041">
        <v>64.756525022281494</v>
      </c>
      <c r="AK3041">
        <v>12.3609960603477</v>
      </c>
    </row>
    <row r="3042" spans="1:37" x14ac:dyDescent="0.2">
      <c r="A3042" t="str">
        <f>"20200111154125522"</f>
        <v>20200111154125522</v>
      </c>
      <c r="B3042" t="str">
        <f>"1578728485508963"</f>
        <v>1578728485508963</v>
      </c>
      <c r="C3042" t="s">
        <v>37</v>
      </c>
      <c r="D3042">
        <v>5.4544040000000003</v>
      </c>
      <c r="E3042">
        <v>0.56869539999999996</v>
      </c>
      <c r="F3042" t="s">
        <v>39</v>
      </c>
      <c r="G3042">
        <v>-216.92429999999999</v>
      </c>
      <c r="H3042" s="1">
        <v>-2.268433E-6</v>
      </c>
      <c r="I3042">
        <v>142.7509</v>
      </c>
      <c r="J3042">
        <v>-204.49719999999999</v>
      </c>
      <c r="K3042">
        <v>1.10254599999999</v>
      </c>
      <c r="L3042">
        <v>143.2296</v>
      </c>
      <c r="M3042">
        <v>-0.88974540000000002</v>
      </c>
      <c r="N3042">
        <v>0</v>
      </c>
      <c r="O3042">
        <v>-0.456364099999999</v>
      </c>
      <c r="P3042">
        <v>-0.97237430000000002</v>
      </c>
      <c r="Q3042">
        <v>4.5845789999999997E-2</v>
      </c>
      <c r="R3042">
        <v>-0.22888119999999901</v>
      </c>
      <c r="S3042">
        <v>-3.0690309999999998</v>
      </c>
      <c r="T3042">
        <v>-0.26754109999999998</v>
      </c>
      <c r="U3042">
        <v>-0.14080809999999999</v>
      </c>
      <c r="V3042">
        <v>0.24106710000000001</v>
      </c>
      <c r="W3042">
        <v>5.0450189999999999E-2</v>
      </c>
      <c r="X3042">
        <v>0.96919630000000001</v>
      </c>
      <c r="Y3042">
        <v>0.41195490000000001</v>
      </c>
      <c r="Z3042">
        <v>5.6339430000000003E-2</v>
      </c>
      <c r="AA3042">
        <v>0.90946079999999996</v>
      </c>
      <c r="AB3042">
        <v>24</v>
      </c>
      <c r="AC3042">
        <v>-12.4270999999999</v>
      </c>
      <c r="AD3042">
        <v>-1.1025482684329999</v>
      </c>
      <c r="AE3042">
        <v>-0.47870000000000301</v>
      </c>
      <c r="AF3042">
        <v>5.2046762137561098</v>
      </c>
      <c r="AG3042">
        <v>-1.1025482684329999</v>
      </c>
      <c r="AH3042">
        <v>11.1879602345793</v>
      </c>
      <c r="AI3042">
        <v>95.105952872317999</v>
      </c>
      <c r="AJ3042">
        <v>65.051994913136994</v>
      </c>
      <c r="AK3042">
        <v>12.3884914894749</v>
      </c>
    </row>
    <row r="3043" spans="1:37" x14ac:dyDescent="0.2">
      <c r="A3043" t="str">
        <f>"20200111154125544"</f>
        <v>20200111154125544</v>
      </c>
      <c r="B3043" t="str">
        <f>"1578728485539221"</f>
        <v>1578728485539221</v>
      </c>
      <c r="C3043" t="s">
        <v>37</v>
      </c>
      <c r="D3043">
        <v>5.4516089999999897</v>
      </c>
      <c r="E3043">
        <v>0.56721560000000004</v>
      </c>
      <c r="F3043" t="s">
        <v>39</v>
      </c>
      <c r="G3043">
        <v>-216.18799999999999</v>
      </c>
      <c r="H3043" s="1">
        <v>-2.5872750000000001E-6</v>
      </c>
      <c r="I3043">
        <v>142.6413</v>
      </c>
      <c r="J3043">
        <v>-204.71440000000001</v>
      </c>
      <c r="K3043">
        <v>1.102581</v>
      </c>
      <c r="L3043">
        <v>143.13220000000001</v>
      </c>
      <c r="M3043">
        <v>-0.89489560000000001</v>
      </c>
      <c r="N3043">
        <v>0</v>
      </c>
      <c r="O3043">
        <v>-0.44618199999999902</v>
      </c>
      <c r="P3043">
        <v>-0.97408159999999899</v>
      </c>
      <c r="Q3043">
        <v>4.5289169999999997E-2</v>
      </c>
      <c r="R3043">
        <v>-0.221616799999999</v>
      </c>
      <c r="S3043">
        <v>-3.062592</v>
      </c>
      <c r="T3043">
        <v>-0.28882859999999899</v>
      </c>
      <c r="U3043">
        <v>-0.1541138</v>
      </c>
      <c r="V3043">
        <v>0.2372339</v>
      </c>
      <c r="W3043">
        <v>4.993442E-2</v>
      </c>
      <c r="X3043">
        <v>0.97016840000000004</v>
      </c>
      <c r="Y3043">
        <v>0.39705759999999901</v>
      </c>
      <c r="Z3043">
        <v>5.9348730000000002E-2</v>
      </c>
      <c r="AA3043">
        <v>0.91587280000000004</v>
      </c>
      <c r="AB3043">
        <v>24</v>
      </c>
      <c r="AC3043">
        <v>-11.4735999999999</v>
      </c>
      <c r="AD3043">
        <v>-1.1025835872750001</v>
      </c>
      <c r="AE3043">
        <v>-0.49090000000001</v>
      </c>
      <c r="AF3043">
        <v>4.6374575590964504</v>
      </c>
      <c r="AG3043">
        <v>-1.1025835872750001</v>
      </c>
      <c r="AH3043">
        <v>10.3913567780278</v>
      </c>
      <c r="AI3043">
        <v>95.5343751568127</v>
      </c>
      <c r="AJ3043">
        <v>65.949735722336797</v>
      </c>
      <c r="AK3043">
        <v>11.432497490383</v>
      </c>
    </row>
    <row r="3044" spans="1:37" x14ac:dyDescent="0.2">
      <c r="A3044" t="str">
        <f>"20200111154125564"</f>
        <v>20200111154125564</v>
      </c>
      <c r="B3044" t="str">
        <f>"1578728485558740"</f>
        <v>1578728485558740</v>
      </c>
      <c r="C3044" t="s">
        <v>37</v>
      </c>
      <c r="D3044">
        <v>5.4653830000000001</v>
      </c>
      <c r="E3044">
        <v>0.56644890000000003</v>
      </c>
      <c r="F3044" t="s">
        <v>39</v>
      </c>
      <c r="G3044">
        <v>-216.16489999999999</v>
      </c>
      <c r="H3044" s="1">
        <v>-2.5864739999999998E-6</v>
      </c>
      <c r="I3044">
        <v>142.59710000000001</v>
      </c>
      <c r="J3044">
        <v>-204.93010000000001</v>
      </c>
      <c r="K3044">
        <v>1.102617</v>
      </c>
      <c r="L3044">
        <v>143.0384</v>
      </c>
      <c r="M3044">
        <v>-0.89980309999999897</v>
      </c>
      <c r="N3044">
        <v>0</v>
      </c>
      <c r="O3044">
        <v>-0.43620150000000002</v>
      </c>
      <c r="P3044">
        <v>-0.97562579999999999</v>
      </c>
      <c r="Q3044">
        <v>4.4362819999999997E-2</v>
      </c>
      <c r="R3044">
        <v>-0.21490999999999999</v>
      </c>
      <c r="S3044">
        <v>-3.0609739999999999</v>
      </c>
      <c r="T3044">
        <v>-0.29474659999999903</v>
      </c>
      <c r="U3044">
        <v>-0.14305109999999999</v>
      </c>
      <c r="V3044">
        <v>0.2331096</v>
      </c>
      <c r="W3044">
        <v>4.9053350000000003E-2</v>
      </c>
      <c r="X3044">
        <v>0.97121250000000003</v>
      </c>
      <c r="Y3044">
        <v>0.39004889999999998</v>
      </c>
      <c r="Z3044">
        <v>5.9398479999999997E-2</v>
      </c>
      <c r="AA3044">
        <v>0.91887629999999998</v>
      </c>
      <c r="AB3044">
        <v>24</v>
      </c>
      <c r="AC3044">
        <v>-11.2347999999999</v>
      </c>
      <c r="AD3044">
        <v>-1.102619586474</v>
      </c>
      <c r="AE3044">
        <v>-0.44129999999998398</v>
      </c>
      <c r="AF3044">
        <v>4.4608385612652297</v>
      </c>
      <c r="AG3044">
        <v>-1.102619586474</v>
      </c>
      <c r="AH3044">
        <v>10.203895766716499</v>
      </c>
      <c r="AI3044">
        <v>95.654468914386399</v>
      </c>
      <c r="AJ3044">
        <v>66.386487353501593</v>
      </c>
      <c r="AK3044">
        <v>11.1908149587134</v>
      </c>
    </row>
    <row r="3045" spans="1:37" x14ac:dyDescent="0.2">
      <c r="A3045" t="str">
        <f>"20200111154125588"</f>
        <v>20200111154125588</v>
      </c>
      <c r="B3045" t="str">
        <f>"1578728485579236"</f>
        <v>1578728485579236</v>
      </c>
      <c r="C3045" t="s">
        <v>37</v>
      </c>
      <c r="D3045">
        <v>5.4804820000000003</v>
      </c>
      <c r="E3045">
        <v>0.56587399999999999</v>
      </c>
      <c r="F3045" t="s">
        <v>39</v>
      </c>
      <c r="G3045">
        <v>-216.13290000000001</v>
      </c>
      <c r="H3045" s="1">
        <v>-2.594214E-6</v>
      </c>
      <c r="I3045">
        <v>142.5693</v>
      </c>
      <c r="J3045">
        <v>-205.16560000000001</v>
      </c>
      <c r="K3045">
        <v>1.102657</v>
      </c>
      <c r="L3045">
        <v>142.9391</v>
      </c>
      <c r="M3045">
        <v>-0.90495199999999998</v>
      </c>
      <c r="N3045">
        <v>0</v>
      </c>
      <c r="O3045">
        <v>-0.42541839999999997</v>
      </c>
      <c r="P3045">
        <v>-0.97723899999999997</v>
      </c>
      <c r="Q3045">
        <v>4.3537770000000003E-2</v>
      </c>
      <c r="R3045">
        <v>-0.20762610000000001</v>
      </c>
      <c r="S3045">
        <v>-3.0603940000000001</v>
      </c>
      <c r="T3045">
        <v>-0.30121490000000001</v>
      </c>
      <c r="U3045">
        <v>-0.12815860000000001</v>
      </c>
      <c r="V3045">
        <v>0.22873959999999999</v>
      </c>
      <c r="W3045">
        <v>4.827132E-2</v>
      </c>
      <c r="X3045">
        <v>0.97229009999999905</v>
      </c>
      <c r="Y3045">
        <v>0.383416799999999</v>
      </c>
      <c r="Z3045">
        <v>5.9433109999999997E-2</v>
      </c>
      <c r="AA3045">
        <v>0.92166109999999901</v>
      </c>
      <c r="AB3045">
        <v>24</v>
      </c>
      <c r="AC3045">
        <v>-10.9672999999999</v>
      </c>
      <c r="AD3045">
        <v>-1.1026595942140001</v>
      </c>
      <c r="AE3045">
        <v>-0.36979999999999702</v>
      </c>
      <c r="AF3045">
        <v>4.2879206233297804</v>
      </c>
      <c r="AG3045">
        <v>-1.1026595942140001</v>
      </c>
      <c r="AH3045">
        <v>9.9818225500370001</v>
      </c>
      <c r="AI3045">
        <v>95.7955672982865</v>
      </c>
      <c r="AJ3045">
        <v>66.752949998474506</v>
      </c>
      <c r="AK3045">
        <v>10.9196567195638</v>
      </c>
    </row>
    <row r="3046" spans="1:37" x14ac:dyDescent="0.2">
      <c r="A3046" t="str">
        <f>"20200111154125611"</f>
        <v>20200111154125611</v>
      </c>
      <c r="B3046" t="str">
        <f>"1578728485609492"</f>
        <v>1578728485609492</v>
      </c>
      <c r="C3046" t="s">
        <v>37</v>
      </c>
      <c r="D3046">
        <v>5.4186529999999999</v>
      </c>
      <c r="E3046">
        <v>0.56574239999999998</v>
      </c>
      <c r="F3046" t="s">
        <v>39</v>
      </c>
      <c r="G3046">
        <v>-216.29689999999999</v>
      </c>
      <c r="H3046" s="1">
        <v>-2.5086119999999999E-6</v>
      </c>
      <c r="I3046">
        <v>142.53909999999999</v>
      </c>
      <c r="J3046">
        <v>-205.40430000000001</v>
      </c>
      <c r="K3046">
        <v>1.1026799999999899</v>
      </c>
      <c r="L3046">
        <v>142.8415</v>
      </c>
      <c r="M3046">
        <v>-0.90995689999999996</v>
      </c>
      <c r="N3046">
        <v>0</v>
      </c>
      <c r="O3046">
        <v>-0.4146069</v>
      </c>
      <c r="P3046">
        <v>-0.97874300000000003</v>
      </c>
      <c r="Q3046">
        <v>4.2703310000000001E-2</v>
      </c>
      <c r="R3046">
        <v>-0.200597</v>
      </c>
      <c r="S3046">
        <v>-3.060028</v>
      </c>
      <c r="T3046">
        <v>-0.30312240000000001</v>
      </c>
      <c r="U3046">
        <v>-0.1099701</v>
      </c>
      <c r="V3046">
        <v>0.22413449999999999</v>
      </c>
      <c r="W3046">
        <v>4.7474000000000002E-2</v>
      </c>
      <c r="X3046">
        <v>0.97340119999999897</v>
      </c>
      <c r="Y3046">
        <v>0.37791019999999997</v>
      </c>
      <c r="Z3046">
        <v>5.858174E-2</v>
      </c>
      <c r="AA3046">
        <v>0.92398709999999995</v>
      </c>
      <c r="AB3046">
        <v>24</v>
      </c>
      <c r="AC3046">
        <v>-10.8925999999999</v>
      </c>
      <c r="AD3046">
        <v>-1.10268250861199</v>
      </c>
      <c r="AE3046">
        <v>-0.302400000000005</v>
      </c>
      <c r="AF3046">
        <v>4.19815542635844</v>
      </c>
      <c r="AG3046">
        <v>-1.10268250861199</v>
      </c>
      <c r="AH3046">
        <v>9.9358292839001496</v>
      </c>
      <c r="AI3046">
        <v>95.837041068210198</v>
      </c>
      <c r="AJ3046">
        <v>67.094633033335299</v>
      </c>
      <c r="AK3046">
        <v>10.8425606411709</v>
      </c>
    </row>
    <row r="3047" spans="1:37" x14ac:dyDescent="0.2">
      <c r="A3047" t="str">
        <f>"20200111154125631"</f>
        <v>20200111154125631</v>
      </c>
      <c r="B3047" t="str">
        <f>"1578728485629012"</f>
        <v>1578728485629012</v>
      </c>
      <c r="C3047" t="s">
        <v>37</v>
      </c>
      <c r="D3047">
        <v>5.6422569999999999</v>
      </c>
      <c r="E3047">
        <v>0.56578479999999998</v>
      </c>
      <c r="F3047" t="s">
        <v>39</v>
      </c>
      <c r="G3047">
        <v>-216.64109999999999</v>
      </c>
      <c r="H3047" s="1">
        <v>-2.3391709999999998E-6</v>
      </c>
      <c r="I3047">
        <v>142.5136</v>
      </c>
      <c r="J3047">
        <v>-205.6112</v>
      </c>
      <c r="K3047">
        <v>1.1026989999999901</v>
      </c>
      <c r="L3047">
        <v>142.7594</v>
      </c>
      <c r="M3047">
        <v>-0.91411919999999902</v>
      </c>
      <c r="N3047">
        <v>0</v>
      </c>
      <c r="O3047">
        <v>-0.40534899999999902</v>
      </c>
      <c r="P3047">
        <v>-0.97979380000000005</v>
      </c>
      <c r="Q3047">
        <v>4.1828369999999997E-2</v>
      </c>
      <c r="R3047">
        <v>-0.19558789999999901</v>
      </c>
      <c r="S3047">
        <v>-3.0599669999999999</v>
      </c>
      <c r="T3047">
        <v>-0.30027999999999999</v>
      </c>
      <c r="U3047">
        <v>-8.9279170000000005E-2</v>
      </c>
      <c r="V3047">
        <v>0.2192228</v>
      </c>
      <c r="W3047">
        <v>4.6643799999999999E-2</v>
      </c>
      <c r="X3047">
        <v>0.97455919999999896</v>
      </c>
      <c r="Y3047">
        <v>0.37488579999999999</v>
      </c>
      <c r="Z3047">
        <v>5.7071749999999997E-2</v>
      </c>
      <c r="AA3047">
        <v>0.92531260000000004</v>
      </c>
      <c r="AB3047">
        <v>24</v>
      </c>
      <c r="AC3047">
        <v>-11.0298999999999</v>
      </c>
      <c r="AD3047">
        <v>-1.1027013391709899</v>
      </c>
      <c r="AE3047">
        <v>-0.24580000000000199</v>
      </c>
      <c r="AF3047">
        <v>4.2044331674621498</v>
      </c>
      <c r="AG3047">
        <v>-1.1027013391709899</v>
      </c>
      <c r="AH3047">
        <v>10.0819598701354</v>
      </c>
      <c r="AI3047">
        <v>95.764337500047006</v>
      </c>
      <c r="AJ3047">
        <v>67.362624767600806</v>
      </c>
      <c r="AK3047">
        <v>10.979031074101499</v>
      </c>
    </row>
    <row r="3048" spans="1:37" x14ac:dyDescent="0.2">
      <c r="A3048" t="str">
        <f>"20200111154125654"</f>
        <v>20200111154125654</v>
      </c>
      <c r="B3048" t="str">
        <f>"1578728485649508"</f>
        <v>1578728485649508</v>
      </c>
      <c r="C3048" t="s">
        <v>37</v>
      </c>
      <c r="D3048">
        <v>5.2929709999999996</v>
      </c>
      <c r="E3048">
        <v>0.54486780000000001</v>
      </c>
      <c r="F3048" t="s">
        <v>39</v>
      </c>
      <c r="G3048">
        <v>-216.6191</v>
      </c>
      <c r="H3048" s="1">
        <v>-2.3440980000000001E-6</v>
      </c>
      <c r="I3048">
        <v>142.4932</v>
      </c>
      <c r="J3048">
        <v>-205.83879999999999</v>
      </c>
      <c r="K3048">
        <v>1.1027260000000001</v>
      </c>
      <c r="L3048">
        <v>142.67160000000001</v>
      </c>
      <c r="M3048">
        <v>-0.9185101</v>
      </c>
      <c r="N3048">
        <v>0</v>
      </c>
      <c r="O3048">
        <v>-0.39530019999999999</v>
      </c>
      <c r="P3048">
        <v>-0.98011539999999997</v>
      </c>
      <c r="Q3048">
        <v>4.0976560000000002E-2</v>
      </c>
      <c r="R3048">
        <v>-0.19415160000000001</v>
      </c>
      <c r="S3048">
        <v>-3.060165</v>
      </c>
      <c r="T3048">
        <v>-0.30654680000000001</v>
      </c>
      <c r="U3048">
        <v>-7.3989869999999999E-2</v>
      </c>
      <c r="V3048">
        <v>0.2099442</v>
      </c>
      <c r="W3048">
        <v>4.5914530000000002E-2</v>
      </c>
      <c r="X3048">
        <v>0.97663469999999997</v>
      </c>
      <c r="Y3048">
        <v>0.36926639999999999</v>
      </c>
      <c r="Z3048">
        <v>5.7054680000000003E-2</v>
      </c>
      <c r="AA3048">
        <v>0.92757049999999996</v>
      </c>
      <c r="AB3048">
        <v>24</v>
      </c>
      <c r="AC3048">
        <v>-10.7803</v>
      </c>
      <c r="AD3048">
        <v>-1.102728344098</v>
      </c>
      <c r="AE3048">
        <v>-0.17840000000001</v>
      </c>
      <c r="AF3048">
        <v>4.0553290422927599</v>
      </c>
      <c r="AG3048">
        <v>-1.102728344098</v>
      </c>
      <c r="AH3048">
        <v>9.8694790440918805</v>
      </c>
      <c r="AI3048">
        <v>95.900396302186493</v>
      </c>
      <c r="AJ3048">
        <v>67.662437583447797</v>
      </c>
      <c r="AK3048">
        <v>10.726990260269099</v>
      </c>
    </row>
    <row r="3049" spans="1:37" x14ac:dyDescent="0.2">
      <c r="A3049" t="str">
        <f>"20200111154125689"</f>
        <v>20200111154125689</v>
      </c>
      <c r="B3049" t="str">
        <f>"1578728485679764"</f>
        <v>1578728485679764</v>
      </c>
      <c r="C3049" t="s">
        <v>37</v>
      </c>
      <c r="D3049">
        <v>5.301876</v>
      </c>
      <c r="E3049">
        <v>0.54078340000000003</v>
      </c>
      <c r="F3049" t="s">
        <v>39</v>
      </c>
      <c r="G3049">
        <v>-216.0984</v>
      </c>
      <c r="H3049" s="1">
        <v>-2.4263189999999999E-6</v>
      </c>
      <c r="I3049">
        <v>141.87710000000001</v>
      </c>
      <c r="J3049">
        <v>-206.20189999999999</v>
      </c>
      <c r="K3049">
        <v>1.102787</v>
      </c>
      <c r="L3049">
        <v>142.53700000000001</v>
      </c>
      <c r="M3049">
        <v>-0.92511669999999901</v>
      </c>
      <c r="N3049">
        <v>0</v>
      </c>
      <c r="O3049">
        <v>-0.37958509999999901</v>
      </c>
      <c r="P3049">
        <v>-0.98094760000000003</v>
      </c>
      <c r="Q3049">
        <v>3.6715379999999999E-2</v>
      </c>
      <c r="R3049">
        <v>-0.19077259999999999</v>
      </c>
      <c r="S3049">
        <v>-3.0280149999999999</v>
      </c>
      <c r="T3049">
        <v>-0.3254592</v>
      </c>
      <c r="U3049">
        <v>-0.23448179999999899</v>
      </c>
      <c r="V3049">
        <v>0.19661500000000001</v>
      </c>
      <c r="W3049">
        <v>4.1808650000000003E-2</v>
      </c>
      <c r="X3049">
        <v>0.97958899999999904</v>
      </c>
      <c r="Y3049">
        <v>0.30324209999999902</v>
      </c>
      <c r="Z3049">
        <v>5.5909569999999999E-2</v>
      </c>
      <c r="AA3049">
        <v>0.95127199999999901</v>
      </c>
      <c r="AB3049">
        <v>24</v>
      </c>
      <c r="AC3049">
        <v>-9.8964999999999996</v>
      </c>
      <c r="AD3049">
        <v>-1.1027894263189999</v>
      </c>
      <c r="AE3049">
        <v>-0.65989999999999305</v>
      </c>
      <c r="AF3049">
        <v>3.1077773085289899</v>
      </c>
      <c r="AG3049">
        <v>-1.1027894263189999</v>
      </c>
      <c r="AH3049">
        <v>9.2913928950564397</v>
      </c>
      <c r="AI3049">
        <v>96.422173357174302</v>
      </c>
      <c r="AJ3049">
        <v>71.505985474342694</v>
      </c>
      <c r="AK3049">
        <v>9.8592294956814008</v>
      </c>
    </row>
    <row r="3050" spans="1:37" x14ac:dyDescent="0.2">
      <c r="A3050" t="str">
        <f>"20200111154125710"</f>
        <v>20200111154125710</v>
      </c>
      <c r="B3050" t="str">
        <f>"1578728485709044"</f>
        <v>1578728485709044</v>
      </c>
      <c r="C3050" t="s">
        <v>37</v>
      </c>
      <c r="D3050">
        <v>5.3164119999999997</v>
      </c>
      <c r="E3050">
        <v>0.53963329999999998</v>
      </c>
      <c r="F3050" t="s">
        <v>39</v>
      </c>
      <c r="G3050">
        <v>-216.5284</v>
      </c>
      <c r="H3050" s="1">
        <v>-2.1618830000000002E-6</v>
      </c>
      <c r="I3050">
        <v>141.64709999999999</v>
      </c>
      <c r="J3050">
        <v>-206.43610000000001</v>
      </c>
      <c r="K3050">
        <v>1.102835</v>
      </c>
      <c r="L3050">
        <v>142.45359999999999</v>
      </c>
      <c r="M3050">
        <v>-0.92912399999999995</v>
      </c>
      <c r="N3050">
        <v>0</v>
      </c>
      <c r="O3050">
        <v>-0.36967040000000001</v>
      </c>
      <c r="P3050">
        <v>-0.98158339999999999</v>
      </c>
      <c r="Q3050">
        <v>3.4260949999999998E-2</v>
      </c>
      <c r="R3050">
        <v>-0.1879372</v>
      </c>
      <c r="S3050">
        <v>-3.01973</v>
      </c>
      <c r="T3050">
        <v>-0.32248539999999998</v>
      </c>
      <c r="U3050">
        <v>-0.2602081</v>
      </c>
      <c r="V3050">
        <v>0.18894339999999901</v>
      </c>
      <c r="W3050">
        <v>3.9432139999999997E-2</v>
      </c>
      <c r="X3050">
        <v>0.98119590000000001</v>
      </c>
      <c r="Y3050">
        <v>0.2849603</v>
      </c>
      <c r="Z3050">
        <v>5.356267E-2</v>
      </c>
      <c r="AA3050">
        <v>0.95704159999999905</v>
      </c>
      <c r="AB3050">
        <v>24</v>
      </c>
      <c r="AC3050">
        <v>-10.0922999999999</v>
      </c>
      <c r="AD3050">
        <v>-1.102837161883</v>
      </c>
      <c r="AE3050">
        <v>-0.806499999999999</v>
      </c>
      <c r="AF3050">
        <v>2.94663139076098</v>
      </c>
      <c r="AG3050">
        <v>-1.102837161883</v>
      </c>
      <c r="AH3050">
        <v>9.5620313687819998</v>
      </c>
      <c r="AI3050">
        <v>96.289770306581801</v>
      </c>
      <c r="AJ3050">
        <v>72.872817976464901</v>
      </c>
      <c r="AK3050">
        <v>10.0663464204357</v>
      </c>
    </row>
    <row r="3051" spans="1:37" x14ac:dyDescent="0.2">
      <c r="A3051" t="str">
        <f>"20200111154125731"</f>
        <v>20200111154125731</v>
      </c>
      <c r="B3051" t="str">
        <f>"1578728485729540"</f>
        <v>1578728485729540</v>
      </c>
      <c r="C3051" t="s">
        <v>37</v>
      </c>
      <c r="D3051">
        <v>5.3338070000000002</v>
      </c>
      <c r="E3051">
        <v>0.53821189999999997</v>
      </c>
      <c r="F3051" t="s">
        <v>39</v>
      </c>
      <c r="G3051">
        <v>-216.79830000000001</v>
      </c>
      <c r="H3051" s="1">
        <v>-2.0086210000000001E-6</v>
      </c>
      <c r="I3051">
        <v>141.5506</v>
      </c>
      <c r="J3051">
        <v>-206.6515</v>
      </c>
      <c r="K3051">
        <v>1.102889</v>
      </c>
      <c r="L3051">
        <v>142.37909999999999</v>
      </c>
      <c r="M3051">
        <v>-0.93264780000000003</v>
      </c>
      <c r="N3051">
        <v>0</v>
      </c>
      <c r="O3051">
        <v>-0.36069009999999901</v>
      </c>
      <c r="P3051">
        <v>-0.98218340000000004</v>
      </c>
      <c r="Q3051">
        <v>3.1182970000000001E-2</v>
      </c>
      <c r="R3051">
        <v>-0.18532100000000001</v>
      </c>
      <c r="S3051">
        <v>-3.0171509999999899</v>
      </c>
      <c r="T3051">
        <v>-0.32111250000000002</v>
      </c>
      <c r="U3051">
        <v>-0.2629242</v>
      </c>
      <c r="V3051">
        <v>0.1820638</v>
      </c>
      <c r="W3051">
        <v>3.6424989999999997E-2</v>
      </c>
      <c r="X3051">
        <v>0.98261180000000004</v>
      </c>
      <c r="Y3051">
        <v>0.2749067</v>
      </c>
      <c r="Z3051">
        <v>5.195458E-2</v>
      </c>
      <c r="AA3051">
        <v>0.96006619999999998</v>
      </c>
      <c r="AB3051">
        <v>24</v>
      </c>
      <c r="AC3051">
        <v>-10.146800000000001</v>
      </c>
      <c r="AD3051">
        <v>-1.102891008621</v>
      </c>
      <c r="AE3051">
        <v>-0.82849999999999102</v>
      </c>
      <c r="AF3051">
        <v>2.8537618851262998</v>
      </c>
      <c r="AG3051">
        <v>-1.102891008621</v>
      </c>
      <c r="AH3051">
        <v>9.6493229815460406</v>
      </c>
      <c r="AI3051">
        <v>96.254899713323596</v>
      </c>
      <c r="AJ3051">
        <v>73.524555845376995</v>
      </c>
      <c r="AK3051">
        <v>10.1227347824631</v>
      </c>
    </row>
    <row r="3052" spans="1:37" x14ac:dyDescent="0.2">
      <c r="A3052" t="str">
        <f>"20200111154125754"</f>
        <v>20200111154125754</v>
      </c>
      <c r="B3052" t="str">
        <f>"1578728485749060"</f>
        <v>1578728485749060</v>
      </c>
      <c r="C3052" t="s">
        <v>37</v>
      </c>
      <c r="D3052">
        <v>5.2153029999999996</v>
      </c>
      <c r="E3052">
        <v>0.53745940000000003</v>
      </c>
      <c r="F3052" t="s">
        <v>39</v>
      </c>
      <c r="G3052">
        <v>-216.875</v>
      </c>
      <c r="H3052" s="1">
        <v>-1.9515389999999999E-6</v>
      </c>
      <c r="I3052">
        <v>141.47239999999999</v>
      </c>
      <c r="J3052">
        <v>-206.89940000000001</v>
      </c>
      <c r="K3052">
        <v>1.10297</v>
      </c>
      <c r="L3052">
        <v>142.29599999999999</v>
      </c>
      <c r="M3052">
        <v>-0.93650330000000004</v>
      </c>
      <c r="N3052">
        <v>0</v>
      </c>
      <c r="O3052">
        <v>-0.3505606</v>
      </c>
      <c r="P3052">
        <v>-0.9829909</v>
      </c>
      <c r="Q3052">
        <v>2.8943719999999999E-2</v>
      </c>
      <c r="R3052">
        <v>-0.18136050000000001</v>
      </c>
      <c r="S3052">
        <v>-3.014313</v>
      </c>
      <c r="T3052">
        <v>-0.32517889999999999</v>
      </c>
      <c r="U3052">
        <v>-0.26734920000000001</v>
      </c>
      <c r="V3052">
        <v>0.1753461</v>
      </c>
      <c r="W3052">
        <v>3.4250540000000003E-2</v>
      </c>
      <c r="X3052">
        <v>0.98391090000000003</v>
      </c>
      <c r="Y3052">
        <v>0.26302340000000002</v>
      </c>
      <c r="Z3052">
        <v>5.099265E-2</v>
      </c>
      <c r="AA3052">
        <v>0.96344099999999999</v>
      </c>
      <c r="AB3052">
        <v>25</v>
      </c>
      <c r="AC3052">
        <v>-9.9755999999999805</v>
      </c>
      <c r="AD3052">
        <v>-1.102971951539</v>
      </c>
      <c r="AE3052">
        <v>-0.823599999999999</v>
      </c>
      <c r="AF3052">
        <v>2.6931411206616498</v>
      </c>
      <c r="AG3052">
        <v>-1.102971951539</v>
      </c>
      <c r="AH3052">
        <v>9.5156932097597693</v>
      </c>
      <c r="AI3052">
        <v>96.363901029578201</v>
      </c>
      <c r="AJ3052">
        <v>74.197372317950595</v>
      </c>
      <c r="AK3052">
        <v>9.9507775316278</v>
      </c>
    </row>
    <row r="3053" spans="1:37" x14ac:dyDescent="0.2">
      <c r="A3053" t="str">
        <f>"20200111154125778"</f>
        <v>20200111154125778</v>
      </c>
      <c r="B3053" t="str">
        <f>"1578728485769556"</f>
        <v>1578728485769556</v>
      </c>
      <c r="C3053" t="s">
        <v>37</v>
      </c>
      <c r="D3053">
        <v>5.6196489999999999</v>
      </c>
      <c r="E3053">
        <v>0.53514989999999996</v>
      </c>
      <c r="F3053" t="s">
        <v>39</v>
      </c>
      <c r="G3053">
        <v>-218.57140000000001</v>
      </c>
      <c r="H3053" s="1">
        <v>-1.100083E-6</v>
      </c>
      <c r="I3053">
        <v>141.2861</v>
      </c>
      <c r="J3053">
        <v>-207.1455</v>
      </c>
      <c r="K3053">
        <v>1.1030799999999901</v>
      </c>
      <c r="L3053">
        <v>142.21610000000001</v>
      </c>
      <c r="M3053">
        <v>-0.9401214</v>
      </c>
      <c r="N3053">
        <v>0</v>
      </c>
      <c r="O3053">
        <v>-0.34074149999999997</v>
      </c>
      <c r="P3053">
        <v>-0.98384989999999894</v>
      </c>
      <c r="Q3053">
        <v>2.8297490000000002E-2</v>
      </c>
      <c r="R3053">
        <v>-0.1767465</v>
      </c>
      <c r="S3053">
        <v>-3.0122070000000001</v>
      </c>
      <c r="T3053">
        <v>-0.28464509999999998</v>
      </c>
      <c r="U3053">
        <v>-0.26063539999999902</v>
      </c>
      <c r="V3053">
        <v>0.1696474</v>
      </c>
      <c r="W3053">
        <v>3.3653889999999999E-2</v>
      </c>
      <c r="X3053">
        <v>0.98492999999999997</v>
      </c>
      <c r="Y3053">
        <v>0.25586679999999901</v>
      </c>
      <c r="Z3053">
        <v>4.3496880000000002E-2</v>
      </c>
      <c r="AA3053">
        <v>0.96573299999999995</v>
      </c>
      <c r="AB3053">
        <v>25</v>
      </c>
      <c r="AC3053">
        <v>-11.4259</v>
      </c>
      <c r="AD3053">
        <v>-1.1030811000830001</v>
      </c>
      <c r="AE3053">
        <v>-0.93000000000000604</v>
      </c>
      <c r="AF3053">
        <v>2.9913692860002499</v>
      </c>
      <c r="AG3053">
        <v>-1.1030811000830001</v>
      </c>
      <c r="AH3053">
        <v>10.957536729901699</v>
      </c>
      <c r="AI3053">
        <v>95.546878876197297</v>
      </c>
      <c r="AJ3053">
        <v>74.730524081322898</v>
      </c>
      <c r="AK3053">
        <v>11.4119537900279</v>
      </c>
    </row>
    <row r="3054" spans="1:37" x14ac:dyDescent="0.2">
      <c r="A3054" t="str">
        <f>"20200111154125799"</f>
        <v>20200111154125799</v>
      </c>
      <c r="B3054" t="str">
        <f>"1578728485789076"</f>
        <v>1578728485789076</v>
      </c>
      <c r="C3054" t="s">
        <v>37</v>
      </c>
      <c r="D3054">
        <v>5.3364479999999999</v>
      </c>
      <c r="E3054">
        <v>0.5340104</v>
      </c>
      <c r="F3054" t="s">
        <v>39</v>
      </c>
      <c r="G3054">
        <v>-218.54660000000001</v>
      </c>
      <c r="H3054" s="1">
        <v>-1.091813E-6</v>
      </c>
      <c r="I3054">
        <v>141.21090000000001</v>
      </c>
      <c r="J3054">
        <v>-207.38669999999999</v>
      </c>
      <c r="K3054">
        <v>1.103202</v>
      </c>
      <c r="L3054">
        <v>142.14019999999999</v>
      </c>
      <c r="M3054">
        <v>-0.94346260000000004</v>
      </c>
      <c r="N3054">
        <v>0</v>
      </c>
      <c r="O3054">
        <v>-0.33137939999999999</v>
      </c>
      <c r="P3054">
        <v>-0.98499110000000001</v>
      </c>
      <c r="Q3054">
        <v>2.7922289999999999E-2</v>
      </c>
      <c r="R3054">
        <v>-0.17033199999999901</v>
      </c>
      <c r="S3054">
        <v>-3.0099179999999999</v>
      </c>
      <c r="T3054">
        <v>-0.29121839999999999</v>
      </c>
      <c r="U3054">
        <v>-0.26536559999999998</v>
      </c>
      <c r="V3054">
        <v>0.16625799999999999</v>
      </c>
      <c r="W3054">
        <v>3.3292170000000003E-2</v>
      </c>
      <c r="X3054">
        <v>0.98552009999999901</v>
      </c>
      <c r="Y3054">
        <v>0.2446441</v>
      </c>
      <c r="Z3054">
        <v>4.3131259999999998E-2</v>
      </c>
      <c r="AA3054">
        <v>0.96865309999999905</v>
      </c>
      <c r="AB3054">
        <v>25</v>
      </c>
      <c r="AC3054">
        <v>-11.1599</v>
      </c>
      <c r="AD3054">
        <v>-1.103203091813</v>
      </c>
      <c r="AE3054">
        <v>-0.92929999999998303</v>
      </c>
      <c r="AF3054">
        <v>2.7943752837034199</v>
      </c>
      <c r="AG3054">
        <v>-1.103203091813</v>
      </c>
      <c r="AH3054">
        <v>10.7330936939527</v>
      </c>
      <c r="AI3054">
        <v>95.680486057599893</v>
      </c>
      <c r="AJ3054">
        <v>75.406929968384901</v>
      </c>
      <c r="AK3054">
        <v>11.145622034284401</v>
      </c>
    </row>
    <row r="3055" spans="1:37" x14ac:dyDescent="0.2">
      <c r="A3055" t="str">
        <f>"20200111154125823"</f>
        <v>20200111154125823</v>
      </c>
      <c r="B3055" t="str">
        <f>"1578728485819332"</f>
        <v>1578728485819332</v>
      </c>
      <c r="C3055" t="s">
        <v>37</v>
      </c>
      <c r="D3055">
        <v>5.3025929999999999</v>
      </c>
      <c r="E3055">
        <v>0.53285959999999999</v>
      </c>
      <c r="F3055" t="s">
        <v>39</v>
      </c>
      <c r="G3055">
        <v>-218.9128</v>
      </c>
      <c r="H3055" s="1">
        <v>-9.0581890000000003E-7</v>
      </c>
      <c r="I3055">
        <v>141.16249999999999</v>
      </c>
      <c r="J3055">
        <v>-207.6293</v>
      </c>
      <c r="K3055">
        <v>1.1033440000000001</v>
      </c>
      <c r="L3055">
        <v>142.06610000000001</v>
      </c>
      <c r="M3055">
        <v>-0.94662349999999995</v>
      </c>
      <c r="N3055">
        <v>0</v>
      </c>
      <c r="O3055">
        <v>-0.32224150000000001</v>
      </c>
      <c r="P3055">
        <v>-0.9862322</v>
      </c>
      <c r="Q3055">
        <v>2.781747E-2</v>
      </c>
      <c r="R3055">
        <v>-0.16300989999999899</v>
      </c>
      <c r="S3055">
        <v>-3.009735</v>
      </c>
      <c r="T3055">
        <v>-0.28807339999999998</v>
      </c>
      <c r="U3055">
        <v>-0.25529479999999999</v>
      </c>
      <c r="V3055">
        <v>0.1640344</v>
      </c>
      <c r="W3055">
        <v>3.3183509999999999E-2</v>
      </c>
      <c r="X3055">
        <v>0.98589629999999995</v>
      </c>
      <c r="Y3055">
        <v>0.2386006</v>
      </c>
      <c r="Z3055">
        <v>4.1565709999999999E-2</v>
      </c>
      <c r="AA3055">
        <v>0.97022779999999997</v>
      </c>
      <c r="AB3055">
        <v>25</v>
      </c>
      <c r="AC3055">
        <v>-11.2835</v>
      </c>
      <c r="AD3055">
        <v>-1.1033449058189</v>
      </c>
      <c r="AE3055">
        <v>-0.90360000000001095</v>
      </c>
      <c r="AF3055">
        <v>2.7545620114163198</v>
      </c>
      <c r="AG3055">
        <v>-1.1033449058189</v>
      </c>
      <c r="AH3055">
        <v>10.869488342954201</v>
      </c>
      <c r="AI3055">
        <v>95.619696054225102</v>
      </c>
      <c r="AJ3055">
        <v>75.779399837614093</v>
      </c>
      <c r="AK3055">
        <v>11.267242728083501</v>
      </c>
    </row>
    <row r="3056" spans="1:37" x14ac:dyDescent="0.2">
      <c r="A3056" t="str">
        <f>"20200111154125845"</f>
        <v>20200111154125845</v>
      </c>
      <c r="B3056" t="str">
        <f>"1578728485838853"</f>
        <v>1578728485838853</v>
      </c>
      <c r="C3056" t="s">
        <v>37</v>
      </c>
      <c r="D3056">
        <v>5.305796</v>
      </c>
      <c r="E3056">
        <v>0.53243560000000001</v>
      </c>
      <c r="F3056" t="s">
        <v>39</v>
      </c>
      <c r="G3056">
        <v>-218.5077</v>
      </c>
      <c r="H3056" s="1">
        <v>-1.10368E-6</v>
      </c>
      <c r="I3056">
        <v>141.1866</v>
      </c>
      <c r="J3056">
        <v>-207.86879999999999</v>
      </c>
      <c r="K3056">
        <v>1.103504</v>
      </c>
      <c r="L3056">
        <v>141.99520000000001</v>
      </c>
      <c r="M3056">
        <v>-0.94953940000000003</v>
      </c>
      <c r="N3056">
        <v>0</v>
      </c>
      <c r="O3056">
        <v>-0.31354860000000001</v>
      </c>
      <c r="P3056">
        <v>-0.98758109999999999</v>
      </c>
      <c r="Q3056">
        <v>2.704691E-2</v>
      </c>
      <c r="R3056">
        <v>-0.1547654</v>
      </c>
      <c r="S3056">
        <v>-3.0102540000000002</v>
      </c>
      <c r="T3056">
        <v>-0.30531589999999997</v>
      </c>
      <c r="U3056">
        <v>-0.2433777</v>
      </c>
      <c r="V3056">
        <v>0.16320950000000001</v>
      </c>
      <c r="W3056">
        <v>3.2388090000000001E-2</v>
      </c>
      <c r="X3056">
        <v>0.98605969999999998</v>
      </c>
      <c r="Y3056">
        <v>0.23328750000000001</v>
      </c>
      <c r="Z3056">
        <v>4.294154E-2</v>
      </c>
      <c r="AA3056">
        <v>0.97145919999999897</v>
      </c>
      <c r="AB3056">
        <v>25</v>
      </c>
      <c r="AC3056">
        <v>-10.6389</v>
      </c>
      <c r="AD3056">
        <v>-1.1035051036800001</v>
      </c>
      <c r="AE3056">
        <v>-0.80860000000001198</v>
      </c>
      <c r="AF3056">
        <v>2.54091486765385</v>
      </c>
      <c r="AG3056">
        <v>-1.1035051036800001</v>
      </c>
      <c r="AH3056">
        <v>10.246309531706601</v>
      </c>
      <c r="AI3056">
        <v>95.967548903927593</v>
      </c>
      <c r="AJ3056">
        <v>76.072553052319407</v>
      </c>
      <c r="AK3056">
        <v>10.614180651282201</v>
      </c>
    </row>
    <row r="3057" spans="1:37" x14ac:dyDescent="0.2">
      <c r="A3057" t="str">
        <f>"20200111154125868"</f>
        <v>20200111154125868</v>
      </c>
      <c r="B3057" t="str">
        <f>"1578728485859348"</f>
        <v>1578728485859348</v>
      </c>
      <c r="C3057" t="s">
        <v>37</v>
      </c>
      <c r="D3057">
        <v>5.3412620000000004</v>
      </c>
      <c r="E3057">
        <v>0.5317731</v>
      </c>
      <c r="F3057" t="s">
        <v>39</v>
      </c>
      <c r="G3057">
        <v>-218.4425</v>
      </c>
      <c r="H3057" s="1">
        <v>-1.142536E-6</v>
      </c>
      <c r="I3057">
        <v>141.2166</v>
      </c>
      <c r="J3057">
        <v>-208.12780000000001</v>
      </c>
      <c r="K3057">
        <v>1.103691</v>
      </c>
      <c r="L3057">
        <v>141.92080000000001</v>
      </c>
      <c r="M3057">
        <v>-0.95248060000000001</v>
      </c>
      <c r="N3057">
        <v>0</v>
      </c>
      <c r="O3057">
        <v>-0.3045004</v>
      </c>
      <c r="P3057">
        <v>-0.98884030000000001</v>
      </c>
      <c r="Q3057">
        <v>2.6107849999999998E-2</v>
      </c>
      <c r="R3057">
        <v>-0.1466751</v>
      </c>
      <c r="S3057">
        <v>-3.0115810000000001</v>
      </c>
      <c r="T3057">
        <v>-0.31429889999999999</v>
      </c>
      <c r="U3057">
        <v>-0.22175599999999901</v>
      </c>
      <c r="V3057">
        <v>0.16187660000000001</v>
      </c>
      <c r="W3057">
        <v>3.142967E-2</v>
      </c>
      <c r="X3057">
        <v>0.98631039999999903</v>
      </c>
      <c r="Y3057">
        <v>0.2309032</v>
      </c>
      <c r="Z3057">
        <v>4.3177550000000002E-2</v>
      </c>
      <c r="AA3057">
        <v>0.97201819999999906</v>
      </c>
      <c r="AB3057">
        <v>25</v>
      </c>
      <c r="AC3057">
        <v>-10.314699999999901</v>
      </c>
      <c r="AD3057">
        <v>-1.103692142536</v>
      </c>
      <c r="AE3057">
        <v>-0.70420000000001404</v>
      </c>
      <c r="AF3057">
        <v>2.4423342784049602</v>
      </c>
      <c r="AG3057">
        <v>-1.103692142536</v>
      </c>
      <c r="AH3057">
        <v>9.9261617483654305</v>
      </c>
      <c r="AI3057">
        <v>96.162350979475406</v>
      </c>
      <c r="AJ3057">
        <v>76.176947321922896</v>
      </c>
      <c r="AK3057">
        <v>10.281625364098799</v>
      </c>
    </row>
    <row r="3058" spans="1:37" x14ac:dyDescent="0.2">
      <c r="A3058" t="str">
        <f>"20200111154125891"</f>
        <v>20200111154125891</v>
      </c>
      <c r="B3058" t="str">
        <f>"1578728485878868"</f>
        <v>1578728485878868</v>
      </c>
      <c r="C3058" t="s">
        <v>37</v>
      </c>
      <c r="D3058">
        <v>5.3344889999999996</v>
      </c>
      <c r="E3058">
        <v>0.53078099999999995</v>
      </c>
      <c r="F3058" t="s">
        <v>39</v>
      </c>
      <c r="G3058">
        <v>-218.4494</v>
      </c>
      <c r="H3058" s="1">
        <v>-1.1422789999999999E-6</v>
      </c>
      <c r="I3058">
        <v>141.22799999999901</v>
      </c>
      <c r="J3058">
        <v>-208.3792</v>
      </c>
      <c r="K3058">
        <v>1.1038509999999999</v>
      </c>
      <c r="L3058">
        <v>141.85069999999999</v>
      </c>
      <c r="M3058">
        <v>-0.95515479999999997</v>
      </c>
      <c r="N3058">
        <v>0</v>
      </c>
      <c r="O3058">
        <v>-0.29600799999999999</v>
      </c>
      <c r="P3058">
        <v>-0.99021510000000001</v>
      </c>
      <c r="Q3058">
        <v>2.5697190000000002E-2</v>
      </c>
      <c r="R3058">
        <v>-0.1371636</v>
      </c>
      <c r="S3058">
        <v>-3.0123599999999899</v>
      </c>
      <c r="T3058">
        <v>-0.32211230000000002</v>
      </c>
      <c r="U3058">
        <v>-0.20220949999999999</v>
      </c>
      <c r="V3058">
        <v>0.1625576</v>
      </c>
      <c r="W3058">
        <v>3.0964019999999998E-2</v>
      </c>
      <c r="X3058">
        <v>0.98621309999999995</v>
      </c>
      <c r="Y3058">
        <v>0.22845460000000001</v>
      </c>
      <c r="Z3058">
        <v>4.325416E-2</v>
      </c>
      <c r="AA3058">
        <v>0.97259319999999905</v>
      </c>
      <c r="AB3058">
        <v>25</v>
      </c>
      <c r="AC3058">
        <v>-10.0702</v>
      </c>
      <c r="AD3058">
        <v>-1.103852142279</v>
      </c>
      <c r="AE3058">
        <v>-0.62270000000000802</v>
      </c>
      <c r="AF3058">
        <v>2.3579307069205999</v>
      </c>
      <c r="AG3058">
        <v>-1.103852142279</v>
      </c>
      <c r="AH3058">
        <v>9.6872562854698696</v>
      </c>
      <c r="AI3058">
        <v>96.317846994285105</v>
      </c>
      <c r="AJ3058">
        <v>76.319920100249803</v>
      </c>
      <c r="AK3058">
        <v>10.0310149591668</v>
      </c>
    </row>
    <row r="3059" spans="1:37" x14ac:dyDescent="0.2">
      <c r="A3059" t="str">
        <f>"20200111154125914"</f>
        <v>20200111154125914</v>
      </c>
      <c r="B3059" t="str">
        <f>"1578728485909124"</f>
        <v>1578728485909124</v>
      </c>
      <c r="C3059" t="s">
        <v>37</v>
      </c>
      <c r="D3059">
        <v>5.3782699999999997</v>
      </c>
      <c r="E3059">
        <v>0.52984549999999997</v>
      </c>
      <c r="F3059" t="s">
        <v>39</v>
      </c>
      <c r="G3059">
        <v>-218.48159999999999</v>
      </c>
      <c r="H3059" s="1">
        <v>-1.1312099999999999E-6</v>
      </c>
      <c r="I3059">
        <v>141.24359999999999</v>
      </c>
      <c r="J3059">
        <v>-208.6216</v>
      </c>
      <c r="K3059">
        <v>1.1039829999999999</v>
      </c>
      <c r="L3059">
        <v>141.78489999999999</v>
      </c>
      <c r="M3059">
        <v>-0.9575728</v>
      </c>
      <c r="N3059">
        <v>0</v>
      </c>
      <c r="O3059">
        <v>-0.28809269999999998</v>
      </c>
      <c r="P3059">
        <v>-0.99155899999999997</v>
      </c>
      <c r="Q3059">
        <v>2.513205E-2</v>
      </c>
      <c r="R3059">
        <v>-0.1271986</v>
      </c>
      <c r="S3059">
        <v>-3.01310699999999</v>
      </c>
      <c r="T3059">
        <v>-0.32923029999999998</v>
      </c>
      <c r="U3059">
        <v>-0.18106079999999999</v>
      </c>
      <c r="V3059">
        <v>0.1642969</v>
      </c>
      <c r="W3059">
        <v>3.0323929999999999E-2</v>
      </c>
      <c r="X3059">
        <v>0.98594470000000001</v>
      </c>
      <c r="Y3059">
        <v>0.22713720000000001</v>
      </c>
      <c r="Z3059">
        <v>4.3311699999999898E-2</v>
      </c>
      <c r="AA3059">
        <v>0.97289910000000002</v>
      </c>
      <c r="AB3059">
        <v>25</v>
      </c>
      <c r="AC3059">
        <v>-9.8599999999999799</v>
      </c>
      <c r="AD3059">
        <v>-1.1039841312099901</v>
      </c>
      <c r="AE3059">
        <v>-0.541300000000006</v>
      </c>
      <c r="AF3059">
        <v>2.2936582203434299</v>
      </c>
      <c r="AG3059">
        <v>-1.1039841312099901</v>
      </c>
      <c r="AH3059">
        <v>9.4794053302799099</v>
      </c>
      <c r="AI3059">
        <v>96.458101873803798</v>
      </c>
      <c r="AJ3059">
        <v>76.398008833185898</v>
      </c>
      <c r="AK3059">
        <v>9.8152317552593598</v>
      </c>
    </row>
    <row r="3060" spans="1:37" x14ac:dyDescent="0.2">
      <c r="A3060" t="str">
        <f>"20200111154125934"</f>
        <v>20200111154125934</v>
      </c>
      <c r="B3060" t="str">
        <f>"1578728485929620"</f>
        <v>1578728485929620</v>
      </c>
      <c r="C3060" t="s">
        <v>37</v>
      </c>
      <c r="D3060">
        <v>5.3360029999999998</v>
      </c>
      <c r="E3060">
        <v>0.52910509999999999</v>
      </c>
      <c r="F3060" t="s">
        <v>39</v>
      </c>
      <c r="G3060">
        <v>-218.4135</v>
      </c>
      <c r="H3060" s="1">
        <v>-1.170737E-6</v>
      </c>
      <c r="I3060">
        <v>141.27119999999999</v>
      </c>
      <c r="J3060">
        <v>-208.8604</v>
      </c>
      <c r="K3060">
        <v>1.1041069999999999</v>
      </c>
      <c r="L3060">
        <v>141.72200000000001</v>
      </c>
      <c r="M3060">
        <v>-0.95980509999999997</v>
      </c>
      <c r="N3060">
        <v>0</v>
      </c>
      <c r="O3060">
        <v>-0.28056940000000002</v>
      </c>
      <c r="P3060">
        <v>-0.99272090000000002</v>
      </c>
      <c r="Q3060">
        <v>2.489046E-2</v>
      </c>
      <c r="R3060">
        <v>-0.117839899999999</v>
      </c>
      <c r="S3060">
        <v>-3.0138849999999899</v>
      </c>
      <c r="T3060">
        <v>-0.33979899999999902</v>
      </c>
      <c r="U3060">
        <v>-0.15812679999999901</v>
      </c>
      <c r="V3060">
        <v>0.1658463</v>
      </c>
      <c r="W3060">
        <v>3.0000780000000001E-2</v>
      </c>
      <c r="X3060">
        <v>0.98569519999999899</v>
      </c>
      <c r="Y3060">
        <v>0.2267451</v>
      </c>
      <c r="Z3060">
        <v>4.3863810000000003E-2</v>
      </c>
      <c r="AA3060">
        <v>0.97296589999999905</v>
      </c>
      <c r="AB3060">
        <v>25</v>
      </c>
      <c r="AC3060">
        <v>-9.5531000000000006</v>
      </c>
      <c r="AD3060">
        <v>-1.104108170737</v>
      </c>
      <c r="AE3060">
        <v>-0.45080000000001502</v>
      </c>
      <c r="AF3060">
        <v>2.2181257621077002</v>
      </c>
      <c r="AG3060">
        <v>-1.104108170737</v>
      </c>
      <c r="AH3060">
        <v>9.1735838003294994</v>
      </c>
      <c r="AI3060">
        <v>96.672482681541297</v>
      </c>
      <c r="AJ3060">
        <v>76.407067279131695</v>
      </c>
      <c r="AK3060">
        <v>9.5023037465070495</v>
      </c>
    </row>
    <row r="3061" spans="1:37" x14ac:dyDescent="0.2">
      <c r="A3061" t="str">
        <f>"20200111154125956"</f>
        <v>20200111154125956</v>
      </c>
      <c r="B3061" t="str">
        <f>"1578728485949139"</f>
        <v>1578728485949139</v>
      </c>
      <c r="C3061" t="s">
        <v>37</v>
      </c>
      <c r="D3061">
        <v>5.4091050000000003</v>
      </c>
      <c r="E3061">
        <v>0.52835730000000003</v>
      </c>
      <c r="F3061" t="s">
        <v>39</v>
      </c>
      <c r="G3061">
        <v>-218.5196</v>
      </c>
      <c r="H3061" s="1">
        <v>-1.1252639999999999E-6</v>
      </c>
      <c r="I3061">
        <v>141.28870000000001</v>
      </c>
      <c r="J3061">
        <v>-209.1206</v>
      </c>
      <c r="K3061">
        <v>1.1042379999999901</v>
      </c>
      <c r="L3061">
        <v>141.65520000000001</v>
      </c>
      <c r="M3061">
        <v>-0.96208209999999905</v>
      </c>
      <c r="N3061">
        <v>0</v>
      </c>
      <c r="O3061">
        <v>-0.27266220000000002</v>
      </c>
      <c r="P3061">
        <v>-0.99376469999999995</v>
      </c>
      <c r="Q3061">
        <v>2.4801320000000002E-2</v>
      </c>
      <c r="R3061">
        <v>-0.1087045</v>
      </c>
      <c r="S3061">
        <v>-3.0145869999999899</v>
      </c>
      <c r="T3061">
        <v>-0.34458670000000002</v>
      </c>
      <c r="U3061">
        <v>-0.1352081</v>
      </c>
      <c r="V3061">
        <v>0.16678799999999999</v>
      </c>
      <c r="W3061">
        <v>2.981967E-2</v>
      </c>
      <c r="X3061">
        <v>0.98554179999999902</v>
      </c>
      <c r="Y3061">
        <v>0.22609009999999999</v>
      </c>
      <c r="Z3061">
        <v>4.3576799999999999E-2</v>
      </c>
      <c r="AA3061">
        <v>0.97313119999999997</v>
      </c>
      <c r="AB3061">
        <v>25</v>
      </c>
      <c r="AC3061">
        <v>-9.3989999999999991</v>
      </c>
      <c r="AD3061">
        <v>-1.10423912526399</v>
      </c>
      <c r="AE3061">
        <v>-0.36650000000000199</v>
      </c>
      <c r="AF3061">
        <v>2.1801615394460301</v>
      </c>
      <c r="AG3061">
        <v>-1.10423912526399</v>
      </c>
      <c r="AH3061">
        <v>9.0184940024581799</v>
      </c>
      <c r="AI3061">
        <v>96.787043688958903</v>
      </c>
      <c r="AJ3061">
        <v>76.409854149077006</v>
      </c>
      <c r="AK3061">
        <v>9.3437509842791506</v>
      </c>
    </row>
    <row r="3062" spans="1:37" x14ac:dyDescent="0.2">
      <c r="A3062" t="str">
        <f>"20200111154125979"</f>
        <v>20200111154125979</v>
      </c>
      <c r="B3062" t="str">
        <f>"1578728485969636"</f>
        <v>1578728485969636</v>
      </c>
      <c r="C3062" t="s">
        <v>37</v>
      </c>
      <c r="D3062">
        <v>5.4182430000000004</v>
      </c>
      <c r="E3062">
        <v>0.52855399999999997</v>
      </c>
      <c r="F3062" t="s">
        <v>38</v>
      </c>
      <c r="G3062">
        <v>-209.92859999999999</v>
      </c>
      <c r="H3062">
        <v>1.0105309999999901</v>
      </c>
      <c r="I3062">
        <v>141.6249</v>
      </c>
      <c r="J3062">
        <v>-209.3725</v>
      </c>
      <c r="K3062">
        <v>1.104358</v>
      </c>
      <c r="L3062">
        <v>141.5924</v>
      </c>
      <c r="M3062">
        <v>-0.96414739999999999</v>
      </c>
      <c r="N3062">
        <v>0</v>
      </c>
      <c r="O3062">
        <v>-0.26527089999999998</v>
      </c>
      <c r="P3062">
        <v>-0.99444100000000002</v>
      </c>
      <c r="Q3062">
        <v>2.464508E-2</v>
      </c>
      <c r="R3062">
        <v>-0.102372399999999</v>
      </c>
      <c r="S3062">
        <v>-3.015091</v>
      </c>
      <c r="T3062">
        <v>-0.34928359999999897</v>
      </c>
      <c r="U3062">
        <v>-0.11381529999999999</v>
      </c>
      <c r="V3062">
        <v>0.16548850000000001</v>
      </c>
      <c r="W3062">
        <v>2.9591840000000001E-2</v>
      </c>
      <c r="X3062">
        <v>0.98576769999999903</v>
      </c>
      <c r="Y3062">
        <v>0.22548189999999901</v>
      </c>
      <c r="Z3062">
        <v>4.3312070000000001E-2</v>
      </c>
      <c r="AA3062">
        <v>0.97328409999999999</v>
      </c>
      <c r="AB3062">
        <v>26</v>
      </c>
      <c r="AC3062">
        <v>-0.55609999999998605</v>
      </c>
      <c r="AD3062">
        <v>-9.3827000000000105E-2</v>
      </c>
      <c r="AE3062">
        <v>3.2499999999998801E-2</v>
      </c>
      <c r="AF3062">
        <v>0.17392222758710901</v>
      </c>
      <c r="AG3062">
        <v>-9.3827000000000105E-2</v>
      </c>
      <c r="AH3062">
        <v>0.51300040793784696</v>
      </c>
      <c r="AI3062">
        <v>99.8269525247199</v>
      </c>
      <c r="AJ3062">
        <v>71.271829571591695</v>
      </c>
      <c r="AK3062">
        <v>0.549747092509146</v>
      </c>
    </row>
    <row r="3063" spans="1:37" x14ac:dyDescent="0.2">
      <c r="A3063" t="str">
        <f>"20200111154126001"</f>
        <v>20200111154126001</v>
      </c>
      <c r="B3063" t="str">
        <f>"1578728485989091"</f>
        <v>1578728485989091</v>
      </c>
      <c r="C3063" t="s">
        <v>37</v>
      </c>
      <c r="D3063">
        <v>5.362298</v>
      </c>
      <c r="E3063">
        <v>0.52923419999999999</v>
      </c>
      <c r="F3063" t="s">
        <v>38</v>
      </c>
      <c r="G3063">
        <v>-210.15430000000001</v>
      </c>
      <c r="H3063">
        <v>1.0135590000000001</v>
      </c>
      <c r="I3063">
        <v>141.5685</v>
      </c>
      <c r="J3063">
        <v>-209.62090000000001</v>
      </c>
      <c r="K3063">
        <v>1.1044719999999999</v>
      </c>
      <c r="L3063">
        <v>141.53210000000001</v>
      </c>
      <c r="M3063">
        <v>-0.966064699999999</v>
      </c>
      <c r="N3063">
        <v>0</v>
      </c>
      <c r="O3063">
        <v>-0.25820609999999999</v>
      </c>
      <c r="P3063">
        <v>-0.99492939999999996</v>
      </c>
      <c r="Q3063">
        <v>2.4659099999999899E-2</v>
      </c>
      <c r="R3063">
        <v>-9.7507369999999996E-2</v>
      </c>
      <c r="S3063">
        <v>-3.0158839999999998</v>
      </c>
      <c r="T3063">
        <v>-0.35000340000000002</v>
      </c>
      <c r="U3063">
        <v>-9.2758179999999996E-2</v>
      </c>
      <c r="V3063">
        <v>0.1630818</v>
      </c>
      <c r="W3063">
        <v>2.9537020000000001E-2</v>
      </c>
      <c r="X3063">
        <v>0.9861704</v>
      </c>
      <c r="Y3063">
        <v>0.22518589999999999</v>
      </c>
      <c r="Z3063">
        <v>4.2591419999999998E-2</v>
      </c>
      <c r="AA3063">
        <v>0.97338440000000004</v>
      </c>
      <c r="AB3063">
        <v>26</v>
      </c>
      <c r="AC3063">
        <v>-0.53339999999999999</v>
      </c>
      <c r="AD3063">
        <v>-9.09129999999998E-2</v>
      </c>
      <c r="AE3063">
        <v>3.63999999999862E-2</v>
      </c>
      <c r="AF3063">
        <v>0.168037238157632</v>
      </c>
      <c r="AG3063">
        <v>-9.09129999999998E-2</v>
      </c>
      <c r="AH3063">
        <v>0.49169498045196802</v>
      </c>
      <c r="AI3063">
        <v>99.9241328776816</v>
      </c>
      <c r="AJ3063">
        <v>71.132087078583794</v>
      </c>
      <c r="AK3063">
        <v>0.52750890113656501</v>
      </c>
    </row>
    <row r="3064" spans="1:37" x14ac:dyDescent="0.2">
      <c r="A3064" t="str">
        <f>"20200111154126025"</f>
        <v>20200111154126025</v>
      </c>
      <c r="B3064" t="str">
        <f>"1578728486019347"</f>
        <v>1578728486019347</v>
      </c>
      <c r="C3064" t="s">
        <v>37</v>
      </c>
      <c r="D3064">
        <v>5.4103949999999896</v>
      </c>
      <c r="E3064">
        <v>0.52989390000000003</v>
      </c>
      <c r="F3064" t="s">
        <v>38</v>
      </c>
      <c r="G3064">
        <v>-210.38290000000001</v>
      </c>
      <c r="H3064">
        <v>1.01755</v>
      </c>
      <c r="I3064">
        <v>141.51410000000001</v>
      </c>
      <c r="J3064">
        <v>-209.87909999999999</v>
      </c>
      <c r="K3064">
        <v>1.1045579999999999</v>
      </c>
      <c r="L3064">
        <v>141.47130000000001</v>
      </c>
      <c r="M3064">
        <v>-0.96794709999999995</v>
      </c>
      <c r="N3064">
        <v>0</v>
      </c>
      <c r="O3064">
        <v>-0.2510617</v>
      </c>
      <c r="P3064">
        <v>-0.99537189999999998</v>
      </c>
      <c r="Q3064">
        <v>2.542181E-2</v>
      </c>
      <c r="R3064">
        <v>-9.2674670000000001E-2</v>
      </c>
      <c r="S3064">
        <v>-3.0168149999999998</v>
      </c>
      <c r="T3064">
        <v>-0.34410859999999999</v>
      </c>
      <c r="U3064">
        <v>-7.1517940000000002E-2</v>
      </c>
      <c r="V3064">
        <v>0.16057829999999901</v>
      </c>
      <c r="W3064">
        <v>3.0205719999999998E-2</v>
      </c>
      <c r="X3064">
        <v>0.98656080000000002</v>
      </c>
      <c r="Y3064">
        <v>0.22500229999999899</v>
      </c>
      <c r="Z3064">
        <v>4.1076029999999999E-2</v>
      </c>
      <c r="AA3064">
        <v>0.97349200000000002</v>
      </c>
      <c r="AB3064">
        <v>26</v>
      </c>
      <c r="AC3064">
        <v>-0.50380000000001202</v>
      </c>
      <c r="AD3064">
        <v>-8.7007999999999905E-2</v>
      </c>
      <c r="AE3064">
        <v>4.2799999999999699E-2</v>
      </c>
      <c r="AF3064">
        <v>0.163087449365831</v>
      </c>
      <c r="AG3064">
        <v>-8.7007999999999905E-2</v>
      </c>
      <c r="AH3064">
        <v>0.463200728785577</v>
      </c>
      <c r="AI3064">
        <v>100.047363507429</v>
      </c>
      <c r="AJ3064">
        <v>70.603442008892102</v>
      </c>
      <c r="AK3064">
        <v>0.498721187991991</v>
      </c>
    </row>
    <row r="3065" spans="1:37" x14ac:dyDescent="0.2">
      <c r="A3065" t="str">
        <f>"20200111154126046"</f>
        <v>20200111154126046</v>
      </c>
      <c r="B3065" t="str">
        <f>"1578728486038867"</f>
        <v>1578728486038867</v>
      </c>
      <c r="C3065" t="s">
        <v>37</v>
      </c>
      <c r="D3065">
        <v>5.4298690000000001</v>
      </c>
      <c r="E3065">
        <v>0.53024539999999998</v>
      </c>
      <c r="F3065" t="s">
        <v>39</v>
      </c>
      <c r="G3065">
        <v>-219.99260000000001</v>
      </c>
      <c r="H3065" s="1">
        <v>-4.5776909999999998E-6</v>
      </c>
      <c r="I3065">
        <v>141.30269999999999</v>
      </c>
      <c r="J3065">
        <v>-210.14109999999999</v>
      </c>
      <c r="K3065">
        <v>1.104614</v>
      </c>
      <c r="L3065">
        <v>141.41139999999999</v>
      </c>
      <c r="M3065">
        <v>-0.96975730000000004</v>
      </c>
      <c r="N3065">
        <v>0</v>
      </c>
      <c r="O3065">
        <v>-0.243980899999999</v>
      </c>
      <c r="P3065">
        <v>-0.99573940000000005</v>
      </c>
      <c r="Q3065">
        <v>2.6473429999999999E-2</v>
      </c>
      <c r="R3065">
        <v>-8.8329770000000002E-2</v>
      </c>
      <c r="S3065">
        <v>-3.01768499999999</v>
      </c>
      <c r="T3065">
        <v>-0.32958270000000001</v>
      </c>
      <c r="U3065">
        <v>-5.0277710000000003E-2</v>
      </c>
      <c r="V3065">
        <v>0.15767049999999999</v>
      </c>
      <c r="W3065">
        <v>3.114751E-2</v>
      </c>
      <c r="X3065">
        <v>0.9870004</v>
      </c>
      <c r="Y3065">
        <v>0.22503409999999999</v>
      </c>
      <c r="Z3065">
        <v>3.8600330000000002E-2</v>
      </c>
      <c r="AA3065">
        <v>0.97358599999999995</v>
      </c>
      <c r="AB3065">
        <v>26</v>
      </c>
      <c r="AC3065">
        <v>-9.8515000000000104</v>
      </c>
      <c r="AD3065">
        <v>-1.104618577691</v>
      </c>
      <c r="AE3065">
        <v>-0.10869999999999801</v>
      </c>
      <c r="AF3065">
        <v>2.2696838771260701</v>
      </c>
      <c r="AG3065">
        <v>-1.104618577691</v>
      </c>
      <c r="AH3065">
        <v>9.4613580274088402</v>
      </c>
      <c r="AI3065">
        <v>96.477032866021503</v>
      </c>
      <c r="AJ3065">
        <v>76.510233593600006</v>
      </c>
      <c r="AK3065">
        <v>9.7922899684945897</v>
      </c>
    </row>
    <row r="3066" spans="1:37" x14ac:dyDescent="0.2">
      <c r="A3066" t="str">
        <f>"20200111154126069"</f>
        <v>20200111154126069</v>
      </c>
      <c r="B3066" t="str">
        <f>"1578728486059363"</f>
        <v>1578728486059363</v>
      </c>
      <c r="C3066" t="s">
        <v>37</v>
      </c>
      <c r="D3066">
        <v>5.4213050000000003</v>
      </c>
      <c r="E3066">
        <v>0.53051169999999903</v>
      </c>
      <c r="F3066" t="s">
        <v>39</v>
      </c>
      <c r="G3066">
        <v>-220.57650000000001</v>
      </c>
      <c r="H3066" s="1">
        <v>-4.3779019999999997E-6</v>
      </c>
      <c r="I3066">
        <v>141.29669999999999</v>
      </c>
      <c r="J3066">
        <v>-210.39830000000001</v>
      </c>
      <c r="K3066">
        <v>1.1046290000000001</v>
      </c>
      <c r="L3066">
        <v>141.3544</v>
      </c>
      <c r="M3066">
        <v>-0.97145300000000001</v>
      </c>
      <c r="N3066">
        <v>0</v>
      </c>
      <c r="O3066">
        <v>-0.23714389999999999</v>
      </c>
      <c r="P3066">
        <v>-0.99610350000000003</v>
      </c>
      <c r="Q3066">
        <v>2.7580790000000001E-2</v>
      </c>
      <c r="R3066">
        <v>-8.3769999999999997E-2</v>
      </c>
      <c r="S3066">
        <v>-3.0183869999999899</v>
      </c>
      <c r="T3066">
        <v>-0.31950659999999997</v>
      </c>
      <c r="U3066">
        <v>-3.3157350000000002E-2</v>
      </c>
      <c r="V3066">
        <v>0.1552375</v>
      </c>
      <c r="W3066">
        <v>3.2134070000000001E-2</v>
      </c>
      <c r="X3066">
        <v>0.98735439999999997</v>
      </c>
      <c r="Y3066">
        <v>0.22390879999999899</v>
      </c>
      <c r="Z3066">
        <v>3.6660020000000001E-2</v>
      </c>
      <c r="AA3066">
        <v>0.97392040000000002</v>
      </c>
      <c r="AB3066">
        <v>26</v>
      </c>
      <c r="AC3066">
        <v>-10.1782</v>
      </c>
      <c r="AD3066">
        <v>-1.1046333779019999</v>
      </c>
      <c r="AE3066">
        <v>-5.7700000000011097E-2</v>
      </c>
      <c r="AF3066">
        <v>2.3302483035684798</v>
      </c>
      <c r="AG3066">
        <v>-1.1046333779019999</v>
      </c>
      <c r="AH3066">
        <v>9.7862682494513002</v>
      </c>
      <c r="AI3066">
        <v>96.266308130005001</v>
      </c>
      <c r="AJ3066">
        <v>76.606480368683904</v>
      </c>
      <c r="AK3066">
        <v>10.120341807769</v>
      </c>
    </row>
    <row r="3067" spans="1:37" x14ac:dyDescent="0.2">
      <c r="A3067" t="str">
        <f>"20200111154126092"</f>
        <v>20200111154126092</v>
      </c>
      <c r="B3067" t="str">
        <f>"1578728486079480"</f>
        <v>1578728486079480</v>
      </c>
      <c r="C3067" t="s">
        <v>37</v>
      </c>
      <c r="D3067">
        <v>5.4267389999999898</v>
      </c>
      <c r="E3067">
        <v>0.53065719999999905</v>
      </c>
      <c r="F3067" t="s">
        <v>39</v>
      </c>
      <c r="G3067">
        <v>-221.107</v>
      </c>
      <c r="H3067" s="1">
        <v>-4.1976000000000003E-6</v>
      </c>
      <c r="I3067">
        <v>141.298</v>
      </c>
      <c r="J3067">
        <v>-210.6609</v>
      </c>
      <c r="K3067">
        <v>1.104608</v>
      </c>
      <c r="L3067">
        <v>141.298</v>
      </c>
      <c r="M3067">
        <v>-0.97311289999999995</v>
      </c>
      <c r="N3067">
        <v>0</v>
      </c>
      <c r="O3067">
        <v>-0.230241799999999</v>
      </c>
      <c r="P3067">
        <v>-0.99638099999999996</v>
      </c>
      <c r="Q3067">
        <v>2.8397439999999999E-2</v>
      </c>
      <c r="R3067">
        <v>-8.0117079999999993E-2</v>
      </c>
      <c r="S3067">
        <v>-3.019012</v>
      </c>
      <c r="T3067">
        <v>-0.31142199999999998</v>
      </c>
      <c r="U3067">
        <v>-1.5899659999999999E-2</v>
      </c>
      <c r="V3067">
        <v>0.15184929999999999</v>
      </c>
      <c r="W3067">
        <v>3.2836560000000001E-2</v>
      </c>
      <c r="X3067">
        <v>0.98785809999999996</v>
      </c>
      <c r="Y3067">
        <v>0.22273209999999999</v>
      </c>
      <c r="Z3067">
        <v>3.4979789999999997E-2</v>
      </c>
      <c r="AA3067">
        <v>0.97425189999999995</v>
      </c>
      <c r="AB3067">
        <v>26</v>
      </c>
      <c r="AC3067">
        <v>-10.446099999999999</v>
      </c>
      <c r="AD3067">
        <v>-1.1046121976000001</v>
      </c>
      <c r="AE3067">
        <v>0</v>
      </c>
      <c r="AF3067">
        <v>2.3785801849895201</v>
      </c>
      <c r="AG3067">
        <v>-1.1046121976000001</v>
      </c>
      <c r="AH3067">
        <v>10.053027129294801</v>
      </c>
      <c r="AI3067">
        <v>96.103241263316093</v>
      </c>
      <c r="AJ3067">
        <v>76.688420950741204</v>
      </c>
      <c r="AK3067">
        <v>10.389473820451601</v>
      </c>
    </row>
    <row r="3068" spans="1:37" x14ac:dyDescent="0.2">
      <c r="A3068" t="str">
        <f>"20200111154126113"</f>
        <v>20200111154126113</v>
      </c>
      <c r="B3068" t="str">
        <f>"1578728486108760"</f>
        <v>1578728486108760</v>
      </c>
      <c r="C3068" t="s">
        <v>37</v>
      </c>
      <c r="D3068">
        <v>5.4666119999999996</v>
      </c>
      <c r="E3068">
        <v>0.53090780000000004</v>
      </c>
      <c r="F3068" t="s">
        <v>39</v>
      </c>
      <c r="G3068">
        <v>-221.6302</v>
      </c>
      <c r="H3068" s="1">
        <v>-4.0179799999999998E-6</v>
      </c>
      <c r="I3068">
        <v>141.28909999999999</v>
      </c>
      <c r="J3068">
        <v>-210.91579999999999</v>
      </c>
      <c r="K3068">
        <v>1.104573</v>
      </c>
      <c r="L3068">
        <v>141.245</v>
      </c>
      <c r="M3068">
        <v>-0.97466399999999997</v>
      </c>
      <c r="N3068">
        <v>0</v>
      </c>
      <c r="O3068">
        <v>-0.22358899999999901</v>
      </c>
      <c r="P3068">
        <v>-0.9966412</v>
      </c>
      <c r="Q3068">
        <v>2.8766380000000001E-2</v>
      </c>
      <c r="R3068">
        <v>-7.6672309999999994E-2</v>
      </c>
      <c r="S3068">
        <v>-3.0193629999999998</v>
      </c>
      <c r="T3068">
        <v>-0.30405199999999999</v>
      </c>
      <c r="U3068">
        <v>-2.4414060000000001E-3</v>
      </c>
      <c r="V3068">
        <v>0.14851600000000001</v>
      </c>
      <c r="W3068">
        <v>3.3093909999999997E-2</v>
      </c>
      <c r="X3068">
        <v>0.98835609999999996</v>
      </c>
      <c r="Y3068">
        <v>0.2205734</v>
      </c>
      <c r="Z3068">
        <v>3.3392289999999998E-2</v>
      </c>
      <c r="AA3068">
        <v>0.97479859999999896</v>
      </c>
      <c r="AB3068">
        <v>26</v>
      </c>
      <c r="AC3068">
        <v>-10.714399999999999</v>
      </c>
      <c r="AD3068">
        <v>-1.1045770179800001</v>
      </c>
      <c r="AE3068">
        <v>4.4099999999985998E-2</v>
      </c>
      <c r="AF3068">
        <v>2.4130057837055401</v>
      </c>
      <c r="AG3068">
        <v>-1.1045770179800001</v>
      </c>
      <c r="AH3068">
        <v>10.323560024925801</v>
      </c>
      <c r="AI3068">
        <v>95.9480459441492</v>
      </c>
      <c r="AJ3068">
        <v>76.844004225612906</v>
      </c>
      <c r="AK3068">
        <v>10.659201606550599</v>
      </c>
    </row>
    <row r="3069" spans="1:37" x14ac:dyDescent="0.2">
      <c r="A3069" t="str">
        <f>"20200111154126136"</f>
        <v>20200111154126136</v>
      </c>
      <c r="B3069" t="str">
        <f>"1578728486129258"</f>
        <v>1578728486129258</v>
      </c>
      <c r="C3069" t="s">
        <v>37</v>
      </c>
      <c r="D3069">
        <v>5.4471179999999997</v>
      </c>
      <c r="E3069">
        <v>0.53104619999999902</v>
      </c>
      <c r="F3069" t="s">
        <v>39</v>
      </c>
      <c r="G3069">
        <v>-222.07339999999999</v>
      </c>
      <c r="H3069" s="1">
        <v>-3.8275979999999999E-6</v>
      </c>
      <c r="I3069">
        <v>141.28799999999899</v>
      </c>
      <c r="J3069">
        <v>-211.1857</v>
      </c>
      <c r="K3069">
        <v>1.1045199999999999</v>
      </c>
      <c r="L3069">
        <v>141.1908</v>
      </c>
      <c r="M3069">
        <v>-0.97624759999999999</v>
      </c>
      <c r="N3069">
        <v>0</v>
      </c>
      <c r="O3069">
        <v>-0.21657419999999999</v>
      </c>
      <c r="P3069">
        <v>-0.99705309999999903</v>
      </c>
      <c r="Q3069">
        <v>2.9311279999999999E-2</v>
      </c>
      <c r="R3069">
        <v>-7.0894479999999996E-2</v>
      </c>
      <c r="S3069">
        <v>-3.0196230000000002</v>
      </c>
      <c r="T3069">
        <v>-0.29893740000000002</v>
      </c>
      <c r="U3069">
        <v>1.164246E-2</v>
      </c>
      <c r="V3069">
        <v>0.1471404</v>
      </c>
      <c r="W3069">
        <v>3.3496140000000001E-2</v>
      </c>
      <c r="X3069">
        <v>0.98854830000000005</v>
      </c>
      <c r="Y3069">
        <v>0.21822739999999999</v>
      </c>
      <c r="Z3069">
        <v>3.2037669999999997E-2</v>
      </c>
      <c r="AA3069">
        <v>0.97537189999999996</v>
      </c>
      <c r="AB3069">
        <v>26</v>
      </c>
      <c r="AC3069">
        <v>-10.887699999999899</v>
      </c>
      <c r="AD3069">
        <v>-1.1045238275980001</v>
      </c>
      <c r="AE3069">
        <v>9.7199999999986603E-2</v>
      </c>
      <c r="AF3069">
        <v>2.42794546690978</v>
      </c>
      <c r="AG3069">
        <v>-1.1045238275980001</v>
      </c>
      <c r="AH3069">
        <v>10.5001784245626</v>
      </c>
      <c r="AI3069">
        <v>95.851631118932602</v>
      </c>
      <c r="AJ3069">
        <v>76.980376335847097</v>
      </c>
      <c r="AK3069">
        <v>10.8336807698801</v>
      </c>
    </row>
    <row r="3070" spans="1:37" x14ac:dyDescent="0.2">
      <c r="A3070" t="str">
        <f>"20200111154126158"</f>
        <v>20200111154126158</v>
      </c>
      <c r="B3070" t="str">
        <f>"1578728486148778"</f>
        <v>1578728486148778</v>
      </c>
      <c r="C3070" t="s">
        <v>37</v>
      </c>
      <c r="D3070">
        <v>5.4718410000000004</v>
      </c>
      <c r="E3070">
        <v>0.53112320000000002</v>
      </c>
      <c r="F3070" t="s">
        <v>39</v>
      </c>
      <c r="G3070">
        <v>-222.51329999999999</v>
      </c>
      <c r="H3070" s="1">
        <v>-3.6445599999999898E-6</v>
      </c>
      <c r="I3070">
        <v>141.30930000000001</v>
      </c>
      <c r="J3070">
        <v>-211.45359999999999</v>
      </c>
      <c r="K3070">
        <v>1.1044620000000001</v>
      </c>
      <c r="L3070">
        <v>141.13890000000001</v>
      </c>
      <c r="M3070">
        <v>-0.9777633</v>
      </c>
      <c r="N3070">
        <v>0</v>
      </c>
      <c r="O3070">
        <v>-0.2096297</v>
      </c>
      <c r="P3070">
        <v>-0.99751469999999898</v>
      </c>
      <c r="Q3070">
        <v>2.8380550000000001E-2</v>
      </c>
      <c r="R3070">
        <v>-6.4490989999999998E-2</v>
      </c>
      <c r="S3070">
        <v>-3.0197750000000001</v>
      </c>
      <c r="T3070">
        <v>-0.29445209999999999</v>
      </c>
      <c r="U3070">
        <v>3.1600950000000003E-2</v>
      </c>
      <c r="V3070">
        <v>0.1464569</v>
      </c>
      <c r="W3070">
        <v>3.242337E-2</v>
      </c>
      <c r="X3070">
        <v>0.98868549999999999</v>
      </c>
      <c r="Y3070">
        <v>0.21783640000000001</v>
      </c>
      <c r="Z3070">
        <v>3.0877740000000001E-2</v>
      </c>
      <c r="AA3070">
        <v>0.975496699999999</v>
      </c>
      <c r="AB3070">
        <v>27</v>
      </c>
      <c r="AC3070">
        <v>-11.0596999999999</v>
      </c>
      <c r="AD3070">
        <v>-1.1044656445600001</v>
      </c>
      <c r="AE3070">
        <v>0.1704</v>
      </c>
      <c r="AF3070">
        <v>2.4605621956416202</v>
      </c>
      <c r="AG3070">
        <v>-1.1044656445600001</v>
      </c>
      <c r="AH3070">
        <v>10.671829895065001</v>
      </c>
      <c r="AI3070">
        <v>95.758677724795902</v>
      </c>
      <c r="AJ3070">
        <v>77.016433786180002</v>
      </c>
      <c r="AK3070">
        <v>11.0073686223291</v>
      </c>
    </row>
    <row r="3071" spans="1:37" x14ac:dyDescent="0.2">
      <c r="A3071" t="str">
        <f>"20200111154126180"</f>
        <v>20200111154126180</v>
      </c>
      <c r="B3071" t="str">
        <f>"1578728486169272"</f>
        <v>1578728486169272</v>
      </c>
      <c r="C3071" t="s">
        <v>37</v>
      </c>
      <c r="D3071">
        <v>5.4670189999999996</v>
      </c>
      <c r="E3071">
        <v>0.53115579999999996</v>
      </c>
      <c r="F3071" t="s">
        <v>39</v>
      </c>
      <c r="G3071">
        <v>-222.74809999999999</v>
      </c>
      <c r="H3071" s="1">
        <v>-3.55089099999999E-6</v>
      </c>
      <c r="I3071">
        <v>141.33590000000001</v>
      </c>
      <c r="J3071">
        <v>-211.7218</v>
      </c>
      <c r="K3071">
        <v>1.1044039999999999</v>
      </c>
      <c r="L3071">
        <v>141.08879999999999</v>
      </c>
      <c r="M3071">
        <v>-0.97922739999999997</v>
      </c>
      <c r="N3071">
        <v>0</v>
      </c>
      <c r="O3071">
        <v>-0.2026839</v>
      </c>
      <c r="P3071">
        <v>-0.99797169999999902</v>
      </c>
      <c r="Q3071">
        <v>2.7585249999999999E-2</v>
      </c>
      <c r="R3071">
        <v>-5.7374540000000002E-2</v>
      </c>
      <c r="S3071">
        <v>-3.0193020000000002</v>
      </c>
      <c r="T3071">
        <v>-0.29525009999999902</v>
      </c>
      <c r="U3071">
        <v>5.2688599999999898E-2</v>
      </c>
      <c r="V3071">
        <v>0.14648720000000001</v>
      </c>
      <c r="W3071">
        <v>3.1486380000000001E-2</v>
      </c>
      <c r="X3071">
        <v>0.98871139999999902</v>
      </c>
      <c r="Y3071">
        <v>0.21774579999999999</v>
      </c>
      <c r="Z3071">
        <v>3.0296719999999999E-2</v>
      </c>
      <c r="AA3071">
        <v>0.97553519999999905</v>
      </c>
      <c r="AB3071">
        <v>27</v>
      </c>
      <c r="AC3071">
        <v>-11.0262999999999</v>
      </c>
      <c r="AD3071">
        <v>-1.1044075508910001</v>
      </c>
      <c r="AE3071">
        <v>0.247100000000017</v>
      </c>
      <c r="AF3071">
        <v>2.4522718666268899</v>
      </c>
      <c r="AG3071">
        <v>-1.1044075508910001</v>
      </c>
      <c r="AH3071">
        <v>10.640652582020101</v>
      </c>
      <c r="AI3071">
        <v>95.775265152438905</v>
      </c>
      <c r="AJ3071">
        <v>77.022067707455506</v>
      </c>
      <c r="AK3071">
        <v>10.975283172545801</v>
      </c>
    </row>
    <row r="3072" spans="1:37" x14ac:dyDescent="0.2">
      <c r="A3072" t="str">
        <f>"20200111154126202"</f>
        <v>20200111154126202</v>
      </c>
      <c r="B3072" t="str">
        <f>"1578728486199530"</f>
        <v>1578728486199530</v>
      </c>
      <c r="C3072" t="s">
        <v>37</v>
      </c>
      <c r="D3072">
        <v>5.480105</v>
      </c>
      <c r="E3072">
        <v>0.53105619999999998</v>
      </c>
      <c r="F3072" t="s">
        <v>39</v>
      </c>
      <c r="G3072">
        <v>-222.97030000000001</v>
      </c>
      <c r="H3072" s="1">
        <v>-3.4639870000000001E-6</v>
      </c>
      <c r="I3072">
        <v>141.36750000000001</v>
      </c>
      <c r="J3072">
        <v>-211.97749999999999</v>
      </c>
      <c r="K3072">
        <v>1.104347</v>
      </c>
      <c r="L3072">
        <v>141.0429</v>
      </c>
      <c r="M3072">
        <v>-0.98057369999999899</v>
      </c>
      <c r="N3072">
        <v>0</v>
      </c>
      <c r="O3072">
        <v>-0.19607079999999999</v>
      </c>
      <c r="P3072">
        <v>-0.99828259999999902</v>
      </c>
      <c r="Q3072">
        <v>2.7038710000000001E-2</v>
      </c>
      <c r="R3072">
        <v>-5.1969069999999999E-2</v>
      </c>
      <c r="S3072">
        <v>-3.01857</v>
      </c>
      <c r="T3072">
        <v>-0.29637340000000001</v>
      </c>
      <c r="U3072">
        <v>7.4783329999999995E-2</v>
      </c>
      <c r="V3072">
        <v>0.1451664</v>
      </c>
      <c r="W3072">
        <v>3.0833909999999999E-2</v>
      </c>
      <c r="X3072">
        <v>0.98892669999999905</v>
      </c>
      <c r="Y3072">
        <v>0.21831529999999999</v>
      </c>
      <c r="Z3072">
        <v>2.9809559999999999E-2</v>
      </c>
      <c r="AA3072">
        <v>0.97542289999999998</v>
      </c>
      <c r="AB3072">
        <v>27</v>
      </c>
      <c r="AC3072">
        <v>-10.992800000000001</v>
      </c>
      <c r="AD3072">
        <v>-1.1043504639870001</v>
      </c>
      <c r="AE3072">
        <v>0.324600000000003</v>
      </c>
      <c r="AF3072">
        <v>2.4490052614591802</v>
      </c>
      <c r="AG3072">
        <v>-1.1043504639870001</v>
      </c>
      <c r="AH3072">
        <v>10.608798909890799</v>
      </c>
      <c r="AI3072">
        <v>95.791706819059996</v>
      </c>
      <c r="AJ3072">
        <v>77.001173957703202</v>
      </c>
      <c r="AK3072">
        <v>10.9436662516939</v>
      </c>
    </row>
    <row r="3073" spans="1:37" x14ac:dyDescent="0.2">
      <c r="A3073" t="str">
        <f>"20200111154126226"</f>
        <v>20200111154126226</v>
      </c>
      <c r="B3073" t="str">
        <f>"1578728486219049"</f>
        <v>1578728486219049</v>
      </c>
      <c r="C3073" t="s">
        <v>37</v>
      </c>
      <c r="D3073">
        <v>5.4953589999999997</v>
      </c>
      <c r="E3073">
        <v>0.5309758</v>
      </c>
      <c r="F3073" t="s">
        <v>39</v>
      </c>
      <c r="G3073">
        <v>-223.2081</v>
      </c>
      <c r="H3073" s="1">
        <v>-3.3651970000000001E-6</v>
      </c>
      <c r="I3073">
        <v>141.37970000000001</v>
      </c>
      <c r="J3073">
        <v>-212.2638</v>
      </c>
      <c r="K3073">
        <v>1.1042889999999901</v>
      </c>
      <c r="L3073">
        <v>140.99369999999999</v>
      </c>
      <c r="M3073">
        <v>-0.98202429999999996</v>
      </c>
      <c r="N3073">
        <v>0</v>
      </c>
      <c r="O3073">
        <v>-0.18867439999999999</v>
      </c>
      <c r="P3073">
        <v>-0.99855949999999905</v>
      </c>
      <c r="Q3073">
        <v>2.772954E-2</v>
      </c>
      <c r="R3073">
        <v>-4.5937520000000003E-2</v>
      </c>
      <c r="S3073">
        <v>-3.01791399999999</v>
      </c>
      <c r="T3073">
        <v>-0.29676390000000002</v>
      </c>
      <c r="U3073">
        <v>9.0515139999999994E-2</v>
      </c>
      <c r="V3073">
        <v>0.1436936</v>
      </c>
      <c r="W3073">
        <v>3.1421089999999999E-2</v>
      </c>
      <c r="X3073">
        <v>0.98912330000000004</v>
      </c>
      <c r="Y3073">
        <v>0.21608809999999901</v>
      </c>
      <c r="Z3073">
        <v>2.9030170000000001E-2</v>
      </c>
      <c r="AA3073">
        <v>0.97594219999999898</v>
      </c>
      <c r="AB3073">
        <v>27</v>
      </c>
      <c r="AC3073">
        <v>-10.944299999999901</v>
      </c>
      <c r="AD3073">
        <v>-1.10429236519699</v>
      </c>
      <c r="AE3073">
        <v>0.38600000000002399</v>
      </c>
      <c r="AF3073">
        <v>2.4194061068778998</v>
      </c>
      <c r="AG3073">
        <v>-1.10429236519699</v>
      </c>
      <c r="AH3073">
        <v>10.5674477144101</v>
      </c>
      <c r="AI3073">
        <v>95.816304509365693</v>
      </c>
      <c r="AJ3073">
        <v>77.104443460459905</v>
      </c>
      <c r="AK3073">
        <v>10.8969692453738</v>
      </c>
    </row>
    <row r="3074" spans="1:37" x14ac:dyDescent="0.2">
      <c r="A3074" t="str">
        <f>"20200111154126247"</f>
        <v>20200111154126247</v>
      </c>
      <c r="B3074" t="str">
        <f>"1578728486239546"</f>
        <v>1578728486239546</v>
      </c>
      <c r="C3074" t="s">
        <v>37</v>
      </c>
      <c r="D3074">
        <v>5.4928039999999996</v>
      </c>
      <c r="E3074">
        <v>0.5308908</v>
      </c>
      <c r="F3074" t="s">
        <v>39</v>
      </c>
      <c r="G3074">
        <v>-223.5873</v>
      </c>
      <c r="H3074" s="1">
        <v>-3.2078859999999999E-6</v>
      </c>
      <c r="I3074">
        <v>141.3998</v>
      </c>
      <c r="J3074">
        <v>-212.5299</v>
      </c>
      <c r="K3074">
        <v>1.104241</v>
      </c>
      <c r="L3074">
        <v>140.94980000000001</v>
      </c>
      <c r="M3074">
        <v>-0.98331919999999995</v>
      </c>
      <c r="N3074">
        <v>0</v>
      </c>
      <c r="O3074">
        <v>-0.181806299999999</v>
      </c>
      <c r="P3074">
        <v>-0.99872419999999995</v>
      </c>
      <c r="Q3074">
        <v>2.9475049999999999E-2</v>
      </c>
      <c r="R3074">
        <v>-4.1002080000000003E-2</v>
      </c>
      <c r="S3074">
        <v>-3.017471</v>
      </c>
      <c r="T3074">
        <v>-0.29427189999999998</v>
      </c>
      <c r="U3074">
        <v>0.1082306</v>
      </c>
      <c r="V3074">
        <v>0.14168339999999999</v>
      </c>
      <c r="W3074">
        <v>3.3092480000000001E-2</v>
      </c>
      <c r="X3074">
        <v>0.98935869999999904</v>
      </c>
      <c r="Y3074">
        <v>0.21506349999999999</v>
      </c>
      <c r="Z3074">
        <v>2.8081459999999999E-2</v>
      </c>
      <c r="AA3074">
        <v>0.97619619999999996</v>
      </c>
      <c r="AB3074">
        <v>27</v>
      </c>
      <c r="AC3074">
        <v>-11.057399999999999</v>
      </c>
      <c r="AD3074">
        <v>-1.104244207886</v>
      </c>
      <c r="AE3074">
        <v>0.44999999999998802</v>
      </c>
      <c r="AF3074">
        <v>2.4286543620491901</v>
      </c>
      <c r="AG3074">
        <v>-1.104244207886</v>
      </c>
      <c r="AH3074">
        <v>10.6849176919321</v>
      </c>
      <c r="AI3074">
        <v>95.754588727526297</v>
      </c>
      <c r="AJ3074">
        <v>77.194387939067596</v>
      </c>
      <c r="AK3074">
        <v>11.012955251171901</v>
      </c>
    </row>
    <row r="3075" spans="1:37" x14ac:dyDescent="0.2">
      <c r="A3075" t="str">
        <f>"20200111154126269"</f>
        <v>20200111154126269</v>
      </c>
      <c r="B3075" t="str">
        <f>"1578728486259064"</f>
        <v>1578728486259064</v>
      </c>
      <c r="C3075" t="s">
        <v>37</v>
      </c>
      <c r="D3075">
        <v>5.5147379999999897</v>
      </c>
      <c r="E3075">
        <v>0.53075519999999998</v>
      </c>
      <c r="F3075" t="s">
        <v>39</v>
      </c>
      <c r="G3075">
        <v>-224.0831</v>
      </c>
      <c r="H3075" s="1">
        <v>-3.0001839999999899E-6</v>
      </c>
      <c r="I3075">
        <v>141.4186</v>
      </c>
      <c r="J3075">
        <v>-212.8047</v>
      </c>
      <c r="K3075">
        <v>1.1041939999999999</v>
      </c>
      <c r="L3075">
        <v>140.90649999999999</v>
      </c>
      <c r="M3075">
        <v>-0.98460319999999901</v>
      </c>
      <c r="N3075">
        <v>0</v>
      </c>
      <c r="O3075">
        <v>-0.17472209999999999</v>
      </c>
      <c r="P3075">
        <v>-0.99885299999999999</v>
      </c>
      <c r="Q3075">
        <v>3.1486430000000003E-2</v>
      </c>
      <c r="R3075">
        <v>-3.607602E-2</v>
      </c>
      <c r="S3075">
        <v>-3.0173649999999999</v>
      </c>
      <c r="T3075">
        <v>-0.28839759999999998</v>
      </c>
      <c r="U3075">
        <v>0.1224518</v>
      </c>
      <c r="V3075">
        <v>0.13945679999999999</v>
      </c>
      <c r="W3075">
        <v>3.5040179999999997E-2</v>
      </c>
      <c r="X3075">
        <v>0.98960800000000004</v>
      </c>
      <c r="Y3075">
        <v>0.2127462</v>
      </c>
      <c r="Z3075">
        <v>2.6745129999999999E-2</v>
      </c>
      <c r="AA3075">
        <v>0.97674139999999998</v>
      </c>
      <c r="AB3075">
        <v>27</v>
      </c>
      <c r="AC3075">
        <v>-11.2784</v>
      </c>
      <c r="AD3075">
        <v>-1.104197000184</v>
      </c>
      <c r="AE3075">
        <v>0.512100000000003</v>
      </c>
      <c r="AF3075">
        <v>2.4513880405367701</v>
      </c>
      <c r="AG3075">
        <v>-1.104197000184</v>
      </c>
      <c r="AH3075">
        <v>10.911062944266</v>
      </c>
      <c r="AI3075">
        <v>95.639018495781301</v>
      </c>
      <c r="AJ3075">
        <v>77.337616667511497</v>
      </c>
      <c r="AK3075">
        <v>11.2374307078725</v>
      </c>
    </row>
    <row r="3076" spans="1:37" x14ac:dyDescent="0.2">
      <c r="A3076" t="str">
        <f>"20200111154126292"</f>
        <v>20200111154126292</v>
      </c>
      <c r="B3076" t="str">
        <f>"1578728486289321"</f>
        <v>1578728486289321</v>
      </c>
      <c r="C3076" t="s">
        <v>37</v>
      </c>
      <c r="D3076">
        <v>5.5004669999999898</v>
      </c>
      <c r="E3076">
        <v>0.53049399999999902</v>
      </c>
      <c r="F3076" t="s">
        <v>39</v>
      </c>
      <c r="G3076">
        <v>-224.6276</v>
      </c>
      <c r="H3076" s="1">
        <v>-2.7720400000000001E-6</v>
      </c>
      <c r="I3076">
        <v>141.43899999999999</v>
      </c>
      <c r="J3076">
        <v>-213.07679999999999</v>
      </c>
      <c r="K3076">
        <v>1.1041540000000001</v>
      </c>
      <c r="L3076">
        <v>140.8656</v>
      </c>
      <c r="M3076">
        <v>-0.98582150000000002</v>
      </c>
      <c r="N3076">
        <v>0</v>
      </c>
      <c r="O3076">
        <v>-0.167714</v>
      </c>
      <c r="P3076">
        <v>-0.99897950000000002</v>
      </c>
      <c r="Q3076">
        <v>3.3042830000000002E-2</v>
      </c>
      <c r="R3076">
        <v>-3.0795050000000001E-2</v>
      </c>
      <c r="S3076">
        <v>-3.017258</v>
      </c>
      <c r="T3076">
        <v>-0.28179729999999997</v>
      </c>
      <c r="U3076">
        <v>0.13591</v>
      </c>
      <c r="V3076">
        <v>0.13766349999999999</v>
      </c>
      <c r="W3076">
        <v>3.6538880000000003E-2</v>
      </c>
      <c r="X3076">
        <v>0.98980489999999999</v>
      </c>
      <c r="Y3076">
        <v>0.21026810000000001</v>
      </c>
      <c r="Z3076">
        <v>2.5373679999999999E-2</v>
      </c>
      <c r="AA3076">
        <v>0.97731440000000003</v>
      </c>
      <c r="AB3076">
        <v>27</v>
      </c>
      <c r="AC3076">
        <v>-11.550800000000001</v>
      </c>
      <c r="AD3076">
        <v>-1.1041567720400001</v>
      </c>
      <c r="AE3076">
        <v>0.57339999999999203</v>
      </c>
      <c r="AF3076">
        <v>2.47993075401721</v>
      </c>
      <c r="AG3076">
        <v>-1.1041567720400001</v>
      </c>
      <c r="AH3076">
        <v>11.1890270162853</v>
      </c>
      <c r="AI3076">
        <v>95.503123548312999</v>
      </c>
      <c r="AJ3076">
        <v>77.503010605056403</v>
      </c>
      <c r="AK3076">
        <v>11.5136242900801</v>
      </c>
    </row>
    <row r="3077" spans="1:37" x14ac:dyDescent="0.2">
      <c r="A3077" t="str">
        <f>"20200111154126313"</f>
        <v>20200111154126313</v>
      </c>
      <c r="B3077" t="str">
        <f>"1578728486308841"</f>
        <v>1578728486308841</v>
      </c>
      <c r="C3077" t="s">
        <v>37</v>
      </c>
      <c r="D3077">
        <v>5.4732979999999998</v>
      </c>
      <c r="E3077">
        <v>0.53028260000000005</v>
      </c>
      <c r="F3077" t="s">
        <v>39</v>
      </c>
      <c r="G3077">
        <v>-225.1052</v>
      </c>
      <c r="H3077" s="1">
        <v>-2.5732639999999998E-6</v>
      </c>
      <c r="I3077">
        <v>141.46209999999999</v>
      </c>
      <c r="J3077">
        <v>-213.34559999999999</v>
      </c>
      <c r="K3077">
        <v>1.104109</v>
      </c>
      <c r="L3077">
        <v>140.827</v>
      </c>
      <c r="M3077">
        <v>-0.98697420000000002</v>
      </c>
      <c r="N3077">
        <v>0</v>
      </c>
      <c r="O3077">
        <v>-0.16079199999999999</v>
      </c>
      <c r="P3077">
        <v>-0.99909809999999999</v>
      </c>
      <c r="Q3077">
        <v>3.4252629999999999E-2</v>
      </c>
      <c r="R3077">
        <v>-2.5094060000000001E-2</v>
      </c>
      <c r="S3077">
        <v>-3.0168300000000001</v>
      </c>
      <c r="T3077">
        <v>-0.2769316</v>
      </c>
      <c r="U3077">
        <v>0.14961240000000001</v>
      </c>
      <c r="V3077">
        <v>0.13637839999999901</v>
      </c>
      <c r="W3077">
        <v>3.7696319999999998E-2</v>
      </c>
      <c r="X3077">
        <v>0.98993929999999997</v>
      </c>
      <c r="Y3077">
        <v>0.20793890000000001</v>
      </c>
      <c r="Z3077">
        <v>2.4204719999999999E-2</v>
      </c>
      <c r="AA3077">
        <v>0.97784230000000005</v>
      </c>
      <c r="AB3077">
        <v>28</v>
      </c>
      <c r="AC3077">
        <v>-11.759600000000001</v>
      </c>
      <c r="AD3077">
        <v>-1.1041115732639999</v>
      </c>
      <c r="AE3077">
        <v>0.635099999999994</v>
      </c>
      <c r="AF3077">
        <v>2.4957747841890199</v>
      </c>
      <c r="AG3077">
        <v>-1.1041115732639999</v>
      </c>
      <c r="AH3077">
        <v>11.404222934547199</v>
      </c>
      <c r="AI3077">
        <v>95.402830443553199</v>
      </c>
      <c r="AJ3077">
        <v>77.655633832549796</v>
      </c>
      <c r="AK3077">
        <v>11.7262208268675</v>
      </c>
    </row>
    <row r="3078" spans="1:37" x14ac:dyDescent="0.2">
      <c r="A3078" t="str">
        <f>"20200111154126337"</f>
        <v>20200111154126337</v>
      </c>
      <c r="B3078" t="str">
        <f>"1578728486329337"</f>
        <v>1578728486329337</v>
      </c>
      <c r="C3078" t="s">
        <v>37</v>
      </c>
      <c r="D3078">
        <v>5.5031780000000001</v>
      </c>
      <c r="E3078">
        <v>0.53010000000000002</v>
      </c>
      <c r="F3078" t="s">
        <v>39</v>
      </c>
      <c r="G3078">
        <v>-225.53030000000001</v>
      </c>
      <c r="H3078" s="1">
        <v>-2.3995699999999999E-6</v>
      </c>
      <c r="I3078">
        <v>141.49469999999999</v>
      </c>
      <c r="J3078">
        <v>-213.6326</v>
      </c>
      <c r="K3078">
        <v>1.1040589999999999</v>
      </c>
      <c r="L3078">
        <v>140.78790000000001</v>
      </c>
      <c r="M3078">
        <v>-0.98814899999999894</v>
      </c>
      <c r="N3078">
        <v>0</v>
      </c>
      <c r="O3078">
        <v>-0.1534095</v>
      </c>
      <c r="P3078">
        <v>-0.99917269999999903</v>
      </c>
      <c r="Q3078">
        <v>3.5614760000000002E-2</v>
      </c>
      <c r="R3078">
        <v>-1.9645139999999998E-2</v>
      </c>
      <c r="S3078">
        <v>-3.016235</v>
      </c>
      <c r="T3078">
        <v>-0.27331569999999999</v>
      </c>
      <c r="U3078">
        <v>0.16528319999999999</v>
      </c>
      <c r="V3078">
        <v>0.13439100000000001</v>
      </c>
      <c r="W3078">
        <v>3.9019989999999997E-2</v>
      </c>
      <c r="X3078">
        <v>0.99015980000000003</v>
      </c>
      <c r="Y3078">
        <v>0.2057832</v>
      </c>
      <c r="Z3078">
        <v>2.3133330000000001E-2</v>
      </c>
      <c r="AA3078">
        <v>0.97832419999999998</v>
      </c>
      <c r="AB3078">
        <v>28</v>
      </c>
      <c r="AC3078">
        <v>-11.8977</v>
      </c>
      <c r="AD3078">
        <v>-1.1040613995699999</v>
      </c>
      <c r="AE3078">
        <v>0.70679999999998699</v>
      </c>
      <c r="AF3078">
        <v>2.5022070213705598</v>
      </c>
      <c r="AG3078">
        <v>-1.1040613995699999</v>
      </c>
      <c r="AH3078">
        <v>11.549325180999499</v>
      </c>
      <c r="AI3078">
        <v>95.337522412709802</v>
      </c>
      <c r="AJ3078">
        <v>77.775572787935602</v>
      </c>
      <c r="AK3078">
        <v>11.868736398129499</v>
      </c>
    </row>
    <row r="3079" spans="1:37" x14ac:dyDescent="0.2">
      <c r="A3079" t="str">
        <f>"20200111154126359"</f>
        <v>20200111154126359</v>
      </c>
      <c r="B3079" t="str">
        <f>"1578728486348859"</f>
        <v>1578728486348859</v>
      </c>
      <c r="C3079" t="s">
        <v>37</v>
      </c>
      <c r="D3079">
        <v>5.5002199999999997</v>
      </c>
      <c r="E3079">
        <v>0.529875599999999</v>
      </c>
      <c r="F3079" t="s">
        <v>39</v>
      </c>
      <c r="G3079">
        <v>-226.00450000000001</v>
      </c>
      <c r="H3079" s="1">
        <v>-2.205681E-6</v>
      </c>
      <c r="I3079">
        <v>141.53039999999999</v>
      </c>
      <c r="J3079">
        <v>-213.91630000000001</v>
      </c>
      <c r="K3079">
        <v>1.104007</v>
      </c>
      <c r="L3079">
        <v>140.75129999999999</v>
      </c>
      <c r="M3079">
        <v>-0.98925450000000004</v>
      </c>
      <c r="N3079">
        <v>0</v>
      </c>
      <c r="O3079">
        <v>-0.1461134</v>
      </c>
      <c r="P3079">
        <v>-0.99916389999999999</v>
      </c>
      <c r="Q3079">
        <v>3.8113540000000001E-2</v>
      </c>
      <c r="R3079">
        <v>-1.480562E-2</v>
      </c>
      <c r="S3079">
        <v>-3.0156399999999999</v>
      </c>
      <c r="T3079">
        <v>-0.2691152</v>
      </c>
      <c r="U3079">
        <v>0.18099979999999999</v>
      </c>
      <c r="V3079">
        <v>0.13190260000000001</v>
      </c>
      <c r="W3079">
        <v>4.1491819999999999E-2</v>
      </c>
      <c r="X3079">
        <v>0.99039390000000005</v>
      </c>
      <c r="Y3079">
        <v>0.2037371</v>
      </c>
      <c r="Z3079">
        <v>2.2045519999999999E-2</v>
      </c>
      <c r="AA3079">
        <v>0.97877739999999902</v>
      </c>
      <c r="AB3079">
        <v>28</v>
      </c>
      <c r="AC3079">
        <v>-12.088200000000001</v>
      </c>
      <c r="AD3079">
        <v>-1.104009205681</v>
      </c>
      <c r="AE3079">
        <v>0.77909999999999902</v>
      </c>
      <c r="AF3079">
        <v>2.5161094395155299</v>
      </c>
      <c r="AG3079">
        <v>-1.104009205681</v>
      </c>
      <c r="AH3079">
        <v>11.747048003772999</v>
      </c>
      <c r="AI3079">
        <v>95.250589007267905</v>
      </c>
      <c r="AJ3079">
        <v>77.910443255388302</v>
      </c>
      <c r="AK3079">
        <v>12.064111232941899</v>
      </c>
    </row>
    <row r="3080" spans="1:37" x14ac:dyDescent="0.2">
      <c r="A3080" t="str">
        <f>"20200111154126382"</f>
        <v>20200111154126382</v>
      </c>
      <c r="B3080" t="str">
        <f>"1578728486379656"</f>
        <v>1578728486379656</v>
      </c>
      <c r="C3080" t="s">
        <v>37</v>
      </c>
      <c r="D3080">
        <v>5.5366549999999997</v>
      </c>
      <c r="E3080">
        <v>0.52954760000000001</v>
      </c>
      <c r="F3080" t="s">
        <v>39</v>
      </c>
      <c r="G3080">
        <v>-226.6371</v>
      </c>
      <c r="H3080" s="1">
        <v>-1.9457109999999999E-6</v>
      </c>
      <c r="I3080">
        <v>141.57329999999999</v>
      </c>
      <c r="J3080">
        <v>-214.2062</v>
      </c>
      <c r="K3080">
        <v>1.103942</v>
      </c>
      <c r="L3080">
        <v>140.71610000000001</v>
      </c>
      <c r="M3080">
        <v>-0.99032710000000002</v>
      </c>
      <c r="N3080">
        <v>0</v>
      </c>
      <c r="O3080">
        <v>-0.1386588</v>
      </c>
      <c r="P3080">
        <v>-0.99914910000000001</v>
      </c>
      <c r="Q3080">
        <v>3.9798559999999997E-2</v>
      </c>
      <c r="R3080">
        <v>-1.084187E-2</v>
      </c>
      <c r="S3080">
        <v>-3.01536599999999</v>
      </c>
      <c r="T3080">
        <v>-0.26169769999999998</v>
      </c>
      <c r="U3080">
        <v>0.19485469999999999</v>
      </c>
      <c r="V3080">
        <v>0.1283888</v>
      </c>
      <c r="W3080">
        <v>4.3160690000000002E-2</v>
      </c>
      <c r="X3080">
        <v>0.99078429999999995</v>
      </c>
      <c r="Y3080">
        <v>0.20096349999999999</v>
      </c>
      <c r="Z3080">
        <v>2.0678559999999999E-2</v>
      </c>
      <c r="AA3080">
        <v>0.97938040000000004</v>
      </c>
      <c r="AB3080">
        <v>28</v>
      </c>
      <c r="AC3080">
        <v>-12.430899999999999</v>
      </c>
      <c r="AD3080">
        <v>-1.1039439457110001</v>
      </c>
      <c r="AE3080">
        <v>0.85719999999997698</v>
      </c>
      <c r="AF3080">
        <v>2.5525597714574499</v>
      </c>
      <c r="AG3080">
        <v>-1.1039439457110001</v>
      </c>
      <c r="AH3080">
        <v>12.0970046237713</v>
      </c>
      <c r="AI3080">
        <v>95.102491825535793</v>
      </c>
      <c r="AJ3080">
        <v>78.084939926326797</v>
      </c>
      <c r="AK3080">
        <v>12.412565185717201</v>
      </c>
    </row>
    <row r="3081" spans="1:37" x14ac:dyDescent="0.2">
      <c r="A3081" t="str">
        <f>"20200111154126406"</f>
        <v>20200111154126406</v>
      </c>
      <c r="B3081" t="str">
        <f>"1578728486399176"</f>
        <v>1578728486399176</v>
      </c>
      <c r="C3081" t="s">
        <v>37</v>
      </c>
      <c r="D3081">
        <v>5.520886</v>
      </c>
      <c r="E3081">
        <v>0.52935980000000005</v>
      </c>
      <c r="F3081" t="s">
        <v>39</v>
      </c>
      <c r="G3081">
        <v>-227.1474</v>
      </c>
      <c r="H3081" s="1">
        <v>-1.733339E-6</v>
      </c>
      <c r="I3081">
        <v>141.59790000000001</v>
      </c>
      <c r="J3081">
        <v>-214.49279999999999</v>
      </c>
      <c r="K3081">
        <v>1.10388</v>
      </c>
      <c r="L3081">
        <v>140.68350000000001</v>
      </c>
      <c r="M3081">
        <v>-0.99133069999999901</v>
      </c>
      <c r="N3081">
        <v>0</v>
      </c>
      <c r="O3081">
        <v>-0.1312933</v>
      </c>
      <c r="P3081">
        <v>-0.99915739999999997</v>
      </c>
      <c r="Q3081">
        <v>4.0348509999999997E-2</v>
      </c>
      <c r="R3081">
        <v>-7.5149559999999997E-3</v>
      </c>
      <c r="S3081">
        <v>-3.0150299999999999</v>
      </c>
      <c r="T3081">
        <v>-0.25719760000000003</v>
      </c>
      <c r="U3081">
        <v>0.20545959999999999</v>
      </c>
      <c r="V3081">
        <v>0.1243296</v>
      </c>
      <c r="W3081">
        <v>4.3695190000000002E-2</v>
      </c>
      <c r="X3081">
        <v>0.9912784</v>
      </c>
      <c r="Y3081">
        <v>0.19720190000000001</v>
      </c>
      <c r="Z3081">
        <v>1.9541369999999999E-2</v>
      </c>
      <c r="AA3081">
        <v>0.98016809999999999</v>
      </c>
      <c r="AB3081">
        <v>28</v>
      </c>
      <c r="AC3081">
        <v>-12.6546</v>
      </c>
      <c r="AD3081">
        <v>-1.1038817333390001</v>
      </c>
      <c r="AE3081">
        <v>0.91439999999999999</v>
      </c>
      <c r="AF3081">
        <v>2.5486766748414098</v>
      </c>
      <c r="AG3081">
        <v>-1.1038817333390001</v>
      </c>
      <c r="AH3081">
        <v>12.331648797628899</v>
      </c>
      <c r="AI3081">
        <v>95.009937058117302</v>
      </c>
      <c r="AJ3081">
        <v>78.322656506741097</v>
      </c>
      <c r="AK3081">
        <v>12.640564455044901</v>
      </c>
    </row>
    <row r="3082" spans="1:37" x14ac:dyDescent="0.2">
      <c r="A3082" t="str">
        <f>"20200111154126427"</f>
        <v>20200111154126427</v>
      </c>
      <c r="B3082" t="str">
        <f>"1578728486419672"</f>
        <v>1578728486419672</v>
      </c>
      <c r="C3082" t="s">
        <v>37</v>
      </c>
      <c r="D3082">
        <v>5.5593729999999999</v>
      </c>
      <c r="E3082">
        <v>0.52916059999999998</v>
      </c>
      <c r="F3082" t="s">
        <v>39</v>
      </c>
      <c r="G3082">
        <v>-227.49959999999999</v>
      </c>
      <c r="H3082" s="1">
        <v>-1.58581799999999E-6</v>
      </c>
      <c r="I3082">
        <v>141.6114</v>
      </c>
      <c r="J3082">
        <v>-214.78219999999999</v>
      </c>
      <c r="K3082">
        <v>1.1038159999999999</v>
      </c>
      <c r="L3082">
        <v>140.65270000000001</v>
      </c>
      <c r="M3082">
        <v>-0.99228660000000002</v>
      </c>
      <c r="N3082">
        <v>0</v>
      </c>
      <c r="O3082">
        <v>-0.1238654</v>
      </c>
      <c r="P3082">
        <v>-0.99916649999999996</v>
      </c>
      <c r="Q3082">
        <v>4.0531079999999997E-2</v>
      </c>
      <c r="R3082">
        <v>-4.8497239999999997E-3</v>
      </c>
      <c r="S3082">
        <v>-3.014481</v>
      </c>
      <c r="T3082">
        <v>-0.25583859999999897</v>
      </c>
      <c r="U3082">
        <v>0.21505740000000001</v>
      </c>
      <c r="V3082">
        <v>0.119553399999999</v>
      </c>
      <c r="W3082">
        <v>4.3865729999999999E-2</v>
      </c>
      <c r="X3082">
        <v>0.99185820000000002</v>
      </c>
      <c r="Y3082">
        <v>0.19303120000000001</v>
      </c>
      <c r="Z3082">
        <v>1.863799E-2</v>
      </c>
      <c r="AA3082">
        <v>0.98101559999999899</v>
      </c>
      <c r="AB3082">
        <v>28</v>
      </c>
      <c r="AC3082">
        <v>-12.7173999999999</v>
      </c>
      <c r="AD3082">
        <v>-1.1038175858179999</v>
      </c>
      <c r="AE3082">
        <v>0.958699999999993</v>
      </c>
      <c r="AF3082">
        <v>2.5077963848502001</v>
      </c>
      <c r="AG3082">
        <v>-1.1038175858179999</v>
      </c>
      <c r="AH3082">
        <v>12.407764081057</v>
      </c>
      <c r="AI3082">
        <v>94.983507434639407</v>
      </c>
      <c r="AJ3082">
        <v>78.573590185590007</v>
      </c>
      <c r="AK3082">
        <v>12.706693726607099</v>
      </c>
    </row>
    <row r="3083" spans="1:37" x14ac:dyDescent="0.2">
      <c r="A3083" t="str">
        <f>"20200111154126449"</f>
        <v>20200111154126449</v>
      </c>
      <c r="B3083" t="str">
        <f>"1578728486439191"</f>
        <v>1578728486439191</v>
      </c>
      <c r="C3083" t="s">
        <v>37</v>
      </c>
      <c r="D3083">
        <v>5.5352040000000002</v>
      </c>
      <c r="E3083">
        <v>0.52896679999999996</v>
      </c>
      <c r="F3083" t="s">
        <v>39</v>
      </c>
      <c r="G3083">
        <v>-227.7764</v>
      </c>
      <c r="H3083" s="1">
        <v>-1.4668690000000001E-6</v>
      </c>
      <c r="I3083">
        <v>141.6105</v>
      </c>
      <c r="J3083">
        <v>-215.0686</v>
      </c>
      <c r="K3083">
        <v>1.1037600000000001</v>
      </c>
      <c r="L3083">
        <v>140.62450000000001</v>
      </c>
      <c r="M3083">
        <v>-0.99317489999999997</v>
      </c>
      <c r="N3083">
        <v>0</v>
      </c>
      <c r="O3083">
        <v>-0.1165308</v>
      </c>
      <c r="P3083">
        <v>-0.99916669999999996</v>
      </c>
      <c r="Q3083">
        <v>4.0722090000000002E-2</v>
      </c>
      <c r="R3083">
        <v>-2.7877790000000002E-3</v>
      </c>
      <c r="S3083">
        <v>-3.0139469999999999</v>
      </c>
      <c r="T3083">
        <v>-0.2560269</v>
      </c>
      <c r="U3083">
        <v>0.22216799999999901</v>
      </c>
      <c r="V3083">
        <v>0.114275399999999</v>
      </c>
      <c r="W3083">
        <v>4.405485E-2</v>
      </c>
      <c r="X3083">
        <v>0.99247180000000002</v>
      </c>
      <c r="Y3083">
        <v>0.18813769999999999</v>
      </c>
      <c r="Z3083">
        <v>1.782748E-2</v>
      </c>
      <c r="AA3083">
        <v>0.98198090000000005</v>
      </c>
      <c r="AB3083">
        <v>28</v>
      </c>
      <c r="AC3083">
        <v>-12.707799999999899</v>
      </c>
      <c r="AD3083">
        <v>-1.1037614668689999</v>
      </c>
      <c r="AE3083">
        <v>0.98599999999999</v>
      </c>
      <c r="AF3083">
        <v>2.4418389725788101</v>
      </c>
      <c r="AG3083">
        <v>-1.1037614668689999</v>
      </c>
      <c r="AH3083">
        <v>12.413233134788999</v>
      </c>
      <c r="AI3083">
        <v>94.986208542340293</v>
      </c>
      <c r="AJ3083">
        <v>78.871292986556</v>
      </c>
      <c r="AK3083">
        <v>12.699182013120801</v>
      </c>
    </row>
    <row r="3084" spans="1:37" x14ac:dyDescent="0.2">
      <c r="A3084" t="str">
        <f>"20200111154126472"</f>
        <v>20200111154126472</v>
      </c>
      <c r="B3084" t="str">
        <f>"1578728486469448"</f>
        <v>1578728486469448</v>
      </c>
      <c r="C3084" t="s">
        <v>37</v>
      </c>
      <c r="D3084">
        <v>5.5633229999999996</v>
      </c>
      <c r="E3084">
        <v>0.52866340000000001</v>
      </c>
      <c r="F3084" t="s">
        <v>38</v>
      </c>
      <c r="G3084">
        <v>-215.9863</v>
      </c>
      <c r="H3084">
        <v>1.0257689999999999</v>
      </c>
      <c r="I3084">
        <v>140.69380000000001</v>
      </c>
      <c r="J3084">
        <v>-215.35849999999999</v>
      </c>
      <c r="K3084">
        <v>1.1037159999999999</v>
      </c>
      <c r="L3084">
        <v>140.59790000000001</v>
      </c>
      <c r="M3084">
        <v>-0.99401450000000002</v>
      </c>
      <c r="N3084">
        <v>0</v>
      </c>
      <c r="O3084">
        <v>-0.1091404</v>
      </c>
      <c r="P3084">
        <v>-0.99913739999999995</v>
      </c>
      <c r="Q3084">
        <v>4.1517159999999997E-2</v>
      </c>
      <c r="R3084">
        <v>-8.4730530000000001E-4</v>
      </c>
      <c r="S3084">
        <v>-3.0135800000000001</v>
      </c>
      <c r="T3084">
        <v>-0.25608720000000001</v>
      </c>
      <c r="U3084">
        <v>0.22789000000000001</v>
      </c>
      <c r="V3084">
        <v>0.10882849999999999</v>
      </c>
      <c r="W3084">
        <v>4.4855630000000001E-2</v>
      </c>
      <c r="X3084">
        <v>0.99304799999999904</v>
      </c>
      <c r="Y3084">
        <v>0.18273919999999999</v>
      </c>
      <c r="Z3084">
        <v>1.6979879999999999E-2</v>
      </c>
      <c r="AA3084">
        <v>0.98301479999999997</v>
      </c>
      <c r="AB3084">
        <v>29</v>
      </c>
      <c r="AC3084">
        <v>-0.62780000000000702</v>
      </c>
      <c r="AD3084">
        <v>-7.7946999999999697E-2</v>
      </c>
      <c r="AE3084">
        <v>9.5900000000000304E-2</v>
      </c>
      <c r="AF3084">
        <v>0.161414720584589</v>
      </c>
      <c r="AG3084">
        <v>-7.7946999999999697E-2</v>
      </c>
      <c r="AH3084">
        <v>0.60447715345273001</v>
      </c>
      <c r="AI3084">
        <v>97.101554251211894</v>
      </c>
      <c r="AJ3084">
        <v>75.049044226561094</v>
      </c>
      <c r="AK3084">
        <v>0.63049431074095796</v>
      </c>
    </row>
    <row r="3085" spans="1:37" x14ac:dyDescent="0.2">
      <c r="A3085" t="str">
        <f>"20200111154126494"</f>
        <v>20200111154126494</v>
      </c>
      <c r="B3085" t="str">
        <f>"1578728486488751"</f>
        <v>1578728486488751</v>
      </c>
      <c r="C3085" t="s">
        <v>37</v>
      </c>
      <c r="D3085">
        <v>5.7571909999999997</v>
      </c>
      <c r="E3085">
        <v>0.5284645</v>
      </c>
      <c r="F3085" t="s">
        <v>38</v>
      </c>
      <c r="G3085">
        <v>-216.24469999999999</v>
      </c>
      <c r="H3085">
        <v>1.028635</v>
      </c>
      <c r="I3085">
        <v>140.66640000000001</v>
      </c>
      <c r="J3085">
        <v>-215.65350000000001</v>
      </c>
      <c r="K3085">
        <v>1.1036969999999999</v>
      </c>
      <c r="L3085">
        <v>140.5729</v>
      </c>
      <c r="M3085">
        <v>-0.99480349999999995</v>
      </c>
      <c r="N3085">
        <v>0</v>
      </c>
      <c r="O3085">
        <v>-0.10170069999999901</v>
      </c>
      <c r="P3085">
        <v>-0.99909999999999999</v>
      </c>
      <c r="Q3085">
        <v>4.2381099999999998E-2</v>
      </c>
      <c r="R3085">
        <v>1.831645E-3</v>
      </c>
      <c r="S3085">
        <v>-3.013382</v>
      </c>
      <c r="T3085">
        <v>-0.25512790000000002</v>
      </c>
      <c r="U3085">
        <v>0.232391399999999</v>
      </c>
      <c r="V3085">
        <v>0.104068699999999</v>
      </c>
      <c r="W3085">
        <v>4.5724010000000002E-2</v>
      </c>
      <c r="X3085">
        <v>0.99351849999999997</v>
      </c>
      <c r="Y3085">
        <v>0.1769017</v>
      </c>
      <c r="Z3085">
        <v>1.6044059999999999E-2</v>
      </c>
      <c r="AA3085">
        <v>0.98409780000000002</v>
      </c>
      <c r="AB3085">
        <v>29</v>
      </c>
      <c r="AC3085">
        <v>-0.59119999999998596</v>
      </c>
      <c r="AD3085">
        <v>-7.5061999999999907E-2</v>
      </c>
      <c r="AE3085">
        <v>9.3500000000005898E-2</v>
      </c>
      <c r="AF3085">
        <v>0.15077019608093101</v>
      </c>
      <c r="AG3085">
        <v>-7.5061999999999907E-2</v>
      </c>
      <c r="AH3085">
        <v>0.56966638790743995</v>
      </c>
      <c r="AI3085">
        <v>97.259190844770501</v>
      </c>
      <c r="AJ3085">
        <v>75.175761549390799</v>
      </c>
      <c r="AK3085">
        <v>0.59404187510797002</v>
      </c>
    </row>
    <row r="3086" spans="1:37" x14ac:dyDescent="0.2">
      <c r="A3086" t="str">
        <f>"20200111154126515"</f>
        <v>20200111154126515</v>
      </c>
      <c r="B3086" t="str">
        <f>"1578728486509246"</f>
        <v>1578728486509246</v>
      </c>
      <c r="C3086" t="s">
        <v>37</v>
      </c>
      <c r="D3086">
        <v>5.7509480000000002</v>
      </c>
      <c r="E3086">
        <v>0.52836240000000001</v>
      </c>
      <c r="F3086" t="s">
        <v>38</v>
      </c>
      <c r="G3086">
        <v>-216.50569999999999</v>
      </c>
      <c r="H3086">
        <v>1.0321069999999899</v>
      </c>
      <c r="I3086">
        <v>140.64080000000001</v>
      </c>
      <c r="J3086">
        <v>-215.92429999999999</v>
      </c>
      <c r="K3086">
        <v>1.1037159999999999</v>
      </c>
      <c r="L3086">
        <v>140.55189999999999</v>
      </c>
      <c r="M3086">
        <v>-0.995467199999999</v>
      </c>
      <c r="N3086">
        <v>0</v>
      </c>
      <c r="O3086">
        <v>-9.4987680000000005E-2</v>
      </c>
      <c r="P3086">
        <v>-0.9990289</v>
      </c>
      <c r="Q3086">
        <v>4.3877890000000003E-2</v>
      </c>
      <c r="R3086">
        <v>4.0271739999999997E-3</v>
      </c>
      <c r="S3086">
        <v>-3.0130159999999999</v>
      </c>
      <c r="T3086">
        <v>-0.25294040000000001</v>
      </c>
      <c r="U3086">
        <v>0.23944090000000001</v>
      </c>
      <c r="V3086">
        <v>9.9559709999999996E-2</v>
      </c>
      <c r="W3086">
        <v>4.7235850000000003E-2</v>
      </c>
      <c r="X3086">
        <v>0.99390979999999995</v>
      </c>
      <c r="Y3086">
        <v>0.17261470000000001</v>
      </c>
      <c r="Z3086">
        <v>1.516763E-2</v>
      </c>
      <c r="AA3086">
        <v>0.98487259999999999</v>
      </c>
      <c r="AB3086">
        <v>29</v>
      </c>
      <c r="AC3086">
        <v>-0.58140000000000203</v>
      </c>
      <c r="AD3086">
        <v>-7.1609000000000006E-2</v>
      </c>
      <c r="AE3086">
        <v>8.8900000000023696E-2</v>
      </c>
      <c r="AF3086">
        <v>0.14162511384645901</v>
      </c>
      <c r="AG3086">
        <v>-7.1609000000000006E-2</v>
      </c>
      <c r="AH3086">
        <v>0.56199591720248698</v>
      </c>
      <c r="AI3086">
        <v>97.043550137717205</v>
      </c>
      <c r="AJ3086">
        <v>75.855751103430507</v>
      </c>
      <c r="AK3086">
        <v>0.58397340068301695</v>
      </c>
    </row>
    <row r="3087" spans="1:37" x14ac:dyDescent="0.2">
      <c r="A3087" t="str">
        <f>"20200111154126538"</f>
        <v>20200111154126538</v>
      </c>
      <c r="B3087" t="str">
        <f>"1578728486528767"</f>
        <v>1578728486528767</v>
      </c>
      <c r="C3087" t="s">
        <v>37</v>
      </c>
      <c r="D3087">
        <v>5.5481559999999996</v>
      </c>
      <c r="E3087">
        <v>0.52822139999999995</v>
      </c>
      <c r="F3087" t="s">
        <v>38</v>
      </c>
      <c r="G3087">
        <v>-216.768</v>
      </c>
      <c r="H3087">
        <v>1.0340009999999999</v>
      </c>
      <c r="I3087">
        <v>140.6206</v>
      </c>
      <c r="J3087">
        <v>-216.23099999999999</v>
      </c>
      <c r="K3087">
        <v>1.1037760000000001</v>
      </c>
      <c r="L3087">
        <v>140.53</v>
      </c>
      <c r="M3087">
        <v>-0.99614780000000003</v>
      </c>
      <c r="N3087">
        <v>0</v>
      </c>
      <c r="O3087">
        <v>-8.7566389999999994E-2</v>
      </c>
      <c r="P3087">
        <v>-0.99894660000000002</v>
      </c>
      <c r="Q3087">
        <v>4.534941E-2</v>
      </c>
      <c r="R3087">
        <v>7.0177340000000003E-3</v>
      </c>
      <c r="S3087">
        <v>-3.012848</v>
      </c>
      <c r="T3087">
        <v>-0.2486698</v>
      </c>
      <c r="U3087">
        <v>0.2445831</v>
      </c>
      <c r="V3087">
        <v>9.5131779999999999E-2</v>
      </c>
      <c r="W3087">
        <v>4.872663E-2</v>
      </c>
      <c r="X3087">
        <v>0.99427140000000003</v>
      </c>
      <c r="Y3087">
        <v>0.16702220000000001</v>
      </c>
      <c r="Z3087">
        <v>1.4072660000000001E-2</v>
      </c>
      <c r="AA3087">
        <v>0.98585270000000003</v>
      </c>
      <c r="AB3087">
        <v>29</v>
      </c>
      <c r="AC3087">
        <v>-0.53700000000000603</v>
      </c>
      <c r="AD3087">
        <v>-6.9775000000000101E-2</v>
      </c>
      <c r="AE3087">
        <v>9.0599999999994907E-2</v>
      </c>
      <c r="AF3087">
        <v>0.13505853859229799</v>
      </c>
      <c r="AG3087">
        <v>-6.9775000000000101E-2</v>
      </c>
      <c r="AH3087">
        <v>0.51849211266880102</v>
      </c>
      <c r="AI3087">
        <v>97.419722247779603</v>
      </c>
      <c r="AJ3087">
        <v>75.399848978917305</v>
      </c>
      <c r="AK3087">
        <v>0.54031789751168102</v>
      </c>
    </row>
    <row r="3088" spans="1:37" x14ac:dyDescent="0.2">
      <c r="A3088" t="str">
        <f>"20200111154126561"</f>
        <v>20200111154126561</v>
      </c>
      <c r="B3088" t="str">
        <f>"1578728486549262"</f>
        <v>1578728486549262</v>
      </c>
      <c r="C3088" t="s">
        <v>37</v>
      </c>
      <c r="D3088">
        <v>5.5227690000000003</v>
      </c>
      <c r="E3088">
        <v>0.52803949999999999</v>
      </c>
      <c r="F3088" t="s">
        <v>38</v>
      </c>
      <c r="G3088">
        <v>-217.03309999999999</v>
      </c>
      <c r="H3088">
        <v>1.0387770000000001</v>
      </c>
      <c r="I3088">
        <v>140.59719999999999</v>
      </c>
      <c r="J3088">
        <v>-216.53989999999999</v>
      </c>
      <c r="K3088">
        <v>1.1038870000000001</v>
      </c>
      <c r="L3088">
        <v>140.51009999999999</v>
      </c>
      <c r="M3088">
        <v>-0.99675709999999995</v>
      </c>
      <c r="N3088">
        <v>0</v>
      </c>
      <c r="O3088">
        <v>-8.0335309999999993E-2</v>
      </c>
      <c r="P3088">
        <v>-0.99884539999999999</v>
      </c>
      <c r="Q3088">
        <v>4.7074289999999998E-2</v>
      </c>
      <c r="R3088">
        <v>9.5965379999999999E-3</v>
      </c>
      <c r="S3088">
        <v>-3.0124659999999999</v>
      </c>
      <c r="T3088">
        <v>-0.24410889999999999</v>
      </c>
      <c r="U3088">
        <v>0.25234989999999902</v>
      </c>
      <c r="V3088">
        <v>9.0484159999999994E-2</v>
      </c>
      <c r="W3088">
        <v>5.0484469999999997E-2</v>
      </c>
      <c r="X3088">
        <v>0.99461749999999904</v>
      </c>
      <c r="Y3088">
        <v>0.162470899999999</v>
      </c>
      <c r="Z3088">
        <v>1.304865E-2</v>
      </c>
      <c r="AA3088">
        <v>0.98662700000000003</v>
      </c>
      <c r="AB3088">
        <v>29</v>
      </c>
      <c r="AC3088">
        <v>-0.49320000000000103</v>
      </c>
      <c r="AD3088">
        <v>-6.5110000000000001E-2</v>
      </c>
      <c r="AE3088">
        <v>8.7099999999992406E-2</v>
      </c>
      <c r="AF3088">
        <v>0.124338833494521</v>
      </c>
      <c r="AG3088">
        <v>-6.5110000000000001E-2</v>
      </c>
      <c r="AH3088">
        <v>0.476554385331247</v>
      </c>
      <c r="AI3088">
        <v>97.530882028046804</v>
      </c>
      <c r="AJ3088">
        <v>75.376841095590095</v>
      </c>
      <c r="AK3088">
        <v>0.49679325658992302</v>
      </c>
    </row>
    <row r="3089" spans="1:37" x14ac:dyDescent="0.2">
      <c r="A3089" t="str">
        <f>"20200111154126583"</f>
        <v>20200111154126583</v>
      </c>
      <c r="B3089" t="str">
        <f>"1578728486578542"</f>
        <v>1578728486578542</v>
      </c>
      <c r="C3089" t="s">
        <v>37</v>
      </c>
      <c r="D3089">
        <v>5.5269699999999897</v>
      </c>
      <c r="E3089">
        <v>0.52783269999999904</v>
      </c>
      <c r="F3089" t="s">
        <v>38</v>
      </c>
      <c r="G3089">
        <v>-217.2997</v>
      </c>
      <c r="H3089">
        <v>1.0435490000000001</v>
      </c>
      <c r="I3089">
        <v>140.5754</v>
      </c>
      <c r="J3089">
        <v>-216.82810000000001</v>
      </c>
      <c r="K3089">
        <v>1.1040350000000001</v>
      </c>
      <c r="L3089">
        <v>140.4932</v>
      </c>
      <c r="M3089">
        <v>-0.99725769999999903</v>
      </c>
      <c r="N3089">
        <v>0</v>
      </c>
      <c r="O3089">
        <v>-7.3867470000000005E-2</v>
      </c>
      <c r="P3089">
        <v>-0.99872659999999902</v>
      </c>
      <c r="Q3089">
        <v>4.9064950000000003E-2</v>
      </c>
      <c r="R3089">
        <v>1.174383E-2</v>
      </c>
      <c r="S3089">
        <v>-3.0122680000000002</v>
      </c>
      <c r="T3089">
        <v>-0.23908969999999999</v>
      </c>
      <c r="U3089">
        <v>0.25859070000000001</v>
      </c>
      <c r="V3089">
        <v>8.616878E-2</v>
      </c>
      <c r="W3089">
        <v>5.2514529999999997E-2</v>
      </c>
      <c r="X3089">
        <v>0.99489559999999999</v>
      </c>
      <c r="Y3089">
        <v>0.158169899999999</v>
      </c>
      <c r="Z3089">
        <v>1.209961E-2</v>
      </c>
      <c r="AA3089">
        <v>0.98733780000000004</v>
      </c>
      <c r="AB3089">
        <v>29</v>
      </c>
      <c r="AC3089">
        <v>-0.47159999999999502</v>
      </c>
      <c r="AD3089">
        <v>-6.0485999999999998E-2</v>
      </c>
      <c r="AE3089">
        <v>8.2200000000000203E-2</v>
      </c>
      <c r="AF3089">
        <v>0.114976114574253</v>
      </c>
      <c r="AG3089">
        <v>-6.0485999999999998E-2</v>
      </c>
      <c r="AH3089">
        <v>0.45694457930997701</v>
      </c>
      <c r="AI3089">
        <v>97.315009260043894</v>
      </c>
      <c r="AJ3089">
        <v>75.8764637482643</v>
      </c>
      <c r="AK3089">
        <v>0.47505411447472301</v>
      </c>
    </row>
    <row r="3090" spans="1:37" x14ac:dyDescent="0.2">
      <c r="A3090" t="str">
        <f>"20200111154126605"</f>
        <v>20200111154126605</v>
      </c>
      <c r="B3090" t="str">
        <f>"1578728486599375"</f>
        <v>1578728486599375</v>
      </c>
      <c r="C3090" t="s">
        <v>37</v>
      </c>
      <c r="D3090">
        <v>5.5176210000000001</v>
      </c>
      <c r="E3090">
        <v>0.52767969999999997</v>
      </c>
      <c r="F3090" t="s">
        <v>38</v>
      </c>
      <c r="G3090">
        <v>-217.82470000000001</v>
      </c>
      <c r="H3090">
        <v>1.0266690000000001</v>
      </c>
      <c r="I3090">
        <v>140.5804</v>
      </c>
      <c r="J3090">
        <v>-217.11770000000001</v>
      </c>
      <c r="K3090">
        <v>1.1042190000000001</v>
      </c>
      <c r="L3090">
        <v>140.47790000000001</v>
      </c>
      <c r="M3090">
        <v>-0.99769629999999998</v>
      </c>
      <c r="N3090">
        <v>0</v>
      </c>
      <c r="O3090">
        <v>-6.7686419999999997E-2</v>
      </c>
      <c r="P3090">
        <v>-0.99859580000000003</v>
      </c>
      <c r="Q3090">
        <v>5.0968409999999999E-2</v>
      </c>
      <c r="R3090">
        <v>1.4443620000000001E-2</v>
      </c>
      <c r="S3090">
        <v>-3.012238</v>
      </c>
      <c r="T3090">
        <v>-0.23371349999999999</v>
      </c>
      <c r="U3090">
        <v>0.26296999999999998</v>
      </c>
      <c r="V3090">
        <v>8.2686720000000005E-2</v>
      </c>
      <c r="W3090">
        <v>5.4454389999999998E-2</v>
      </c>
      <c r="X3090">
        <v>0.99508669999999999</v>
      </c>
      <c r="Y3090">
        <v>0.15354039999999999</v>
      </c>
      <c r="Z3090">
        <v>1.117104E-2</v>
      </c>
      <c r="AA3090">
        <v>0.98807919999999905</v>
      </c>
      <c r="AB3090">
        <v>30</v>
      </c>
      <c r="AC3090">
        <v>-0.70699999999999297</v>
      </c>
      <c r="AD3090">
        <v>-7.7549999999999994E-2</v>
      </c>
      <c r="AE3090">
        <v>0.102499999999992</v>
      </c>
      <c r="AF3090">
        <v>0.148371318341079</v>
      </c>
      <c r="AG3090">
        <v>-7.7549999999999994E-2</v>
      </c>
      <c r="AH3090">
        <v>0.69030609959150901</v>
      </c>
      <c r="AI3090">
        <v>96.267850759016994</v>
      </c>
      <c r="AJ3090">
        <v>77.869649660778293</v>
      </c>
      <c r="AK3090">
        <v>0.71031722613175596</v>
      </c>
    </row>
    <row r="3091" spans="1:37" x14ac:dyDescent="0.2">
      <c r="A3091" t="str">
        <f>"20200111154126628"</f>
        <v>20200111154126628</v>
      </c>
      <c r="B3091" t="str">
        <f>"1578728486618894"</f>
        <v>1578728486618894</v>
      </c>
      <c r="C3091" t="s">
        <v>37</v>
      </c>
      <c r="D3091">
        <v>5.5199339999999903</v>
      </c>
      <c r="E3091">
        <v>0.5275569</v>
      </c>
      <c r="F3091" t="s">
        <v>38</v>
      </c>
      <c r="G3091">
        <v>-218.09399999999999</v>
      </c>
      <c r="H3091">
        <v>1.030078</v>
      </c>
      <c r="I3091">
        <v>140.56540000000001</v>
      </c>
      <c r="J3091">
        <v>-217.4298</v>
      </c>
      <c r="K3091">
        <v>1.1043989999999999</v>
      </c>
      <c r="L3091">
        <v>140.4631</v>
      </c>
      <c r="M3091">
        <v>-0.99810769999999904</v>
      </c>
      <c r="N3091">
        <v>0</v>
      </c>
      <c r="O3091">
        <v>-6.1325640000000001E-2</v>
      </c>
      <c r="P3091">
        <v>-0.99849409999999905</v>
      </c>
      <c r="Q3091">
        <v>5.1877699999999902E-2</v>
      </c>
      <c r="R3091">
        <v>1.7838400000000001E-2</v>
      </c>
      <c r="S3091">
        <v>-3.0120239999999998</v>
      </c>
      <c r="T3091">
        <v>-0.22866689999999901</v>
      </c>
      <c r="U3091">
        <v>0.26956180000000002</v>
      </c>
      <c r="V3091">
        <v>7.9709420000000003E-2</v>
      </c>
      <c r="W3091">
        <v>5.5395199999999999E-2</v>
      </c>
      <c r="X3091">
        <v>0.99527779999999999</v>
      </c>
      <c r="Y3091">
        <v>0.1494509</v>
      </c>
      <c r="Z3091">
        <v>1.029445E-2</v>
      </c>
      <c r="AA3091">
        <v>0.98871549999999997</v>
      </c>
      <c r="AB3091">
        <v>30</v>
      </c>
      <c r="AC3091">
        <v>-0.664200000000022</v>
      </c>
      <c r="AD3091">
        <v>-7.4320999999999804E-2</v>
      </c>
      <c r="AE3091">
        <v>0.10230000000001301</v>
      </c>
      <c r="AF3091">
        <v>0.14111445289996699</v>
      </c>
      <c r="AG3091">
        <v>-7.4320999999999804E-2</v>
      </c>
      <c r="AH3091">
        <v>0.64874173061423601</v>
      </c>
      <c r="AI3091">
        <v>96.387329627502297</v>
      </c>
      <c r="AJ3091">
        <v>77.728172702558595</v>
      </c>
      <c r="AK3091">
        <v>0.66805892921104704</v>
      </c>
    </row>
    <row r="3092" spans="1:37" x14ac:dyDescent="0.2">
      <c r="A3092" t="str">
        <f>"20200111154126651"</f>
        <v>20200111154126651</v>
      </c>
      <c r="B3092" t="str">
        <f>"1578728486639390"</f>
        <v>1578728486639390</v>
      </c>
      <c r="C3092" t="s">
        <v>37</v>
      </c>
      <c r="D3092">
        <v>5.5074740000000002</v>
      </c>
      <c r="E3092">
        <v>0.52745399999999998</v>
      </c>
      <c r="F3092" t="s">
        <v>38</v>
      </c>
      <c r="G3092">
        <v>-218.3647</v>
      </c>
      <c r="H3092">
        <v>1.034022</v>
      </c>
      <c r="I3092">
        <v>140.5496</v>
      </c>
      <c r="J3092">
        <v>-217.73269999999999</v>
      </c>
      <c r="K3092">
        <v>1.104563</v>
      </c>
      <c r="L3092">
        <v>140.4503</v>
      </c>
      <c r="M3092">
        <v>-0.99845209999999995</v>
      </c>
      <c r="N3092">
        <v>0</v>
      </c>
      <c r="O3092">
        <v>-5.5443369999999999E-2</v>
      </c>
      <c r="P3092">
        <v>-0.9983824</v>
      </c>
      <c r="Q3092">
        <v>5.288524E-2</v>
      </c>
      <c r="R3092">
        <v>2.0886410000000001E-2</v>
      </c>
      <c r="S3092">
        <v>-3.0113219999999998</v>
      </c>
      <c r="T3092">
        <v>-0.226581</v>
      </c>
      <c r="U3092">
        <v>0.27832030000000002</v>
      </c>
      <c r="V3092">
        <v>7.6868499999999895E-2</v>
      </c>
      <c r="W3092">
        <v>5.6436399999999998E-2</v>
      </c>
      <c r="X3092">
        <v>0.99544270000000001</v>
      </c>
      <c r="Y3092">
        <v>0.14653269999999999</v>
      </c>
      <c r="Z3092">
        <v>9.6514559999999992E-3</v>
      </c>
      <c r="AA3092">
        <v>0.98915869999999995</v>
      </c>
      <c r="AB3092">
        <v>30</v>
      </c>
      <c r="AC3092">
        <v>-0.632000000000005</v>
      </c>
      <c r="AD3092">
        <v>-7.0540999999999895E-2</v>
      </c>
      <c r="AE3092">
        <v>9.92999999999995E-2</v>
      </c>
      <c r="AF3092">
        <v>0.13257596448245701</v>
      </c>
      <c r="AG3092">
        <v>-7.0540999999999895E-2</v>
      </c>
      <c r="AH3092">
        <v>0.61800860374049205</v>
      </c>
      <c r="AI3092">
        <v>96.368049493139793</v>
      </c>
      <c r="AJ3092">
        <v>77.892342030248898</v>
      </c>
      <c r="AK3092">
        <v>0.63599296642079794</v>
      </c>
    </row>
    <row r="3093" spans="1:37" x14ac:dyDescent="0.2">
      <c r="A3093" t="str">
        <f>"20200111154126672"</f>
        <v>20200111154126672</v>
      </c>
      <c r="B3093" t="str">
        <f>"1578728486668672"</f>
        <v>1578728486668672</v>
      </c>
      <c r="C3093" t="s">
        <v>37</v>
      </c>
      <c r="D3093">
        <v>5.4951270000000001</v>
      </c>
      <c r="E3093">
        <v>0.52731969999999995</v>
      </c>
      <c r="F3093" t="s">
        <v>38</v>
      </c>
      <c r="G3093">
        <v>-218.63659999999999</v>
      </c>
      <c r="H3093">
        <v>1.0372440000000001</v>
      </c>
      <c r="I3093">
        <v>140.53649999999999</v>
      </c>
      <c r="J3093">
        <v>-218.02520000000001</v>
      </c>
      <c r="K3093">
        <v>1.1047229999999999</v>
      </c>
      <c r="L3093">
        <v>140.43940000000001</v>
      </c>
      <c r="M3093">
        <v>-0.99873650000000003</v>
      </c>
      <c r="N3093">
        <v>0</v>
      </c>
      <c r="O3093">
        <v>-5.0058079999999998E-2</v>
      </c>
      <c r="P3093">
        <v>-0.99827679999999996</v>
      </c>
      <c r="Q3093">
        <v>5.3615490000000002E-2</v>
      </c>
      <c r="R3093">
        <v>2.3853050000000001E-2</v>
      </c>
      <c r="S3093">
        <v>-3.0107270000000002</v>
      </c>
      <c r="T3093">
        <v>-0.2241716</v>
      </c>
      <c r="U3093">
        <v>0.2866669</v>
      </c>
      <c r="V3093">
        <v>7.4441220000000002E-2</v>
      </c>
      <c r="W3093">
        <v>5.7198110000000003E-2</v>
      </c>
      <c r="X3093">
        <v>0.99558369999999996</v>
      </c>
      <c r="Y3093">
        <v>0.14396800000000001</v>
      </c>
      <c r="Z3093">
        <v>9.0550939999999996E-3</v>
      </c>
      <c r="AA3093">
        <v>0.98954089999999995</v>
      </c>
      <c r="AB3093">
        <v>30</v>
      </c>
      <c r="AC3093">
        <v>-0.61139999999997396</v>
      </c>
      <c r="AD3093">
        <v>-6.7478999999999803E-2</v>
      </c>
      <c r="AE3093">
        <v>9.7099999999983297E-2</v>
      </c>
      <c r="AF3093">
        <v>0.126085993642639</v>
      </c>
      <c r="AG3093">
        <v>-6.7478999999999803E-2</v>
      </c>
      <c r="AH3093">
        <v>0.59865986243394398</v>
      </c>
      <c r="AI3093">
        <v>96.294112307800802</v>
      </c>
      <c r="AJ3093">
        <v>78.106545497637697</v>
      </c>
      <c r="AK3093">
        <v>0.61550363453295698</v>
      </c>
    </row>
    <row r="3094" spans="1:37" x14ac:dyDescent="0.2">
      <c r="A3094" t="str">
        <f>"20200111154126695"</f>
        <v>20200111154126695</v>
      </c>
      <c r="B3094" t="str">
        <f>"1578728486689167"</f>
        <v>1578728486689167</v>
      </c>
      <c r="C3094" t="s">
        <v>37</v>
      </c>
      <c r="D3094">
        <v>5.5277199999999898</v>
      </c>
      <c r="E3094">
        <v>0.52721209999999996</v>
      </c>
      <c r="F3094" t="s">
        <v>38</v>
      </c>
      <c r="G3094">
        <v>-218.90889999999999</v>
      </c>
      <c r="H3094">
        <v>1.0391139999999901</v>
      </c>
      <c r="I3094">
        <v>140.52610000000001</v>
      </c>
      <c r="J3094">
        <v>-218.32820000000001</v>
      </c>
      <c r="K3094">
        <v>1.1049059999999999</v>
      </c>
      <c r="L3094">
        <v>140.42939999999999</v>
      </c>
      <c r="M3094">
        <v>-0.9989865</v>
      </c>
      <c r="N3094">
        <v>0</v>
      </c>
      <c r="O3094">
        <v>-4.4794430000000003E-2</v>
      </c>
      <c r="P3094">
        <v>-0.99821740000000003</v>
      </c>
      <c r="Q3094">
        <v>5.4041159999999998E-2</v>
      </c>
      <c r="R3094">
        <v>2.533036E-2</v>
      </c>
      <c r="S3094">
        <v>-3.0101169999999899</v>
      </c>
      <c r="T3094">
        <v>-0.22332479999999999</v>
      </c>
      <c r="U3094">
        <v>0.29446409999999901</v>
      </c>
      <c r="V3094">
        <v>7.0644559999999995E-2</v>
      </c>
      <c r="W3094">
        <v>5.7673210000000003E-2</v>
      </c>
      <c r="X3094">
        <v>0.99583290000000002</v>
      </c>
      <c r="Y3094">
        <v>0.1413372</v>
      </c>
      <c r="Z3094">
        <v>8.5353330000000008E-3</v>
      </c>
      <c r="AA3094">
        <v>0.98992469999999999</v>
      </c>
      <c r="AB3094">
        <v>30</v>
      </c>
      <c r="AC3094">
        <v>-0.58069999999997801</v>
      </c>
      <c r="AD3094">
        <v>-6.5792000000000003E-2</v>
      </c>
      <c r="AE3094">
        <v>9.6700000000026806E-2</v>
      </c>
      <c r="AF3094">
        <v>0.121102734503809</v>
      </c>
      <c r="AG3094">
        <v>-6.5792000000000003E-2</v>
      </c>
      <c r="AH3094">
        <v>0.56868257070644901</v>
      </c>
      <c r="AI3094">
        <v>96.4558254516527</v>
      </c>
      <c r="AJ3094">
        <v>77.978262153729403</v>
      </c>
      <c r="AK3094">
        <v>0.58514470500346705</v>
      </c>
    </row>
    <row r="3095" spans="1:37" x14ac:dyDescent="0.2">
      <c r="A3095" t="str">
        <f>"20200111154126728"</f>
        <v>20200111154126728</v>
      </c>
      <c r="B3095" t="str">
        <f>"1578728486719423"</f>
        <v>1578728486719423</v>
      </c>
      <c r="C3095" t="s">
        <v>37</v>
      </c>
      <c r="D3095">
        <v>5.5116529999999999</v>
      </c>
      <c r="E3095">
        <v>0.52710119999999905</v>
      </c>
      <c r="F3095" t="s">
        <v>38</v>
      </c>
      <c r="G3095">
        <v>-219.18260000000001</v>
      </c>
      <c r="H3095">
        <v>1.041587</v>
      </c>
      <c r="I3095">
        <v>140.51410000000001</v>
      </c>
      <c r="J3095">
        <v>-218.79079999999999</v>
      </c>
      <c r="K3095">
        <v>1.1052040000000001</v>
      </c>
      <c r="L3095">
        <v>140.41659999999999</v>
      </c>
      <c r="M3095">
        <v>-0.9992915</v>
      </c>
      <c r="N3095">
        <v>0</v>
      </c>
      <c r="O3095">
        <v>-3.7378420000000002E-2</v>
      </c>
      <c r="P3095">
        <v>-0.99805059999999901</v>
      </c>
      <c r="Q3095">
        <v>5.4984089999999999E-2</v>
      </c>
      <c r="R3095">
        <v>2.9528390000000002E-2</v>
      </c>
      <c r="S3095">
        <v>-3.0098720000000001</v>
      </c>
      <c r="T3095">
        <v>-0.2229785</v>
      </c>
      <c r="U3095">
        <v>0.29795840000000001</v>
      </c>
      <c r="V3095">
        <v>6.7403959999999999E-2</v>
      </c>
      <c r="W3095">
        <v>5.8669539999999999E-2</v>
      </c>
      <c r="X3095">
        <v>0.99599930000000003</v>
      </c>
      <c r="Y3095">
        <v>0.1351716</v>
      </c>
      <c r="Z3095">
        <v>7.7473209999999997E-3</v>
      </c>
      <c r="AA3095">
        <v>0.99079189999999995</v>
      </c>
      <c r="AB3095">
        <v>30</v>
      </c>
      <c r="AC3095">
        <v>-0.39180000000001702</v>
      </c>
      <c r="AD3095">
        <v>-6.3617000000000007E-2</v>
      </c>
      <c r="AE3095">
        <v>9.7500000000024997E-2</v>
      </c>
      <c r="AF3095">
        <v>0.109361755229581</v>
      </c>
      <c r="AG3095">
        <v>-6.3617000000000007E-2</v>
      </c>
      <c r="AH3095">
        <v>0.378485146833483</v>
      </c>
      <c r="AI3095">
        <v>99.172797629734006</v>
      </c>
      <c r="AJ3095">
        <v>73.883563598182505</v>
      </c>
      <c r="AK3095">
        <v>0.39907157574733099</v>
      </c>
    </row>
    <row r="3096" spans="1:37" x14ac:dyDescent="0.2">
      <c r="A3096" t="str">
        <f>"20200111154126750"</f>
        <v>20200111154126750</v>
      </c>
      <c r="B3096" t="str">
        <f>"1578728486738945"</f>
        <v>1578728486738945</v>
      </c>
      <c r="C3096" t="s">
        <v>37</v>
      </c>
      <c r="D3096">
        <v>5.5122029999999897</v>
      </c>
      <c r="E3096">
        <v>0.52705019999999903</v>
      </c>
      <c r="F3096" t="s">
        <v>38</v>
      </c>
      <c r="G3096">
        <v>-219.72880000000001</v>
      </c>
      <c r="H3096">
        <v>1.0361100000000001</v>
      </c>
      <c r="I3096">
        <v>140.51310000000001</v>
      </c>
      <c r="J3096">
        <v>-219.0986</v>
      </c>
      <c r="K3096">
        <v>1.105407</v>
      </c>
      <c r="L3096">
        <v>140.40960000000001</v>
      </c>
      <c r="M3096">
        <v>-0.99945079999999997</v>
      </c>
      <c r="N3096">
        <v>0</v>
      </c>
      <c r="O3096">
        <v>-3.2850509999999999E-2</v>
      </c>
      <c r="P3096">
        <v>-0.99804119999999996</v>
      </c>
      <c r="Q3096">
        <v>5.348663E-2</v>
      </c>
      <c r="R3096">
        <v>3.2451689999999998E-2</v>
      </c>
      <c r="S3096">
        <v>-3.0089109999999999</v>
      </c>
      <c r="T3096">
        <v>-0.2216262</v>
      </c>
      <c r="U3096">
        <v>0.30964659999999999</v>
      </c>
      <c r="V3096">
        <v>6.5766039999999998E-2</v>
      </c>
      <c r="W3096">
        <v>5.7205260000000001E-2</v>
      </c>
      <c r="X3096">
        <v>0.99619389999999997</v>
      </c>
      <c r="Y3096">
        <v>0.1345431</v>
      </c>
      <c r="Z3096">
        <v>7.34607199999999E-3</v>
      </c>
      <c r="AA3096">
        <v>0.99088050000000005</v>
      </c>
      <c r="AB3096">
        <v>31</v>
      </c>
      <c r="AC3096">
        <v>-0.63020000000000198</v>
      </c>
      <c r="AD3096">
        <v>-6.92969999999999E-2</v>
      </c>
      <c r="AE3096">
        <v>0.103499999999996</v>
      </c>
      <c r="AF3096">
        <v>0.122702066971018</v>
      </c>
      <c r="AG3096">
        <v>-6.92969999999999E-2</v>
      </c>
      <c r="AH3096">
        <v>0.61916987568461701</v>
      </c>
      <c r="AI3096">
        <v>96.265083589075005</v>
      </c>
      <c r="AJ3096">
        <v>78.790817032334502</v>
      </c>
      <c r="AK3096">
        <v>0.63500331211991701</v>
      </c>
    </row>
    <row r="3097" spans="1:37" x14ac:dyDescent="0.2">
      <c r="A3097" t="str">
        <f>"20200111154126772"</f>
        <v>20200111154126772</v>
      </c>
      <c r="B3097" t="str">
        <f>"1578728486769198"</f>
        <v>1578728486769198</v>
      </c>
      <c r="C3097" t="s">
        <v>37</v>
      </c>
      <c r="D3097">
        <v>5.5497009999999998</v>
      </c>
      <c r="E3097">
        <v>0.52694849999999904</v>
      </c>
      <c r="F3097" t="s">
        <v>38</v>
      </c>
      <c r="G3097">
        <v>-220.0052</v>
      </c>
      <c r="H3097">
        <v>1.036748</v>
      </c>
      <c r="I3097">
        <v>140.50530000000001</v>
      </c>
      <c r="J3097">
        <v>-219.39259999999999</v>
      </c>
      <c r="K3097">
        <v>1.1055969999999999</v>
      </c>
      <c r="L3097">
        <v>140.40389999999999</v>
      </c>
      <c r="M3097">
        <v>-0.99957629999999997</v>
      </c>
      <c r="N3097">
        <v>0</v>
      </c>
      <c r="O3097">
        <v>-2.878197E-2</v>
      </c>
      <c r="P3097">
        <v>-0.99802009999999997</v>
      </c>
      <c r="Q3097">
        <v>5.2880299999999998E-2</v>
      </c>
      <c r="R3097">
        <v>3.4050780000000003E-2</v>
      </c>
      <c r="S3097">
        <v>-3.0077669999999999</v>
      </c>
      <c r="T3097">
        <v>-0.22770860000000001</v>
      </c>
      <c r="U3097">
        <v>0.3172913</v>
      </c>
      <c r="V3097">
        <v>6.3275199999999907E-2</v>
      </c>
      <c r="W3097">
        <v>5.6640169999999997E-2</v>
      </c>
      <c r="X3097">
        <v>0.99638749999999998</v>
      </c>
      <c r="Y3097">
        <v>0.13303019999999999</v>
      </c>
      <c r="Z3097">
        <v>7.1851049999999998E-3</v>
      </c>
      <c r="AA3097">
        <v>0.99108589999999996</v>
      </c>
      <c r="AB3097">
        <v>31</v>
      </c>
      <c r="AC3097">
        <v>-0.61260000000001402</v>
      </c>
      <c r="AD3097">
        <v>-6.8848999999999896E-2</v>
      </c>
      <c r="AE3097">
        <v>0.10140000000001199</v>
      </c>
      <c r="AF3097">
        <v>0.117544863822898</v>
      </c>
      <c r="AG3097">
        <v>-6.8848999999999896E-2</v>
      </c>
      <c r="AH3097">
        <v>0.60202621548107804</v>
      </c>
      <c r="AI3097">
        <v>96.404227127636801</v>
      </c>
      <c r="AJ3097">
        <v>78.9520616087935</v>
      </c>
      <c r="AK3097">
        <v>0.61724593472830003</v>
      </c>
    </row>
    <row r="3098" spans="1:37" x14ac:dyDescent="0.2">
      <c r="A3098" t="str">
        <f>"20200111154126794"</f>
        <v>20200111154126794</v>
      </c>
      <c r="B3098" t="str">
        <f>"1578728486789695"</f>
        <v>1578728486789695</v>
      </c>
      <c r="C3098" t="s">
        <v>37</v>
      </c>
      <c r="D3098">
        <v>5.507943</v>
      </c>
      <c r="E3098">
        <v>0.52685419999999905</v>
      </c>
      <c r="F3098" t="s">
        <v>38</v>
      </c>
      <c r="G3098">
        <v>-220.2825</v>
      </c>
      <c r="H3098">
        <v>1.037196</v>
      </c>
      <c r="I3098">
        <v>140.499</v>
      </c>
      <c r="J3098">
        <v>-219.70590000000001</v>
      </c>
      <c r="K3098">
        <v>1.1057980000000001</v>
      </c>
      <c r="L3098">
        <v>140.39879999999999</v>
      </c>
      <c r="M3098">
        <v>-0.99968419999999902</v>
      </c>
      <c r="N3098">
        <v>0</v>
      </c>
      <c r="O3098">
        <v>-2.4748760000000002E-2</v>
      </c>
      <c r="P3098">
        <v>-0.99800999999999995</v>
      </c>
      <c r="Q3098">
        <v>5.2061089999999997E-2</v>
      </c>
      <c r="R3098">
        <v>3.5578270000000002E-2</v>
      </c>
      <c r="S3098">
        <v>-3.0072480000000001</v>
      </c>
      <c r="T3098">
        <v>-0.23111429999999999</v>
      </c>
      <c r="U3098">
        <v>0.32102969999999997</v>
      </c>
      <c r="V3098">
        <v>6.0745449999999999E-2</v>
      </c>
      <c r="W3098">
        <v>5.5864150000000001E-2</v>
      </c>
      <c r="X3098">
        <v>0.99658880000000005</v>
      </c>
      <c r="Y3098">
        <v>0.13027330000000001</v>
      </c>
      <c r="Z3098">
        <v>6.8787809999999996E-3</v>
      </c>
      <c r="AA3098">
        <v>0.99145419999999995</v>
      </c>
      <c r="AB3098">
        <v>31</v>
      </c>
      <c r="AC3098">
        <v>-0.57659999999998401</v>
      </c>
      <c r="AD3098">
        <v>-6.8601999999999996E-2</v>
      </c>
      <c r="AE3098">
        <v>0.1002</v>
      </c>
      <c r="AF3098">
        <v>0.11288843260416</v>
      </c>
      <c r="AG3098">
        <v>-6.8601999999999996E-2</v>
      </c>
      <c r="AH3098">
        <v>0.56616414337675802</v>
      </c>
      <c r="AI3098">
        <v>96.776716671192005</v>
      </c>
      <c r="AJ3098">
        <v>78.723583811229702</v>
      </c>
      <c r="AK3098">
        <v>0.581370681979546</v>
      </c>
    </row>
    <row r="3099" spans="1:37" x14ac:dyDescent="0.2">
      <c r="A3099" t="str">
        <f>"20200111154126816"</f>
        <v>20200111154126816</v>
      </c>
      <c r="B3099" t="str">
        <f>"1578728486809214"</f>
        <v>1578728486809214</v>
      </c>
      <c r="C3099" t="s">
        <v>37</v>
      </c>
      <c r="D3099">
        <v>5.5167909999999996</v>
      </c>
      <c r="E3099">
        <v>0.52679509999999996</v>
      </c>
      <c r="F3099" t="s">
        <v>38</v>
      </c>
      <c r="G3099">
        <v>-220.5617</v>
      </c>
      <c r="H3099">
        <v>1.039031</v>
      </c>
      <c r="I3099">
        <v>140.4915</v>
      </c>
      <c r="J3099">
        <v>-220.01560000000001</v>
      </c>
      <c r="K3099">
        <v>1.1059999999999901</v>
      </c>
      <c r="L3099">
        <v>140.3948</v>
      </c>
      <c r="M3099">
        <v>-0.99976849999999995</v>
      </c>
      <c r="N3099">
        <v>0</v>
      </c>
      <c r="O3099">
        <v>-2.1079239999999999E-2</v>
      </c>
      <c r="P3099">
        <v>-0.99801689999999998</v>
      </c>
      <c r="Q3099">
        <v>5.0646669999999998E-2</v>
      </c>
      <c r="R3099">
        <v>3.7383510000000002E-2</v>
      </c>
      <c r="S3099">
        <v>-3.0066220000000001</v>
      </c>
      <c r="T3099">
        <v>-0.234518899999999</v>
      </c>
      <c r="U3099">
        <v>0.32484439999999998</v>
      </c>
      <c r="V3099">
        <v>5.8851130000000001E-2</v>
      </c>
      <c r="W3099">
        <v>5.4488670000000003E-2</v>
      </c>
      <c r="X3099">
        <v>0.99677850000000001</v>
      </c>
      <c r="Y3099">
        <v>0.12790389999999999</v>
      </c>
      <c r="Z3099">
        <v>6.603701E-3</v>
      </c>
      <c r="AA3099">
        <v>0.9917646</v>
      </c>
      <c r="AB3099">
        <v>31</v>
      </c>
      <c r="AC3099">
        <v>-0.54609999999999503</v>
      </c>
      <c r="AD3099">
        <v>-6.6968999999999806E-2</v>
      </c>
      <c r="AE3099">
        <v>9.6699999999998398E-2</v>
      </c>
      <c r="AF3099">
        <v>0.106635119379207</v>
      </c>
      <c r="AG3099">
        <v>-6.6968999999999806E-2</v>
      </c>
      <c r="AH3099">
        <v>0.53612292967172603</v>
      </c>
      <c r="AI3099">
        <v>96.9847060470873</v>
      </c>
      <c r="AJ3099">
        <v>78.750654010865503</v>
      </c>
      <c r="AK3099">
        <v>0.55071198585631997</v>
      </c>
    </row>
    <row r="3100" spans="1:37" x14ac:dyDescent="0.2">
      <c r="A3100" t="str">
        <f>"20200111154126840"</f>
        <v>20200111154126840</v>
      </c>
      <c r="B3100" t="str">
        <f>"1578728486829710"</f>
        <v>1578728486829710</v>
      </c>
      <c r="C3100" t="s">
        <v>37</v>
      </c>
      <c r="D3100">
        <v>5.505865</v>
      </c>
      <c r="E3100">
        <v>0.52668549999999903</v>
      </c>
      <c r="F3100" t="s">
        <v>38</v>
      </c>
      <c r="G3100">
        <v>-220.8416</v>
      </c>
      <c r="H3100">
        <v>1.040103</v>
      </c>
      <c r="I3100">
        <v>140.4853</v>
      </c>
      <c r="J3100">
        <v>-220.3552</v>
      </c>
      <c r="K3100">
        <v>1.1062369999999999</v>
      </c>
      <c r="L3100">
        <v>140.3913</v>
      </c>
      <c r="M3100">
        <v>-0.99983919999999904</v>
      </c>
      <c r="N3100">
        <v>0</v>
      </c>
      <c r="O3100">
        <v>-1.7406999999999999E-2</v>
      </c>
      <c r="P3100">
        <v>-0.99803189999999997</v>
      </c>
      <c r="Q3100">
        <v>4.9047489999999999E-2</v>
      </c>
      <c r="R3100">
        <v>3.9073959999999998E-2</v>
      </c>
      <c r="S3100">
        <v>-3.005798</v>
      </c>
      <c r="T3100">
        <v>-0.23978440000000001</v>
      </c>
      <c r="U3100">
        <v>0.329574599999999</v>
      </c>
      <c r="V3100">
        <v>5.6835040000000003E-2</v>
      </c>
      <c r="W3100">
        <v>5.2932140000000003E-2</v>
      </c>
      <c r="X3100">
        <v>0.99697939999999996</v>
      </c>
      <c r="Y3100">
        <v>0.1258301</v>
      </c>
      <c r="Z3100">
        <v>6.3787100000000001E-3</v>
      </c>
      <c r="AA3100">
        <v>0.99203129999999995</v>
      </c>
      <c r="AB3100">
        <v>31</v>
      </c>
      <c r="AC3100">
        <v>-0.486400000000003</v>
      </c>
      <c r="AD3100">
        <v>-6.6134000000000095E-2</v>
      </c>
      <c r="AE3100">
        <v>9.3999999999994005E-2</v>
      </c>
      <c r="AF3100">
        <v>0.10065873733399699</v>
      </c>
      <c r="AG3100">
        <v>-6.6134000000000095E-2</v>
      </c>
      <c r="AH3100">
        <v>0.476203492394765</v>
      </c>
      <c r="AI3100">
        <v>97.737694683730695</v>
      </c>
      <c r="AJ3100">
        <v>78.064646630637895</v>
      </c>
      <c r="AK3100">
        <v>0.491198181518056</v>
      </c>
    </row>
    <row r="3101" spans="1:37" x14ac:dyDescent="0.2">
      <c r="A3101" t="str">
        <f>"20200111154126862"</f>
        <v>20200111154126862</v>
      </c>
      <c r="B3101" t="str">
        <f>"1578728486858991"</f>
        <v>1578728486858991</v>
      </c>
      <c r="C3101" t="s">
        <v>37</v>
      </c>
      <c r="D3101">
        <v>5.4553139999999898</v>
      </c>
      <c r="E3101">
        <v>0.52659619999999996</v>
      </c>
      <c r="F3101" t="s">
        <v>38</v>
      </c>
      <c r="G3101">
        <v>-221.12370000000001</v>
      </c>
      <c r="H3101">
        <v>1.0435019999999999</v>
      </c>
      <c r="I3101">
        <v>140.4769</v>
      </c>
      <c r="J3101">
        <v>-220.6617</v>
      </c>
      <c r="K3101">
        <v>1.106465</v>
      </c>
      <c r="L3101">
        <v>140.38890000000001</v>
      </c>
      <c r="M3101">
        <v>-0.99988679999999996</v>
      </c>
      <c r="N3101">
        <v>0</v>
      </c>
      <c r="O3101">
        <v>-1.441508E-2</v>
      </c>
      <c r="P3101">
        <v>-0.99795929999999999</v>
      </c>
      <c r="Q3101">
        <v>4.9171689999999997E-2</v>
      </c>
      <c r="R3101">
        <v>4.0735739999999999E-2</v>
      </c>
      <c r="S3101">
        <v>-3.004883</v>
      </c>
      <c r="T3101">
        <v>-0.2452742</v>
      </c>
      <c r="U3101">
        <v>0.3340149</v>
      </c>
      <c r="V3101">
        <v>5.548297E-2</v>
      </c>
      <c r="W3101">
        <v>5.3093080000000001E-2</v>
      </c>
      <c r="X3101">
        <v>0.99704699999999902</v>
      </c>
      <c r="Y3101">
        <v>0.1243364</v>
      </c>
      <c r="Z3101">
        <v>6.2218990000000004E-3</v>
      </c>
      <c r="AA3101">
        <v>0.99222060000000001</v>
      </c>
      <c r="AB3101">
        <v>31</v>
      </c>
      <c r="AC3101">
        <v>-0.46200000000001701</v>
      </c>
      <c r="AD3101">
        <v>-6.2962999999999797E-2</v>
      </c>
      <c r="AE3101">
        <v>8.7999999999993805E-2</v>
      </c>
      <c r="AF3101">
        <v>9.2984136126197894E-2</v>
      </c>
      <c r="AG3101">
        <v>-6.2962999999999797E-2</v>
      </c>
      <c r="AH3101">
        <v>0.45257203556700198</v>
      </c>
      <c r="AI3101">
        <v>97.760239189425604</v>
      </c>
      <c r="AJ3101">
        <v>78.389742601740096</v>
      </c>
      <c r="AK3101">
        <v>0.46629586778931997</v>
      </c>
    </row>
    <row r="3102" spans="1:37" x14ac:dyDescent="0.2">
      <c r="A3102" t="str">
        <f>"20200111154126885"</f>
        <v>20200111154126885</v>
      </c>
      <c r="B3102" t="str">
        <f>"1578728486879487"</f>
        <v>1578728486879487</v>
      </c>
      <c r="C3102" t="s">
        <v>37</v>
      </c>
      <c r="D3102">
        <v>6.6887100000000004</v>
      </c>
      <c r="E3102">
        <v>0.49567230000000001</v>
      </c>
      <c r="F3102" t="s">
        <v>38</v>
      </c>
      <c r="G3102">
        <v>-221.40639999999999</v>
      </c>
      <c r="H3102">
        <v>1.045547</v>
      </c>
      <c r="I3102">
        <v>140.47280000000001</v>
      </c>
      <c r="J3102">
        <v>-220.97749999999999</v>
      </c>
      <c r="K3102">
        <v>1.1066989999999901</v>
      </c>
      <c r="L3102">
        <v>140.387</v>
      </c>
      <c r="M3102">
        <v>-0.99992289999999995</v>
      </c>
      <c r="N3102">
        <v>0</v>
      </c>
      <c r="O3102">
        <v>-1.1644699999999999E-2</v>
      </c>
      <c r="P3102">
        <v>-0.99777830000000001</v>
      </c>
      <c r="Q3102">
        <v>5.0386529999999999E-2</v>
      </c>
      <c r="R3102">
        <v>4.358745E-2</v>
      </c>
      <c r="S3102">
        <v>-3.0044559999999998</v>
      </c>
      <c r="T3102">
        <v>-0.24573800000000001</v>
      </c>
      <c r="U3102">
        <v>0.33828740000000002</v>
      </c>
      <c r="V3102">
        <v>5.554659E-2</v>
      </c>
      <c r="W3102">
        <v>5.4336299999999997E-2</v>
      </c>
      <c r="X3102">
        <v>0.99697649999999904</v>
      </c>
      <c r="Y3102">
        <v>0.1230081</v>
      </c>
      <c r="Z3102">
        <v>5.9543809999999999E-3</v>
      </c>
      <c r="AA3102">
        <v>0.99238780000000004</v>
      </c>
      <c r="AB3102">
        <v>31</v>
      </c>
      <c r="AC3102">
        <v>-0.42889999999999801</v>
      </c>
      <c r="AD3102">
        <v>-6.1151999999999797E-2</v>
      </c>
      <c r="AE3102">
        <v>8.5800000000006094E-2</v>
      </c>
      <c r="AF3102">
        <v>8.9048066319847699E-2</v>
      </c>
      <c r="AG3102">
        <v>-6.1151999999999797E-2</v>
      </c>
      <c r="AH3102">
        <v>0.41966875626637601</v>
      </c>
      <c r="AI3102">
        <v>98.112373675083106</v>
      </c>
      <c r="AJ3102">
        <v>78.020285107331105</v>
      </c>
      <c r="AK3102">
        <v>0.43334857817404998</v>
      </c>
    </row>
    <row r="3103" spans="1:37" x14ac:dyDescent="0.2">
      <c r="A3103" t="str">
        <f>"20200111154126906"</f>
        <v>20200111154126906</v>
      </c>
      <c r="B3103" t="str">
        <f>"1578728486899007"</f>
        <v>1578728486899007</v>
      </c>
      <c r="C3103" t="s">
        <v>37</v>
      </c>
      <c r="D3103">
        <v>5.6137930000000003</v>
      </c>
      <c r="E3103">
        <v>0.48658059999999997</v>
      </c>
      <c r="F3103" t="s">
        <v>38</v>
      </c>
      <c r="G3103">
        <v>-221.95509999999999</v>
      </c>
      <c r="H3103">
        <v>1.008459</v>
      </c>
      <c r="I3103">
        <v>140.4196</v>
      </c>
      <c r="J3103">
        <v>-221.29050000000001</v>
      </c>
      <c r="K3103">
        <v>1.1069169999999999</v>
      </c>
      <c r="L3103">
        <v>140.38579999999999</v>
      </c>
      <c r="M3103">
        <v>-0.99994879999999997</v>
      </c>
      <c r="N3103">
        <v>0</v>
      </c>
      <c r="O3103">
        <v>-9.1745619999999903E-3</v>
      </c>
      <c r="P3103">
        <v>-0.9976064</v>
      </c>
      <c r="Q3103">
        <v>5.0320999999999998E-2</v>
      </c>
      <c r="R3103">
        <v>4.7433059999999999E-2</v>
      </c>
      <c r="S3103">
        <v>-3.0176090000000002</v>
      </c>
      <c r="T3103">
        <v>-0.30328359999999999</v>
      </c>
      <c r="U3103">
        <v>0.1002808</v>
      </c>
      <c r="V3103">
        <v>5.6898659999999997E-2</v>
      </c>
      <c r="W3103">
        <v>5.4291550000000001E-2</v>
      </c>
      <c r="X3103">
        <v>0.99690270000000003</v>
      </c>
      <c r="Y3103">
        <v>4.2123550000000003E-2</v>
      </c>
      <c r="Z3103">
        <v>3.0304590000000001E-3</v>
      </c>
      <c r="AA3103">
        <v>0.99910779999999999</v>
      </c>
      <c r="AB3103">
        <v>32</v>
      </c>
      <c r="AC3103">
        <v>-0.66459999999997799</v>
      </c>
      <c r="AD3103">
        <v>-9.8457999999999907E-2</v>
      </c>
      <c r="AE3103">
        <v>3.3800000000013597E-2</v>
      </c>
      <c r="AF3103">
        <v>3.9041403551693998E-2</v>
      </c>
      <c r="AG3103">
        <v>-9.8457999999999907E-2</v>
      </c>
      <c r="AH3103">
        <v>0.65003226908127199</v>
      </c>
      <c r="AI3103">
        <v>98.597652478189701</v>
      </c>
      <c r="AJ3103">
        <v>86.562903354060097</v>
      </c>
      <c r="AK3103">
        <v>0.65860470678718397</v>
      </c>
    </row>
    <row r="3104" spans="1:37" x14ac:dyDescent="0.2">
      <c r="A3104" t="str">
        <f>"20200111154126930"</f>
        <v>20200111154126930</v>
      </c>
      <c r="B3104" t="str">
        <f>"1578728486919502"</f>
        <v>1578728486919502</v>
      </c>
      <c r="C3104" t="s">
        <v>37</v>
      </c>
      <c r="D3104">
        <v>5.505865</v>
      </c>
      <c r="E3104">
        <v>0.4830488</v>
      </c>
      <c r="F3104" t="s">
        <v>38</v>
      </c>
      <c r="G3104">
        <v>-222.23939999999999</v>
      </c>
      <c r="H3104">
        <v>1.006068</v>
      </c>
      <c r="I3104">
        <v>140.39779999999999</v>
      </c>
      <c r="J3104">
        <v>-221.62350000000001</v>
      </c>
      <c r="K3104">
        <v>1.107092</v>
      </c>
      <c r="L3104">
        <v>140.3852</v>
      </c>
      <c r="M3104">
        <v>-0.99996779999999996</v>
      </c>
      <c r="N3104">
        <v>0</v>
      </c>
      <c r="O3104">
        <v>-6.7737439999999999E-3</v>
      </c>
      <c r="P3104">
        <v>-0.99747079999999999</v>
      </c>
      <c r="Q3104">
        <v>5.0145870000000002E-2</v>
      </c>
      <c r="R3104">
        <v>5.0374639999999998E-2</v>
      </c>
      <c r="S3104">
        <v>-3.0215909999999999</v>
      </c>
      <c r="T3104">
        <v>-0.32114979999999999</v>
      </c>
      <c r="U3104">
        <v>3.8177490000000001E-2</v>
      </c>
      <c r="V3104">
        <v>5.7419289999999998E-2</v>
      </c>
      <c r="W3104">
        <v>5.4142040000000002E-2</v>
      </c>
      <c r="X3104">
        <v>0.99688089999999996</v>
      </c>
      <c r="Y3104">
        <v>1.926025E-2</v>
      </c>
      <c r="Z3104">
        <v>1.7385300000000001E-3</v>
      </c>
      <c r="AA3104">
        <v>0.99981299999999995</v>
      </c>
      <c r="AB3104">
        <v>32</v>
      </c>
      <c r="AC3104">
        <v>-0.61589999999998202</v>
      </c>
      <c r="AD3104">
        <v>-0.101024</v>
      </c>
      <c r="AE3104">
        <v>1.2599999999991901E-2</v>
      </c>
      <c r="AF3104">
        <v>1.6332461759614801E-2</v>
      </c>
      <c r="AG3104">
        <v>-0.101024</v>
      </c>
      <c r="AH3104">
        <v>0.59967322057832195</v>
      </c>
      <c r="AI3104">
        <v>99.559070486185604</v>
      </c>
      <c r="AJ3104">
        <v>88.439900569066396</v>
      </c>
      <c r="AK3104">
        <v>0.60834247703239197</v>
      </c>
    </row>
    <row r="3105" spans="1:37" x14ac:dyDescent="0.2">
      <c r="A3105" t="str">
        <f>"20200111154126952"</f>
        <v>20200111154126952</v>
      </c>
      <c r="B3105" t="str">
        <f>"1578728486949758"</f>
        <v>1578728486949758</v>
      </c>
      <c r="C3105" t="s">
        <v>37</v>
      </c>
      <c r="D3105">
        <v>5.4769610000000002</v>
      </c>
      <c r="E3105">
        <v>0.48078189999999998</v>
      </c>
      <c r="F3105" t="s">
        <v>38</v>
      </c>
      <c r="G3105">
        <v>-222.5273</v>
      </c>
      <c r="H3105">
        <v>1.0092239999999999</v>
      </c>
      <c r="I3105">
        <v>140.39109999999999</v>
      </c>
      <c r="J3105">
        <v>-221.94669999999999</v>
      </c>
      <c r="K3105">
        <v>1.10724</v>
      </c>
      <c r="L3105">
        <v>140.38499999999999</v>
      </c>
      <c r="M3105">
        <v>-0.99997990000000003</v>
      </c>
      <c r="N3105">
        <v>0</v>
      </c>
      <c r="O3105">
        <v>-4.6340139999999997E-3</v>
      </c>
      <c r="P3105">
        <v>-0.99736029999999998</v>
      </c>
      <c r="Q3105">
        <v>5.0347910000000003E-2</v>
      </c>
      <c r="R3105">
        <v>5.2320909999999998E-2</v>
      </c>
      <c r="S3105">
        <v>-3.023056</v>
      </c>
      <c r="T3105">
        <v>-0.32730340000000002</v>
      </c>
      <c r="U3105">
        <v>1.9500730000000001E-2</v>
      </c>
      <c r="V3105">
        <v>5.721267E-2</v>
      </c>
      <c r="W3105">
        <v>5.436916E-2</v>
      </c>
      <c r="X3105">
        <v>0.99688049999999995</v>
      </c>
      <c r="Y3105">
        <v>1.09931E-2</v>
      </c>
      <c r="Z3105">
        <v>1.093625E-3</v>
      </c>
      <c r="AA3105">
        <v>0.99993899999999902</v>
      </c>
      <c r="AB3105">
        <v>32</v>
      </c>
      <c r="AC3105">
        <v>-0.580600000000004</v>
      </c>
      <c r="AD3105">
        <v>-9.8016000000000103E-2</v>
      </c>
      <c r="AE3105">
        <v>6.1000000000035401E-3</v>
      </c>
      <c r="AF3105">
        <v>8.5469109340617008E-3</v>
      </c>
      <c r="AG3105">
        <v>-9.8016000000000103E-2</v>
      </c>
      <c r="AH3105">
        <v>0.56447978413375</v>
      </c>
      <c r="AI3105">
        <v>99.8494878593268</v>
      </c>
      <c r="AJ3105">
        <v>89.132538452458604</v>
      </c>
      <c r="AK3105">
        <v>0.57299006329795898</v>
      </c>
    </row>
    <row r="3106" spans="1:37" x14ac:dyDescent="0.2">
      <c r="A3106" t="str">
        <f>"20200111154126973"</f>
        <v>20200111154126973</v>
      </c>
      <c r="B3106" t="str">
        <f>"1578728486969278"</f>
        <v>1578728486969278</v>
      </c>
      <c r="C3106" t="s">
        <v>37</v>
      </c>
      <c r="D3106">
        <v>5.481465</v>
      </c>
      <c r="E3106">
        <v>0.47982179999999902</v>
      </c>
      <c r="F3106" t="s">
        <v>38</v>
      </c>
      <c r="G3106">
        <v>-222.8159</v>
      </c>
      <c r="H3106">
        <v>1.0113449999999999</v>
      </c>
      <c r="I3106">
        <v>140.38759999999999</v>
      </c>
      <c r="J3106">
        <v>-222.24590000000001</v>
      </c>
      <c r="K3106">
        <v>1.1073580000000001</v>
      </c>
      <c r="L3106">
        <v>140.3854</v>
      </c>
      <c r="M3106">
        <v>-0.99998679999999995</v>
      </c>
      <c r="N3106">
        <v>0</v>
      </c>
      <c r="O3106">
        <v>-2.8040740000000001E-3</v>
      </c>
      <c r="P3106">
        <v>-0.99727449999999995</v>
      </c>
      <c r="Q3106">
        <v>5.1342850000000002E-2</v>
      </c>
      <c r="R3106">
        <v>5.2991139999999999E-2</v>
      </c>
      <c r="S3106">
        <v>-3.0243530000000001</v>
      </c>
      <c r="T3106">
        <v>-0.33362639999999999</v>
      </c>
      <c r="U3106">
        <v>8.4381100000000004E-3</v>
      </c>
      <c r="V3106">
        <v>5.6046770000000003E-2</v>
      </c>
      <c r="W3106">
        <v>5.5387579999999999E-2</v>
      </c>
      <c r="X3106">
        <v>0.99689069999999902</v>
      </c>
      <c r="Y3106">
        <v>5.5434849999999999E-3</v>
      </c>
      <c r="Z3106">
        <v>6.1322850000000001E-4</v>
      </c>
      <c r="AA3106">
        <v>0.9999844</v>
      </c>
      <c r="AB3106">
        <v>32</v>
      </c>
      <c r="AC3106">
        <v>-0.56999999999999296</v>
      </c>
      <c r="AD3106">
        <v>-9.6012999999999904E-2</v>
      </c>
      <c r="AE3106">
        <v>2.1999999999877599E-3</v>
      </c>
      <c r="AF3106">
        <v>3.6935320870803601E-3</v>
      </c>
      <c r="AG3106">
        <v>-9.6012999999999904E-2</v>
      </c>
      <c r="AH3106">
        <v>0.55426546520974895</v>
      </c>
      <c r="AI3106">
        <v>99.827360526597005</v>
      </c>
      <c r="AJ3106">
        <v>89.618196187656807</v>
      </c>
      <c r="AK3106">
        <v>0.56253208288279699</v>
      </c>
    </row>
    <row r="3107" spans="1:37" x14ac:dyDescent="0.2">
      <c r="A3107" t="str">
        <f>"20200111154126995"</f>
        <v>20200111154126995</v>
      </c>
      <c r="B3107" t="str">
        <f>"1578728486989775"</f>
        <v>1578728486989775</v>
      </c>
      <c r="C3107" t="s">
        <v>37</v>
      </c>
      <c r="D3107">
        <v>5.4749759999999998</v>
      </c>
      <c r="E3107">
        <v>0.47923399999999999</v>
      </c>
      <c r="F3107" t="s">
        <v>38</v>
      </c>
      <c r="G3107">
        <v>-223.10509999999999</v>
      </c>
      <c r="H3107">
        <v>1.0122959999999901</v>
      </c>
      <c r="I3107">
        <v>140.38659999999999</v>
      </c>
      <c r="J3107">
        <v>-222.5753</v>
      </c>
      <c r="K3107">
        <v>1.107478</v>
      </c>
      <c r="L3107">
        <v>140.38630000000001</v>
      </c>
      <c r="M3107">
        <v>-0.9999903</v>
      </c>
      <c r="N3107">
        <v>0</v>
      </c>
      <c r="O3107">
        <v>-9.4258860000000005E-4</v>
      </c>
      <c r="P3107">
        <v>-0.9973301</v>
      </c>
      <c r="Q3107">
        <v>5.1265419999999999E-2</v>
      </c>
      <c r="R3107">
        <v>5.2006940000000002E-2</v>
      </c>
      <c r="S3107">
        <v>-3.025223</v>
      </c>
      <c r="T3107">
        <v>-0.33476709999999998</v>
      </c>
      <c r="U3107">
        <v>3.860474E-3</v>
      </c>
      <c r="V3107">
        <v>5.3189189999999997E-2</v>
      </c>
      <c r="W3107">
        <v>5.5338539999999999E-2</v>
      </c>
      <c r="X3107">
        <v>0.99704989999999905</v>
      </c>
      <c r="Y3107">
        <v>2.1995109999999999E-3</v>
      </c>
      <c r="Z3107">
        <v>2.253162E-4</v>
      </c>
      <c r="AA3107">
        <v>0.99999760000000004</v>
      </c>
      <c r="AB3107">
        <v>32</v>
      </c>
      <c r="AC3107">
        <v>-0.52979999999999405</v>
      </c>
      <c r="AD3107">
        <v>-9.51820000000001E-2</v>
      </c>
      <c r="AE3107">
        <v>2.9999999998153699E-4</v>
      </c>
      <c r="AF3107">
        <v>7.7439327248436001E-4</v>
      </c>
      <c r="AG3107">
        <v>-9.51820000000001E-2</v>
      </c>
      <c r="AH3107">
        <v>0.51323411266247698</v>
      </c>
      <c r="AI3107">
        <v>100.506429364292</v>
      </c>
      <c r="AJ3107">
        <v>89.913549330741802</v>
      </c>
      <c r="AK3107">
        <v>0.52198607951685905</v>
      </c>
    </row>
    <row r="3108" spans="1:37" x14ac:dyDescent="0.2">
      <c r="A3108" t="str">
        <f>"20200111154127019"</f>
        <v>20200111154127019</v>
      </c>
      <c r="B3108" t="str">
        <f>"1578728487009294"</f>
        <v>1578728487009294</v>
      </c>
      <c r="C3108" t="s">
        <v>37</v>
      </c>
      <c r="D3108">
        <v>5.5587730000000004</v>
      </c>
      <c r="E3108">
        <v>0.4791395</v>
      </c>
      <c r="F3108" t="s">
        <v>38</v>
      </c>
      <c r="G3108">
        <v>-223.3963</v>
      </c>
      <c r="H3108">
        <v>1.0153589999999999</v>
      </c>
      <c r="I3108">
        <v>140.38560000000001</v>
      </c>
      <c r="J3108">
        <v>-222.90710000000001</v>
      </c>
      <c r="K3108">
        <v>1.107588</v>
      </c>
      <c r="L3108">
        <v>140.38759999999999</v>
      </c>
      <c r="M3108">
        <v>-0.9999905</v>
      </c>
      <c r="N3108">
        <v>0</v>
      </c>
      <c r="O3108">
        <v>7.8247410000000005E-4</v>
      </c>
      <c r="P3108">
        <v>-0.99749270000000001</v>
      </c>
      <c r="Q3108">
        <v>5.1733019999999998E-2</v>
      </c>
      <c r="R3108">
        <v>4.8293950000000002E-2</v>
      </c>
      <c r="S3108">
        <v>-3.0255890000000001</v>
      </c>
      <c r="T3108">
        <v>-0.33945819999999999</v>
      </c>
      <c r="U3108">
        <v>-2.746582E-3</v>
      </c>
      <c r="V3108">
        <v>4.7740560000000001E-2</v>
      </c>
      <c r="W3108">
        <v>5.5836539999999997E-2</v>
      </c>
      <c r="X3108">
        <v>0.99729789999999996</v>
      </c>
      <c r="Y3108">
        <v>-1.6748469999999999E-3</v>
      </c>
      <c r="Z3108">
        <v>-1.8117799999999999E-4</v>
      </c>
      <c r="AA3108">
        <v>0.99999859999999896</v>
      </c>
      <c r="AB3108">
        <v>32</v>
      </c>
      <c r="AC3108">
        <v>-0.48919999999998198</v>
      </c>
      <c r="AD3108">
        <v>-9.2228999999999894E-2</v>
      </c>
      <c r="AE3108">
        <v>-1.9999999999811202E-3</v>
      </c>
      <c r="AF3108">
        <v>-2.30100449055279E-3</v>
      </c>
      <c r="AG3108">
        <v>-9.2228999999999894E-2</v>
      </c>
      <c r="AH3108">
        <v>0.472407476846879</v>
      </c>
      <c r="AI3108">
        <v>101.046879708478</v>
      </c>
      <c r="AJ3108">
        <v>90.279074336922093</v>
      </c>
      <c r="AK3108">
        <v>0.48133180576760198</v>
      </c>
    </row>
    <row r="3109" spans="1:37" x14ac:dyDescent="0.2">
      <c r="A3109" t="str">
        <f>"20200111154127041"</f>
        <v>20200111154127041</v>
      </c>
      <c r="B3109" t="str">
        <f>"1578728487029793"</f>
        <v>1578728487029793</v>
      </c>
      <c r="C3109" t="s">
        <v>37</v>
      </c>
      <c r="D3109">
        <v>5.4228829999999997</v>
      </c>
      <c r="E3109">
        <v>0.47875400000000001</v>
      </c>
      <c r="F3109" t="s">
        <v>38</v>
      </c>
      <c r="G3109">
        <v>-223.68960000000001</v>
      </c>
      <c r="H3109">
        <v>1.020019</v>
      </c>
      <c r="I3109">
        <v>140.3844</v>
      </c>
      <c r="J3109">
        <v>-223.23439999999999</v>
      </c>
      <c r="K3109">
        <v>1.1076999999999999</v>
      </c>
      <c r="L3109">
        <v>140.38929999999999</v>
      </c>
      <c r="M3109">
        <v>-0.99998809999999905</v>
      </c>
      <c r="N3109">
        <v>0</v>
      </c>
      <c r="O3109">
        <v>2.3236070000000001E-3</v>
      </c>
      <c r="P3109">
        <v>-0.99763099999999905</v>
      </c>
      <c r="Q3109">
        <v>5.2250619999999998E-2</v>
      </c>
      <c r="R3109">
        <v>4.4750470000000001E-2</v>
      </c>
      <c r="S3109">
        <v>-3.0257419999999899</v>
      </c>
      <c r="T3109">
        <v>-0.33869339999999998</v>
      </c>
      <c r="U3109">
        <v>-1.307678E-2</v>
      </c>
      <c r="V3109">
        <v>4.2643250000000001E-2</v>
      </c>
      <c r="W3109">
        <v>5.6373079999999999E-2</v>
      </c>
      <c r="X3109">
        <v>0.99749869999999996</v>
      </c>
      <c r="Y3109">
        <v>-6.5897309999999997E-3</v>
      </c>
      <c r="Z3109">
        <v>-6.2695869999999996E-4</v>
      </c>
      <c r="AA3109">
        <v>0.99997809999999898</v>
      </c>
      <c r="AB3109">
        <v>32</v>
      </c>
      <c r="AC3109">
        <v>-0.45520000000001898</v>
      </c>
      <c r="AD3109">
        <v>-8.7680999999999898E-2</v>
      </c>
      <c r="AE3109">
        <v>-4.8999999999921303E-3</v>
      </c>
      <c r="AF3109">
        <v>-5.7445869436809904E-3</v>
      </c>
      <c r="AG3109">
        <v>-8.7680999999999898E-2</v>
      </c>
      <c r="AH3109">
        <v>0.43890468691252099</v>
      </c>
      <c r="AI3109">
        <v>101.296444946501</v>
      </c>
      <c r="AJ3109">
        <v>90.749870766659399</v>
      </c>
      <c r="AK3109">
        <v>0.44761398797840501</v>
      </c>
    </row>
    <row r="3110" spans="1:37" x14ac:dyDescent="0.2">
      <c r="A3110" t="str">
        <f>"20200111154127063"</f>
        <v>20200111154127063</v>
      </c>
      <c r="B3110" t="str">
        <f>"1578728487059070"</f>
        <v>1578728487059070</v>
      </c>
      <c r="C3110" t="s">
        <v>37</v>
      </c>
      <c r="D3110">
        <v>5.4157599999999997</v>
      </c>
      <c r="E3110">
        <v>0.4790084</v>
      </c>
      <c r="F3110" t="s">
        <v>38</v>
      </c>
      <c r="G3110">
        <v>-223.9837</v>
      </c>
      <c r="H3110">
        <v>1.024114</v>
      </c>
      <c r="I3110">
        <v>140.38299999999899</v>
      </c>
      <c r="J3110">
        <v>-223.55279999999999</v>
      </c>
      <c r="K3110">
        <v>1.1078219999999901</v>
      </c>
      <c r="L3110">
        <v>140.3913</v>
      </c>
      <c r="M3110">
        <v>-0.99998419999999899</v>
      </c>
      <c r="N3110">
        <v>0</v>
      </c>
      <c r="O3110">
        <v>3.6449189999999999E-3</v>
      </c>
      <c r="P3110">
        <v>-0.99781089999999995</v>
      </c>
      <c r="Q3110">
        <v>5.1479259999999999E-2</v>
      </c>
      <c r="R3110">
        <v>4.1512500000000001E-2</v>
      </c>
      <c r="S3110">
        <v>-3.02597</v>
      </c>
      <c r="T3110">
        <v>-0.33759990000000001</v>
      </c>
      <c r="U3110">
        <v>-2.606201E-2</v>
      </c>
      <c r="V3110">
        <v>3.8063659999999999E-2</v>
      </c>
      <c r="W3110">
        <v>5.560992E-2</v>
      </c>
      <c r="X3110">
        <v>0.99772669999999997</v>
      </c>
      <c r="Y3110">
        <v>-1.215917E-2</v>
      </c>
      <c r="Z3110">
        <v>-1.081568E-3</v>
      </c>
      <c r="AA3110">
        <v>0.99992549999999902</v>
      </c>
      <c r="AB3110">
        <v>32</v>
      </c>
      <c r="AC3110">
        <v>-0.430900000000008</v>
      </c>
      <c r="AD3110">
        <v>-8.3707999999999894E-2</v>
      </c>
      <c r="AE3110">
        <v>-8.3000000000197308E-3</v>
      </c>
      <c r="AF3110">
        <v>-9.5117325093093796E-3</v>
      </c>
      <c r="AG3110">
        <v>-8.3707999999999894E-2</v>
      </c>
      <c r="AH3110">
        <v>0.41520366557149202</v>
      </c>
      <c r="AI3110">
        <v>101.395531074849</v>
      </c>
      <c r="AJ3110">
        <v>91.312336252340998</v>
      </c>
      <c r="AK3110">
        <v>0.42366447363843501</v>
      </c>
    </row>
    <row r="3111" spans="1:37" x14ac:dyDescent="0.2">
      <c r="A3111" t="str">
        <f>"20200111154127086"</f>
        <v>20200111154127086</v>
      </c>
      <c r="B3111" t="str">
        <f>"1578728487079567"</f>
        <v>1578728487079567</v>
      </c>
      <c r="C3111" t="s">
        <v>37</v>
      </c>
      <c r="D3111">
        <v>6.3813469999999999</v>
      </c>
      <c r="E3111">
        <v>0.47919970000000001</v>
      </c>
      <c r="F3111" t="s">
        <v>38</v>
      </c>
      <c r="G3111">
        <v>-224.27789999999999</v>
      </c>
      <c r="H3111">
        <v>1.026052</v>
      </c>
      <c r="I3111">
        <v>140.38339999999999</v>
      </c>
      <c r="J3111">
        <v>-223.8852</v>
      </c>
      <c r="K3111">
        <v>1.1079760000000001</v>
      </c>
      <c r="L3111">
        <v>140.3937</v>
      </c>
      <c r="M3111">
        <v>-0.99997959999999997</v>
      </c>
      <c r="N3111">
        <v>0</v>
      </c>
      <c r="O3111">
        <v>4.8034820000000004E-3</v>
      </c>
      <c r="P3111">
        <v>-0.9979652</v>
      </c>
      <c r="Q3111">
        <v>5.0678830000000001E-2</v>
      </c>
      <c r="R3111">
        <v>3.8695800000000002E-2</v>
      </c>
      <c r="S3111">
        <v>-3.0255740000000002</v>
      </c>
      <c r="T3111">
        <v>-0.34125070000000002</v>
      </c>
      <c r="U3111">
        <v>-3.3386230000000003E-2</v>
      </c>
      <c r="V3111">
        <v>3.4064669999999998E-2</v>
      </c>
      <c r="W3111">
        <v>5.4809579999999997E-2</v>
      </c>
      <c r="X3111">
        <v>0.99791559999999901</v>
      </c>
      <c r="Y3111">
        <v>-1.5707079999999998E-2</v>
      </c>
      <c r="Z3111">
        <v>-1.4230219999999999E-3</v>
      </c>
      <c r="AA3111">
        <v>0.99987559999999998</v>
      </c>
      <c r="AB3111">
        <v>33</v>
      </c>
      <c r="AC3111">
        <v>-0.39269999999999</v>
      </c>
      <c r="AD3111">
        <v>-8.1924000000000094E-2</v>
      </c>
      <c r="AE3111">
        <v>-1.03000000000008E-2</v>
      </c>
      <c r="AF3111">
        <v>-1.16783205818738E-2</v>
      </c>
      <c r="AG3111">
        <v>-8.1924000000000094E-2</v>
      </c>
      <c r="AH3111">
        <v>0.37628106173387799</v>
      </c>
      <c r="AI3111">
        <v>102.27703614866699</v>
      </c>
      <c r="AJ3111">
        <v>91.777670555116202</v>
      </c>
      <c r="AK3111">
        <v>0.38527310101691198</v>
      </c>
    </row>
    <row r="3112" spans="1:37" x14ac:dyDescent="0.2">
      <c r="A3112" t="str">
        <f>"20200111154127107"</f>
        <v>20200111154127107</v>
      </c>
      <c r="B3112" t="str">
        <f>"1578728487099086"</f>
        <v>1578728487099086</v>
      </c>
      <c r="C3112" t="s">
        <v>37</v>
      </c>
      <c r="D3112">
        <v>5.6765910000000002</v>
      </c>
      <c r="E3112">
        <v>0.47955199999999998</v>
      </c>
      <c r="F3112" t="s">
        <v>38</v>
      </c>
      <c r="G3112">
        <v>-224.8546</v>
      </c>
      <c r="H3112">
        <v>0.99770199999999998</v>
      </c>
      <c r="I3112">
        <v>140.381</v>
      </c>
      <c r="J3112">
        <v>-224.22020000000001</v>
      </c>
      <c r="K3112">
        <v>1.1081219999999901</v>
      </c>
      <c r="L3112">
        <v>140.39619999999999</v>
      </c>
      <c r="M3112">
        <v>-0.99997449999999999</v>
      </c>
      <c r="N3112">
        <v>0</v>
      </c>
      <c r="O3112">
        <v>5.7615699999999997E-3</v>
      </c>
      <c r="P3112">
        <v>-0.99802819999999903</v>
      </c>
      <c r="Q3112">
        <v>4.9926980000000003E-2</v>
      </c>
      <c r="R3112">
        <v>3.8042079999999999E-2</v>
      </c>
      <c r="S3112">
        <v>-3.0251459999999999</v>
      </c>
      <c r="T3112">
        <v>-0.344136</v>
      </c>
      <c r="U3112">
        <v>-3.9932250000000002E-2</v>
      </c>
      <c r="V3112">
        <v>3.2429189999999997E-2</v>
      </c>
      <c r="W3112">
        <v>5.4049199999999999E-2</v>
      </c>
      <c r="X3112">
        <v>0.99801149999999905</v>
      </c>
      <c r="Y3112">
        <v>-1.8801459999999999E-2</v>
      </c>
      <c r="Z3112">
        <v>-1.7192310000000001E-3</v>
      </c>
      <c r="AA3112">
        <v>0.99982179999999998</v>
      </c>
      <c r="AB3112">
        <v>33</v>
      </c>
      <c r="AC3112">
        <v>-0.63439999999999896</v>
      </c>
      <c r="AD3112">
        <v>-0.11041999999999901</v>
      </c>
      <c r="AE3112">
        <v>-1.51999999999929E-2</v>
      </c>
      <c r="AF3112">
        <v>-1.83008174029161E-2</v>
      </c>
      <c r="AG3112">
        <v>-0.11041999999999901</v>
      </c>
      <c r="AH3112">
        <v>0.615661215981268</v>
      </c>
      <c r="AI3112">
        <v>100.163605172446</v>
      </c>
      <c r="AJ3112">
        <v>91.702642457085503</v>
      </c>
      <c r="AK3112">
        <v>0.62575253030343203</v>
      </c>
    </row>
    <row r="3113" spans="1:37" x14ac:dyDescent="0.2">
      <c r="A3113" t="str">
        <f>"20200111154127131"</f>
        <v>20200111154127131</v>
      </c>
      <c r="B3113" t="str">
        <f>"1578728487119582"</f>
        <v>1578728487119582</v>
      </c>
      <c r="C3113" t="s">
        <v>37</v>
      </c>
      <c r="D3113">
        <v>5.4334949999999997</v>
      </c>
      <c r="E3113">
        <v>0.47988389999999997</v>
      </c>
      <c r="F3113" t="s">
        <v>38</v>
      </c>
      <c r="G3113">
        <v>-225.15309999999999</v>
      </c>
      <c r="H3113">
        <v>1.0017320000000001</v>
      </c>
      <c r="I3113">
        <v>140.38390000000001</v>
      </c>
      <c r="J3113">
        <v>-224.5626</v>
      </c>
      <c r="K3113">
        <v>1.1082529999999999</v>
      </c>
      <c r="L3113">
        <v>140.399</v>
      </c>
      <c r="M3113">
        <v>-0.99996969999999996</v>
      </c>
      <c r="N3113">
        <v>0</v>
      </c>
      <c r="O3113">
        <v>6.560588E-3</v>
      </c>
      <c r="P3113">
        <v>-0.99815710000000002</v>
      </c>
      <c r="Q3113">
        <v>4.7201699999999999E-2</v>
      </c>
      <c r="R3113">
        <v>3.813482E-2</v>
      </c>
      <c r="S3113">
        <v>-3.0247189999999899</v>
      </c>
      <c r="T3113">
        <v>-0.344970099999999</v>
      </c>
      <c r="U3113">
        <v>-4.0298460000000001E-2</v>
      </c>
      <c r="V3113">
        <v>3.169636E-2</v>
      </c>
      <c r="W3113">
        <v>5.1313570000000003E-2</v>
      </c>
      <c r="X3113">
        <v>0.9981795</v>
      </c>
      <c r="Y3113">
        <v>-1.9711349999999999E-2</v>
      </c>
      <c r="Z3113">
        <v>-1.866159E-3</v>
      </c>
      <c r="AA3113">
        <v>0.99980400000000003</v>
      </c>
      <c r="AB3113">
        <v>33</v>
      </c>
      <c r="AC3113">
        <v>-0.59049999999999103</v>
      </c>
      <c r="AD3113">
        <v>-0.106521</v>
      </c>
      <c r="AE3113">
        <v>-1.5099999999989599E-2</v>
      </c>
      <c r="AF3113">
        <v>-1.8376149066286498E-2</v>
      </c>
      <c r="AG3113">
        <v>-0.106521</v>
      </c>
      <c r="AH3113">
        <v>0.57179365741603605</v>
      </c>
      <c r="AI3113">
        <v>100.54749508594401</v>
      </c>
      <c r="AJ3113">
        <v>91.840722635164397</v>
      </c>
      <c r="AK3113">
        <v>0.58192129446920404</v>
      </c>
    </row>
    <row r="3114" spans="1:37" x14ac:dyDescent="0.2">
      <c r="A3114" t="str">
        <f>"20200111154127152"</f>
        <v>20200111154127152</v>
      </c>
      <c r="B3114" t="str">
        <f>"1578728487149839"</f>
        <v>1578728487149839</v>
      </c>
      <c r="C3114" t="s">
        <v>37</v>
      </c>
      <c r="D3114">
        <v>5.4637560000000001</v>
      </c>
      <c r="E3114">
        <v>0.4802727</v>
      </c>
      <c r="F3114" t="s">
        <v>38</v>
      </c>
      <c r="G3114">
        <v>-225.45230000000001</v>
      </c>
      <c r="H3114">
        <v>1.004742</v>
      </c>
      <c r="I3114">
        <v>140.3878</v>
      </c>
      <c r="J3114">
        <v>-224.8751</v>
      </c>
      <c r="K3114">
        <v>1.108358</v>
      </c>
      <c r="L3114">
        <v>140.4016</v>
      </c>
      <c r="M3114">
        <v>-0.99996589999999996</v>
      </c>
      <c r="N3114">
        <v>0</v>
      </c>
      <c r="O3114">
        <v>7.14743699999999E-3</v>
      </c>
      <c r="P3114">
        <v>-0.99836879999999995</v>
      </c>
      <c r="Q3114">
        <v>4.4376230000000003E-2</v>
      </c>
      <c r="R3114">
        <v>3.5928830000000002E-2</v>
      </c>
      <c r="S3114">
        <v>-3.0236509999999899</v>
      </c>
      <c r="T3114">
        <v>-0.35179359999999998</v>
      </c>
      <c r="U3114">
        <v>-3.8253780000000001E-2</v>
      </c>
      <c r="V3114">
        <v>2.8881999999999901E-2</v>
      </c>
      <c r="W3114">
        <v>4.8484689999999997E-2</v>
      </c>
      <c r="X3114">
        <v>0.99840629999999997</v>
      </c>
      <c r="Y3114">
        <v>-1.9616600000000001E-2</v>
      </c>
      <c r="Z3114">
        <v>-1.9660559999999999E-3</v>
      </c>
      <c r="AA3114">
        <v>0.99980559999999996</v>
      </c>
      <c r="AB3114">
        <v>33</v>
      </c>
      <c r="AC3114">
        <v>-0.57720000000000404</v>
      </c>
      <c r="AD3114">
        <v>-0.103615999999999</v>
      </c>
      <c r="AE3114">
        <v>-1.3800000000003299E-2</v>
      </c>
      <c r="AF3114">
        <v>-1.73658773408484E-2</v>
      </c>
      <c r="AG3114">
        <v>-0.103615999999999</v>
      </c>
      <c r="AH3114">
        <v>0.55908021846987799</v>
      </c>
      <c r="AI3114">
        <v>100.49471476300199</v>
      </c>
      <c r="AJ3114">
        <v>91.779121557762494</v>
      </c>
      <c r="AK3114">
        <v>0.56886601219983601</v>
      </c>
    </row>
    <row r="3115" spans="1:37" x14ac:dyDescent="0.2">
      <c r="A3115" t="str">
        <f>"20200111154127173"</f>
        <v>20200111154127173</v>
      </c>
      <c r="B3115" t="str">
        <f>"1578728487169358"</f>
        <v>1578728487169358</v>
      </c>
      <c r="C3115" t="s">
        <v>37</v>
      </c>
      <c r="D3115">
        <v>5.4624370000000004</v>
      </c>
      <c r="E3115">
        <v>0.48056840000000001</v>
      </c>
      <c r="F3115" t="s">
        <v>38</v>
      </c>
      <c r="G3115">
        <v>-225.7508</v>
      </c>
      <c r="H3115">
        <v>1.003824</v>
      </c>
      <c r="I3115">
        <v>140.38999999999999</v>
      </c>
      <c r="J3115">
        <v>-225.1943</v>
      </c>
      <c r="K3115">
        <v>1.108452</v>
      </c>
      <c r="L3115">
        <v>140.40430000000001</v>
      </c>
      <c r="M3115">
        <v>-0.99996229999999997</v>
      </c>
      <c r="N3115">
        <v>0</v>
      </c>
      <c r="O3115">
        <v>7.6330369999999996E-3</v>
      </c>
      <c r="P3115">
        <v>-0.99861659999999997</v>
      </c>
      <c r="Q3115">
        <v>4.2690899999999997E-2</v>
      </c>
      <c r="R3115">
        <v>3.0697120000000001E-2</v>
      </c>
      <c r="S3115">
        <v>-3.0223849999999999</v>
      </c>
      <c r="T3115">
        <v>-0.36076429999999998</v>
      </c>
      <c r="U3115">
        <v>-3.988647E-2</v>
      </c>
      <c r="V3115">
        <v>2.314838E-2</v>
      </c>
      <c r="W3115">
        <v>4.6800029999999999E-2</v>
      </c>
      <c r="X3115">
        <v>0.99863599999999997</v>
      </c>
      <c r="Y3115">
        <v>-2.0627349999999999E-2</v>
      </c>
      <c r="Z3115">
        <v>-2.1345380000000001E-3</v>
      </c>
      <c r="AA3115">
        <v>0.99978489999999998</v>
      </c>
      <c r="AB3115">
        <v>33</v>
      </c>
      <c r="AC3115">
        <v>-0.556499999999999</v>
      </c>
      <c r="AD3115">
        <v>-0.104627999999999</v>
      </c>
      <c r="AE3115">
        <v>-1.4300000000019899E-2</v>
      </c>
      <c r="AF3115">
        <v>-1.7914577299379598E-2</v>
      </c>
      <c r="AG3115">
        <v>-0.104627999999999</v>
      </c>
      <c r="AH3115">
        <v>0.537391427774083</v>
      </c>
      <c r="AI3115">
        <v>101.011464950413</v>
      </c>
      <c r="AJ3115">
        <v>91.9093153467701</v>
      </c>
      <c r="AK3115">
        <v>0.54777504242972097</v>
      </c>
    </row>
    <row r="3116" spans="1:37" x14ac:dyDescent="0.2">
      <c r="A3116" t="str">
        <f>"20200111154127196"</f>
        <v>20200111154127196</v>
      </c>
      <c r="B3116" t="str">
        <f>"1578728487189855"</f>
        <v>1578728487189855</v>
      </c>
      <c r="C3116" t="s">
        <v>37</v>
      </c>
      <c r="D3116">
        <v>5.6825010000000002</v>
      </c>
      <c r="E3116">
        <v>0.49019979999999902</v>
      </c>
      <c r="F3116" t="s">
        <v>38</v>
      </c>
      <c r="G3116">
        <v>-226.05160000000001</v>
      </c>
      <c r="H3116">
        <v>1.0048820000000001</v>
      </c>
      <c r="I3116">
        <v>140.39019999999999</v>
      </c>
      <c r="J3116">
        <v>-225.5479</v>
      </c>
      <c r="K3116">
        <v>1.1085370000000001</v>
      </c>
      <c r="L3116">
        <v>140.4074</v>
      </c>
      <c r="M3116">
        <v>-0.99995879999999904</v>
      </c>
      <c r="N3116">
        <v>0</v>
      </c>
      <c r="O3116">
        <v>8.0823079999999999E-3</v>
      </c>
      <c r="P3116">
        <v>-0.99877099999999996</v>
      </c>
      <c r="Q3116">
        <v>4.2557860000000003E-2</v>
      </c>
      <c r="R3116">
        <v>2.5408210000000001E-2</v>
      </c>
      <c r="S3116">
        <v>-3.0213009999999998</v>
      </c>
      <c r="T3116">
        <v>-0.36504699999999901</v>
      </c>
      <c r="U3116">
        <v>-4.9758910000000003E-2</v>
      </c>
      <c r="V3116">
        <v>1.7399499999999998E-2</v>
      </c>
      <c r="W3116">
        <v>4.6666659999999999E-2</v>
      </c>
      <c r="X3116">
        <v>0.99875899999999995</v>
      </c>
      <c r="Y3116">
        <v>-2.431233E-2</v>
      </c>
      <c r="Z3116">
        <v>-2.4362950000000002E-3</v>
      </c>
      <c r="AA3116">
        <v>0.99970139999999996</v>
      </c>
      <c r="AB3116">
        <v>33</v>
      </c>
      <c r="AC3116">
        <v>-0.50370000000000903</v>
      </c>
      <c r="AD3116">
        <v>-0.103655</v>
      </c>
      <c r="AE3116">
        <v>-1.7200000000002501E-2</v>
      </c>
      <c r="AF3116">
        <v>-2.04073214084101E-2</v>
      </c>
      <c r="AG3116">
        <v>-0.103655</v>
      </c>
      <c r="AH3116">
        <v>0.483109464686029</v>
      </c>
      <c r="AI3116">
        <v>102.099200607942</v>
      </c>
      <c r="AJ3116">
        <v>92.418827953242399</v>
      </c>
      <c r="AK3116">
        <v>0.49452560364584502</v>
      </c>
    </row>
    <row r="3117" spans="1:37" x14ac:dyDescent="0.2">
      <c r="A3117" t="str">
        <f>"20200111154127242"</f>
        <v>20200111154127242</v>
      </c>
      <c r="B3117" t="str">
        <f>"1578728487239630"</f>
        <v>1578728487239630</v>
      </c>
      <c r="C3117" t="s">
        <v>37</v>
      </c>
      <c r="D3117">
        <v>5.7275839999999896</v>
      </c>
      <c r="E3117">
        <v>0.49095489999999897</v>
      </c>
      <c r="F3117" t="s">
        <v>38</v>
      </c>
      <c r="G3117">
        <v>-226.3777</v>
      </c>
      <c r="H3117">
        <v>1.0449219999999999</v>
      </c>
      <c r="I3117">
        <v>140.41030000000001</v>
      </c>
      <c r="J3117">
        <v>-226.23769999999999</v>
      </c>
      <c r="K3117">
        <v>1.108606</v>
      </c>
      <c r="L3117">
        <v>140.41390000000001</v>
      </c>
      <c r="M3117">
        <v>-0.99995140000000005</v>
      </c>
      <c r="N3117">
        <v>0</v>
      </c>
      <c r="O3117">
        <v>8.9534060000000006E-3</v>
      </c>
      <c r="P3117">
        <v>-0.99877280000000002</v>
      </c>
      <c r="Q3117">
        <v>4.5226499999999899E-2</v>
      </c>
      <c r="R3117">
        <v>2.0185249999999998E-2</v>
      </c>
      <c r="S3117">
        <v>-3.01329</v>
      </c>
      <c r="T3117">
        <v>-0.23115160000000001</v>
      </c>
      <c r="U3117">
        <v>9.5977779999999995E-3</v>
      </c>
      <c r="V3117">
        <v>1.1304460000000001E-2</v>
      </c>
      <c r="W3117">
        <v>4.9330539999999999E-2</v>
      </c>
      <c r="X3117">
        <v>0.99871860000000001</v>
      </c>
      <c r="Y3117">
        <v>-5.7253089999999996E-3</v>
      </c>
      <c r="Z3117">
        <v>-9.0508280000000003E-4</v>
      </c>
      <c r="AA3117">
        <v>0.99998319999999996</v>
      </c>
      <c r="AB3117">
        <v>34</v>
      </c>
      <c r="AC3117">
        <v>-0.140000000000014</v>
      </c>
      <c r="AD3117">
        <v>-6.3684000000000004E-2</v>
      </c>
      <c r="AE3117">
        <v>-3.6000000000058199E-3</v>
      </c>
      <c r="AF3117">
        <v>-4.0217156354779597E-3</v>
      </c>
      <c r="AG3117">
        <v>-6.3684000000000004E-2</v>
      </c>
      <c r="AH3117">
        <v>0.115979432176317</v>
      </c>
      <c r="AI3117">
        <v>118.756550346049</v>
      </c>
      <c r="AJ3117">
        <v>91.985999041248704</v>
      </c>
      <c r="AK3117">
        <v>0.13237467560146701</v>
      </c>
    </row>
    <row r="3118" spans="1:37" x14ac:dyDescent="0.2">
      <c r="A3118" t="str">
        <f>"20200111154127265"</f>
        <v>20200111154127265</v>
      </c>
      <c r="B3118" t="str">
        <f>"1578728487259151"</f>
        <v>1578728487259151</v>
      </c>
      <c r="C3118" t="s">
        <v>37</v>
      </c>
      <c r="D3118">
        <v>5.5162240000000002</v>
      </c>
      <c r="E3118">
        <v>0.49116149999999997</v>
      </c>
      <c r="F3118" t="s">
        <v>39</v>
      </c>
      <c r="G3118">
        <v>-241.85059999999999</v>
      </c>
      <c r="H3118" s="1">
        <v>-3.6916109999999899E-6</v>
      </c>
      <c r="I3118">
        <v>140.41759999999999</v>
      </c>
      <c r="J3118">
        <v>-226.5788</v>
      </c>
      <c r="K3118">
        <v>1.108563</v>
      </c>
      <c r="L3118">
        <v>140.41749999999999</v>
      </c>
      <c r="M3118">
        <v>-0.99994609999999995</v>
      </c>
      <c r="N3118">
        <v>0</v>
      </c>
      <c r="O3118">
        <v>9.5330090000000003E-3</v>
      </c>
      <c r="P3118">
        <v>-0.99868690000000004</v>
      </c>
      <c r="Q3118">
        <v>4.759298E-2</v>
      </c>
      <c r="R3118">
        <v>1.8963979999999998E-2</v>
      </c>
      <c r="S3118">
        <v>-3.0133669999999899</v>
      </c>
      <c r="T3118">
        <v>-0.21396779999999899</v>
      </c>
      <c r="U3118">
        <v>7.1716309999999997E-4</v>
      </c>
      <c r="V3118">
        <v>9.5151349999999992E-3</v>
      </c>
      <c r="W3118">
        <v>5.1697390000000003E-2</v>
      </c>
      <c r="X3118">
        <v>0.99861749999999905</v>
      </c>
      <c r="Y3118">
        <v>-9.2478219999999993E-3</v>
      </c>
      <c r="Z3118">
        <v>-1.0039630000000001E-3</v>
      </c>
      <c r="AA3118">
        <v>0.99995669999999903</v>
      </c>
      <c r="AB3118">
        <v>34</v>
      </c>
      <c r="AC3118">
        <v>-15.271799999999899</v>
      </c>
      <c r="AD3118">
        <v>-1.108566691611</v>
      </c>
      <c r="AE3118">
        <v>1.0000000000331901E-4</v>
      </c>
      <c r="AF3118">
        <v>-0.14472486135367199</v>
      </c>
      <c r="AG3118">
        <v>-1.108566691611</v>
      </c>
      <c r="AH3118">
        <v>15.191062516128699</v>
      </c>
      <c r="AI3118">
        <v>94.17356824865</v>
      </c>
      <c r="AJ3118">
        <v>90.545838902163993</v>
      </c>
      <c r="AK3118">
        <v>15.2321451465042</v>
      </c>
    </row>
    <row r="3119" spans="1:37" x14ac:dyDescent="0.2">
      <c r="A3119" t="str">
        <f>"20200111154127285"</f>
        <v>20200111154127285</v>
      </c>
      <c r="B3119" t="str">
        <f>"1578728487279646"</f>
        <v>1578728487279646</v>
      </c>
      <c r="C3119" t="s">
        <v>37</v>
      </c>
      <c r="D3119">
        <v>5.4941329999999997</v>
      </c>
      <c r="E3119">
        <v>0.4915986</v>
      </c>
      <c r="F3119" t="s">
        <v>38</v>
      </c>
      <c r="G3119">
        <v>-227.58850000000001</v>
      </c>
      <c r="H3119">
        <v>1.0382370000000001</v>
      </c>
      <c r="I3119">
        <v>140.41749999999999</v>
      </c>
      <c r="J3119">
        <v>-226.89680000000001</v>
      </c>
      <c r="K3119">
        <v>1.1084909999999999</v>
      </c>
      <c r="L3119">
        <v>140.4211</v>
      </c>
      <c r="M3119">
        <v>-0.99993949999999998</v>
      </c>
      <c r="N3119">
        <v>0</v>
      </c>
      <c r="O3119">
        <v>1.0208180000000001E-2</v>
      </c>
      <c r="P3119">
        <v>-0.99859989999999998</v>
      </c>
      <c r="Q3119">
        <v>5.0074819999999999E-2</v>
      </c>
      <c r="R3119">
        <v>1.7066290000000001E-2</v>
      </c>
      <c r="S3119">
        <v>-3.0139469999999999</v>
      </c>
      <c r="T3119">
        <v>-0.20994760000000001</v>
      </c>
      <c r="U3119">
        <v>-4.4250489999999898E-4</v>
      </c>
      <c r="V3119">
        <v>6.9587440000000002E-3</v>
      </c>
      <c r="W3119">
        <v>5.4184419999999997E-2</v>
      </c>
      <c r="X3119">
        <v>0.99850669999999897</v>
      </c>
      <c r="Y3119">
        <v>-1.0305369999999999E-2</v>
      </c>
      <c r="Z3119">
        <v>-1.06872E-3</v>
      </c>
      <c r="AA3119">
        <v>0.99994640000000001</v>
      </c>
      <c r="AB3119">
        <v>34</v>
      </c>
      <c r="AC3119">
        <v>-0.69169999999999698</v>
      </c>
      <c r="AD3119">
        <v>-7.0253999999999803E-2</v>
      </c>
      <c r="AE3119">
        <v>-3.6000000000058199E-3</v>
      </c>
      <c r="AF3119">
        <v>-1.05520193145268E-2</v>
      </c>
      <c r="AG3119">
        <v>-7.0253999999999803E-2</v>
      </c>
      <c r="AH3119">
        <v>0.68456549991375804</v>
      </c>
      <c r="AI3119">
        <v>95.858813833899703</v>
      </c>
      <c r="AJ3119">
        <v>90.883097813610604</v>
      </c>
      <c r="AK3119">
        <v>0.68824188574932599</v>
      </c>
    </row>
    <row r="3120" spans="1:37" x14ac:dyDescent="0.2">
      <c r="A3120" t="str">
        <f>"20200111154127309"</f>
        <v>20200111154127309</v>
      </c>
      <c r="B3120" t="str">
        <f>"1578728487299167"</f>
        <v>1578728487299167</v>
      </c>
      <c r="C3120" t="s">
        <v>37</v>
      </c>
      <c r="D3120">
        <v>5.5407120000000001</v>
      </c>
      <c r="E3120">
        <v>0.49192709999999901</v>
      </c>
      <c r="F3120" t="s">
        <v>38</v>
      </c>
      <c r="G3120">
        <v>-227.89699999999999</v>
      </c>
      <c r="H3120">
        <v>1.03908</v>
      </c>
      <c r="I3120">
        <v>140.4205</v>
      </c>
      <c r="J3120">
        <v>-227.2681</v>
      </c>
      <c r="K3120">
        <v>1.1083860000000001</v>
      </c>
      <c r="L3120">
        <v>140.42570000000001</v>
      </c>
      <c r="M3120">
        <v>-0.99992939999999997</v>
      </c>
      <c r="N3120">
        <v>0</v>
      </c>
      <c r="O3120">
        <v>1.115471E-2</v>
      </c>
      <c r="P3120">
        <v>-0.99852199999999902</v>
      </c>
      <c r="Q3120">
        <v>5.2564180000000002E-2</v>
      </c>
      <c r="R3120">
        <v>1.382335E-2</v>
      </c>
      <c r="S3120">
        <v>-3.0147089999999999</v>
      </c>
      <c r="T3120">
        <v>-0.20916460000000001</v>
      </c>
      <c r="U3120">
        <v>-1.6021729999999999E-3</v>
      </c>
      <c r="V3120">
        <v>2.790608E-3</v>
      </c>
      <c r="W3120">
        <v>5.6686819999999999E-2</v>
      </c>
      <c r="X3120">
        <v>0.998388099999999</v>
      </c>
      <c r="Y3120">
        <v>-1.163145E-2</v>
      </c>
      <c r="Z3120">
        <v>-1.1760130000000001E-3</v>
      </c>
      <c r="AA3120">
        <v>0.99993159999999903</v>
      </c>
      <c r="AB3120">
        <v>34</v>
      </c>
      <c r="AC3120">
        <v>-0.628900000000015</v>
      </c>
      <c r="AD3120">
        <v>-6.9306000000000006E-2</v>
      </c>
      <c r="AE3120">
        <v>-5.2000000000020901E-3</v>
      </c>
      <c r="AF3120">
        <v>-1.2068378395630901E-2</v>
      </c>
      <c r="AG3120">
        <v>-6.9306000000000006E-2</v>
      </c>
      <c r="AH3120">
        <v>0.62125852863856501</v>
      </c>
      <c r="AI3120">
        <v>96.364259567493605</v>
      </c>
      <c r="AJ3120">
        <v>91.112870340859402</v>
      </c>
      <c r="AK3120">
        <v>0.62522885953805396</v>
      </c>
    </row>
    <row r="3121" spans="1:37" x14ac:dyDescent="0.2">
      <c r="A3121" t="str">
        <f>"20200111154127331"</f>
        <v>20200111154127331</v>
      </c>
      <c r="B3121" t="str">
        <f>"1578728487319662"</f>
        <v>1578728487319662</v>
      </c>
      <c r="C3121" t="s">
        <v>37</v>
      </c>
      <c r="D3121">
        <v>5.5582560000000001</v>
      </c>
      <c r="E3121">
        <v>0.49245889999999998</v>
      </c>
      <c r="F3121" t="s">
        <v>39</v>
      </c>
      <c r="G3121">
        <v>-243.60409999999999</v>
      </c>
      <c r="H3121" s="1">
        <v>-2.9310719999999998E-6</v>
      </c>
      <c r="I3121">
        <v>140.38650000000001</v>
      </c>
      <c r="J3121">
        <v>-227.6037</v>
      </c>
      <c r="K3121">
        <v>1.108277</v>
      </c>
      <c r="L3121">
        <v>140.43039999999999</v>
      </c>
      <c r="M3121">
        <v>-0.99991749999999902</v>
      </c>
      <c r="N3121">
        <v>0</v>
      </c>
      <c r="O3121">
        <v>1.215806E-2</v>
      </c>
      <c r="P3121">
        <v>-0.99852240000000003</v>
      </c>
      <c r="Q3121">
        <v>5.3269589999999999E-2</v>
      </c>
      <c r="R3121">
        <v>1.0742349999999999E-2</v>
      </c>
      <c r="S3121">
        <v>-3.01532</v>
      </c>
      <c r="T3121">
        <v>-0.2045882</v>
      </c>
      <c r="U3121">
        <v>-7.2326659999999996E-3</v>
      </c>
      <c r="V3121">
        <v>-1.276117E-3</v>
      </c>
      <c r="W3121">
        <v>5.7408050000000002E-2</v>
      </c>
      <c r="X3121">
        <v>0.99834999999999996</v>
      </c>
      <c r="Y3121">
        <v>-1.4495310000000001E-2</v>
      </c>
      <c r="Z3121">
        <v>-1.3151510000000001E-3</v>
      </c>
      <c r="AA3121">
        <v>0.99989409999999901</v>
      </c>
      <c r="AB3121">
        <v>34</v>
      </c>
      <c r="AC3121">
        <v>-16.0003999999999</v>
      </c>
      <c r="AD3121">
        <v>-1.108279931072</v>
      </c>
      <c r="AE3121">
        <v>-4.38999999999794E-2</v>
      </c>
      <c r="AF3121">
        <v>-0.23729378225149</v>
      </c>
      <c r="AG3121">
        <v>-1.108279931072</v>
      </c>
      <c r="AH3121">
        <v>15.9222930716733</v>
      </c>
      <c r="AI3121">
        <v>93.981241394774798</v>
      </c>
      <c r="AJ3121">
        <v>90.85382964115</v>
      </c>
      <c r="AK3121">
        <v>15.9625815394932</v>
      </c>
    </row>
    <row r="3122" spans="1:37" x14ac:dyDescent="0.2">
      <c r="A3122" t="str">
        <f>"20200111154127354"</f>
        <v>20200111154127354</v>
      </c>
      <c r="B3122" t="str">
        <f>"1578728487348942"</f>
        <v>1578728487348942</v>
      </c>
      <c r="C3122" t="s">
        <v>37</v>
      </c>
      <c r="D3122">
        <v>5.4562169999999997</v>
      </c>
      <c r="E3122">
        <v>0.49281390000000003</v>
      </c>
      <c r="F3122" t="s">
        <v>39</v>
      </c>
      <c r="G3122">
        <v>-243.8972</v>
      </c>
      <c r="H3122" s="1">
        <v>-2.80074E-6</v>
      </c>
      <c r="I3122">
        <v>140.3691</v>
      </c>
      <c r="J3122">
        <v>-227.95930000000001</v>
      </c>
      <c r="K3122">
        <v>1.10815</v>
      </c>
      <c r="L3122">
        <v>140.4358</v>
      </c>
      <c r="M3122">
        <v>-0.99990190000000001</v>
      </c>
      <c r="N3122">
        <v>0</v>
      </c>
      <c r="O3122">
        <v>1.338665E-2</v>
      </c>
      <c r="P3122">
        <v>-0.99860659999999901</v>
      </c>
      <c r="Q3122">
        <v>5.20505E-2</v>
      </c>
      <c r="R3122">
        <v>8.7031550000000006E-3</v>
      </c>
      <c r="S3122">
        <v>-3.0155029999999998</v>
      </c>
      <c r="T3122">
        <v>-0.20511509999999999</v>
      </c>
      <c r="U3122">
        <v>-1.132202E-2</v>
      </c>
      <c r="V3122">
        <v>-4.5302199999999997E-3</v>
      </c>
      <c r="W3122">
        <v>5.6205030000000003E-2</v>
      </c>
      <c r="X3122">
        <v>0.99840899999999999</v>
      </c>
      <c r="Y3122">
        <v>-1.707053E-2</v>
      </c>
      <c r="Z3122">
        <v>-1.4894000000000001E-3</v>
      </c>
      <c r="AA3122">
        <v>0.999853199999999</v>
      </c>
      <c r="AB3122">
        <v>34</v>
      </c>
      <c r="AC3122">
        <v>-15.9378999999999</v>
      </c>
      <c r="AD3122">
        <v>-1.1081528007400001</v>
      </c>
      <c r="AE3122">
        <v>-6.6699999999997303E-2</v>
      </c>
      <c r="AF3122">
        <v>-0.278703600435669</v>
      </c>
      <c r="AG3122">
        <v>-1.1081528007400001</v>
      </c>
      <c r="AH3122">
        <v>15.858912941010701</v>
      </c>
      <c r="AI3122">
        <v>93.996471213946606</v>
      </c>
      <c r="AJ3122">
        <v>91.006809008784998</v>
      </c>
      <c r="AK3122">
        <v>15.900025094232999</v>
      </c>
    </row>
    <row r="3123" spans="1:37" x14ac:dyDescent="0.2">
      <c r="A3123" t="str">
        <f>"20200111154127376"</f>
        <v>20200111154127376</v>
      </c>
      <c r="B3123" t="str">
        <f>"1578728487369439"</f>
        <v>1578728487369439</v>
      </c>
      <c r="C3123" t="s">
        <v>37</v>
      </c>
      <c r="D3123">
        <v>5.3960660000000003</v>
      </c>
      <c r="E3123">
        <v>0.49350919999999998</v>
      </c>
      <c r="F3123" t="s">
        <v>39</v>
      </c>
      <c r="G3123">
        <v>-243.715</v>
      </c>
      <c r="H3123" s="1">
        <v>-2.8769450000000001E-6</v>
      </c>
      <c r="I3123">
        <v>140.36179999999999</v>
      </c>
      <c r="J3123">
        <v>-228.30070000000001</v>
      </c>
      <c r="K3123">
        <v>1.1080159999999999</v>
      </c>
      <c r="L3123">
        <v>140.44149999999999</v>
      </c>
      <c r="M3123">
        <v>-0.99988310000000002</v>
      </c>
      <c r="N3123">
        <v>0</v>
      </c>
      <c r="O3123">
        <v>1.472004E-2</v>
      </c>
      <c r="P3123">
        <v>-0.99869519999999901</v>
      </c>
      <c r="Q3123">
        <v>5.0513019999999999E-2</v>
      </c>
      <c r="R3123">
        <v>7.5119439999999996E-3</v>
      </c>
      <c r="S3123">
        <v>-3.01536599999999</v>
      </c>
      <c r="T3123">
        <v>-0.212082299999999</v>
      </c>
      <c r="U3123">
        <v>-1.41448999999999E-2</v>
      </c>
      <c r="V3123">
        <v>-7.0430650000000003E-3</v>
      </c>
      <c r="W3123">
        <v>5.4682450000000001E-2</v>
      </c>
      <c r="X3123">
        <v>0.99847889999999995</v>
      </c>
      <c r="Y3123">
        <v>-1.9326280000000001E-2</v>
      </c>
      <c r="Z3123">
        <v>-1.71282799999999E-3</v>
      </c>
      <c r="AA3123">
        <v>0.99981180000000003</v>
      </c>
      <c r="AB3123">
        <v>35</v>
      </c>
      <c r="AC3123">
        <v>-15.4142999999999</v>
      </c>
      <c r="AD3123">
        <v>-1.1080188769449999</v>
      </c>
      <c r="AE3123">
        <v>-7.9700000000002505E-2</v>
      </c>
      <c r="AF3123">
        <v>-0.30501641048162598</v>
      </c>
      <c r="AG3123">
        <v>-1.1080188769449999</v>
      </c>
      <c r="AH3123">
        <v>15.3322356543823</v>
      </c>
      <c r="AI3123">
        <v>94.132609261808696</v>
      </c>
      <c r="AJ3123">
        <v>91.139680374806801</v>
      </c>
      <c r="AK3123">
        <v>15.3752460469367</v>
      </c>
    </row>
    <row r="3124" spans="1:37" x14ac:dyDescent="0.2">
      <c r="A3124" t="str">
        <f>"20200111154127398"</f>
        <v>20200111154127398</v>
      </c>
      <c r="B3124" t="str">
        <f>"1578728487388958"</f>
        <v>1578728487388958</v>
      </c>
      <c r="C3124" t="s">
        <v>37</v>
      </c>
      <c r="D3124">
        <v>5.4841620000000004</v>
      </c>
      <c r="E3124">
        <v>0.49374770000000001</v>
      </c>
      <c r="F3124" t="s">
        <v>39</v>
      </c>
      <c r="G3124">
        <v>-243.5438</v>
      </c>
      <c r="H3124" s="1">
        <v>-2.956077E-6</v>
      </c>
      <c r="I3124">
        <v>140.38319999999999</v>
      </c>
      <c r="J3124">
        <v>-228.64750000000001</v>
      </c>
      <c r="K3124">
        <v>1.1078889999999999</v>
      </c>
      <c r="L3124">
        <v>140.4478</v>
      </c>
      <c r="M3124">
        <v>-0.99985999999999997</v>
      </c>
      <c r="N3124">
        <v>0</v>
      </c>
      <c r="O3124">
        <v>1.620802E-2</v>
      </c>
      <c r="P3124">
        <v>-0.99877109999999902</v>
      </c>
      <c r="Q3124">
        <v>4.9132439999999999E-2</v>
      </c>
      <c r="R3124">
        <v>6.5245619999999898E-3</v>
      </c>
      <c r="S3124">
        <v>-3.0151059999999998</v>
      </c>
      <c r="T3124">
        <v>-0.21916839999999899</v>
      </c>
      <c r="U3124">
        <v>-1.1505130000000001E-2</v>
      </c>
      <c r="V3124">
        <v>-9.5061940000000008E-3</v>
      </c>
      <c r="W3124">
        <v>5.3318780000000003E-2</v>
      </c>
      <c r="X3124">
        <v>0.99853230000000004</v>
      </c>
      <c r="Y3124">
        <v>-1.9928000000000001E-2</v>
      </c>
      <c r="Z3124">
        <v>-1.8999139999999999E-3</v>
      </c>
      <c r="AA3124">
        <v>0.99979959999999901</v>
      </c>
      <c r="AB3124">
        <v>35</v>
      </c>
      <c r="AC3124">
        <v>-14.896299999999901</v>
      </c>
      <c r="AD3124">
        <v>-1.107891956077</v>
      </c>
      <c r="AE3124">
        <v>-6.46000000000128E-2</v>
      </c>
      <c r="AF3124">
        <v>-0.304349669070203</v>
      </c>
      <c r="AG3124">
        <v>-1.107891956077</v>
      </c>
      <c r="AH3124">
        <v>14.811369540193899</v>
      </c>
      <c r="AI3124">
        <v>94.276864449487505</v>
      </c>
      <c r="AJ3124">
        <v>91.177169862520003</v>
      </c>
      <c r="AK3124">
        <v>14.855864867572899</v>
      </c>
    </row>
    <row r="3125" spans="1:37" x14ac:dyDescent="0.2">
      <c r="A3125" t="str">
        <f>"20200111154127421"</f>
        <v>20200111154127421</v>
      </c>
      <c r="B3125" t="str">
        <f>"1578728487409454"</f>
        <v>1578728487409454</v>
      </c>
      <c r="C3125" t="s">
        <v>37</v>
      </c>
      <c r="D3125">
        <v>5.8500449999999997</v>
      </c>
      <c r="E3125">
        <v>0.49411569999999999</v>
      </c>
      <c r="F3125" t="s">
        <v>39</v>
      </c>
      <c r="G3125">
        <v>-243.56960000000001</v>
      </c>
      <c r="H3125" s="1">
        <v>-2.9462790000000001E-6</v>
      </c>
      <c r="I3125">
        <v>140.38810000000001</v>
      </c>
      <c r="J3125">
        <v>-229.0078</v>
      </c>
      <c r="K3125">
        <v>1.1077629999999901</v>
      </c>
      <c r="L3125">
        <v>140.45500000000001</v>
      </c>
      <c r="M3125">
        <v>-0.9998319</v>
      </c>
      <c r="N3125">
        <v>0</v>
      </c>
      <c r="O3125">
        <v>1.786308E-2</v>
      </c>
      <c r="P3125">
        <v>-0.99880219999999897</v>
      </c>
      <c r="Q3125">
        <v>4.8655450000000003E-2</v>
      </c>
      <c r="R3125">
        <v>5.18356799999999E-3</v>
      </c>
      <c r="S3125">
        <v>-3.0148009999999998</v>
      </c>
      <c r="T3125">
        <v>-0.2238337</v>
      </c>
      <c r="U3125">
        <v>-1.205444E-2</v>
      </c>
      <c r="V3125">
        <v>-1.24885E-2</v>
      </c>
      <c r="W3125">
        <v>5.2863569999999999E-2</v>
      </c>
      <c r="X3125">
        <v>0.99852369999999901</v>
      </c>
      <c r="Y3125">
        <v>-2.175181E-2</v>
      </c>
      <c r="Z3125">
        <v>-2.1307539999999999E-3</v>
      </c>
      <c r="AA3125">
        <v>0.99976109999999896</v>
      </c>
      <c r="AB3125">
        <v>35</v>
      </c>
      <c r="AC3125">
        <v>-14.5618</v>
      </c>
      <c r="AD3125">
        <v>-1.1077659462789999</v>
      </c>
      <c r="AE3125">
        <v>-6.6900000000003901E-2</v>
      </c>
      <c r="AF3125">
        <v>-0.32512861212773098</v>
      </c>
      <c r="AG3125">
        <v>-1.1077659462789999</v>
      </c>
      <c r="AH3125">
        <v>14.474516809751499</v>
      </c>
      <c r="AI3125">
        <v>94.375338841070501</v>
      </c>
      <c r="AJ3125">
        <v>91.286769394674195</v>
      </c>
      <c r="AK3125">
        <v>14.520485215100001</v>
      </c>
    </row>
    <row r="3126" spans="1:37" x14ac:dyDescent="0.2">
      <c r="A3126" t="str">
        <f>"20200111154127442"</f>
        <v>20200111154127442</v>
      </c>
      <c r="B3126" t="str">
        <f>"1578728487439712"</f>
        <v>1578728487439712</v>
      </c>
      <c r="C3126" t="s">
        <v>37</v>
      </c>
      <c r="D3126">
        <v>5.7906469999999999</v>
      </c>
      <c r="E3126">
        <v>0.49460579999999998</v>
      </c>
      <c r="F3126" t="s">
        <v>39</v>
      </c>
      <c r="G3126">
        <v>-243.87119999999999</v>
      </c>
      <c r="H3126" s="1">
        <v>-2.8185789999999899E-6</v>
      </c>
      <c r="I3126">
        <v>140.39439999999999</v>
      </c>
      <c r="J3126">
        <v>-229.34710000000001</v>
      </c>
      <c r="K3126">
        <v>1.1076699999999999</v>
      </c>
      <c r="L3126">
        <v>140.46250000000001</v>
      </c>
      <c r="M3126">
        <v>-0.9998013</v>
      </c>
      <c r="N3126">
        <v>0</v>
      </c>
      <c r="O3126">
        <v>1.9496639999999999E-2</v>
      </c>
      <c r="P3126">
        <v>-0.99885199999999996</v>
      </c>
      <c r="Q3126">
        <v>4.7722510000000003E-2</v>
      </c>
      <c r="R3126">
        <v>4.1690429999999999E-3</v>
      </c>
      <c r="S3126">
        <v>-3.0146029999999899</v>
      </c>
      <c r="T3126">
        <v>-0.22467670000000001</v>
      </c>
      <c r="U3126">
        <v>-1.228333E-2</v>
      </c>
      <c r="V3126">
        <v>-1.512695E-2</v>
      </c>
      <c r="W3126">
        <v>5.1952159999999997E-2</v>
      </c>
      <c r="X3126">
        <v>0.99853499999999995</v>
      </c>
      <c r="Y3126">
        <v>-2.3451329999999999E-2</v>
      </c>
      <c r="Z3126">
        <v>-2.3237069999999999E-3</v>
      </c>
      <c r="AA3126">
        <v>0.99972229999999995</v>
      </c>
      <c r="AB3126">
        <v>35</v>
      </c>
      <c r="AC3126">
        <v>-14.524099999999899</v>
      </c>
      <c r="AD3126">
        <v>-1.1076728185789999</v>
      </c>
      <c r="AE3126">
        <v>-6.8100000000015301E-2</v>
      </c>
      <c r="AF3126">
        <v>-0.34922947753189298</v>
      </c>
      <c r="AG3126">
        <v>-1.1076728185789999</v>
      </c>
      <c r="AH3126">
        <v>14.436049403574501</v>
      </c>
      <c r="AI3126">
        <v>94.386408723916404</v>
      </c>
      <c r="AJ3126">
        <v>91.385799716132794</v>
      </c>
      <c r="AK3126">
        <v>14.482693902842801</v>
      </c>
    </row>
    <row r="3127" spans="1:37" x14ac:dyDescent="0.2">
      <c r="A3127" t="str">
        <f>"20200111154127465"</f>
        <v>20200111154127465</v>
      </c>
      <c r="B3127" t="str">
        <f>"1578728487459231"</f>
        <v>1578728487459231</v>
      </c>
      <c r="C3127" t="s">
        <v>37</v>
      </c>
      <c r="D3127">
        <v>5.4979569999999898</v>
      </c>
      <c r="E3127">
        <v>0.49512650000000002</v>
      </c>
      <c r="F3127" t="s">
        <v>39</v>
      </c>
      <c r="G3127">
        <v>-244.1524</v>
      </c>
      <c r="H3127" s="1">
        <v>-2.7015739999999998E-6</v>
      </c>
      <c r="I3127">
        <v>140.40799999999999</v>
      </c>
      <c r="J3127">
        <v>-229.68270000000001</v>
      </c>
      <c r="K3127">
        <v>1.1075919999999999</v>
      </c>
      <c r="L3127">
        <v>140.47040000000001</v>
      </c>
      <c r="M3127">
        <v>-0.99976739999999997</v>
      </c>
      <c r="N3127">
        <v>0</v>
      </c>
      <c r="O3127">
        <v>2.1160140000000001E-2</v>
      </c>
      <c r="P3127">
        <v>-0.99889430000000001</v>
      </c>
      <c r="Q3127">
        <v>4.6845400000000002E-2</v>
      </c>
      <c r="R3127">
        <v>3.9587839999999999E-3</v>
      </c>
      <c r="S3127">
        <v>-3.0142669999999998</v>
      </c>
      <c r="T3127">
        <v>-0.2255162</v>
      </c>
      <c r="U3127">
        <v>-1.107788E-2</v>
      </c>
      <c r="V3127">
        <v>-1.6994619999999998E-2</v>
      </c>
      <c r="W3127">
        <v>5.109118E-2</v>
      </c>
      <c r="X3127">
        <v>0.99854940000000003</v>
      </c>
      <c r="Y3127">
        <v>-2.47063E-2</v>
      </c>
      <c r="Z3127">
        <v>-2.503772E-3</v>
      </c>
      <c r="AA3127">
        <v>0.99969159999999901</v>
      </c>
      <c r="AB3127">
        <v>35</v>
      </c>
      <c r="AC3127">
        <v>-14.4696999999999</v>
      </c>
      <c r="AD3127">
        <v>-1.107594701574</v>
      </c>
      <c r="AE3127">
        <v>-6.2400000000025102E-2</v>
      </c>
      <c r="AF3127">
        <v>-0.36642264385627299</v>
      </c>
      <c r="AG3127">
        <v>-1.107594701574</v>
      </c>
      <c r="AH3127">
        <v>14.380880029943</v>
      </c>
      <c r="AI3127">
        <v>94.402720710778993</v>
      </c>
      <c r="AJ3127">
        <v>91.459571971536505</v>
      </c>
      <c r="AK3127">
        <v>14.4281233018193</v>
      </c>
    </row>
    <row r="3128" spans="1:37" x14ac:dyDescent="0.2">
      <c r="A3128" t="str">
        <f>"20200111154127487"</f>
        <v>20200111154127487</v>
      </c>
      <c r="B3128" t="str">
        <f>"1578728487479726"</f>
        <v>1578728487479726</v>
      </c>
      <c r="C3128" t="s">
        <v>37</v>
      </c>
      <c r="D3128">
        <v>5.5094940000000001</v>
      </c>
      <c r="E3128">
        <v>0.49560659999999901</v>
      </c>
      <c r="F3128" t="s">
        <v>38</v>
      </c>
      <c r="G3128">
        <v>-230.71629999999999</v>
      </c>
      <c r="H3128">
        <v>1.030373</v>
      </c>
      <c r="I3128">
        <v>140.46789999999999</v>
      </c>
      <c r="J3128">
        <v>-230.0599</v>
      </c>
      <c r="K3128">
        <v>1.1075200000000001</v>
      </c>
      <c r="L3128">
        <v>140.47999999999999</v>
      </c>
      <c r="M3128">
        <v>-0.99972530000000004</v>
      </c>
      <c r="N3128">
        <v>0</v>
      </c>
      <c r="O3128">
        <v>2.3065200000000001E-2</v>
      </c>
      <c r="P3128">
        <v>-0.99890080000000003</v>
      </c>
      <c r="Q3128">
        <v>4.6662849999999999E-2</v>
      </c>
      <c r="R3128">
        <v>4.4622749999999999E-3</v>
      </c>
      <c r="S3128">
        <v>-3.013916</v>
      </c>
      <c r="T3128">
        <v>-0.22517880000000001</v>
      </c>
      <c r="U3128">
        <v>-7.7362059999999998E-3</v>
      </c>
      <c r="V3128">
        <v>-1.838702E-2</v>
      </c>
      <c r="W3128">
        <v>5.0914029999999999E-2</v>
      </c>
      <c r="X3128">
        <v>0.99853380000000003</v>
      </c>
      <c r="Y3128">
        <v>-2.5496129999999999E-2</v>
      </c>
      <c r="Z3128">
        <v>-2.6719040000000001E-3</v>
      </c>
      <c r="AA3128">
        <v>0.99967129999999904</v>
      </c>
      <c r="AB3128">
        <v>35</v>
      </c>
      <c r="AC3128">
        <v>-0.65639999999998999</v>
      </c>
      <c r="AD3128">
        <v>-7.7146999999999993E-2</v>
      </c>
      <c r="AE3128">
        <v>-1.21000000000037E-2</v>
      </c>
      <c r="AF3128">
        <v>-2.68659252876489E-2</v>
      </c>
      <c r="AG3128">
        <v>-7.7146999999999993E-2</v>
      </c>
      <c r="AH3128">
        <v>0.64701187379700598</v>
      </c>
      <c r="AI3128">
        <v>96.793808016287599</v>
      </c>
      <c r="AJ3128">
        <v>92.377731284483005</v>
      </c>
      <c r="AK3128">
        <v>0.65214860452574297</v>
      </c>
    </row>
    <row r="3129" spans="1:37" x14ac:dyDescent="0.2">
      <c r="A3129" t="str">
        <f>"20200111154127510"</f>
        <v>20200111154127510</v>
      </c>
      <c r="B3129" t="str">
        <f>"1578728487499246"</f>
        <v>1578728487499246</v>
      </c>
      <c r="C3129" t="s">
        <v>37</v>
      </c>
      <c r="D3129">
        <v>5.4028390000000002</v>
      </c>
      <c r="E3129">
        <v>0.49593379999999998</v>
      </c>
      <c r="F3129" t="s">
        <v>38</v>
      </c>
      <c r="G3129">
        <v>-231.047</v>
      </c>
      <c r="H3129">
        <v>1.034551</v>
      </c>
      <c r="I3129">
        <v>140.47929999999999</v>
      </c>
      <c r="J3129">
        <v>-230.42850000000001</v>
      </c>
      <c r="K3129">
        <v>1.107467</v>
      </c>
      <c r="L3129">
        <v>140.49010000000001</v>
      </c>
      <c r="M3129">
        <v>-0.99968020000000002</v>
      </c>
      <c r="N3129">
        <v>0</v>
      </c>
      <c r="O3129">
        <v>2.4943969999999999E-2</v>
      </c>
      <c r="P3129">
        <v>-0.99889240000000001</v>
      </c>
      <c r="Q3129">
        <v>4.6741989999999997E-2</v>
      </c>
      <c r="R3129">
        <v>5.4094479999999999E-3</v>
      </c>
      <c r="S3129">
        <v>-3.0137179999999999</v>
      </c>
      <c r="T3129">
        <v>-0.222791399999999</v>
      </c>
      <c r="U3129">
        <v>-2.380371E-3</v>
      </c>
      <c r="V3129">
        <v>-1.9311599999999901E-2</v>
      </c>
      <c r="W3129">
        <v>5.0987369999999997E-2</v>
      </c>
      <c r="X3129">
        <v>0.99851259999999997</v>
      </c>
      <c r="Y3129">
        <v>-2.559587E-2</v>
      </c>
      <c r="Z3129">
        <v>-2.7861740000000002E-3</v>
      </c>
      <c r="AA3129">
        <v>0.99966849999999996</v>
      </c>
      <c r="AB3129">
        <v>36</v>
      </c>
      <c r="AC3129">
        <v>-0.61849999999998295</v>
      </c>
      <c r="AD3129">
        <v>-7.2915999999999898E-2</v>
      </c>
      <c r="AE3129">
        <v>-1.08000000000174E-2</v>
      </c>
      <c r="AF3129">
        <v>-2.5865241297959099E-2</v>
      </c>
      <c r="AG3129">
        <v>-7.2915999999999898E-2</v>
      </c>
      <c r="AH3129">
        <v>0.60956867831509698</v>
      </c>
      <c r="AI3129">
        <v>96.815178260301394</v>
      </c>
      <c r="AJ3129">
        <v>92.429719172248397</v>
      </c>
      <c r="AK3129">
        <v>0.61445888987483599</v>
      </c>
    </row>
    <row r="3130" spans="1:37" x14ac:dyDescent="0.2">
      <c r="A3130" t="str">
        <f>"20200111154127533"</f>
        <v>20200111154127533</v>
      </c>
      <c r="B3130" t="str">
        <f>"1578728487529502"</f>
        <v>1578728487529502</v>
      </c>
      <c r="C3130" t="s">
        <v>37</v>
      </c>
      <c r="D3130">
        <v>5.5260829999999999</v>
      </c>
      <c r="E3130">
        <v>0.49630930000000001</v>
      </c>
      <c r="F3130" t="s">
        <v>39</v>
      </c>
      <c r="G3130">
        <v>-245.5685</v>
      </c>
      <c r="H3130" s="1">
        <v>-2.1193679999999999E-6</v>
      </c>
      <c r="I3130">
        <v>140.50299999999999</v>
      </c>
      <c r="J3130">
        <v>-230.78790000000001</v>
      </c>
      <c r="K3130">
        <v>1.107424</v>
      </c>
      <c r="L3130">
        <v>140.50049999999999</v>
      </c>
      <c r="M3130">
        <v>-0.99963279999999999</v>
      </c>
      <c r="N3130">
        <v>0</v>
      </c>
      <c r="O3130">
        <v>2.6780290000000002E-2</v>
      </c>
      <c r="P3130">
        <v>-0.99885299999999999</v>
      </c>
      <c r="Q3130">
        <v>4.7307879999999997E-2</v>
      </c>
      <c r="R3130">
        <v>7.4103609999999999E-3</v>
      </c>
      <c r="S3130">
        <v>-3.0136409999999998</v>
      </c>
      <c r="T3130">
        <v>-0.22044369999999999</v>
      </c>
      <c r="U3130">
        <v>2.5939940000000001E-3</v>
      </c>
      <c r="V3130">
        <v>-1.913776E-2</v>
      </c>
      <c r="W3130">
        <v>5.1527389999999999E-2</v>
      </c>
      <c r="X3130">
        <v>0.99848819999999905</v>
      </c>
      <c r="Y3130">
        <v>-2.5779650000000001E-2</v>
      </c>
      <c r="Z3130">
        <v>-2.8977779999999902E-3</v>
      </c>
      <c r="AA3130">
        <v>0.99966350000000004</v>
      </c>
      <c r="AB3130">
        <v>36</v>
      </c>
      <c r="AC3130">
        <v>-14.7805999999999</v>
      </c>
      <c r="AD3130">
        <v>-1.107426119368</v>
      </c>
      <c r="AE3130">
        <v>2.4999999999977202E-3</v>
      </c>
      <c r="AF3130">
        <v>-0.39113732339351398</v>
      </c>
      <c r="AG3130">
        <v>-1.107426119368</v>
      </c>
      <c r="AH3130">
        <v>14.6928849819072</v>
      </c>
      <c r="AI3130">
        <v>94.308803516070398</v>
      </c>
      <c r="AJ3130">
        <v>91.524903123306004</v>
      </c>
      <c r="AK3130">
        <v>14.7397506799526</v>
      </c>
    </row>
    <row r="3131" spans="1:37" x14ac:dyDescent="0.2">
      <c r="A3131" t="str">
        <f>"20200111154127553"</f>
        <v>20200111154127553</v>
      </c>
      <c r="B3131" t="str">
        <f>"1578728487549023"</f>
        <v>1578728487549023</v>
      </c>
      <c r="C3131" t="s">
        <v>37</v>
      </c>
      <c r="D3131">
        <v>5.595326</v>
      </c>
      <c r="E3131">
        <v>0.49649199999999999</v>
      </c>
      <c r="F3131" t="s">
        <v>39</v>
      </c>
      <c r="G3131">
        <v>-246.2757</v>
      </c>
      <c r="H3131" s="1">
        <v>-1.8305859999999999E-6</v>
      </c>
      <c r="I3131">
        <v>140.55789999999999</v>
      </c>
      <c r="J3131">
        <v>-231.12049999999999</v>
      </c>
      <c r="K3131">
        <v>1.107394</v>
      </c>
      <c r="L3131">
        <v>140.51079999999999</v>
      </c>
      <c r="M3131">
        <v>-0.99958630000000004</v>
      </c>
      <c r="N3131">
        <v>0</v>
      </c>
      <c r="O3131">
        <v>2.847015E-2</v>
      </c>
      <c r="P3131">
        <v>-0.99876949999999998</v>
      </c>
      <c r="Q3131">
        <v>4.864955E-2</v>
      </c>
      <c r="R3131">
        <v>9.65320699999999E-3</v>
      </c>
      <c r="S3131">
        <v>-3.0135959999999899</v>
      </c>
      <c r="T3131">
        <v>-0.2154828</v>
      </c>
      <c r="U3131">
        <v>1.1169429999999999E-2</v>
      </c>
      <c r="V3131">
        <v>-1.8573249999999999E-2</v>
      </c>
      <c r="W3131">
        <v>5.282357E-2</v>
      </c>
      <c r="X3131">
        <v>0.99843110000000002</v>
      </c>
      <c r="Y3131">
        <v>-2.462982E-2</v>
      </c>
      <c r="Z3131">
        <v>-2.912333E-3</v>
      </c>
      <c r="AA3131">
        <v>0.99969240000000004</v>
      </c>
      <c r="AB3131">
        <v>36</v>
      </c>
      <c r="AC3131">
        <v>-15.155200000000001</v>
      </c>
      <c r="AD3131">
        <v>-1.1073958305859899</v>
      </c>
      <c r="AE3131">
        <v>4.7100000000000301E-2</v>
      </c>
      <c r="AF3131">
        <v>-0.38235204466596001</v>
      </c>
      <c r="AG3131">
        <v>-1.1073958305859899</v>
      </c>
      <c r="AH3131">
        <v>15.0699358089888</v>
      </c>
      <c r="AI3131">
        <v>94.201409254657307</v>
      </c>
      <c r="AJ3131">
        <v>91.453387709933594</v>
      </c>
      <c r="AK3131">
        <v>15.1154055155229</v>
      </c>
    </row>
    <row r="3132" spans="1:37" x14ac:dyDescent="0.2">
      <c r="A3132" t="str">
        <f>"20200111154127576"</f>
        <v>20200111154127576</v>
      </c>
      <c r="B3132" t="str">
        <f>"1578728487569519"</f>
        <v>1578728487569519</v>
      </c>
      <c r="C3132" t="s">
        <v>37</v>
      </c>
      <c r="D3132">
        <v>5.4099089999999999</v>
      </c>
      <c r="E3132">
        <v>0.4966679</v>
      </c>
      <c r="F3132" t="s">
        <v>39</v>
      </c>
      <c r="G3132">
        <v>-247.03380000000001</v>
      </c>
      <c r="H3132" s="1">
        <v>-1.519636E-6</v>
      </c>
      <c r="I3132">
        <v>140.61160000000001</v>
      </c>
      <c r="J3132">
        <v>-231.48949999999999</v>
      </c>
      <c r="K3132">
        <v>1.1073649999999999</v>
      </c>
      <c r="L3132">
        <v>140.52279999999999</v>
      </c>
      <c r="M3132">
        <v>-0.99953199999999998</v>
      </c>
      <c r="N3132">
        <v>0</v>
      </c>
      <c r="O3132">
        <v>3.0322430000000001E-2</v>
      </c>
      <c r="P3132">
        <v>-0.99865700000000002</v>
      </c>
      <c r="Q3132">
        <v>5.026742E-2</v>
      </c>
      <c r="R3132">
        <v>1.256232E-2</v>
      </c>
      <c r="S3132">
        <v>-3.0137019999999999</v>
      </c>
      <c r="T3132">
        <v>-0.20972249999999901</v>
      </c>
      <c r="U3132">
        <v>1.9088750000000002E-2</v>
      </c>
      <c r="V3132">
        <v>-1.7503919999999999E-2</v>
      </c>
      <c r="W3132">
        <v>5.4368689999999997E-2</v>
      </c>
      <c r="X3132">
        <v>0.99836749999999996</v>
      </c>
      <c r="Y3132">
        <v>-2.386011E-2</v>
      </c>
      <c r="Z3132">
        <v>-2.93648E-3</v>
      </c>
      <c r="AA3132">
        <v>0.99971100000000002</v>
      </c>
      <c r="AB3132">
        <v>36</v>
      </c>
      <c r="AC3132">
        <v>-15.5443</v>
      </c>
      <c r="AD3132">
        <v>-1.1073665196359901</v>
      </c>
      <c r="AE3132">
        <v>8.8800000000020404E-2</v>
      </c>
      <c r="AF3132">
        <v>-0.38065385629113901</v>
      </c>
      <c r="AG3132">
        <v>-1.1073665196359901</v>
      </c>
      <c r="AH3132">
        <v>15.461380055517401</v>
      </c>
      <c r="AI3132">
        <v>94.095375138016394</v>
      </c>
      <c r="AJ3132">
        <v>91.410317476591402</v>
      </c>
      <c r="AK3132">
        <v>15.5056580378993</v>
      </c>
    </row>
    <row r="3133" spans="1:37" x14ac:dyDescent="0.2">
      <c r="A3133" t="str">
        <f>"20200111154127600"</f>
        <v>20200111154127600</v>
      </c>
      <c r="B3133" t="str">
        <f>"1578728487589038"</f>
        <v>1578728487589038</v>
      </c>
      <c r="C3133" t="s">
        <v>37</v>
      </c>
      <c r="D3133">
        <v>5.5157350000000003</v>
      </c>
      <c r="E3133">
        <v>0.49691800000000003</v>
      </c>
      <c r="F3133" t="s">
        <v>39</v>
      </c>
      <c r="G3133">
        <v>-247.8878</v>
      </c>
      <c r="H3133" s="1">
        <v>-1.171504E-6</v>
      </c>
      <c r="I3133">
        <v>140.68010000000001</v>
      </c>
      <c r="J3133">
        <v>-231.89109999999999</v>
      </c>
      <c r="K3133">
        <v>1.1073360000000001</v>
      </c>
      <c r="L3133">
        <v>140.53659999999999</v>
      </c>
      <c r="M3133">
        <v>-0.99947039999999998</v>
      </c>
      <c r="N3133">
        <v>0</v>
      </c>
      <c r="O3133">
        <v>3.2302740000000003E-2</v>
      </c>
      <c r="P3133">
        <v>-0.99852969999999897</v>
      </c>
      <c r="Q3133">
        <v>5.1771249999999998E-2</v>
      </c>
      <c r="R3133">
        <v>1.607256E-2</v>
      </c>
      <c r="S3133">
        <v>-3.0139009999999899</v>
      </c>
      <c r="T3133">
        <v>-0.20352699999999899</v>
      </c>
      <c r="U3133">
        <v>2.8915409999999999E-2</v>
      </c>
      <c r="V3133">
        <v>-1.5963080000000001E-2</v>
      </c>
      <c r="W3133">
        <v>5.5775599999999897E-2</v>
      </c>
      <c r="X3133">
        <v>0.99831569999999903</v>
      </c>
      <c r="Y3133">
        <v>-2.2587960000000001E-2</v>
      </c>
      <c r="Z3133">
        <v>-2.9402930000000001E-3</v>
      </c>
      <c r="AA3133">
        <v>0.99974050000000003</v>
      </c>
      <c r="AB3133">
        <v>36</v>
      </c>
      <c r="AC3133">
        <v>-15.996700000000001</v>
      </c>
      <c r="AD3133">
        <v>-1.1073371715039999</v>
      </c>
      <c r="AE3133">
        <v>0.143500000000017</v>
      </c>
      <c r="AF3133">
        <v>-0.37153593912363603</v>
      </c>
      <c r="AG3133">
        <v>-1.1073371715039999</v>
      </c>
      <c r="AH3133">
        <v>15.916723490606101</v>
      </c>
      <c r="AI3133">
        <v>93.978613265608104</v>
      </c>
      <c r="AJ3133">
        <v>91.337183259895795</v>
      </c>
      <c r="AK3133">
        <v>15.9595213349858</v>
      </c>
    </row>
    <row r="3134" spans="1:37" x14ac:dyDescent="0.2">
      <c r="A3134" t="str">
        <f>"20200111154127623"</f>
        <v>20200111154127623</v>
      </c>
      <c r="B3134" t="str">
        <f>"1578728487619294"</f>
        <v>1578728487619294</v>
      </c>
      <c r="C3134" t="s">
        <v>37</v>
      </c>
      <c r="D3134">
        <v>5.5818560000000002</v>
      </c>
      <c r="E3134">
        <v>0.49705379999999899</v>
      </c>
      <c r="F3134" t="s">
        <v>39</v>
      </c>
      <c r="G3134">
        <v>-248.73599999999999</v>
      </c>
      <c r="H3134" s="1">
        <v>-8.3039980000000004E-7</v>
      </c>
      <c r="I3134">
        <v>140.76570000000001</v>
      </c>
      <c r="J3134">
        <v>-232.2449</v>
      </c>
      <c r="K3134">
        <v>1.107313</v>
      </c>
      <c r="L3134">
        <v>140.54939999999999</v>
      </c>
      <c r="M3134">
        <v>-0.99941399999999903</v>
      </c>
      <c r="N3134">
        <v>0</v>
      </c>
      <c r="O3134">
        <v>3.4011659999999999E-2</v>
      </c>
      <c r="P3134">
        <v>-0.99843470000000001</v>
      </c>
      <c r="Q3134">
        <v>5.2489910000000001E-2</v>
      </c>
      <c r="R3134">
        <v>1.9314120000000001E-2</v>
      </c>
      <c r="S3134">
        <v>-3.0140380000000002</v>
      </c>
      <c r="T3134">
        <v>-0.1981339</v>
      </c>
      <c r="U3134">
        <v>4.1000370000000001E-2</v>
      </c>
      <c r="V3134">
        <v>-1.4425449999999999E-2</v>
      </c>
      <c r="W3134">
        <v>5.6397849999999999E-2</v>
      </c>
      <c r="X3134">
        <v>0.99830409999999903</v>
      </c>
      <c r="Y3134">
        <v>-2.0297590000000001E-2</v>
      </c>
      <c r="Z3134">
        <v>-2.8992789999999998E-3</v>
      </c>
      <c r="AA3134">
        <v>0.99978979999999995</v>
      </c>
      <c r="AB3134">
        <v>36</v>
      </c>
      <c r="AC3134">
        <v>-16.4910999999999</v>
      </c>
      <c r="AD3134">
        <v>-1.1073138303998</v>
      </c>
      <c r="AE3134">
        <v>0.21630000000001801</v>
      </c>
      <c r="AF3134">
        <v>-0.34317203884031</v>
      </c>
      <c r="AG3134">
        <v>-1.1073138303998</v>
      </c>
      <c r="AH3134">
        <v>16.414919818638499</v>
      </c>
      <c r="AI3134">
        <v>93.858358046630102</v>
      </c>
      <c r="AJ3134">
        <v>91.197657123520599</v>
      </c>
      <c r="AK3134">
        <v>16.4558045570421</v>
      </c>
    </row>
    <row r="3135" spans="1:37" x14ac:dyDescent="0.2">
      <c r="A3135" t="str">
        <f>"20200111154127645"</f>
        <v>20200111154127645</v>
      </c>
      <c r="B3135" t="str">
        <f>"1578728487639792"</f>
        <v>1578728487639792</v>
      </c>
      <c r="C3135" t="s">
        <v>37</v>
      </c>
      <c r="D3135">
        <v>5.5709479999999996</v>
      </c>
      <c r="E3135">
        <v>0.49716909999999997</v>
      </c>
      <c r="F3135" t="s">
        <v>39</v>
      </c>
      <c r="G3135">
        <v>-249.155</v>
      </c>
      <c r="H3135" s="1">
        <v>-6.7011179999999997E-7</v>
      </c>
      <c r="I3135">
        <v>140.83869999999999</v>
      </c>
      <c r="J3135">
        <v>-232.61490000000001</v>
      </c>
      <c r="K3135">
        <v>1.1072930000000001</v>
      </c>
      <c r="L3135">
        <v>140.5634</v>
      </c>
      <c r="M3135">
        <v>-0.99935339999999995</v>
      </c>
      <c r="N3135">
        <v>0</v>
      </c>
      <c r="O3135">
        <v>3.5757949999999997E-2</v>
      </c>
      <c r="P3135">
        <v>-0.99839669999999903</v>
      </c>
      <c r="Q3135">
        <v>5.2189079999999999E-2</v>
      </c>
      <c r="R3135">
        <v>2.191361E-2</v>
      </c>
      <c r="S3135">
        <v>-3.014084</v>
      </c>
      <c r="T3135">
        <v>-0.1973702</v>
      </c>
      <c r="U3135">
        <v>5.1589969999999999E-2</v>
      </c>
      <c r="V3135">
        <v>-1.3573180000000001E-2</v>
      </c>
      <c r="W3135">
        <v>5.5994120000000001E-2</v>
      </c>
      <c r="X3135">
        <v>0.99833879999999997</v>
      </c>
      <c r="Y3135">
        <v>-1.8533919999999999E-2</v>
      </c>
      <c r="Z3135">
        <v>-2.944445E-3</v>
      </c>
      <c r="AA3135">
        <v>0.99982389999999999</v>
      </c>
      <c r="AB3135">
        <v>36</v>
      </c>
      <c r="AC3135">
        <v>-16.540099999999899</v>
      </c>
      <c r="AD3135">
        <v>-1.1072936701117999</v>
      </c>
      <c r="AE3135">
        <v>0.275299999999987</v>
      </c>
      <c r="AF3135">
        <v>-0.31490935610216197</v>
      </c>
      <c r="AG3135">
        <v>-1.1072936701117999</v>
      </c>
      <c r="AH3135">
        <v>16.465591834414901</v>
      </c>
      <c r="AI3135">
        <v>93.846586665148607</v>
      </c>
      <c r="AJ3135">
        <v>91.095665299839595</v>
      </c>
      <c r="AK3135">
        <v>16.5057863075947</v>
      </c>
    </row>
    <row r="3136" spans="1:37" x14ac:dyDescent="0.2">
      <c r="A3136" t="str">
        <f>"20200111154127667"</f>
        <v>20200111154127667</v>
      </c>
      <c r="B3136" t="str">
        <f>"1578728487659310"</f>
        <v>1578728487659310</v>
      </c>
      <c r="C3136" t="s">
        <v>37</v>
      </c>
      <c r="D3136">
        <v>5.7326050000000004</v>
      </c>
      <c r="E3136">
        <v>0.49731540000000002</v>
      </c>
      <c r="F3136" t="s">
        <v>39</v>
      </c>
      <c r="G3136">
        <v>-249.5164</v>
      </c>
      <c r="H3136" s="1">
        <v>-5.3201719999999998E-7</v>
      </c>
      <c r="I3136">
        <v>140.9024</v>
      </c>
      <c r="J3136">
        <v>-232.97839999999999</v>
      </c>
      <c r="K3136">
        <v>1.1072709999999999</v>
      </c>
      <c r="L3136">
        <v>140.57769999999999</v>
      </c>
      <c r="M3136">
        <v>-0.99929239999999997</v>
      </c>
      <c r="N3136">
        <v>0</v>
      </c>
      <c r="O3136">
        <v>3.7437480000000002E-2</v>
      </c>
      <c r="P3136">
        <v>-0.99843369999999998</v>
      </c>
      <c r="Q3136">
        <v>5.0864949999999999E-2</v>
      </c>
      <c r="R3136">
        <v>2.330546E-2</v>
      </c>
      <c r="S3136">
        <v>-3.0138090000000002</v>
      </c>
      <c r="T3136">
        <v>-0.1974487</v>
      </c>
      <c r="U3136">
        <v>6.0470580000000003E-2</v>
      </c>
      <c r="V3136">
        <v>-1.3868470000000001E-2</v>
      </c>
      <c r="W3136">
        <v>5.4573419999999997E-2</v>
      </c>
      <c r="X3136">
        <v>0.99841340000000001</v>
      </c>
      <c r="Y3136">
        <v>-1.726662E-2</v>
      </c>
      <c r="Z3136">
        <v>-3.0141339999999999E-3</v>
      </c>
      <c r="AA3136">
        <v>0.99984640000000002</v>
      </c>
      <c r="AB3136">
        <v>37</v>
      </c>
      <c r="AC3136">
        <v>-16.538</v>
      </c>
      <c r="AD3136">
        <v>-1.1072715320172</v>
      </c>
      <c r="AE3136">
        <v>0.32470000000000698</v>
      </c>
      <c r="AF3136">
        <v>-0.29335819913689598</v>
      </c>
      <c r="AG3136">
        <v>-1.1072715320172</v>
      </c>
      <c r="AH3136">
        <v>16.464783582954901</v>
      </c>
      <c r="AI3136">
        <v>93.846790875928804</v>
      </c>
      <c r="AJ3136">
        <v>91.020748819847299</v>
      </c>
      <c r="AK3136">
        <v>16.504581415842001</v>
      </c>
    </row>
    <row r="3137" spans="1:37" x14ac:dyDescent="0.2">
      <c r="A3137" t="str">
        <f>"20200111154127689"</f>
        <v>20200111154127689</v>
      </c>
      <c r="B3137" t="str">
        <f>"1578728487678830"</f>
        <v>1578728487678830</v>
      </c>
      <c r="C3137" t="s">
        <v>37</v>
      </c>
      <c r="D3137">
        <v>5.8977209999999998</v>
      </c>
      <c r="E3137">
        <v>0.49730469999999999</v>
      </c>
      <c r="F3137" t="s">
        <v>39</v>
      </c>
      <c r="G3137">
        <v>-249.56270000000001</v>
      </c>
      <c r="H3137" s="1">
        <v>-5.232598E-7</v>
      </c>
      <c r="I3137">
        <v>140.9442</v>
      </c>
      <c r="J3137">
        <v>-233.34540000000001</v>
      </c>
      <c r="K3137">
        <v>1.107251</v>
      </c>
      <c r="L3137">
        <v>140.59270000000001</v>
      </c>
      <c r="M3137">
        <v>-0.99922909999999998</v>
      </c>
      <c r="N3137">
        <v>0</v>
      </c>
      <c r="O3137">
        <v>3.9101690000000001E-2</v>
      </c>
      <c r="P3137">
        <v>-0.99844560000000004</v>
      </c>
      <c r="Q3137">
        <v>5.0262040000000001E-2</v>
      </c>
      <c r="R3137">
        <v>2.4094939999999999E-2</v>
      </c>
      <c r="S3137">
        <v>-3.01341199999999</v>
      </c>
      <c r="T3137">
        <v>-0.20119500000000001</v>
      </c>
      <c r="U3137">
        <v>6.6604609999999995E-2</v>
      </c>
      <c r="V3137">
        <v>-1.474644E-2</v>
      </c>
      <c r="W3137">
        <v>5.3879209999999997E-2</v>
      </c>
      <c r="X3137">
        <v>0.99843859999999995</v>
      </c>
      <c r="Y3137">
        <v>-1.688742E-2</v>
      </c>
      <c r="Z3137">
        <v>-3.1697589999999999E-3</v>
      </c>
      <c r="AA3137">
        <v>0.99985239999999997</v>
      </c>
      <c r="AB3137">
        <v>37</v>
      </c>
      <c r="AC3137">
        <v>-16.217299999999899</v>
      </c>
      <c r="AD3137">
        <v>-1.1072515232597999</v>
      </c>
      <c r="AE3137">
        <v>0.35149999999998699</v>
      </c>
      <c r="AF3137">
        <v>-0.28158452378408599</v>
      </c>
      <c r="AG3137">
        <v>-1.1072515232597999</v>
      </c>
      <c r="AH3137">
        <v>16.1434228523377</v>
      </c>
      <c r="AI3137">
        <v>93.923085772289397</v>
      </c>
      <c r="AJ3137">
        <v>90.999290487207702</v>
      </c>
      <c r="AK3137">
        <v>16.183800455059199</v>
      </c>
    </row>
    <row r="3138" spans="1:37" x14ac:dyDescent="0.2">
      <c r="A3138" t="str">
        <f>"20200111154127712"</f>
        <v>20200111154127712</v>
      </c>
      <c r="B3138" t="str">
        <f>"1578728487699326"</f>
        <v>1578728487699326</v>
      </c>
      <c r="C3138" t="s">
        <v>37</v>
      </c>
      <c r="D3138">
        <v>5.6023529999999999</v>
      </c>
      <c r="E3138">
        <v>0.49733440000000001</v>
      </c>
      <c r="F3138" t="s">
        <v>39</v>
      </c>
      <c r="G3138">
        <v>-249.77799999999999</v>
      </c>
      <c r="H3138" s="1">
        <v>-4.3774689999999999E-7</v>
      </c>
      <c r="I3138">
        <v>140.9699</v>
      </c>
      <c r="J3138">
        <v>-233.71099999999899</v>
      </c>
      <c r="K3138">
        <v>1.1072409999999999</v>
      </c>
      <c r="L3138">
        <v>140.60830000000001</v>
      </c>
      <c r="M3138">
        <v>-0.99916419999999995</v>
      </c>
      <c r="N3138">
        <v>0</v>
      </c>
      <c r="O3138">
        <v>4.073127E-2</v>
      </c>
      <c r="P3138">
        <v>-0.99842149999999996</v>
      </c>
      <c r="Q3138">
        <v>5.0442460000000001E-2</v>
      </c>
      <c r="R3138">
        <v>2.4702370000000001E-2</v>
      </c>
      <c r="S3138">
        <v>-3.0132289999999999</v>
      </c>
      <c r="T3138">
        <v>-0.20303599999999999</v>
      </c>
      <c r="U3138">
        <v>6.9168090000000002E-2</v>
      </c>
      <c r="V3138">
        <v>-1.5768040000000001E-2</v>
      </c>
      <c r="W3138">
        <v>5.3977299999999999E-2</v>
      </c>
      <c r="X3138">
        <v>0.99841769999999996</v>
      </c>
      <c r="Y3138">
        <v>-1.765881E-2</v>
      </c>
      <c r="Z3138">
        <v>-3.3343800000000001E-3</v>
      </c>
      <c r="AA3138">
        <v>0.99983849999999996</v>
      </c>
      <c r="AB3138">
        <v>37</v>
      </c>
      <c r="AC3138">
        <v>-16.067</v>
      </c>
      <c r="AD3138">
        <v>-1.1072414377469</v>
      </c>
      <c r="AE3138">
        <v>0.36159999999998099</v>
      </c>
      <c r="AF3138">
        <v>-0.29174842639568499</v>
      </c>
      <c r="AG3138">
        <v>-1.1072414377469</v>
      </c>
      <c r="AH3138">
        <v>15.9924828477694</v>
      </c>
      <c r="AI3138">
        <v>93.959903031032496</v>
      </c>
      <c r="AJ3138">
        <v>91.045122241281902</v>
      </c>
      <c r="AK3138">
        <v>16.033421605570201</v>
      </c>
    </row>
    <row r="3139" spans="1:37" x14ac:dyDescent="0.2">
      <c r="A3139" t="str">
        <f>"20200111154127733"</f>
        <v>20200111154127733</v>
      </c>
      <c r="B3139" t="str">
        <f>"1578728487729583"</f>
        <v>1578728487729583</v>
      </c>
      <c r="C3139" t="s">
        <v>37</v>
      </c>
      <c r="D3139">
        <v>5.6343489999999896</v>
      </c>
      <c r="E3139">
        <v>0.49744690000000003</v>
      </c>
      <c r="F3139" t="s">
        <v>39</v>
      </c>
      <c r="G3139">
        <v>-250.196</v>
      </c>
      <c r="H3139" s="1">
        <v>-4.4543440000000002E-6</v>
      </c>
      <c r="I3139">
        <v>140.99760000000001</v>
      </c>
      <c r="J3139">
        <v>-234.07650000000001</v>
      </c>
      <c r="K3139">
        <v>1.1072360000000001</v>
      </c>
      <c r="L3139">
        <v>140.62440000000001</v>
      </c>
      <c r="M3139">
        <v>-0.99909789999999998</v>
      </c>
      <c r="N3139">
        <v>0</v>
      </c>
      <c r="O3139">
        <v>4.2329909999999998E-2</v>
      </c>
      <c r="P3139">
        <v>-0.99839739999999999</v>
      </c>
      <c r="Q3139">
        <v>5.0627279999999997E-2</v>
      </c>
      <c r="R3139">
        <v>2.5297779999999999E-2</v>
      </c>
      <c r="S3139">
        <v>-3.0131990000000002</v>
      </c>
      <c r="T3139">
        <v>-0.2023867</v>
      </c>
      <c r="U3139">
        <v>7.1166989999999999E-2</v>
      </c>
      <c r="V3139">
        <v>-1.6769610000000001E-2</v>
      </c>
      <c r="W3139">
        <v>5.4088240000000003E-2</v>
      </c>
      <c r="X3139">
        <v>0.99839529999999999</v>
      </c>
      <c r="Y3139">
        <v>-1.8590570000000001E-2</v>
      </c>
      <c r="Z3139">
        <v>-3.4621359999999898E-3</v>
      </c>
      <c r="AA3139">
        <v>0.99982119999999997</v>
      </c>
      <c r="AB3139">
        <v>37</v>
      </c>
      <c r="AC3139">
        <v>-16.119499999999899</v>
      </c>
      <c r="AD3139">
        <v>-1.107240454344</v>
      </c>
      <c r="AE3139">
        <v>0.37319999999999698</v>
      </c>
      <c r="AF3139">
        <v>-0.30802288774846698</v>
      </c>
      <c r="AG3139">
        <v>-1.107240454344</v>
      </c>
      <c r="AH3139">
        <v>16.045184738259302</v>
      </c>
      <c r="AI3139">
        <v>93.946863778947105</v>
      </c>
      <c r="AJ3139">
        <v>91.099784403884996</v>
      </c>
      <c r="AK3139">
        <v>16.0862926993134</v>
      </c>
    </row>
    <row r="3140" spans="1:37" x14ac:dyDescent="0.2">
      <c r="A3140" t="str">
        <f>"20200111154127766"</f>
        <v>20200111154127766</v>
      </c>
      <c r="B3140" t="str">
        <f>"1578728487758863"</f>
        <v>1578728487758863</v>
      </c>
      <c r="C3140" t="s">
        <v>37</v>
      </c>
      <c r="D3140">
        <v>5.6101929999999998</v>
      </c>
      <c r="E3140">
        <v>0.49747740000000001</v>
      </c>
      <c r="F3140" t="s">
        <v>39</v>
      </c>
      <c r="G3140">
        <v>-250.62739999999999</v>
      </c>
      <c r="H3140" s="1">
        <v>-4.3131439999999998E-6</v>
      </c>
      <c r="I3140">
        <v>141.0291</v>
      </c>
      <c r="J3140">
        <v>-234.63059999999999</v>
      </c>
      <c r="K3140">
        <v>1.107229</v>
      </c>
      <c r="L3140">
        <v>140.6499</v>
      </c>
      <c r="M3140">
        <v>-0.99899559999999998</v>
      </c>
      <c r="N3140">
        <v>0</v>
      </c>
      <c r="O3140">
        <v>4.4688159999999998E-2</v>
      </c>
      <c r="P3140">
        <v>-0.99836709999999995</v>
      </c>
      <c r="Q3140">
        <v>5.0565659999999998E-2</v>
      </c>
      <c r="R3140">
        <v>2.6578250000000001E-2</v>
      </c>
      <c r="S3140">
        <v>-3.0131839999999999</v>
      </c>
      <c r="T3140">
        <v>-0.201579799999999</v>
      </c>
      <c r="U3140">
        <v>7.3684689999999997E-2</v>
      </c>
      <c r="V3140">
        <v>-1.7849489999999999E-2</v>
      </c>
      <c r="W3140">
        <v>5.3925870000000001E-2</v>
      </c>
      <c r="X3140">
        <v>0.99838539999999998</v>
      </c>
      <c r="Y3140">
        <v>-2.0108009999999999E-2</v>
      </c>
      <c r="Z3140">
        <v>-3.65644E-3</v>
      </c>
      <c r="AA3140">
        <v>0.99979110000000004</v>
      </c>
      <c r="AB3140">
        <v>37</v>
      </c>
      <c r="AC3140">
        <v>-15.9968</v>
      </c>
      <c r="AD3140">
        <v>-1.107233313144</v>
      </c>
      <c r="AE3140">
        <v>0.37919999999999698</v>
      </c>
      <c r="AF3140">
        <v>-0.334448841761042</v>
      </c>
      <c r="AG3140">
        <v>-1.107233313144</v>
      </c>
      <c r="AH3140">
        <v>15.921529895378301</v>
      </c>
      <c r="AI3140">
        <v>93.977249491753795</v>
      </c>
      <c r="AJ3140">
        <v>91.203382429290997</v>
      </c>
      <c r="AK3140">
        <v>15.963487584074899</v>
      </c>
    </row>
    <row r="3141" spans="1:37" x14ac:dyDescent="0.2">
      <c r="A3141" t="str">
        <f>"20200111154127789"</f>
        <v>20200111154127789</v>
      </c>
      <c r="B3141" t="str">
        <f>"1578728487779358"</f>
        <v>1578728487779358</v>
      </c>
      <c r="C3141" t="s">
        <v>37</v>
      </c>
      <c r="D3141">
        <v>5.9421569999999999</v>
      </c>
      <c r="E3141">
        <v>0.497640799999999</v>
      </c>
      <c r="F3141" t="s">
        <v>39</v>
      </c>
      <c r="G3141">
        <v>-251.17080000000001</v>
      </c>
      <c r="H3141" s="1">
        <v>-4.1356569999999999E-6</v>
      </c>
      <c r="I3141">
        <v>141.071</v>
      </c>
      <c r="J3141">
        <v>-235.02109999999999</v>
      </c>
      <c r="K3141">
        <v>1.107246</v>
      </c>
      <c r="L3141">
        <v>140.6686</v>
      </c>
      <c r="M3141">
        <v>-0.9989228</v>
      </c>
      <c r="N3141">
        <v>0</v>
      </c>
      <c r="O3141">
        <v>4.6290150000000002E-2</v>
      </c>
      <c r="P3141">
        <v>-0.99833499999999997</v>
      </c>
      <c r="Q3141">
        <v>5.0625419999999997E-2</v>
      </c>
      <c r="R3141">
        <v>2.7648800000000001E-2</v>
      </c>
      <c r="S3141">
        <v>-3.0130919999999999</v>
      </c>
      <c r="T3141">
        <v>-0.2017032</v>
      </c>
      <c r="U3141">
        <v>7.6721189999999995E-2</v>
      </c>
      <c r="V3141">
        <v>-1.838269E-2</v>
      </c>
      <c r="W3141">
        <v>5.3925399999999998E-2</v>
      </c>
      <c r="X3141">
        <v>0.99837580000000004</v>
      </c>
      <c r="Y3141">
        <v>-2.0698580000000001E-2</v>
      </c>
      <c r="Z3141">
        <v>-3.7854519999999999E-3</v>
      </c>
      <c r="AA3141">
        <v>0.99977859999999996</v>
      </c>
      <c r="AB3141">
        <v>38</v>
      </c>
      <c r="AC3141">
        <v>-16.149699999999999</v>
      </c>
      <c r="AD3141">
        <v>-1.1072501356569999</v>
      </c>
      <c r="AE3141">
        <v>0.40239999999999998</v>
      </c>
      <c r="AF3141">
        <v>-0.34399131177065201</v>
      </c>
      <c r="AG3141">
        <v>-1.1072501356569999</v>
      </c>
      <c r="AH3141">
        <v>16.075495979749402</v>
      </c>
      <c r="AI3141">
        <v>93.939304149140199</v>
      </c>
      <c r="AJ3141">
        <v>91.225855982730806</v>
      </c>
      <c r="AK3141">
        <v>16.117254849397401</v>
      </c>
    </row>
    <row r="3142" spans="1:37" x14ac:dyDescent="0.2">
      <c r="A3142" t="str">
        <f>"20200111154127811"</f>
        <v>20200111154127811</v>
      </c>
      <c r="B3142" t="str">
        <f>"1578728487798881"</f>
        <v>1578728487798881</v>
      </c>
      <c r="C3142" t="s">
        <v>37</v>
      </c>
      <c r="D3142">
        <v>5.7744849999999897</v>
      </c>
      <c r="E3142">
        <v>0.56077339999999998</v>
      </c>
      <c r="F3142" t="s">
        <v>39</v>
      </c>
      <c r="G3142">
        <v>-251.60890000000001</v>
      </c>
      <c r="H3142" s="1">
        <v>-3.980361E-6</v>
      </c>
      <c r="I3142">
        <v>141.11320000000001</v>
      </c>
      <c r="J3142">
        <v>-235.40029999999999</v>
      </c>
      <c r="K3142">
        <v>1.1072599999999999</v>
      </c>
      <c r="L3142">
        <v>140.6874</v>
      </c>
      <c r="M3142">
        <v>-0.99885199999999996</v>
      </c>
      <c r="N3142">
        <v>0</v>
      </c>
      <c r="O3142">
        <v>4.7798630000000002E-2</v>
      </c>
      <c r="P3142">
        <v>-0.99828159999999899</v>
      </c>
      <c r="Q3142">
        <v>5.1036739999999997E-2</v>
      </c>
      <c r="R3142">
        <v>2.8801360000000002E-2</v>
      </c>
      <c r="S3142">
        <v>-3.0129549999999998</v>
      </c>
      <c r="T3142">
        <v>-0.20111699999999999</v>
      </c>
      <c r="U3142">
        <v>8.076477E-2</v>
      </c>
      <c r="V3142">
        <v>-1.873841E-2</v>
      </c>
      <c r="W3142">
        <v>5.4287269999999999E-2</v>
      </c>
      <c r="X3142">
        <v>0.9983495</v>
      </c>
      <c r="Y3142">
        <v>-2.086354E-2</v>
      </c>
      <c r="Z3142">
        <v>-3.880503E-3</v>
      </c>
      <c r="AA3142">
        <v>0.99977479999999996</v>
      </c>
      <c r="AB3142">
        <v>38</v>
      </c>
      <c r="AC3142">
        <v>-16.208600000000001</v>
      </c>
      <c r="AD3142">
        <v>-1.107263980361</v>
      </c>
      <c r="AE3142">
        <v>0.425800000000009</v>
      </c>
      <c r="AF3142">
        <v>-0.34781738966841602</v>
      </c>
      <c r="AG3142">
        <v>-1.107263980361</v>
      </c>
      <c r="AH3142">
        <v>16.135179651715099</v>
      </c>
      <c r="AI3142">
        <v>93.924814026015</v>
      </c>
      <c r="AJ3142">
        <v>91.234903048229796</v>
      </c>
      <c r="AK3142">
        <v>16.176867213767899</v>
      </c>
    </row>
    <row r="3143" spans="1:37" x14ac:dyDescent="0.2">
      <c r="A3143" t="str">
        <f>"20200111154127833"</f>
        <v>20200111154127833</v>
      </c>
      <c r="B3143" t="str">
        <f>"1578728487829134"</f>
        <v>1578728487829134</v>
      </c>
      <c r="C3143" t="s">
        <v>37</v>
      </c>
      <c r="D3143">
        <v>5.7286359999999998</v>
      </c>
      <c r="E3143">
        <v>0.56354979999999999</v>
      </c>
      <c r="F3143" t="s">
        <v>38</v>
      </c>
      <c r="G3143">
        <v>-236.291</v>
      </c>
      <c r="H3143">
        <v>0.96895229999999999</v>
      </c>
      <c r="I3143">
        <v>140.86490000000001</v>
      </c>
      <c r="J3143">
        <v>-235.77080000000001</v>
      </c>
      <c r="K3143">
        <v>1.1072839999999999</v>
      </c>
      <c r="L3143">
        <v>140.7062</v>
      </c>
      <c r="M3143">
        <v>-0.99878359999999899</v>
      </c>
      <c r="N3143">
        <v>0</v>
      </c>
      <c r="O3143">
        <v>4.9212579999999999E-2</v>
      </c>
      <c r="P3143">
        <v>-0.99823490000000004</v>
      </c>
      <c r="Q3143">
        <v>5.1125339999999998E-2</v>
      </c>
      <c r="R3143">
        <v>3.0225930000000002E-2</v>
      </c>
      <c r="S3143">
        <v>-3.011765</v>
      </c>
      <c r="T3143">
        <v>-0.46766790000000003</v>
      </c>
      <c r="U3143">
        <v>0.60002140000000004</v>
      </c>
      <c r="V3143">
        <v>-1.873122E-2</v>
      </c>
      <c r="W3143">
        <v>5.433487E-2</v>
      </c>
      <c r="X3143">
        <v>0.99834699999999998</v>
      </c>
      <c r="Y3143">
        <v>0.14577409999999999</v>
      </c>
      <c r="Z3143">
        <v>3.6306559999999999E-3</v>
      </c>
      <c r="AA3143">
        <v>0.98931119999999995</v>
      </c>
      <c r="AB3143">
        <v>38</v>
      </c>
      <c r="AC3143">
        <v>-0.52019999999998801</v>
      </c>
      <c r="AD3143">
        <v>-0.138331699999999</v>
      </c>
      <c r="AE3143">
        <v>0.15870000000001</v>
      </c>
      <c r="AF3143">
        <v>0.124831527253302</v>
      </c>
      <c r="AG3143">
        <v>-0.138331699999999</v>
      </c>
      <c r="AH3143">
        <v>0.49533524085589398</v>
      </c>
      <c r="AI3143">
        <v>105.152381862887</v>
      </c>
      <c r="AJ3143">
        <v>75.855190102041107</v>
      </c>
      <c r="AK3143">
        <v>0.52922166457454101</v>
      </c>
    </row>
    <row r="3144" spans="1:37" x14ac:dyDescent="0.2">
      <c r="A3144" t="str">
        <f>"20200111154127856"</f>
        <v>20200111154127856</v>
      </c>
      <c r="B3144" t="str">
        <f>"1578728487849631"</f>
        <v>1578728487849631</v>
      </c>
      <c r="C3144" t="s">
        <v>37</v>
      </c>
      <c r="D3144">
        <v>5.7046099999999997</v>
      </c>
      <c r="E3144">
        <v>0.56403389999999998</v>
      </c>
      <c r="F3144" t="s">
        <v>38</v>
      </c>
      <c r="G3144">
        <v>-236.61369999999999</v>
      </c>
      <c r="H3144">
        <v>0.92605919999999897</v>
      </c>
      <c r="I3144">
        <v>140.88339999999999</v>
      </c>
      <c r="J3144">
        <v>-236.1634</v>
      </c>
      <c r="K3144">
        <v>1.1073280000000001</v>
      </c>
      <c r="L3144">
        <v>140.72659999999999</v>
      </c>
      <c r="M3144">
        <v>-0.99871270000000001</v>
      </c>
      <c r="N3144">
        <v>0</v>
      </c>
      <c r="O3144">
        <v>5.0631370000000002E-2</v>
      </c>
      <c r="P3144">
        <v>-0.99824439999999903</v>
      </c>
      <c r="Q3144">
        <v>4.987171E-2</v>
      </c>
      <c r="R3144">
        <v>3.1953219999999997E-2</v>
      </c>
      <c r="S3144">
        <v>-3.0193629999999998</v>
      </c>
      <c r="T3144">
        <v>-0.64921030000000002</v>
      </c>
      <c r="U3144">
        <v>0.63415529999999998</v>
      </c>
      <c r="V3144">
        <v>-1.843639E-2</v>
      </c>
      <c r="W3144">
        <v>5.304499E-2</v>
      </c>
      <c r="X3144">
        <v>0.99842189999999997</v>
      </c>
      <c r="Y3144">
        <v>0.1534836</v>
      </c>
      <c r="Z3144">
        <v>5.5099950000000002E-3</v>
      </c>
      <c r="AA3144">
        <v>0.98813580000000001</v>
      </c>
      <c r="AB3144">
        <v>38</v>
      </c>
      <c r="AC3144">
        <v>-0.45029999999999798</v>
      </c>
      <c r="AD3144">
        <v>-0.18126880000000001</v>
      </c>
      <c r="AE3144">
        <v>0.15680000000000399</v>
      </c>
      <c r="AF3144">
        <v>0.116904066628361</v>
      </c>
      <c r="AG3144">
        <v>-0.18126880000000001</v>
      </c>
      <c r="AH3144">
        <v>0.39987068909554002</v>
      </c>
      <c r="AI3144">
        <v>113.514110924009</v>
      </c>
      <c r="AJ3144">
        <v>73.703472397720404</v>
      </c>
      <c r="AK3144">
        <v>0.454336336479299</v>
      </c>
    </row>
    <row r="3145" spans="1:37" x14ac:dyDescent="0.2">
      <c r="A3145" t="str">
        <f>"20200111154127879"</f>
        <v>20200111154127879</v>
      </c>
      <c r="B3145" t="str">
        <f>"1578728487869151"</f>
        <v>1578728487869151</v>
      </c>
      <c r="C3145" t="s">
        <v>37</v>
      </c>
      <c r="D3145">
        <v>5.6862890000000004</v>
      </c>
      <c r="E3145">
        <v>0.56443739999999998</v>
      </c>
      <c r="F3145" t="s">
        <v>38</v>
      </c>
      <c r="G3145">
        <v>-236.95570000000001</v>
      </c>
      <c r="H3145">
        <v>0.92181279999999999</v>
      </c>
      <c r="I3145">
        <v>140.89609999999999</v>
      </c>
      <c r="J3145">
        <v>-236.5658</v>
      </c>
      <c r="K3145">
        <v>1.1073740000000001</v>
      </c>
      <c r="L3145">
        <v>140.74799999999999</v>
      </c>
      <c r="M3145">
        <v>-0.99864269999999999</v>
      </c>
      <c r="N3145">
        <v>0</v>
      </c>
      <c r="O3145">
        <v>5.1991799999999998E-2</v>
      </c>
      <c r="P3145">
        <v>-0.9981949</v>
      </c>
      <c r="Q3145">
        <v>4.9202620000000002E-2</v>
      </c>
      <c r="R3145">
        <v>3.4437049999999997E-2</v>
      </c>
      <c r="S3145">
        <v>-3.019943</v>
      </c>
      <c r="T3145">
        <v>-0.70707679999999995</v>
      </c>
      <c r="U3145">
        <v>0.64527889999999999</v>
      </c>
      <c r="V3145">
        <v>-1.7323939999999999E-2</v>
      </c>
      <c r="W3145">
        <v>5.234453E-2</v>
      </c>
      <c r="X3145">
        <v>0.9984788</v>
      </c>
      <c r="Y3145">
        <v>0.15516540000000001</v>
      </c>
      <c r="Z3145">
        <v>5.86843E-3</v>
      </c>
      <c r="AA3145">
        <v>0.987871099999999</v>
      </c>
      <c r="AB3145">
        <v>38</v>
      </c>
      <c r="AC3145">
        <v>-0.38990000000001102</v>
      </c>
      <c r="AD3145">
        <v>-0.18556120000000001</v>
      </c>
      <c r="AE3145">
        <v>0.14809999999999901</v>
      </c>
      <c r="AF3145">
        <v>0.106539461020705</v>
      </c>
      <c r="AG3145">
        <v>-0.18556120000000001</v>
      </c>
      <c r="AH3145">
        <v>0.33146262137503202</v>
      </c>
      <c r="AI3145">
        <v>118.056311363725</v>
      </c>
      <c r="AJ3145">
        <v>72.181439444527498</v>
      </c>
      <c r="AK3145">
        <v>0.39452640604759298</v>
      </c>
    </row>
    <row r="3146" spans="1:37" x14ac:dyDescent="0.2">
      <c r="A3146" t="str">
        <f>"20200111154127901"</f>
        <v>20200111154127901</v>
      </c>
      <c r="B3146" t="str">
        <f>"1578728487889647"</f>
        <v>1578728487889647</v>
      </c>
      <c r="C3146" t="s">
        <v>37</v>
      </c>
      <c r="D3146">
        <v>5.675783</v>
      </c>
      <c r="E3146">
        <v>0.56461479999999997</v>
      </c>
      <c r="F3146" t="s">
        <v>38</v>
      </c>
      <c r="G3146">
        <v>-237.30359999999999</v>
      </c>
      <c r="H3146">
        <v>0.92804179999999903</v>
      </c>
      <c r="I3146">
        <v>140.90899999999999</v>
      </c>
      <c r="J3146">
        <v>-236.9571</v>
      </c>
      <c r="K3146">
        <v>1.1074360000000001</v>
      </c>
      <c r="L3146">
        <v>140.76929999999999</v>
      </c>
      <c r="M3146">
        <v>-0.99857870000000004</v>
      </c>
      <c r="N3146">
        <v>0</v>
      </c>
      <c r="O3146">
        <v>5.321157E-2</v>
      </c>
      <c r="P3146">
        <v>-0.99818809999999902</v>
      </c>
      <c r="Q3146">
        <v>4.8012689999999997E-2</v>
      </c>
      <c r="R3146">
        <v>3.6271270000000001E-2</v>
      </c>
      <c r="S3146">
        <v>-3.0188899999999999</v>
      </c>
      <c r="T3146">
        <v>-0.73373599999999894</v>
      </c>
      <c r="U3146">
        <v>0.65760799999999997</v>
      </c>
      <c r="V3146">
        <v>-1.6724610000000001E-2</v>
      </c>
      <c r="W3146">
        <v>5.1132619999999997E-2</v>
      </c>
      <c r="X3146">
        <v>0.99855179999999999</v>
      </c>
      <c r="Y3146">
        <v>0.1576487</v>
      </c>
      <c r="Z3146">
        <v>6.0898640000000004E-3</v>
      </c>
      <c r="AA3146">
        <v>0.98747649999999998</v>
      </c>
      <c r="AB3146">
        <v>38</v>
      </c>
      <c r="AC3146">
        <v>-0.34649999999999098</v>
      </c>
      <c r="AD3146">
        <v>-0.1793942</v>
      </c>
      <c r="AE3146">
        <v>0.13970000000000399</v>
      </c>
      <c r="AF3146">
        <v>9.8380748275811794E-2</v>
      </c>
      <c r="AG3146">
        <v>-0.1793942</v>
      </c>
      <c r="AH3146">
        <v>0.28721925658251601</v>
      </c>
      <c r="AI3146">
        <v>120.578318512761</v>
      </c>
      <c r="AJ3146">
        <v>71.092212355049597</v>
      </c>
      <c r="AK3146">
        <v>0.35264139288626001</v>
      </c>
    </row>
    <row r="3147" spans="1:37" x14ac:dyDescent="0.2">
      <c r="A3147" t="str">
        <f>"20200111154127922"</f>
        <v>20200111154127922</v>
      </c>
      <c r="B3147" t="str">
        <f>"1578728487918926"</f>
        <v>1578728487918926</v>
      </c>
      <c r="C3147" t="s">
        <v>37</v>
      </c>
      <c r="D3147">
        <v>5.7076830000000003</v>
      </c>
      <c r="E3147">
        <v>0.56280929999999996</v>
      </c>
      <c r="F3147" t="s">
        <v>38</v>
      </c>
      <c r="G3147">
        <v>-237.65280000000001</v>
      </c>
      <c r="H3147">
        <v>0.93372649999999902</v>
      </c>
      <c r="I3147">
        <v>140.9229</v>
      </c>
      <c r="J3147">
        <v>-237.32259999999999</v>
      </c>
      <c r="K3147">
        <v>1.1075010000000001</v>
      </c>
      <c r="L3147">
        <v>140.7895</v>
      </c>
      <c r="M3147">
        <v>-0.99852280000000004</v>
      </c>
      <c r="N3147">
        <v>0</v>
      </c>
      <c r="O3147">
        <v>5.4247980000000001E-2</v>
      </c>
      <c r="P3147">
        <v>-0.99817939999999905</v>
      </c>
      <c r="Q3147">
        <v>4.6761740000000003E-2</v>
      </c>
      <c r="R3147">
        <v>3.8097489999999998E-2</v>
      </c>
      <c r="S3147">
        <v>-3.017487</v>
      </c>
      <c r="T3147">
        <v>-0.7534729</v>
      </c>
      <c r="U3147">
        <v>0.66600039999999905</v>
      </c>
      <c r="V3147">
        <v>-1.595046E-2</v>
      </c>
      <c r="W3147">
        <v>4.9867750000000002E-2</v>
      </c>
      <c r="X3147">
        <v>0.99862839999999997</v>
      </c>
      <c r="Y3147">
        <v>0.159169899999999</v>
      </c>
      <c r="Z3147">
        <v>6.1841789999999997E-3</v>
      </c>
      <c r="AA3147">
        <v>0.98723189999999905</v>
      </c>
      <c r="AB3147">
        <v>39</v>
      </c>
      <c r="AC3147">
        <v>-0.33020000000001898</v>
      </c>
      <c r="AD3147">
        <v>-0.1737745</v>
      </c>
      <c r="AE3147">
        <v>0.133399999999994</v>
      </c>
      <c r="AF3147">
        <v>9.3119177593086605E-2</v>
      </c>
      <c r="AG3147">
        <v>-0.1737745</v>
      </c>
      <c r="AH3147">
        <v>0.27215140036316698</v>
      </c>
      <c r="AI3147">
        <v>121.137682966363</v>
      </c>
      <c r="AJ3147">
        <v>71.111132509634402</v>
      </c>
      <c r="AK3147">
        <v>0.33605824317444699</v>
      </c>
    </row>
    <row r="3148" spans="1:37" x14ac:dyDescent="0.2">
      <c r="A3148" t="str">
        <f>"20200111154127945"</f>
        <v>20200111154127945</v>
      </c>
      <c r="B3148" t="str">
        <f>"1578728487939423"</f>
        <v>1578728487939423</v>
      </c>
      <c r="C3148" t="s">
        <v>37</v>
      </c>
      <c r="D3148">
        <v>5.714181</v>
      </c>
      <c r="E3148">
        <v>0.56247709999999995</v>
      </c>
      <c r="F3148" t="s">
        <v>38</v>
      </c>
      <c r="G3148">
        <v>-238.00020000000001</v>
      </c>
      <c r="H3148">
        <v>0.93274349999999995</v>
      </c>
      <c r="I3148">
        <v>140.9375</v>
      </c>
      <c r="J3148">
        <v>-237.7055</v>
      </c>
      <c r="K3148">
        <v>1.107578</v>
      </c>
      <c r="L3148">
        <v>140.81100000000001</v>
      </c>
      <c r="M3148">
        <v>-0.99846970000000002</v>
      </c>
      <c r="N3148">
        <v>0</v>
      </c>
      <c r="O3148">
        <v>5.5217490000000001E-2</v>
      </c>
      <c r="P3148">
        <v>-0.99817849999999997</v>
      </c>
      <c r="Q3148">
        <v>4.5613050000000002E-2</v>
      </c>
      <c r="R3148">
        <v>3.9483789999999998E-2</v>
      </c>
      <c r="S3148">
        <v>-3.016785</v>
      </c>
      <c r="T3148">
        <v>-0.77805469999999999</v>
      </c>
      <c r="U3148">
        <v>0.65861510000000001</v>
      </c>
      <c r="V3148">
        <v>-1.554993E-2</v>
      </c>
      <c r="W3148">
        <v>4.8711400000000002E-2</v>
      </c>
      <c r="X3148">
        <v>0.99869189999999997</v>
      </c>
      <c r="Y3148">
        <v>0.155882299999999</v>
      </c>
      <c r="Z3148">
        <v>5.7278229999999999E-3</v>
      </c>
      <c r="AA3148">
        <v>0.9877591</v>
      </c>
      <c r="AB3148">
        <v>39</v>
      </c>
      <c r="AC3148">
        <v>-0.29470000000000601</v>
      </c>
      <c r="AD3148">
        <v>-0.1748345</v>
      </c>
      <c r="AE3148">
        <v>0.12649999999999201</v>
      </c>
      <c r="AF3148">
        <v>8.4824505919865206E-2</v>
      </c>
      <c r="AG3148">
        <v>-0.1748345</v>
      </c>
      <c r="AH3148">
        <v>0.232219761014656</v>
      </c>
      <c r="AI3148">
        <v>125.267259697744</v>
      </c>
      <c r="AJ3148">
        <v>69.933920908205394</v>
      </c>
      <c r="AK3148">
        <v>0.30280078698791901</v>
      </c>
    </row>
    <row r="3149" spans="1:37" x14ac:dyDescent="0.2">
      <c r="A3149" t="str">
        <f>"20200111154127967"</f>
        <v>20200111154127967</v>
      </c>
      <c r="B3149" t="str">
        <f>"1578728487958942"</f>
        <v>1578728487958942</v>
      </c>
      <c r="C3149" t="s">
        <v>37</v>
      </c>
      <c r="D3149">
        <v>5.817704</v>
      </c>
      <c r="E3149">
        <v>0.56202680000000005</v>
      </c>
      <c r="F3149" t="s">
        <v>38</v>
      </c>
      <c r="G3149">
        <v>-238.667</v>
      </c>
      <c r="H3149">
        <v>0.85611269999999995</v>
      </c>
      <c r="I3149">
        <v>141.02209999999999</v>
      </c>
      <c r="J3149">
        <v>-238.11099999999999</v>
      </c>
      <c r="K3149">
        <v>1.1076629999999901</v>
      </c>
      <c r="L3149">
        <v>140.83410000000001</v>
      </c>
      <c r="M3149">
        <v>-0.99841939999999996</v>
      </c>
      <c r="N3149">
        <v>0</v>
      </c>
      <c r="O3149">
        <v>5.6118840000000003E-2</v>
      </c>
      <c r="P3149">
        <v>-0.99817029999999995</v>
      </c>
      <c r="Q3149">
        <v>4.4812240000000003E-2</v>
      </c>
      <c r="R3149">
        <v>4.0594520000000002E-2</v>
      </c>
      <c r="S3149">
        <v>-3.01536599999999</v>
      </c>
      <c r="T3149">
        <v>-0.78851830000000001</v>
      </c>
      <c r="U3149">
        <v>0.66082759999999996</v>
      </c>
      <c r="V3149">
        <v>-1.535575E-2</v>
      </c>
      <c r="W3149">
        <v>4.7908859999999998E-2</v>
      </c>
      <c r="X3149">
        <v>0.998733599999999</v>
      </c>
      <c r="Y3149">
        <v>0.15572759999999999</v>
      </c>
      <c r="Z3149">
        <v>5.5567269999999896E-3</v>
      </c>
      <c r="AA3149">
        <v>0.98778440000000001</v>
      </c>
      <c r="AB3149">
        <v>39</v>
      </c>
      <c r="AC3149">
        <v>-0.55600000000001104</v>
      </c>
      <c r="AD3149">
        <v>-0.25155029999999901</v>
      </c>
      <c r="AE3149">
        <v>0.18799999999998801</v>
      </c>
      <c r="AF3149">
        <v>0.132214935858259</v>
      </c>
      <c r="AG3149">
        <v>-0.25155029999999901</v>
      </c>
      <c r="AH3149">
        <v>0.47789045256094698</v>
      </c>
      <c r="AI3149">
        <v>116.899530800422</v>
      </c>
      <c r="AJ3149">
        <v>74.535166027614096</v>
      </c>
      <c r="AK3149">
        <v>0.55600146343602397</v>
      </c>
    </row>
    <row r="3150" spans="1:37" x14ac:dyDescent="0.2">
      <c r="A3150" t="str">
        <f>"20200111154127990"</f>
        <v>20200111154127990</v>
      </c>
      <c r="B3150" t="str">
        <f>"1578728487979438"</f>
        <v>1578728487979438</v>
      </c>
      <c r="C3150" t="s">
        <v>37</v>
      </c>
      <c r="D3150">
        <v>5.728726</v>
      </c>
      <c r="E3150">
        <v>0.56131109999999995</v>
      </c>
      <c r="F3150" t="s">
        <v>38</v>
      </c>
      <c r="G3150">
        <v>-239.02350000000001</v>
      </c>
      <c r="H3150">
        <v>0.86727749999999904</v>
      </c>
      <c r="I3150">
        <v>141.0342</v>
      </c>
      <c r="J3150">
        <v>-238.51419999999999</v>
      </c>
      <c r="K3150">
        <v>1.107745</v>
      </c>
      <c r="L3150">
        <v>140.85740000000001</v>
      </c>
      <c r="M3150">
        <v>-0.99837469999999995</v>
      </c>
      <c r="N3150">
        <v>0</v>
      </c>
      <c r="O3150">
        <v>5.6910210000000003E-2</v>
      </c>
      <c r="P3150">
        <v>-0.99819340000000001</v>
      </c>
      <c r="Q3150">
        <v>4.3660919999999999E-2</v>
      </c>
      <c r="R3150">
        <v>4.1278660000000002E-2</v>
      </c>
      <c r="S3150">
        <v>-3.014313</v>
      </c>
      <c r="T3150">
        <v>-0.79400719999999902</v>
      </c>
      <c r="U3150">
        <v>0.66027829999999998</v>
      </c>
      <c r="V3150">
        <v>-1.547899E-2</v>
      </c>
      <c r="W3150">
        <v>4.676288E-2</v>
      </c>
      <c r="X3150">
        <v>0.99878609999999901</v>
      </c>
      <c r="Y3150">
        <v>0.1548533</v>
      </c>
      <c r="Z3150">
        <v>5.2823459999999899E-3</v>
      </c>
      <c r="AA3150">
        <v>0.98792329999999995</v>
      </c>
      <c r="AB3150">
        <v>39</v>
      </c>
      <c r="AC3150">
        <v>-0.50930000000002396</v>
      </c>
      <c r="AD3150">
        <v>-0.2404675</v>
      </c>
      <c r="AE3150">
        <v>0.176799999999985</v>
      </c>
      <c r="AF3150">
        <v>0.12304816296096199</v>
      </c>
      <c r="AG3150">
        <v>-0.2404675</v>
      </c>
      <c r="AH3150">
        <v>0.43249099417002801</v>
      </c>
      <c r="AI3150">
        <v>118.137097442775</v>
      </c>
      <c r="AJ3150">
        <v>74.118398867825107</v>
      </c>
      <c r="AK3150">
        <v>0.50991560968703098</v>
      </c>
    </row>
    <row r="3151" spans="1:37" x14ac:dyDescent="0.2">
      <c r="A3151" t="str">
        <f>"20200111154128011"</f>
        <v>20200111154128011</v>
      </c>
      <c r="B3151" t="str">
        <f>"1578728487998961"</f>
        <v>1578728487998961</v>
      </c>
      <c r="C3151" t="s">
        <v>37</v>
      </c>
      <c r="D3151">
        <v>5.7442539999999997</v>
      </c>
      <c r="E3151">
        <v>0.56063059999999998</v>
      </c>
      <c r="F3151" t="s">
        <v>38</v>
      </c>
      <c r="G3151">
        <v>-239.38069999999999</v>
      </c>
      <c r="H3151">
        <v>0.87707610000000003</v>
      </c>
      <c r="I3151">
        <v>141.04599999999999</v>
      </c>
      <c r="J3151">
        <v>-238.88980000000001</v>
      </c>
      <c r="K3151">
        <v>1.1078239999999999</v>
      </c>
      <c r="L3151">
        <v>140.8793</v>
      </c>
      <c r="M3151">
        <v>-0.99833769999999999</v>
      </c>
      <c r="N3151">
        <v>0</v>
      </c>
      <c r="O3151">
        <v>5.7554090000000002E-2</v>
      </c>
      <c r="P3151">
        <v>-0.99820509999999996</v>
      </c>
      <c r="Q3151">
        <v>4.3052130000000001E-2</v>
      </c>
      <c r="R3151">
        <v>4.1637010000000002E-2</v>
      </c>
      <c r="S3151">
        <v>-3.0133969999999999</v>
      </c>
      <c r="T3151">
        <v>-0.80214719999999995</v>
      </c>
      <c r="U3151">
        <v>0.65542599999999995</v>
      </c>
      <c r="V3151">
        <v>-1.577661E-2</v>
      </c>
      <c r="W3151">
        <v>4.6162719999999997E-2</v>
      </c>
      <c r="X3151">
        <v>0.99880930000000001</v>
      </c>
      <c r="Y3151">
        <v>0.15278269999999999</v>
      </c>
      <c r="Z3151">
        <v>4.9031750000000001E-3</v>
      </c>
      <c r="AA3151">
        <v>0.9882476</v>
      </c>
      <c r="AB3151">
        <v>39</v>
      </c>
      <c r="AC3151">
        <v>-0.49089999999998202</v>
      </c>
      <c r="AD3151">
        <v>-0.23074789999999901</v>
      </c>
      <c r="AE3151">
        <v>0.16669999999999099</v>
      </c>
      <c r="AF3151">
        <v>0.11532413330609199</v>
      </c>
      <c r="AG3151">
        <v>-0.23074789999999901</v>
      </c>
      <c r="AH3151">
        <v>0.41705964124203199</v>
      </c>
      <c r="AI3151">
        <v>118.06928618539899</v>
      </c>
      <c r="AJ3151">
        <v>74.542966742744994</v>
      </c>
      <c r="AK3151">
        <v>0.49039065389762798</v>
      </c>
    </row>
    <row r="3152" spans="1:37" x14ac:dyDescent="0.2">
      <c r="A3152" t="str">
        <f>"20200111154128034"</f>
        <v>20200111154128034</v>
      </c>
      <c r="B3152" t="str">
        <f>"1578728488029214"</f>
        <v>1578728488029214</v>
      </c>
      <c r="C3152" t="s">
        <v>37</v>
      </c>
      <c r="D3152">
        <v>5.6424250000000002</v>
      </c>
      <c r="E3152">
        <v>0.56102959999999902</v>
      </c>
      <c r="F3152" t="s">
        <v>38</v>
      </c>
      <c r="G3152">
        <v>-239.73660000000001</v>
      </c>
      <c r="H3152">
        <v>0.88059739999999997</v>
      </c>
      <c r="I3152">
        <v>141.06209999999999</v>
      </c>
      <c r="J3152">
        <v>-239.27420000000001</v>
      </c>
      <c r="K3152">
        <v>1.1079110000000001</v>
      </c>
      <c r="L3152">
        <v>140.90180000000001</v>
      </c>
      <c r="M3152">
        <v>-0.9983052</v>
      </c>
      <c r="N3152">
        <v>0</v>
      </c>
      <c r="O3152">
        <v>5.8114730000000003E-2</v>
      </c>
      <c r="P3152">
        <v>-0.99822469999999996</v>
      </c>
      <c r="Q3152">
        <v>4.3052769999999997E-2</v>
      </c>
      <c r="R3152">
        <v>4.1160090000000003E-2</v>
      </c>
      <c r="S3152">
        <v>-3.0131380000000001</v>
      </c>
      <c r="T3152">
        <v>-0.80848489999999995</v>
      </c>
      <c r="U3152">
        <v>0.65048219999999901</v>
      </c>
      <c r="V3152">
        <v>-1.6824860000000001E-2</v>
      </c>
      <c r="W3152">
        <v>4.6177950000000002E-2</v>
      </c>
      <c r="X3152">
        <v>0.99879150000000005</v>
      </c>
      <c r="Y3152">
        <v>0.15073329999999999</v>
      </c>
      <c r="Z3152">
        <v>4.5288450000000001E-3</v>
      </c>
      <c r="AA3152">
        <v>0.98856409999999995</v>
      </c>
      <c r="AB3152">
        <v>40</v>
      </c>
      <c r="AC3152">
        <v>-0.46240000000000198</v>
      </c>
      <c r="AD3152">
        <v>-0.2273136</v>
      </c>
      <c r="AE3152">
        <v>0.16029999999997799</v>
      </c>
      <c r="AF3152">
        <v>0.109527426468763</v>
      </c>
      <c r="AG3152">
        <v>-0.2273136</v>
      </c>
      <c r="AH3152">
        <v>0.3873648549498</v>
      </c>
      <c r="AI3152">
        <v>119.45263081631499</v>
      </c>
      <c r="AJ3152">
        <v>74.211747739972196</v>
      </c>
      <c r="AK3152">
        <v>0.46229780525556202</v>
      </c>
    </row>
    <row r="3153" spans="1:37" x14ac:dyDescent="0.2">
      <c r="A3153" t="str">
        <f>"20200111154128057"</f>
        <v>20200111154128057</v>
      </c>
      <c r="B3153" t="str">
        <f>"1578728488049711"</f>
        <v>1578728488049711</v>
      </c>
      <c r="C3153" t="s">
        <v>37</v>
      </c>
      <c r="D3153">
        <v>5.6208049999999998</v>
      </c>
      <c r="E3153">
        <v>0.56122190000000005</v>
      </c>
      <c r="F3153" t="s">
        <v>38</v>
      </c>
      <c r="G3153">
        <v>-240.09450000000001</v>
      </c>
      <c r="H3153">
        <v>0.88565430000000001</v>
      </c>
      <c r="I3153">
        <v>141.0795</v>
      </c>
      <c r="J3153">
        <v>-239.7028</v>
      </c>
      <c r="K3153">
        <v>1.1080110000000001</v>
      </c>
      <c r="L3153">
        <v>140.9272</v>
      </c>
      <c r="M3153">
        <v>-0.99827529999999998</v>
      </c>
      <c r="N3153">
        <v>0</v>
      </c>
      <c r="O3153">
        <v>5.8624660000000002E-2</v>
      </c>
      <c r="P3153">
        <v>-0.99823249999999997</v>
      </c>
      <c r="Q3153">
        <v>4.3435759999999997E-2</v>
      </c>
      <c r="R3153">
        <v>4.0562309999999997E-2</v>
      </c>
      <c r="S3153">
        <v>-3.0136569999999998</v>
      </c>
      <c r="T3153">
        <v>-0.81653330000000002</v>
      </c>
      <c r="U3153">
        <v>0.65206909999999996</v>
      </c>
      <c r="V3153">
        <v>-1.7943250000000001E-2</v>
      </c>
      <c r="W3153">
        <v>4.6579019999999999E-2</v>
      </c>
      <c r="X3153">
        <v>0.99875340000000001</v>
      </c>
      <c r="Y3153">
        <v>0.15065120000000001</v>
      </c>
      <c r="Z3153">
        <v>4.4270179999999996E-3</v>
      </c>
      <c r="AA3153">
        <v>0.98857709999999999</v>
      </c>
      <c r="AB3153">
        <v>40</v>
      </c>
      <c r="AC3153">
        <v>-0.39170000000001398</v>
      </c>
      <c r="AD3153">
        <v>-0.22235669999999999</v>
      </c>
      <c r="AE3153">
        <v>0.15229999999999599</v>
      </c>
      <c r="AF3153">
        <v>0.100845055873222</v>
      </c>
      <c r="AG3153">
        <v>-0.22235669999999999</v>
      </c>
      <c r="AH3153">
        <v>0.31248171133901997</v>
      </c>
      <c r="AI3153">
        <v>124.105526076939</v>
      </c>
      <c r="AJ3153">
        <v>72.113912708310295</v>
      </c>
      <c r="AK3153">
        <v>0.39655648683425399</v>
      </c>
    </row>
    <row r="3154" spans="1:37" x14ac:dyDescent="0.2">
      <c r="A3154" t="str">
        <f>"20200111154128078"</f>
        <v>20200111154128078</v>
      </c>
      <c r="B3154" t="str">
        <f>"1578728488069230"</f>
        <v>1578728488069230</v>
      </c>
      <c r="C3154" t="s">
        <v>37</v>
      </c>
      <c r="D3154">
        <v>5.6024949999999896</v>
      </c>
      <c r="E3154">
        <v>0.56117490000000003</v>
      </c>
      <c r="F3154" t="s">
        <v>38</v>
      </c>
      <c r="G3154">
        <v>-240.45869999999999</v>
      </c>
      <c r="H3154">
        <v>0.90250680000000005</v>
      </c>
      <c r="I3154">
        <v>141.0908</v>
      </c>
      <c r="J3154">
        <v>-240.0857</v>
      </c>
      <c r="K3154">
        <v>1.1081049999999999</v>
      </c>
      <c r="L3154">
        <v>140.94990000000001</v>
      </c>
      <c r="M3154">
        <v>-0.99825439999999999</v>
      </c>
      <c r="N3154">
        <v>0</v>
      </c>
      <c r="O3154">
        <v>5.8979049999999998E-2</v>
      </c>
      <c r="P3154">
        <v>-0.99820180000000003</v>
      </c>
      <c r="Q3154">
        <v>4.4491990000000002E-2</v>
      </c>
      <c r="R3154">
        <v>4.0172989999999999E-2</v>
      </c>
      <c r="S3154">
        <v>-3.014481</v>
      </c>
      <c r="T3154">
        <v>-0.81948489999999996</v>
      </c>
      <c r="U3154">
        <v>0.65203859999999902</v>
      </c>
      <c r="V3154">
        <v>-1.8693330000000001E-2</v>
      </c>
      <c r="W3154">
        <v>4.7653090000000002E-2</v>
      </c>
      <c r="X3154">
        <v>0.99868899999999905</v>
      </c>
      <c r="Y3154">
        <v>0.1502406</v>
      </c>
      <c r="Z3154">
        <v>4.2939179999999999E-3</v>
      </c>
      <c r="AA3154">
        <v>0.98864010000000002</v>
      </c>
      <c r="AB3154">
        <v>40</v>
      </c>
      <c r="AC3154">
        <v>-0.37299999999999001</v>
      </c>
      <c r="AD3154">
        <v>-0.20559819999999901</v>
      </c>
      <c r="AE3154">
        <v>0.14089999999998701</v>
      </c>
      <c r="AF3154">
        <v>9.37333034550282E-2</v>
      </c>
      <c r="AG3154">
        <v>-0.20559819999999901</v>
      </c>
      <c r="AH3154">
        <v>0.30070769503512301</v>
      </c>
      <c r="AI3154">
        <v>123.13403487225899</v>
      </c>
      <c r="AJ3154">
        <v>72.687272020668303</v>
      </c>
      <c r="AK3154">
        <v>0.37614049220094398</v>
      </c>
    </row>
    <row r="3155" spans="1:37" x14ac:dyDescent="0.2">
      <c r="A3155" t="str">
        <f>"20200111154128101"</f>
        <v>20200111154128101</v>
      </c>
      <c r="B3155" t="str">
        <f>"1578728488099457"</f>
        <v>1578728488099457</v>
      </c>
      <c r="C3155" t="s">
        <v>37</v>
      </c>
      <c r="D3155">
        <v>5.5550439999999996</v>
      </c>
      <c r="E3155">
        <v>0.56106840000000002</v>
      </c>
      <c r="F3155" t="s">
        <v>38</v>
      </c>
      <c r="G3155">
        <v>-240.81960000000001</v>
      </c>
      <c r="H3155">
        <v>0.90858280000000002</v>
      </c>
      <c r="I3155">
        <v>141.10839999999999</v>
      </c>
      <c r="J3155">
        <v>-240.49510000000001</v>
      </c>
      <c r="K3155">
        <v>1.1082080000000001</v>
      </c>
      <c r="L3155">
        <v>140.9743</v>
      </c>
      <c r="M3155">
        <v>-0.99823739999999905</v>
      </c>
      <c r="N3155">
        <v>0</v>
      </c>
      <c r="O3155">
        <v>5.9262710000000003E-2</v>
      </c>
      <c r="P3155">
        <v>-0.99815370000000003</v>
      </c>
      <c r="Q3155">
        <v>4.5905229999999998E-2</v>
      </c>
      <c r="R3155">
        <v>3.97717E-2</v>
      </c>
      <c r="S3155">
        <v>-3.0157319999999999</v>
      </c>
      <c r="T3155">
        <v>-0.81977869999999997</v>
      </c>
      <c r="U3155">
        <v>0.65075680000000002</v>
      </c>
      <c r="V3155">
        <v>-1.938486E-2</v>
      </c>
      <c r="W3155">
        <v>4.9088590000000001E-2</v>
      </c>
      <c r="X3155">
        <v>0.99860629999999995</v>
      </c>
      <c r="Y3155">
        <v>0.14950859999999999</v>
      </c>
      <c r="Z3155">
        <v>4.1225890000000003E-3</v>
      </c>
      <c r="AA3155">
        <v>0.98875179999999996</v>
      </c>
      <c r="AB3155">
        <v>40</v>
      </c>
      <c r="AC3155">
        <v>-0.32450000000000001</v>
      </c>
      <c r="AD3155">
        <v>-0.199625199999999</v>
      </c>
      <c r="AE3155">
        <v>0.13409999999998901</v>
      </c>
      <c r="AF3155">
        <v>8.6630782814538301E-2</v>
      </c>
      <c r="AG3155">
        <v>-0.199625199999999</v>
      </c>
      <c r="AH3155">
        <v>0.25080591110691802</v>
      </c>
      <c r="AI3155">
        <v>126.95488955698001</v>
      </c>
      <c r="AJ3155">
        <v>70.944593420971401</v>
      </c>
      <c r="AK3155">
        <v>0.33205228210670501</v>
      </c>
    </row>
    <row r="3156" spans="1:37" x14ac:dyDescent="0.2">
      <c r="A3156" t="str">
        <f>"20200111154128125"</f>
        <v>20200111154128125</v>
      </c>
      <c r="B3156" t="str">
        <f>"1578728488118978"</f>
        <v>1578728488118978</v>
      </c>
      <c r="C3156" t="s">
        <v>37</v>
      </c>
      <c r="D3156">
        <v>5.5411269999999897</v>
      </c>
      <c r="E3156">
        <v>0.56109290000000001</v>
      </c>
      <c r="F3156" t="s">
        <v>38</v>
      </c>
      <c r="G3156">
        <v>-241.18459999999999</v>
      </c>
      <c r="H3156">
        <v>0.92081389999999996</v>
      </c>
      <c r="I3156">
        <v>141.1225</v>
      </c>
      <c r="J3156">
        <v>-240.91820000000001</v>
      </c>
      <c r="K3156">
        <v>1.1083129999999899</v>
      </c>
      <c r="L3156">
        <v>140.99959999999999</v>
      </c>
      <c r="M3156">
        <v>-0.99822559999999905</v>
      </c>
      <c r="N3156">
        <v>0</v>
      </c>
      <c r="O3156">
        <v>5.9461939999999998E-2</v>
      </c>
      <c r="P3156">
        <v>-0.99814699999999901</v>
      </c>
      <c r="Q3156">
        <v>4.6309459999999997E-2</v>
      </c>
      <c r="R3156">
        <v>3.94761E-2</v>
      </c>
      <c r="S3156">
        <v>-3.0174259999999999</v>
      </c>
      <c r="T3156">
        <v>-0.82008959999999997</v>
      </c>
      <c r="U3156">
        <v>0.64845280000000005</v>
      </c>
      <c r="V3156">
        <v>-1.9890140000000001E-2</v>
      </c>
      <c r="W3156">
        <v>4.9517230000000002E-2</v>
      </c>
      <c r="X3156">
        <v>0.9985752</v>
      </c>
      <c r="Y3156">
        <v>0.14851679999999901</v>
      </c>
      <c r="Z3156">
        <v>3.9387939999999998E-3</v>
      </c>
      <c r="AA3156">
        <v>0.98890199999999995</v>
      </c>
      <c r="AB3156">
        <v>40</v>
      </c>
      <c r="AC3156">
        <v>-0.26639999999997599</v>
      </c>
      <c r="AD3156">
        <v>-0.187499099999999</v>
      </c>
      <c r="AE3156">
        <v>0.122900000000015</v>
      </c>
      <c r="AF3156">
        <v>7.5858185713205503E-2</v>
      </c>
      <c r="AG3156">
        <v>-0.187499099999999</v>
      </c>
      <c r="AH3156">
        <v>0.193999241387428</v>
      </c>
      <c r="AI3156">
        <v>131.99121425353701</v>
      </c>
      <c r="AJ3156">
        <v>68.643353365265</v>
      </c>
      <c r="AK3156">
        <v>0.28026074020348701</v>
      </c>
    </row>
    <row r="3157" spans="1:37" x14ac:dyDescent="0.2">
      <c r="A3157" t="str">
        <f>"20200111154128145"</f>
        <v>20200111154128145</v>
      </c>
      <c r="B3157" t="str">
        <f>"1578728488139473"</f>
        <v>1578728488139473</v>
      </c>
      <c r="C3157" t="s">
        <v>37</v>
      </c>
      <c r="D3157">
        <v>5.5582349999999998</v>
      </c>
      <c r="E3157">
        <v>0.56110509999999902</v>
      </c>
      <c r="F3157" t="s">
        <v>38</v>
      </c>
      <c r="G3157">
        <v>-241.8767</v>
      </c>
      <c r="H3157">
        <v>0.84746339999999998</v>
      </c>
      <c r="I3157">
        <v>141.2054</v>
      </c>
      <c r="J3157">
        <v>-241.28360000000001</v>
      </c>
      <c r="K3157">
        <v>1.108382</v>
      </c>
      <c r="L3157">
        <v>141.0215</v>
      </c>
      <c r="M3157">
        <v>-0.99821839999999995</v>
      </c>
      <c r="N3157">
        <v>0</v>
      </c>
      <c r="O3157">
        <v>5.9578239999999998E-2</v>
      </c>
      <c r="P3157">
        <v>-0.99812719999999899</v>
      </c>
      <c r="Q3157">
        <v>4.7109989999999997E-2</v>
      </c>
      <c r="R3157">
        <v>3.9018669999999998E-2</v>
      </c>
      <c r="S3157">
        <v>-3.0180820000000002</v>
      </c>
      <c r="T3157">
        <v>-0.82136909999999896</v>
      </c>
      <c r="U3157">
        <v>0.64758300000000002</v>
      </c>
      <c r="V3157">
        <v>-2.046972E-2</v>
      </c>
      <c r="W3157">
        <v>5.0341129999999998E-2</v>
      </c>
      <c r="X3157">
        <v>0.99852229999999997</v>
      </c>
      <c r="Y3157">
        <v>0.14809529999999901</v>
      </c>
      <c r="Z3157">
        <v>3.857643E-3</v>
      </c>
      <c r="AA3157">
        <v>0.988965599999999</v>
      </c>
      <c r="AB3157">
        <v>40</v>
      </c>
      <c r="AC3157">
        <v>-0.59309999999999197</v>
      </c>
      <c r="AD3157">
        <v>-0.2609186</v>
      </c>
      <c r="AE3157">
        <v>0.18389999999999401</v>
      </c>
      <c r="AF3157">
        <v>0.12599230920583601</v>
      </c>
      <c r="AG3157">
        <v>-0.2609186</v>
      </c>
      <c r="AH3157">
        <v>0.51251431811947701</v>
      </c>
      <c r="AI3157">
        <v>116.30668579573501</v>
      </c>
      <c r="AJ3157">
        <v>76.188748913414003</v>
      </c>
      <c r="AK3157">
        <v>0.58874740261206304</v>
      </c>
    </row>
    <row r="3158" spans="1:37" x14ac:dyDescent="0.2">
      <c r="A3158" t="str">
        <f>"20200111154128168"</f>
        <v>20200111154128168</v>
      </c>
      <c r="B3158" t="str">
        <f>"1578728488159969"</f>
        <v>1578728488159969</v>
      </c>
      <c r="C3158" t="s">
        <v>37</v>
      </c>
      <c r="D3158">
        <v>5.5199629999999997</v>
      </c>
      <c r="E3158">
        <v>0.56155379999999999</v>
      </c>
      <c r="F3158" t="s">
        <v>38</v>
      </c>
      <c r="G3158">
        <v>-242.2406</v>
      </c>
      <c r="H3158">
        <v>0.84812520000000002</v>
      </c>
      <c r="I3158">
        <v>141.22640000000001</v>
      </c>
      <c r="J3158">
        <v>-241.71019999999999</v>
      </c>
      <c r="K3158">
        <v>1.108449</v>
      </c>
      <c r="L3158">
        <v>141.047</v>
      </c>
      <c r="M3158">
        <v>-0.99821319999999902</v>
      </c>
      <c r="N3158">
        <v>0</v>
      </c>
      <c r="O3158">
        <v>5.9665790000000003E-2</v>
      </c>
      <c r="P3158">
        <v>-0.99814080000000005</v>
      </c>
      <c r="Q3158">
        <v>4.7599179999999998E-2</v>
      </c>
      <c r="R3158">
        <v>3.8072090000000003E-2</v>
      </c>
      <c r="S3158">
        <v>-3.019104</v>
      </c>
      <c r="T3158">
        <v>-0.8210575</v>
      </c>
      <c r="U3158">
        <v>0.6463776</v>
      </c>
      <c r="V3158">
        <v>-2.1511880000000001E-2</v>
      </c>
      <c r="W3158">
        <v>5.086069E-2</v>
      </c>
      <c r="X3158">
        <v>0.99847410000000003</v>
      </c>
      <c r="Y3158">
        <v>0.147587</v>
      </c>
      <c r="Z3158">
        <v>3.7648920000000002E-3</v>
      </c>
      <c r="AA3158">
        <v>0.98904190000000003</v>
      </c>
      <c r="AB3158">
        <v>41</v>
      </c>
      <c r="AC3158">
        <v>-0.53040000000001397</v>
      </c>
      <c r="AD3158">
        <v>-0.26032379999999999</v>
      </c>
      <c r="AE3158">
        <v>0.17940000000001499</v>
      </c>
      <c r="AF3158">
        <v>0.121228534484163</v>
      </c>
      <c r="AG3158">
        <v>-0.26032379999999999</v>
      </c>
      <c r="AH3158">
        <v>0.44415081423055802</v>
      </c>
      <c r="AI3158">
        <v>119.485211626385</v>
      </c>
      <c r="AJ3158">
        <v>74.733295881309402</v>
      </c>
      <c r="AK3158">
        <v>0.52889959746750204</v>
      </c>
    </row>
    <row r="3159" spans="1:37" x14ac:dyDescent="0.2">
      <c r="A3159" t="str">
        <f>"20200111154128190"</f>
        <v>20200111154128190</v>
      </c>
      <c r="B3159" t="str">
        <f>"1578728488179489"</f>
        <v>1578728488179489</v>
      </c>
      <c r="C3159" t="s">
        <v>37</v>
      </c>
      <c r="D3159">
        <v>5.4877940000000001</v>
      </c>
      <c r="E3159">
        <v>0.56198329999999996</v>
      </c>
      <c r="F3159" t="s">
        <v>38</v>
      </c>
      <c r="G3159">
        <v>-242.61199999999999</v>
      </c>
      <c r="H3159">
        <v>0.86353210000000002</v>
      </c>
      <c r="I3159">
        <v>141.2406</v>
      </c>
      <c r="J3159">
        <v>-242.1086</v>
      </c>
      <c r="K3159">
        <v>1.108506</v>
      </c>
      <c r="L3159">
        <v>141.07089999999999</v>
      </c>
      <c r="M3159">
        <v>-0.99821000000000004</v>
      </c>
      <c r="N3159">
        <v>0</v>
      </c>
      <c r="O3159">
        <v>5.9717069999999997E-2</v>
      </c>
      <c r="P3159">
        <v>-0.9981582</v>
      </c>
      <c r="Q3159">
        <v>4.8052629999999999E-2</v>
      </c>
      <c r="R3159">
        <v>3.7030019999999997E-2</v>
      </c>
      <c r="S3159">
        <v>-3.0199889999999998</v>
      </c>
      <c r="T3159">
        <v>-0.82023500000000005</v>
      </c>
      <c r="U3159">
        <v>0.64791869999999996</v>
      </c>
      <c r="V3159">
        <v>-2.2610640000000001E-2</v>
      </c>
      <c r="W3159">
        <v>5.1343569999999998E-2</v>
      </c>
      <c r="X3159">
        <v>0.99842509999999995</v>
      </c>
      <c r="Y3159">
        <v>0.14795649999999999</v>
      </c>
      <c r="Z3159">
        <v>3.795353E-3</v>
      </c>
      <c r="AA3159">
        <v>0.98898660000000005</v>
      </c>
      <c r="AB3159">
        <v>41</v>
      </c>
      <c r="AC3159">
        <v>-0.50339999999999896</v>
      </c>
      <c r="AD3159">
        <v>-0.24497389999999999</v>
      </c>
      <c r="AE3159">
        <v>0.16970000000000501</v>
      </c>
      <c r="AF3159">
        <v>0.11490147440795299</v>
      </c>
      <c r="AG3159">
        <v>-0.24497389999999999</v>
      </c>
      <c r="AH3159">
        <v>0.42273957143639901</v>
      </c>
      <c r="AI3159">
        <v>119.214067381129</v>
      </c>
      <c r="AJ3159">
        <v>74.794235191230499</v>
      </c>
      <c r="AK3159">
        <v>0.501919620816483</v>
      </c>
    </row>
    <row r="3160" spans="1:37" x14ac:dyDescent="0.2">
      <c r="A3160" t="str">
        <f>"20200111154128212"</f>
        <v>20200111154128212</v>
      </c>
      <c r="B3160" t="str">
        <f>"1578728488209745"</f>
        <v>1578728488209745</v>
      </c>
      <c r="C3160" t="s">
        <v>37</v>
      </c>
      <c r="D3160">
        <v>5.4688589999999904</v>
      </c>
      <c r="E3160">
        <v>0.56255200000000005</v>
      </c>
      <c r="F3160" t="s">
        <v>38</v>
      </c>
      <c r="G3160">
        <v>-242.98159999999999</v>
      </c>
      <c r="H3160">
        <v>0.8715446</v>
      </c>
      <c r="I3160">
        <v>141.25839999999999</v>
      </c>
      <c r="J3160">
        <v>-242.51490000000001</v>
      </c>
      <c r="K3160">
        <v>1.108552</v>
      </c>
      <c r="L3160">
        <v>141.09530000000001</v>
      </c>
      <c r="M3160">
        <v>-0.99820789999999904</v>
      </c>
      <c r="N3160">
        <v>0</v>
      </c>
      <c r="O3160">
        <v>5.9749240000000002E-2</v>
      </c>
      <c r="P3160">
        <v>-0.99817929999999999</v>
      </c>
      <c r="Q3160">
        <v>4.82181E-2</v>
      </c>
      <c r="R3160">
        <v>3.6240120000000001E-2</v>
      </c>
      <c r="S3160">
        <v>-3.0209809999999999</v>
      </c>
      <c r="T3160">
        <v>-0.819994</v>
      </c>
      <c r="U3160">
        <v>0.64775090000000002</v>
      </c>
      <c r="V3160">
        <v>-2.343783E-2</v>
      </c>
      <c r="W3160">
        <v>5.1540240000000001E-2</v>
      </c>
      <c r="X3160">
        <v>0.9983959</v>
      </c>
      <c r="Y3160">
        <v>0.14781520000000001</v>
      </c>
      <c r="Z3160">
        <v>3.7660150000000002E-3</v>
      </c>
      <c r="AA3160">
        <v>0.98900779999999999</v>
      </c>
      <c r="AB3160">
        <v>41</v>
      </c>
      <c r="AC3160">
        <v>-0.46669999999997402</v>
      </c>
      <c r="AD3160">
        <v>-0.23700740000000001</v>
      </c>
      <c r="AE3160">
        <v>0.16309999999998501</v>
      </c>
      <c r="AF3160">
        <v>0.109709180853117</v>
      </c>
      <c r="AG3160">
        <v>-0.23700740000000001</v>
      </c>
      <c r="AH3160">
        <v>0.38672980296499598</v>
      </c>
      <c r="AI3160">
        <v>120.522970411397</v>
      </c>
      <c r="AJ3160">
        <v>74.162192178194005</v>
      </c>
      <c r="AK3160">
        <v>0.466656782356762</v>
      </c>
    </row>
    <row r="3161" spans="1:37" x14ac:dyDescent="0.2">
      <c r="A3161" t="str">
        <f>"20200111154128234"</f>
        <v>20200111154128234</v>
      </c>
      <c r="B3161" t="str">
        <f>"1578728488229267"</f>
        <v>1578728488229267</v>
      </c>
      <c r="C3161" t="s">
        <v>37</v>
      </c>
      <c r="D3161">
        <v>5.4483889999999997</v>
      </c>
      <c r="E3161">
        <v>0.56287659999999995</v>
      </c>
      <c r="F3161" t="s">
        <v>38</v>
      </c>
      <c r="G3161">
        <v>-243.35299999999901</v>
      </c>
      <c r="H3161">
        <v>0.88071529999999998</v>
      </c>
      <c r="I3161">
        <v>141.27539999999999</v>
      </c>
      <c r="J3161">
        <v>-242.90520000000001</v>
      </c>
      <c r="K3161">
        <v>1.1085860000000001</v>
      </c>
      <c r="L3161">
        <v>141.11869999999999</v>
      </c>
      <c r="M3161">
        <v>-0.99820659999999894</v>
      </c>
      <c r="N3161">
        <v>0</v>
      </c>
      <c r="O3161">
        <v>5.9769040000000002E-2</v>
      </c>
      <c r="P3161">
        <v>-0.99821740000000003</v>
      </c>
      <c r="Q3161">
        <v>4.8554739999999999E-2</v>
      </c>
      <c r="R3161">
        <v>3.4703030000000003E-2</v>
      </c>
      <c r="S3161">
        <v>-3.0215909999999999</v>
      </c>
      <c r="T3161">
        <v>-0.82145610000000002</v>
      </c>
      <c r="U3161">
        <v>0.64904790000000001</v>
      </c>
      <c r="V3161">
        <v>-2.4998369999999999E-2</v>
      </c>
      <c r="W3161">
        <v>5.1908820000000001E-2</v>
      </c>
      <c r="X3161">
        <v>0.99833890000000003</v>
      </c>
      <c r="Y3161">
        <v>0.14814069999999999</v>
      </c>
      <c r="Z3161">
        <v>3.809453E-3</v>
      </c>
      <c r="AA3161">
        <v>0.98895900000000003</v>
      </c>
      <c r="AB3161">
        <v>41</v>
      </c>
      <c r="AC3161">
        <v>-0.447799999999972</v>
      </c>
      <c r="AD3161">
        <v>-0.22787070000000001</v>
      </c>
      <c r="AE3161">
        <v>0.15670000000000001</v>
      </c>
      <c r="AF3161">
        <v>0.105351035403572</v>
      </c>
      <c r="AG3161">
        <v>-0.22787070000000001</v>
      </c>
      <c r="AH3161">
        <v>0.37081877822609299</v>
      </c>
      <c r="AI3161">
        <v>120.587924299672</v>
      </c>
      <c r="AJ3161">
        <v>74.139948669931897</v>
      </c>
      <c r="AK3161">
        <v>0.44780627827687602</v>
      </c>
    </row>
    <row r="3162" spans="1:37" x14ac:dyDescent="0.2">
      <c r="A3162" t="str">
        <f>"20200111154128257"</f>
        <v>20200111154128257</v>
      </c>
      <c r="B3162" t="str">
        <f>"1578728488249763"</f>
        <v>1578728488249763</v>
      </c>
      <c r="C3162" t="s">
        <v>37</v>
      </c>
      <c r="D3162">
        <v>5.4558879999999998</v>
      </c>
      <c r="E3162">
        <v>0.56320049999999999</v>
      </c>
      <c r="F3162" t="s">
        <v>38</v>
      </c>
      <c r="G3162">
        <v>-243.72399999999999</v>
      </c>
      <c r="H3162">
        <v>0.88597420000000005</v>
      </c>
      <c r="I3162">
        <v>141.29390000000001</v>
      </c>
      <c r="J3162">
        <v>-243.34630000000001</v>
      </c>
      <c r="K3162">
        <v>1.1086199999999999</v>
      </c>
      <c r="L3162">
        <v>141.14510000000001</v>
      </c>
      <c r="M3162">
        <v>-0.99820569999999897</v>
      </c>
      <c r="N3162">
        <v>0</v>
      </c>
      <c r="O3162">
        <v>5.978406E-2</v>
      </c>
      <c r="P3162">
        <v>-0.99823530000000005</v>
      </c>
      <c r="Q3162">
        <v>4.86638E-2</v>
      </c>
      <c r="R3162">
        <v>3.4033830000000001E-2</v>
      </c>
      <c r="S3162">
        <v>-3.0228579999999998</v>
      </c>
      <c r="T3162">
        <v>-0.82176469999999902</v>
      </c>
      <c r="U3162">
        <v>0.64598080000000002</v>
      </c>
      <c r="V3162">
        <v>-2.5686529999999999E-2</v>
      </c>
      <c r="W3162">
        <v>5.2054540000000003E-2</v>
      </c>
      <c r="X3162">
        <v>0.99831380000000003</v>
      </c>
      <c r="Y3162">
        <v>0.14711659999999999</v>
      </c>
      <c r="Z3162">
        <v>3.6703650000000001E-3</v>
      </c>
      <c r="AA3162">
        <v>0.9891124</v>
      </c>
      <c r="AB3162">
        <v>41</v>
      </c>
      <c r="AC3162">
        <v>-0.37770000000000398</v>
      </c>
      <c r="AD3162">
        <v>-0.2226458</v>
      </c>
      <c r="AE3162">
        <v>0.14879999999999399</v>
      </c>
      <c r="AF3162">
        <v>9.6827688043163995E-2</v>
      </c>
      <c r="AG3162">
        <v>-0.2226458</v>
      </c>
      <c r="AH3162">
        <v>0.29667964450047701</v>
      </c>
      <c r="AI3162">
        <v>125.504957484464</v>
      </c>
      <c r="AJ3162">
        <v>71.924809252864193</v>
      </c>
      <c r="AK3162">
        <v>0.38336088075122299</v>
      </c>
    </row>
    <row r="3163" spans="1:37" x14ac:dyDescent="0.2">
      <c r="A3163" t="str">
        <f>"20200111154128280"</f>
        <v>20200111154128280</v>
      </c>
      <c r="B3163" t="str">
        <f>"1578728488269281"</f>
        <v>1578728488269281</v>
      </c>
      <c r="C3163" t="s">
        <v>37</v>
      </c>
      <c r="D3163">
        <v>5.4283599999999996</v>
      </c>
      <c r="E3163">
        <v>0.56344349999999999</v>
      </c>
      <c r="F3163" t="s">
        <v>38</v>
      </c>
      <c r="G3163">
        <v>-244.10140000000001</v>
      </c>
      <c r="H3163">
        <v>0.90308869999999897</v>
      </c>
      <c r="I3163">
        <v>141.3066</v>
      </c>
      <c r="J3163">
        <v>-243.76509999999999</v>
      </c>
      <c r="K3163">
        <v>1.108644</v>
      </c>
      <c r="L3163">
        <v>141.17019999999999</v>
      </c>
      <c r="M3163">
        <v>-0.9982048</v>
      </c>
      <c r="N3163">
        <v>0</v>
      </c>
      <c r="O3163">
        <v>5.9795340000000002E-2</v>
      </c>
      <c r="P3163">
        <v>-0.99826649999999995</v>
      </c>
      <c r="Q3163">
        <v>4.9059449999999998E-2</v>
      </c>
      <c r="R3163">
        <v>3.251399E-2</v>
      </c>
      <c r="S3163">
        <v>-3.0233919999999999</v>
      </c>
      <c r="T3163">
        <v>-0.82295370000000001</v>
      </c>
      <c r="U3163">
        <v>0.64598080000000002</v>
      </c>
      <c r="V3163">
        <v>-2.721966E-2</v>
      </c>
      <c r="W3163">
        <v>5.248597E-2</v>
      </c>
      <c r="X3163">
        <v>0.99825059999999999</v>
      </c>
      <c r="Y3163">
        <v>0.14706429999999901</v>
      </c>
      <c r="Z3163">
        <v>3.6649870000000002E-3</v>
      </c>
      <c r="AA3163">
        <v>0.98912009999999995</v>
      </c>
      <c r="AB3163">
        <v>41</v>
      </c>
      <c r="AC3163">
        <v>-0.33630000000002203</v>
      </c>
      <c r="AD3163">
        <v>-0.2055553</v>
      </c>
      <c r="AE3163">
        <v>0.13640000000000799</v>
      </c>
      <c r="AF3163">
        <v>8.7859472843394501E-2</v>
      </c>
      <c r="AG3163">
        <v>-0.2055553</v>
      </c>
      <c r="AH3163">
        <v>0.26033380632167402</v>
      </c>
      <c r="AI3163">
        <v>126.801158862376</v>
      </c>
      <c r="AJ3163">
        <v>71.351090894927097</v>
      </c>
      <c r="AK3163">
        <v>0.34314131060007902</v>
      </c>
    </row>
    <row r="3164" spans="1:37" x14ac:dyDescent="0.2">
      <c r="A3164" t="str">
        <f>"20200111154128302"</f>
        <v>20200111154128302</v>
      </c>
      <c r="B3164" t="str">
        <f>"1578728488299538"</f>
        <v>1578728488299538</v>
      </c>
      <c r="C3164" t="s">
        <v>37</v>
      </c>
      <c r="D3164">
        <v>5.5091789999999996</v>
      </c>
      <c r="E3164">
        <v>0.56365269999999901</v>
      </c>
      <c r="F3164" t="s">
        <v>38</v>
      </c>
      <c r="G3164">
        <v>-244.4776</v>
      </c>
      <c r="H3164">
        <v>0.91455580000000003</v>
      </c>
      <c r="I3164">
        <v>141.32159999999999</v>
      </c>
      <c r="J3164">
        <v>-244.17070000000001</v>
      </c>
      <c r="K3164">
        <v>1.10866</v>
      </c>
      <c r="L3164">
        <v>141.19460000000001</v>
      </c>
      <c r="M3164">
        <v>-0.99820419999999999</v>
      </c>
      <c r="N3164">
        <v>0</v>
      </c>
      <c r="O3164">
        <v>5.9804969999999999E-2</v>
      </c>
      <c r="P3164">
        <v>-0.99829419999999902</v>
      </c>
      <c r="Q3164">
        <v>4.9176810000000001E-2</v>
      </c>
      <c r="R3164">
        <v>3.147312E-2</v>
      </c>
      <c r="S3164">
        <v>-3.0248110000000001</v>
      </c>
      <c r="T3164">
        <v>-0.82394990000000001</v>
      </c>
      <c r="U3164">
        <v>0.64186100000000001</v>
      </c>
      <c r="V3164">
        <v>-2.827329E-2</v>
      </c>
      <c r="W3164">
        <v>5.2639289999999998E-2</v>
      </c>
      <c r="X3164">
        <v>0.99821329999999997</v>
      </c>
      <c r="Y3164">
        <v>0.1457127</v>
      </c>
      <c r="Z3164">
        <v>3.4865270000000001E-3</v>
      </c>
      <c r="AA3164">
        <v>0.9893208</v>
      </c>
      <c r="AB3164">
        <v>41</v>
      </c>
      <c r="AC3164">
        <v>-0.30689999999998402</v>
      </c>
      <c r="AD3164">
        <v>-0.19410419999999901</v>
      </c>
      <c r="AE3164">
        <v>0.12699999999998099</v>
      </c>
      <c r="AF3164">
        <v>8.0816991217725398E-2</v>
      </c>
      <c r="AG3164">
        <v>-0.19410419999999901</v>
      </c>
      <c r="AH3164">
        <v>0.23402080073113299</v>
      </c>
      <c r="AI3164">
        <v>128.09637117108599</v>
      </c>
      <c r="AJ3164">
        <v>70.948104728671893</v>
      </c>
      <c r="AK3164">
        <v>0.31460063843222902</v>
      </c>
    </row>
    <row r="3165" spans="1:37" x14ac:dyDescent="0.2">
      <c r="A3165" t="str">
        <f>"20200111154128324"</f>
        <v>20200111154128324</v>
      </c>
      <c r="B3165" t="str">
        <f>"1578728488319058"</f>
        <v>1578728488319058</v>
      </c>
      <c r="C3165" t="s">
        <v>37</v>
      </c>
      <c r="D3165">
        <v>5.2552149999999997</v>
      </c>
      <c r="E3165">
        <v>0.56233580000000005</v>
      </c>
      <c r="F3165" t="s">
        <v>38</v>
      </c>
      <c r="G3165">
        <v>-244.8537</v>
      </c>
      <c r="H3165">
        <v>0.92215389999999997</v>
      </c>
      <c r="I3165">
        <v>141.3389</v>
      </c>
      <c r="J3165">
        <v>-244.57419999999999</v>
      </c>
      <c r="K3165">
        <v>1.108679</v>
      </c>
      <c r="L3165">
        <v>141.21879999999999</v>
      </c>
      <c r="M3165">
        <v>-0.99820359999999997</v>
      </c>
      <c r="N3165">
        <v>0</v>
      </c>
      <c r="O3165">
        <v>5.9813829999999998E-2</v>
      </c>
      <c r="P3165">
        <v>-0.99829190000000001</v>
      </c>
      <c r="Q3165">
        <v>4.9713029999999998E-2</v>
      </c>
      <c r="R3165">
        <v>3.0695859999999998E-2</v>
      </c>
      <c r="S3165">
        <v>-3.0256959999999999</v>
      </c>
      <c r="T3165">
        <v>-0.82618199999999997</v>
      </c>
      <c r="U3165">
        <v>0.63847349999999903</v>
      </c>
      <c r="V3165">
        <v>-2.9059680000000001E-2</v>
      </c>
      <c r="W3165">
        <v>5.3211170000000002E-2</v>
      </c>
      <c r="X3165">
        <v>0.99816039999999995</v>
      </c>
      <c r="Y3165">
        <v>0.1446086</v>
      </c>
      <c r="Z3165">
        <v>3.3460880000000001E-3</v>
      </c>
      <c r="AA3165">
        <v>0.98948329999999995</v>
      </c>
      <c r="AB3165">
        <v>42</v>
      </c>
      <c r="AC3165">
        <v>-0.27950000000001202</v>
      </c>
      <c r="AD3165">
        <v>-0.1865251</v>
      </c>
      <c r="AE3165">
        <v>0.12010000000000701</v>
      </c>
      <c r="AF3165">
        <v>7.4978905489762798E-2</v>
      </c>
      <c r="AG3165">
        <v>-0.1865251</v>
      </c>
      <c r="AH3165">
        <v>0.20799022460841801</v>
      </c>
      <c r="AI3165">
        <v>130.152750753378</v>
      </c>
      <c r="AJ3165">
        <v>70.176149464732902</v>
      </c>
      <c r="AK3165">
        <v>0.28926351780186998</v>
      </c>
    </row>
    <row r="3166" spans="1:37" x14ac:dyDescent="0.2">
      <c r="A3166" t="str">
        <f>"20200111154128347"</f>
        <v>20200111154128347</v>
      </c>
      <c r="B3166" t="str">
        <f>"1578728488339554"</f>
        <v>1578728488339554</v>
      </c>
      <c r="C3166" t="s">
        <v>37</v>
      </c>
      <c r="D3166">
        <v>5.3445260000000001</v>
      </c>
      <c r="E3166">
        <v>0.47321740000000001</v>
      </c>
      <c r="F3166" t="s">
        <v>38</v>
      </c>
      <c r="G3166">
        <v>-245.56739999999999</v>
      </c>
      <c r="H3166">
        <v>0.83898869999999903</v>
      </c>
      <c r="I3166">
        <v>141.4238</v>
      </c>
      <c r="J3166">
        <v>-245.02619999999999</v>
      </c>
      <c r="K3166">
        <v>1.108706</v>
      </c>
      <c r="L3166">
        <v>141.24590000000001</v>
      </c>
      <c r="M3166">
        <v>-0.99820279999999995</v>
      </c>
      <c r="N3166">
        <v>0</v>
      </c>
      <c r="O3166">
        <v>5.9822699999999999E-2</v>
      </c>
      <c r="P3166">
        <v>-0.99826999999999999</v>
      </c>
      <c r="Q3166">
        <v>5.047753E-2</v>
      </c>
      <c r="R3166">
        <v>3.015027E-2</v>
      </c>
      <c r="S3166">
        <v>-3.0268860000000002</v>
      </c>
      <c r="T3166">
        <v>-0.82185620000000004</v>
      </c>
      <c r="U3166">
        <v>0.62406919999999899</v>
      </c>
      <c r="V3166">
        <v>-2.9614310000000001E-2</v>
      </c>
      <c r="W3166">
        <v>5.4016340000000003E-2</v>
      </c>
      <c r="X3166">
        <v>0.99810080000000001</v>
      </c>
      <c r="Y3166">
        <v>0.14018949999999999</v>
      </c>
      <c r="Z3166">
        <v>2.743129E-3</v>
      </c>
      <c r="AA3166">
        <v>0.99012089999999997</v>
      </c>
      <c r="AB3166">
        <v>42</v>
      </c>
      <c r="AC3166">
        <v>-0.54120000000000301</v>
      </c>
      <c r="AD3166">
        <v>-0.26971729999999999</v>
      </c>
      <c r="AE3166">
        <v>0.17789999999999301</v>
      </c>
      <c r="AF3166">
        <v>0.11861696897422</v>
      </c>
      <c r="AG3166">
        <v>-0.26971729999999999</v>
      </c>
      <c r="AH3166">
        <v>0.45000415141688799</v>
      </c>
      <c r="AI3166">
        <v>120.09529574274001</v>
      </c>
      <c r="AJ3166">
        <v>75.233240695284593</v>
      </c>
      <c r="AK3166">
        <v>0.53788580901558902</v>
      </c>
    </row>
    <row r="3167" spans="1:37" x14ac:dyDescent="0.2">
      <c r="A3167" t="str">
        <f>"20200111154128369"</f>
        <v>20200111154128369</v>
      </c>
      <c r="B3167" t="str">
        <f>"1578728488359077"</f>
        <v>1578728488359077</v>
      </c>
      <c r="C3167" t="s">
        <v>37</v>
      </c>
      <c r="D3167">
        <v>5.2737210000000001</v>
      </c>
      <c r="E3167">
        <v>0.46810350000000001</v>
      </c>
      <c r="F3167" t="s">
        <v>39</v>
      </c>
      <c r="G3167">
        <v>-255.00479999999999</v>
      </c>
      <c r="H3167" s="1">
        <v>-2.4654039999999998E-6</v>
      </c>
      <c r="I3167">
        <v>140.8947</v>
      </c>
      <c r="J3167">
        <v>-245.4435</v>
      </c>
      <c r="K3167">
        <v>1.108722</v>
      </c>
      <c r="L3167">
        <v>141.27099999999999</v>
      </c>
      <c r="M3167">
        <v>-0.99820229999999999</v>
      </c>
      <c r="N3167">
        <v>0</v>
      </c>
      <c r="O3167">
        <v>5.9828649999999997E-2</v>
      </c>
      <c r="P3167">
        <v>-0.99824369999999996</v>
      </c>
      <c r="Q3167">
        <v>5.1179120000000002E-2</v>
      </c>
      <c r="R3167">
        <v>2.983895E-2</v>
      </c>
      <c r="S3167">
        <v>-3.0254059999999998</v>
      </c>
      <c r="T3167">
        <v>-0.33614889999999997</v>
      </c>
      <c r="U3167">
        <v>-0.1064758</v>
      </c>
      <c r="V3167">
        <v>-2.9931019999999999E-2</v>
      </c>
      <c r="W3167">
        <v>5.4756730000000003E-2</v>
      </c>
      <c r="X3167">
        <v>0.99805100000000002</v>
      </c>
      <c r="Y3167">
        <v>-9.3955810000000001E-2</v>
      </c>
      <c r="Z3167">
        <v>-1.182591E-2</v>
      </c>
      <c r="AA3167">
        <v>0.99550609999999995</v>
      </c>
      <c r="AB3167">
        <v>42</v>
      </c>
      <c r="AC3167">
        <v>-9.5612999999999797</v>
      </c>
      <c r="AD3167">
        <v>-1.108724465404</v>
      </c>
      <c r="AE3167">
        <v>-0.37630000000001401</v>
      </c>
      <c r="AF3167">
        <v>-0.93511452473388801</v>
      </c>
      <c r="AG3167">
        <v>-1.108724465404</v>
      </c>
      <c r="AH3167">
        <v>9.3955159815360201</v>
      </c>
      <c r="AI3167">
        <v>96.697317694417904</v>
      </c>
      <c r="AJ3167">
        <v>95.683801607642806</v>
      </c>
      <c r="AK3167">
        <v>9.5068096475028092</v>
      </c>
    </row>
    <row r="3168" spans="1:37" x14ac:dyDescent="0.2">
      <c r="A3168" t="str">
        <f>"20200111154128391"</f>
        <v>20200111154128391</v>
      </c>
      <c r="B3168" t="str">
        <f>"1578728488379569"</f>
        <v>1578728488379569</v>
      </c>
      <c r="C3168" t="s">
        <v>37</v>
      </c>
      <c r="D3168">
        <v>5.2046039999999998</v>
      </c>
      <c r="E3168">
        <v>0.4655417</v>
      </c>
      <c r="F3168" t="s">
        <v>39</v>
      </c>
      <c r="G3168">
        <v>-257.83190000000002</v>
      </c>
      <c r="H3168" s="1">
        <v>-1.1881290000000001E-6</v>
      </c>
      <c r="I3168">
        <v>140.6524</v>
      </c>
      <c r="J3168">
        <v>-245.84960000000001</v>
      </c>
      <c r="K3168">
        <v>1.1087279999999999</v>
      </c>
      <c r="L3168">
        <v>141.2953</v>
      </c>
      <c r="M3168">
        <v>-0.99820209999999998</v>
      </c>
      <c r="N3168">
        <v>0</v>
      </c>
      <c r="O3168">
        <v>5.982817E-2</v>
      </c>
      <c r="P3168">
        <v>-0.99825759999999897</v>
      </c>
      <c r="Q3168">
        <v>5.0906099999999899E-2</v>
      </c>
      <c r="R3168">
        <v>2.9843740000000001E-2</v>
      </c>
      <c r="S3168">
        <v>-3.023666</v>
      </c>
      <c r="T3168">
        <v>-0.27061049999999998</v>
      </c>
      <c r="U3168">
        <v>-0.15097049999999901</v>
      </c>
      <c r="V3168">
        <v>-2.9928079999999999E-2</v>
      </c>
      <c r="W3168">
        <v>5.4521050000000001E-2</v>
      </c>
      <c r="X3168">
        <v>0.99806399999999995</v>
      </c>
      <c r="Y3168">
        <v>-0.1088594</v>
      </c>
      <c r="Z3168">
        <v>-1.019871E-2</v>
      </c>
      <c r="AA3168">
        <v>0.99400480000000002</v>
      </c>
      <c r="AB3168">
        <v>42</v>
      </c>
      <c r="AC3168">
        <v>-11.9823</v>
      </c>
      <c r="AD3168">
        <v>-1.108729188129</v>
      </c>
      <c r="AE3168">
        <v>-0.64289999999999703</v>
      </c>
      <c r="AF3168">
        <v>-1.3471312436334599</v>
      </c>
      <c r="AG3168">
        <v>-1.108729188129</v>
      </c>
      <c r="AH3168">
        <v>11.8214483041163</v>
      </c>
      <c r="AI3168">
        <v>95.323819124710795</v>
      </c>
      <c r="AJ3168">
        <v>96.501183433918897</v>
      </c>
      <c r="AK3168">
        <v>11.949505554920499</v>
      </c>
    </row>
    <row r="3169" spans="1:37" x14ac:dyDescent="0.2">
      <c r="A3169" t="str">
        <f>"20200111154128412"</f>
        <v>20200111154128412</v>
      </c>
      <c r="B3169" t="str">
        <f>"1578728488409531"</f>
        <v>1578728488409531</v>
      </c>
      <c r="C3169" t="s">
        <v>37</v>
      </c>
      <c r="D3169">
        <v>5.1950649999999996</v>
      </c>
      <c r="E3169">
        <v>0.4646749</v>
      </c>
      <c r="F3169" t="s">
        <v>39</v>
      </c>
      <c r="G3169">
        <v>-259.35129999999998</v>
      </c>
      <c r="H3169" s="1">
        <v>-5.0222530000000002E-7</v>
      </c>
      <c r="I3169">
        <v>140.52420000000001</v>
      </c>
      <c r="J3169">
        <v>-246.2535</v>
      </c>
      <c r="K3169">
        <v>1.1087450000000001</v>
      </c>
      <c r="L3169">
        <v>141.31960000000001</v>
      </c>
      <c r="M3169">
        <v>-0.99820279999999995</v>
      </c>
      <c r="N3169">
        <v>0</v>
      </c>
      <c r="O3169">
        <v>5.981529E-2</v>
      </c>
      <c r="P3169">
        <v>-0.99826959999999998</v>
      </c>
      <c r="Q3169">
        <v>5.046892E-2</v>
      </c>
      <c r="R3169">
        <v>3.018146E-2</v>
      </c>
      <c r="S3169">
        <v>-3.023056</v>
      </c>
      <c r="T3169">
        <v>-0.24824829999999901</v>
      </c>
      <c r="U3169">
        <v>-0.17263789999999901</v>
      </c>
      <c r="V3169">
        <v>-2.9580349999999998E-2</v>
      </c>
      <c r="W3169">
        <v>5.4122040000000003E-2</v>
      </c>
      <c r="X3169">
        <v>0.99809609999999904</v>
      </c>
      <c r="Y3169">
        <v>-0.1160402</v>
      </c>
      <c r="Z3169">
        <v>-9.652285E-3</v>
      </c>
      <c r="AA3169">
        <v>0.99319760000000001</v>
      </c>
      <c r="AB3169">
        <v>42</v>
      </c>
      <c r="AC3169">
        <v>-13.0977999999999</v>
      </c>
      <c r="AD3169">
        <v>-1.1087455022253001</v>
      </c>
      <c r="AE3169">
        <v>-0.7954</v>
      </c>
      <c r="AF3169">
        <v>-1.5662474650443301</v>
      </c>
      <c r="AG3169">
        <v>-1.1087455022253001</v>
      </c>
      <c r="AH3169">
        <v>12.9344247426935</v>
      </c>
      <c r="AI3169">
        <v>94.864087303526702</v>
      </c>
      <c r="AJ3169">
        <v>96.904409767361003</v>
      </c>
      <c r="AK3169">
        <v>13.0760005787268</v>
      </c>
    </row>
    <row r="3170" spans="1:37" x14ac:dyDescent="0.2">
      <c r="A3170" t="str">
        <f>"20200111154128435"</f>
        <v>20200111154128435</v>
      </c>
      <c r="B3170" t="str">
        <f>"1578728488429051"</f>
        <v>1578728488429051</v>
      </c>
      <c r="C3170" t="s">
        <v>37</v>
      </c>
      <c r="D3170">
        <v>5.1416149999999998</v>
      </c>
      <c r="E3170">
        <v>0.4649432</v>
      </c>
      <c r="F3170" t="s">
        <v>39</v>
      </c>
      <c r="G3170">
        <v>-260.33940000000001</v>
      </c>
      <c r="H3170" s="1">
        <v>-4.3144219999999999E-6</v>
      </c>
      <c r="I3170">
        <v>140.4838</v>
      </c>
      <c r="J3170">
        <v>-246.68260000000001</v>
      </c>
      <c r="K3170">
        <v>1.108762</v>
      </c>
      <c r="L3170">
        <v>141.34530000000001</v>
      </c>
      <c r="M3170">
        <v>-0.9982046</v>
      </c>
      <c r="N3170">
        <v>0</v>
      </c>
      <c r="O3170">
        <v>5.9782109999999999E-2</v>
      </c>
      <c r="P3170">
        <v>-0.99828329999999998</v>
      </c>
      <c r="Q3170">
        <v>5.002036E-2</v>
      </c>
      <c r="R3170">
        <v>3.047134E-2</v>
      </c>
      <c r="S3170">
        <v>-3.0226289999999998</v>
      </c>
      <c r="T3170">
        <v>-0.23792249999999901</v>
      </c>
      <c r="U3170">
        <v>-0.17932129999999999</v>
      </c>
      <c r="V3170">
        <v>-2.926117E-2</v>
      </c>
      <c r="W3170">
        <v>5.3713520000000001E-2</v>
      </c>
      <c r="X3170">
        <v>0.9981276</v>
      </c>
      <c r="Y3170">
        <v>-0.11824469999999999</v>
      </c>
      <c r="Z3170">
        <v>-9.3368050000000001E-3</v>
      </c>
      <c r="AA3170">
        <v>0.99294059999999995</v>
      </c>
      <c r="AB3170">
        <v>42</v>
      </c>
      <c r="AC3170">
        <v>-13.6568</v>
      </c>
      <c r="AD3170">
        <v>-1.1087663144219999</v>
      </c>
      <c r="AE3170">
        <v>-0.86150000000000604</v>
      </c>
      <c r="AF3170">
        <v>-1.66546271329634</v>
      </c>
      <c r="AG3170">
        <v>-1.1087663144219999</v>
      </c>
      <c r="AH3170">
        <v>13.4922896606618</v>
      </c>
      <c r="AI3170">
        <v>94.662653051996102</v>
      </c>
      <c r="AJ3170">
        <v>97.036886444623306</v>
      </c>
      <c r="AK3170">
        <v>13.639831709980101</v>
      </c>
    </row>
    <row r="3171" spans="1:37" x14ac:dyDescent="0.2">
      <c r="A3171" t="str">
        <f>"20200111154128459"</f>
        <v>20200111154128459</v>
      </c>
      <c r="B3171" t="str">
        <f>"1578728488449547"</f>
        <v>1578728488449547</v>
      </c>
      <c r="C3171" t="s">
        <v>37</v>
      </c>
      <c r="D3171">
        <v>5.1399010000000001</v>
      </c>
      <c r="E3171">
        <v>0.46499979999999902</v>
      </c>
      <c r="F3171" t="s">
        <v>39</v>
      </c>
      <c r="G3171">
        <v>-260.89609999999999</v>
      </c>
      <c r="H3171" s="1">
        <v>-4.1269740000000002E-6</v>
      </c>
      <c r="I3171">
        <v>140.51490000000001</v>
      </c>
      <c r="J3171">
        <v>-247.1455</v>
      </c>
      <c r="K3171">
        <v>1.108786</v>
      </c>
      <c r="L3171">
        <v>141.37299999999999</v>
      </c>
      <c r="M3171">
        <v>-0.99820830000000005</v>
      </c>
      <c r="N3171">
        <v>0</v>
      </c>
      <c r="O3171">
        <v>5.9717659999999999E-2</v>
      </c>
      <c r="P3171">
        <v>-0.99827630000000001</v>
      </c>
      <c r="Q3171">
        <v>5.0221189999999999E-2</v>
      </c>
      <c r="R3171">
        <v>3.0369009999999998E-2</v>
      </c>
      <c r="S3171">
        <v>-3.022354</v>
      </c>
      <c r="T3171">
        <v>-0.23576920000000001</v>
      </c>
      <c r="U3171">
        <v>-0.17655940000000001</v>
      </c>
      <c r="V3171">
        <v>-2.930172E-2</v>
      </c>
      <c r="W3171">
        <v>5.3957310000000001E-2</v>
      </c>
      <c r="X3171">
        <v>0.99811319999999903</v>
      </c>
      <c r="Y3171">
        <v>-0.1172945</v>
      </c>
      <c r="Z3171">
        <v>-9.2116209999999997E-3</v>
      </c>
      <c r="AA3171">
        <v>0.9930544</v>
      </c>
      <c r="AB3171">
        <v>43</v>
      </c>
      <c r="AC3171">
        <v>-13.750599999999899</v>
      </c>
      <c r="AD3171">
        <v>-1.1087901269739999</v>
      </c>
      <c r="AE3171">
        <v>-0.85809999999997899</v>
      </c>
      <c r="AF3171">
        <v>-1.6669313812266999</v>
      </c>
      <c r="AG3171">
        <v>-1.1087901269739999</v>
      </c>
      <c r="AH3171">
        <v>13.5868145061749</v>
      </c>
      <c r="AI3171">
        <v>94.630874626764793</v>
      </c>
      <c r="AJ3171">
        <v>96.994517514349695</v>
      </c>
      <c r="AK3171">
        <v>13.7335211872483</v>
      </c>
    </row>
    <row r="3172" spans="1:37" x14ac:dyDescent="0.2">
      <c r="A3172" t="str">
        <f>"20200111154128480"</f>
        <v>20200111154128480</v>
      </c>
      <c r="B3172" t="str">
        <f>"1578728488469070"</f>
        <v>1578728488469070</v>
      </c>
      <c r="C3172" t="s">
        <v>37</v>
      </c>
      <c r="D3172">
        <v>5.1151289999999996</v>
      </c>
      <c r="E3172">
        <v>0.465005</v>
      </c>
      <c r="F3172" t="s">
        <v>39</v>
      </c>
      <c r="G3172">
        <v>-261.54020000000003</v>
      </c>
      <c r="H3172" s="1">
        <v>-3.855257E-6</v>
      </c>
      <c r="I3172">
        <v>140.53210000000001</v>
      </c>
      <c r="J3172">
        <v>-247.5624</v>
      </c>
      <c r="K3172">
        <v>1.1088100000000001</v>
      </c>
      <c r="L3172">
        <v>141.39789999999999</v>
      </c>
      <c r="M3172">
        <v>-0.99821349999999998</v>
      </c>
      <c r="N3172">
        <v>0</v>
      </c>
      <c r="O3172">
        <v>5.9628519999999997E-2</v>
      </c>
      <c r="P3172">
        <v>-0.99824460000000004</v>
      </c>
      <c r="Q3172">
        <v>5.0755979999999999E-2</v>
      </c>
      <c r="R3172">
        <v>3.0525110000000001E-2</v>
      </c>
      <c r="S3172">
        <v>-3.0222630000000001</v>
      </c>
      <c r="T3172">
        <v>-0.23279859999999999</v>
      </c>
      <c r="U3172">
        <v>-0.17652889999999999</v>
      </c>
      <c r="V3172">
        <v>-2.9058560000000001E-2</v>
      </c>
      <c r="W3172">
        <v>5.4531049999999998E-2</v>
      </c>
      <c r="X3172">
        <v>0.99808909999999995</v>
      </c>
      <c r="Y3172">
        <v>-0.1172115</v>
      </c>
      <c r="Z3172">
        <v>-9.0861409999999903E-3</v>
      </c>
      <c r="AA3172">
        <v>0.99306539999999999</v>
      </c>
      <c r="AB3172">
        <v>43</v>
      </c>
      <c r="AC3172">
        <v>-13.9778</v>
      </c>
      <c r="AD3172">
        <v>-1.1088138552569999</v>
      </c>
      <c r="AE3172">
        <v>-0.86579999999997803</v>
      </c>
      <c r="AF3172">
        <v>-1.6871645635983299</v>
      </c>
      <c r="AG3172">
        <v>-1.1088138552569999</v>
      </c>
      <c r="AH3172">
        <v>13.8147012846841</v>
      </c>
      <c r="AI3172">
        <v>94.555210994328206</v>
      </c>
      <c r="AJ3172">
        <v>96.962948739326706</v>
      </c>
      <c r="AK3172">
        <v>13.961445627703601</v>
      </c>
    </row>
    <row r="3173" spans="1:37" x14ac:dyDescent="0.2">
      <c r="A3173" t="str">
        <f>"20200111154128502"</f>
        <v>20200111154128502</v>
      </c>
      <c r="B3173" t="str">
        <f>"1578728488499135"</f>
        <v>1578728488499135</v>
      </c>
      <c r="C3173" t="s">
        <v>37</v>
      </c>
      <c r="D3173">
        <v>5.0956779999999897</v>
      </c>
      <c r="E3173">
        <v>0.46536309999999897</v>
      </c>
      <c r="F3173" t="s">
        <v>39</v>
      </c>
      <c r="G3173">
        <v>-262.17090000000002</v>
      </c>
      <c r="H3173" s="1">
        <v>-3.5885410000000001E-6</v>
      </c>
      <c r="I3173">
        <v>140.54660000000001</v>
      </c>
      <c r="J3173">
        <v>-247.9623</v>
      </c>
      <c r="K3173">
        <v>1.108838</v>
      </c>
      <c r="L3173">
        <v>141.42169999999999</v>
      </c>
      <c r="M3173">
        <v>-0.99822029999999995</v>
      </c>
      <c r="N3173">
        <v>0</v>
      </c>
      <c r="O3173">
        <v>5.9511420000000002E-2</v>
      </c>
      <c r="P3173">
        <v>-0.99823660000000003</v>
      </c>
      <c r="Q3173">
        <v>5.0983260000000002E-2</v>
      </c>
      <c r="R3173">
        <v>3.0402539999999999E-2</v>
      </c>
      <c r="S3173">
        <v>-3.0223390000000001</v>
      </c>
      <c r="T3173">
        <v>-0.22940279999999999</v>
      </c>
      <c r="U3173">
        <v>-0.1761017</v>
      </c>
      <c r="V3173">
        <v>-2.9067180000000001E-2</v>
      </c>
      <c r="W3173">
        <v>5.4795299999999998E-2</v>
      </c>
      <c r="X3173">
        <v>0.99807440000000003</v>
      </c>
      <c r="Y3173">
        <v>-0.1169698</v>
      </c>
      <c r="Z3173">
        <v>-8.9357810000000003E-3</v>
      </c>
      <c r="AA3173">
        <v>0.99309530000000001</v>
      </c>
      <c r="AB3173">
        <v>43</v>
      </c>
      <c r="AC3173">
        <v>-14.208600000000001</v>
      </c>
      <c r="AD3173">
        <v>-1.1088415885409999</v>
      </c>
      <c r="AE3173">
        <v>-0.87509999999997401</v>
      </c>
      <c r="AF3173">
        <v>-1.70876162625649</v>
      </c>
      <c r="AG3173">
        <v>-1.1088415885409999</v>
      </c>
      <c r="AH3173">
        <v>14.0461164833093</v>
      </c>
      <c r="AI3173">
        <v>94.480836194071898</v>
      </c>
      <c r="AJ3173">
        <v>96.936158393157697</v>
      </c>
      <c r="AK3173">
        <v>14.1930540838305</v>
      </c>
    </row>
    <row r="3174" spans="1:37" x14ac:dyDescent="0.2">
      <c r="A3174" t="str">
        <f>"20200111154128525"</f>
        <v>20200111154128525</v>
      </c>
      <c r="B3174" t="str">
        <f>"1578728488519631"</f>
        <v>1578728488519631</v>
      </c>
      <c r="C3174" t="s">
        <v>37</v>
      </c>
      <c r="D3174">
        <v>5.0897930000000002</v>
      </c>
      <c r="E3174">
        <v>0.46547769999999999</v>
      </c>
      <c r="F3174" t="s">
        <v>39</v>
      </c>
      <c r="G3174">
        <v>-262.81119999999999</v>
      </c>
      <c r="H3174" s="1">
        <v>-3.3191160000000001E-6</v>
      </c>
      <c r="I3174">
        <v>140.56649999999999</v>
      </c>
      <c r="J3174">
        <v>-248.41069999999999</v>
      </c>
      <c r="K3174">
        <v>1.10887</v>
      </c>
      <c r="L3174">
        <v>141.44829999999999</v>
      </c>
      <c r="M3174">
        <v>-0.99823019999999996</v>
      </c>
      <c r="N3174">
        <v>0</v>
      </c>
      <c r="O3174">
        <v>5.9342430000000002E-2</v>
      </c>
      <c r="P3174">
        <v>-0.99822060000000001</v>
      </c>
      <c r="Q3174">
        <v>5.1085810000000002E-2</v>
      </c>
      <c r="R3174">
        <v>3.0757759999999999E-2</v>
      </c>
      <c r="S3174">
        <v>-3.022141</v>
      </c>
      <c r="T3174">
        <v>-0.2256783</v>
      </c>
      <c r="U3174">
        <v>-0.17404169999999999</v>
      </c>
      <c r="V3174">
        <v>-2.8546769999999999E-2</v>
      </c>
      <c r="W3174">
        <v>5.4939559999999998E-2</v>
      </c>
      <c r="X3174">
        <v>0.99808149999999995</v>
      </c>
      <c r="Y3174">
        <v>-0.11614969999999999</v>
      </c>
      <c r="Z3174">
        <v>-8.7486950000000008E-3</v>
      </c>
      <c r="AA3174">
        <v>0.993193199999999</v>
      </c>
      <c r="AB3174">
        <v>43</v>
      </c>
      <c r="AC3174">
        <v>-14.4004999999999</v>
      </c>
      <c r="AD3174">
        <v>-1.1088733191159901</v>
      </c>
      <c r="AE3174">
        <v>-0.88179999999999803</v>
      </c>
      <c r="AF3174">
        <v>-1.7246252705432901</v>
      </c>
      <c r="AG3174">
        <v>-1.1088733191159901</v>
      </c>
      <c r="AH3174">
        <v>14.2386817958505</v>
      </c>
      <c r="AI3174">
        <v>94.420884517870107</v>
      </c>
      <c r="AJ3174">
        <v>96.906168619991405</v>
      </c>
      <c r="AK3174">
        <v>14.3855480133754</v>
      </c>
    </row>
    <row r="3175" spans="1:37" x14ac:dyDescent="0.2">
      <c r="A3175" t="str">
        <f>"20200111154128547"</f>
        <v>20200111154128547</v>
      </c>
      <c r="B3175" t="str">
        <f>"1578728488539151"</f>
        <v>1578728488539151</v>
      </c>
      <c r="C3175" t="s">
        <v>37</v>
      </c>
      <c r="D3175">
        <v>5.004486</v>
      </c>
      <c r="E3175">
        <v>0.46557799999999999</v>
      </c>
      <c r="F3175" t="s">
        <v>39</v>
      </c>
      <c r="G3175">
        <v>-263.39330000000001</v>
      </c>
      <c r="H3175" s="1">
        <v>-3.0768159999999999E-6</v>
      </c>
      <c r="I3175">
        <v>140.5943</v>
      </c>
      <c r="J3175">
        <v>-248.85579999999999</v>
      </c>
      <c r="K3175">
        <v>1.108908</v>
      </c>
      <c r="L3175">
        <v>141.47460000000001</v>
      </c>
      <c r="M3175">
        <v>-0.99824239999999997</v>
      </c>
      <c r="N3175">
        <v>0</v>
      </c>
      <c r="O3175">
        <v>5.9137299999999997E-2</v>
      </c>
      <c r="P3175">
        <v>-0.99822759999999999</v>
      </c>
      <c r="Q3175">
        <v>5.0945160000000003E-2</v>
      </c>
      <c r="R3175">
        <v>3.0772770000000001E-2</v>
      </c>
      <c r="S3175">
        <v>-3.0221100000000001</v>
      </c>
      <c r="T3175">
        <v>-0.2236688</v>
      </c>
      <c r="U3175">
        <v>-0.17224120000000001</v>
      </c>
      <c r="V3175">
        <v>-2.8331329999999998E-2</v>
      </c>
      <c r="W3175">
        <v>5.4840519999999997E-2</v>
      </c>
      <c r="X3175">
        <v>0.99809309999999996</v>
      </c>
      <c r="Y3175">
        <v>-0.115367699999999</v>
      </c>
      <c r="Z3175">
        <v>-8.6271999999999998E-3</v>
      </c>
      <c r="AA3175">
        <v>0.99328539999999998</v>
      </c>
      <c r="AB3175">
        <v>43</v>
      </c>
      <c r="AC3175">
        <v>-14.5375</v>
      </c>
      <c r="AD3175">
        <v>-1.108911076816</v>
      </c>
      <c r="AE3175">
        <v>-0.88030000000000497</v>
      </c>
      <c r="AF3175">
        <v>-1.72845389182814</v>
      </c>
      <c r="AG3175">
        <v>-1.108911076816</v>
      </c>
      <c r="AH3175">
        <v>14.376652471338801</v>
      </c>
      <c r="AI3175">
        <v>94.379237136617803</v>
      </c>
      <c r="AJ3175">
        <v>96.855563525726197</v>
      </c>
      <c r="AK3175">
        <v>14.5225814824402</v>
      </c>
    </row>
    <row r="3176" spans="1:37" x14ac:dyDescent="0.2">
      <c r="A3176" t="str">
        <f>"20200111154128570"</f>
        <v>20200111154128570</v>
      </c>
      <c r="B3176" t="str">
        <f>"1578728488559647"</f>
        <v>1578728488559647</v>
      </c>
      <c r="C3176" t="s">
        <v>37</v>
      </c>
      <c r="D3176">
        <v>4.9853370000000004</v>
      </c>
      <c r="E3176">
        <v>0.46557189999999998</v>
      </c>
      <c r="F3176" t="s">
        <v>39</v>
      </c>
      <c r="G3176">
        <v>-263.90429999999998</v>
      </c>
      <c r="H3176" s="1">
        <v>-2.8643799999999999E-6</v>
      </c>
      <c r="I3176">
        <v>140.61969999999999</v>
      </c>
      <c r="J3176">
        <v>-249.28149999999999</v>
      </c>
      <c r="K3176">
        <v>1.108938</v>
      </c>
      <c r="L3176">
        <v>141.49969999999999</v>
      </c>
      <c r="M3176">
        <v>-0.99825529999999996</v>
      </c>
      <c r="N3176">
        <v>0</v>
      </c>
      <c r="O3176">
        <v>5.891478E-2</v>
      </c>
      <c r="P3176">
        <v>-0.99823519999999899</v>
      </c>
      <c r="Q3176">
        <v>5.1072159999999998E-2</v>
      </c>
      <c r="R3176">
        <v>3.0304069999999999E-2</v>
      </c>
      <c r="S3176">
        <v>-3.021973</v>
      </c>
      <c r="T3176">
        <v>-0.2226872</v>
      </c>
      <c r="U3176">
        <v>-0.17166139999999999</v>
      </c>
      <c r="V3176">
        <v>-2.85814E-2</v>
      </c>
      <c r="W3176">
        <v>5.5007170000000001E-2</v>
      </c>
      <c r="X3176">
        <v>0.99807679999999999</v>
      </c>
      <c r="Y3176">
        <v>-0.114964699999999</v>
      </c>
      <c r="Z3176">
        <v>-8.5587049999999998E-3</v>
      </c>
      <c r="AA3176">
        <v>0.99333269999999996</v>
      </c>
      <c r="AB3176">
        <v>43</v>
      </c>
      <c r="AC3176">
        <v>-14.6227999999999</v>
      </c>
      <c r="AD3176">
        <v>-1.1089408643799901</v>
      </c>
      <c r="AE3176">
        <v>-0.87999999999999501</v>
      </c>
      <c r="AF3176">
        <v>-1.73006314017723</v>
      </c>
      <c r="AG3176">
        <v>-1.1089408643799901</v>
      </c>
      <c r="AH3176">
        <v>14.4626775606134</v>
      </c>
      <c r="AI3176">
        <v>94.353715627090907</v>
      </c>
      <c r="AJ3176">
        <v>96.821456177066594</v>
      </c>
      <c r="AK3176">
        <v>14.6079399824877</v>
      </c>
    </row>
    <row r="3177" spans="1:37" x14ac:dyDescent="0.2">
      <c r="A3177" t="str">
        <f>"20200111154128591"</f>
        <v>20200111154128591</v>
      </c>
      <c r="B3177" t="str">
        <f>"1578728488579167"</f>
        <v>1578728488579167</v>
      </c>
      <c r="C3177" t="s">
        <v>37</v>
      </c>
      <c r="D3177">
        <v>4.9807309999999996</v>
      </c>
      <c r="E3177">
        <v>0.46563469999999901</v>
      </c>
      <c r="F3177" t="s">
        <v>39</v>
      </c>
      <c r="G3177">
        <v>-264.41030000000001</v>
      </c>
      <c r="H3177" s="1">
        <v>-2.6505409999999999E-6</v>
      </c>
      <c r="I3177">
        <v>140.6319</v>
      </c>
      <c r="J3177">
        <v>-249.6968</v>
      </c>
      <c r="K3177">
        <v>1.108968</v>
      </c>
      <c r="L3177">
        <v>141.524</v>
      </c>
      <c r="M3177">
        <v>-0.99826899999999996</v>
      </c>
      <c r="N3177">
        <v>0</v>
      </c>
      <c r="O3177">
        <v>5.8677920000000001E-2</v>
      </c>
      <c r="P3177">
        <v>-0.99822889999999997</v>
      </c>
      <c r="Q3177">
        <v>5.1375990000000003E-2</v>
      </c>
      <c r="R3177">
        <v>2.999595E-2</v>
      </c>
      <c r="S3177">
        <v>-3.0218959999999999</v>
      </c>
      <c r="T3177">
        <v>-0.22150639999999999</v>
      </c>
      <c r="U3177">
        <v>-0.1733246</v>
      </c>
      <c r="V3177">
        <v>-2.865558E-2</v>
      </c>
      <c r="W3177">
        <v>5.5349490000000001E-2</v>
      </c>
      <c r="X3177">
        <v>0.99805580000000005</v>
      </c>
      <c r="Y3177">
        <v>-0.1152801</v>
      </c>
      <c r="Z3177">
        <v>-8.5077620000000003E-3</v>
      </c>
      <c r="AA3177">
        <v>0.99329659999999997</v>
      </c>
      <c r="AB3177">
        <v>44</v>
      </c>
      <c r="AC3177">
        <v>-14.7135</v>
      </c>
      <c r="AD3177">
        <v>-1.108970650541</v>
      </c>
      <c r="AE3177">
        <v>-0.892099999999999</v>
      </c>
      <c r="AF3177">
        <v>-1.7440559861457401</v>
      </c>
      <c r="AG3177">
        <v>-1.108970650541</v>
      </c>
      <c r="AH3177">
        <v>14.5534287117652</v>
      </c>
      <c r="AI3177">
        <v>94.326676581717294</v>
      </c>
      <c r="AJ3177">
        <v>96.833631607096905</v>
      </c>
      <c r="AK3177">
        <v>14.699450141246899</v>
      </c>
    </row>
    <row r="3178" spans="1:37" x14ac:dyDescent="0.2">
      <c r="A3178" t="str">
        <f>"20200111154128612"</f>
        <v>20200111154128612</v>
      </c>
      <c r="B3178" t="str">
        <f>"1578728488608992"</f>
        <v>1578728488608992</v>
      </c>
      <c r="C3178" t="s">
        <v>37</v>
      </c>
      <c r="D3178">
        <v>4.932817</v>
      </c>
      <c r="E3178">
        <v>0.46574769999999999</v>
      </c>
      <c r="F3178" t="s">
        <v>39</v>
      </c>
      <c r="G3178">
        <v>-264.95030000000003</v>
      </c>
      <c r="H3178" s="1">
        <v>-2.4223000000000001E-6</v>
      </c>
      <c r="I3178">
        <v>140.6447</v>
      </c>
      <c r="J3178">
        <v>-250.12520000000001</v>
      </c>
      <c r="K3178">
        <v>1.108994</v>
      </c>
      <c r="L3178">
        <v>141.54910000000001</v>
      </c>
      <c r="M3178">
        <v>-0.99828430000000001</v>
      </c>
      <c r="N3178">
        <v>0</v>
      </c>
      <c r="O3178">
        <v>5.8416740000000002E-2</v>
      </c>
      <c r="P3178">
        <v>-0.99823839999999997</v>
      </c>
      <c r="Q3178">
        <v>5.1438270000000001E-2</v>
      </c>
      <c r="R3178">
        <v>2.957487E-2</v>
      </c>
      <c r="S3178">
        <v>-3.0218660000000002</v>
      </c>
      <c r="T3178">
        <v>-0.21969939999999999</v>
      </c>
      <c r="U3178">
        <v>-0.1741943</v>
      </c>
      <c r="V3178">
        <v>-2.8818179999999999E-2</v>
      </c>
      <c r="W3178">
        <v>5.5452319999999999E-2</v>
      </c>
      <c r="X3178">
        <v>0.99804539999999997</v>
      </c>
      <c r="Y3178">
        <v>-0.115313899999999</v>
      </c>
      <c r="Z3178">
        <v>-8.4208540000000002E-3</v>
      </c>
      <c r="AA3178">
        <v>0.99329339999999999</v>
      </c>
      <c r="AB3178">
        <v>44</v>
      </c>
      <c r="AC3178">
        <v>-14.825100000000001</v>
      </c>
      <c r="AD3178">
        <v>-1.1089964223</v>
      </c>
      <c r="AE3178">
        <v>-0.90440000000000897</v>
      </c>
      <c r="AF3178">
        <v>-1.75908935307251</v>
      </c>
      <c r="AG3178">
        <v>-1.1089964223</v>
      </c>
      <c r="AH3178">
        <v>14.6651902815849</v>
      </c>
      <c r="AI3178">
        <v>94.293870178970394</v>
      </c>
      <c r="AJ3178">
        <v>96.839948422337201</v>
      </c>
      <c r="AK3178">
        <v>14.8118896300189</v>
      </c>
    </row>
    <row r="3179" spans="1:37" x14ac:dyDescent="0.2">
      <c r="A3179" t="str">
        <f>"20200111154128637"</f>
        <v>20200111154128637</v>
      </c>
      <c r="B3179" t="str">
        <f>"1578728488629489"</f>
        <v>1578728488629489</v>
      </c>
      <c r="C3179" t="s">
        <v>37</v>
      </c>
      <c r="D3179">
        <v>4.9364460000000001</v>
      </c>
      <c r="E3179">
        <v>0.46567219999999998</v>
      </c>
      <c r="F3179" t="s">
        <v>39</v>
      </c>
      <c r="G3179">
        <v>-265.47989999999999</v>
      </c>
      <c r="H3179" s="1">
        <v>-2.199536E-6</v>
      </c>
      <c r="I3179">
        <v>140.66139999999999</v>
      </c>
      <c r="J3179">
        <v>-250.60050000000001</v>
      </c>
      <c r="K3179">
        <v>1.109011</v>
      </c>
      <c r="L3179">
        <v>141.57669999999999</v>
      </c>
      <c r="M3179">
        <v>-0.99830160000000001</v>
      </c>
      <c r="N3179">
        <v>0</v>
      </c>
      <c r="O3179">
        <v>5.8114369999999999E-2</v>
      </c>
      <c r="P3179">
        <v>-0.99827219999999905</v>
      </c>
      <c r="Q3179">
        <v>5.1148869999999999E-2</v>
      </c>
      <c r="R3179">
        <v>2.8929360000000001E-2</v>
      </c>
      <c r="S3179">
        <v>-3.0217290000000001</v>
      </c>
      <c r="T3179">
        <v>-0.2182461</v>
      </c>
      <c r="U3179">
        <v>-0.1746674</v>
      </c>
      <c r="V3179">
        <v>-2.9165030000000002E-2</v>
      </c>
      <c r="W3179">
        <v>5.5208090000000001E-2</v>
      </c>
      <c r="X3179">
        <v>0.99804879999999996</v>
      </c>
      <c r="Y3179">
        <v>-0.1151778</v>
      </c>
      <c r="Z3179">
        <v>-8.3389509999999903E-3</v>
      </c>
      <c r="AA3179">
        <v>0.99330989999999997</v>
      </c>
      <c r="AB3179">
        <v>44</v>
      </c>
      <c r="AC3179">
        <v>-14.879399999999899</v>
      </c>
      <c r="AD3179">
        <v>-1.109013199536</v>
      </c>
      <c r="AE3179">
        <v>-0.915300000000002</v>
      </c>
      <c r="AF3179">
        <v>-1.76867881399754</v>
      </c>
      <c r="AG3179">
        <v>-1.109013199536</v>
      </c>
      <c r="AH3179">
        <v>14.719597262254499</v>
      </c>
      <c r="AI3179">
        <v>94.278017591228803</v>
      </c>
      <c r="AJ3179">
        <v>96.851703019127697</v>
      </c>
      <c r="AK3179">
        <v>14.8668987548446</v>
      </c>
    </row>
    <row r="3180" spans="1:37" x14ac:dyDescent="0.2">
      <c r="A3180" t="str">
        <f>"20200111154128660"</f>
        <v>20200111154128660</v>
      </c>
      <c r="B3180" t="str">
        <f>"1578728488649009"</f>
        <v>1578728488649009</v>
      </c>
      <c r="C3180" t="s">
        <v>37</v>
      </c>
      <c r="D3180">
        <v>4.9194329999999997</v>
      </c>
      <c r="E3180">
        <v>0.4657232</v>
      </c>
      <c r="F3180" t="s">
        <v>39</v>
      </c>
      <c r="G3180">
        <v>-265.9425</v>
      </c>
      <c r="H3180" s="1">
        <v>-2.0056520000000001E-6</v>
      </c>
      <c r="I3180">
        <v>140.67859999999999</v>
      </c>
      <c r="J3180">
        <v>-251.0635</v>
      </c>
      <c r="K3180">
        <v>1.1090260000000001</v>
      </c>
      <c r="L3180">
        <v>141.6035</v>
      </c>
      <c r="M3180">
        <v>-0.99831899999999996</v>
      </c>
      <c r="N3180">
        <v>0</v>
      </c>
      <c r="O3180">
        <v>5.7811250000000002E-2</v>
      </c>
      <c r="P3180">
        <v>-0.99832199999999904</v>
      </c>
      <c r="Q3180">
        <v>5.0521160000000002E-2</v>
      </c>
      <c r="R3180">
        <v>2.8305480000000001E-2</v>
      </c>
      <c r="S3180">
        <v>-3.0215000000000001</v>
      </c>
      <c r="T3180">
        <v>-0.2184123</v>
      </c>
      <c r="U3180">
        <v>-0.17684939999999999</v>
      </c>
      <c r="V3180">
        <v>-2.949007E-2</v>
      </c>
      <c r="W3180">
        <v>5.462388E-2</v>
      </c>
      <c r="X3180">
        <v>0.99807139999999905</v>
      </c>
      <c r="Y3180">
        <v>-0.1155944</v>
      </c>
      <c r="Z3180">
        <v>-8.3389309999999904E-3</v>
      </c>
      <c r="AA3180">
        <v>0.99326150000000002</v>
      </c>
      <c r="AB3180">
        <v>44</v>
      </c>
      <c r="AC3180">
        <v>-14.8789999999999</v>
      </c>
      <c r="AD3180">
        <v>-1.1090280056520001</v>
      </c>
      <c r="AE3180">
        <v>-0.92490000000000805</v>
      </c>
      <c r="AF3180">
        <v>-1.77371773715661</v>
      </c>
      <c r="AG3180">
        <v>-1.1090280056520001</v>
      </c>
      <c r="AH3180">
        <v>14.719184458881401</v>
      </c>
      <c r="AI3180">
        <v>94.278019253389203</v>
      </c>
      <c r="AJ3180">
        <v>96.871227859260799</v>
      </c>
      <c r="AK3180">
        <v>14.867091472880601</v>
      </c>
    </row>
    <row r="3181" spans="1:37" x14ac:dyDescent="0.2">
      <c r="A3181" t="str">
        <f>"20200111154128683"</f>
        <v>20200111154128683</v>
      </c>
      <c r="B3181" t="str">
        <f>"1578728488679265"</f>
        <v>1578728488679265</v>
      </c>
      <c r="C3181" t="s">
        <v>37</v>
      </c>
      <c r="D3181">
        <v>4.8914289999999996</v>
      </c>
      <c r="E3181">
        <v>0.46581479999999997</v>
      </c>
      <c r="F3181" t="s">
        <v>39</v>
      </c>
      <c r="G3181">
        <v>-266.29340000000002</v>
      </c>
      <c r="H3181" s="1">
        <v>-1.8621539999999999E-6</v>
      </c>
      <c r="I3181">
        <v>140.70509999999999</v>
      </c>
      <c r="J3181">
        <v>-251.49719999999999</v>
      </c>
      <c r="K3181">
        <v>1.1090340000000001</v>
      </c>
      <c r="L3181">
        <v>141.6284</v>
      </c>
      <c r="M3181">
        <v>-0.99833549999999904</v>
      </c>
      <c r="N3181">
        <v>0</v>
      </c>
      <c r="O3181">
        <v>5.7523339999999999E-2</v>
      </c>
      <c r="P3181">
        <v>-0.99836990000000003</v>
      </c>
      <c r="Q3181">
        <v>5.0084959999999998E-2</v>
      </c>
      <c r="R3181">
        <v>2.7376089999999999E-2</v>
      </c>
      <c r="S3181">
        <v>-3.0212249999999998</v>
      </c>
      <c r="T3181">
        <v>-0.22000339999999999</v>
      </c>
      <c r="U3181">
        <v>-0.17820739999999999</v>
      </c>
      <c r="V3181">
        <v>-3.0134149999999998E-2</v>
      </c>
      <c r="W3181">
        <v>5.422917E-2</v>
      </c>
      <c r="X3181">
        <v>0.99807369999999995</v>
      </c>
      <c r="Y3181">
        <v>-0.1157519</v>
      </c>
      <c r="Z3181">
        <v>-8.3849949999999993E-3</v>
      </c>
      <c r="AA3181">
        <v>0.99324269999999903</v>
      </c>
      <c r="AB3181">
        <v>44</v>
      </c>
      <c r="AC3181">
        <v>-14.796200000000001</v>
      </c>
      <c r="AD3181">
        <v>-1.109035862154</v>
      </c>
      <c r="AE3181">
        <v>-0.923300000000011</v>
      </c>
      <c r="AF3181">
        <v>-1.76303880230869</v>
      </c>
      <c r="AG3181">
        <v>-1.109035862154</v>
      </c>
      <c r="AH3181">
        <v>14.636676097749699</v>
      </c>
      <c r="AI3181">
        <v>94.302100546642805</v>
      </c>
      <c r="AJ3181">
        <v>96.868386580609894</v>
      </c>
      <c r="AK3181">
        <v>14.7841318159852</v>
      </c>
    </row>
    <row r="3182" spans="1:37" x14ac:dyDescent="0.2">
      <c r="A3182" t="str">
        <f>"20200111154128703"</f>
        <v>20200111154128703</v>
      </c>
      <c r="B3182" t="str">
        <f>"1578728488699294"</f>
        <v>1578728488699294</v>
      </c>
      <c r="C3182" t="s">
        <v>37</v>
      </c>
      <c r="D3182">
        <v>4.8736649999999999</v>
      </c>
      <c r="E3182">
        <v>0.46582410000000002</v>
      </c>
      <c r="F3182" t="s">
        <v>39</v>
      </c>
      <c r="G3182">
        <v>-266.71870000000001</v>
      </c>
      <c r="H3182" s="1">
        <v>-1.683568E-6</v>
      </c>
      <c r="I3182">
        <v>140.71950000000001</v>
      </c>
      <c r="J3182">
        <v>-251.89859999999999</v>
      </c>
      <c r="K3182">
        <v>1.109048</v>
      </c>
      <c r="L3182">
        <v>141.6514</v>
      </c>
      <c r="M3182">
        <v>-0.99835079999999998</v>
      </c>
      <c r="N3182">
        <v>0</v>
      </c>
      <c r="O3182">
        <v>5.7255060000000003E-2</v>
      </c>
      <c r="P3182">
        <v>-0.99837509999999996</v>
      </c>
      <c r="Q3182">
        <v>5.0265789999999998E-2</v>
      </c>
      <c r="R3182">
        <v>2.6851679999999999E-2</v>
      </c>
      <c r="S3182">
        <v>-3.0208889999999999</v>
      </c>
      <c r="T3182">
        <v>-0.22010279999999999</v>
      </c>
      <c r="U3182">
        <v>-0.18037410000000001</v>
      </c>
      <c r="V3182">
        <v>-3.0391729999999999E-2</v>
      </c>
      <c r="W3182">
        <v>5.444819E-2</v>
      </c>
      <c r="X3182">
        <v>0.998054</v>
      </c>
      <c r="Y3182">
        <v>-0.1162004</v>
      </c>
      <c r="Z3182">
        <v>-8.3863540000000004E-3</v>
      </c>
      <c r="AA3182">
        <v>0.99319040000000003</v>
      </c>
      <c r="AB3182">
        <v>44</v>
      </c>
      <c r="AC3182">
        <v>-14.8201</v>
      </c>
      <c r="AD3182">
        <v>-1.1090496835679999</v>
      </c>
      <c r="AE3182">
        <v>-0.93189999999998396</v>
      </c>
      <c r="AF3182">
        <v>-1.76903657029683</v>
      </c>
      <c r="AG3182">
        <v>-1.1090496835679999</v>
      </c>
      <c r="AH3182">
        <v>14.660653458515499</v>
      </c>
      <c r="AI3182">
        <v>94.295036327627997</v>
      </c>
      <c r="AJ3182">
        <v>96.8803652481255</v>
      </c>
      <c r="AK3182">
        <v>14.8085867461534</v>
      </c>
    </row>
    <row r="3183" spans="1:37" x14ac:dyDescent="0.2">
      <c r="A3183" t="str">
        <f>"20200111154128726"</f>
        <v>20200111154128726</v>
      </c>
      <c r="B3183" t="str">
        <f>"1578728488719790"</f>
        <v>1578728488719790</v>
      </c>
      <c r="C3183" t="s">
        <v>37</v>
      </c>
      <c r="D3183">
        <v>5.1841039999999996</v>
      </c>
      <c r="E3183">
        <v>0.46593309999999999</v>
      </c>
      <c r="F3183" t="s">
        <v>39</v>
      </c>
      <c r="G3183">
        <v>-267.19420000000002</v>
      </c>
      <c r="H3183" s="1">
        <v>-1.482115E-6</v>
      </c>
      <c r="I3183">
        <v>140.72919999999999</v>
      </c>
      <c r="J3183">
        <v>-252.36439999999999</v>
      </c>
      <c r="K3183">
        <v>1.1090610000000001</v>
      </c>
      <c r="L3183">
        <v>141.67789999999999</v>
      </c>
      <c r="M3183">
        <v>-0.99836840000000004</v>
      </c>
      <c r="N3183">
        <v>0</v>
      </c>
      <c r="O3183">
        <v>5.694254E-2</v>
      </c>
      <c r="P3183">
        <v>-0.99837410000000004</v>
      </c>
      <c r="Q3183">
        <v>5.0475659999999999E-2</v>
      </c>
      <c r="R3183">
        <v>2.6489950000000002E-2</v>
      </c>
      <c r="S3183">
        <v>-3.0208439999999999</v>
      </c>
      <c r="T3183">
        <v>-0.21903420000000001</v>
      </c>
      <c r="U3183">
        <v>-0.18212890000000001</v>
      </c>
      <c r="V3183">
        <v>-3.0442230000000001E-2</v>
      </c>
      <c r="W3183">
        <v>5.470245E-2</v>
      </c>
      <c r="X3183">
        <v>0.99803850000000005</v>
      </c>
      <c r="Y3183">
        <v>-0.1164698</v>
      </c>
      <c r="Z3183">
        <v>-8.3328880000000001E-3</v>
      </c>
      <c r="AA3183">
        <v>0.99315929999999997</v>
      </c>
      <c r="AB3183">
        <v>44</v>
      </c>
      <c r="AC3183">
        <v>-14.829800000000001</v>
      </c>
      <c r="AD3183">
        <v>-1.1090624821149999</v>
      </c>
      <c r="AE3183">
        <v>-0.94870000000000199</v>
      </c>
      <c r="AF3183">
        <v>-1.78169047929681</v>
      </c>
      <c r="AG3183">
        <v>-1.1090624821149999</v>
      </c>
      <c r="AH3183">
        <v>14.670001438644301</v>
      </c>
      <c r="AI3183">
        <v>94.291958195121097</v>
      </c>
      <c r="AJ3183">
        <v>96.924731214538497</v>
      </c>
      <c r="AK3183">
        <v>14.8193583789272</v>
      </c>
    </row>
    <row r="3184" spans="1:37" x14ac:dyDescent="0.2">
      <c r="A3184" t="str">
        <f>"20200111154128749"</f>
        <v>20200111154128749</v>
      </c>
      <c r="B3184" t="str">
        <f>"1578728488739310"</f>
        <v>1578728488739310</v>
      </c>
      <c r="C3184" t="s">
        <v>37</v>
      </c>
      <c r="D3184">
        <v>4.923108</v>
      </c>
      <c r="E3184">
        <v>0.46611829999999999</v>
      </c>
      <c r="F3184" t="s">
        <v>39</v>
      </c>
      <c r="G3184">
        <v>-267.78879999999998</v>
      </c>
      <c r="H3184" s="1">
        <v>-1.2316979999999999E-6</v>
      </c>
      <c r="I3184">
        <v>140.7467</v>
      </c>
      <c r="J3184">
        <v>-252.8175</v>
      </c>
      <c r="K3184">
        <v>1.109076</v>
      </c>
      <c r="L3184">
        <v>141.70359999999999</v>
      </c>
      <c r="M3184">
        <v>-0.99838549999999904</v>
      </c>
      <c r="N3184">
        <v>0</v>
      </c>
      <c r="O3184">
        <v>5.6637659999999999E-2</v>
      </c>
      <c r="P3184">
        <v>-0.99836559999999896</v>
      </c>
      <c r="Q3184">
        <v>5.1013650000000001E-2</v>
      </c>
      <c r="R3184">
        <v>2.5767990000000001E-2</v>
      </c>
      <c r="S3184">
        <v>-3.0206909999999998</v>
      </c>
      <c r="T3184">
        <v>-0.21719759999999999</v>
      </c>
      <c r="U3184">
        <v>-0.18235779999999999</v>
      </c>
      <c r="V3184">
        <v>-3.0859560000000001E-2</v>
      </c>
      <c r="W3184">
        <v>5.5282829999999998E-2</v>
      </c>
      <c r="X3184">
        <v>0.99799369999999998</v>
      </c>
      <c r="Y3184">
        <v>-0.11625339999999899</v>
      </c>
      <c r="Z3184">
        <v>-8.2339660000000005E-3</v>
      </c>
      <c r="AA3184">
        <v>0.99318549999999906</v>
      </c>
      <c r="AB3184">
        <v>45</v>
      </c>
      <c r="AC3184">
        <v>-14.9712999999999</v>
      </c>
      <c r="AD3184">
        <v>-1.109077231698</v>
      </c>
      <c r="AE3184">
        <v>-0.95689999999998998</v>
      </c>
      <c r="AF3184">
        <v>-1.7935087128062599</v>
      </c>
      <c r="AG3184">
        <v>-1.109077231698</v>
      </c>
      <c r="AH3184">
        <v>14.8121141619824</v>
      </c>
      <c r="AI3184">
        <v>94.251173570381098</v>
      </c>
      <c r="AJ3184">
        <v>96.903987469769405</v>
      </c>
      <c r="AK3184">
        <v>14.9614655617818</v>
      </c>
    </row>
    <row r="3185" spans="1:37" x14ac:dyDescent="0.2">
      <c r="A3185" t="str">
        <f>"20200111154128770"</f>
        <v>20200111154128770</v>
      </c>
      <c r="B3185" t="str">
        <f>"1578728488758832"</f>
        <v>1578728488758832</v>
      </c>
      <c r="C3185" t="s">
        <v>37</v>
      </c>
      <c r="D3185">
        <v>4.9011490000000002</v>
      </c>
      <c r="E3185">
        <v>0.46632979999999902</v>
      </c>
      <c r="F3185" t="s">
        <v>39</v>
      </c>
      <c r="G3185">
        <v>-268.49029999999999</v>
      </c>
      <c r="H3185" s="1">
        <v>-9.3313999999999995E-7</v>
      </c>
      <c r="I3185">
        <v>140.75550000000001</v>
      </c>
      <c r="J3185">
        <v>-253.25370000000001</v>
      </c>
      <c r="K3185">
        <v>1.109089</v>
      </c>
      <c r="L3185">
        <v>141.72819999999999</v>
      </c>
      <c r="M3185">
        <v>-0.99840189999999995</v>
      </c>
      <c r="N3185">
        <v>0</v>
      </c>
      <c r="O3185">
        <v>5.6344180000000001E-2</v>
      </c>
      <c r="P3185">
        <v>-0.99838919999999998</v>
      </c>
      <c r="Q3185">
        <v>5.0952310000000001E-2</v>
      </c>
      <c r="R3185">
        <v>2.4957429999999999E-2</v>
      </c>
      <c r="S3185">
        <v>-3.0205540000000002</v>
      </c>
      <c r="T3185">
        <v>-0.21374889999999999</v>
      </c>
      <c r="U3185">
        <v>-0.1827087</v>
      </c>
      <c r="V3185">
        <v>-3.1378780000000002E-2</v>
      </c>
      <c r="W3185">
        <v>5.5263310000000003E-2</v>
      </c>
      <c r="X3185">
        <v>0.99797860000000005</v>
      </c>
      <c r="Y3185">
        <v>-0.11609419999999999</v>
      </c>
      <c r="Z3185">
        <v>-8.0775619999999999E-3</v>
      </c>
      <c r="AA3185">
        <v>0.99320540000000002</v>
      </c>
      <c r="AB3185">
        <v>45</v>
      </c>
      <c r="AC3185">
        <v>-15.2365999999999</v>
      </c>
      <c r="AD3185">
        <v>-1.1090899331399999</v>
      </c>
      <c r="AE3185">
        <v>-0.97269999999997403</v>
      </c>
      <c r="AF3185">
        <v>-1.8200521222625901</v>
      </c>
      <c r="AG3185">
        <v>-1.1090899331399999</v>
      </c>
      <c r="AH3185">
        <v>15.0780208125458</v>
      </c>
      <c r="AI3185">
        <v>94.176703758623702</v>
      </c>
      <c r="AJ3185">
        <v>96.882813500474001</v>
      </c>
      <c r="AK3185">
        <v>15.227914559489401</v>
      </c>
    </row>
    <row r="3186" spans="1:37" x14ac:dyDescent="0.2">
      <c r="A3186" t="str">
        <f>"20200111154128803"</f>
        <v>20200111154128803</v>
      </c>
      <c r="B3186" t="str">
        <f>"1578728488799353"</f>
        <v>1578728488799353</v>
      </c>
      <c r="C3186" t="s">
        <v>37</v>
      </c>
      <c r="D3186">
        <v>4.987279</v>
      </c>
      <c r="E3186">
        <v>0.482062299999999</v>
      </c>
      <c r="F3186" t="s">
        <v>39</v>
      </c>
      <c r="G3186">
        <v>-268.99329999999998</v>
      </c>
      <c r="H3186" s="1">
        <v>-7.2205239999999995E-7</v>
      </c>
      <c r="I3186">
        <v>140.77330000000001</v>
      </c>
      <c r="J3186">
        <v>-253.90780000000001</v>
      </c>
      <c r="K3186">
        <v>1.1091059999999999</v>
      </c>
      <c r="L3186">
        <v>141.76480000000001</v>
      </c>
      <c r="M3186">
        <v>-0.99842659999999905</v>
      </c>
      <c r="N3186">
        <v>0</v>
      </c>
      <c r="O3186">
        <v>5.5903389999999997E-2</v>
      </c>
      <c r="P3186">
        <v>-0.99837480000000001</v>
      </c>
      <c r="Q3186">
        <v>5.149811E-2</v>
      </c>
      <c r="R3186">
        <v>2.4412980000000001E-2</v>
      </c>
      <c r="S3186">
        <v>-3.0202789999999999</v>
      </c>
      <c r="T3186">
        <v>-0.212823599999999</v>
      </c>
      <c r="U3186">
        <v>-0.18322749999999999</v>
      </c>
      <c r="V3186">
        <v>-3.1482879999999998E-2</v>
      </c>
      <c r="W3186">
        <v>5.5871770000000001E-2</v>
      </c>
      <c r="X3186">
        <v>0.99794150000000004</v>
      </c>
      <c r="Y3186">
        <v>-0.1158365</v>
      </c>
      <c r="Z3186">
        <v>-8.0033299999999995E-3</v>
      </c>
      <c r="AA3186">
        <v>0.99323609999999896</v>
      </c>
      <c r="AB3186">
        <v>45</v>
      </c>
      <c r="AC3186">
        <v>-15.0854999999999</v>
      </c>
      <c r="AD3186">
        <v>-1.1091067220524</v>
      </c>
      <c r="AE3186">
        <v>-0.99150000000000205</v>
      </c>
      <c r="AF3186">
        <v>-1.82347390710213</v>
      </c>
      <c r="AG3186">
        <v>-1.1091067220524</v>
      </c>
      <c r="AH3186">
        <v>14.926145195443601</v>
      </c>
      <c r="AI3186">
        <v>94.218380068615602</v>
      </c>
      <c r="AJ3186">
        <v>96.965107243121594</v>
      </c>
      <c r="AK3186">
        <v>15.0779635629699</v>
      </c>
    </row>
    <row r="3187" spans="1:37" x14ac:dyDescent="0.2">
      <c r="A3187" t="str">
        <f>"20200111154128825"</f>
        <v>20200111154128825</v>
      </c>
      <c r="B3187" t="str">
        <f>"1578728488818873"</f>
        <v>1578728488818873</v>
      </c>
      <c r="C3187" t="s">
        <v>37</v>
      </c>
      <c r="D3187">
        <v>5.0242789999999999</v>
      </c>
      <c r="E3187">
        <v>0.54045609999999999</v>
      </c>
      <c r="F3187" t="s">
        <v>39</v>
      </c>
      <c r="G3187">
        <v>-270.47340000000003</v>
      </c>
      <c r="H3187" s="1">
        <v>-4.4378920000000001E-6</v>
      </c>
      <c r="I3187">
        <v>141.43700000000001</v>
      </c>
      <c r="J3187">
        <v>-254.36529999999999</v>
      </c>
      <c r="K3187">
        <v>1.109124</v>
      </c>
      <c r="L3187">
        <v>141.7903</v>
      </c>
      <c r="M3187">
        <v>-0.99844349999999904</v>
      </c>
      <c r="N3187">
        <v>0</v>
      </c>
      <c r="O3187">
        <v>5.5594900000000003E-2</v>
      </c>
      <c r="P3187">
        <v>-0.99831859999999994</v>
      </c>
      <c r="Q3187">
        <v>5.2873120000000003E-2</v>
      </c>
      <c r="R3187">
        <v>2.375652E-2</v>
      </c>
      <c r="S3187">
        <v>-3.0167540000000002</v>
      </c>
      <c r="T3187">
        <v>-0.20197979999999999</v>
      </c>
      <c r="U3187">
        <v>-5.9692380000000003E-2</v>
      </c>
      <c r="V3187">
        <v>-3.1828160000000001E-2</v>
      </c>
      <c r="W3187">
        <v>5.7289510000000002E-2</v>
      </c>
      <c r="X3187">
        <v>0.99785009999999996</v>
      </c>
      <c r="Y3187">
        <v>-7.5044710000000001E-2</v>
      </c>
      <c r="Z3187">
        <v>-6.2259799999999999E-3</v>
      </c>
      <c r="AA3187">
        <v>0.99716070000000001</v>
      </c>
      <c r="AB3187">
        <v>45</v>
      </c>
      <c r="AC3187">
        <v>-16.1081</v>
      </c>
      <c r="AD3187">
        <v>-1.1091284378920001</v>
      </c>
      <c r="AE3187">
        <v>-0.35329999999999001</v>
      </c>
      <c r="AF3187">
        <v>-1.24240317535027</v>
      </c>
      <c r="AG3187">
        <v>-1.1091284378920001</v>
      </c>
      <c r="AH3187">
        <v>15.987782449747799</v>
      </c>
      <c r="AI3187">
        <v>93.956560309303299</v>
      </c>
      <c r="AJ3187">
        <v>94.443498443897795</v>
      </c>
      <c r="AK3187">
        <v>16.0742937388342</v>
      </c>
    </row>
    <row r="3188" spans="1:37" x14ac:dyDescent="0.2">
      <c r="A3188" t="str">
        <f>"20200111154128851"</f>
        <v>20200111154128851</v>
      </c>
      <c r="B3188" t="str">
        <f>"1578728488839368"</f>
        <v>1578728488839368</v>
      </c>
      <c r="C3188" t="s">
        <v>37</v>
      </c>
      <c r="D3188">
        <v>5.00136</v>
      </c>
      <c r="E3188">
        <v>0.54459040000000003</v>
      </c>
      <c r="F3188" t="s">
        <v>38</v>
      </c>
      <c r="G3188">
        <v>-255.43469999999999</v>
      </c>
      <c r="H3188">
        <v>1.035968</v>
      </c>
      <c r="I3188">
        <v>141.93430000000001</v>
      </c>
      <c r="J3188">
        <v>-254.85769999999999</v>
      </c>
      <c r="K3188">
        <v>1.10914</v>
      </c>
      <c r="L3188">
        <v>141.8175</v>
      </c>
      <c r="M3188">
        <v>-0.99846179999999995</v>
      </c>
      <c r="N3188">
        <v>0</v>
      </c>
      <c r="O3188">
        <v>5.5262430000000001E-2</v>
      </c>
      <c r="P3188">
        <v>-0.99825469999999905</v>
      </c>
      <c r="Q3188">
        <v>5.4319739999999998E-2</v>
      </c>
      <c r="R3188">
        <v>2.317437E-2</v>
      </c>
      <c r="S3188">
        <v>-3.0063169999999899</v>
      </c>
      <c r="T3188">
        <v>-0.2057282</v>
      </c>
      <c r="U3188">
        <v>0.40426640000000003</v>
      </c>
      <c r="V3188">
        <v>-3.2075649999999997E-2</v>
      </c>
      <c r="W3188">
        <v>5.8782359999999999E-2</v>
      </c>
      <c r="X3188">
        <v>0.99775530000000001</v>
      </c>
      <c r="Y3188">
        <v>7.8246250000000003E-2</v>
      </c>
      <c r="Z3188">
        <v>-1.09336E-3</v>
      </c>
      <c r="AA3188">
        <v>0.99693349999999903</v>
      </c>
      <c r="AB3188">
        <v>45</v>
      </c>
      <c r="AC3188">
        <v>-0.57699999999999796</v>
      </c>
      <c r="AD3188">
        <v>-7.3172000000000001E-2</v>
      </c>
      <c r="AE3188">
        <v>0.11680000000001201</v>
      </c>
      <c r="AF3188">
        <v>8.3445625190431902E-2</v>
      </c>
      <c r="AG3188">
        <v>-7.3172000000000001E-2</v>
      </c>
      <c r="AH3188">
        <v>0.57370978428666897</v>
      </c>
      <c r="AI3188">
        <v>97.193480019820399</v>
      </c>
      <c r="AJ3188">
        <v>81.724407487484797</v>
      </c>
      <c r="AK3188">
        <v>0.584345985297819</v>
      </c>
    </row>
    <row r="3189" spans="1:37" x14ac:dyDescent="0.2">
      <c r="A3189" t="str">
        <f>"20200111154128872"</f>
        <v>20200111154128872</v>
      </c>
      <c r="B3189" t="str">
        <f>"1578728488869625"</f>
        <v>1578728488869625</v>
      </c>
      <c r="C3189" t="s">
        <v>37</v>
      </c>
      <c r="D3189">
        <v>5.0041869999999999</v>
      </c>
      <c r="E3189">
        <v>0.54422380000000004</v>
      </c>
      <c r="F3189" t="s">
        <v>38</v>
      </c>
      <c r="G3189">
        <v>-255.8443</v>
      </c>
      <c r="H3189">
        <v>1.042837</v>
      </c>
      <c r="I3189">
        <v>141.9605</v>
      </c>
      <c r="J3189">
        <v>-255.30330000000001</v>
      </c>
      <c r="K3189">
        <v>1.1091500000000001</v>
      </c>
      <c r="L3189">
        <v>141.84200000000001</v>
      </c>
      <c r="M3189">
        <v>-0.99847819999999898</v>
      </c>
      <c r="N3189">
        <v>0</v>
      </c>
      <c r="O3189">
        <v>5.4961280000000001E-2</v>
      </c>
      <c r="P3189">
        <v>-0.99825849999999905</v>
      </c>
      <c r="Q3189">
        <v>5.4581360000000002E-2</v>
      </c>
      <c r="R3189">
        <v>2.238737E-2</v>
      </c>
      <c r="S3189">
        <v>-3.0061490000000002</v>
      </c>
      <c r="T3189">
        <v>-0.20204220000000001</v>
      </c>
      <c r="U3189">
        <v>0.43554690000000001</v>
      </c>
      <c r="V3189">
        <v>-3.2561300000000001E-2</v>
      </c>
      <c r="W3189">
        <v>5.9086529999999998E-2</v>
      </c>
      <c r="X3189">
        <v>0.99772169999999905</v>
      </c>
      <c r="Y3189">
        <v>8.8703009999999999E-2</v>
      </c>
      <c r="Z3189">
        <v>-7.0361259999999896E-4</v>
      </c>
      <c r="AA3189">
        <v>0.99605789999999905</v>
      </c>
      <c r="AB3189">
        <v>45</v>
      </c>
      <c r="AC3189">
        <v>-0.54099999999999604</v>
      </c>
      <c r="AD3189">
        <v>-6.6312999999999997E-2</v>
      </c>
      <c r="AE3189">
        <v>0.11849999999998299</v>
      </c>
      <c r="AF3189">
        <v>8.7334432333059403E-2</v>
      </c>
      <c r="AG3189">
        <v>-6.6312999999999997E-2</v>
      </c>
      <c r="AH3189">
        <v>0.538968181914532</v>
      </c>
      <c r="AI3189">
        <v>96.924816228646407</v>
      </c>
      <c r="AJ3189">
        <v>80.795790709182597</v>
      </c>
      <c r="AK3189">
        <v>0.55001038004404401</v>
      </c>
    </row>
    <row r="3190" spans="1:37" x14ac:dyDescent="0.2">
      <c r="A3190" t="str">
        <f>"20200111154128892"</f>
        <v>20200111154128892</v>
      </c>
      <c r="B3190" t="str">
        <f>"1578728488889660"</f>
        <v>1578728488889660</v>
      </c>
      <c r="C3190" t="s">
        <v>37</v>
      </c>
      <c r="D3190">
        <v>5.0612269999999997</v>
      </c>
      <c r="E3190">
        <v>0.54434899999999997</v>
      </c>
      <c r="F3190" t="s">
        <v>38</v>
      </c>
      <c r="G3190">
        <v>-256.25459999999998</v>
      </c>
      <c r="H3190">
        <v>1.0482149999999999</v>
      </c>
      <c r="I3190">
        <v>141.9785</v>
      </c>
      <c r="J3190">
        <v>-255.72479999999999</v>
      </c>
      <c r="K3190">
        <v>1.109146</v>
      </c>
      <c r="L3190">
        <v>141.86500000000001</v>
      </c>
      <c r="M3190">
        <v>-0.99849370000000004</v>
      </c>
      <c r="N3190">
        <v>0</v>
      </c>
      <c r="O3190">
        <v>5.4676229999999999E-2</v>
      </c>
      <c r="P3190">
        <v>-0.99830419999999997</v>
      </c>
      <c r="Q3190">
        <v>5.419156E-2</v>
      </c>
      <c r="R3190">
        <v>2.12602E-2</v>
      </c>
      <c r="S3190">
        <v>-3.0061339999999999</v>
      </c>
      <c r="T3190">
        <v>-0.19271279999999999</v>
      </c>
      <c r="U3190">
        <v>0.43019099999999999</v>
      </c>
      <c r="V3190">
        <v>-3.3405480000000001E-2</v>
      </c>
      <c r="W3190">
        <v>5.8736190000000001E-2</v>
      </c>
      <c r="X3190">
        <v>0.99771449999999995</v>
      </c>
      <c r="Y3190">
        <v>8.7258450000000001E-2</v>
      </c>
      <c r="Z3190">
        <v>-6.9923559999999997E-4</v>
      </c>
      <c r="AA3190">
        <v>0.99618549999999995</v>
      </c>
      <c r="AB3190">
        <v>46</v>
      </c>
      <c r="AC3190">
        <v>-0.52979999999999405</v>
      </c>
      <c r="AD3190">
        <v>-6.0930999999999999E-2</v>
      </c>
      <c r="AE3190">
        <v>0.113499999999987</v>
      </c>
      <c r="AF3190">
        <v>8.3308895612079104E-2</v>
      </c>
      <c r="AG3190">
        <v>-6.0930999999999999E-2</v>
      </c>
      <c r="AH3190">
        <v>0.52852933518701695</v>
      </c>
      <c r="AI3190">
        <v>96.496744780444303</v>
      </c>
      <c r="AJ3190">
        <v>81.042510076518695</v>
      </c>
      <c r="AK3190">
        <v>0.53851296827684103</v>
      </c>
    </row>
    <row r="3191" spans="1:37" x14ac:dyDescent="0.2">
      <c r="A3191" t="str">
        <f>"20200111154128916"</f>
        <v>20200111154128916</v>
      </c>
      <c r="B3191" t="str">
        <f>"1578728488909172"</f>
        <v>1578728488909172</v>
      </c>
      <c r="C3191" t="s">
        <v>37</v>
      </c>
      <c r="D3191">
        <v>5.0345440000000004</v>
      </c>
      <c r="E3191">
        <v>0.5444639</v>
      </c>
      <c r="F3191" t="s">
        <v>38</v>
      </c>
      <c r="G3191">
        <v>-256.66379999999998</v>
      </c>
      <c r="H3191">
        <v>1.0488759999999999</v>
      </c>
      <c r="I3191">
        <v>141.99889999999999</v>
      </c>
      <c r="J3191">
        <v>-256.21050000000002</v>
      </c>
      <c r="K3191">
        <v>1.109146</v>
      </c>
      <c r="L3191">
        <v>141.8914</v>
      </c>
      <c r="M3191">
        <v>-0.99851139999999905</v>
      </c>
      <c r="N3191">
        <v>0</v>
      </c>
      <c r="O3191">
        <v>5.4347760000000002E-2</v>
      </c>
      <c r="P3191">
        <v>-0.99840769999999901</v>
      </c>
      <c r="Q3191">
        <v>5.2638240000000003E-2</v>
      </c>
      <c r="R3191">
        <v>2.0280940000000001E-2</v>
      </c>
      <c r="S3191">
        <v>-3.0064389999999999</v>
      </c>
      <c r="T3191">
        <v>-0.19294710000000001</v>
      </c>
      <c r="U3191">
        <v>0.42832949999999997</v>
      </c>
      <c r="V3191">
        <v>-3.4059760000000001E-2</v>
      </c>
      <c r="W3191">
        <v>5.7229530000000001E-2</v>
      </c>
      <c r="X3191">
        <v>0.99777990000000005</v>
      </c>
      <c r="Y3191">
        <v>8.6967210000000003E-2</v>
      </c>
      <c r="Z3191">
        <v>-6.8846019999999996E-4</v>
      </c>
      <c r="AA3191">
        <v>0.99621090000000001</v>
      </c>
      <c r="AB3191">
        <v>46</v>
      </c>
      <c r="AC3191">
        <v>-0.45329999999995602</v>
      </c>
      <c r="AD3191">
        <v>-6.0269999999999997E-2</v>
      </c>
      <c r="AE3191">
        <v>0.10749999999998699</v>
      </c>
      <c r="AF3191">
        <v>8.1343598236224696E-2</v>
      </c>
      <c r="AG3191">
        <v>-6.0269999999999997E-2</v>
      </c>
      <c r="AH3191">
        <v>0.45092550698398398</v>
      </c>
      <c r="AI3191">
        <v>97.493404802604005</v>
      </c>
      <c r="AJ3191">
        <v>79.774242636745896</v>
      </c>
      <c r="AK3191">
        <v>0.46215048060429398</v>
      </c>
    </row>
    <row r="3192" spans="1:37" x14ac:dyDescent="0.2">
      <c r="A3192" t="str">
        <f>"20200111154128939"</f>
        <v>20200111154128939</v>
      </c>
      <c r="B3192" t="str">
        <f>"1578728488929668"</f>
        <v>1578728488929668</v>
      </c>
      <c r="C3192" t="s">
        <v>37</v>
      </c>
      <c r="D3192">
        <v>5.1317269999999997</v>
      </c>
      <c r="E3192">
        <v>0.54457159999999905</v>
      </c>
      <c r="F3192" t="s">
        <v>38</v>
      </c>
      <c r="G3192">
        <v>-257.07709999999997</v>
      </c>
      <c r="H3192">
        <v>1.052535</v>
      </c>
      <c r="I3192">
        <v>142.0145</v>
      </c>
      <c r="J3192">
        <v>-256.68220000000002</v>
      </c>
      <c r="K3192">
        <v>1.1091439999999999</v>
      </c>
      <c r="L3192">
        <v>141.9169</v>
      </c>
      <c r="M3192">
        <v>-0.99852859999999999</v>
      </c>
      <c r="N3192">
        <v>0</v>
      </c>
      <c r="O3192">
        <v>5.4028369999999999E-2</v>
      </c>
      <c r="P3192">
        <v>-0.998469099999999</v>
      </c>
      <c r="Q3192">
        <v>5.1865990000000001E-2</v>
      </c>
      <c r="R3192">
        <v>1.9227899999999999E-2</v>
      </c>
      <c r="S3192">
        <v>-3.0064389999999999</v>
      </c>
      <c r="T3192">
        <v>-0.19647519999999999</v>
      </c>
      <c r="U3192">
        <v>0.42662050000000001</v>
      </c>
      <c r="V3192">
        <v>-3.4795319999999998E-2</v>
      </c>
      <c r="W3192">
        <v>5.6501629999999997E-2</v>
      </c>
      <c r="X3192">
        <v>0.99779599999999902</v>
      </c>
      <c r="Y3192">
        <v>8.6728180000000002E-2</v>
      </c>
      <c r="Z3192">
        <v>-6.8814189999999995E-4</v>
      </c>
      <c r="AA3192">
        <v>0.9962318</v>
      </c>
      <c r="AB3192">
        <v>46</v>
      </c>
      <c r="AC3192">
        <v>-0.39489999999995001</v>
      </c>
      <c r="AD3192">
        <v>-5.6609000000000097E-2</v>
      </c>
      <c r="AE3192">
        <v>9.7599999999999895E-2</v>
      </c>
      <c r="AF3192">
        <v>7.4675224893705594E-2</v>
      </c>
      <c r="AG3192">
        <v>-5.6609000000000097E-2</v>
      </c>
      <c r="AH3192">
        <v>0.39200473450730799</v>
      </c>
      <c r="AI3192">
        <v>98.073992305364897</v>
      </c>
      <c r="AJ3192">
        <v>79.214622247012798</v>
      </c>
      <c r="AK3192">
        <v>0.403049227725436</v>
      </c>
    </row>
    <row r="3193" spans="1:37" x14ac:dyDescent="0.2">
      <c r="A3193" t="str">
        <f>"20200111154128961"</f>
        <v>20200111154128961</v>
      </c>
      <c r="B3193" t="str">
        <f>"1578728488949188"</f>
        <v>1578728488949188</v>
      </c>
      <c r="C3193" t="s">
        <v>37</v>
      </c>
      <c r="D3193">
        <v>5.106007</v>
      </c>
      <c r="E3193">
        <v>0.54467109999999996</v>
      </c>
      <c r="F3193" t="s">
        <v>38</v>
      </c>
      <c r="G3193">
        <v>-257.4907</v>
      </c>
      <c r="H3193">
        <v>1.0555060000000001</v>
      </c>
      <c r="I3193">
        <v>142.03120000000001</v>
      </c>
      <c r="J3193">
        <v>-257.1343</v>
      </c>
      <c r="K3193">
        <v>1.109145</v>
      </c>
      <c r="L3193">
        <v>141.94120000000001</v>
      </c>
      <c r="M3193">
        <v>-0.99854489999999996</v>
      </c>
      <c r="N3193">
        <v>0</v>
      </c>
      <c r="O3193">
        <v>5.3722569999999997E-2</v>
      </c>
      <c r="P3193">
        <v>-0.99849840000000001</v>
      </c>
      <c r="Q3193">
        <v>5.1592599999999898E-2</v>
      </c>
      <c r="R3193">
        <v>1.8421150000000001E-2</v>
      </c>
      <c r="S3193">
        <v>-3.0068359999999998</v>
      </c>
      <c r="T3193">
        <v>-0.19955439999999999</v>
      </c>
      <c r="U3193">
        <v>0.4241028</v>
      </c>
      <c r="V3193">
        <v>-3.5297259999999997E-2</v>
      </c>
      <c r="W3193">
        <v>5.6270729999999998E-2</v>
      </c>
      <c r="X3193">
        <v>0.99779139999999999</v>
      </c>
      <c r="Y3193">
        <v>8.6195499999999994E-2</v>
      </c>
      <c r="Z3193">
        <v>-6.9633149999999997E-4</v>
      </c>
      <c r="AA3193">
        <v>0.996278</v>
      </c>
      <c r="AB3193">
        <v>46</v>
      </c>
      <c r="AC3193">
        <v>-0.35640000000000699</v>
      </c>
      <c r="AD3193">
        <v>-5.3638999999999902E-2</v>
      </c>
      <c r="AE3193">
        <v>9.0000000000003397E-2</v>
      </c>
      <c r="AF3193">
        <v>6.9248577908585005E-2</v>
      </c>
      <c r="AG3193">
        <v>-5.3638999999999902E-2</v>
      </c>
      <c r="AH3193">
        <v>0.35319968434920701</v>
      </c>
      <c r="AI3193">
        <v>98.476327055354105</v>
      </c>
      <c r="AJ3193">
        <v>78.907255224573206</v>
      </c>
      <c r="AK3193">
        <v>0.36389905865190297</v>
      </c>
    </row>
    <row r="3194" spans="1:37" x14ac:dyDescent="0.2">
      <c r="A3194" t="str">
        <f>"20200111154128983"</f>
        <v>20200111154128983</v>
      </c>
      <c r="B3194" t="str">
        <f>"1578728488979444"</f>
        <v>1578728488979444</v>
      </c>
      <c r="C3194" t="s">
        <v>37</v>
      </c>
      <c r="D3194">
        <v>5.1214709999999997</v>
      </c>
      <c r="E3194">
        <v>0.54472410000000004</v>
      </c>
      <c r="F3194" t="s">
        <v>38</v>
      </c>
      <c r="G3194">
        <v>-257.90480000000002</v>
      </c>
      <c r="H3194">
        <v>1.057731</v>
      </c>
      <c r="I3194">
        <v>142.0496</v>
      </c>
      <c r="J3194">
        <v>-257.57810000000001</v>
      </c>
      <c r="K3194">
        <v>1.1091469999999899</v>
      </c>
      <c r="L3194">
        <v>141.965</v>
      </c>
      <c r="M3194">
        <v>-0.99856060000000002</v>
      </c>
      <c r="N3194">
        <v>0</v>
      </c>
      <c r="O3194">
        <v>5.3422610000000002E-2</v>
      </c>
      <c r="P3194">
        <v>-0.99850919999999899</v>
      </c>
      <c r="Q3194">
        <v>5.1699269999999999E-2</v>
      </c>
      <c r="R3194">
        <v>1.750852E-2</v>
      </c>
      <c r="S3194">
        <v>-3.00707999999999</v>
      </c>
      <c r="T3194">
        <v>-0.20069219999999999</v>
      </c>
      <c r="U3194">
        <v>0.42227170000000003</v>
      </c>
      <c r="V3194">
        <v>-3.5909280000000002E-2</v>
      </c>
      <c r="W3194">
        <v>5.6418799999999998E-2</v>
      </c>
      <c r="X3194">
        <v>0.99776119999999902</v>
      </c>
      <c r="Y3194">
        <v>8.5887930000000001E-2</v>
      </c>
      <c r="Z3194">
        <v>-6.9064319999999997E-4</v>
      </c>
      <c r="AA3194">
        <v>0.99630459999999998</v>
      </c>
      <c r="AB3194">
        <v>46</v>
      </c>
      <c r="AC3194">
        <v>-0.32670000000001598</v>
      </c>
      <c r="AD3194">
        <v>-5.1415999999999899E-2</v>
      </c>
      <c r="AE3194">
        <v>8.4599999999994596E-2</v>
      </c>
      <c r="AF3194">
        <v>6.5505319322968603E-2</v>
      </c>
      <c r="AG3194">
        <v>-5.1415999999999899E-2</v>
      </c>
      <c r="AH3194">
        <v>0.32324981943860298</v>
      </c>
      <c r="AI3194">
        <v>98.860577806745695</v>
      </c>
      <c r="AJ3194">
        <v>78.544362093915296</v>
      </c>
      <c r="AK3194">
        <v>0.33380383113842998</v>
      </c>
    </row>
    <row r="3195" spans="1:37" x14ac:dyDescent="0.2">
      <c r="A3195" t="str">
        <f>"20200111154129007"</f>
        <v>20200111154129007</v>
      </c>
      <c r="B3195" t="str">
        <f>"1578728488999475"</f>
        <v>1578728488999475</v>
      </c>
      <c r="C3195" t="s">
        <v>37</v>
      </c>
      <c r="D3195">
        <v>5.1577760000000001</v>
      </c>
      <c r="E3195">
        <v>0.54473870000000002</v>
      </c>
      <c r="F3195" t="s">
        <v>38</v>
      </c>
      <c r="G3195">
        <v>-258.32499999999999</v>
      </c>
      <c r="H3195">
        <v>1.059242</v>
      </c>
      <c r="I3195">
        <v>142.0692</v>
      </c>
      <c r="J3195">
        <v>-258.06889999999999</v>
      </c>
      <c r="K3195">
        <v>1.1091500000000001</v>
      </c>
      <c r="L3195">
        <v>141.99100000000001</v>
      </c>
      <c r="M3195">
        <v>-0.99857819999999997</v>
      </c>
      <c r="N3195">
        <v>0</v>
      </c>
      <c r="O3195">
        <v>5.3090760000000001E-2</v>
      </c>
      <c r="P3195">
        <v>-0.99851380000000001</v>
      </c>
      <c r="Q3195">
        <v>5.1638179999999999E-2</v>
      </c>
      <c r="R3195">
        <v>1.7433939999999998E-2</v>
      </c>
      <c r="S3195">
        <v>-3.0075069999999999</v>
      </c>
      <c r="T3195">
        <v>-0.20099420000000001</v>
      </c>
      <c r="U3195">
        <v>0.41976930000000001</v>
      </c>
      <c r="V3195">
        <v>-3.5652870000000003E-2</v>
      </c>
      <c r="W3195">
        <v>5.640452E-2</v>
      </c>
      <c r="X3195">
        <v>0.99777119999999997</v>
      </c>
      <c r="Y3195">
        <v>8.5386630000000005E-2</v>
      </c>
      <c r="Z3195">
        <v>-6.8631189999999998E-4</v>
      </c>
      <c r="AA3195">
        <v>0.99634769999999995</v>
      </c>
      <c r="AB3195">
        <v>46</v>
      </c>
      <c r="AC3195">
        <v>-0.25610000000000299</v>
      </c>
      <c r="AD3195">
        <v>-4.9908000000000001E-2</v>
      </c>
      <c r="AE3195">
        <v>7.8199999999981104E-2</v>
      </c>
      <c r="AF3195">
        <v>6.2327858882468001E-2</v>
      </c>
      <c r="AG3195">
        <v>-4.9908000000000001E-2</v>
      </c>
      <c r="AH3195">
        <v>0.25116553755801302</v>
      </c>
      <c r="AI3195">
        <v>100.91583067281201</v>
      </c>
      <c r="AJ3195">
        <v>76.063318958306496</v>
      </c>
      <c r="AK3195">
        <v>0.26355207780186202</v>
      </c>
    </row>
    <row r="3196" spans="1:37" x14ac:dyDescent="0.2">
      <c r="A3196" t="str">
        <f>"20200111154129027"</f>
        <v>20200111154129027</v>
      </c>
      <c r="B3196" t="str">
        <f>"1578728489018994"</f>
        <v>1578728489018994</v>
      </c>
      <c r="C3196" t="s">
        <v>37</v>
      </c>
      <c r="D3196">
        <v>5.1669130000000001</v>
      </c>
      <c r="E3196">
        <v>0.54474259999999997</v>
      </c>
      <c r="F3196" t="s">
        <v>38</v>
      </c>
      <c r="G3196">
        <v>-259.13369999999998</v>
      </c>
      <c r="H3196">
        <v>1.0378479999999899</v>
      </c>
      <c r="I3196">
        <v>142.13980000000001</v>
      </c>
      <c r="J3196">
        <v>-258.51319999999998</v>
      </c>
      <c r="K3196">
        <v>1.109154</v>
      </c>
      <c r="L3196">
        <v>142.0145</v>
      </c>
      <c r="M3196">
        <v>-0.99859390000000003</v>
      </c>
      <c r="N3196">
        <v>0</v>
      </c>
      <c r="O3196">
        <v>5.2790869999999997E-2</v>
      </c>
      <c r="P3196">
        <v>-0.99852339999999995</v>
      </c>
      <c r="Q3196">
        <v>5.1401120000000002E-2</v>
      </c>
      <c r="R3196">
        <v>1.758156E-2</v>
      </c>
      <c r="S3196">
        <v>-3.007568</v>
      </c>
      <c r="T3196">
        <v>-0.20146329999999901</v>
      </c>
      <c r="U3196">
        <v>0.41972349999999897</v>
      </c>
      <c r="V3196">
        <v>-3.5206979999999999E-2</v>
      </c>
      <c r="W3196">
        <v>5.6209799999999997E-2</v>
      </c>
      <c r="X3196">
        <v>0.99779799999999996</v>
      </c>
      <c r="Y3196">
        <v>8.5666610000000004E-2</v>
      </c>
      <c r="Z3196">
        <v>-6.5866440000000002E-4</v>
      </c>
      <c r="AA3196">
        <v>0.99632359999999898</v>
      </c>
      <c r="AB3196">
        <v>46</v>
      </c>
      <c r="AC3196">
        <v>-0.62049999999999195</v>
      </c>
      <c r="AD3196">
        <v>-7.13060000000003E-2</v>
      </c>
      <c r="AE3196">
        <v>0.12530000000000899</v>
      </c>
      <c r="AF3196">
        <v>9.1210829216058803E-2</v>
      </c>
      <c r="AG3196">
        <v>-7.13060000000003E-2</v>
      </c>
      <c r="AH3196">
        <v>0.61840290756703997</v>
      </c>
      <c r="AI3196">
        <v>96.507747229094207</v>
      </c>
      <c r="AJ3196">
        <v>81.609699397499995</v>
      </c>
      <c r="AK3196">
        <v>0.62914713469080497</v>
      </c>
    </row>
    <row r="3197" spans="1:37" x14ac:dyDescent="0.2">
      <c r="A3197" t="str">
        <f>"20200111154129050"</f>
        <v>20200111154129050</v>
      </c>
      <c r="B3197" t="str">
        <f>"1578728489039490"</f>
        <v>1578728489039490</v>
      </c>
      <c r="C3197" t="s">
        <v>37</v>
      </c>
      <c r="D3197">
        <v>5.1864540000000003</v>
      </c>
      <c r="E3197">
        <v>0.54441870000000003</v>
      </c>
      <c r="F3197" t="s">
        <v>38</v>
      </c>
      <c r="G3197">
        <v>-259.55079999999998</v>
      </c>
      <c r="H3197">
        <v>1.039032</v>
      </c>
      <c r="I3197">
        <v>142.15969999999999</v>
      </c>
      <c r="J3197">
        <v>-258.9864</v>
      </c>
      <c r="K3197">
        <v>1.1091599999999999</v>
      </c>
      <c r="L3197">
        <v>142.0394</v>
      </c>
      <c r="M3197">
        <v>-0.99861060000000001</v>
      </c>
      <c r="N3197">
        <v>0</v>
      </c>
      <c r="O3197">
        <v>5.2471230000000001E-2</v>
      </c>
      <c r="P3197">
        <v>-0.99849900000000003</v>
      </c>
      <c r="Q3197">
        <v>5.1651179999999998E-2</v>
      </c>
      <c r="R3197">
        <v>1.8224259999999999E-2</v>
      </c>
      <c r="S3197">
        <v>-3.0075069999999999</v>
      </c>
      <c r="T3197">
        <v>-0.20331969999999999</v>
      </c>
      <c r="U3197">
        <v>0.42018129999999998</v>
      </c>
      <c r="V3197">
        <v>-3.4244820000000002E-2</v>
      </c>
      <c r="W3197">
        <v>5.6505430000000002E-2</v>
      </c>
      <c r="X3197">
        <v>0.9978148</v>
      </c>
      <c r="Y3197">
        <v>8.6133890000000005E-2</v>
      </c>
      <c r="Z3197">
        <v>-6.276036E-4</v>
      </c>
      <c r="AA3197">
        <v>0.99628340000000004</v>
      </c>
      <c r="AB3197">
        <v>47</v>
      </c>
      <c r="AC3197">
        <v>-0.56439999999997703</v>
      </c>
      <c r="AD3197">
        <v>-7.0128000000000107E-2</v>
      </c>
      <c r="AE3197">
        <v>0.120299999999986</v>
      </c>
      <c r="AF3197">
        <v>8.9201855300454894E-2</v>
      </c>
      <c r="AG3197">
        <v>-7.0128000000000107E-2</v>
      </c>
      <c r="AH3197">
        <v>0.56164069830089203</v>
      </c>
      <c r="AI3197">
        <v>97.030057009229694</v>
      </c>
      <c r="AJ3197">
        <v>80.975449688456294</v>
      </c>
      <c r="AK3197">
        <v>0.57298794172387002</v>
      </c>
    </row>
    <row r="3198" spans="1:37" x14ac:dyDescent="0.2">
      <c r="A3198" t="str">
        <f>"20200111154129071"</f>
        <v>20200111154129071</v>
      </c>
      <c r="B3198" t="str">
        <f>"1578728489059010"</f>
        <v>1578728489059010</v>
      </c>
      <c r="C3198" t="s">
        <v>37</v>
      </c>
      <c r="D3198">
        <v>5.2033050000000003</v>
      </c>
      <c r="E3198">
        <v>0.4969769</v>
      </c>
      <c r="F3198" t="s">
        <v>38</v>
      </c>
      <c r="G3198">
        <v>-259.97030000000001</v>
      </c>
      <c r="H3198">
        <v>1.0426150000000001</v>
      </c>
      <c r="I3198">
        <v>142.17679999999999</v>
      </c>
      <c r="J3198">
        <v>-259.41890000000001</v>
      </c>
      <c r="K3198">
        <v>1.109162</v>
      </c>
      <c r="L3198">
        <v>142.06190000000001</v>
      </c>
      <c r="M3198">
        <v>-0.99862549999999894</v>
      </c>
      <c r="N3198">
        <v>0</v>
      </c>
      <c r="O3198">
        <v>5.2179330000000003E-2</v>
      </c>
      <c r="P3198">
        <v>-0.99847809999999904</v>
      </c>
      <c r="Q3198">
        <v>5.2049930000000001E-2</v>
      </c>
      <c r="R3198">
        <v>1.823029E-2</v>
      </c>
      <c r="S3198">
        <v>-3.00738499999999</v>
      </c>
      <c r="T3198">
        <v>-0.20347799999999999</v>
      </c>
      <c r="U3198">
        <v>0.41955569999999998</v>
      </c>
      <c r="V3198">
        <v>-3.3947079999999998E-2</v>
      </c>
      <c r="W3198">
        <v>5.6944849999999998E-2</v>
      </c>
      <c r="X3198">
        <v>0.99780000000000002</v>
      </c>
      <c r="Y3198">
        <v>8.6226349999999993E-2</v>
      </c>
      <c r="Z3198">
        <v>-6.0544419999999997E-4</v>
      </c>
      <c r="AA3198">
        <v>0.99627540000000003</v>
      </c>
      <c r="AB3198">
        <v>47</v>
      </c>
      <c r="AC3198">
        <v>-0.551400000000001</v>
      </c>
      <c r="AD3198">
        <v>-6.6546999999999898E-2</v>
      </c>
      <c r="AE3198">
        <v>0.11489999999997701</v>
      </c>
      <c r="AF3198">
        <v>8.4787858453349393E-2</v>
      </c>
      <c r="AG3198">
        <v>-6.6546999999999898E-2</v>
      </c>
      <c r="AH3198">
        <v>0.54898091631908497</v>
      </c>
      <c r="AI3198">
        <v>96.831406511479599</v>
      </c>
      <c r="AJ3198">
        <v>81.220271673744605</v>
      </c>
      <c r="AK3198">
        <v>0.55946182231913499</v>
      </c>
    </row>
    <row r="3199" spans="1:37" x14ac:dyDescent="0.2">
      <c r="A3199" t="str">
        <f>"20200111154129094"</f>
        <v>20200111154129094</v>
      </c>
      <c r="B3199" t="str">
        <f>"1578728489089267"</f>
        <v>1578728489089267</v>
      </c>
      <c r="C3199" t="s">
        <v>37</v>
      </c>
      <c r="D3199">
        <v>5.1569769999999897</v>
      </c>
      <c r="E3199">
        <v>0.48806959999999999</v>
      </c>
      <c r="F3199" t="s">
        <v>39</v>
      </c>
      <c r="G3199">
        <v>-276.80340000000001</v>
      </c>
      <c r="H3199" s="1">
        <v>-2.066898E-6</v>
      </c>
      <c r="I3199">
        <v>142.29689999999999</v>
      </c>
      <c r="J3199">
        <v>-259.89510000000001</v>
      </c>
      <c r="K3199">
        <v>1.1091690000000001</v>
      </c>
      <c r="L3199">
        <v>142.0866</v>
      </c>
      <c r="M3199">
        <v>-0.99864229999999998</v>
      </c>
      <c r="N3199">
        <v>0</v>
      </c>
      <c r="O3199">
        <v>5.1857790000000001E-2</v>
      </c>
      <c r="P3199">
        <v>-0.99848029999999999</v>
      </c>
      <c r="Q3199">
        <v>5.1966819999999997E-2</v>
      </c>
      <c r="R3199">
        <v>1.835523E-2</v>
      </c>
      <c r="S3199">
        <v>-3.0137939999999999</v>
      </c>
      <c r="T3199">
        <v>-0.19228580000000001</v>
      </c>
      <c r="U3199">
        <v>4.0740970000000001E-2</v>
      </c>
      <c r="V3199">
        <v>-3.3500380000000003E-2</v>
      </c>
      <c r="W3199">
        <v>5.6907239999999998E-2</v>
      </c>
      <c r="X3199">
        <v>0.99781730000000002</v>
      </c>
      <c r="Y3199">
        <v>-3.8172030000000003E-2</v>
      </c>
      <c r="Z3199">
        <v>-4.520184E-3</v>
      </c>
      <c r="AA3199">
        <v>0.99926099999999995</v>
      </c>
      <c r="AB3199">
        <v>47</v>
      </c>
      <c r="AC3199">
        <v>-16.908299999999901</v>
      </c>
      <c r="AD3199">
        <v>-1.1091710668979999</v>
      </c>
      <c r="AE3199">
        <v>0.210299999999989</v>
      </c>
      <c r="AF3199">
        <v>-0.66396394081520405</v>
      </c>
      <c r="AG3199">
        <v>-1.1091710668979999</v>
      </c>
      <c r="AH3199">
        <v>16.8240677382713</v>
      </c>
      <c r="AI3199">
        <v>93.768991489052397</v>
      </c>
      <c r="AJ3199">
        <v>92.2600122826411</v>
      </c>
      <c r="AK3199">
        <v>16.873658875071701</v>
      </c>
    </row>
    <row r="3200" spans="1:37" x14ac:dyDescent="0.2">
      <c r="A3200" t="str">
        <f>"20200111154129117"</f>
        <v>20200111154129117</v>
      </c>
      <c r="B3200" t="str">
        <f>"1578728489109763"</f>
        <v>1578728489109763</v>
      </c>
      <c r="C3200" t="s">
        <v>37</v>
      </c>
      <c r="D3200">
        <v>5.1043240000000001</v>
      </c>
      <c r="E3200">
        <v>0.48721720000000002</v>
      </c>
      <c r="F3200" t="s">
        <v>39</v>
      </c>
      <c r="G3200">
        <v>-277.02949999999998</v>
      </c>
      <c r="H3200" s="1">
        <v>-1.868947E-6</v>
      </c>
      <c r="I3200">
        <v>141.91739999999999</v>
      </c>
      <c r="J3200">
        <v>-260.3784</v>
      </c>
      <c r="K3200">
        <v>1.109183</v>
      </c>
      <c r="L3200">
        <v>142.11160000000001</v>
      </c>
      <c r="M3200">
        <v>-0.99865859999999995</v>
      </c>
      <c r="N3200">
        <v>0</v>
      </c>
      <c r="O3200">
        <v>5.1532439999999999E-2</v>
      </c>
      <c r="P3200">
        <v>-0.99848780000000004</v>
      </c>
      <c r="Q3200">
        <v>5.1949299999999997E-2</v>
      </c>
      <c r="R3200">
        <v>1.7997280000000001E-2</v>
      </c>
      <c r="S3200">
        <v>-3.0152589999999999</v>
      </c>
      <c r="T3200">
        <v>-0.19518859999999999</v>
      </c>
      <c r="U3200">
        <v>-2.9769899999999998E-2</v>
      </c>
      <c r="V3200">
        <v>-3.3534040000000001E-2</v>
      </c>
      <c r="W3200">
        <v>5.6970560000000003E-2</v>
      </c>
      <c r="X3200">
        <v>0.99781249999999999</v>
      </c>
      <c r="Y3200">
        <v>-6.1154269999999997E-2</v>
      </c>
      <c r="Z3200">
        <v>-5.3087079999999997E-3</v>
      </c>
      <c r="AA3200">
        <v>0.99811419999999995</v>
      </c>
      <c r="AB3200">
        <v>47</v>
      </c>
      <c r="AC3200">
        <v>-16.6510999999999</v>
      </c>
      <c r="AD3200">
        <v>-1.1091848689470001</v>
      </c>
      <c r="AE3200">
        <v>-0.19420000000002299</v>
      </c>
      <c r="AF3200">
        <v>-1.0473777452833599</v>
      </c>
      <c r="AG3200">
        <v>-1.1091848689470001</v>
      </c>
      <c r="AH3200">
        <v>16.5455595744276</v>
      </c>
      <c r="AI3200">
        <v>93.827629995315206</v>
      </c>
      <c r="AJ3200">
        <v>93.622141516050505</v>
      </c>
      <c r="AK3200">
        <v>16.615740514516698</v>
      </c>
    </row>
    <row r="3201" spans="1:37" x14ac:dyDescent="0.2">
      <c r="A3201" t="str">
        <f>"20200111154129140"</f>
        <v>20200111154129140</v>
      </c>
      <c r="B3201" t="str">
        <f>"1578728489129282"</f>
        <v>1578728489129282</v>
      </c>
      <c r="C3201" t="s">
        <v>37</v>
      </c>
      <c r="D3201">
        <v>5.1397959999999996</v>
      </c>
      <c r="E3201">
        <v>0.48668129999999998</v>
      </c>
      <c r="F3201" t="s">
        <v>39</v>
      </c>
      <c r="G3201">
        <v>-277.42180000000002</v>
      </c>
      <c r="H3201" s="1">
        <v>-1.6954389999999999E-6</v>
      </c>
      <c r="I3201">
        <v>141.89779999999999</v>
      </c>
      <c r="J3201">
        <v>-260.86509999999998</v>
      </c>
      <c r="K3201">
        <v>1.1092340000000001</v>
      </c>
      <c r="L3201">
        <v>142.13650000000001</v>
      </c>
      <c r="M3201">
        <v>-0.99867419999999996</v>
      </c>
      <c r="N3201">
        <v>0</v>
      </c>
      <c r="O3201">
        <v>5.1206679999999997E-2</v>
      </c>
      <c r="P3201">
        <v>-0.99851619999999996</v>
      </c>
      <c r="Q3201">
        <v>5.1552630000000002E-2</v>
      </c>
      <c r="R3201">
        <v>1.7546530000000001E-2</v>
      </c>
      <c r="S3201">
        <v>-3.0154719999999999</v>
      </c>
      <c r="T3201">
        <v>-0.1962467</v>
      </c>
      <c r="U3201">
        <v>-3.7811280000000003E-2</v>
      </c>
      <c r="V3201">
        <v>-3.3660019999999999E-2</v>
      </c>
      <c r="W3201">
        <v>5.6777269999999998E-2</v>
      </c>
      <c r="X3201">
        <v>0.99781929999999996</v>
      </c>
      <c r="Y3201">
        <v>-6.3482469999999999E-2</v>
      </c>
      <c r="Z3201">
        <v>-5.3915489999999998E-3</v>
      </c>
      <c r="AA3201">
        <v>0.99796839999999998</v>
      </c>
      <c r="AB3201">
        <v>47</v>
      </c>
      <c r="AC3201">
        <v>-16.556699999999999</v>
      </c>
      <c r="AD3201">
        <v>-1.1092356954389999</v>
      </c>
      <c r="AE3201">
        <v>-0.23870000000002201</v>
      </c>
      <c r="AF3201">
        <v>-1.0813595630188899</v>
      </c>
      <c r="AG3201">
        <v>-1.1092356954389999</v>
      </c>
      <c r="AH3201">
        <v>16.4489395517564</v>
      </c>
      <c r="AI3201">
        <v>93.8496205048517</v>
      </c>
      <c r="AJ3201">
        <v>93.761234208483799</v>
      </c>
      <c r="AK3201">
        <v>16.5217237209046</v>
      </c>
    </row>
    <row r="3202" spans="1:37" x14ac:dyDescent="0.2">
      <c r="A3202" t="str">
        <f>"20200111154129161"</f>
        <v>20200111154129161</v>
      </c>
      <c r="B3202" t="str">
        <f>"1578728489149781"</f>
        <v>1578728489149781</v>
      </c>
      <c r="C3202" t="s">
        <v>37</v>
      </c>
      <c r="D3202">
        <v>5.1541110000000003</v>
      </c>
      <c r="E3202">
        <v>0.48650359999999998</v>
      </c>
      <c r="F3202" t="s">
        <v>39</v>
      </c>
      <c r="G3202">
        <v>-277.41879999999998</v>
      </c>
      <c r="H3202" s="1">
        <v>-1.69677699999999E-6</v>
      </c>
      <c r="I3202">
        <v>141.898</v>
      </c>
      <c r="J3202">
        <v>-261.30880000000002</v>
      </c>
      <c r="K3202">
        <v>1.1093200000000001</v>
      </c>
      <c r="L3202">
        <v>142.1591</v>
      </c>
      <c r="M3202">
        <v>-0.9986874</v>
      </c>
      <c r="N3202">
        <v>0</v>
      </c>
      <c r="O3202">
        <v>5.0911459999999999E-2</v>
      </c>
      <c r="P3202">
        <v>-0.99851199999999996</v>
      </c>
      <c r="Q3202">
        <v>5.1831759999999998E-2</v>
      </c>
      <c r="R3202">
        <v>1.6956840000000001E-2</v>
      </c>
      <c r="S3202">
        <v>-3.015625</v>
      </c>
      <c r="T3202">
        <v>-0.20207229999999901</v>
      </c>
      <c r="U3202">
        <v>-4.3441769999999998E-2</v>
      </c>
      <c r="V3202">
        <v>-3.395567E-2</v>
      </c>
      <c r="W3202">
        <v>5.7420909999999999E-2</v>
      </c>
      <c r="X3202">
        <v>0.99777249999999995</v>
      </c>
      <c r="Y3202">
        <v>-6.5032439999999997E-2</v>
      </c>
      <c r="Z3202">
        <v>-5.5830680000000001E-3</v>
      </c>
      <c r="AA3202">
        <v>0.99786749999999902</v>
      </c>
      <c r="AB3202">
        <v>47</v>
      </c>
      <c r="AC3202">
        <v>-16.1099999999999</v>
      </c>
      <c r="AD3202">
        <v>-1.1093216967770001</v>
      </c>
      <c r="AE3202">
        <v>-0.261099999999999</v>
      </c>
      <c r="AF3202">
        <v>-1.07585798905017</v>
      </c>
      <c r="AG3202">
        <v>-1.1093216967770001</v>
      </c>
      <c r="AH3202">
        <v>15.999968872192101</v>
      </c>
      <c r="AI3202">
        <v>93.957218986215807</v>
      </c>
      <c r="AJ3202">
        <v>93.846849404543605</v>
      </c>
      <c r="AK3202">
        <v>16.074422818585401</v>
      </c>
    </row>
    <row r="3203" spans="1:37" x14ac:dyDescent="0.2">
      <c r="A3203" t="str">
        <f>"20200111154129182"</f>
        <v>20200111154129182</v>
      </c>
      <c r="B3203" t="str">
        <f>"1578728489180035"</f>
        <v>1578728489180035</v>
      </c>
      <c r="C3203" t="s">
        <v>37</v>
      </c>
      <c r="D3203">
        <v>5.1348960000000003</v>
      </c>
      <c r="E3203">
        <v>0.4862146</v>
      </c>
      <c r="F3203" t="s">
        <v>39</v>
      </c>
      <c r="G3203">
        <v>-277.69639999999998</v>
      </c>
      <c r="H3203" s="1">
        <v>-1.5801299999999999E-6</v>
      </c>
      <c r="I3203">
        <v>141.90710000000001</v>
      </c>
      <c r="J3203">
        <v>-261.75689999999997</v>
      </c>
      <c r="K3203">
        <v>1.1094569999999999</v>
      </c>
      <c r="L3203">
        <v>142.18180000000001</v>
      </c>
      <c r="M3203">
        <v>-0.99869909999999995</v>
      </c>
      <c r="N3203">
        <v>0</v>
      </c>
      <c r="O3203">
        <v>5.0610019999999999E-2</v>
      </c>
      <c r="P3203">
        <v>-0.99854949999999998</v>
      </c>
      <c r="Q3203">
        <v>5.1425400000000003E-2</v>
      </c>
      <c r="R3203">
        <v>1.5946640000000002E-2</v>
      </c>
      <c r="S3203">
        <v>-3.0158689999999999</v>
      </c>
      <c r="T3203">
        <v>-0.20415339999999901</v>
      </c>
      <c r="U3203">
        <v>-4.6371460000000003E-2</v>
      </c>
      <c r="V3203">
        <v>-3.466611E-2</v>
      </c>
      <c r="W3203">
        <v>5.7599900000000002E-2</v>
      </c>
      <c r="X3203">
        <v>0.99773769999999995</v>
      </c>
      <c r="Y3203">
        <v>-6.5693219999999997E-2</v>
      </c>
      <c r="Z3203">
        <v>-5.6419440000000003E-3</v>
      </c>
      <c r="AA3203">
        <v>0.99782389999999999</v>
      </c>
      <c r="AB3203">
        <v>47</v>
      </c>
      <c r="AC3203">
        <v>-15.939500000000001</v>
      </c>
      <c r="AD3203">
        <v>-1.1094585801299901</v>
      </c>
      <c r="AE3203">
        <v>-0.274699999999995</v>
      </c>
      <c r="AF3203">
        <v>-1.07585129337967</v>
      </c>
      <c r="AG3203">
        <v>-1.1094585801299901</v>
      </c>
      <c r="AH3203">
        <v>15.828507124234299</v>
      </c>
      <c r="AI3203">
        <v>94.000243643351595</v>
      </c>
      <c r="AJ3203">
        <v>93.888368990902293</v>
      </c>
      <c r="AK3203">
        <v>15.9037728897399</v>
      </c>
    </row>
    <row r="3204" spans="1:37" x14ac:dyDescent="0.2">
      <c r="A3204" t="str">
        <f>"20200111154129206"</f>
        <v>20200111154129206</v>
      </c>
      <c r="B3204" t="str">
        <f>"1578728489199554"</f>
        <v>1578728489199554</v>
      </c>
      <c r="C3204" t="s">
        <v>37</v>
      </c>
      <c r="D3204">
        <v>5.1431379999999898</v>
      </c>
      <c r="E3204">
        <v>0.48621540000000002</v>
      </c>
      <c r="F3204" t="s">
        <v>39</v>
      </c>
      <c r="G3204">
        <v>-277.86959999999999</v>
      </c>
      <c r="H3204" s="1">
        <v>-1.5057620000000001E-6</v>
      </c>
      <c r="I3204">
        <v>141.9068</v>
      </c>
      <c r="J3204">
        <v>-262.2396</v>
      </c>
      <c r="K3204">
        <v>1.109612</v>
      </c>
      <c r="L3204">
        <v>142.20599999999999</v>
      </c>
      <c r="M3204">
        <v>-0.99871080000000001</v>
      </c>
      <c r="N3204">
        <v>0</v>
      </c>
      <c r="O3204">
        <v>5.028589E-2</v>
      </c>
      <c r="P3204">
        <v>-0.99859809999999904</v>
      </c>
      <c r="Q3204">
        <v>5.0537289999999999E-2</v>
      </c>
      <c r="R3204">
        <v>1.5740290000000001E-2</v>
      </c>
      <c r="S3204">
        <v>-3.0158390000000002</v>
      </c>
      <c r="T3204">
        <v>-0.20766029999999999</v>
      </c>
      <c r="U3204">
        <v>-5.1452640000000001E-2</v>
      </c>
      <c r="V3204">
        <v>-3.4552729999999997E-2</v>
      </c>
      <c r="W3204">
        <v>5.7431370000000002E-2</v>
      </c>
      <c r="X3204">
        <v>0.99775139999999995</v>
      </c>
      <c r="Y3204">
        <v>-6.7038819999999999E-2</v>
      </c>
      <c r="Z3204">
        <v>-5.7626630000000003E-3</v>
      </c>
      <c r="AA3204">
        <v>0.99773369999999995</v>
      </c>
      <c r="AB3204">
        <v>47</v>
      </c>
      <c r="AC3204">
        <v>-15.6299999999999</v>
      </c>
      <c r="AD3204">
        <v>-1.109613505762</v>
      </c>
      <c r="AE3204">
        <v>-0.29920000000001301</v>
      </c>
      <c r="AF3204">
        <v>-1.0793708308977701</v>
      </c>
      <c r="AG3204">
        <v>-1.109613505762</v>
      </c>
      <c r="AH3204">
        <v>15.517002935698001</v>
      </c>
      <c r="AI3204">
        <v>94.080404972316899</v>
      </c>
      <c r="AJ3204">
        <v>93.979114747162697</v>
      </c>
      <c r="AK3204">
        <v>15.594026536761501</v>
      </c>
    </row>
    <row r="3205" spans="1:37" x14ac:dyDescent="0.2">
      <c r="A3205" t="str">
        <f>"20200111154129228"</f>
        <v>20200111154129228</v>
      </c>
      <c r="B3205" t="str">
        <f>"1578728489219085"</f>
        <v>1578728489219085</v>
      </c>
      <c r="C3205" t="s">
        <v>37</v>
      </c>
      <c r="D3205">
        <v>5.126328</v>
      </c>
      <c r="E3205">
        <v>0.48626149999999901</v>
      </c>
      <c r="F3205" t="s">
        <v>39</v>
      </c>
      <c r="G3205">
        <v>-278.10599999999999</v>
      </c>
      <c r="H3205" s="1">
        <v>-1.410611E-6</v>
      </c>
      <c r="I3205">
        <v>141.93039999999999</v>
      </c>
      <c r="J3205">
        <v>-262.74130000000002</v>
      </c>
      <c r="K3205">
        <v>1.1097520000000001</v>
      </c>
      <c r="L3205">
        <v>142.23099999999999</v>
      </c>
      <c r="M3205">
        <v>-0.99872299999999903</v>
      </c>
      <c r="N3205">
        <v>0</v>
      </c>
      <c r="O3205">
        <v>4.9932150000000002E-2</v>
      </c>
      <c r="P3205">
        <v>-0.99860159999999998</v>
      </c>
      <c r="Q3205">
        <v>5.0436660000000001E-2</v>
      </c>
      <c r="R3205">
        <v>1.5853019999999999E-2</v>
      </c>
      <c r="S3205">
        <v>-3.0156860000000001</v>
      </c>
      <c r="T3205">
        <v>-0.21090129999999899</v>
      </c>
      <c r="U3205">
        <v>-5.2368159999999997E-2</v>
      </c>
      <c r="V3205">
        <v>-3.4090450000000001E-2</v>
      </c>
      <c r="W3205">
        <v>5.8072609999999997E-2</v>
      </c>
      <c r="X3205">
        <v>0.99773009999999995</v>
      </c>
      <c r="Y3205">
        <v>-6.6981620000000006E-2</v>
      </c>
      <c r="Z3205">
        <v>-5.8260019999999899E-3</v>
      </c>
      <c r="AA3205">
        <v>0.99773719999999999</v>
      </c>
      <c r="AB3205">
        <v>47</v>
      </c>
      <c r="AC3205">
        <v>-15.3646999999999</v>
      </c>
      <c r="AD3205">
        <v>-1.1097534106110001</v>
      </c>
      <c r="AE3205">
        <v>-0.30060000000000198</v>
      </c>
      <c r="AF3205">
        <v>-1.06190258701338</v>
      </c>
      <c r="AG3205">
        <v>-1.1097534106110001</v>
      </c>
      <c r="AH3205">
        <v>15.2509920309564</v>
      </c>
      <c r="AI3205">
        <v>94.1518316554519</v>
      </c>
      <c r="AJ3205">
        <v>93.982986645206907</v>
      </c>
      <c r="AK3205">
        <v>15.3281423422724</v>
      </c>
    </row>
    <row r="3206" spans="1:37" x14ac:dyDescent="0.2">
      <c r="A3206" t="str">
        <f>"20200111154129250"</f>
        <v>20200111154129250</v>
      </c>
      <c r="B3206" t="str">
        <f>"1578728489239570"</f>
        <v>1578728489239570</v>
      </c>
      <c r="C3206" t="s">
        <v>37</v>
      </c>
      <c r="D3206">
        <v>5.1110809999999898</v>
      </c>
      <c r="E3206">
        <v>0.4860662</v>
      </c>
      <c r="F3206" t="s">
        <v>39</v>
      </c>
      <c r="G3206">
        <v>-278.55020000000002</v>
      </c>
      <c r="H3206" s="1">
        <v>-1.227651E-6</v>
      </c>
      <c r="I3206">
        <v>141.959</v>
      </c>
      <c r="J3206">
        <v>-263.19110000000001</v>
      </c>
      <c r="K3206">
        <v>1.1098509999999999</v>
      </c>
      <c r="L3206">
        <v>142.25319999999999</v>
      </c>
      <c r="M3206">
        <v>-0.99873480000000003</v>
      </c>
      <c r="N3206">
        <v>0</v>
      </c>
      <c r="O3206">
        <v>4.9595460000000001E-2</v>
      </c>
      <c r="P3206">
        <v>-0.99856529999999999</v>
      </c>
      <c r="Q3206">
        <v>5.1029360000000003E-2</v>
      </c>
      <c r="R3206">
        <v>1.6232610000000001E-2</v>
      </c>
      <c r="S3206">
        <v>-3.0156860000000001</v>
      </c>
      <c r="T3206">
        <v>-0.211696299999999</v>
      </c>
      <c r="U3206">
        <v>-5.1879880000000003E-2</v>
      </c>
      <c r="V3206">
        <v>-3.3376299999999998E-2</v>
      </c>
      <c r="W3206">
        <v>5.9298820000000002E-2</v>
      </c>
      <c r="X3206">
        <v>0.99768219999999996</v>
      </c>
      <c r="Y3206">
        <v>-6.6483920000000002E-2</v>
      </c>
      <c r="Z3206">
        <v>-5.8069009999999997E-3</v>
      </c>
      <c r="AA3206">
        <v>0.99777059999999995</v>
      </c>
      <c r="AB3206">
        <v>47</v>
      </c>
      <c r="AC3206">
        <v>-15.3591</v>
      </c>
      <c r="AD3206">
        <v>-1.1098522276509999</v>
      </c>
      <c r="AE3206">
        <v>-0.29419999999998903</v>
      </c>
      <c r="AF3206">
        <v>-1.0501246154388499</v>
      </c>
      <c r="AG3206">
        <v>-1.1098522276509999</v>
      </c>
      <c r="AH3206">
        <v>15.246027535471701</v>
      </c>
      <c r="AI3206">
        <v>94.153761308336101</v>
      </c>
      <c r="AJ3206">
        <v>93.940228223460807</v>
      </c>
      <c r="AK3206">
        <v>15.322398287720301</v>
      </c>
    </row>
    <row r="3207" spans="1:37" x14ac:dyDescent="0.2">
      <c r="A3207" t="str">
        <f>"20200111154129272"</f>
        <v>20200111154129272</v>
      </c>
      <c r="B3207" t="str">
        <f>"1578728489269826"</f>
        <v>1578728489269826</v>
      </c>
      <c r="C3207" t="s">
        <v>37</v>
      </c>
      <c r="D3207">
        <v>5.1828849999999997</v>
      </c>
      <c r="E3207">
        <v>0.48604039999999998</v>
      </c>
      <c r="F3207" t="s">
        <v>39</v>
      </c>
      <c r="G3207">
        <v>-278.86619999999999</v>
      </c>
      <c r="H3207" s="1">
        <v>-1.0978680000000001E-6</v>
      </c>
      <c r="I3207">
        <v>141.98079999999999</v>
      </c>
      <c r="J3207">
        <v>-263.64940000000001</v>
      </c>
      <c r="K3207">
        <v>1.1099399999999999</v>
      </c>
      <c r="L3207">
        <v>142.2757</v>
      </c>
      <c r="M3207">
        <v>-0.99874789999999902</v>
      </c>
      <c r="N3207">
        <v>0</v>
      </c>
      <c r="O3207">
        <v>4.922253E-2</v>
      </c>
      <c r="P3207">
        <v>-0.99856869999999998</v>
      </c>
      <c r="Q3207">
        <v>5.0786989999999997E-2</v>
      </c>
      <c r="R3207">
        <v>1.6769860000000001E-2</v>
      </c>
      <c r="S3207">
        <v>-3.0160830000000001</v>
      </c>
      <c r="T3207">
        <v>-0.21354989999999999</v>
      </c>
      <c r="U3207">
        <v>-5.2413939999999999E-2</v>
      </c>
      <c r="V3207">
        <v>-3.2470270000000002E-2</v>
      </c>
      <c r="W3207">
        <v>5.9658669999999997E-2</v>
      </c>
      <c r="X3207">
        <v>0.99769059999999898</v>
      </c>
      <c r="Y3207">
        <v>-6.6282480000000005E-2</v>
      </c>
      <c r="Z3207">
        <v>-5.8233869999999898E-3</v>
      </c>
      <c r="AA3207">
        <v>0.99778389999999995</v>
      </c>
      <c r="AB3207">
        <v>47</v>
      </c>
      <c r="AC3207">
        <v>-15.2167999999999</v>
      </c>
      <c r="AD3207">
        <v>-1.109941097868</v>
      </c>
      <c r="AE3207">
        <v>-0.29490000000001199</v>
      </c>
      <c r="AF3207">
        <v>-1.0380608381038701</v>
      </c>
      <c r="AG3207">
        <v>-1.109941097868</v>
      </c>
      <c r="AH3207">
        <v>15.103508788405099</v>
      </c>
      <c r="AI3207">
        <v>94.193194740952407</v>
      </c>
      <c r="AJ3207">
        <v>93.931743207013994</v>
      </c>
      <c r="AK3207">
        <v>15.179773294281199</v>
      </c>
    </row>
    <row r="3208" spans="1:37" x14ac:dyDescent="0.2">
      <c r="A3208" t="str">
        <f>"20200111154129295"</f>
        <v>20200111154129295</v>
      </c>
      <c r="B3208" t="str">
        <f>"1578728489289347"</f>
        <v>1578728489289347</v>
      </c>
      <c r="C3208" t="s">
        <v>37</v>
      </c>
      <c r="D3208">
        <v>5.1580539999999999</v>
      </c>
      <c r="E3208">
        <v>0.48604759999999902</v>
      </c>
      <c r="F3208" t="s">
        <v>39</v>
      </c>
      <c r="G3208">
        <v>-279.26639999999998</v>
      </c>
      <c r="H3208" s="1">
        <v>-9.344176E-7</v>
      </c>
      <c r="I3208">
        <v>142.01159999999999</v>
      </c>
      <c r="J3208">
        <v>-264.12209999999999</v>
      </c>
      <c r="K3208">
        <v>1.1100139999999901</v>
      </c>
      <c r="L3208">
        <v>142.29859999999999</v>
      </c>
      <c r="M3208">
        <v>-0.99876359999999997</v>
      </c>
      <c r="N3208">
        <v>0</v>
      </c>
      <c r="O3208">
        <v>4.8796100000000002E-2</v>
      </c>
      <c r="P3208">
        <v>-0.99863999999999997</v>
      </c>
      <c r="Q3208">
        <v>4.9314780000000003E-2</v>
      </c>
      <c r="R3208">
        <v>1.6921289999999999E-2</v>
      </c>
      <c r="S3208">
        <v>-3.0160830000000001</v>
      </c>
      <c r="T3208">
        <v>-0.21436269999999999</v>
      </c>
      <c r="U3208">
        <v>-5.0994869999999998E-2</v>
      </c>
      <c r="V3208">
        <v>-3.1899669999999998E-2</v>
      </c>
      <c r="W3208">
        <v>5.8755700000000001E-2</v>
      </c>
      <c r="X3208">
        <v>0.99776260000000006</v>
      </c>
      <c r="Y3208">
        <v>-6.5388479999999999E-2</v>
      </c>
      <c r="Z3208">
        <v>-5.7835500000000001E-3</v>
      </c>
      <c r="AA3208">
        <v>0.99784309999999998</v>
      </c>
      <c r="AB3208">
        <v>47</v>
      </c>
      <c r="AC3208">
        <v>-15.1442999999999</v>
      </c>
      <c r="AD3208">
        <v>-1.11001493441759</v>
      </c>
      <c r="AE3208">
        <v>-0.28700000000000597</v>
      </c>
      <c r="AF3208">
        <v>-1.02019538041484</v>
      </c>
      <c r="AG3208">
        <v>-1.11001493441759</v>
      </c>
      <c r="AH3208">
        <v>15.031528078105</v>
      </c>
      <c r="AI3208">
        <v>94.213726902470398</v>
      </c>
      <c r="AJ3208">
        <v>93.882731303563602</v>
      </c>
      <c r="AK3208">
        <v>15.1069443677968</v>
      </c>
    </row>
    <row r="3209" spans="1:37" x14ac:dyDescent="0.2">
      <c r="A3209" t="str">
        <f>"20200111154129317"</f>
        <v>20200111154129317</v>
      </c>
      <c r="B3209" t="str">
        <f>"1578728489309842"</f>
        <v>1578728489309842</v>
      </c>
      <c r="C3209" t="s">
        <v>37</v>
      </c>
      <c r="D3209">
        <v>5.1779269999999897</v>
      </c>
      <c r="E3209">
        <v>0.48602020000000001</v>
      </c>
      <c r="F3209" t="s">
        <v>39</v>
      </c>
      <c r="G3209">
        <v>-279.39179999999999</v>
      </c>
      <c r="H3209" s="1">
        <v>-8.8910769999999997E-7</v>
      </c>
      <c r="I3209">
        <v>142.04349999999999</v>
      </c>
      <c r="J3209">
        <v>-264.60640000000001</v>
      </c>
      <c r="K3209">
        <v>1.110093</v>
      </c>
      <c r="L3209">
        <v>142.3219</v>
      </c>
      <c r="M3209">
        <v>-0.99878250000000002</v>
      </c>
      <c r="N3209">
        <v>0</v>
      </c>
      <c r="O3209">
        <v>4.8304809999999997E-2</v>
      </c>
      <c r="P3209">
        <v>-0.99871069999999995</v>
      </c>
      <c r="Q3209">
        <v>4.8068960000000001E-2</v>
      </c>
      <c r="R3209">
        <v>1.6330440000000002E-2</v>
      </c>
      <c r="S3209">
        <v>-3.0157780000000001</v>
      </c>
      <c r="T3209">
        <v>-0.2192296</v>
      </c>
      <c r="U3209">
        <v>-5.0369259999999999E-2</v>
      </c>
      <c r="V3209">
        <v>-3.200712E-2</v>
      </c>
      <c r="W3209">
        <v>5.8034049999999997E-2</v>
      </c>
      <c r="X3209">
        <v>0.99780139999999995</v>
      </c>
      <c r="Y3209">
        <v>-6.4682539999999997E-2</v>
      </c>
      <c r="Z3209">
        <v>-5.853876E-3</v>
      </c>
      <c r="AA3209">
        <v>0.99788869999999896</v>
      </c>
      <c r="AB3209">
        <v>47</v>
      </c>
      <c r="AC3209">
        <v>-14.7853999999999</v>
      </c>
      <c r="AD3209">
        <v>-1.1100938891076999</v>
      </c>
      <c r="AE3209">
        <v>-0.27840000000000398</v>
      </c>
      <c r="AF3209">
        <v>-0.98675624320992195</v>
      </c>
      <c r="AG3209">
        <v>-1.1100938891076999</v>
      </c>
      <c r="AH3209">
        <v>14.6720118578358</v>
      </c>
      <c r="AI3209">
        <v>94.317076573589603</v>
      </c>
      <c r="AJ3209">
        <v>93.847594840012604</v>
      </c>
      <c r="AK3209">
        <v>14.7469972632608</v>
      </c>
    </row>
    <row r="3210" spans="1:37" x14ac:dyDescent="0.2">
      <c r="A3210" t="str">
        <f>"20200111154129340"</f>
        <v>20200111154129340</v>
      </c>
      <c r="B3210" t="str">
        <f>"1578728489329362"</f>
        <v>1578728489329362</v>
      </c>
      <c r="C3210" t="s">
        <v>37</v>
      </c>
      <c r="D3210">
        <v>5.1446360000000002</v>
      </c>
      <c r="E3210">
        <v>0.48601359999999899</v>
      </c>
      <c r="F3210" t="s">
        <v>39</v>
      </c>
      <c r="G3210">
        <v>-279.63119999999998</v>
      </c>
      <c r="H3210" s="1">
        <v>-7.9134209999999999E-7</v>
      </c>
      <c r="I3210">
        <v>142.06209999999999</v>
      </c>
      <c r="J3210">
        <v>-265.08019999999999</v>
      </c>
      <c r="K3210">
        <v>1.1101760000000001</v>
      </c>
      <c r="L3210">
        <v>142.3443</v>
      </c>
      <c r="M3210">
        <v>-0.99880400000000003</v>
      </c>
      <c r="N3210">
        <v>0</v>
      </c>
      <c r="O3210">
        <v>4.7759059999999999E-2</v>
      </c>
      <c r="P3210">
        <v>-0.99877209999999905</v>
      </c>
      <c r="Q3210">
        <v>4.7275829999999998E-2</v>
      </c>
      <c r="R3210">
        <v>1.482027E-2</v>
      </c>
      <c r="S3210">
        <v>-3.0154109999999998</v>
      </c>
      <c r="T3210">
        <v>-0.22279109999999999</v>
      </c>
      <c r="U3210">
        <v>-5.212402E-2</v>
      </c>
      <c r="V3210">
        <v>-3.2979790000000002E-2</v>
      </c>
      <c r="W3210">
        <v>5.7695110000000001E-2</v>
      </c>
      <c r="X3210">
        <v>0.99778940000000005</v>
      </c>
      <c r="Y3210">
        <v>-6.4711649999999996E-2</v>
      </c>
      <c r="Z3210">
        <v>-5.9102729999999997E-3</v>
      </c>
      <c r="AA3210">
        <v>0.99788650000000001</v>
      </c>
      <c r="AB3210">
        <v>47</v>
      </c>
      <c r="AC3210">
        <v>-14.550999999999901</v>
      </c>
      <c r="AD3210">
        <v>-1.1101767913420999</v>
      </c>
      <c r="AE3210">
        <v>-0.28220000000001699</v>
      </c>
      <c r="AF3210">
        <v>-0.97120684198599905</v>
      </c>
      <c r="AG3210">
        <v>-1.1101767913420999</v>
      </c>
      <c r="AH3210">
        <v>14.436909619151599</v>
      </c>
      <c r="AI3210">
        <v>94.387428076968703</v>
      </c>
      <c r="AJ3210">
        <v>93.848630908507801</v>
      </c>
      <c r="AK3210">
        <v>14.5120672059327</v>
      </c>
    </row>
    <row r="3211" spans="1:37" x14ac:dyDescent="0.2">
      <c r="A3211" t="str">
        <f>"20200111154129361"</f>
        <v>20200111154129361</v>
      </c>
      <c r="B3211" t="str">
        <f>"1578728489349861"</f>
        <v>1578728489349861</v>
      </c>
      <c r="C3211" t="s">
        <v>37</v>
      </c>
      <c r="D3211">
        <v>5.1726150000000004</v>
      </c>
      <c r="E3211">
        <v>0.48606700000000003</v>
      </c>
      <c r="F3211" t="s">
        <v>46</v>
      </c>
      <c r="G3211">
        <v>-279.96530000000001</v>
      </c>
      <c r="H3211" s="1">
        <v>-4.3947469999999999E-6</v>
      </c>
      <c r="I3211">
        <v>142.06559999999999</v>
      </c>
      <c r="J3211">
        <v>-265.52609999999999</v>
      </c>
      <c r="K3211">
        <v>1.1102529999999999</v>
      </c>
      <c r="L3211">
        <v>142.36519999999999</v>
      </c>
      <c r="M3211">
        <v>-0.99882739999999903</v>
      </c>
      <c r="N3211">
        <v>0</v>
      </c>
      <c r="O3211">
        <v>4.7178449999999997E-2</v>
      </c>
      <c r="P3211">
        <v>-0.99879010000000001</v>
      </c>
      <c r="Q3211">
        <v>4.731846E-2</v>
      </c>
      <c r="R3211">
        <v>1.338809E-2</v>
      </c>
      <c r="S3211">
        <v>-3.0151979999999998</v>
      </c>
      <c r="T3211">
        <v>-0.22488240000000001</v>
      </c>
      <c r="U3211">
        <v>-5.6457519999999997E-2</v>
      </c>
      <c r="V3211">
        <v>-3.3839170000000002E-2</v>
      </c>
      <c r="W3211">
        <v>5.8115930000000003E-2</v>
      </c>
      <c r="X3211">
        <v>0.99773619999999996</v>
      </c>
      <c r="Y3211">
        <v>-6.556012E-2</v>
      </c>
      <c r="Z3211">
        <v>-5.9543690000000002E-3</v>
      </c>
      <c r="AA3211">
        <v>0.99783089999999997</v>
      </c>
      <c r="AB3211">
        <v>47</v>
      </c>
      <c r="AC3211">
        <v>-14.4392</v>
      </c>
      <c r="AD3211">
        <v>-1.110257394747</v>
      </c>
      <c r="AE3211">
        <v>-0.29959999999999798</v>
      </c>
      <c r="AF3211">
        <v>-0.97476494225519905</v>
      </c>
      <c r="AG3211">
        <v>-1.110257394747</v>
      </c>
      <c r="AH3211">
        <v>14.324330029395201</v>
      </c>
      <c r="AI3211">
        <v>94.421863319928903</v>
      </c>
      <c r="AJ3211">
        <v>93.892953238597102</v>
      </c>
      <c r="AK3211">
        <v>14.400321835510301</v>
      </c>
    </row>
    <row r="3212" spans="1:37" x14ac:dyDescent="0.2">
      <c r="A3212" t="str">
        <f>"20200111154129384"</f>
        <v>20200111154129384</v>
      </c>
      <c r="B3212" t="str">
        <f>"1578728489379138"</f>
        <v>1578728489379138</v>
      </c>
      <c r="C3212" t="s">
        <v>37</v>
      </c>
      <c r="D3212">
        <v>5.1193900000000001</v>
      </c>
      <c r="E3212">
        <v>0.48606270000000001</v>
      </c>
      <c r="F3212" t="s">
        <v>46</v>
      </c>
      <c r="G3212">
        <v>-280.42349999999999</v>
      </c>
      <c r="H3212" s="1">
        <v>-4.5979329999999999E-6</v>
      </c>
      <c r="I3212">
        <v>142.06559999999999</v>
      </c>
      <c r="J3212">
        <v>-265.98790000000002</v>
      </c>
      <c r="K3212">
        <v>1.1103350000000001</v>
      </c>
      <c r="L3212">
        <v>142.38640000000001</v>
      </c>
      <c r="M3212">
        <v>-0.99885480000000004</v>
      </c>
      <c r="N3212">
        <v>0</v>
      </c>
      <c r="O3212">
        <v>4.6510660000000002E-2</v>
      </c>
      <c r="P3212">
        <v>-0.99878659999999997</v>
      </c>
      <c r="Q3212">
        <v>4.7769489999999998E-2</v>
      </c>
      <c r="R3212">
        <v>1.198597E-2</v>
      </c>
      <c r="S3212">
        <v>-3.0150759999999899</v>
      </c>
      <c r="T3212">
        <v>-0.224703499999999</v>
      </c>
      <c r="U3212">
        <v>-6.0623169999999997E-2</v>
      </c>
      <c r="V3212">
        <v>-3.4582099999999998E-2</v>
      </c>
      <c r="W3212">
        <v>5.8912310000000002E-2</v>
      </c>
      <c r="X3212">
        <v>0.997664</v>
      </c>
      <c r="Y3212">
        <v>-6.627239E-2</v>
      </c>
      <c r="Z3212">
        <v>-5.9266809999999996E-3</v>
      </c>
      <c r="AA3212">
        <v>0.997784</v>
      </c>
      <c r="AB3212">
        <v>47</v>
      </c>
      <c r="AC3212">
        <v>-14.4355999999999</v>
      </c>
      <c r="AD3212">
        <v>-1.110339597933</v>
      </c>
      <c r="AE3212">
        <v>-0.32080000000001901</v>
      </c>
      <c r="AF3212">
        <v>-0.98607340324090498</v>
      </c>
      <c r="AG3212">
        <v>-1.110339597933</v>
      </c>
      <c r="AH3212">
        <v>14.3203739691464</v>
      </c>
      <c r="AI3212">
        <v>94.423163524460094</v>
      </c>
      <c r="AJ3212">
        <v>93.939059411122599</v>
      </c>
      <c r="AK3212">
        <v>14.3971631023449</v>
      </c>
    </row>
    <row r="3213" spans="1:37" x14ac:dyDescent="0.2">
      <c r="A3213" t="str">
        <f>"20200111154129407"</f>
        <v>20200111154129407</v>
      </c>
      <c r="B3213" t="str">
        <f>"1578728489399635"</f>
        <v>1578728489399635</v>
      </c>
      <c r="C3213" t="s">
        <v>37</v>
      </c>
      <c r="D3213">
        <v>5.0796479999999997</v>
      </c>
      <c r="E3213">
        <v>0.48605109999999901</v>
      </c>
      <c r="F3213" t="s">
        <v>46</v>
      </c>
      <c r="G3213">
        <v>-281.04109999999997</v>
      </c>
      <c r="H3213" s="1">
        <v>-4.8706209999999902E-6</v>
      </c>
      <c r="I3213">
        <v>142.06200000000001</v>
      </c>
      <c r="J3213">
        <v>-266.48450000000003</v>
      </c>
      <c r="K3213">
        <v>1.1104209999999901</v>
      </c>
      <c r="L3213">
        <v>142.40889999999999</v>
      </c>
      <c r="M3213">
        <v>-0.99888739999999998</v>
      </c>
      <c r="N3213">
        <v>0</v>
      </c>
      <c r="O3213">
        <v>4.5724760000000003E-2</v>
      </c>
      <c r="P3213">
        <v>-0.99878310000000003</v>
      </c>
      <c r="Q3213">
        <v>4.8161669999999997E-2</v>
      </c>
      <c r="R3213">
        <v>1.064609E-2</v>
      </c>
      <c r="S3213">
        <v>-3.0150759999999899</v>
      </c>
      <c r="T3213">
        <v>-0.22239439999999999</v>
      </c>
      <c r="U3213">
        <v>-6.4987180000000005E-2</v>
      </c>
      <c r="V3213">
        <v>-3.5145290000000003E-2</v>
      </c>
      <c r="W3213">
        <v>5.9625350000000001E-2</v>
      </c>
      <c r="X3213">
        <v>0.99760190000000004</v>
      </c>
      <c r="Y3213">
        <v>-6.6937769999999994E-2</v>
      </c>
      <c r="Z3213">
        <v>-5.8325449999999997E-3</v>
      </c>
      <c r="AA3213">
        <v>0.99774010000000002</v>
      </c>
      <c r="AB3213">
        <v>47</v>
      </c>
      <c r="AC3213">
        <v>-14.5565999999999</v>
      </c>
      <c r="AD3213">
        <v>-1.110425870621</v>
      </c>
      <c r="AE3213">
        <v>-0.34689999999997601</v>
      </c>
      <c r="AF3213">
        <v>-1.0063258648883</v>
      </c>
      <c r="AG3213">
        <v>-1.110425870621</v>
      </c>
      <c r="AH3213">
        <v>14.441520286051</v>
      </c>
      <c r="AI3213">
        <v>94.386295161277502</v>
      </c>
      <c r="AJ3213">
        <v>93.9860881050041</v>
      </c>
      <c r="AK3213">
        <v>14.5190648987085</v>
      </c>
    </row>
    <row r="3214" spans="1:37" x14ac:dyDescent="0.2">
      <c r="A3214" t="str">
        <f>"20200111154129429"</f>
        <v>20200111154129429</v>
      </c>
      <c r="B3214" t="str">
        <f>"1578728489419157"</f>
        <v>1578728489419157</v>
      </c>
      <c r="C3214" t="s">
        <v>37</v>
      </c>
      <c r="D3214">
        <v>5.1065959999999997</v>
      </c>
      <c r="E3214">
        <v>0.48608990000000002</v>
      </c>
      <c r="F3214" t="s">
        <v>46</v>
      </c>
      <c r="G3214">
        <v>-281.63979999999998</v>
      </c>
      <c r="H3214" s="1">
        <v>-5.1357519999999902E-6</v>
      </c>
      <c r="I3214">
        <v>142.0609</v>
      </c>
      <c r="J3214">
        <v>-266.95519999999999</v>
      </c>
      <c r="K3214">
        <v>1.110487</v>
      </c>
      <c r="L3214">
        <v>142.4298</v>
      </c>
      <c r="M3214">
        <v>-0.99892000000000003</v>
      </c>
      <c r="N3214">
        <v>0</v>
      </c>
      <c r="O3214">
        <v>4.4935299999999997E-2</v>
      </c>
      <c r="P3214">
        <v>-0.99873709999999905</v>
      </c>
      <c r="Q3214">
        <v>4.9301209999999998E-2</v>
      </c>
      <c r="R3214">
        <v>9.6767199999999998E-3</v>
      </c>
      <c r="S3214">
        <v>-3.0150450000000002</v>
      </c>
      <c r="T3214">
        <v>-0.22091149999999901</v>
      </c>
      <c r="U3214">
        <v>-6.9244379999999994E-2</v>
      </c>
      <c r="V3214">
        <v>-3.5333509999999999E-2</v>
      </c>
      <c r="W3214">
        <v>6.103041E-2</v>
      </c>
      <c r="X3214">
        <v>0.99751029999999996</v>
      </c>
      <c r="Y3214">
        <v>-6.7562199999999906E-2</v>
      </c>
      <c r="Z3214">
        <v>-5.7588739999999998E-3</v>
      </c>
      <c r="AA3214">
        <v>0.99769839999999999</v>
      </c>
      <c r="AB3214">
        <v>47</v>
      </c>
      <c r="AC3214">
        <v>-14.6845999999999</v>
      </c>
      <c r="AD3214">
        <v>-1.1104921357519999</v>
      </c>
      <c r="AE3214">
        <v>-0.36889999999999601</v>
      </c>
      <c r="AF3214">
        <v>-1.0225860071517101</v>
      </c>
      <c r="AG3214">
        <v>-1.1104921357519999</v>
      </c>
      <c r="AH3214">
        <v>14.569916972146499</v>
      </c>
      <c r="AI3214">
        <v>94.347897182949893</v>
      </c>
      <c r="AJ3214">
        <v>94.014706690197698</v>
      </c>
      <c r="AK3214">
        <v>14.647913008372001</v>
      </c>
    </row>
    <row r="3215" spans="1:37" x14ac:dyDescent="0.2">
      <c r="A3215" t="str">
        <f>"20200111154129451"</f>
        <v>20200111154129451</v>
      </c>
      <c r="B3215" t="str">
        <f>"1578728489439650"</f>
        <v>1578728489439650</v>
      </c>
      <c r="C3215" t="s">
        <v>37</v>
      </c>
      <c r="D3215">
        <v>5.1186020000000001</v>
      </c>
      <c r="E3215">
        <v>0.48610989999999998</v>
      </c>
      <c r="F3215" t="s">
        <v>46</v>
      </c>
      <c r="G3215">
        <v>-282.3723</v>
      </c>
      <c r="H3215" s="1">
        <v>-5.4611699999999999E-6</v>
      </c>
      <c r="I3215">
        <v>142.06270000000001</v>
      </c>
      <c r="J3215">
        <v>-267.40289999999999</v>
      </c>
      <c r="K3215">
        <v>1.110549</v>
      </c>
      <c r="L3215">
        <v>142.4494</v>
      </c>
      <c r="M3215">
        <v>-0.99895230000000002</v>
      </c>
      <c r="N3215">
        <v>0</v>
      </c>
      <c r="O3215">
        <v>4.4153400000000002E-2</v>
      </c>
      <c r="P3215">
        <v>-0.99868369999999995</v>
      </c>
      <c r="Q3215">
        <v>5.0559609999999998E-2</v>
      </c>
      <c r="R3215">
        <v>8.6568719999999995E-3</v>
      </c>
      <c r="S3215">
        <v>-3.0151979999999998</v>
      </c>
      <c r="T3215">
        <v>-0.21718470000000001</v>
      </c>
      <c r="U3215">
        <v>-7.1807860000000001E-2</v>
      </c>
      <c r="V3215">
        <v>-3.5577579999999998E-2</v>
      </c>
      <c r="W3215">
        <v>6.2509599999999998E-2</v>
      </c>
      <c r="X3215">
        <v>0.99741009999999997</v>
      </c>
      <c r="Y3215">
        <v>-6.7639920000000006E-2</v>
      </c>
      <c r="Z3215">
        <v>-5.6082329999999998E-3</v>
      </c>
      <c r="AA3215">
        <v>0.99769399999999997</v>
      </c>
      <c r="AB3215">
        <v>47</v>
      </c>
      <c r="AC3215">
        <v>-14.9694</v>
      </c>
      <c r="AD3215">
        <v>-1.11055446117</v>
      </c>
      <c r="AE3215">
        <v>-0.38669999999999</v>
      </c>
      <c r="AF3215">
        <v>-1.0415915803726501</v>
      </c>
      <c r="AG3215">
        <v>-1.11055446117</v>
      </c>
      <c r="AH3215">
        <v>14.8560122648669</v>
      </c>
      <c r="AI3215">
        <v>94.264737704959899</v>
      </c>
      <c r="AJ3215">
        <v>94.010585011089901</v>
      </c>
      <c r="AK3215">
        <v>14.933832215657301</v>
      </c>
    </row>
    <row r="3216" spans="1:37" x14ac:dyDescent="0.2">
      <c r="A3216" t="str">
        <f>"20200111154129472"</f>
        <v>20200111154129472</v>
      </c>
      <c r="B3216" t="str">
        <f>"1578728489469906"</f>
        <v>1578728489469906</v>
      </c>
      <c r="C3216" t="s">
        <v>37</v>
      </c>
      <c r="D3216">
        <v>5.1320259999999998</v>
      </c>
      <c r="E3216">
        <v>0.48616159999999897</v>
      </c>
      <c r="F3216" t="s">
        <v>46</v>
      </c>
      <c r="G3216">
        <v>-283.10329999999999</v>
      </c>
      <c r="H3216" s="1">
        <v>-5.7853079999999997E-6</v>
      </c>
      <c r="I3216">
        <v>142.0625</v>
      </c>
      <c r="J3216">
        <v>-267.85969999999998</v>
      </c>
      <c r="K3216">
        <v>1.110595</v>
      </c>
      <c r="L3216">
        <v>142.46889999999999</v>
      </c>
      <c r="M3216">
        <v>-0.99898560000000003</v>
      </c>
      <c r="N3216">
        <v>0</v>
      </c>
      <c r="O3216">
        <v>4.3333249999999997E-2</v>
      </c>
      <c r="P3216">
        <v>-0.99866630000000001</v>
      </c>
      <c r="Q3216">
        <v>5.1036940000000003E-2</v>
      </c>
      <c r="R3216">
        <v>7.8170280000000002E-3</v>
      </c>
      <c r="S3216">
        <v>-3.0154109999999998</v>
      </c>
      <c r="T3216">
        <v>-0.21329239999999999</v>
      </c>
      <c r="U3216">
        <v>-7.4295040000000007E-2</v>
      </c>
      <c r="V3216">
        <v>-3.5604129999999998E-2</v>
      </c>
      <c r="W3216">
        <v>6.3183459999999997E-2</v>
      </c>
      <c r="X3216">
        <v>0.99736659999999899</v>
      </c>
      <c r="Y3216">
        <v>-6.7654019999999995E-2</v>
      </c>
      <c r="Z3216">
        <v>-5.450145E-3</v>
      </c>
      <c r="AA3216">
        <v>0.99769399999999997</v>
      </c>
      <c r="AB3216">
        <v>47</v>
      </c>
      <c r="AC3216">
        <v>-15.243600000000001</v>
      </c>
      <c r="AD3216">
        <v>-1.110600785308</v>
      </c>
      <c r="AE3216">
        <v>-0.40639999999998999</v>
      </c>
      <c r="AF3216">
        <v>-1.0609945893136601</v>
      </c>
      <c r="AG3216">
        <v>-1.110600785308</v>
      </c>
      <c r="AH3216">
        <v>15.1314048916436</v>
      </c>
      <c r="AI3216">
        <v>94.187570043228007</v>
      </c>
      <c r="AJ3216">
        <v>94.010941293253495</v>
      </c>
      <c r="AK3216">
        <v>15.209160319285701</v>
      </c>
    </row>
    <row r="3217" spans="1:37" x14ac:dyDescent="0.2">
      <c r="A3217" t="str">
        <f>"20200111154129496"</f>
        <v>20200111154129496</v>
      </c>
      <c r="B3217" t="str">
        <f>"1578728489489427"</f>
        <v>1578728489489427</v>
      </c>
      <c r="C3217" t="s">
        <v>37</v>
      </c>
      <c r="D3217">
        <v>5.1336769999999996</v>
      </c>
      <c r="E3217">
        <v>0.4861897</v>
      </c>
      <c r="F3217" t="s">
        <v>46</v>
      </c>
      <c r="G3217">
        <v>-283.7638</v>
      </c>
      <c r="H3217" s="1">
        <v>-6.0790480000000002E-6</v>
      </c>
      <c r="I3217">
        <v>142.0652</v>
      </c>
      <c r="J3217">
        <v>-268.35300000000001</v>
      </c>
      <c r="K3217">
        <v>1.11063</v>
      </c>
      <c r="L3217">
        <v>142.4897</v>
      </c>
      <c r="M3217">
        <v>-0.99902199999999997</v>
      </c>
      <c r="N3217">
        <v>0</v>
      </c>
      <c r="O3217">
        <v>4.2432930000000001E-2</v>
      </c>
      <c r="P3217">
        <v>-0.99870789999999998</v>
      </c>
      <c r="Q3217">
        <v>5.03411E-2</v>
      </c>
      <c r="R3217">
        <v>6.9587859999999998E-3</v>
      </c>
      <c r="S3217">
        <v>-3.0154109999999998</v>
      </c>
      <c r="T3217">
        <v>-0.2105706</v>
      </c>
      <c r="U3217">
        <v>-7.6553339999999998E-2</v>
      </c>
      <c r="V3217">
        <v>-3.5568679999999998E-2</v>
      </c>
      <c r="W3217">
        <v>6.2661419999999995E-2</v>
      </c>
      <c r="X3217">
        <v>0.99740079999999998</v>
      </c>
      <c r="Y3217">
        <v>-6.7511280000000007E-2</v>
      </c>
      <c r="Z3217">
        <v>-5.31299599999999E-3</v>
      </c>
      <c r="AA3217">
        <v>0.99770439999999905</v>
      </c>
      <c r="AB3217">
        <v>47</v>
      </c>
      <c r="AC3217">
        <v>-15.410799999999901</v>
      </c>
      <c r="AD3217">
        <v>-1.1106360790480001</v>
      </c>
      <c r="AE3217">
        <v>-0.42449999999999399</v>
      </c>
      <c r="AF3217">
        <v>-1.07252714706941</v>
      </c>
      <c r="AG3217">
        <v>-1.1106360790480001</v>
      </c>
      <c r="AH3217">
        <v>15.2994996975477</v>
      </c>
      <c r="AI3217">
        <v>94.141858363744305</v>
      </c>
      <c r="AJ3217">
        <v>94.009994606511</v>
      </c>
      <c r="AK3217">
        <v>15.377207743168</v>
      </c>
    </row>
    <row r="3218" spans="1:37" x14ac:dyDescent="0.2">
      <c r="A3218" t="str">
        <f>"20200111154129518"</f>
        <v>20200111154129518</v>
      </c>
      <c r="B3218" t="str">
        <f>"1578728489509925"</f>
        <v>1578728489509925</v>
      </c>
      <c r="C3218" t="s">
        <v>37</v>
      </c>
      <c r="D3218">
        <v>5.1438750000000004</v>
      </c>
      <c r="E3218">
        <v>0.48619629999999903</v>
      </c>
      <c r="F3218" t="s">
        <v>46</v>
      </c>
      <c r="G3218">
        <v>-284.12119999999999</v>
      </c>
      <c r="H3218" s="1">
        <v>-6.2416369999999899E-6</v>
      </c>
      <c r="I3218">
        <v>142.0778</v>
      </c>
      <c r="J3218">
        <v>-268.81959999999998</v>
      </c>
      <c r="K3218">
        <v>1.1104099999999999</v>
      </c>
      <c r="L3218">
        <v>142.50890000000001</v>
      </c>
      <c r="M3218">
        <v>-0.99906530000000004</v>
      </c>
      <c r="N3218">
        <v>0</v>
      </c>
      <c r="O3218">
        <v>4.1588609999999998E-2</v>
      </c>
      <c r="P3218">
        <v>-0.99875460000000005</v>
      </c>
      <c r="Q3218">
        <v>4.957483E-2</v>
      </c>
      <c r="R3218">
        <v>5.6314260000000001E-3</v>
      </c>
      <c r="S3218">
        <v>-3.01513699999999</v>
      </c>
      <c r="T3218">
        <v>-0.2123708</v>
      </c>
      <c r="U3218">
        <v>-7.8765870000000002E-2</v>
      </c>
      <c r="V3218">
        <v>-3.6048839999999999E-2</v>
      </c>
      <c r="W3218">
        <v>6.1261250000000003E-2</v>
      </c>
      <c r="X3218">
        <v>0.99747059999999999</v>
      </c>
      <c r="Y3218">
        <v>-6.7399429999999996E-2</v>
      </c>
      <c r="Z3218">
        <v>-5.2954289999999999E-3</v>
      </c>
      <c r="AA3218">
        <v>0.99771200000000004</v>
      </c>
      <c r="AB3218">
        <v>47</v>
      </c>
      <c r="AC3218">
        <v>-15.301600000000001</v>
      </c>
      <c r="AD3218">
        <v>-1.110416241637</v>
      </c>
      <c r="AE3218">
        <v>-0.43110000000001403</v>
      </c>
      <c r="AF3218">
        <v>-1.0615575010370499</v>
      </c>
      <c r="AG3218">
        <v>-1.110416241637</v>
      </c>
      <c r="AH3218">
        <v>15.1904965666976</v>
      </c>
      <c r="AI3218">
        <v>94.170715381450094</v>
      </c>
      <c r="AJ3218">
        <v>93.997502078271395</v>
      </c>
      <c r="AK3218">
        <v>15.267976765130101</v>
      </c>
    </row>
    <row r="3219" spans="1:37" x14ac:dyDescent="0.2">
      <c r="A3219" t="str">
        <f>"20200111154129541"</f>
        <v>20200111154129541</v>
      </c>
      <c r="B3219" t="str">
        <f>"1578728489529443"</f>
        <v>1578728489529443</v>
      </c>
      <c r="C3219" t="s">
        <v>37</v>
      </c>
      <c r="D3219">
        <v>5.1233870000000001</v>
      </c>
      <c r="E3219">
        <v>0.4861917</v>
      </c>
      <c r="F3219" t="s">
        <v>46</v>
      </c>
      <c r="G3219">
        <v>-284.41489999999999</v>
      </c>
      <c r="H3219" s="1">
        <v>-6.3732899999999998E-6</v>
      </c>
      <c r="I3219">
        <v>142.0822</v>
      </c>
      <c r="J3219">
        <v>-269.29719999999998</v>
      </c>
      <c r="K3219">
        <v>1.1100159999999999</v>
      </c>
      <c r="L3219">
        <v>142.5284</v>
      </c>
      <c r="M3219">
        <v>-0.99911419999999995</v>
      </c>
      <c r="N3219">
        <v>0</v>
      </c>
      <c r="O3219">
        <v>4.0761180000000001E-2</v>
      </c>
      <c r="P3219">
        <v>-0.99877899999999997</v>
      </c>
      <c r="Q3219">
        <v>4.9246270000000002E-2</v>
      </c>
      <c r="R3219">
        <v>3.9207199999999999E-3</v>
      </c>
      <c r="S3219">
        <v>-3.0148619999999999</v>
      </c>
      <c r="T3219">
        <v>-0.21466460000000001</v>
      </c>
      <c r="U3219">
        <v>-8.2504270000000005E-2</v>
      </c>
      <c r="V3219">
        <v>-3.6923869999999998E-2</v>
      </c>
      <c r="W3219">
        <v>5.9616790000000003E-2</v>
      </c>
      <c r="X3219">
        <v>0.99753819999999904</v>
      </c>
      <c r="Y3219">
        <v>-6.7806340000000007E-2</v>
      </c>
      <c r="Z3219">
        <v>-5.3085090000000003E-3</v>
      </c>
      <c r="AA3219">
        <v>0.99768440000000003</v>
      </c>
      <c r="AB3219">
        <v>47</v>
      </c>
      <c r="AC3219">
        <v>-15.117699999999999</v>
      </c>
      <c r="AD3219">
        <v>-1.1100223732899901</v>
      </c>
      <c r="AE3219">
        <v>-0.44620000000000398</v>
      </c>
      <c r="AF3219">
        <v>-1.0563877861565401</v>
      </c>
      <c r="AG3219">
        <v>-1.1100223732899901</v>
      </c>
      <c r="AH3219">
        <v>15.006114168588899</v>
      </c>
      <c r="AI3219">
        <v>94.220134456553893</v>
      </c>
      <c r="AJ3219">
        <v>94.026816817179494</v>
      </c>
      <c r="AK3219">
        <v>15.0841495373345</v>
      </c>
    </row>
    <row r="3220" spans="1:37" x14ac:dyDescent="0.2">
      <c r="A3220" t="str">
        <f>"20200111154129561"</f>
        <v>20200111154129561</v>
      </c>
      <c r="B3220" t="str">
        <f>"1578728489559699"</f>
        <v>1578728489559699</v>
      </c>
      <c r="C3220" t="s">
        <v>37</v>
      </c>
      <c r="D3220">
        <v>5.1787339999999897</v>
      </c>
      <c r="E3220">
        <v>0.4862648</v>
      </c>
      <c r="F3220" t="s">
        <v>46</v>
      </c>
      <c r="G3220">
        <v>-284.86070000000001</v>
      </c>
      <c r="H3220" s="1">
        <v>-6.5690250000000002E-6</v>
      </c>
      <c r="I3220">
        <v>142.0762</v>
      </c>
      <c r="J3220">
        <v>-269.74560000000002</v>
      </c>
      <c r="K3220">
        <v>1.109683</v>
      </c>
      <c r="L3220">
        <v>142.54640000000001</v>
      </c>
      <c r="M3220">
        <v>-0.99915799999999999</v>
      </c>
      <c r="N3220">
        <v>0</v>
      </c>
      <c r="O3220">
        <v>3.9994199999999903E-2</v>
      </c>
      <c r="P3220">
        <v>-0.99871339999999997</v>
      </c>
      <c r="Q3220">
        <v>5.0638210000000003E-2</v>
      </c>
      <c r="R3220">
        <v>2.7502820000000002E-3</v>
      </c>
      <c r="S3220">
        <v>-3.014618</v>
      </c>
      <c r="T3220">
        <v>-0.21501039999999999</v>
      </c>
      <c r="U3220">
        <v>-8.7585449999999995E-2</v>
      </c>
      <c r="V3220">
        <v>-3.731802E-2</v>
      </c>
      <c r="W3220">
        <v>5.9692950000000002E-2</v>
      </c>
      <c r="X3220">
        <v>0.99751900000000004</v>
      </c>
      <c r="Y3220">
        <v>-6.8721130000000005E-2</v>
      </c>
      <c r="Z3220">
        <v>-5.2952980000000004E-3</v>
      </c>
      <c r="AA3220">
        <v>0.9976218</v>
      </c>
      <c r="AB3220">
        <v>47</v>
      </c>
      <c r="AC3220">
        <v>-15.115099999999901</v>
      </c>
      <c r="AD3220">
        <v>-1.1096895690249999</v>
      </c>
      <c r="AE3220">
        <v>-0.470200000000005</v>
      </c>
      <c r="AF3220">
        <v>-1.0686112737937701</v>
      </c>
      <c r="AG3220">
        <v>-1.1096895690249999</v>
      </c>
      <c r="AH3220">
        <v>15.003410764218801</v>
      </c>
      <c r="AI3220">
        <v>94.219386097390696</v>
      </c>
      <c r="AJ3220">
        <v>94.073986738439999</v>
      </c>
      <c r="AK3220">
        <v>15.0822967599089</v>
      </c>
    </row>
    <row r="3221" spans="1:37" x14ac:dyDescent="0.2">
      <c r="A3221" t="str">
        <f>"20200111154129586"</f>
        <v>20200111154129586</v>
      </c>
      <c r="B3221" t="str">
        <f>"1578728489579218"</f>
        <v>1578728489579218</v>
      </c>
      <c r="C3221" t="s">
        <v>37</v>
      </c>
      <c r="D3221">
        <v>5.0883469999999997</v>
      </c>
      <c r="E3221">
        <v>0.48620329999999901</v>
      </c>
      <c r="F3221" t="s">
        <v>46</v>
      </c>
      <c r="G3221">
        <v>-285.6585</v>
      </c>
      <c r="H3221" s="1">
        <v>-7.0457829999999997E-6</v>
      </c>
      <c r="I3221">
        <v>142.0684</v>
      </c>
      <c r="J3221">
        <v>-270.24919999999997</v>
      </c>
      <c r="K3221">
        <v>1.109451</v>
      </c>
      <c r="L3221">
        <v>142.56620000000001</v>
      </c>
      <c r="M3221">
        <v>-0.99920299999999995</v>
      </c>
      <c r="N3221">
        <v>0</v>
      </c>
      <c r="O3221">
        <v>3.9138439999999997E-2</v>
      </c>
      <c r="P3221">
        <v>-0.99860260000000001</v>
      </c>
      <c r="Q3221">
        <v>5.2828170000000001E-2</v>
      </c>
      <c r="R3221">
        <v>1.468451E-3</v>
      </c>
      <c r="S3221">
        <v>-3.0148009999999998</v>
      </c>
      <c r="T3221">
        <v>-0.2102386</v>
      </c>
      <c r="U3221">
        <v>-9.0560909999999994E-2</v>
      </c>
      <c r="V3221">
        <v>-3.7738349999999997E-2</v>
      </c>
      <c r="W3221">
        <v>6.0591579999999999E-2</v>
      </c>
      <c r="X3221">
        <v>0.99744900000000003</v>
      </c>
      <c r="Y3221">
        <v>-6.8862129999999994E-2</v>
      </c>
      <c r="Z3221">
        <v>-5.1229919999999998E-3</v>
      </c>
      <c r="AA3221">
        <v>0.99761299999999997</v>
      </c>
      <c r="AB3221">
        <v>48</v>
      </c>
      <c r="AC3221">
        <v>-15.4093</v>
      </c>
      <c r="AD3221">
        <v>-1.1094580457829999</v>
      </c>
      <c r="AE3221">
        <v>-0.49780000000001201</v>
      </c>
      <c r="AF3221">
        <v>-1.0948633485253101</v>
      </c>
      <c r="AG3221">
        <v>-1.1094580457829999</v>
      </c>
      <c r="AH3221">
        <v>15.298784351682</v>
      </c>
      <c r="AI3221">
        <v>94.137247995953501</v>
      </c>
      <c r="AJ3221">
        <v>94.093415590669906</v>
      </c>
      <c r="AK3221">
        <v>15.377985093846499</v>
      </c>
    </row>
    <row r="3222" spans="1:37" x14ac:dyDescent="0.2">
      <c r="A3222" t="str">
        <f>"20200111154129607"</f>
        <v>20200111154129607</v>
      </c>
      <c r="B3222" t="str">
        <f>"1578728489599714"</f>
        <v>1578728489599714</v>
      </c>
      <c r="C3222" t="s">
        <v>37</v>
      </c>
      <c r="D3222">
        <v>5.1212589999999896</v>
      </c>
      <c r="E3222">
        <v>0.47336139999999999</v>
      </c>
      <c r="F3222" t="s">
        <v>46</v>
      </c>
      <c r="G3222">
        <v>-286.65429999999998</v>
      </c>
      <c r="H3222" s="1">
        <v>-7.6595250000000002E-6</v>
      </c>
      <c r="I3222">
        <v>142.04929999999999</v>
      </c>
      <c r="J3222">
        <v>-270.745</v>
      </c>
      <c r="K3222">
        <v>1.1093869999999999</v>
      </c>
      <c r="L3222">
        <v>142.5855</v>
      </c>
      <c r="M3222">
        <v>-0.99924169999999901</v>
      </c>
      <c r="N3222">
        <v>0</v>
      </c>
      <c r="O3222">
        <v>3.8317280000000002E-2</v>
      </c>
      <c r="P3222">
        <v>-0.99847109999999994</v>
      </c>
      <c r="Q3222">
        <v>5.5279170000000002E-2</v>
      </c>
      <c r="R3222" s="1">
        <v>5.4517410000000002E-5</v>
      </c>
      <c r="S3222">
        <v>-3.01513699999999</v>
      </c>
      <c r="T3222">
        <v>-0.20391119999999999</v>
      </c>
      <c r="U3222">
        <v>-9.501648E-2</v>
      </c>
      <c r="V3222">
        <v>-3.8332150000000002E-2</v>
      </c>
      <c r="W3222">
        <v>6.210508E-2</v>
      </c>
      <c r="X3222">
        <v>0.99733320000000003</v>
      </c>
      <c r="Y3222">
        <v>-6.9527420000000006E-2</v>
      </c>
      <c r="Z3222">
        <v>-4.9355229999999998E-3</v>
      </c>
      <c r="AA3222">
        <v>0.9975678</v>
      </c>
      <c r="AB3222">
        <v>48</v>
      </c>
      <c r="AC3222">
        <v>-15.909299999999901</v>
      </c>
      <c r="AD3222">
        <v>-1.1093946595249999</v>
      </c>
      <c r="AE3222">
        <v>-0.536200000000008</v>
      </c>
      <c r="AF3222">
        <v>-1.1398853485450899</v>
      </c>
      <c r="AG3222">
        <v>-1.1093946595249999</v>
      </c>
      <c r="AH3222">
        <v>15.8003260592746</v>
      </c>
      <c r="AI3222">
        <v>94.005962995122999</v>
      </c>
      <c r="AJ3222">
        <v>94.126349412365798</v>
      </c>
      <c r="AK3222">
        <v>15.880188874752101</v>
      </c>
    </row>
    <row r="3223" spans="1:37" x14ac:dyDescent="0.2">
      <c r="A3223" t="str">
        <f>"20200111154129630"</f>
        <v>20200111154129630</v>
      </c>
      <c r="B3223" t="str">
        <f>"1578728489619234"</f>
        <v>1578728489619234</v>
      </c>
      <c r="C3223" t="s">
        <v>37</v>
      </c>
      <c r="D3223">
        <v>5.1652050000000003</v>
      </c>
      <c r="E3223">
        <v>0.47180909999999898</v>
      </c>
      <c r="F3223" t="s">
        <v>46</v>
      </c>
      <c r="G3223">
        <v>-289.96800000000002</v>
      </c>
      <c r="H3223" s="1">
        <v>-9.3876910000000003E-6</v>
      </c>
      <c r="I3223">
        <v>141.2961</v>
      </c>
      <c r="J3223">
        <v>-271.2362</v>
      </c>
      <c r="K3223">
        <v>1.1094349999999999</v>
      </c>
      <c r="L3223">
        <v>142.60409999999999</v>
      </c>
      <c r="M3223">
        <v>-0.99927559999999904</v>
      </c>
      <c r="N3223">
        <v>0</v>
      </c>
      <c r="O3223">
        <v>3.752933E-2</v>
      </c>
      <c r="P3223">
        <v>-0.99840329999999999</v>
      </c>
      <c r="Q3223">
        <v>5.64669E-2</v>
      </c>
      <c r="R3223">
        <v>-1.5165669999999999E-3</v>
      </c>
      <c r="S3223">
        <v>-3.014221</v>
      </c>
      <c r="T3223">
        <v>-0.17395620000000001</v>
      </c>
      <c r="U3223">
        <v>-0.202179</v>
      </c>
      <c r="V3223">
        <v>-3.9121580000000003E-2</v>
      </c>
      <c r="W3223">
        <v>6.2683749999999996E-2</v>
      </c>
      <c r="X3223">
        <v>0.9972664</v>
      </c>
      <c r="Y3223">
        <v>-0.10408869999999899</v>
      </c>
      <c r="Z3223">
        <v>-5.1597240000000001E-3</v>
      </c>
      <c r="AA3223">
        <v>0.99455459999999996</v>
      </c>
      <c r="AB3223">
        <v>48</v>
      </c>
      <c r="AC3223">
        <v>-18.7318</v>
      </c>
      <c r="AD3223">
        <v>-1.1094443876909901</v>
      </c>
      <c r="AE3223">
        <v>-1.3079999999999901</v>
      </c>
      <c r="AF3223">
        <v>-2.00309178573271</v>
      </c>
      <c r="AG3223">
        <v>-1.1094443876909901</v>
      </c>
      <c r="AH3223">
        <v>18.604567064693999</v>
      </c>
      <c r="AI3223">
        <v>93.393108612559004</v>
      </c>
      <c r="AJ3223">
        <v>96.145173574327004</v>
      </c>
      <c r="AK3223">
        <v>18.744950232426401</v>
      </c>
    </row>
    <row r="3224" spans="1:37" x14ac:dyDescent="0.2">
      <c r="A3224" t="str">
        <f>"20200111154129651"</f>
        <v>20200111154129651</v>
      </c>
      <c r="B3224" t="str">
        <f>"1578728489639730"</f>
        <v>1578728489639730</v>
      </c>
      <c r="C3224" t="s">
        <v>37</v>
      </c>
      <c r="D3224">
        <v>5.149915</v>
      </c>
      <c r="E3224">
        <v>0.4720319</v>
      </c>
      <c r="F3224" t="s">
        <v>46</v>
      </c>
      <c r="G3224">
        <v>-290.71789999999999</v>
      </c>
      <c r="H3224" s="1">
        <v>-9.2847189999999997E-6</v>
      </c>
      <c r="I3224">
        <v>141.18809999999999</v>
      </c>
      <c r="J3224">
        <v>-271.67899999999997</v>
      </c>
      <c r="K3224">
        <v>1.1095250000000001</v>
      </c>
      <c r="L3224">
        <v>142.62049999999999</v>
      </c>
      <c r="M3224">
        <v>-0.99930379999999996</v>
      </c>
      <c r="N3224">
        <v>0</v>
      </c>
      <c r="O3224">
        <v>3.6826959999999999E-2</v>
      </c>
      <c r="P3224">
        <v>-0.99839279999999997</v>
      </c>
      <c r="Q3224">
        <v>5.6611769999999999E-2</v>
      </c>
      <c r="R3224">
        <v>-2.6426850000000001E-3</v>
      </c>
      <c r="S3224">
        <v>-3.01416</v>
      </c>
      <c r="T3224">
        <v>-0.17165079999999999</v>
      </c>
      <c r="U3224">
        <v>-0.219070399999999</v>
      </c>
      <c r="V3224">
        <v>-3.9552919999999998E-2</v>
      </c>
      <c r="W3224">
        <v>6.247722E-2</v>
      </c>
      <c r="X3224">
        <v>0.99726239999999999</v>
      </c>
      <c r="Y3224">
        <v>-0.1089357</v>
      </c>
      <c r="Z3224">
        <v>-5.1884169999999999E-3</v>
      </c>
      <c r="AA3224">
        <v>0.99403519999999901</v>
      </c>
      <c r="AB3224">
        <v>49</v>
      </c>
      <c r="AC3224">
        <v>-19.038899999999899</v>
      </c>
      <c r="AD3224">
        <v>-1.109534284719</v>
      </c>
      <c r="AE3224">
        <v>-1.4323999999999999</v>
      </c>
      <c r="AF3224">
        <v>-2.1254078724613201</v>
      </c>
      <c r="AG3224">
        <v>-1.109534284719</v>
      </c>
      <c r="AH3224">
        <v>18.909373552202599</v>
      </c>
      <c r="AI3224">
        <v>93.337094913155596</v>
      </c>
      <c r="AJ3224">
        <v>96.413111598181004</v>
      </c>
      <c r="AK3224">
        <v>19.060766854720899</v>
      </c>
    </row>
    <row r="3225" spans="1:37" x14ac:dyDescent="0.2">
      <c r="A3225" t="str">
        <f>"20200111154129666"</f>
        <v>20200111154129666</v>
      </c>
      <c r="B3225" t="str">
        <f>"1578728489659251"</f>
        <v>1578728489659251</v>
      </c>
      <c r="C3225" t="s">
        <v>37</v>
      </c>
      <c r="D3225">
        <v>5.129238</v>
      </c>
      <c r="E3225">
        <v>0.47229959999999999</v>
      </c>
      <c r="F3225" t="s">
        <v>46</v>
      </c>
      <c r="G3225">
        <v>-291.20460000000003</v>
      </c>
      <c r="H3225" s="1">
        <v>-9.2376279999999994E-6</v>
      </c>
      <c r="I3225">
        <v>141.1902</v>
      </c>
      <c r="J3225">
        <v>-272.01150000000001</v>
      </c>
      <c r="K3225">
        <v>1.1096010000000001</v>
      </c>
      <c r="L3225">
        <v>142.6326</v>
      </c>
      <c r="M3225">
        <v>-0.99932459999999901</v>
      </c>
      <c r="N3225">
        <v>0</v>
      </c>
      <c r="O3225">
        <v>3.6294229999999997E-2</v>
      </c>
      <c r="P3225">
        <v>-0.99838660000000001</v>
      </c>
      <c r="Q3225">
        <v>5.6689089999999998E-2</v>
      </c>
      <c r="R3225">
        <v>-3.2777570000000001E-3</v>
      </c>
      <c r="S3225">
        <v>-3.0139469999999999</v>
      </c>
      <c r="T3225">
        <v>-0.171266</v>
      </c>
      <c r="U3225">
        <v>-0.22077939999999999</v>
      </c>
      <c r="V3225">
        <v>-3.9661149999999999E-2</v>
      </c>
      <c r="W3225">
        <v>6.236158E-2</v>
      </c>
      <c r="X3225">
        <v>0.99726530000000002</v>
      </c>
      <c r="Y3225">
        <v>-0.1089733</v>
      </c>
      <c r="Z3225">
        <v>-5.1479189999999999E-3</v>
      </c>
      <c r="AA3225">
        <v>0.99403140000000001</v>
      </c>
      <c r="AB3225">
        <v>49</v>
      </c>
      <c r="AC3225">
        <v>-19.193100000000001</v>
      </c>
      <c r="AD3225">
        <v>-1.1096102376279999</v>
      </c>
      <c r="AE3225">
        <v>-1.4423999999999899</v>
      </c>
      <c r="AF3225">
        <v>-2.1309774934664398</v>
      </c>
      <c r="AG3225">
        <v>-1.1096102376279999</v>
      </c>
      <c r="AH3225">
        <v>19.0647395114771</v>
      </c>
      <c r="AI3225">
        <v>93.310414518426498</v>
      </c>
      <c r="AJ3225">
        <v>96.377811343965604</v>
      </c>
      <c r="AK3225">
        <v>19.215529984821799</v>
      </c>
    </row>
    <row r="3226" spans="1:37" x14ac:dyDescent="0.2">
      <c r="A3226" t="str">
        <f>"20200111154129685"</f>
        <v>20200111154129685</v>
      </c>
      <c r="B3226" t="str">
        <f>"1578728489679749"</f>
        <v>1578728489679749</v>
      </c>
      <c r="C3226" t="s">
        <v>37</v>
      </c>
      <c r="D3226">
        <v>5.1254179999999998</v>
      </c>
      <c r="E3226">
        <v>0.472883</v>
      </c>
      <c r="F3226" t="s">
        <v>46</v>
      </c>
      <c r="G3226">
        <v>-291.35750000000002</v>
      </c>
      <c r="H3226" s="1">
        <v>-9.2297269999999996E-6</v>
      </c>
      <c r="I3226">
        <v>141.21600000000001</v>
      </c>
      <c r="J3226">
        <v>-272.4282</v>
      </c>
      <c r="K3226">
        <v>1.1096790000000001</v>
      </c>
      <c r="L3226">
        <v>142.64750000000001</v>
      </c>
      <c r="M3226">
        <v>-0.99934999999999996</v>
      </c>
      <c r="N3226">
        <v>0</v>
      </c>
      <c r="O3226">
        <v>3.561346E-2</v>
      </c>
      <c r="P3226">
        <v>-0.99837359999999897</v>
      </c>
      <c r="Q3226">
        <v>5.6882469999999997E-2</v>
      </c>
      <c r="R3226">
        <v>-3.856965E-3</v>
      </c>
      <c r="S3226">
        <v>-3.014008</v>
      </c>
      <c r="T3226">
        <v>-0.17287239999999901</v>
      </c>
      <c r="U3226">
        <v>-0.22070309999999899</v>
      </c>
      <c r="V3226">
        <v>-3.9564589999999997E-2</v>
      </c>
      <c r="W3226">
        <v>6.237301E-2</v>
      </c>
      <c r="X3226">
        <v>0.99726840000000005</v>
      </c>
      <c r="Y3226">
        <v>-0.108267499999999</v>
      </c>
      <c r="Z3226">
        <v>-5.1368569999999999E-3</v>
      </c>
      <c r="AA3226">
        <v>0.99410849999999995</v>
      </c>
      <c r="AB3226">
        <v>49</v>
      </c>
      <c r="AC3226">
        <v>-18.929300000000001</v>
      </c>
      <c r="AD3226">
        <v>-1.1096882297270001</v>
      </c>
      <c r="AE3226">
        <v>-1.43149999999999</v>
      </c>
      <c r="AF3226">
        <v>-2.09757269799473</v>
      </c>
      <c r="AG3226">
        <v>-1.1096882297270001</v>
      </c>
      <c r="AH3226">
        <v>18.8020618497805</v>
      </c>
      <c r="AI3226">
        <v>93.356873085818705</v>
      </c>
      <c r="AJ3226">
        <v>96.365640458452503</v>
      </c>
      <c r="AK3226">
        <v>18.951220250778999</v>
      </c>
    </row>
    <row r="3227" spans="1:37" x14ac:dyDescent="0.2">
      <c r="A3227" t="str">
        <f>"20200111154129709"</f>
        <v>20200111154129709</v>
      </c>
      <c r="B3227" t="str">
        <f>"1578728489699266"</f>
        <v>1578728489699266</v>
      </c>
      <c r="C3227" t="s">
        <v>37</v>
      </c>
      <c r="D3227">
        <v>5.1346470000000002</v>
      </c>
      <c r="E3227">
        <v>0.47311639999999999</v>
      </c>
      <c r="F3227" t="s">
        <v>46</v>
      </c>
      <c r="G3227">
        <v>-291.99040000000002</v>
      </c>
      <c r="H3227" s="1">
        <v>-9.1765359999999994E-6</v>
      </c>
      <c r="I3227">
        <v>141.2328</v>
      </c>
      <c r="J3227">
        <v>-272.95319999999998</v>
      </c>
      <c r="K3227">
        <v>1.109756</v>
      </c>
      <c r="L3227">
        <v>142.66579999999999</v>
      </c>
      <c r="M3227">
        <v>-0.99938209999999905</v>
      </c>
      <c r="N3227">
        <v>0</v>
      </c>
      <c r="O3227">
        <v>3.472658E-2</v>
      </c>
      <c r="P3227">
        <v>-0.99833379999999905</v>
      </c>
      <c r="Q3227">
        <v>5.749659E-2</v>
      </c>
      <c r="R3227">
        <v>-4.8870160000000001E-3</v>
      </c>
      <c r="S3227">
        <v>-3.0138240000000001</v>
      </c>
      <c r="T3227">
        <v>-0.17096239999999999</v>
      </c>
      <c r="U3227">
        <v>-0.2179565</v>
      </c>
      <c r="V3227">
        <v>-3.9713279999999997E-2</v>
      </c>
      <c r="W3227">
        <v>6.2815599999999999E-2</v>
      </c>
      <c r="X3227">
        <v>0.99723470000000003</v>
      </c>
      <c r="Y3227">
        <v>-0.106497699999999</v>
      </c>
      <c r="Z3227">
        <v>-4.9803529999999999E-3</v>
      </c>
      <c r="AA3227">
        <v>0.99430049999999903</v>
      </c>
      <c r="AB3227">
        <v>49</v>
      </c>
      <c r="AC3227">
        <v>-19.037199999999999</v>
      </c>
      <c r="AD3227">
        <v>-1.1097651765359999</v>
      </c>
      <c r="AE3227">
        <v>-1.4329999999999901</v>
      </c>
      <c r="AF3227">
        <v>-2.0861927825728102</v>
      </c>
      <c r="AG3227">
        <v>-1.1097651765359999</v>
      </c>
      <c r="AH3227">
        <v>18.912047586735198</v>
      </c>
      <c r="AI3227">
        <v>93.338082247847595</v>
      </c>
      <c r="AJ3227">
        <v>96.294861649334095</v>
      </c>
      <c r="AK3227">
        <v>19.059100791906499</v>
      </c>
    </row>
    <row r="3228" spans="1:37" x14ac:dyDescent="0.2">
      <c r="A3228" t="str">
        <f>"20200111154129730"</f>
        <v>20200111154129730</v>
      </c>
      <c r="B3228" t="str">
        <f>"1578728489719762"</f>
        <v>1578728489719762</v>
      </c>
      <c r="C3228" t="s">
        <v>37</v>
      </c>
      <c r="D3228">
        <v>5.1617519999999999</v>
      </c>
      <c r="E3228">
        <v>0.4732866</v>
      </c>
      <c r="F3228" t="s">
        <v>46</v>
      </c>
      <c r="G3228">
        <v>-292.78089999999997</v>
      </c>
      <c r="H3228" s="1">
        <v>-9.1046109999999993E-6</v>
      </c>
      <c r="I3228">
        <v>141.2234</v>
      </c>
      <c r="J3228">
        <v>-273.42</v>
      </c>
      <c r="K3228">
        <v>1.1098059999999901</v>
      </c>
      <c r="L3228">
        <v>142.6816</v>
      </c>
      <c r="M3228">
        <v>-0.99941059999999904</v>
      </c>
      <c r="N3228">
        <v>0</v>
      </c>
      <c r="O3228">
        <v>3.3915470000000003E-2</v>
      </c>
      <c r="P3228">
        <v>-0.99832980000000004</v>
      </c>
      <c r="Q3228">
        <v>5.7514660000000002E-2</v>
      </c>
      <c r="R3228">
        <v>-5.4569190000000002E-3</v>
      </c>
      <c r="S3228">
        <v>-3.0136409999999998</v>
      </c>
      <c r="T3228">
        <v>-0.16867470000000001</v>
      </c>
      <c r="U3228">
        <v>-0.219238299999999</v>
      </c>
      <c r="V3228">
        <v>-3.9475749999999997E-2</v>
      </c>
      <c r="W3228">
        <v>6.2722310000000003E-2</v>
      </c>
      <c r="X3228">
        <v>0.99724999999999997</v>
      </c>
      <c r="Y3228">
        <v>-0.1061236</v>
      </c>
      <c r="Z3228">
        <v>-4.8582779999999997E-3</v>
      </c>
      <c r="AA3228">
        <v>0.99434109999999998</v>
      </c>
      <c r="AB3228">
        <v>49</v>
      </c>
      <c r="AC3228">
        <v>-19.360899999999901</v>
      </c>
      <c r="AD3228">
        <v>-1.1098151046110001</v>
      </c>
      <c r="AE3228">
        <v>-1.4581999999999999</v>
      </c>
      <c r="AF3228">
        <v>-2.10711969664237</v>
      </c>
      <c r="AG3228">
        <v>-1.1098151046110001</v>
      </c>
      <c r="AH3228">
        <v>19.2374500426622</v>
      </c>
      <c r="AI3228">
        <v>93.282166954229098</v>
      </c>
      <c r="AJ3228">
        <v>96.250813061257901</v>
      </c>
      <c r="AK3228">
        <v>19.384301048176201</v>
      </c>
    </row>
    <row r="3229" spans="1:37" x14ac:dyDescent="0.2">
      <c r="A3229" t="str">
        <f>"20200111154129752"</f>
        <v>20200111154129752</v>
      </c>
      <c r="B3229" t="str">
        <f>"1578728489739283"</f>
        <v>1578728489739283</v>
      </c>
      <c r="C3229" t="s">
        <v>37</v>
      </c>
      <c r="D3229">
        <v>5.181915</v>
      </c>
      <c r="E3229">
        <v>0.47350900000000001</v>
      </c>
      <c r="F3229" t="s">
        <v>46</v>
      </c>
      <c r="G3229">
        <v>-293.07760000000002</v>
      </c>
      <c r="H3229" s="1">
        <v>-9.0856699999999997E-6</v>
      </c>
      <c r="I3229">
        <v>141.25040000000001</v>
      </c>
      <c r="J3229">
        <v>-273.89870000000002</v>
      </c>
      <c r="K3229">
        <v>1.1098429999999999</v>
      </c>
      <c r="L3229">
        <v>142.69749999999999</v>
      </c>
      <c r="M3229">
        <v>-0.99943950000000004</v>
      </c>
      <c r="N3229">
        <v>0</v>
      </c>
      <c r="O3229">
        <v>3.306543E-2</v>
      </c>
      <c r="P3229">
        <v>-0.99833189999999905</v>
      </c>
      <c r="Q3229">
        <v>5.7401779999999999E-2</v>
      </c>
      <c r="R3229">
        <v>-6.2073409999999999E-3</v>
      </c>
      <c r="S3229">
        <v>-3.0135800000000001</v>
      </c>
      <c r="T3229">
        <v>-0.1701387</v>
      </c>
      <c r="U3229">
        <v>-0.21942139999999999</v>
      </c>
      <c r="V3229">
        <v>-3.9378290000000003E-2</v>
      </c>
      <c r="W3229">
        <v>6.2527669999999994E-2</v>
      </c>
      <c r="X3229">
        <v>0.99726610000000004</v>
      </c>
      <c r="Y3229">
        <v>-0.1053381</v>
      </c>
      <c r="Z3229">
        <v>-4.8304430000000002E-3</v>
      </c>
      <c r="AA3229">
        <v>0.99442469999999905</v>
      </c>
      <c r="AB3229">
        <v>49</v>
      </c>
      <c r="AC3229">
        <v>-19.178899999999999</v>
      </c>
      <c r="AD3229">
        <v>-1.10985208567</v>
      </c>
      <c r="AE3229">
        <v>-1.4470999999999701</v>
      </c>
      <c r="AF3229">
        <v>-2.0735713751835299</v>
      </c>
      <c r="AG3229">
        <v>-1.10985208567</v>
      </c>
      <c r="AH3229">
        <v>19.057106608873799</v>
      </c>
      <c r="AI3229">
        <v>93.313526605969003</v>
      </c>
      <c r="AJ3229">
        <v>96.209826711036101</v>
      </c>
      <c r="AK3229">
        <v>19.201686962400601</v>
      </c>
    </row>
    <row r="3230" spans="1:37" x14ac:dyDescent="0.2">
      <c r="A3230" t="str">
        <f>"20200111154129775"</f>
        <v>20200111154129775</v>
      </c>
      <c r="B3230" t="str">
        <f>"1578728489769539"</f>
        <v>1578728489769539</v>
      </c>
      <c r="C3230" t="s">
        <v>37</v>
      </c>
      <c r="D3230">
        <v>5.1959609999999996</v>
      </c>
      <c r="E3230">
        <v>0.47389540000000002</v>
      </c>
      <c r="F3230" t="s">
        <v>46</v>
      </c>
      <c r="G3230">
        <v>-293.3546</v>
      </c>
      <c r="H3230" s="1">
        <v>-9.0684770000000001E-6</v>
      </c>
      <c r="I3230">
        <v>141.2774</v>
      </c>
      <c r="J3230">
        <v>-274.3999</v>
      </c>
      <c r="K3230">
        <v>1.109872</v>
      </c>
      <c r="L3230">
        <v>142.71369999999999</v>
      </c>
      <c r="M3230">
        <v>-0.9994693</v>
      </c>
      <c r="N3230">
        <v>0</v>
      </c>
      <c r="O3230">
        <v>3.2162379999999997E-2</v>
      </c>
      <c r="P3230">
        <v>-0.99836409999999998</v>
      </c>
      <c r="Q3230">
        <v>5.6756210000000001E-2</v>
      </c>
      <c r="R3230">
        <v>-6.9382690000000004E-3</v>
      </c>
      <c r="S3230">
        <v>-3.0135190000000001</v>
      </c>
      <c r="T3230">
        <v>-0.17190449999999999</v>
      </c>
      <c r="U3230">
        <v>-0.2199554</v>
      </c>
      <c r="V3230">
        <v>-3.9208809999999997E-2</v>
      </c>
      <c r="W3230">
        <v>6.1824270000000001E-2</v>
      </c>
      <c r="X3230">
        <v>0.997316599999999</v>
      </c>
      <c r="Y3230">
        <v>-0.1046144</v>
      </c>
      <c r="Z3230">
        <v>-4.8085509999999899E-3</v>
      </c>
      <c r="AA3230">
        <v>0.99450119999999897</v>
      </c>
      <c r="AB3230">
        <v>49</v>
      </c>
      <c r="AC3230">
        <v>-18.954699999999999</v>
      </c>
      <c r="AD3230">
        <v>-1.109881068477</v>
      </c>
      <c r="AE3230">
        <v>-1.4362999999999799</v>
      </c>
      <c r="AF3230">
        <v>-2.03824485811983</v>
      </c>
      <c r="AG3230">
        <v>-1.109881068477</v>
      </c>
      <c r="AH3230">
        <v>18.8344906177981</v>
      </c>
      <c r="AI3230">
        <v>93.3529011886842</v>
      </c>
      <c r="AJ3230">
        <v>96.176440578954299</v>
      </c>
      <c r="AK3230">
        <v>18.976941664023201</v>
      </c>
    </row>
    <row r="3231" spans="1:37" x14ac:dyDescent="0.2">
      <c r="A3231" t="str">
        <f>"20200111154129797"</f>
        <v>20200111154129797</v>
      </c>
      <c r="B3231" t="str">
        <f>"1578728489789059"</f>
        <v>1578728489789059</v>
      </c>
      <c r="C3231" t="s">
        <v>37</v>
      </c>
      <c r="D3231">
        <v>5.1591620000000002</v>
      </c>
      <c r="E3231">
        <v>0.473956499999999</v>
      </c>
      <c r="F3231" t="s">
        <v>46</v>
      </c>
      <c r="G3231">
        <v>-293.47309999999999</v>
      </c>
      <c r="H3231" s="1">
        <v>-9.0712039999999998E-6</v>
      </c>
      <c r="I3231">
        <v>141.32730000000001</v>
      </c>
      <c r="J3231">
        <v>-274.91489999999999</v>
      </c>
      <c r="K3231">
        <v>1.109891</v>
      </c>
      <c r="L3231">
        <v>142.72989999999999</v>
      </c>
      <c r="M3231">
        <v>-0.99949909999999997</v>
      </c>
      <c r="N3231">
        <v>0</v>
      </c>
      <c r="O3231">
        <v>3.1227649999999999E-2</v>
      </c>
      <c r="P3231">
        <v>-0.99835529999999995</v>
      </c>
      <c r="Q3231">
        <v>5.6820490000000001E-2</v>
      </c>
      <c r="R3231">
        <v>-7.6498759999999999E-3</v>
      </c>
      <c r="S3231">
        <v>-3.0133669999999899</v>
      </c>
      <c r="T3231">
        <v>-0.17534910000000001</v>
      </c>
      <c r="U3231">
        <v>-0.21903989999999901</v>
      </c>
      <c r="V3231">
        <v>-3.8988090000000003E-2</v>
      </c>
      <c r="W3231">
        <v>6.1850450000000001E-2</v>
      </c>
      <c r="X3231">
        <v>0.99732359999999898</v>
      </c>
      <c r="Y3231">
        <v>-0.1033821</v>
      </c>
      <c r="Z3231">
        <v>-4.8149780000000001E-3</v>
      </c>
      <c r="AA3231">
        <v>0.99462999999999901</v>
      </c>
      <c r="AB3231">
        <v>49</v>
      </c>
      <c r="AC3231">
        <v>-18.558199999999999</v>
      </c>
      <c r="AD3231">
        <v>-1.1099000712039999</v>
      </c>
      <c r="AE3231">
        <v>-1.4025999999999701</v>
      </c>
      <c r="AF3231">
        <v>-1.9744304953013001</v>
      </c>
      <c r="AG3231">
        <v>-1.1099000712039999</v>
      </c>
      <c r="AH3231">
        <v>18.439767442773601</v>
      </c>
      <c r="AI3231">
        <v>93.424979120206601</v>
      </c>
      <c r="AJ3231">
        <v>96.111636377951598</v>
      </c>
      <c r="AK3231">
        <v>18.57835507499</v>
      </c>
    </row>
    <row r="3232" spans="1:37" x14ac:dyDescent="0.2">
      <c r="A3232" t="str">
        <f>"20200111154129831"</f>
        <v>20200111154129831</v>
      </c>
      <c r="B3232" t="str">
        <f>"1578728489819314"</f>
        <v>1578728489819314</v>
      </c>
      <c r="C3232" t="s">
        <v>37</v>
      </c>
      <c r="D3232">
        <v>5.2283169999999997</v>
      </c>
      <c r="E3232">
        <v>0.47409229999999902</v>
      </c>
      <c r="F3232" t="s">
        <v>46</v>
      </c>
      <c r="G3232">
        <v>-293.93239999999997</v>
      </c>
      <c r="H3232" s="1">
        <v>-9.0332009999999996E-6</v>
      </c>
      <c r="I3232">
        <v>141.33609999999999</v>
      </c>
      <c r="J3232">
        <v>-275.64010000000002</v>
      </c>
      <c r="K3232">
        <v>1.109915</v>
      </c>
      <c r="L3232">
        <v>142.75190000000001</v>
      </c>
      <c r="M3232">
        <v>-0.99953959999999997</v>
      </c>
      <c r="N3232">
        <v>0</v>
      </c>
      <c r="O3232">
        <v>2.9909140000000001E-2</v>
      </c>
      <c r="P3232">
        <v>-0.9983436</v>
      </c>
      <c r="Q3232">
        <v>5.6896250000000002E-2</v>
      </c>
      <c r="R3232">
        <v>-8.5390420000000002E-3</v>
      </c>
      <c r="S3232">
        <v>-3.0132750000000001</v>
      </c>
      <c r="T3232">
        <v>-0.17586099999999999</v>
      </c>
      <c r="U3232">
        <v>-0.2208405</v>
      </c>
      <c r="V3232">
        <v>-3.8563769999999997E-2</v>
      </c>
      <c r="W3232">
        <v>6.1898519999999999E-2</v>
      </c>
      <c r="X3232">
        <v>0.99733719999999904</v>
      </c>
      <c r="Y3232">
        <v>-0.1026654</v>
      </c>
      <c r="Z3232">
        <v>-4.7313889999999999E-3</v>
      </c>
      <c r="AA3232">
        <v>0.994704699999999</v>
      </c>
      <c r="AB3232">
        <v>50</v>
      </c>
      <c r="AC3232">
        <v>-18.292299999999901</v>
      </c>
      <c r="AD3232">
        <v>-1.1099240332010001</v>
      </c>
      <c r="AE3232">
        <v>-1.4158000000000099</v>
      </c>
      <c r="AF3232">
        <v>-1.9551253229307499</v>
      </c>
      <c r="AG3232">
        <v>-1.1099240332010001</v>
      </c>
      <c r="AH3232">
        <v>18.175252716410199</v>
      </c>
      <c r="AI3232">
        <v>93.474595891685397</v>
      </c>
      <c r="AJ3232">
        <v>96.139739918388301</v>
      </c>
      <c r="AK3232">
        <v>18.313772350152799</v>
      </c>
    </row>
    <row r="3233" spans="1:37" x14ac:dyDescent="0.2">
      <c r="A3233" t="str">
        <f>"20200111154129854"</f>
        <v>20200111154129854</v>
      </c>
      <c r="B3233" t="str">
        <f>"1578728489849571"</f>
        <v>1578728489849571</v>
      </c>
      <c r="C3233" t="s">
        <v>37</v>
      </c>
      <c r="D3233">
        <v>5.2262050000000002</v>
      </c>
      <c r="E3233">
        <v>0.48876740000000002</v>
      </c>
      <c r="F3233" t="s">
        <v>46</v>
      </c>
      <c r="G3233">
        <v>-294.55259999999998</v>
      </c>
      <c r="H3233" s="1">
        <v>-8.9836589999999996E-6</v>
      </c>
      <c r="I3233">
        <v>141.35480000000001</v>
      </c>
      <c r="J3233">
        <v>-276.15519999999998</v>
      </c>
      <c r="K3233">
        <v>1.109923</v>
      </c>
      <c r="L3233">
        <v>142.76689999999999</v>
      </c>
      <c r="M3233">
        <v>-0.99956719999999899</v>
      </c>
      <c r="N3233">
        <v>0</v>
      </c>
      <c r="O3233">
        <v>2.8973769999999999E-2</v>
      </c>
      <c r="P3233">
        <v>-0.99833419999999895</v>
      </c>
      <c r="Q3233">
        <v>5.693322E-2</v>
      </c>
      <c r="R3233">
        <v>-9.3640530000000007E-3</v>
      </c>
      <c r="S3233">
        <v>-3.0131839999999999</v>
      </c>
      <c r="T3233">
        <v>-0.176836299999999</v>
      </c>
      <c r="U3233">
        <v>-0.22258</v>
      </c>
      <c r="V3233">
        <v>-3.8456690000000002E-2</v>
      </c>
      <c r="W3233">
        <v>6.1928509999999999E-2</v>
      </c>
      <c r="X3233">
        <v>0.99733939999999999</v>
      </c>
      <c r="Y3233">
        <v>-0.1023077</v>
      </c>
      <c r="Z3233">
        <v>-4.6923729999999997E-3</v>
      </c>
      <c r="AA3233">
        <v>0.99474169999999995</v>
      </c>
      <c r="AB3233">
        <v>50</v>
      </c>
      <c r="AC3233">
        <v>-18.397400000000001</v>
      </c>
      <c r="AD3233">
        <v>-1.109931983659</v>
      </c>
      <c r="AE3233">
        <v>-1.4120999999999799</v>
      </c>
      <c r="AF3233">
        <v>-1.93754508440388</v>
      </c>
      <c r="AG3233">
        <v>-1.109931983659</v>
      </c>
      <c r="AH3233">
        <v>18.282606034011</v>
      </c>
      <c r="AI3233">
        <v>93.454847342638502</v>
      </c>
      <c r="AJ3233">
        <v>96.049483824034795</v>
      </c>
      <c r="AK3233">
        <v>18.418461210353598</v>
      </c>
    </row>
    <row r="3234" spans="1:37" x14ac:dyDescent="0.2">
      <c r="A3234" t="str">
        <f>"20200111154129876"</f>
        <v>20200111154129876</v>
      </c>
      <c r="B3234" t="str">
        <f>"1578728489869091"</f>
        <v>1578728489869091</v>
      </c>
      <c r="C3234" t="s">
        <v>37</v>
      </c>
      <c r="D3234">
        <v>5.1928849999999898</v>
      </c>
      <c r="E3234">
        <v>0.49025099999999999</v>
      </c>
      <c r="F3234" t="s">
        <v>46</v>
      </c>
      <c r="G3234">
        <v>-297.2242</v>
      </c>
      <c r="H3234" s="1">
        <v>-8.9213000000000005E-6</v>
      </c>
      <c r="I3234">
        <v>142.00829999999999</v>
      </c>
      <c r="J3234">
        <v>-276.6567</v>
      </c>
      <c r="K3234">
        <v>1.1099349999999999</v>
      </c>
      <c r="L3234">
        <v>142.78110000000001</v>
      </c>
      <c r="M3234">
        <v>-0.99959299999999995</v>
      </c>
      <c r="N3234">
        <v>0</v>
      </c>
      <c r="O3234">
        <v>2.8065030000000001E-2</v>
      </c>
      <c r="P3234">
        <v>-0.99828320000000004</v>
      </c>
      <c r="Q3234">
        <v>5.7727760000000003E-2</v>
      </c>
      <c r="R3234">
        <v>-9.9107589999999999E-3</v>
      </c>
      <c r="S3234">
        <v>-3.0130309999999998</v>
      </c>
      <c r="T3234">
        <v>-0.158728799999999</v>
      </c>
      <c r="U3234">
        <v>-0.10849</v>
      </c>
      <c r="V3234">
        <v>-3.8099069999999999E-2</v>
      </c>
      <c r="W3234">
        <v>6.2723290000000001E-2</v>
      </c>
      <c r="X3234">
        <v>0.99730350000000001</v>
      </c>
      <c r="Y3234">
        <v>-6.3889290000000001E-2</v>
      </c>
      <c r="Z3234">
        <v>-3.1582059999999898E-3</v>
      </c>
      <c r="AA3234">
        <v>0.99795199999999995</v>
      </c>
      <c r="AB3234">
        <v>50</v>
      </c>
      <c r="AC3234">
        <v>-20.5674999999999</v>
      </c>
      <c r="AD3234">
        <v>-1.1099439213</v>
      </c>
      <c r="AE3234">
        <v>-0.77280000000001703</v>
      </c>
      <c r="AF3234">
        <v>-1.34581672567223</v>
      </c>
      <c r="AG3234">
        <v>-1.1099439213</v>
      </c>
      <c r="AH3234">
        <v>20.4781544439805</v>
      </c>
      <c r="AI3234">
        <v>93.095808421359095</v>
      </c>
      <c r="AJ3234">
        <v>93.760050323485402</v>
      </c>
      <c r="AK3234">
        <v>20.552323654493399</v>
      </c>
    </row>
    <row r="3235" spans="1:37" x14ac:dyDescent="0.2">
      <c r="A3235" t="str">
        <f>"20200111154129899"</f>
        <v>20200111154129899</v>
      </c>
      <c r="B3235" t="str">
        <f>"1578728489889586"</f>
        <v>1578728489889586</v>
      </c>
      <c r="C3235" t="s">
        <v>37</v>
      </c>
      <c r="D3235">
        <v>5.1914089999999904</v>
      </c>
      <c r="E3235">
        <v>0.49028660000000002</v>
      </c>
      <c r="F3235" t="s">
        <v>46</v>
      </c>
      <c r="G3235">
        <v>-296.69650000000001</v>
      </c>
      <c r="H3235" s="1">
        <v>-8.9998160000000002E-6</v>
      </c>
      <c r="I3235">
        <v>142.13030000000001</v>
      </c>
      <c r="J3235">
        <v>-277.16899999999998</v>
      </c>
      <c r="K3235">
        <v>1.1099479999999999</v>
      </c>
      <c r="L3235">
        <v>142.79519999999999</v>
      </c>
      <c r="M3235">
        <v>-0.99961860000000002</v>
      </c>
      <c r="N3235">
        <v>0</v>
      </c>
      <c r="O3235">
        <v>2.71379E-2</v>
      </c>
      <c r="P3235">
        <v>-0.99825909999999995</v>
      </c>
      <c r="Q3235">
        <v>5.8068120000000001E-2</v>
      </c>
      <c r="R3235">
        <v>-1.0352139999999999E-2</v>
      </c>
      <c r="S3235">
        <v>-3.0138240000000001</v>
      </c>
      <c r="T3235">
        <v>-0.16692660000000001</v>
      </c>
      <c r="U3235">
        <v>-9.7885130000000001E-2</v>
      </c>
      <c r="V3235">
        <v>-3.7617459999999998E-2</v>
      </c>
      <c r="W3235">
        <v>6.3069249999999993E-2</v>
      </c>
      <c r="X3235">
        <v>0.99729999999999996</v>
      </c>
      <c r="Y3235">
        <v>-5.9441019999999997E-2</v>
      </c>
      <c r="Z3235">
        <v>-3.146023E-3</v>
      </c>
      <c r="AA3235">
        <v>0.99822690000000003</v>
      </c>
      <c r="AB3235">
        <v>50</v>
      </c>
      <c r="AC3235">
        <v>-19.5274999999999</v>
      </c>
      <c r="AD3235">
        <v>-1.1099569998159999</v>
      </c>
      <c r="AE3235">
        <v>-0.66489999999998795</v>
      </c>
      <c r="AF3235">
        <v>-1.1907546777784199</v>
      </c>
      <c r="AG3235">
        <v>-1.1099569998159999</v>
      </c>
      <c r="AH3235">
        <v>19.439529800307099</v>
      </c>
      <c r="AI3235">
        <v>93.261822062090502</v>
      </c>
      <c r="AJ3235">
        <v>93.505232931902199</v>
      </c>
      <c r="AK3235">
        <v>19.507568277494801</v>
      </c>
    </row>
    <row r="3236" spans="1:37" x14ac:dyDescent="0.2">
      <c r="A3236" t="str">
        <f>"20200111154129919"</f>
        <v>20200111154129919</v>
      </c>
      <c r="B3236" t="str">
        <f>"1578728489909108"</f>
        <v>1578728489909108</v>
      </c>
      <c r="C3236" t="s">
        <v>37</v>
      </c>
      <c r="D3236">
        <v>5.1485969999999996</v>
      </c>
      <c r="E3236">
        <v>0.48972829999999901</v>
      </c>
      <c r="F3236" t="s">
        <v>46</v>
      </c>
      <c r="G3236">
        <v>-297.2439</v>
      </c>
      <c r="H3236" s="1">
        <v>-8.9534010000000008E-6</v>
      </c>
      <c r="I3236">
        <v>142.13659999999999</v>
      </c>
      <c r="J3236">
        <v>-277.6465</v>
      </c>
      <c r="K3236">
        <v>1.109953</v>
      </c>
      <c r="L3236">
        <v>142.80789999999999</v>
      </c>
      <c r="M3236">
        <v>-0.99964169999999997</v>
      </c>
      <c r="N3236">
        <v>0</v>
      </c>
      <c r="O3236">
        <v>2.6274260000000001E-2</v>
      </c>
      <c r="P3236">
        <v>-0.99821130000000002</v>
      </c>
      <c r="Q3236">
        <v>5.8733689999999998E-2</v>
      </c>
      <c r="R3236">
        <v>-1.117507E-2</v>
      </c>
      <c r="S3236">
        <v>-3.0138849999999899</v>
      </c>
      <c r="T3236">
        <v>-0.16664039999999999</v>
      </c>
      <c r="U3236">
        <v>-9.8876950000000005E-2</v>
      </c>
      <c r="V3236">
        <v>-3.758065E-2</v>
      </c>
      <c r="W3236">
        <v>6.3742610000000005E-2</v>
      </c>
      <c r="X3236">
        <v>0.99725849999999905</v>
      </c>
      <c r="Y3236">
        <v>-5.8908670000000003E-2</v>
      </c>
      <c r="Z3236">
        <v>-3.0781559999999999E-3</v>
      </c>
      <c r="AA3236">
        <v>0.99825869999999906</v>
      </c>
      <c r="AB3236">
        <v>50</v>
      </c>
      <c r="AC3236">
        <v>-19.5974</v>
      </c>
      <c r="AD3236">
        <v>-1.1099619534009999</v>
      </c>
      <c r="AE3236">
        <v>-0.67130000000000201</v>
      </c>
      <c r="AF3236">
        <v>-1.1821942512141199</v>
      </c>
      <c r="AG3236">
        <v>-1.1099619534009999</v>
      </c>
      <c r="AH3236">
        <v>19.5104820120977</v>
      </c>
      <c r="AI3236">
        <v>93.250130221487694</v>
      </c>
      <c r="AJ3236">
        <v>93.4674708481203</v>
      </c>
      <c r="AK3236">
        <v>19.577755416032499</v>
      </c>
    </row>
    <row r="3237" spans="1:37" x14ac:dyDescent="0.2">
      <c r="A3237" t="str">
        <f>"20200111154129942"</f>
        <v>20200111154129942</v>
      </c>
      <c r="B3237" t="str">
        <f>"1578728489929602"</f>
        <v>1578728489929602</v>
      </c>
      <c r="C3237" t="s">
        <v>37</v>
      </c>
      <c r="D3237">
        <v>5.1812610000000001</v>
      </c>
      <c r="E3237">
        <v>0.49005320000000002</v>
      </c>
      <c r="F3237" t="s">
        <v>46</v>
      </c>
      <c r="G3237">
        <v>-298.39699999999999</v>
      </c>
      <c r="H3237" s="1">
        <v>-8.8367609999999998E-6</v>
      </c>
      <c r="I3237">
        <v>142.07839999999999</v>
      </c>
      <c r="J3237">
        <v>-278.14139999999998</v>
      </c>
      <c r="K3237">
        <v>1.109955</v>
      </c>
      <c r="L3237">
        <v>142.82060000000001</v>
      </c>
      <c r="M3237">
        <v>-0.99966469999999896</v>
      </c>
      <c r="N3237">
        <v>0</v>
      </c>
      <c r="O3237">
        <v>2.537938E-2</v>
      </c>
      <c r="P3237">
        <v>-0.99818999999999902</v>
      </c>
      <c r="Q3237">
        <v>5.880005E-2</v>
      </c>
      <c r="R3237">
        <v>-1.2616489999999999E-2</v>
      </c>
      <c r="S3237">
        <v>-3.0136720000000001</v>
      </c>
      <c r="T3237">
        <v>-0.1612034</v>
      </c>
      <c r="U3237">
        <v>-0.1059418</v>
      </c>
      <c r="V3237">
        <v>-3.813018E-2</v>
      </c>
      <c r="W3237">
        <v>6.3818749999999994E-2</v>
      </c>
      <c r="X3237">
        <v>0.99723280000000003</v>
      </c>
      <c r="Y3237">
        <v>-6.0362300000000001E-2</v>
      </c>
      <c r="Z3237">
        <v>-2.968994E-3</v>
      </c>
      <c r="AA3237">
        <v>0.99817210000000001</v>
      </c>
      <c r="AB3237">
        <v>50</v>
      </c>
      <c r="AC3237">
        <v>-20.255600000000001</v>
      </c>
      <c r="AD3237">
        <v>-1.1099638367610001</v>
      </c>
      <c r="AE3237">
        <v>-0.74220000000002495</v>
      </c>
      <c r="AF3237">
        <v>-1.2522869396629499</v>
      </c>
      <c r="AG3237">
        <v>-1.1099638367610001</v>
      </c>
      <c r="AH3237">
        <v>20.169753833484201</v>
      </c>
      <c r="AI3237">
        <v>93.143831415872995</v>
      </c>
      <c r="AJ3237">
        <v>93.552783722673595</v>
      </c>
      <c r="AK3237">
        <v>20.239051657662198</v>
      </c>
    </row>
    <row r="3238" spans="1:37" x14ac:dyDescent="0.2">
      <c r="A3238" t="str">
        <f>"20200111154129965"</f>
        <v>20200111154129965</v>
      </c>
      <c r="B3238" t="str">
        <f>"1578728489959861"</f>
        <v>1578728489959861</v>
      </c>
      <c r="C3238" t="s">
        <v>37</v>
      </c>
      <c r="D3238">
        <v>5.2064879999999896</v>
      </c>
      <c r="E3238">
        <v>0.4904289</v>
      </c>
      <c r="F3238" t="s">
        <v>46</v>
      </c>
      <c r="G3238">
        <v>-298.7097</v>
      </c>
      <c r="H3238" s="1">
        <v>-8.8114009999999994E-6</v>
      </c>
      <c r="I3238">
        <v>142.0864</v>
      </c>
      <c r="J3238">
        <v>-278.65690000000001</v>
      </c>
      <c r="K3238">
        <v>1.1099540000000001</v>
      </c>
      <c r="L3238">
        <v>142.83330000000001</v>
      </c>
      <c r="M3238">
        <v>-0.99968799999999902</v>
      </c>
      <c r="N3238">
        <v>0</v>
      </c>
      <c r="O3238">
        <v>2.4446829999999999E-2</v>
      </c>
      <c r="P3238">
        <v>-0.9981331</v>
      </c>
      <c r="Q3238">
        <v>5.9559569999999999E-2</v>
      </c>
      <c r="R3238">
        <v>-1.3546310000000001E-2</v>
      </c>
      <c r="S3238">
        <v>-3.0137019999999999</v>
      </c>
      <c r="T3238">
        <v>-0.16263369999999999</v>
      </c>
      <c r="U3238">
        <v>-0.107574499999999</v>
      </c>
      <c r="V3238">
        <v>-3.8131610000000003E-2</v>
      </c>
      <c r="W3238">
        <v>6.4591529999999994E-2</v>
      </c>
      <c r="X3238">
        <v>0.99718300000000004</v>
      </c>
      <c r="Y3238">
        <v>-5.9970639999999999E-2</v>
      </c>
      <c r="Z3238">
        <v>-2.934412E-3</v>
      </c>
      <c r="AA3238">
        <v>0.99819579999999997</v>
      </c>
      <c r="AB3238">
        <v>50</v>
      </c>
      <c r="AC3238">
        <v>-20.052799999999898</v>
      </c>
      <c r="AD3238">
        <v>-1.1099628114010001</v>
      </c>
      <c r="AE3238">
        <v>-0.74690000000001</v>
      </c>
      <c r="AF3238">
        <v>-1.23313768885514</v>
      </c>
      <c r="AG3238">
        <v>-1.1099628114010001</v>
      </c>
      <c r="AH3238">
        <v>19.9674546823558</v>
      </c>
      <c r="AI3238">
        <v>93.175679685985997</v>
      </c>
      <c r="AJ3238">
        <v>93.533948998488498</v>
      </c>
      <c r="AK3238">
        <v>20.0362644346271</v>
      </c>
    </row>
    <row r="3239" spans="1:37" x14ac:dyDescent="0.2">
      <c r="A3239" t="str">
        <f>"20200111154129988"</f>
        <v>20200111154129988</v>
      </c>
      <c r="B3239" t="str">
        <f>"1578728489979378"</f>
        <v>1578728489979378</v>
      </c>
      <c r="C3239" t="s">
        <v>37</v>
      </c>
      <c r="D3239">
        <v>5.5101449999999996</v>
      </c>
      <c r="E3239">
        <v>0.49043569999999997</v>
      </c>
      <c r="F3239" t="s">
        <v>46</v>
      </c>
      <c r="G3239">
        <v>-299.45510000000002</v>
      </c>
      <c r="H3239" s="1">
        <v>-8.7474539999999997E-6</v>
      </c>
      <c r="I3239">
        <v>142.09219999999999</v>
      </c>
      <c r="J3239">
        <v>-279.18599999999998</v>
      </c>
      <c r="K3239">
        <v>1.1099600000000001</v>
      </c>
      <c r="L3239">
        <v>142.8459</v>
      </c>
      <c r="M3239">
        <v>-0.99971069999999995</v>
      </c>
      <c r="N3239">
        <v>0</v>
      </c>
      <c r="O3239">
        <v>2.348913E-2</v>
      </c>
      <c r="P3239">
        <v>-0.99808379999999997</v>
      </c>
      <c r="Q3239">
        <v>6.0084659999999998E-2</v>
      </c>
      <c r="R3239">
        <v>-1.478281E-2</v>
      </c>
      <c r="S3239">
        <v>-3.013763</v>
      </c>
      <c r="T3239">
        <v>-0.1608387</v>
      </c>
      <c r="U3239">
        <v>-0.1073914</v>
      </c>
      <c r="V3239">
        <v>-3.8413650000000001E-2</v>
      </c>
      <c r="W3239">
        <v>6.5131590000000003E-2</v>
      </c>
      <c r="X3239">
        <v>0.99713700000000005</v>
      </c>
      <c r="Y3239">
        <v>-5.8958549999999998E-2</v>
      </c>
      <c r="Z3239">
        <v>-2.823978E-3</v>
      </c>
      <c r="AA3239">
        <v>0.99825640000000004</v>
      </c>
      <c r="AB3239">
        <v>51</v>
      </c>
      <c r="AC3239">
        <v>-20.269100000000002</v>
      </c>
      <c r="AD3239">
        <v>-1.1099687474540001</v>
      </c>
      <c r="AE3239">
        <v>-0.75370000000000903</v>
      </c>
      <c r="AF3239">
        <v>-1.22593065469134</v>
      </c>
      <c r="AG3239">
        <v>-1.1099687474540001</v>
      </c>
      <c r="AH3239">
        <v>20.1853544908858</v>
      </c>
      <c r="AI3239">
        <v>93.141680040032</v>
      </c>
      <c r="AJ3239">
        <v>93.475513914248793</v>
      </c>
      <c r="AK3239">
        <v>20.2529867553692</v>
      </c>
    </row>
    <row r="3240" spans="1:37" x14ac:dyDescent="0.2">
      <c r="A3240" t="str">
        <f>"20200111154130010"</f>
        <v>20200111154130010</v>
      </c>
      <c r="B3240" t="str">
        <f>"1578728489999877"</f>
        <v>1578728489999877</v>
      </c>
      <c r="C3240" t="s">
        <v>37</v>
      </c>
      <c r="D3240">
        <v>5.2227129999999997</v>
      </c>
      <c r="E3240">
        <v>0.49040899999999998</v>
      </c>
      <c r="F3240" t="s">
        <v>46</v>
      </c>
      <c r="G3240">
        <v>-300.08859999999999</v>
      </c>
      <c r="H3240" s="1">
        <v>-8.7218869999999997E-6</v>
      </c>
      <c r="I3240">
        <v>142.07470000000001</v>
      </c>
      <c r="J3240">
        <v>-279.69619999999998</v>
      </c>
      <c r="K3240">
        <v>1.1099569999999901</v>
      </c>
      <c r="L3240">
        <v>142.85749999999999</v>
      </c>
      <c r="M3240">
        <v>-0.99973199999999995</v>
      </c>
      <c r="N3240">
        <v>0</v>
      </c>
      <c r="O3240">
        <v>2.2565999999999999E-2</v>
      </c>
      <c r="P3240">
        <v>-0.99804680000000001</v>
      </c>
      <c r="Q3240">
        <v>6.0433849999999997E-2</v>
      </c>
      <c r="R3240">
        <v>-1.5824250000000002E-2</v>
      </c>
      <c r="S3240">
        <v>-3.0137330000000002</v>
      </c>
      <c r="T3240">
        <v>-0.16003499999999901</v>
      </c>
      <c r="U3240">
        <v>-0.11119080000000001</v>
      </c>
      <c r="V3240">
        <v>-3.8535399999999997E-2</v>
      </c>
      <c r="W3240">
        <v>6.5497040000000006E-2</v>
      </c>
      <c r="X3240">
        <v>0.99710840000000001</v>
      </c>
      <c r="Y3240">
        <v>-5.929599E-2</v>
      </c>
      <c r="Z3240">
        <v>-2.7698359999999999E-3</v>
      </c>
      <c r="AA3240">
        <v>0.99823660000000003</v>
      </c>
      <c r="AB3240">
        <v>51</v>
      </c>
      <c r="AC3240">
        <v>-20.392399999999999</v>
      </c>
      <c r="AD3240">
        <v>-1.1099657218869901</v>
      </c>
      <c r="AE3240">
        <v>-0.78279999999997996</v>
      </c>
      <c r="AF3240">
        <v>-1.2391160183365499</v>
      </c>
      <c r="AG3240">
        <v>-1.1099657218869901</v>
      </c>
      <c r="AH3240">
        <v>20.309460564570799</v>
      </c>
      <c r="AI3240">
        <v>93.122459065865698</v>
      </c>
      <c r="AJ3240">
        <v>93.491388723110603</v>
      </c>
      <c r="AK3240">
        <v>20.3774782746668</v>
      </c>
    </row>
    <row r="3241" spans="1:37" x14ac:dyDescent="0.2">
      <c r="A3241" t="str">
        <f>"20200111154130031"</f>
        <v>20200111154130031</v>
      </c>
      <c r="B3241" t="str">
        <f>"1578728490019394"</f>
        <v>1578728490019394</v>
      </c>
      <c r="C3241" t="s">
        <v>37</v>
      </c>
      <c r="D3241">
        <v>5.2610320000000002</v>
      </c>
      <c r="E3241">
        <v>0.49019229999999903</v>
      </c>
      <c r="F3241" t="s">
        <v>46</v>
      </c>
      <c r="G3241">
        <v>-300.6628</v>
      </c>
      <c r="H3241" s="1">
        <v>-8.81973E-6</v>
      </c>
      <c r="I3241">
        <v>142.05940000000001</v>
      </c>
      <c r="J3241">
        <v>-280.16719999999998</v>
      </c>
      <c r="K3241">
        <v>1.1099540000000001</v>
      </c>
      <c r="L3241">
        <v>142.86789999999999</v>
      </c>
      <c r="M3241">
        <v>-0.99975079999999905</v>
      </c>
      <c r="N3241">
        <v>0</v>
      </c>
      <c r="O3241">
        <v>2.1713820000000002E-2</v>
      </c>
      <c r="P3241">
        <v>-0.9980443</v>
      </c>
      <c r="Q3241">
        <v>6.0279909999999999E-2</v>
      </c>
      <c r="R3241">
        <v>-1.656842E-2</v>
      </c>
      <c r="S3241">
        <v>-3.013763</v>
      </c>
      <c r="T3241">
        <v>-0.15954740000000001</v>
      </c>
      <c r="U3241">
        <v>-0.1147156</v>
      </c>
      <c r="V3241">
        <v>-3.8429720000000001E-2</v>
      </c>
      <c r="W3241">
        <v>6.5360009999999996E-2</v>
      </c>
      <c r="X3241">
        <v>0.99712149999999999</v>
      </c>
      <c r="Y3241">
        <v>-5.961205E-2</v>
      </c>
      <c r="Z3241">
        <v>-2.7246129999999999E-3</v>
      </c>
      <c r="AA3241">
        <v>0.99821789999999999</v>
      </c>
      <c r="AB3241">
        <v>51</v>
      </c>
      <c r="AC3241">
        <v>-20.4956</v>
      </c>
      <c r="AD3241">
        <v>-1.10996281973</v>
      </c>
      <c r="AE3241">
        <v>-0.80849999999998001</v>
      </c>
      <c r="AF3241">
        <v>-1.2496935983628099</v>
      </c>
      <c r="AG3241">
        <v>-1.10996281973</v>
      </c>
      <c r="AH3241">
        <v>20.413434394081701</v>
      </c>
      <c r="AI3241">
        <v>93.106539095416693</v>
      </c>
      <c r="AJ3241">
        <v>93.503228226911304</v>
      </c>
      <c r="AK3241">
        <v>20.481749322566401</v>
      </c>
    </row>
    <row r="3242" spans="1:37" x14ac:dyDescent="0.2">
      <c r="A3242" t="str">
        <f>"20200111154130053"</f>
        <v>20200111154130053</v>
      </c>
      <c r="B3242" t="str">
        <f>"1578728490039890"</f>
        <v>1578728490039890</v>
      </c>
      <c r="C3242" t="s">
        <v>37</v>
      </c>
      <c r="D3242">
        <v>5.2432999999999996</v>
      </c>
      <c r="E3242">
        <v>0.49006179999999899</v>
      </c>
      <c r="F3242" t="s">
        <v>46</v>
      </c>
      <c r="G3242">
        <v>-301.19009999999997</v>
      </c>
      <c r="H3242" s="1">
        <v>-8.9083079999999993E-6</v>
      </c>
      <c r="I3242">
        <v>142.04069999999999</v>
      </c>
      <c r="J3242">
        <v>-280.66730000000001</v>
      </c>
      <c r="K3242">
        <v>1.109945</v>
      </c>
      <c r="L3242">
        <v>142.8785</v>
      </c>
      <c r="M3242">
        <v>-0.99976989999999999</v>
      </c>
      <c r="N3242">
        <v>0</v>
      </c>
      <c r="O3242">
        <v>2.0809890000000001E-2</v>
      </c>
      <c r="P3242">
        <v>-0.99804959999999898</v>
      </c>
      <c r="Q3242">
        <v>5.9981039999999999E-2</v>
      </c>
      <c r="R3242">
        <v>-1.7310989999999998E-2</v>
      </c>
      <c r="S3242">
        <v>-3.0135190000000001</v>
      </c>
      <c r="T3242">
        <v>-0.15910729999999901</v>
      </c>
      <c r="U3242">
        <v>-0.118576</v>
      </c>
      <c r="V3242">
        <v>-3.8270659999999998E-2</v>
      </c>
      <c r="W3242">
        <v>6.5080689999999997E-2</v>
      </c>
      <c r="X3242">
        <v>0.99714579999999997</v>
      </c>
      <c r="Y3242">
        <v>-5.999078E-2</v>
      </c>
      <c r="Z3242">
        <v>-2.6795759999999999E-3</v>
      </c>
      <c r="AA3242">
        <v>0.99819539999999995</v>
      </c>
      <c r="AB3242">
        <v>51</v>
      </c>
      <c r="AC3242">
        <v>-20.522799999999901</v>
      </c>
      <c r="AD3242">
        <v>-1.1099539083079999</v>
      </c>
      <c r="AE3242">
        <v>-0.83780000000001498</v>
      </c>
      <c r="AF3242">
        <v>-1.26101913089145</v>
      </c>
      <c r="AG3242">
        <v>-1.1099539083079999</v>
      </c>
      <c r="AH3242">
        <v>20.4412283208441</v>
      </c>
      <c r="AI3242">
        <v>93.102209286696706</v>
      </c>
      <c r="AJ3242">
        <v>93.530102372353895</v>
      </c>
      <c r="AK3242">
        <v>20.510143397644001</v>
      </c>
    </row>
    <row r="3243" spans="1:37" x14ac:dyDescent="0.2">
      <c r="A3243" t="str">
        <f>"20200111154130076"</f>
        <v>20200111154130076</v>
      </c>
      <c r="B3243" t="str">
        <f>"1578728490069171"</f>
        <v>1578728490069171</v>
      </c>
      <c r="C3243" t="s">
        <v>37</v>
      </c>
      <c r="D3243">
        <v>5.2988249999999999</v>
      </c>
      <c r="E3243">
        <v>0.48985640000000003</v>
      </c>
      <c r="F3243" t="s">
        <v>46</v>
      </c>
      <c r="G3243">
        <v>-301.92540000000002</v>
      </c>
      <c r="H3243" s="1">
        <v>-9.0329389999999995E-6</v>
      </c>
      <c r="I3243">
        <v>142.01859999999999</v>
      </c>
      <c r="J3243">
        <v>-281.21350000000001</v>
      </c>
      <c r="K3243">
        <v>1.109937</v>
      </c>
      <c r="L3243">
        <v>142.8895</v>
      </c>
      <c r="M3243">
        <v>-0.99978979999999995</v>
      </c>
      <c r="N3243">
        <v>0</v>
      </c>
      <c r="O3243">
        <v>1.982339E-2</v>
      </c>
      <c r="P3243">
        <v>-0.9980251</v>
      </c>
      <c r="Q3243">
        <v>6.0174070000000003E-2</v>
      </c>
      <c r="R3243">
        <v>-1.8034120000000001E-2</v>
      </c>
      <c r="S3243">
        <v>-3.0131839999999999</v>
      </c>
      <c r="T3243">
        <v>-0.157328</v>
      </c>
      <c r="U3243">
        <v>-0.12187190000000001</v>
      </c>
      <c r="V3243">
        <v>-3.8010990000000001E-2</v>
      </c>
      <c r="W3243">
        <v>6.52948E-2</v>
      </c>
      <c r="X3243">
        <v>0.99714179999999997</v>
      </c>
      <c r="Y3243">
        <v>-6.0104009999999999E-2</v>
      </c>
      <c r="Z3243">
        <v>-2.6013870000000001E-3</v>
      </c>
      <c r="AA3243">
        <v>0.99818869999999904</v>
      </c>
      <c r="AB3243">
        <v>51</v>
      </c>
      <c r="AC3243">
        <v>-20.7119</v>
      </c>
      <c r="AD3243">
        <v>-1.1099460329390001</v>
      </c>
      <c r="AE3243">
        <v>-0.870900000000006</v>
      </c>
      <c r="AF3243">
        <v>-1.2776517892707899</v>
      </c>
      <c r="AG3243">
        <v>-1.1099460329390001</v>
      </c>
      <c r="AH3243">
        <v>20.6314194635851</v>
      </c>
      <c r="AI3243">
        <v>93.073599973041595</v>
      </c>
      <c r="AJ3243">
        <v>93.543657797701599</v>
      </c>
      <c r="AK3243">
        <v>20.700720841870801</v>
      </c>
    </row>
    <row r="3244" spans="1:37" x14ac:dyDescent="0.2">
      <c r="A3244" t="str">
        <f>"20200111154130099"</f>
        <v>20200111154130099</v>
      </c>
      <c r="B3244" t="str">
        <f>"1578728490089666"</f>
        <v>1578728490089666</v>
      </c>
      <c r="C3244" t="s">
        <v>37</v>
      </c>
      <c r="D3244">
        <v>5.322603</v>
      </c>
      <c r="E3244">
        <v>0.48968429999999902</v>
      </c>
      <c r="F3244" t="s">
        <v>46</v>
      </c>
      <c r="G3244">
        <v>-302.99020000000002</v>
      </c>
      <c r="H3244" s="1">
        <v>-9.1889669999999993E-6</v>
      </c>
      <c r="I3244">
        <v>141.97980000000001</v>
      </c>
      <c r="J3244">
        <v>-281.74299999999999</v>
      </c>
      <c r="K3244">
        <v>1.1099330000000001</v>
      </c>
      <c r="L3244">
        <v>142.8997</v>
      </c>
      <c r="M3244">
        <v>-0.99980809999999998</v>
      </c>
      <c r="N3244">
        <v>0</v>
      </c>
      <c r="O3244">
        <v>1.8868139999999999E-2</v>
      </c>
      <c r="P3244">
        <v>-0.99800679999999997</v>
      </c>
      <c r="Q3244">
        <v>6.0300960000000001E-2</v>
      </c>
      <c r="R3244">
        <v>-1.860154E-2</v>
      </c>
      <c r="S3244">
        <v>-3.01287799999999</v>
      </c>
      <c r="T3244">
        <v>-0.153564899999999</v>
      </c>
      <c r="U3244">
        <v>-0.12585450000000001</v>
      </c>
      <c r="V3244">
        <v>-3.7626439999999997E-2</v>
      </c>
      <c r="W3244">
        <v>6.5443269999999998E-2</v>
      </c>
      <c r="X3244">
        <v>0.99714669999999905</v>
      </c>
      <c r="Y3244">
        <v>-6.047748E-2</v>
      </c>
      <c r="Z3244">
        <v>-2.5003069999999998E-3</v>
      </c>
      <c r="AA3244">
        <v>0.99816640000000001</v>
      </c>
      <c r="AB3244">
        <v>51</v>
      </c>
      <c r="AC3244">
        <v>-21.247199999999999</v>
      </c>
      <c r="AD3244">
        <v>-1.109942188967</v>
      </c>
      <c r="AE3244">
        <v>-0.91989999999998395</v>
      </c>
      <c r="AF3244">
        <v>-1.3170494916820801</v>
      </c>
      <c r="AG3244">
        <v>-1.109942188967</v>
      </c>
      <c r="AH3244">
        <v>21.1684007865443</v>
      </c>
      <c r="AI3244">
        <v>92.9957114455691</v>
      </c>
      <c r="AJ3244">
        <v>93.560223190389493</v>
      </c>
      <c r="AK3244">
        <v>21.238356407362598</v>
      </c>
    </row>
    <row r="3245" spans="1:37" x14ac:dyDescent="0.2">
      <c r="A3245" t="str">
        <f>"20200111154130122"</f>
        <v>20200111154130122</v>
      </c>
      <c r="B3245" t="str">
        <f>"1578728490109189"</f>
        <v>1578728490109189</v>
      </c>
      <c r="C3245" t="s">
        <v>37</v>
      </c>
      <c r="D3245">
        <v>5.3332449999999998</v>
      </c>
      <c r="E3245">
        <v>0.48968450000000002</v>
      </c>
      <c r="F3245" t="s">
        <v>46</v>
      </c>
      <c r="G3245">
        <v>-303.68110000000001</v>
      </c>
      <c r="H3245" s="1">
        <v>-9.2818779999999998E-6</v>
      </c>
      <c r="I3245">
        <v>141.95859999999999</v>
      </c>
      <c r="J3245">
        <v>-282.26369999999997</v>
      </c>
      <c r="K3245">
        <v>1.1099330000000001</v>
      </c>
      <c r="L3245">
        <v>142.9092</v>
      </c>
      <c r="M3245">
        <v>-0.99982539999999998</v>
      </c>
      <c r="N3245">
        <v>0</v>
      </c>
      <c r="O3245">
        <v>1.7928969999999999E-2</v>
      </c>
      <c r="P3245">
        <v>-0.9979787</v>
      </c>
      <c r="Q3245">
        <v>6.0666959999999999E-2</v>
      </c>
      <c r="R3245">
        <v>-1.8932850000000001E-2</v>
      </c>
      <c r="S3245">
        <v>-3.0127869999999999</v>
      </c>
      <c r="T3245">
        <v>-0.1524296</v>
      </c>
      <c r="U3245">
        <v>-0.12924189999999999</v>
      </c>
      <c r="V3245">
        <v>-3.7022109999999997E-2</v>
      </c>
      <c r="W3245">
        <v>6.5831059999999997E-2</v>
      </c>
      <c r="X3245">
        <v>0.99714369999999997</v>
      </c>
      <c r="Y3245">
        <v>-6.0663889999999998E-2</v>
      </c>
      <c r="Z3245">
        <v>-2.4391059999999999E-3</v>
      </c>
      <c r="AA3245">
        <v>0.99815529999999997</v>
      </c>
      <c r="AB3245">
        <v>51</v>
      </c>
      <c r="AC3245">
        <v>-21.417400000000001</v>
      </c>
      <c r="AD3245">
        <v>-1.109942281878</v>
      </c>
      <c r="AE3245">
        <v>-0.95060000000000799</v>
      </c>
      <c r="AF3245">
        <v>-1.3308770544380299</v>
      </c>
      <c r="AG3245">
        <v>-1.109942281878</v>
      </c>
      <c r="AH3245">
        <v>21.339713146794399</v>
      </c>
      <c r="AI3245">
        <v>92.971678470281503</v>
      </c>
      <c r="AJ3245">
        <v>93.568698597821395</v>
      </c>
      <c r="AK3245">
        <v>21.409964100637801</v>
      </c>
    </row>
    <row r="3246" spans="1:37" x14ac:dyDescent="0.2">
      <c r="A3246" t="str">
        <f>"20200111154130143"</f>
        <v>20200111154130143</v>
      </c>
      <c r="B3246" t="str">
        <f>"1578728490139443"</f>
        <v>1578728490139443</v>
      </c>
      <c r="C3246" t="s">
        <v>37</v>
      </c>
      <c r="D3246">
        <v>5.3190629999999999</v>
      </c>
      <c r="E3246">
        <v>0.4895544</v>
      </c>
      <c r="F3246" t="s">
        <v>46</v>
      </c>
      <c r="G3246">
        <v>-304.4529</v>
      </c>
      <c r="H3246" s="1">
        <v>-9.3897019999999997E-6</v>
      </c>
      <c r="I3246">
        <v>141.9485</v>
      </c>
      <c r="J3246">
        <v>-282.73390000000001</v>
      </c>
      <c r="K3246">
        <v>1.1099349999999999</v>
      </c>
      <c r="L3246">
        <v>142.91739999999999</v>
      </c>
      <c r="M3246">
        <v>-0.99984010000000001</v>
      </c>
      <c r="N3246">
        <v>0</v>
      </c>
      <c r="O3246">
        <v>1.7080599999999901E-2</v>
      </c>
      <c r="P3246">
        <v>-0.99795009999999995</v>
      </c>
      <c r="Q3246">
        <v>6.095275E-2</v>
      </c>
      <c r="R3246">
        <v>-1.9511069999999998E-2</v>
      </c>
      <c r="S3246">
        <v>-3.012756</v>
      </c>
      <c r="T3246">
        <v>-0.15070349999999999</v>
      </c>
      <c r="U3246">
        <v>-0.13044739999999999</v>
      </c>
      <c r="V3246">
        <v>-3.6755570000000001E-2</v>
      </c>
      <c r="W3246">
        <v>6.6136029999999998E-2</v>
      </c>
      <c r="X3246">
        <v>0.99713339999999995</v>
      </c>
      <c r="Y3246">
        <v>-6.0219880000000003E-2</v>
      </c>
      <c r="Z3246">
        <v>-2.3580390000000001E-3</v>
      </c>
      <c r="AA3246">
        <v>0.99818240000000003</v>
      </c>
      <c r="AB3246">
        <v>52</v>
      </c>
      <c r="AC3246">
        <v>-21.718999999999902</v>
      </c>
      <c r="AD3246">
        <v>-1.109944389702</v>
      </c>
      <c r="AE3246">
        <v>-0.96889999999998999</v>
      </c>
      <c r="AF3246">
        <v>-1.33625443897441</v>
      </c>
      <c r="AG3246">
        <v>-1.109944389702</v>
      </c>
      <c r="AH3246">
        <v>21.642869479197099</v>
      </c>
      <c r="AI3246">
        <v>92.930245167208</v>
      </c>
      <c r="AJ3246">
        <v>93.533019417067607</v>
      </c>
      <c r="AK3246">
        <v>21.712469960082199</v>
      </c>
    </row>
    <row r="3247" spans="1:37" x14ac:dyDescent="0.2">
      <c r="A3247" t="str">
        <f>"20200111154130167"</f>
        <v>20200111154130167</v>
      </c>
      <c r="B3247" t="str">
        <f>"1578728490158963"</f>
        <v>1578728490158963</v>
      </c>
      <c r="C3247" t="s">
        <v>37</v>
      </c>
      <c r="D3247">
        <v>5.1598930000000003</v>
      </c>
      <c r="E3247">
        <v>0.48952420000000002</v>
      </c>
      <c r="F3247" t="s">
        <v>46</v>
      </c>
      <c r="G3247">
        <v>-304.84320000000002</v>
      </c>
      <c r="H3247" s="1">
        <v>-9.4428610000000007E-6</v>
      </c>
      <c r="I3247">
        <v>141.93870000000001</v>
      </c>
      <c r="J3247">
        <v>-283.2894</v>
      </c>
      <c r="K3247">
        <v>1.109936</v>
      </c>
      <c r="L3247">
        <v>142.9265</v>
      </c>
      <c r="M3247">
        <v>-0.99985650000000004</v>
      </c>
      <c r="N3247">
        <v>0</v>
      </c>
      <c r="O3247">
        <v>1.6074829999999998E-2</v>
      </c>
      <c r="P3247">
        <v>-0.99790749999999995</v>
      </c>
      <c r="Q3247">
        <v>6.1350759999999997E-2</v>
      </c>
      <c r="R3247">
        <v>-2.0410250000000001E-2</v>
      </c>
      <c r="S3247">
        <v>-3.012756</v>
      </c>
      <c r="T3247">
        <v>-0.15124789999999999</v>
      </c>
      <c r="U3247">
        <v>-0.1333618</v>
      </c>
      <c r="V3247">
        <v>-3.6653270000000002E-2</v>
      </c>
      <c r="W3247">
        <v>6.655664E-2</v>
      </c>
      <c r="X3247">
        <v>0.99710919999999903</v>
      </c>
      <c r="Y3247">
        <v>-6.018018E-2</v>
      </c>
      <c r="Z3247">
        <v>-2.3150620000000001E-3</v>
      </c>
      <c r="AA3247">
        <v>0.99818490000000004</v>
      </c>
      <c r="AB3247">
        <v>52</v>
      </c>
      <c r="AC3247">
        <v>-21.553799999999999</v>
      </c>
      <c r="AD3247">
        <v>-1.1099454428610001</v>
      </c>
      <c r="AE3247">
        <v>-0.98779999999999202</v>
      </c>
      <c r="AF3247">
        <v>-1.3306296980286001</v>
      </c>
      <c r="AG3247">
        <v>-1.1099454428610001</v>
      </c>
      <c r="AH3247">
        <v>21.478297334607099</v>
      </c>
      <c r="AI3247">
        <v>92.952622311991803</v>
      </c>
      <c r="AJ3247">
        <v>93.545073928651604</v>
      </c>
      <c r="AK3247">
        <v>21.548081368725001</v>
      </c>
    </row>
    <row r="3248" spans="1:37" x14ac:dyDescent="0.2">
      <c r="A3248" t="str">
        <f>"20200111154130189"</f>
        <v>20200111154130189</v>
      </c>
      <c r="B3248" t="str">
        <f>"1578728490179458"</f>
        <v>1578728490179458</v>
      </c>
      <c r="C3248" t="s">
        <v>37</v>
      </c>
      <c r="D3248">
        <v>5.2781949999999904</v>
      </c>
      <c r="E3248">
        <v>0.48954219999999998</v>
      </c>
      <c r="F3248" t="s">
        <v>46</v>
      </c>
      <c r="G3248">
        <v>-305.6816</v>
      </c>
      <c r="H3248" s="1">
        <v>-9.5551499999999995E-6</v>
      </c>
      <c r="I3248">
        <v>141.91149999999999</v>
      </c>
      <c r="J3248">
        <v>-283.81439999999998</v>
      </c>
      <c r="K3248">
        <v>1.1099399999999999</v>
      </c>
      <c r="L3248">
        <v>142.93469999999999</v>
      </c>
      <c r="M3248">
        <v>-0.99987150000000002</v>
      </c>
      <c r="N3248">
        <v>0</v>
      </c>
      <c r="O3248">
        <v>1.511906E-2</v>
      </c>
      <c r="P3248">
        <v>-0.99787749999999997</v>
      </c>
      <c r="Q3248">
        <v>6.1663250000000003E-2</v>
      </c>
      <c r="R3248">
        <v>-2.0932180000000002E-2</v>
      </c>
      <c r="S3248">
        <v>-3.0126339999999998</v>
      </c>
      <c r="T3248">
        <v>-0.14933109999999999</v>
      </c>
      <c r="U3248">
        <v>-0.1365662</v>
      </c>
      <c r="V3248">
        <v>-3.6224069999999997E-2</v>
      </c>
      <c r="W3248">
        <v>6.6891099999999995E-2</v>
      </c>
      <c r="X3248">
        <v>0.9971025</v>
      </c>
      <c r="Y3248">
        <v>-6.0290839999999998E-2</v>
      </c>
      <c r="Z3248">
        <v>-2.2412109999999999E-3</v>
      </c>
      <c r="AA3248">
        <v>0.99817839999999902</v>
      </c>
      <c r="AB3248">
        <v>52</v>
      </c>
      <c r="AC3248">
        <v>-21.8672</v>
      </c>
      <c r="AD3248">
        <v>-1.1099495551499901</v>
      </c>
      <c r="AE3248">
        <v>-1.0232000000000001</v>
      </c>
      <c r="AF3248">
        <v>-1.3502280662231501</v>
      </c>
      <c r="AG3248">
        <v>-1.1099495551499901</v>
      </c>
      <c r="AH3248">
        <v>21.793204247717799</v>
      </c>
      <c r="AI3248">
        <v>92.910041481125006</v>
      </c>
      <c r="AJ3248">
        <v>93.545307450112105</v>
      </c>
      <c r="AK3248">
        <v>21.863184928745898</v>
      </c>
    </row>
    <row r="3249" spans="1:37" x14ac:dyDescent="0.2">
      <c r="A3249" t="str">
        <f>"20200111154130210"</f>
        <v>20200111154130210</v>
      </c>
      <c r="B3249" t="str">
        <f>"1578728490198978"</f>
        <v>1578728490198978</v>
      </c>
      <c r="C3249" t="s">
        <v>37</v>
      </c>
      <c r="D3249">
        <v>5.2969720000000002</v>
      </c>
      <c r="E3249">
        <v>0.48539470000000001</v>
      </c>
      <c r="F3249" t="s">
        <v>46</v>
      </c>
      <c r="G3249">
        <v>-306.24869999999999</v>
      </c>
      <c r="H3249" s="1">
        <v>-9.6347230000000007E-6</v>
      </c>
      <c r="I3249">
        <v>141.90520000000001</v>
      </c>
      <c r="J3249">
        <v>-284.31740000000002</v>
      </c>
      <c r="K3249">
        <v>1.1099459999999901</v>
      </c>
      <c r="L3249">
        <v>142.94200000000001</v>
      </c>
      <c r="M3249">
        <v>-0.99988480000000002</v>
      </c>
      <c r="N3249">
        <v>0</v>
      </c>
      <c r="O3249">
        <v>1.4199109999999999E-2</v>
      </c>
      <c r="P3249">
        <v>-0.99786730000000001</v>
      </c>
      <c r="Q3249">
        <v>6.147859E-2</v>
      </c>
      <c r="R3249">
        <v>-2.1935820000000002E-2</v>
      </c>
      <c r="S3249">
        <v>-3.0126949999999999</v>
      </c>
      <c r="T3249">
        <v>-0.14905489999999999</v>
      </c>
      <c r="U3249">
        <v>-0.1382446</v>
      </c>
      <c r="V3249">
        <v>-3.6311000000000003E-2</v>
      </c>
      <c r="W3249">
        <v>6.6726480000000005E-2</v>
      </c>
      <c r="X3249">
        <v>0.99711039999999995</v>
      </c>
      <c r="Y3249">
        <v>-5.99284E-2</v>
      </c>
      <c r="Z3249">
        <v>-2.182575E-3</v>
      </c>
      <c r="AA3249">
        <v>0.99820030000000004</v>
      </c>
      <c r="AB3249">
        <v>52</v>
      </c>
      <c r="AC3249">
        <v>-21.931299999999901</v>
      </c>
      <c r="AD3249">
        <v>-1.109955634723</v>
      </c>
      <c r="AE3249">
        <v>-1.03679999999999</v>
      </c>
      <c r="AF3249">
        <v>-1.3446683025506201</v>
      </c>
      <c r="AG3249">
        <v>-1.109955634723</v>
      </c>
      <c r="AH3249">
        <v>21.858502966219401</v>
      </c>
      <c r="AI3249">
        <v>92.901457227109702</v>
      </c>
      <c r="AJ3249">
        <v>93.520225161479502</v>
      </c>
      <c r="AK3249">
        <v>21.927933926367999</v>
      </c>
    </row>
    <row r="3250" spans="1:37" x14ac:dyDescent="0.2">
      <c r="A3250" t="str">
        <f>"20200111154130233"</f>
        <v>20200111154130233</v>
      </c>
      <c r="B3250" t="str">
        <f>"1578728490229234"</f>
        <v>1578728490229234</v>
      </c>
      <c r="C3250" t="s">
        <v>37</v>
      </c>
      <c r="D3250">
        <v>5.3700299999999999</v>
      </c>
      <c r="E3250">
        <v>0.48544969999999998</v>
      </c>
      <c r="F3250" t="s">
        <v>46</v>
      </c>
      <c r="G3250">
        <v>-300.80919999999998</v>
      </c>
      <c r="H3250" s="1">
        <v>-8.8286829999999992E-6</v>
      </c>
      <c r="I3250">
        <v>141.9949</v>
      </c>
      <c r="J3250">
        <v>-284.83150000000001</v>
      </c>
      <c r="K3250">
        <v>1.1099490000000001</v>
      </c>
      <c r="L3250">
        <v>142.94899999999899</v>
      </c>
      <c r="M3250">
        <v>-0.999897699999999</v>
      </c>
      <c r="N3250">
        <v>0</v>
      </c>
      <c r="O3250">
        <v>1.325262E-2</v>
      </c>
      <c r="P3250">
        <v>-0.9978783</v>
      </c>
      <c r="Q3250">
        <v>6.1113010000000002E-2</v>
      </c>
      <c r="R3250">
        <v>-2.2458289999999999E-2</v>
      </c>
      <c r="S3250">
        <v>-3.0151059999999998</v>
      </c>
      <c r="T3250">
        <v>-0.202927</v>
      </c>
      <c r="U3250">
        <v>-0.1731415</v>
      </c>
      <c r="V3250">
        <v>-3.5889610000000002E-2</v>
      </c>
      <c r="W3250">
        <v>6.6382499999999997E-2</v>
      </c>
      <c r="X3250">
        <v>0.99714859999999905</v>
      </c>
      <c r="Y3250">
        <v>-7.0367600000000002E-2</v>
      </c>
      <c r="Z3250">
        <v>-3.2536609999999902E-3</v>
      </c>
      <c r="AA3250">
        <v>0.99751579999999995</v>
      </c>
      <c r="AB3250">
        <v>52</v>
      </c>
      <c r="AC3250">
        <v>-15.977699999999899</v>
      </c>
      <c r="AD3250">
        <v>-1.1099578286830001</v>
      </c>
      <c r="AE3250">
        <v>-0.95409999999998196</v>
      </c>
      <c r="AF3250">
        <v>-1.16018653230747</v>
      </c>
      <c r="AG3250">
        <v>-1.1099578286830001</v>
      </c>
      <c r="AH3250">
        <v>15.887253342282801</v>
      </c>
      <c r="AI3250">
        <v>93.985877726020206</v>
      </c>
      <c r="AJ3250">
        <v>94.176681924128999</v>
      </c>
      <c r="AK3250">
        <v>15.968182674715299</v>
      </c>
    </row>
    <row r="3251" spans="1:37" x14ac:dyDescent="0.2">
      <c r="A3251" t="str">
        <f>"20200111154130254"</f>
        <v>20200111154130254</v>
      </c>
      <c r="B3251" t="str">
        <f>"1578728490249731"</f>
        <v>1578728490249731</v>
      </c>
      <c r="C3251" t="s">
        <v>37</v>
      </c>
      <c r="D3251">
        <v>5.3308730000000004</v>
      </c>
      <c r="E3251">
        <v>0.48617919999999998</v>
      </c>
      <c r="F3251" t="s">
        <v>46</v>
      </c>
      <c r="G3251">
        <v>-302.23259999999999</v>
      </c>
      <c r="H3251" s="1">
        <v>-9.0667790000000002E-6</v>
      </c>
      <c r="I3251">
        <v>141.94040000000001</v>
      </c>
      <c r="J3251">
        <v>-285.33870000000002</v>
      </c>
      <c r="K3251">
        <v>1.1099479999999999</v>
      </c>
      <c r="L3251">
        <v>142.9555</v>
      </c>
      <c r="M3251">
        <v>-0.99990959999999995</v>
      </c>
      <c r="N3251">
        <v>0</v>
      </c>
      <c r="O3251">
        <v>1.2310710000000001E-2</v>
      </c>
      <c r="P3251">
        <v>-0.99789409999999901</v>
      </c>
      <c r="Q3251">
        <v>6.0609469999999999E-2</v>
      </c>
      <c r="R3251">
        <v>-2.3105279999999999E-2</v>
      </c>
      <c r="S3251">
        <v>-3.014221</v>
      </c>
      <c r="T3251">
        <v>-0.19226750000000001</v>
      </c>
      <c r="U3251">
        <v>-0.17471310000000001</v>
      </c>
      <c r="V3251">
        <v>-3.5597860000000002E-2</v>
      </c>
      <c r="W3251">
        <v>6.5900050000000002E-2</v>
      </c>
      <c r="X3251">
        <v>0.9971911</v>
      </c>
      <c r="Y3251">
        <v>-6.9984980000000002E-2</v>
      </c>
      <c r="Z3251">
        <v>-3.0118039999999999E-3</v>
      </c>
      <c r="AA3251">
        <v>0.99754349999999903</v>
      </c>
      <c r="AB3251">
        <v>52</v>
      </c>
      <c r="AC3251">
        <v>-16.893899999999899</v>
      </c>
      <c r="AD3251">
        <v>-1.109957066779</v>
      </c>
      <c r="AE3251">
        <v>-1.0150999999999799</v>
      </c>
      <c r="AF3251">
        <v>-1.2177641980623899</v>
      </c>
      <c r="AG3251">
        <v>-1.109957066779</v>
      </c>
      <c r="AH3251">
        <v>16.8078295067745</v>
      </c>
      <c r="AI3251">
        <v>93.768369109725398</v>
      </c>
      <c r="AJ3251">
        <v>94.143964307221495</v>
      </c>
      <c r="AK3251">
        <v>16.888400962227699</v>
      </c>
    </row>
    <row r="3252" spans="1:37" x14ac:dyDescent="0.2">
      <c r="A3252" t="str">
        <f>"20200111154130279"</f>
        <v>20200111154130279</v>
      </c>
      <c r="B3252" t="str">
        <f>"1578728490269251"</f>
        <v>1578728490269251</v>
      </c>
      <c r="C3252" t="s">
        <v>37</v>
      </c>
      <c r="D3252">
        <v>5.5168970000000002</v>
      </c>
      <c r="E3252">
        <v>0.48687399999999997</v>
      </c>
      <c r="F3252" t="s">
        <v>46</v>
      </c>
      <c r="G3252">
        <v>-303.97910000000002</v>
      </c>
      <c r="H3252" s="1">
        <v>-9.3064430000000005E-6</v>
      </c>
      <c r="I3252">
        <v>141.8973</v>
      </c>
      <c r="J3252">
        <v>-285.9203</v>
      </c>
      <c r="K3252">
        <v>1.1099490000000001</v>
      </c>
      <c r="L3252">
        <v>142.9623</v>
      </c>
      <c r="M3252">
        <v>-0.99992230000000004</v>
      </c>
      <c r="N3252">
        <v>0</v>
      </c>
      <c r="O3252">
        <v>1.12204E-2</v>
      </c>
      <c r="P3252">
        <v>-0.9978823</v>
      </c>
      <c r="Q3252">
        <v>6.0394429999999999E-2</v>
      </c>
      <c r="R3252">
        <v>-2.4156609999999999E-2</v>
      </c>
      <c r="S3252">
        <v>-3.0132750000000001</v>
      </c>
      <c r="T3252">
        <v>-0.1794279</v>
      </c>
      <c r="U3252">
        <v>-0.17105100000000001</v>
      </c>
      <c r="V3252">
        <v>-3.5563119999999997E-2</v>
      </c>
      <c r="W3252">
        <v>6.5708299999999997E-2</v>
      </c>
      <c r="X3252">
        <v>0.99720499999999901</v>
      </c>
      <c r="Y3252">
        <v>-6.7734119999999995E-2</v>
      </c>
      <c r="Z3252">
        <v>-2.6802940000000002E-3</v>
      </c>
      <c r="AA3252">
        <v>0.99769979999999903</v>
      </c>
      <c r="AB3252">
        <v>52</v>
      </c>
      <c r="AC3252">
        <v>-18.058800000000002</v>
      </c>
      <c r="AD3252">
        <v>-1.1099583064430001</v>
      </c>
      <c r="AE3252">
        <v>-1.06499999999999</v>
      </c>
      <c r="AF3252">
        <v>-1.26280883609391</v>
      </c>
      <c r="AG3252">
        <v>-1.1099583064430001</v>
      </c>
      <c r="AH3252">
        <v>17.978031766939999</v>
      </c>
      <c r="AI3252">
        <v>93.524278343281694</v>
      </c>
      <c r="AJ3252">
        <v>94.017957765028001</v>
      </c>
      <c r="AK3252">
        <v>18.056475841416599</v>
      </c>
    </row>
    <row r="3253" spans="1:37" x14ac:dyDescent="0.2">
      <c r="A3253" t="str">
        <f>"20200111154130300"</f>
        <v>20200111154130300</v>
      </c>
      <c r="B3253" t="str">
        <f>"1578728490289746"</f>
        <v>1578728490289746</v>
      </c>
      <c r="C3253" t="s">
        <v>37</v>
      </c>
      <c r="D3253">
        <v>5.3325879999999897</v>
      </c>
      <c r="E3253">
        <v>0.4872417</v>
      </c>
      <c r="F3253" t="s">
        <v>46</v>
      </c>
      <c r="G3253">
        <v>-305.35939999999999</v>
      </c>
      <c r="H3253" s="1">
        <v>-9.4972059999999992E-6</v>
      </c>
      <c r="I3253">
        <v>141.8723</v>
      </c>
      <c r="J3253">
        <v>-286.41640000000001</v>
      </c>
      <c r="K3253">
        <v>1.1099540000000001</v>
      </c>
      <c r="L3253">
        <v>142.9676</v>
      </c>
      <c r="M3253">
        <v>-0.9999323</v>
      </c>
      <c r="N3253">
        <v>0</v>
      </c>
      <c r="O3253">
        <v>1.0281510000000001E-2</v>
      </c>
      <c r="P3253">
        <v>-0.99788410000000005</v>
      </c>
      <c r="Q3253">
        <v>6.0050489999999998E-2</v>
      </c>
      <c r="R3253">
        <v>-2.492567E-2</v>
      </c>
      <c r="S3253">
        <v>-3.0126949999999999</v>
      </c>
      <c r="T3253">
        <v>-0.17202319999999999</v>
      </c>
      <c r="U3253">
        <v>-0.1689301</v>
      </c>
      <c r="V3253">
        <v>-3.5396499999999997E-2</v>
      </c>
      <c r="W3253">
        <v>6.5385219999999994E-2</v>
      </c>
      <c r="X3253">
        <v>0.99723209999999995</v>
      </c>
      <c r="Y3253">
        <v>-6.6123310000000005E-2</v>
      </c>
      <c r="Z3253">
        <v>-2.4709630000000001E-3</v>
      </c>
      <c r="AA3253">
        <v>0.99780840000000004</v>
      </c>
      <c r="AB3253">
        <v>53</v>
      </c>
      <c r="AC3253">
        <v>-18.942999999999898</v>
      </c>
      <c r="AD3253">
        <v>-1.109963497206</v>
      </c>
      <c r="AE3253">
        <v>-1.0952999999999999</v>
      </c>
      <c r="AF3253">
        <v>-1.28560838581482</v>
      </c>
      <c r="AG3253">
        <v>-1.109963497206</v>
      </c>
      <c r="AH3253">
        <v>18.8661785850645</v>
      </c>
      <c r="AI3253">
        <v>93.359258014501805</v>
      </c>
      <c r="AJ3253">
        <v>93.898311283470093</v>
      </c>
      <c r="AK3253">
        <v>18.942478778933701</v>
      </c>
    </row>
    <row r="3254" spans="1:37" x14ac:dyDescent="0.2">
      <c r="A3254" t="str">
        <f>"20200111154130320"</f>
        <v>20200111154130320</v>
      </c>
      <c r="B3254" t="str">
        <f>"1578728490309266"</f>
        <v>1578728490309266</v>
      </c>
      <c r="C3254" t="s">
        <v>37</v>
      </c>
      <c r="D3254">
        <v>5.3416420000000002</v>
      </c>
      <c r="E3254">
        <v>0.4876238</v>
      </c>
      <c r="F3254" t="s">
        <v>46</v>
      </c>
      <c r="G3254">
        <v>-306.39929999999998</v>
      </c>
      <c r="H3254" s="1">
        <v>-9.6400030000000007E-6</v>
      </c>
      <c r="I3254">
        <v>141.8503</v>
      </c>
      <c r="J3254">
        <v>-286.9135</v>
      </c>
      <c r="K3254">
        <v>1.1099619999999999</v>
      </c>
      <c r="L3254">
        <v>142.97239999999999</v>
      </c>
      <c r="M3254">
        <v>-0.99994139999999998</v>
      </c>
      <c r="N3254">
        <v>0</v>
      </c>
      <c r="O3254">
        <v>9.3341529999999995E-3</v>
      </c>
      <c r="P3254">
        <v>-0.99784869999999903</v>
      </c>
      <c r="Q3254">
        <v>6.0180810000000001E-2</v>
      </c>
      <c r="R3254">
        <v>-2.600819E-2</v>
      </c>
      <c r="S3254">
        <v>-3.0122070000000001</v>
      </c>
      <c r="T3254">
        <v>-0.16731550000000001</v>
      </c>
      <c r="U3254">
        <v>-0.16842650000000001</v>
      </c>
      <c r="V3254">
        <v>-3.5536430000000001E-2</v>
      </c>
      <c r="W3254">
        <v>6.5534629999999996E-2</v>
      </c>
      <c r="X3254">
        <v>0.99721729999999997</v>
      </c>
      <c r="Y3254">
        <v>-6.5030470000000007E-2</v>
      </c>
      <c r="Z3254">
        <v>-2.3209950000000002E-3</v>
      </c>
      <c r="AA3254">
        <v>0.99788060000000001</v>
      </c>
      <c r="AB3254">
        <v>53</v>
      </c>
      <c r="AC3254">
        <v>-19.485799999999902</v>
      </c>
      <c r="AD3254">
        <v>-1.109971640003</v>
      </c>
      <c r="AE3254">
        <v>-1.1220999999999799</v>
      </c>
      <c r="AF3254">
        <v>-1.29973385726565</v>
      </c>
      <c r="AG3254">
        <v>-1.109971640003</v>
      </c>
      <c r="AH3254">
        <v>19.4116982774473</v>
      </c>
      <c r="AI3254">
        <v>93.265345263953705</v>
      </c>
      <c r="AJ3254">
        <v>93.830591048069707</v>
      </c>
      <c r="AK3254">
        <v>19.486800023502699</v>
      </c>
    </row>
    <row r="3255" spans="1:37" x14ac:dyDescent="0.2">
      <c r="A3255" t="str">
        <f>"20200111154130344"</f>
        <v>20200111154130344</v>
      </c>
      <c r="B3255" t="str">
        <f>"1578728490339524"</f>
        <v>1578728490339524</v>
      </c>
      <c r="C3255" t="s">
        <v>37</v>
      </c>
      <c r="D3255">
        <v>5.3737769999999996</v>
      </c>
      <c r="E3255">
        <v>0.48786199999999902</v>
      </c>
      <c r="F3255" t="s">
        <v>46</v>
      </c>
      <c r="G3255">
        <v>-307.61009999999999</v>
      </c>
      <c r="H3255" s="1">
        <v>-9.8027720000000005E-6</v>
      </c>
      <c r="I3255">
        <v>141.81290000000001</v>
      </c>
      <c r="J3255">
        <v>-287.44690000000003</v>
      </c>
      <c r="K3255">
        <v>1.1099729999999901</v>
      </c>
      <c r="L3255">
        <v>142.97710000000001</v>
      </c>
      <c r="M3255">
        <v>-0.99995029999999996</v>
      </c>
      <c r="N3255">
        <v>0</v>
      </c>
      <c r="O3255">
        <v>8.3115659999999994E-3</v>
      </c>
      <c r="P3255">
        <v>-0.99780290000000005</v>
      </c>
      <c r="Q3255">
        <v>6.0328619999999999E-2</v>
      </c>
      <c r="R3255">
        <v>-2.7390299999999999E-2</v>
      </c>
      <c r="S3255">
        <v>-3.0117799999999999</v>
      </c>
      <c r="T3255">
        <v>-0.161524</v>
      </c>
      <c r="U3255">
        <v>-0.16873170000000001</v>
      </c>
      <c r="V3255">
        <v>-3.590074E-2</v>
      </c>
      <c r="W3255">
        <v>6.5702120000000003E-2</v>
      </c>
      <c r="X3255">
        <v>0.997193199999999</v>
      </c>
      <c r="Y3255">
        <v>-6.4129169999999999E-2</v>
      </c>
      <c r="Z3255">
        <v>-2.1621850000000001E-3</v>
      </c>
      <c r="AA3255">
        <v>0.99793929999999997</v>
      </c>
      <c r="AB3255">
        <v>53</v>
      </c>
      <c r="AC3255">
        <v>-20.1631999999999</v>
      </c>
      <c r="AD3255">
        <v>-1.10998280277199</v>
      </c>
      <c r="AE3255">
        <v>-1.1641999999999899</v>
      </c>
      <c r="AF3255">
        <v>-1.3277397540173199</v>
      </c>
      <c r="AG3255">
        <v>-1.10998280277199</v>
      </c>
      <c r="AH3255">
        <v>20.092140220569899</v>
      </c>
      <c r="AI3255">
        <v>93.155201990476101</v>
      </c>
      <c r="AJ3255">
        <v>93.780753909438403</v>
      </c>
      <c r="AK3255">
        <v>20.1665330019785</v>
      </c>
    </row>
    <row r="3256" spans="1:37" x14ac:dyDescent="0.2">
      <c r="A3256" t="str">
        <f>"20200111154130358"</f>
        <v>20200111154130358</v>
      </c>
      <c r="B3256" t="str">
        <f>"1578728490349283"</f>
        <v>1578728490349283</v>
      </c>
      <c r="C3256" t="s">
        <v>37</v>
      </c>
      <c r="D3256">
        <v>5.3745649999999996</v>
      </c>
      <c r="E3256">
        <v>0.48795189999999999</v>
      </c>
      <c r="F3256" t="s">
        <v>46</v>
      </c>
      <c r="G3256">
        <v>-308.73110000000003</v>
      </c>
      <c r="H3256" s="1">
        <v>-9.9501889999999999E-6</v>
      </c>
      <c r="I3256">
        <v>141.76730000000001</v>
      </c>
      <c r="J3256">
        <v>-287.80160000000001</v>
      </c>
      <c r="K3256">
        <v>1.1099779999999999</v>
      </c>
      <c r="L3256">
        <v>142.97989999999999</v>
      </c>
      <c r="M3256">
        <v>-0.999955699999999</v>
      </c>
      <c r="N3256">
        <v>0</v>
      </c>
      <c r="O3256">
        <v>7.6289909999999999E-3</v>
      </c>
      <c r="P3256">
        <v>-0.99777249999999995</v>
      </c>
      <c r="Q3256">
        <v>6.0373589999999998E-2</v>
      </c>
      <c r="R3256">
        <v>-2.8375930000000001E-2</v>
      </c>
      <c r="S3256">
        <v>-3.011444</v>
      </c>
      <c r="T3256">
        <v>-0.15704849999999901</v>
      </c>
      <c r="U3256">
        <v>-0.17117309999999999</v>
      </c>
      <c r="V3256">
        <v>-3.6207299999999998E-2</v>
      </c>
      <c r="W3256">
        <v>6.5759680000000001E-2</v>
      </c>
      <c r="X3256">
        <v>0.99717840000000002</v>
      </c>
      <c r="Y3256">
        <v>-6.4267030000000003E-2</v>
      </c>
      <c r="Z3256">
        <v>-2.070587E-3</v>
      </c>
      <c r="AA3256">
        <v>0.9979306</v>
      </c>
      <c r="AB3256">
        <v>53</v>
      </c>
      <c r="AC3256">
        <v>-20.929500000000001</v>
      </c>
      <c r="AD3256">
        <v>-1.109987950189</v>
      </c>
      <c r="AE3256">
        <v>-1.2125999999999799</v>
      </c>
      <c r="AF3256">
        <v>-1.3684021172137399</v>
      </c>
      <c r="AG3256">
        <v>-1.109987950189</v>
      </c>
      <c r="AH3256">
        <v>20.8611605868543</v>
      </c>
      <c r="AI3256">
        <v>93.039222534624002</v>
      </c>
      <c r="AJ3256">
        <v>93.752979297902897</v>
      </c>
      <c r="AK3256">
        <v>20.935439298817698</v>
      </c>
    </row>
    <row r="3257" spans="1:37" x14ac:dyDescent="0.2">
      <c r="A3257" t="str">
        <f>"20200111154130378"</f>
        <v>20200111154130378</v>
      </c>
      <c r="B3257" t="str">
        <f>"1578728490369781"</f>
        <v>1578728490369781</v>
      </c>
      <c r="C3257" t="s">
        <v>37</v>
      </c>
      <c r="D3257">
        <v>5.3239919999999996</v>
      </c>
      <c r="E3257">
        <v>0.48815890000000001</v>
      </c>
      <c r="F3257" t="s">
        <v>46</v>
      </c>
      <c r="G3257">
        <v>-309.30689999999998</v>
      </c>
      <c r="H3257" s="1">
        <v>-1.0025520000000001E-5</v>
      </c>
      <c r="I3257">
        <v>141.74260000000001</v>
      </c>
      <c r="J3257">
        <v>-288.28300000000002</v>
      </c>
      <c r="K3257">
        <v>1.109993</v>
      </c>
      <c r="L3257">
        <v>142.98339999999999</v>
      </c>
      <c r="M3257">
        <v>-0.99996219999999902</v>
      </c>
      <c r="N3257">
        <v>0</v>
      </c>
      <c r="O3257">
        <v>6.7005540000000001E-3</v>
      </c>
      <c r="P3257">
        <v>-0.99773219999999996</v>
      </c>
      <c r="Q3257">
        <v>6.0557260000000002E-2</v>
      </c>
      <c r="R3257">
        <v>-2.9383570000000001E-2</v>
      </c>
      <c r="S3257">
        <v>-3.0112000000000001</v>
      </c>
      <c r="T3257">
        <v>-0.15542220000000001</v>
      </c>
      <c r="U3257">
        <v>-0.17324829999999999</v>
      </c>
      <c r="V3257">
        <v>-3.6290499999999899E-2</v>
      </c>
      <c r="W3257">
        <v>6.5961899999999907E-2</v>
      </c>
      <c r="X3257">
        <v>0.99716199999999999</v>
      </c>
      <c r="Y3257">
        <v>-6.4034090000000002E-2</v>
      </c>
      <c r="Z3257">
        <v>-1.9954410000000001E-3</v>
      </c>
      <c r="AA3257">
        <v>0.99794570000000005</v>
      </c>
      <c r="AB3257">
        <v>53</v>
      </c>
      <c r="AC3257">
        <v>-21.023899999999902</v>
      </c>
      <c r="AD3257">
        <v>-1.11000302552</v>
      </c>
      <c r="AE3257">
        <v>-1.2407999999999699</v>
      </c>
      <c r="AF3257">
        <v>-1.3778186853057499</v>
      </c>
      <c r="AG3257">
        <v>-1.11000302552</v>
      </c>
      <c r="AH3257">
        <v>20.956898341095201</v>
      </c>
      <c r="AI3257">
        <v>93.025375713851602</v>
      </c>
      <c r="AJ3257">
        <v>93.761517839570999</v>
      </c>
      <c r="AK3257">
        <v>21.031454517584798</v>
      </c>
    </row>
    <row r="3258" spans="1:37" x14ac:dyDescent="0.2">
      <c r="A3258" t="str">
        <f>"20200111154130400"</f>
        <v>20200111154130400</v>
      </c>
      <c r="B3258" t="str">
        <f>"1578728490389298"</f>
        <v>1578728490389298</v>
      </c>
      <c r="C3258" t="s">
        <v>37</v>
      </c>
      <c r="D3258">
        <v>5.2678079999999996</v>
      </c>
      <c r="E3258">
        <v>0.4882939</v>
      </c>
      <c r="F3258" t="s">
        <v>46</v>
      </c>
      <c r="G3258">
        <v>-310.12200000000001</v>
      </c>
      <c r="H3258" s="1">
        <v>-1.0038310000000001E-5</v>
      </c>
      <c r="I3258">
        <v>141.71619999999999</v>
      </c>
      <c r="J3258">
        <v>-288.79410000000001</v>
      </c>
      <c r="K3258">
        <v>1.1100000000000001</v>
      </c>
      <c r="L3258">
        <v>142.98650000000001</v>
      </c>
      <c r="M3258">
        <v>-0.99996819999999897</v>
      </c>
      <c r="N3258">
        <v>0</v>
      </c>
      <c r="O3258">
        <v>5.7126260000000002E-3</v>
      </c>
      <c r="P3258">
        <v>-0.99765149999999903</v>
      </c>
      <c r="Q3258">
        <v>6.1195079999999999E-2</v>
      </c>
      <c r="R3258">
        <v>-3.0768739999999999E-2</v>
      </c>
      <c r="S3258">
        <v>-3.0109859999999999</v>
      </c>
      <c r="T3258">
        <v>-0.1530378</v>
      </c>
      <c r="U3258">
        <v>-0.17469789999999999</v>
      </c>
      <c r="V3258">
        <v>-3.6694009999999999E-2</v>
      </c>
      <c r="W3258">
        <v>6.6618010000000005E-2</v>
      </c>
      <c r="X3258">
        <v>0.99710359999999998</v>
      </c>
      <c r="Y3258">
        <v>-6.3535830000000001E-2</v>
      </c>
      <c r="Z3258">
        <v>-1.9021929999999999E-3</v>
      </c>
      <c r="AA3258">
        <v>0.99797769999999997</v>
      </c>
      <c r="AB3258">
        <v>53</v>
      </c>
      <c r="AC3258">
        <v>-21.3279</v>
      </c>
      <c r="AD3258">
        <v>-1.11001003831</v>
      </c>
      <c r="AE3258">
        <v>-1.27030000000002</v>
      </c>
      <c r="AF3258">
        <v>-1.3883721126077799</v>
      </c>
      <c r="AG3258">
        <v>-1.11001003831</v>
      </c>
      <c r="AH3258">
        <v>21.262904314866201</v>
      </c>
      <c r="AI3258">
        <v>92.982021206704005</v>
      </c>
      <c r="AJ3258">
        <v>93.7358537071011</v>
      </c>
      <c r="AK3258">
        <v>21.337075697277999</v>
      </c>
    </row>
    <row r="3259" spans="1:37" x14ac:dyDescent="0.2">
      <c r="A3259" t="str">
        <f>"20200111154130421"</f>
        <v>20200111154130421</v>
      </c>
      <c r="B3259" t="str">
        <f>"1578728490409794"</f>
        <v>1578728490409794</v>
      </c>
      <c r="C3259" t="s">
        <v>37</v>
      </c>
      <c r="D3259">
        <v>6.5269329999999997</v>
      </c>
      <c r="E3259">
        <v>0.4885217</v>
      </c>
      <c r="F3259" t="s">
        <v>46</v>
      </c>
      <c r="G3259">
        <v>-310.9649</v>
      </c>
      <c r="H3259" s="1">
        <v>-9.6529470000000006E-6</v>
      </c>
      <c r="I3259">
        <v>141.6773</v>
      </c>
      <c r="J3259">
        <v>-289.30119999999999</v>
      </c>
      <c r="K3259">
        <v>1.1100049999999999</v>
      </c>
      <c r="L3259">
        <v>142.98920000000001</v>
      </c>
      <c r="M3259">
        <v>-0.99997320000000001</v>
      </c>
      <c r="N3259">
        <v>0</v>
      </c>
      <c r="O3259">
        <v>4.7316190000000003E-3</v>
      </c>
      <c r="P3259">
        <v>-0.99759589999999998</v>
      </c>
      <c r="Q3259">
        <v>6.1590029999999997E-2</v>
      </c>
      <c r="R3259">
        <v>-3.176723E-2</v>
      </c>
      <c r="S3259">
        <v>-3.0107729999999999</v>
      </c>
      <c r="T3259">
        <v>-0.1507386</v>
      </c>
      <c r="U3259">
        <v>-0.17779539999999999</v>
      </c>
      <c r="V3259">
        <v>-3.6717229999999997E-2</v>
      </c>
      <c r="W3259">
        <v>6.7033369999999995E-2</v>
      </c>
      <c r="X3259">
        <v>0.99707489999999999</v>
      </c>
      <c r="Y3259">
        <v>-6.3587909999999997E-2</v>
      </c>
      <c r="Z3259">
        <v>-1.8259839999999999E-3</v>
      </c>
      <c r="AA3259">
        <v>0.99797459999999905</v>
      </c>
      <c r="AB3259">
        <v>53</v>
      </c>
      <c r="AC3259">
        <v>-21.663699999999999</v>
      </c>
      <c r="AD3259">
        <v>-1.1100146529469901</v>
      </c>
      <c r="AE3259">
        <v>-1.3119000000000001</v>
      </c>
      <c r="AF3259">
        <v>-1.4107011938989999</v>
      </c>
      <c r="AG3259">
        <v>-1.1100146529469901</v>
      </c>
      <c r="AH3259">
        <v>21.600747018540002</v>
      </c>
      <c r="AI3259">
        <v>92.935473450068798</v>
      </c>
      <c r="AJ3259">
        <v>93.736565440679499</v>
      </c>
      <c r="AK3259">
        <v>21.675204316157899</v>
      </c>
    </row>
    <row r="3260" spans="1:37" x14ac:dyDescent="0.2">
      <c r="A3260" t="str">
        <f>"20200111154130444"</f>
        <v>20200111154130444</v>
      </c>
      <c r="B3260" t="str">
        <f>"1578728490439075"</f>
        <v>1578728490439075</v>
      </c>
      <c r="C3260" t="s">
        <v>37</v>
      </c>
      <c r="D3260">
        <v>5.5145200000000001</v>
      </c>
      <c r="E3260">
        <v>0.48879449999999902</v>
      </c>
      <c r="F3260" t="s">
        <v>46</v>
      </c>
      <c r="G3260">
        <v>-311.82060000000001</v>
      </c>
      <c r="H3260" s="1">
        <v>-9.3220569999999906E-6</v>
      </c>
      <c r="I3260">
        <v>141.65</v>
      </c>
      <c r="J3260">
        <v>-289.85890000000001</v>
      </c>
      <c r="K3260">
        <v>1.110012</v>
      </c>
      <c r="L3260">
        <v>142.9915</v>
      </c>
      <c r="M3260">
        <v>-0.99997769999999997</v>
      </c>
      <c r="N3260">
        <v>0</v>
      </c>
      <c r="O3260">
        <v>3.6526659999999902E-3</v>
      </c>
      <c r="P3260">
        <v>-0.99753449999999899</v>
      </c>
      <c r="Q3260">
        <v>6.1974010000000003E-2</v>
      </c>
      <c r="R3260">
        <v>-3.2930330000000001E-2</v>
      </c>
      <c r="S3260">
        <v>-3.0107119999999998</v>
      </c>
      <c r="T3260">
        <v>-0.148402799999999</v>
      </c>
      <c r="U3260">
        <v>-0.1790466</v>
      </c>
      <c r="V3260">
        <v>-3.6807039999999999E-2</v>
      </c>
      <c r="W3260">
        <v>6.7439180000000001E-2</v>
      </c>
      <c r="X3260">
        <v>0.99704419999999905</v>
      </c>
      <c r="Y3260">
        <v>-6.2930319999999998E-2</v>
      </c>
      <c r="Z3260">
        <v>-1.7284469999999999E-3</v>
      </c>
      <c r="AA3260">
        <v>0.99801640000000003</v>
      </c>
      <c r="AB3260">
        <v>53</v>
      </c>
      <c r="AC3260">
        <v>-21.9617</v>
      </c>
      <c r="AD3260">
        <v>-1.1100213220570001</v>
      </c>
      <c r="AE3260">
        <v>-1.3414999999999899</v>
      </c>
      <c r="AF3260">
        <v>-1.4181017781099401</v>
      </c>
      <c r="AG3260">
        <v>-1.1100213220570001</v>
      </c>
      <c r="AH3260">
        <v>21.900912263846099</v>
      </c>
      <c r="AI3260">
        <v>92.895431594744494</v>
      </c>
      <c r="AJ3260">
        <v>93.704776197614805</v>
      </c>
      <c r="AK3260">
        <v>21.974829191081</v>
      </c>
    </row>
    <row r="3261" spans="1:37" x14ac:dyDescent="0.2">
      <c r="A3261" t="str">
        <f>"20200111154130467"</f>
        <v>20200111154130467</v>
      </c>
      <c r="B3261" t="str">
        <f>"1578728490459570"</f>
        <v>1578728490459570</v>
      </c>
      <c r="C3261" t="s">
        <v>37</v>
      </c>
      <c r="D3261">
        <v>5.2894309999999898</v>
      </c>
      <c r="E3261">
        <v>0.48902659999999998</v>
      </c>
      <c r="F3261" t="s">
        <v>46</v>
      </c>
      <c r="G3261">
        <v>-312.73489999999998</v>
      </c>
      <c r="H3261" s="1">
        <v>-8.9708439999999992E-6</v>
      </c>
      <c r="I3261">
        <v>141.6234</v>
      </c>
      <c r="J3261">
        <v>-290.39479999999998</v>
      </c>
      <c r="K3261">
        <v>1.1100179999999999</v>
      </c>
      <c r="L3261">
        <v>142.9932</v>
      </c>
      <c r="M3261">
        <v>-0.99998069999999895</v>
      </c>
      <c r="N3261">
        <v>0</v>
      </c>
      <c r="O3261">
        <v>2.616106E-3</v>
      </c>
      <c r="P3261">
        <v>-0.99748680000000001</v>
      </c>
      <c r="Q3261">
        <v>6.2131899999999997E-2</v>
      </c>
      <c r="R3261">
        <v>-3.4056290000000003E-2</v>
      </c>
      <c r="S3261">
        <v>-3.0105590000000002</v>
      </c>
      <c r="T3261">
        <v>-0.14608199999999999</v>
      </c>
      <c r="U3261">
        <v>-0.18005370000000001</v>
      </c>
      <c r="V3261">
        <v>-3.690073E-2</v>
      </c>
      <c r="W3261">
        <v>6.76176E-2</v>
      </c>
      <c r="X3261">
        <v>0.99702869999999999</v>
      </c>
      <c r="Y3261">
        <v>-6.2235970000000002E-2</v>
      </c>
      <c r="Z3261">
        <v>-1.634471E-3</v>
      </c>
      <c r="AA3261">
        <v>0.99806010000000001</v>
      </c>
      <c r="AB3261">
        <v>54</v>
      </c>
      <c r="AC3261">
        <v>-22.3401</v>
      </c>
      <c r="AD3261">
        <v>-1.110026970844</v>
      </c>
      <c r="AE3261">
        <v>-1.3697999999999899</v>
      </c>
      <c r="AF3261">
        <v>-1.42473600809978</v>
      </c>
      <c r="AG3261">
        <v>-1.110026970844</v>
      </c>
      <c r="AH3261">
        <v>22.281635707375301</v>
      </c>
      <c r="AI3261">
        <v>92.846201473146195</v>
      </c>
      <c r="AJ3261">
        <v>93.658635331430602</v>
      </c>
      <c r="AK3261">
        <v>22.354715886473699</v>
      </c>
    </row>
    <row r="3262" spans="1:37" x14ac:dyDescent="0.2">
      <c r="A3262" t="str">
        <f>"20200111154130489"</f>
        <v>20200111154130489</v>
      </c>
      <c r="B3262" t="str">
        <f>"1578728490479093"</f>
        <v>1578728490479093</v>
      </c>
      <c r="C3262" t="s">
        <v>37</v>
      </c>
      <c r="D3262">
        <v>5.2513459999999998</v>
      </c>
      <c r="E3262">
        <v>0.48925079999999999</v>
      </c>
      <c r="F3262" t="s">
        <v>46</v>
      </c>
      <c r="G3262">
        <v>-313.67189999999999</v>
      </c>
      <c r="H3262" s="1">
        <v>-8.6088999999999999E-6</v>
      </c>
      <c r="I3262">
        <v>141.58840000000001</v>
      </c>
      <c r="J3262">
        <v>-290.93090000000001</v>
      </c>
      <c r="K3262">
        <v>1.110028</v>
      </c>
      <c r="L3262">
        <v>142.99440000000001</v>
      </c>
      <c r="M3262">
        <v>-0.99998290000000001</v>
      </c>
      <c r="N3262">
        <v>0</v>
      </c>
      <c r="O3262">
        <v>1.57966799999999E-3</v>
      </c>
      <c r="P3262">
        <v>-0.99747369999999902</v>
      </c>
      <c r="Q3262">
        <v>6.1821309999999997E-2</v>
      </c>
      <c r="R3262">
        <v>-3.4993320000000001E-2</v>
      </c>
      <c r="S3262">
        <v>-3.010284</v>
      </c>
      <c r="T3262">
        <v>-0.14355309999999999</v>
      </c>
      <c r="U3262">
        <v>-0.1816711</v>
      </c>
      <c r="V3262">
        <v>-3.680493E-2</v>
      </c>
      <c r="W3262">
        <v>6.732929E-2</v>
      </c>
      <c r="X3262">
        <v>0.99705169999999999</v>
      </c>
      <c r="Y3262">
        <v>-6.1745599999999998E-2</v>
      </c>
      <c r="Z3262">
        <v>-1.5452979999999901E-3</v>
      </c>
      <c r="AA3262">
        <v>0.998090699999999</v>
      </c>
      <c r="AB3262">
        <v>54</v>
      </c>
      <c r="AC3262">
        <v>-22.7409999999999</v>
      </c>
      <c r="AD3262">
        <v>-1.1100366089</v>
      </c>
      <c r="AE3262">
        <v>-1.4059999999999999</v>
      </c>
      <c r="AF3262">
        <v>-1.4385076740140901</v>
      </c>
      <c r="AG3262">
        <v>-1.1100366089</v>
      </c>
      <c r="AH3262">
        <v>22.684906796710099</v>
      </c>
      <c r="AI3262">
        <v>92.795803348853099</v>
      </c>
      <c r="AJ3262">
        <v>93.628412937967099</v>
      </c>
      <c r="AK3262">
        <v>22.7575587877242</v>
      </c>
    </row>
    <row r="3263" spans="1:37" x14ac:dyDescent="0.2">
      <c r="A3263" t="str">
        <f>"20200111154130504"</f>
        <v>20200111154130504</v>
      </c>
      <c r="B3263" t="str">
        <f>"1578728490499160"</f>
        <v>1578728490499160</v>
      </c>
      <c r="C3263" t="s">
        <v>37</v>
      </c>
      <c r="D3263">
        <v>5.3141619999999996</v>
      </c>
      <c r="E3263">
        <v>0.48947550000000001</v>
      </c>
      <c r="F3263" t="s">
        <v>46</v>
      </c>
      <c r="G3263">
        <v>-314.36610000000002</v>
      </c>
      <c r="H3263" s="1">
        <v>-8.3428390000000008E-6</v>
      </c>
      <c r="I3263">
        <v>141.57050000000001</v>
      </c>
      <c r="J3263">
        <v>-291.28129999999999</v>
      </c>
      <c r="K3263">
        <v>1.1100289999999999</v>
      </c>
      <c r="L3263">
        <v>142.9948</v>
      </c>
      <c r="M3263">
        <v>-0.99998359999999997</v>
      </c>
      <c r="N3263">
        <v>0</v>
      </c>
      <c r="O3263">
        <v>9.0260410000000003E-4</v>
      </c>
      <c r="P3263">
        <v>-0.9974404</v>
      </c>
      <c r="Q3263">
        <v>6.1889979999999997E-2</v>
      </c>
      <c r="R3263">
        <v>-3.5812860000000002E-2</v>
      </c>
      <c r="S3263">
        <v>-3.0100099999999999</v>
      </c>
      <c r="T3263">
        <v>-0.14257249999999999</v>
      </c>
      <c r="U3263">
        <v>-0.1828766</v>
      </c>
      <c r="V3263">
        <v>-3.6950209999999997E-2</v>
      </c>
      <c r="W3263">
        <v>6.7411589999999993E-2</v>
      </c>
      <c r="X3263">
        <v>0.99704079999999995</v>
      </c>
      <c r="Y3263">
        <v>-6.147557E-2</v>
      </c>
      <c r="Z3263">
        <v>-1.496467E-3</v>
      </c>
      <c r="AA3263">
        <v>0.99810750000000004</v>
      </c>
      <c r="AB3263">
        <v>54</v>
      </c>
      <c r="AC3263">
        <v>-23.084800000000001</v>
      </c>
      <c r="AD3263">
        <v>-1.110037342839</v>
      </c>
      <c r="AE3263">
        <v>-1.4242999999999799</v>
      </c>
      <c r="AF3263">
        <v>-1.4418150846412601</v>
      </c>
      <c r="AG3263">
        <v>-1.110037342839</v>
      </c>
      <c r="AH3263">
        <v>23.030456218014098</v>
      </c>
      <c r="AI3263">
        <v>92.754061356032096</v>
      </c>
      <c r="AJ3263">
        <v>93.582310561687507</v>
      </c>
      <c r="AK3263">
        <v>23.102227755146501</v>
      </c>
    </row>
    <row r="3264" spans="1:37" x14ac:dyDescent="0.2">
      <c r="A3264" t="str">
        <f>"20200111154130521"</f>
        <v>20200111154130521</v>
      </c>
      <c r="B3264" t="str">
        <f>"1578728490509895"</f>
        <v>1578728490509895</v>
      </c>
      <c r="C3264" t="s">
        <v>37</v>
      </c>
      <c r="D3264">
        <v>5.2483269999999997</v>
      </c>
      <c r="E3264">
        <v>0.48957629999999902</v>
      </c>
      <c r="F3264" t="s">
        <v>46</v>
      </c>
      <c r="G3264">
        <v>-314.89499999999998</v>
      </c>
      <c r="H3264" s="1">
        <v>-8.139816E-6</v>
      </c>
      <c r="I3264">
        <v>141.55549999999999</v>
      </c>
      <c r="J3264">
        <v>-291.71230000000003</v>
      </c>
      <c r="K3264">
        <v>1.1100319999999999</v>
      </c>
      <c r="L3264">
        <v>142.99510000000001</v>
      </c>
      <c r="M3264">
        <v>-0.99998390000000004</v>
      </c>
      <c r="N3264">
        <v>0</v>
      </c>
      <c r="O3264" s="1">
        <v>7.0183649999999993E-5</v>
      </c>
      <c r="P3264">
        <v>-0.99745319999999904</v>
      </c>
      <c r="Q3264">
        <v>6.1214850000000001E-2</v>
      </c>
      <c r="R3264">
        <v>-3.660795E-2</v>
      </c>
      <c r="S3264">
        <v>-3.0098880000000001</v>
      </c>
      <c r="T3264">
        <v>-0.14148949999999999</v>
      </c>
      <c r="U3264">
        <v>-0.18345639999999999</v>
      </c>
      <c r="V3264">
        <v>-3.6914280000000001E-2</v>
      </c>
      <c r="W3264">
        <v>6.6753599999999996E-2</v>
      </c>
      <c r="X3264">
        <v>0.99708639999999904</v>
      </c>
      <c r="Y3264">
        <v>-6.0841390000000002E-2</v>
      </c>
      <c r="Z3264">
        <v>-1.431206E-3</v>
      </c>
      <c r="AA3264">
        <v>0.99814639999999999</v>
      </c>
      <c r="AB3264">
        <v>54</v>
      </c>
      <c r="AC3264">
        <v>-23.182699999999901</v>
      </c>
      <c r="AD3264">
        <v>-1.11004013981599</v>
      </c>
      <c r="AE3264">
        <v>-1.43960000000001</v>
      </c>
      <c r="AF3264">
        <v>-1.4379429454980199</v>
      </c>
      <c r="AG3264">
        <v>-1.11004013981599</v>
      </c>
      <c r="AH3264">
        <v>23.129772724351501</v>
      </c>
      <c r="AI3264">
        <v>92.7423349595757</v>
      </c>
      <c r="AJ3264">
        <v>93.557413524573406</v>
      </c>
      <c r="AK3264">
        <v>23.2009968601925</v>
      </c>
    </row>
    <row r="3265" spans="1:37" x14ac:dyDescent="0.2">
      <c r="A3265" t="str">
        <f>"20200111154130546"</f>
        <v>20200111154130546</v>
      </c>
      <c r="B3265" t="str">
        <f>"1578728490539176"</f>
        <v>1578728490539176</v>
      </c>
      <c r="C3265" t="s">
        <v>37</v>
      </c>
      <c r="D3265">
        <v>5.2793659999999996</v>
      </c>
      <c r="E3265">
        <v>0.4897977</v>
      </c>
      <c r="F3265" t="s">
        <v>46</v>
      </c>
      <c r="G3265">
        <v>-315.04419999999999</v>
      </c>
      <c r="H3265" s="1">
        <v>-8.0793189999999993E-6</v>
      </c>
      <c r="I3265">
        <v>141.56120000000001</v>
      </c>
      <c r="J3265">
        <v>-292.27940000000001</v>
      </c>
      <c r="K3265">
        <v>1.1100410000000001</v>
      </c>
      <c r="L3265">
        <v>142.9948</v>
      </c>
      <c r="M3265">
        <v>-0.99998330000000002</v>
      </c>
      <c r="N3265">
        <v>0</v>
      </c>
      <c r="O3265">
        <v>-1.024486E-3</v>
      </c>
      <c r="P3265">
        <v>-0.9974459</v>
      </c>
      <c r="Q3265">
        <v>6.0540009999999998E-2</v>
      </c>
      <c r="R3265">
        <v>-3.7902600000000002E-2</v>
      </c>
      <c r="S3265">
        <v>-3.0097049999999999</v>
      </c>
      <c r="T3265">
        <v>-0.14319009999999999</v>
      </c>
      <c r="U3265">
        <v>-0.18496699999999999</v>
      </c>
      <c r="V3265">
        <v>-3.7116070000000001E-2</v>
      </c>
      <c r="W3265">
        <v>6.6101320000000005E-2</v>
      </c>
      <c r="X3265">
        <v>0.99712230000000002</v>
      </c>
      <c r="Y3265">
        <v>-6.0251800000000001E-2</v>
      </c>
      <c r="Z3265">
        <v>-1.3824479999999899E-3</v>
      </c>
      <c r="AA3265">
        <v>0.99818220000000002</v>
      </c>
      <c r="AB3265">
        <v>54</v>
      </c>
      <c r="AC3265">
        <v>-22.764799999999902</v>
      </c>
      <c r="AD3265">
        <v>-1.1100490793190001</v>
      </c>
      <c r="AE3265">
        <v>-1.43359999999998</v>
      </c>
      <c r="AF3265">
        <v>-1.40694457653162</v>
      </c>
      <c r="AG3265">
        <v>-1.1100490793190001</v>
      </c>
      <c r="AH3265">
        <v>22.712466713696202</v>
      </c>
      <c r="AI3265">
        <v>92.792702843710998</v>
      </c>
      <c r="AJ3265">
        <v>93.544710194144301</v>
      </c>
      <c r="AK3265">
        <v>22.7830605104031</v>
      </c>
    </row>
    <row r="3266" spans="1:37" x14ac:dyDescent="0.2">
      <c r="A3266" t="str">
        <f>"20200111154130559"</f>
        <v>20200111154130559</v>
      </c>
      <c r="B3266" t="str">
        <f>"1578728490548935"</f>
        <v>1578728490548935</v>
      </c>
      <c r="C3266" t="s">
        <v>37</v>
      </c>
      <c r="D3266">
        <v>5.29108</v>
      </c>
      <c r="E3266">
        <v>0.48978260000000001</v>
      </c>
      <c r="F3266" t="s">
        <v>46</v>
      </c>
      <c r="G3266">
        <v>-315.31180000000001</v>
      </c>
      <c r="H3266" s="1">
        <v>-7.9609640000000004E-6</v>
      </c>
      <c r="I3266">
        <v>141.56229999999999</v>
      </c>
      <c r="J3266">
        <v>-292.63049999999998</v>
      </c>
      <c r="K3266">
        <v>1.110044</v>
      </c>
      <c r="L3266">
        <v>142.99430000000001</v>
      </c>
      <c r="M3266">
        <v>-0.99998229999999999</v>
      </c>
      <c r="N3266">
        <v>0</v>
      </c>
      <c r="O3266">
        <v>-1.7012450000000001E-3</v>
      </c>
      <c r="P3266">
        <v>-0.99742399999999998</v>
      </c>
      <c r="Q3266">
        <v>6.0500279999999997E-2</v>
      </c>
      <c r="R3266">
        <v>-3.8538330000000003E-2</v>
      </c>
      <c r="S3266">
        <v>-3.009369</v>
      </c>
      <c r="T3266">
        <v>-0.1450371</v>
      </c>
      <c r="U3266">
        <v>-0.18716429999999901</v>
      </c>
      <c r="V3266">
        <v>-3.7077140000000001E-2</v>
      </c>
      <c r="W3266">
        <v>6.6076099999999999E-2</v>
      </c>
      <c r="X3266">
        <v>0.997125499999999</v>
      </c>
      <c r="Y3266">
        <v>-6.0308090000000002E-2</v>
      </c>
      <c r="Z3266">
        <v>-1.369171E-3</v>
      </c>
      <c r="AA3266">
        <v>0.99817889999999998</v>
      </c>
      <c r="AB3266">
        <v>54</v>
      </c>
      <c r="AC3266">
        <v>-22.6813</v>
      </c>
      <c r="AD3266">
        <v>-1.1100519609639901</v>
      </c>
      <c r="AE3266">
        <v>-1.4320000000000099</v>
      </c>
      <c r="AF3266">
        <v>-1.3900944490404901</v>
      </c>
      <c r="AG3266">
        <v>-1.1100519609639901</v>
      </c>
      <c r="AH3266">
        <v>22.629714794155198</v>
      </c>
      <c r="AI3266">
        <v>92.802995253143095</v>
      </c>
      <c r="AJ3266">
        <v>93.515138971163296</v>
      </c>
      <c r="AK3266">
        <v>22.699527959807899</v>
      </c>
    </row>
    <row r="3267" spans="1:37" x14ac:dyDescent="0.2">
      <c r="A3267" t="str">
        <f>"20200111154130580"</f>
        <v>20200111154130580</v>
      </c>
      <c r="B3267" t="str">
        <f>"1578728490569267"</f>
        <v>1578728490569267</v>
      </c>
      <c r="C3267" t="s">
        <v>37</v>
      </c>
      <c r="D3267">
        <v>5.2711629999999996</v>
      </c>
      <c r="E3267">
        <v>0.48980649999999998</v>
      </c>
      <c r="F3267" t="s">
        <v>46</v>
      </c>
      <c r="G3267">
        <v>-315.54849999999999</v>
      </c>
      <c r="H3267" s="1">
        <v>-7.8541139999999999E-6</v>
      </c>
      <c r="I3267">
        <v>141.55510000000001</v>
      </c>
      <c r="J3267">
        <v>-293.11369999999999</v>
      </c>
      <c r="K3267">
        <v>1.1100459999999901</v>
      </c>
      <c r="L3267">
        <v>142.9933</v>
      </c>
      <c r="M3267">
        <v>-0.99997999999999998</v>
      </c>
      <c r="N3267">
        <v>0</v>
      </c>
      <c r="O3267">
        <v>-2.632442E-3</v>
      </c>
      <c r="P3267">
        <v>-0.99739500000000003</v>
      </c>
      <c r="Q3267">
        <v>6.0252399999999998E-2</v>
      </c>
      <c r="R3267">
        <v>-3.9661160000000001E-2</v>
      </c>
      <c r="S3267">
        <v>-3.009277</v>
      </c>
      <c r="T3267">
        <v>-0.145757</v>
      </c>
      <c r="U3267">
        <v>-0.18898010000000001</v>
      </c>
      <c r="V3267">
        <v>-3.7271699999999998E-2</v>
      </c>
      <c r="W3267">
        <v>6.5846760000000004E-2</v>
      </c>
      <c r="X3267">
        <v>0.99713339999999995</v>
      </c>
      <c r="Y3267">
        <v>-5.9981220000000002E-2</v>
      </c>
      <c r="Z3267">
        <v>-1.3230410000000001E-3</v>
      </c>
      <c r="AA3267">
        <v>0.99819859999999905</v>
      </c>
      <c r="AB3267">
        <v>54</v>
      </c>
      <c r="AC3267">
        <v>-22.434799999999999</v>
      </c>
      <c r="AD3267">
        <v>-1.1100538541139999</v>
      </c>
      <c r="AE3267">
        <v>-1.4381999999999899</v>
      </c>
      <c r="AF3267">
        <v>-1.3757813522051301</v>
      </c>
      <c r="AG3267">
        <v>-1.1100538541139999</v>
      </c>
      <c r="AH3267">
        <v>22.383932645427102</v>
      </c>
      <c r="AI3267">
        <v>92.833721823362794</v>
      </c>
      <c r="AJ3267">
        <v>93.517140175997</v>
      </c>
      <c r="AK3267">
        <v>22.453628538904901</v>
      </c>
    </row>
    <row r="3268" spans="1:37" x14ac:dyDescent="0.2">
      <c r="A3268" t="str">
        <f>"20200111154130601"</f>
        <v>20200111154130601</v>
      </c>
      <c r="B3268" t="str">
        <f>"1578728490589764"</f>
        <v>1578728490589764</v>
      </c>
      <c r="C3268" t="s">
        <v>37</v>
      </c>
      <c r="D3268">
        <v>5.1899220000000001</v>
      </c>
      <c r="E3268">
        <v>0.48973850000000002</v>
      </c>
      <c r="F3268" t="s">
        <v>46</v>
      </c>
      <c r="G3268">
        <v>-315.72149999999999</v>
      </c>
      <c r="H3268" s="1">
        <v>-7.7760350000000005E-6</v>
      </c>
      <c r="I3268">
        <v>141.55000000000001</v>
      </c>
      <c r="J3268">
        <v>-293.62830000000002</v>
      </c>
      <c r="K3268">
        <v>1.1100459999999901</v>
      </c>
      <c r="L3268">
        <v>142.99180000000001</v>
      </c>
      <c r="M3268">
        <v>-0.99997689999999995</v>
      </c>
      <c r="N3268">
        <v>0</v>
      </c>
      <c r="O3268">
        <v>-3.623608E-3</v>
      </c>
      <c r="P3268">
        <v>-0.99735189999999996</v>
      </c>
      <c r="Q3268">
        <v>6.009345E-2</v>
      </c>
      <c r="R3268">
        <v>-4.0965109999999999E-2</v>
      </c>
      <c r="S3268">
        <v>-3.009125</v>
      </c>
      <c r="T3268">
        <v>-0.14774949999999901</v>
      </c>
      <c r="U3268">
        <v>-0.19210820000000001</v>
      </c>
      <c r="V3268">
        <v>-3.7588219999999999E-2</v>
      </c>
      <c r="W3268">
        <v>6.5707829999999995E-2</v>
      </c>
      <c r="X3268">
        <v>0.99713069999999904</v>
      </c>
      <c r="Y3268">
        <v>-6.0027780000000003E-2</v>
      </c>
      <c r="Z3268">
        <v>-1.293684E-3</v>
      </c>
      <c r="AA3268">
        <v>0.99819590000000002</v>
      </c>
      <c r="AB3268">
        <v>54</v>
      </c>
      <c r="AC3268">
        <v>-22.0931999999999</v>
      </c>
      <c r="AD3268">
        <v>-1.11005377603499</v>
      </c>
      <c r="AE3268">
        <v>-1.4418</v>
      </c>
      <c r="AF3268">
        <v>-1.3583176190712001</v>
      </c>
      <c r="AG3268">
        <v>-1.11005377603499</v>
      </c>
      <c r="AH3268">
        <v>22.042868902336501</v>
      </c>
      <c r="AI3268">
        <v>92.877465997880705</v>
      </c>
      <c r="AJ3268">
        <v>93.526200855080404</v>
      </c>
      <c r="AK3268">
        <v>22.112560131869898</v>
      </c>
    </row>
    <row r="3269" spans="1:37" x14ac:dyDescent="0.2">
      <c r="A3269" t="str">
        <f>"20200111154130622"</f>
        <v>20200111154130622</v>
      </c>
      <c r="B3269" t="str">
        <f>"1578728490619663"</f>
        <v>1578728490619663</v>
      </c>
      <c r="C3269" t="s">
        <v>37</v>
      </c>
      <c r="D3269">
        <v>5.3638329999999996</v>
      </c>
      <c r="E3269">
        <v>0.4489649</v>
      </c>
      <c r="F3269" t="s">
        <v>46</v>
      </c>
      <c r="G3269">
        <v>-316.0206</v>
      </c>
      <c r="H3269" s="1">
        <v>-7.6380179999999996E-6</v>
      </c>
      <c r="I3269">
        <v>141.52959999999999</v>
      </c>
      <c r="J3269">
        <v>-294.15660000000003</v>
      </c>
      <c r="K3269">
        <v>1.1100490000000001</v>
      </c>
      <c r="L3269">
        <v>142.9897</v>
      </c>
      <c r="M3269">
        <v>-0.99997259999999999</v>
      </c>
      <c r="N3269">
        <v>0</v>
      </c>
      <c r="O3269">
        <v>-4.6404050000000002E-3</v>
      </c>
      <c r="P3269">
        <v>-0.99730409999999903</v>
      </c>
      <c r="Q3269">
        <v>5.9885859999999999E-2</v>
      </c>
      <c r="R3269">
        <v>-4.2409090000000003E-2</v>
      </c>
      <c r="S3269">
        <v>-3.0088810000000001</v>
      </c>
      <c r="T3269">
        <v>-0.1491595</v>
      </c>
      <c r="U3269">
        <v>-0.19647220000000001</v>
      </c>
      <c r="V3269">
        <v>-3.8018040000000003E-2</v>
      </c>
      <c r="W3269">
        <v>6.5519389999999997E-2</v>
      </c>
      <c r="X3269">
        <v>0.99712679999999998</v>
      </c>
      <c r="Y3269">
        <v>-6.0459100000000002E-2</v>
      </c>
      <c r="Z3269">
        <v>-1.266414E-3</v>
      </c>
      <c r="AA3269">
        <v>0.99816990000000005</v>
      </c>
      <c r="AB3269">
        <v>54</v>
      </c>
      <c r="AC3269">
        <v>-21.863999999999901</v>
      </c>
      <c r="AD3269">
        <v>-1.1100566380179999</v>
      </c>
      <c r="AE3269">
        <v>-1.4601000000000099</v>
      </c>
      <c r="AF3269">
        <v>-1.35514713366585</v>
      </c>
      <c r="AG3269">
        <v>-1.1100566380179999</v>
      </c>
      <c r="AH3269">
        <v>21.814558602205398</v>
      </c>
      <c r="AI3269">
        <v>92.907448142371507</v>
      </c>
      <c r="AJ3269">
        <v>93.554716181445301</v>
      </c>
      <c r="AK3269">
        <v>21.884780476453201</v>
      </c>
    </row>
    <row r="3270" spans="1:37" x14ac:dyDescent="0.2">
      <c r="A3270" t="str">
        <f>"20200111154130637"</f>
        <v>20200111154130637</v>
      </c>
      <c r="B3270" t="str">
        <f>"1578728490629422"</f>
        <v>1578728490629422</v>
      </c>
      <c r="C3270" t="s">
        <v>37</v>
      </c>
      <c r="D3270">
        <v>5.2509199999999998</v>
      </c>
      <c r="E3270">
        <v>0.4465325</v>
      </c>
      <c r="F3270" t="s">
        <v>46</v>
      </c>
      <c r="G3270">
        <v>-310.22280000000001</v>
      </c>
      <c r="H3270" s="1">
        <v>-9.5362469999999904E-6</v>
      </c>
      <c r="I3270">
        <v>140.1788</v>
      </c>
      <c r="J3270">
        <v>-294.51519999999999</v>
      </c>
      <c r="K3270">
        <v>1.1100479999999999</v>
      </c>
      <c r="L3270">
        <v>142.9879</v>
      </c>
      <c r="M3270">
        <v>-0.999969</v>
      </c>
      <c r="N3270">
        <v>0</v>
      </c>
      <c r="O3270">
        <v>-5.3299130000000004E-3</v>
      </c>
      <c r="P3270">
        <v>-0.99729439999999903</v>
      </c>
      <c r="Q3270">
        <v>5.9605150000000003E-2</v>
      </c>
      <c r="R3270">
        <v>-4.302624E-2</v>
      </c>
      <c r="S3270">
        <v>-2.99823</v>
      </c>
      <c r="T3270">
        <v>-0.2071566</v>
      </c>
      <c r="U3270">
        <v>-0.52456669999999905</v>
      </c>
      <c r="V3270">
        <v>-3.794786E-2</v>
      </c>
      <c r="W3270">
        <v>6.5253889999999995E-2</v>
      </c>
      <c r="X3270">
        <v>0.99714689999999995</v>
      </c>
      <c r="Y3270">
        <v>-0.166715</v>
      </c>
      <c r="Z3270">
        <v>-5.3443290000000001E-3</v>
      </c>
      <c r="AA3270">
        <v>0.98599059999999905</v>
      </c>
      <c r="AB3270">
        <v>55</v>
      </c>
      <c r="AC3270">
        <v>-15.707599999999999</v>
      </c>
      <c r="AD3270">
        <v>-1.110057536247</v>
      </c>
      <c r="AE3270">
        <v>-2.8090999999999999</v>
      </c>
      <c r="AF3270">
        <v>-2.71221284424163</v>
      </c>
      <c r="AG3270">
        <v>-1.110057536247</v>
      </c>
      <c r="AH3270">
        <v>15.6466278117451</v>
      </c>
      <c r="AI3270">
        <v>93.998645345531202</v>
      </c>
      <c r="AJ3270">
        <v>99.834028573987396</v>
      </c>
      <c r="AK3270">
        <v>15.9187087455461</v>
      </c>
    </row>
    <row r="3271" spans="1:37" x14ac:dyDescent="0.2">
      <c r="A3271" t="str">
        <f>"20200111154130656"</f>
        <v>20200111154130656</v>
      </c>
      <c r="B3271" t="str">
        <f>"1578728490649918"</f>
        <v>1578728490649918</v>
      </c>
      <c r="C3271" t="s">
        <v>37</v>
      </c>
      <c r="D3271">
        <v>5.2008130000000001</v>
      </c>
      <c r="E3271">
        <v>0.44432089999999902</v>
      </c>
      <c r="F3271" t="s">
        <v>46</v>
      </c>
      <c r="G3271">
        <v>-310.5924</v>
      </c>
      <c r="H3271" s="1">
        <v>-9.3645860000000001E-6</v>
      </c>
      <c r="I3271">
        <v>140.0598</v>
      </c>
      <c r="J3271">
        <v>-294.99799999999999</v>
      </c>
      <c r="K3271">
        <v>1.1100449999999999</v>
      </c>
      <c r="L3271">
        <v>142.98519999999999</v>
      </c>
      <c r="M3271">
        <v>-0.99996350000000001</v>
      </c>
      <c r="N3271">
        <v>0</v>
      </c>
      <c r="O3271">
        <v>-6.2576419999999999E-3</v>
      </c>
      <c r="P3271">
        <v>-0.99726550000000003</v>
      </c>
      <c r="Q3271">
        <v>5.9440899999999998E-2</v>
      </c>
      <c r="R3271">
        <v>-4.391598E-2</v>
      </c>
      <c r="S3271">
        <v>-2.9969480000000002</v>
      </c>
      <c r="T3271">
        <v>-0.20692529999999901</v>
      </c>
      <c r="U3271">
        <v>-0.54583740000000003</v>
      </c>
      <c r="V3271">
        <v>-3.7912559999999998E-2</v>
      </c>
      <c r="W3271">
        <v>6.5109719999999996E-2</v>
      </c>
      <c r="X3271">
        <v>0.99715759999999898</v>
      </c>
      <c r="Y3271">
        <v>-0.17264009999999999</v>
      </c>
      <c r="Z3271">
        <v>-5.4765329999999996E-3</v>
      </c>
      <c r="AA3271">
        <v>0.98496969999999995</v>
      </c>
      <c r="AB3271">
        <v>55</v>
      </c>
      <c r="AC3271">
        <v>-15.5944</v>
      </c>
      <c r="AD3271">
        <v>-1.1100543645859999</v>
      </c>
      <c r="AE3271">
        <v>-2.92539999999999</v>
      </c>
      <c r="AF3271">
        <v>-2.8139831501118402</v>
      </c>
      <c r="AG3271">
        <v>-1.1100543645859999</v>
      </c>
      <c r="AH3271">
        <v>15.536354489917899</v>
      </c>
      <c r="AI3271">
        <v>94.021559561523105</v>
      </c>
      <c r="AJ3271">
        <v>100.266256854709</v>
      </c>
      <c r="AK3271">
        <v>15.828108942569299</v>
      </c>
    </row>
    <row r="3272" spans="1:37" x14ac:dyDescent="0.2">
      <c r="A3272" t="str">
        <f>"20200111154130679"</f>
        <v>20200111154130679</v>
      </c>
      <c r="B3272" t="str">
        <f>"1578728490669438"</f>
        <v>1578728490669438</v>
      </c>
      <c r="C3272" t="s">
        <v>37</v>
      </c>
      <c r="D3272">
        <v>5.1934199999999997</v>
      </c>
      <c r="E3272">
        <v>0.4433241</v>
      </c>
      <c r="F3272" t="s">
        <v>46</v>
      </c>
      <c r="G3272">
        <v>-311.3236</v>
      </c>
      <c r="H3272" s="1">
        <v>-9.0468759999999906E-6</v>
      </c>
      <c r="I3272">
        <v>139.89879999999999</v>
      </c>
      <c r="J3272">
        <v>-295.55020000000002</v>
      </c>
      <c r="K3272">
        <v>1.1100490000000001</v>
      </c>
      <c r="L3272">
        <v>142.98150000000001</v>
      </c>
      <c r="M3272">
        <v>-0.99995630000000002</v>
      </c>
      <c r="N3272">
        <v>0</v>
      </c>
      <c r="O3272">
        <v>-7.3183090000000003E-3</v>
      </c>
      <c r="P3272">
        <v>-0.99724259999999998</v>
      </c>
      <c r="Q3272">
        <v>5.9207410000000002E-2</v>
      </c>
      <c r="R3272">
        <v>-4.4739800000000003E-2</v>
      </c>
      <c r="S3272">
        <v>-2.9954529999999999</v>
      </c>
      <c r="T3272">
        <v>-0.20367469999999999</v>
      </c>
      <c r="U3272">
        <v>-0.56628420000000002</v>
      </c>
      <c r="V3272">
        <v>-3.7678650000000001E-2</v>
      </c>
      <c r="W3272">
        <v>6.4899879999999993E-2</v>
      </c>
      <c r="X3272">
        <v>0.99718019999999996</v>
      </c>
      <c r="Y3272">
        <v>-0.1781808</v>
      </c>
      <c r="Z3272">
        <v>-5.5051450000000004E-3</v>
      </c>
      <c r="AA3272">
        <v>0.98398240000000003</v>
      </c>
      <c r="AB3272">
        <v>55</v>
      </c>
      <c r="AC3272">
        <v>-15.773399999999899</v>
      </c>
      <c r="AD3272">
        <v>-1.110058046876</v>
      </c>
      <c r="AE3272">
        <v>-3.0827000000000102</v>
      </c>
      <c r="AF3272">
        <v>-2.9530932195547401</v>
      </c>
      <c r="AG3272">
        <v>-1.110058046876</v>
      </c>
      <c r="AH3272">
        <v>15.7205436610184</v>
      </c>
      <c r="AI3272">
        <v>93.969854170721803</v>
      </c>
      <c r="AJ3272">
        <v>100.638988109366</v>
      </c>
      <c r="AK3272">
        <v>16.033978964336999</v>
      </c>
    </row>
    <row r="3273" spans="1:37" x14ac:dyDescent="0.2">
      <c r="A3273" t="str">
        <f>"20200111154130700"</f>
        <v>20200111154130700</v>
      </c>
      <c r="B3273" t="str">
        <f>"1578728490688958"</f>
        <v>1578728490688958</v>
      </c>
      <c r="C3273" t="s">
        <v>37</v>
      </c>
      <c r="D3273">
        <v>5.1981510000000002</v>
      </c>
      <c r="E3273">
        <v>0.44290159999999901</v>
      </c>
      <c r="F3273" t="s">
        <v>46</v>
      </c>
      <c r="G3273">
        <v>-311.83</v>
      </c>
      <c r="H3273" s="1">
        <v>-8.8423659999999904E-6</v>
      </c>
      <c r="I3273">
        <v>139.84630000000001</v>
      </c>
      <c r="J3273">
        <v>-296.07670000000002</v>
      </c>
      <c r="K3273">
        <v>1.1100559999999999</v>
      </c>
      <c r="L3273">
        <v>142.97749999999999</v>
      </c>
      <c r="M3273">
        <v>-0.99994810000000001</v>
      </c>
      <c r="N3273">
        <v>0</v>
      </c>
      <c r="O3273">
        <v>-8.3285400000000006E-3</v>
      </c>
      <c r="P3273">
        <v>-0.99723169999999905</v>
      </c>
      <c r="Q3273">
        <v>5.8962720000000003E-2</v>
      </c>
      <c r="R3273">
        <v>-4.5304049999999998E-2</v>
      </c>
      <c r="S3273">
        <v>-2.994507</v>
      </c>
      <c r="T3273">
        <v>-0.20418359999999999</v>
      </c>
      <c r="U3273">
        <v>-0.576690699999999</v>
      </c>
      <c r="V3273">
        <v>-3.7235560000000001E-2</v>
      </c>
      <c r="W3273">
        <v>6.4678150000000004E-2</v>
      </c>
      <c r="X3273">
        <v>0.99721119999999996</v>
      </c>
      <c r="Y3273">
        <v>-0.18053759999999999</v>
      </c>
      <c r="Z3273">
        <v>-5.5301739999999997E-3</v>
      </c>
      <c r="AA3273">
        <v>0.9835526</v>
      </c>
      <c r="AB3273">
        <v>55</v>
      </c>
      <c r="AC3273">
        <v>-15.7532999999999</v>
      </c>
      <c r="AD3273">
        <v>-1.110064842366</v>
      </c>
      <c r="AE3273">
        <v>-3.13119999999997</v>
      </c>
      <c r="AF3273">
        <v>-2.98562577439401</v>
      </c>
      <c r="AG3273">
        <v>-1.110064842366</v>
      </c>
      <c r="AH3273">
        <v>15.703820282391201</v>
      </c>
      <c r="AI3273">
        <v>93.972450795727596</v>
      </c>
      <c r="AJ3273">
        <v>100.764657325171</v>
      </c>
      <c r="AK3273">
        <v>16.0236130969461</v>
      </c>
    </row>
    <row r="3274" spans="1:37" x14ac:dyDescent="0.2">
      <c r="A3274" t="str">
        <f>"20200111154130715"</f>
        <v>20200111154130715</v>
      </c>
      <c r="B3274" t="str">
        <f>"1578728490709050"</f>
        <v>1578728490709050</v>
      </c>
      <c r="C3274" t="s">
        <v>37</v>
      </c>
      <c r="D3274">
        <v>5.2489600000000003</v>
      </c>
      <c r="E3274">
        <v>0.44268959999999902</v>
      </c>
      <c r="F3274" t="s">
        <v>46</v>
      </c>
      <c r="G3274">
        <v>-312.2602</v>
      </c>
      <c r="H3274" s="1">
        <v>-8.6773010000000002E-6</v>
      </c>
      <c r="I3274">
        <v>139.83439999999999</v>
      </c>
      <c r="J3274">
        <v>-296.43970000000002</v>
      </c>
      <c r="K3274">
        <v>1.1100570000000001</v>
      </c>
      <c r="L3274">
        <v>142.9743</v>
      </c>
      <c r="M3274">
        <v>-0.99994209999999994</v>
      </c>
      <c r="N3274">
        <v>0</v>
      </c>
      <c r="O3274">
        <v>-9.0247209999999994E-3</v>
      </c>
      <c r="P3274">
        <v>-0.99721249999999995</v>
      </c>
      <c r="Q3274">
        <v>5.8967459999999999E-2</v>
      </c>
      <c r="R3274">
        <v>-4.5720610000000002E-2</v>
      </c>
      <c r="S3274">
        <v>-2.99401899999999</v>
      </c>
      <c r="T3274">
        <v>-0.20536679999999899</v>
      </c>
      <c r="U3274">
        <v>-0.5814819</v>
      </c>
      <c r="V3274">
        <v>-3.6958749999999999E-2</v>
      </c>
      <c r="W3274">
        <v>6.4699069999999997E-2</v>
      </c>
      <c r="X3274">
        <v>0.997220199999999</v>
      </c>
      <c r="Y3274">
        <v>-0.1813949</v>
      </c>
      <c r="Z3274">
        <v>-5.5440680000000001E-3</v>
      </c>
      <c r="AA3274">
        <v>0.98339469999999995</v>
      </c>
      <c r="AB3274">
        <v>55</v>
      </c>
      <c r="AC3274">
        <v>-15.8204999999999</v>
      </c>
      <c r="AD3274">
        <v>-1.110065677301</v>
      </c>
      <c r="AE3274">
        <v>-3.1399000000000101</v>
      </c>
      <c r="AF3274">
        <v>-2.98286506395957</v>
      </c>
      <c r="AG3274">
        <v>-1.110065677301</v>
      </c>
      <c r="AH3274">
        <v>15.773478283053599</v>
      </c>
      <c r="AI3274">
        <v>93.955698841073598</v>
      </c>
      <c r="AJ3274">
        <v>100.70854118834301</v>
      </c>
      <c r="AK3274">
        <v>16.091374923967098</v>
      </c>
    </row>
    <row r="3275" spans="1:37" x14ac:dyDescent="0.2">
      <c r="A3275" t="str">
        <f>"20200111154130735"</f>
        <v>20200111154130735</v>
      </c>
      <c r="B3275" t="str">
        <f>"1578728490729546"</f>
        <v>1578728490729546</v>
      </c>
      <c r="C3275" t="s">
        <v>37</v>
      </c>
      <c r="D3275">
        <v>5.2348290000000004</v>
      </c>
      <c r="E3275">
        <v>0.4426929</v>
      </c>
      <c r="F3275" t="s">
        <v>46</v>
      </c>
      <c r="G3275">
        <v>-312.7568</v>
      </c>
      <c r="H3275" s="1">
        <v>-8.4783899999999993E-6</v>
      </c>
      <c r="I3275">
        <v>139.78909999999999</v>
      </c>
      <c r="J3275">
        <v>-296.91449999999998</v>
      </c>
      <c r="K3275">
        <v>1.1100570000000001</v>
      </c>
      <c r="L3275">
        <v>142.9699</v>
      </c>
      <c r="M3275">
        <v>-0.99993339999999997</v>
      </c>
      <c r="N3275">
        <v>0</v>
      </c>
      <c r="O3275">
        <v>-9.9345590000000008E-3</v>
      </c>
      <c r="P3275">
        <v>-0.99718469999999904</v>
      </c>
      <c r="Q3275">
        <v>5.8795750000000001E-2</v>
      </c>
      <c r="R3275">
        <v>-4.6540129999999999E-2</v>
      </c>
      <c r="S3275">
        <v>-2.9936219999999998</v>
      </c>
      <c r="T3275">
        <v>-0.20365849999999999</v>
      </c>
      <c r="U3275">
        <v>-0.58438109999999999</v>
      </c>
      <c r="V3275">
        <v>-3.6870680000000003E-2</v>
      </c>
      <c r="W3275">
        <v>6.4546800000000001E-2</v>
      </c>
      <c r="X3275">
        <v>0.99723329999999999</v>
      </c>
      <c r="Y3275">
        <v>-0.18145049999999999</v>
      </c>
      <c r="Z3275">
        <v>-5.4389149999999999E-3</v>
      </c>
      <c r="AA3275">
        <v>0.98338499999999995</v>
      </c>
      <c r="AB3275">
        <v>55</v>
      </c>
      <c r="AC3275">
        <v>-15.8423</v>
      </c>
      <c r="AD3275">
        <v>-1.1100654783899999</v>
      </c>
      <c r="AE3275">
        <v>-3.1808000000000001</v>
      </c>
      <c r="AF3275">
        <v>-3.0090527872890198</v>
      </c>
      <c r="AG3275">
        <v>-1.1100654783899999</v>
      </c>
      <c r="AH3275">
        <v>15.7985570912667</v>
      </c>
      <c r="AI3275">
        <v>93.948459862112898</v>
      </c>
      <c r="AJ3275">
        <v>100.783611291273</v>
      </c>
      <c r="AK3275">
        <v>16.1208265981933</v>
      </c>
    </row>
    <row r="3276" spans="1:37" x14ac:dyDescent="0.2">
      <c r="A3276" t="str">
        <f>"20200111154130757"</f>
        <v>20200111154130757</v>
      </c>
      <c r="B3276" t="str">
        <f>"1578728490749065"</f>
        <v>1578728490749065</v>
      </c>
      <c r="C3276" t="s">
        <v>37</v>
      </c>
      <c r="D3276">
        <v>5.1887019999999904</v>
      </c>
      <c r="E3276">
        <v>0.44275900000000001</v>
      </c>
      <c r="F3276" t="s">
        <v>46</v>
      </c>
      <c r="G3276">
        <v>-313.26929999999999</v>
      </c>
      <c r="H3276" s="1">
        <v>-8.2789350000000004E-6</v>
      </c>
      <c r="I3276">
        <v>139.76439999999999</v>
      </c>
      <c r="J3276">
        <v>-297.49689999999998</v>
      </c>
      <c r="K3276">
        <v>1.110058</v>
      </c>
      <c r="L3276">
        <v>142.9639</v>
      </c>
      <c r="M3276">
        <v>-0.99992150000000002</v>
      </c>
      <c r="N3276">
        <v>0</v>
      </c>
      <c r="O3276">
        <v>-1.1048270000000001E-2</v>
      </c>
      <c r="P3276">
        <v>-0.99715859999999901</v>
      </c>
      <c r="Q3276">
        <v>5.8658960000000003E-2</v>
      </c>
      <c r="R3276">
        <v>-4.7267459999999997E-2</v>
      </c>
      <c r="S3276">
        <v>-2.9930729999999999</v>
      </c>
      <c r="T3276">
        <v>-0.203151</v>
      </c>
      <c r="U3276">
        <v>-0.58663940000000003</v>
      </c>
      <c r="V3276">
        <v>-3.648767E-2</v>
      </c>
      <c r="W3276">
        <v>6.443546E-2</v>
      </c>
      <c r="X3276">
        <v>0.99725459999999999</v>
      </c>
      <c r="Y3276">
        <v>-0.18110899999999999</v>
      </c>
      <c r="Z3276">
        <v>-5.3397560000000002E-3</v>
      </c>
      <c r="AA3276">
        <v>0.98344859999999901</v>
      </c>
      <c r="AB3276">
        <v>55</v>
      </c>
      <c r="AC3276">
        <v>-15.772399999999999</v>
      </c>
      <c r="AD3276">
        <v>-1.110066278935</v>
      </c>
      <c r="AE3276">
        <v>-3.1995</v>
      </c>
      <c r="AF3276">
        <v>-3.0107201003797601</v>
      </c>
      <c r="AG3276">
        <v>-1.110066278935</v>
      </c>
      <c r="AH3276">
        <v>15.731940406481501</v>
      </c>
      <c r="AI3276">
        <v>93.964464883934397</v>
      </c>
      <c r="AJ3276">
        <v>100.83405493005201</v>
      </c>
      <c r="AK3276">
        <v>16.0558597284463</v>
      </c>
    </row>
    <row r="3277" spans="1:37" x14ac:dyDescent="0.2">
      <c r="A3277" t="str">
        <f>"20200111154130772"</f>
        <v>20200111154130772</v>
      </c>
      <c r="B3277" t="str">
        <f>"1578728490769561"</f>
        <v>1578728490769561</v>
      </c>
      <c r="C3277" t="s">
        <v>37</v>
      </c>
      <c r="D3277">
        <v>5.2621469999999997</v>
      </c>
      <c r="E3277">
        <v>0.44274479999999999</v>
      </c>
      <c r="F3277" t="s">
        <v>46</v>
      </c>
      <c r="G3277">
        <v>-313.8032</v>
      </c>
      <c r="H3277" s="1">
        <v>-8.0765239999999902E-6</v>
      </c>
      <c r="I3277">
        <v>139.75890000000001</v>
      </c>
      <c r="J3277">
        <v>-297.8492</v>
      </c>
      <c r="K3277">
        <v>1.110058</v>
      </c>
      <c r="L3277">
        <v>142.9599</v>
      </c>
      <c r="M3277">
        <v>-0.99991369999999902</v>
      </c>
      <c r="N3277">
        <v>0</v>
      </c>
      <c r="O3277">
        <v>-1.171725E-2</v>
      </c>
      <c r="P3277">
        <v>-0.99714480000000005</v>
      </c>
      <c r="Q3277">
        <v>5.8260149999999997E-2</v>
      </c>
      <c r="R3277">
        <v>-4.8045709999999998E-2</v>
      </c>
      <c r="S3277">
        <v>-2.992645</v>
      </c>
      <c r="T3277">
        <v>-0.20372750000000001</v>
      </c>
      <c r="U3277">
        <v>-0.58819580000000005</v>
      </c>
      <c r="V3277">
        <v>-3.6596999999999998E-2</v>
      </c>
      <c r="W3277">
        <v>6.4050969999999999E-2</v>
      </c>
      <c r="X3277">
        <v>0.99727540000000003</v>
      </c>
      <c r="Y3277">
        <v>-0.18096960000000001</v>
      </c>
      <c r="Z3277">
        <v>-5.3056329999999997E-3</v>
      </c>
      <c r="AA3277">
        <v>0.98347439999999997</v>
      </c>
      <c r="AB3277">
        <v>55</v>
      </c>
      <c r="AC3277">
        <v>-15.954000000000001</v>
      </c>
      <c r="AD3277">
        <v>-1.110066076524</v>
      </c>
      <c r="AE3277">
        <v>-3.2009999999999899</v>
      </c>
      <c r="AF3277">
        <v>-2.9998787670921101</v>
      </c>
      <c r="AG3277">
        <v>-1.110066076524</v>
      </c>
      <c r="AH3277">
        <v>15.9163390627249</v>
      </c>
      <c r="AI3277">
        <v>93.9207538944666</v>
      </c>
      <c r="AJ3277">
        <v>100.673774429701</v>
      </c>
      <c r="AK3277">
        <v>16.234573245734701</v>
      </c>
    </row>
    <row r="3278" spans="1:37" x14ac:dyDescent="0.2">
      <c r="A3278" t="str">
        <f>"20200111154130790"</f>
        <v>20200111154130790</v>
      </c>
      <c r="B3278" t="str">
        <f>"1578728490779322"</f>
        <v>1578728490779322</v>
      </c>
      <c r="C3278" t="s">
        <v>37</v>
      </c>
      <c r="D3278">
        <v>5.2442390000000003</v>
      </c>
      <c r="E3278">
        <v>0.44270199999999998</v>
      </c>
      <c r="F3278" t="s">
        <v>46</v>
      </c>
      <c r="G3278">
        <v>-314.08330000000001</v>
      </c>
      <c r="H3278" s="1">
        <v>-7.9701080000000004E-6</v>
      </c>
      <c r="I3278">
        <v>139.75530000000001</v>
      </c>
      <c r="J3278">
        <v>-298.29759999999999</v>
      </c>
      <c r="K3278">
        <v>1.1100540000000001</v>
      </c>
      <c r="L3278">
        <v>142.9546</v>
      </c>
      <c r="M3278">
        <v>-0.9999034</v>
      </c>
      <c r="N3278">
        <v>0</v>
      </c>
      <c r="O3278">
        <v>-1.2560129999999999E-2</v>
      </c>
      <c r="P3278">
        <v>-0.99708330000000001</v>
      </c>
      <c r="Q3278">
        <v>5.85783E-2</v>
      </c>
      <c r="R3278">
        <v>-4.8926549999999999E-2</v>
      </c>
      <c r="S3278">
        <v>-2.9920960000000001</v>
      </c>
      <c r="T3278">
        <v>-0.20459459999999999</v>
      </c>
      <c r="U3278">
        <v>-0.59063719999999997</v>
      </c>
      <c r="V3278">
        <v>-3.6638999999999998E-2</v>
      </c>
      <c r="W3278">
        <v>6.4387399999999997E-2</v>
      </c>
      <c r="X3278">
        <v>0.99725219999999903</v>
      </c>
      <c r="Y3278">
        <v>-0.180946</v>
      </c>
      <c r="Z3278">
        <v>-5.2709230000000003E-3</v>
      </c>
      <c r="AA3278">
        <v>0.98347890000000004</v>
      </c>
      <c r="AB3278">
        <v>55</v>
      </c>
      <c r="AC3278">
        <v>-15.7857</v>
      </c>
      <c r="AD3278">
        <v>-1.1100619701079999</v>
      </c>
      <c r="AE3278">
        <v>-3.1992999999999898</v>
      </c>
      <c r="AF3278">
        <v>-2.9865876726253999</v>
      </c>
      <c r="AG3278">
        <v>-1.1100619701079999</v>
      </c>
      <c r="AH3278">
        <v>15.7498289631963</v>
      </c>
      <c r="AI3278">
        <v>93.961230868477699</v>
      </c>
      <c r="AJ3278">
        <v>100.73732091220501</v>
      </c>
      <c r="AK3278">
        <v>16.068884711569002</v>
      </c>
    </row>
    <row r="3279" spans="1:37" x14ac:dyDescent="0.2">
      <c r="A3279" t="str">
        <f>"20200111154130806"</f>
        <v>20200111154130806</v>
      </c>
      <c r="B3279" t="str">
        <f>"1578728490799422"</f>
        <v>1578728490799422</v>
      </c>
      <c r="C3279" t="s">
        <v>37</v>
      </c>
      <c r="D3279">
        <v>5.249708</v>
      </c>
      <c r="E3279">
        <v>0.44265739999999998</v>
      </c>
      <c r="F3279" t="s">
        <v>46</v>
      </c>
      <c r="G3279">
        <v>-314.63529999999997</v>
      </c>
      <c r="H3279" s="1">
        <v>-7.7510150000000002E-6</v>
      </c>
      <c r="I3279">
        <v>139.71250000000001</v>
      </c>
      <c r="J3279">
        <v>-298.65960000000001</v>
      </c>
      <c r="K3279">
        <v>1.110052</v>
      </c>
      <c r="L3279">
        <v>142.94999999999999</v>
      </c>
      <c r="M3279">
        <v>-0.99989479999999997</v>
      </c>
      <c r="N3279">
        <v>0</v>
      </c>
      <c r="O3279">
        <v>-1.323118E-2</v>
      </c>
      <c r="P3279">
        <v>-0.99704989999999905</v>
      </c>
      <c r="Q3279">
        <v>5.8586779999999998E-2</v>
      </c>
      <c r="R3279">
        <v>-4.959073E-2</v>
      </c>
      <c r="S3279">
        <v>-2.9915769999999999</v>
      </c>
      <c r="T3279">
        <v>-0.203262</v>
      </c>
      <c r="U3279">
        <v>-0.59365840000000003</v>
      </c>
      <c r="V3279">
        <v>-3.6633720000000002E-2</v>
      </c>
      <c r="W3279">
        <v>6.4410720000000005E-2</v>
      </c>
      <c r="X3279">
        <v>0.99725090000000005</v>
      </c>
      <c r="Y3279">
        <v>-0.18127979999999999</v>
      </c>
      <c r="Z3279">
        <v>-5.2031969999999997E-3</v>
      </c>
      <c r="AA3279">
        <v>0.98341780000000001</v>
      </c>
      <c r="AB3279">
        <v>56</v>
      </c>
      <c r="AC3279">
        <v>-15.9756999999999</v>
      </c>
      <c r="AD3279">
        <v>-1.1100597510150001</v>
      </c>
      <c r="AE3279">
        <v>-3.2374999999999798</v>
      </c>
      <c r="AF3279">
        <v>-3.0118676373248601</v>
      </c>
      <c r="AG3279">
        <v>-1.1100597510150001</v>
      </c>
      <c r="AH3279">
        <v>15.9431999049641</v>
      </c>
      <c r="AI3279">
        <v>93.913837733682897</v>
      </c>
      <c r="AJ3279">
        <v>100.697809604898</v>
      </c>
      <c r="AK3279">
        <v>16.263124008788601</v>
      </c>
    </row>
    <row r="3280" spans="1:37" x14ac:dyDescent="0.2">
      <c r="A3280" t="str">
        <f>"20200111154130818"</f>
        <v>20200111154130818</v>
      </c>
      <c r="B3280" t="str">
        <f>"1578728490809182"</f>
        <v>1578728490809182</v>
      </c>
      <c r="C3280" t="s">
        <v>37</v>
      </c>
      <c r="D3280">
        <v>5.2592379999999999</v>
      </c>
      <c r="E3280">
        <v>0.44270939999999998</v>
      </c>
      <c r="F3280" t="s">
        <v>46</v>
      </c>
      <c r="G3280">
        <v>-315.0018</v>
      </c>
      <c r="H3280" s="1">
        <v>-7.6051170000000001E-6</v>
      </c>
      <c r="I3280">
        <v>139.6935</v>
      </c>
      <c r="J3280">
        <v>-299.03550000000001</v>
      </c>
      <c r="K3280">
        <v>1.110042</v>
      </c>
      <c r="L3280">
        <v>142.94499999999999</v>
      </c>
      <c r="M3280">
        <v>-0.99988529999999998</v>
      </c>
      <c r="N3280">
        <v>0</v>
      </c>
      <c r="O3280">
        <v>-1.391292E-2</v>
      </c>
      <c r="P3280">
        <v>-0.9970078</v>
      </c>
      <c r="Q3280">
        <v>5.8703350000000001E-2</v>
      </c>
      <c r="R3280">
        <v>-5.029194E-2</v>
      </c>
      <c r="S3280">
        <v>-2.9911799999999999</v>
      </c>
      <c r="T3280">
        <v>-0.20317969999999999</v>
      </c>
      <c r="U3280">
        <v>-0.59605410000000003</v>
      </c>
      <c r="V3280">
        <v>-3.6653850000000002E-2</v>
      </c>
      <c r="W3280">
        <v>6.4543009999999998E-2</v>
      </c>
      <c r="X3280">
        <v>0.99724159999999995</v>
      </c>
      <c r="Y3280">
        <v>-0.18139340000000001</v>
      </c>
      <c r="Z3280">
        <v>-5.1594170000000003E-3</v>
      </c>
      <c r="AA3280">
        <v>0.98339709999999902</v>
      </c>
      <c r="AB3280">
        <v>56</v>
      </c>
      <c r="AC3280">
        <v>-15.966299999999899</v>
      </c>
      <c r="AD3280">
        <v>-1.1100496051169999</v>
      </c>
      <c r="AE3280">
        <v>-3.2514999999999898</v>
      </c>
      <c r="AF3280">
        <v>-3.0150500541034901</v>
      </c>
      <c r="AG3280">
        <v>-1.1100496051169999</v>
      </c>
      <c r="AH3280">
        <v>15.9360312509267</v>
      </c>
      <c r="AI3280">
        <v>93.915354354327107</v>
      </c>
      <c r="AJ3280">
        <v>100.713557685745</v>
      </c>
      <c r="AK3280">
        <v>16.256685670366</v>
      </c>
    </row>
    <row r="3281" spans="1:37" x14ac:dyDescent="0.2">
      <c r="A3281" t="str">
        <f>"20200111154130836"</f>
        <v>20200111154130836</v>
      </c>
      <c r="B3281" t="str">
        <f>"1578728490829678"</f>
        <v>1578728490829678</v>
      </c>
      <c r="C3281" t="s">
        <v>37</v>
      </c>
      <c r="D3281">
        <v>5.4271250000000002</v>
      </c>
      <c r="E3281">
        <v>0.44295400000000001</v>
      </c>
      <c r="F3281" t="s">
        <v>46</v>
      </c>
      <c r="G3281">
        <v>-315.43680000000001</v>
      </c>
      <c r="H3281" s="1">
        <v>-7.4053110000000002E-6</v>
      </c>
      <c r="I3281">
        <v>139.66739999999999</v>
      </c>
      <c r="J3281">
        <v>-299.43950000000001</v>
      </c>
      <c r="K3281">
        <v>1.110025</v>
      </c>
      <c r="L3281">
        <v>142.9393</v>
      </c>
      <c r="M3281">
        <v>-0.99987490000000001</v>
      </c>
      <c r="N3281">
        <v>0</v>
      </c>
      <c r="O3281">
        <v>-1.462798E-2</v>
      </c>
      <c r="P3281">
        <v>-0.9969401</v>
      </c>
      <c r="Q3281">
        <v>5.8732799999999898E-2</v>
      </c>
      <c r="R3281">
        <v>-5.1583360000000002E-2</v>
      </c>
      <c r="S3281">
        <v>-2.9907840000000001</v>
      </c>
      <c r="T3281">
        <v>-0.20241809999999999</v>
      </c>
      <c r="U3281">
        <v>-0.59767150000000002</v>
      </c>
      <c r="V3281">
        <v>-3.7231500000000001E-2</v>
      </c>
      <c r="W3281">
        <v>6.4587729999999996E-2</v>
      </c>
      <c r="X3281">
        <v>0.99721719999999903</v>
      </c>
      <c r="Y3281">
        <v>-0.18123129999999901</v>
      </c>
      <c r="Z3281">
        <v>-5.0872620000000004E-3</v>
      </c>
      <c r="AA3281">
        <v>0.9834273</v>
      </c>
      <c r="AB3281">
        <v>56</v>
      </c>
      <c r="AC3281">
        <v>-15.9972999999999</v>
      </c>
      <c r="AD3281">
        <v>-1.110032405311</v>
      </c>
      <c r="AE3281">
        <v>-3.2719000000000098</v>
      </c>
      <c r="AF3281">
        <v>-3.0235641736845702</v>
      </c>
      <c r="AG3281">
        <v>-1.110032405311</v>
      </c>
      <c r="AH3281">
        <v>15.969647190466601</v>
      </c>
      <c r="AI3281">
        <v>93.906981780536299</v>
      </c>
      <c r="AJ3281">
        <v>100.72101882300601</v>
      </c>
      <c r="AK3281">
        <v>16.291216763680001</v>
      </c>
    </row>
    <row r="3282" spans="1:37" x14ac:dyDescent="0.2">
      <c r="A3282" t="str">
        <f>"20200111154130859"</f>
        <v>20200111154130859</v>
      </c>
      <c r="B3282" t="str">
        <f>"1578728490849197"</f>
        <v>1578728490849197</v>
      </c>
      <c r="C3282" t="s">
        <v>37</v>
      </c>
      <c r="D3282">
        <v>5.25875</v>
      </c>
      <c r="E3282">
        <v>0.44336819999999999</v>
      </c>
      <c r="F3282" t="s">
        <v>46</v>
      </c>
      <c r="G3282">
        <v>-315.96379999999999</v>
      </c>
      <c r="H3282" s="1">
        <v>-7.1606760000000001E-6</v>
      </c>
      <c r="I3282">
        <v>139.626</v>
      </c>
      <c r="J3282">
        <v>-300.02280000000002</v>
      </c>
      <c r="K3282">
        <v>1.1099939999999999</v>
      </c>
      <c r="L3282">
        <v>142.9306</v>
      </c>
      <c r="M3282">
        <v>-0.99985979999999997</v>
      </c>
      <c r="N3282">
        <v>0</v>
      </c>
      <c r="O3282">
        <v>-1.5623659999999999E-2</v>
      </c>
      <c r="P3282">
        <v>-0.99688080000000001</v>
      </c>
      <c r="Q3282">
        <v>5.8413449999999999E-2</v>
      </c>
      <c r="R3282">
        <v>-5.3073820000000001E-2</v>
      </c>
      <c r="S3282">
        <v>-2.9900509999999998</v>
      </c>
      <c r="T3282">
        <v>-0.20085899999999901</v>
      </c>
      <c r="U3282">
        <v>-0.59953310000000004</v>
      </c>
      <c r="V3282">
        <v>-3.7723880000000001E-2</v>
      </c>
      <c r="W3282">
        <v>6.4292710000000003E-2</v>
      </c>
      <c r="X3282">
        <v>0.99721780000000004</v>
      </c>
      <c r="Y3282">
        <v>-0.18089539999999901</v>
      </c>
      <c r="Z3282">
        <v>-4.9718109999999996E-3</v>
      </c>
      <c r="AA3282">
        <v>0.98348979999999997</v>
      </c>
      <c r="AB3282">
        <v>56</v>
      </c>
      <c r="AC3282">
        <v>-15.940999999999899</v>
      </c>
      <c r="AD3282">
        <v>-1.1100011606760001</v>
      </c>
      <c r="AE3282">
        <v>-3.30459999999999</v>
      </c>
      <c r="AF3282">
        <v>-3.0409983168375998</v>
      </c>
      <c r="AG3282">
        <v>-1.1100011606760001</v>
      </c>
      <c r="AH3282">
        <v>15.9166913583846</v>
      </c>
      <c r="AI3282">
        <v>93.9185928414975</v>
      </c>
      <c r="AJ3282">
        <v>100.816417753275</v>
      </c>
      <c r="AK3282">
        <v>16.242562517589</v>
      </c>
    </row>
    <row r="3283" spans="1:37" x14ac:dyDescent="0.2">
      <c r="A3283" t="str">
        <f>"20200111154130881"</f>
        <v>20200111154130881</v>
      </c>
      <c r="B3283" t="str">
        <f>"1578728490869695"</f>
        <v>1578728490869695</v>
      </c>
      <c r="C3283" t="s">
        <v>37</v>
      </c>
      <c r="D3283">
        <v>5.2596689999999997</v>
      </c>
      <c r="E3283">
        <v>0.44370459999999901</v>
      </c>
      <c r="F3283" t="s">
        <v>46</v>
      </c>
      <c r="G3283">
        <v>-316.6909</v>
      </c>
      <c r="H3283" s="1">
        <v>-6.8247099999999999E-6</v>
      </c>
      <c r="I3283">
        <v>139.58199999999999</v>
      </c>
      <c r="J3283">
        <v>-300.56470000000002</v>
      </c>
      <c r="K3283">
        <v>1.1099509999999999</v>
      </c>
      <c r="L3283">
        <v>142.9221</v>
      </c>
      <c r="M3283">
        <v>-0.9998456</v>
      </c>
      <c r="N3283">
        <v>0</v>
      </c>
      <c r="O3283">
        <v>-1.6498490000000001E-2</v>
      </c>
      <c r="P3283">
        <v>-0.99684150000000005</v>
      </c>
      <c r="Q3283">
        <v>5.7860439999999999E-2</v>
      </c>
      <c r="R3283">
        <v>-5.4403109999999998E-2</v>
      </c>
      <c r="S3283">
        <v>-2.9890750000000001</v>
      </c>
      <c r="T3283">
        <v>-0.1990557</v>
      </c>
      <c r="U3283">
        <v>-0.60050959999999998</v>
      </c>
      <c r="V3283">
        <v>-3.817359E-2</v>
      </c>
      <c r="W3283">
        <v>6.3763059999999996E-2</v>
      </c>
      <c r="X3283">
        <v>0.99723470000000003</v>
      </c>
      <c r="Y3283">
        <v>-0.18041489999999999</v>
      </c>
      <c r="Z3283">
        <v>-4.8552919999999998E-3</v>
      </c>
      <c r="AA3283">
        <v>0.98357859999999997</v>
      </c>
      <c r="AB3283">
        <v>56</v>
      </c>
      <c r="AC3283">
        <v>-16.126199999999901</v>
      </c>
      <c r="AD3283">
        <v>-1.1099578247099999</v>
      </c>
      <c r="AE3283">
        <v>-3.3401000000000001</v>
      </c>
      <c r="AF3283">
        <v>-3.0596835728650702</v>
      </c>
      <c r="AG3283">
        <v>-1.1099578247099999</v>
      </c>
      <c r="AH3283">
        <v>16.105949417142899</v>
      </c>
      <c r="AI3283">
        <v>93.873306512578793</v>
      </c>
      <c r="AJ3283">
        <v>100.756432945065</v>
      </c>
      <c r="AK3283">
        <v>16.431532995014798</v>
      </c>
    </row>
    <row r="3284" spans="1:37" x14ac:dyDescent="0.2">
      <c r="A3284" t="str">
        <f>"20200111154130902"</f>
        <v>20200111154130902</v>
      </c>
      <c r="B3284" t="str">
        <f>"1578728490899326"</f>
        <v>1578728490899326</v>
      </c>
      <c r="C3284" t="s">
        <v>37</v>
      </c>
      <c r="D3284">
        <v>5.2735079999999996</v>
      </c>
      <c r="E3284">
        <v>0.4440229</v>
      </c>
      <c r="F3284" t="s">
        <v>46</v>
      </c>
      <c r="G3284">
        <v>-317.27600000000001</v>
      </c>
      <c r="H3284" s="1">
        <v>-6.5568329999999999E-6</v>
      </c>
      <c r="I3284">
        <v>139.5558</v>
      </c>
      <c r="J3284">
        <v>-301.09559999999999</v>
      </c>
      <c r="K3284">
        <v>1.1099079999999999</v>
      </c>
      <c r="L3284">
        <v>142.91329999999999</v>
      </c>
      <c r="M3284">
        <v>-0.9998319</v>
      </c>
      <c r="N3284">
        <v>0</v>
      </c>
      <c r="O3284">
        <v>-1.7304340000000001E-2</v>
      </c>
      <c r="P3284">
        <v>-0.996836099999999</v>
      </c>
      <c r="Q3284">
        <v>5.7206189999999997E-2</v>
      </c>
      <c r="R3284">
        <v>-5.5187119999999999E-2</v>
      </c>
      <c r="S3284">
        <v>-2.988159</v>
      </c>
      <c r="T3284">
        <v>-0.19847190000000001</v>
      </c>
      <c r="U3284">
        <v>-0.60192869999999998</v>
      </c>
      <c r="V3284">
        <v>-3.8145159999999997E-2</v>
      </c>
      <c r="W3284">
        <v>6.3133960000000003E-2</v>
      </c>
      <c r="X3284">
        <v>0.99727579999999905</v>
      </c>
      <c r="Y3284">
        <v>-0.180133399999999</v>
      </c>
      <c r="Z3284">
        <v>-4.7801809999999997E-3</v>
      </c>
      <c r="AA3284">
        <v>0.98363060000000002</v>
      </c>
      <c r="AB3284">
        <v>56</v>
      </c>
      <c r="AC3284">
        <v>-16.180399999999999</v>
      </c>
      <c r="AD3284">
        <v>-1.109914556833</v>
      </c>
      <c r="AE3284">
        <v>-3.3574999999999799</v>
      </c>
      <c r="AF3284">
        <v>-3.0631823432463698</v>
      </c>
      <c r="AG3284">
        <v>-1.109914556833</v>
      </c>
      <c r="AH3284">
        <v>16.1631623192775</v>
      </c>
      <c r="AI3284">
        <v>93.8598090013448</v>
      </c>
      <c r="AJ3284">
        <v>100.73121507854199</v>
      </c>
      <c r="AK3284">
        <v>16.488262872442299</v>
      </c>
    </row>
    <row r="3285" spans="1:37" x14ac:dyDescent="0.2">
      <c r="A3285" t="str">
        <f>"20200111154130925"</f>
        <v>20200111154130925</v>
      </c>
      <c r="B3285" t="str">
        <f>"1578728490919822"</f>
        <v>1578728490919822</v>
      </c>
      <c r="C3285" t="s">
        <v>37</v>
      </c>
      <c r="D3285">
        <v>5.2813530000000002</v>
      </c>
      <c r="E3285">
        <v>0.44420150000000003</v>
      </c>
      <c r="F3285" t="s">
        <v>46</v>
      </c>
      <c r="G3285">
        <v>-317.88850000000002</v>
      </c>
      <c r="H3285" s="1">
        <v>-6.2774189999999997E-6</v>
      </c>
      <c r="I3285">
        <v>139.53149999999999</v>
      </c>
      <c r="J3285">
        <v>-301.66559999999998</v>
      </c>
      <c r="K3285">
        <v>1.1098520000000001</v>
      </c>
      <c r="L3285">
        <v>142.9034</v>
      </c>
      <c r="M3285">
        <v>-0.99981759999999997</v>
      </c>
      <c r="N3285">
        <v>0</v>
      </c>
      <c r="O3285">
        <v>-1.8107580000000002E-2</v>
      </c>
      <c r="P3285">
        <v>-0.99680489999999999</v>
      </c>
      <c r="Q3285">
        <v>5.6924019999999999E-2</v>
      </c>
      <c r="R3285">
        <v>-5.6037990000000003E-2</v>
      </c>
      <c r="S3285">
        <v>-2.9875180000000001</v>
      </c>
      <c r="T3285">
        <v>-0.197457299999999</v>
      </c>
      <c r="U3285">
        <v>-0.60163880000000003</v>
      </c>
      <c r="V3285">
        <v>-3.8186669999999999E-2</v>
      </c>
      <c r="W3285">
        <v>6.2879350000000001E-2</v>
      </c>
      <c r="X3285">
        <v>0.99729029999999996</v>
      </c>
      <c r="Y3285">
        <v>-0.17929909999999999</v>
      </c>
      <c r="Z3285">
        <v>-4.6771130000000001E-3</v>
      </c>
      <c r="AA3285">
        <v>0.98378349999999903</v>
      </c>
      <c r="AB3285">
        <v>56</v>
      </c>
      <c r="AC3285">
        <v>-16.222899999999999</v>
      </c>
      <c r="AD3285">
        <v>-1.109858277419</v>
      </c>
      <c r="AE3285">
        <v>-3.3719000000000099</v>
      </c>
      <c r="AF3285">
        <v>-3.0638382722655102</v>
      </c>
      <c r="AG3285">
        <v>-1.109858277419</v>
      </c>
      <c r="AH3285">
        <v>16.208577943613001</v>
      </c>
      <c r="AI3285">
        <v>93.849175950913903</v>
      </c>
      <c r="AJ3285">
        <v>100.704080843757</v>
      </c>
      <c r="AK3285">
        <v>16.5329032329089</v>
      </c>
    </row>
    <row r="3286" spans="1:37" x14ac:dyDescent="0.2">
      <c r="A3286" t="str">
        <f>"20200111154130947"</f>
        <v>20200111154130947</v>
      </c>
      <c r="B3286" t="str">
        <f>"1578728490939342"</f>
        <v>1578728490939342</v>
      </c>
      <c r="C3286" t="s">
        <v>37</v>
      </c>
      <c r="D3286">
        <v>5.2838370000000001</v>
      </c>
      <c r="E3286">
        <v>0.44434489999999999</v>
      </c>
      <c r="F3286" t="s">
        <v>46</v>
      </c>
      <c r="G3286">
        <v>-318.52670000000001</v>
      </c>
      <c r="H3286" s="1">
        <v>-5.9846700000000001E-6</v>
      </c>
      <c r="I3286">
        <v>139.501</v>
      </c>
      <c r="J3286">
        <v>-302.24669999999998</v>
      </c>
      <c r="K3286">
        <v>1.1097919999999999</v>
      </c>
      <c r="L3286">
        <v>142.89279999999999</v>
      </c>
      <c r="M3286">
        <v>-0.99980349999999996</v>
      </c>
      <c r="N3286">
        <v>0</v>
      </c>
      <c r="O3286">
        <v>-1.8862380000000002E-2</v>
      </c>
      <c r="P3286">
        <v>-0.99678650000000002</v>
      </c>
      <c r="Q3286">
        <v>5.6470920000000001E-2</v>
      </c>
      <c r="R3286">
        <v>-5.6816449999999998E-2</v>
      </c>
      <c r="S3286">
        <v>-2.9869379999999999</v>
      </c>
      <c r="T3286">
        <v>-0.19661099999999901</v>
      </c>
      <c r="U3286">
        <v>-0.60273739999999998</v>
      </c>
      <c r="V3286">
        <v>-3.8202430000000002E-2</v>
      </c>
      <c r="W3286">
        <v>6.2454860000000001E-2</v>
      </c>
      <c r="X3286">
        <v>0.99731639999999999</v>
      </c>
      <c r="Y3286">
        <v>-0.1789462</v>
      </c>
      <c r="Z3286">
        <v>-4.5972579999999999E-3</v>
      </c>
      <c r="AA3286">
        <v>0.98384819999999995</v>
      </c>
      <c r="AB3286">
        <v>56</v>
      </c>
      <c r="AC3286">
        <v>-16.28</v>
      </c>
      <c r="AD3286">
        <v>-1.1097979846699999</v>
      </c>
      <c r="AE3286">
        <v>-3.3917999999999799</v>
      </c>
      <c r="AF3286">
        <v>-3.0704363366284699</v>
      </c>
      <c r="AG3286">
        <v>-1.1097979846699999</v>
      </c>
      <c r="AH3286">
        <v>16.268625757094</v>
      </c>
      <c r="AI3286">
        <v>93.835007027351807</v>
      </c>
      <c r="AJ3286">
        <v>100.68791971234801</v>
      </c>
      <c r="AK3286">
        <v>16.5929929454709</v>
      </c>
    </row>
    <row r="3287" spans="1:37" x14ac:dyDescent="0.2">
      <c r="A3287" t="str">
        <f>"20200111154130960"</f>
        <v>20200111154130960</v>
      </c>
      <c r="B3287" t="str">
        <f>"1578728490949104"</f>
        <v>1578728490949104</v>
      </c>
      <c r="C3287" t="s">
        <v>37</v>
      </c>
      <c r="D3287">
        <v>5.2828669999999898</v>
      </c>
      <c r="E3287">
        <v>0.44443769999999999</v>
      </c>
      <c r="F3287" t="s">
        <v>46</v>
      </c>
      <c r="G3287">
        <v>-319.11340000000001</v>
      </c>
      <c r="H3287" s="1">
        <v>-5.7188699999999899E-6</v>
      </c>
      <c r="I3287">
        <v>139.48339999999999</v>
      </c>
      <c r="J3287">
        <v>-302.58199999999999</v>
      </c>
      <c r="K3287">
        <v>1.1097600000000001</v>
      </c>
      <c r="L3287">
        <v>142.88659999999999</v>
      </c>
      <c r="M3287">
        <v>-0.99979549999999995</v>
      </c>
      <c r="N3287">
        <v>0</v>
      </c>
      <c r="O3287">
        <v>-1.927574E-2</v>
      </c>
      <c r="P3287">
        <v>-0.99676600000000004</v>
      </c>
      <c r="Q3287">
        <v>5.6188910000000002E-2</v>
      </c>
      <c r="R3287">
        <v>-5.7449630000000002E-2</v>
      </c>
      <c r="S3287">
        <v>-2.9863590000000002</v>
      </c>
      <c r="T3287">
        <v>-0.19649659999999999</v>
      </c>
      <c r="U3287">
        <v>-0.60366819999999999</v>
      </c>
      <c r="V3287">
        <v>-3.8418029999999999E-2</v>
      </c>
      <c r="W3287">
        <v>6.2188359999999998E-2</v>
      </c>
      <c r="X3287">
        <v>0.99732480000000001</v>
      </c>
      <c r="Y3287">
        <v>-0.17887239999999999</v>
      </c>
      <c r="Z3287">
        <v>-4.5660529999999996E-3</v>
      </c>
      <c r="AA3287">
        <v>0.98386169999999995</v>
      </c>
      <c r="AB3287">
        <v>56</v>
      </c>
      <c r="AC3287">
        <v>-16.531400000000001</v>
      </c>
      <c r="AD3287">
        <v>-1.1097657188700001</v>
      </c>
      <c r="AE3287">
        <v>-3.4031999999999898</v>
      </c>
      <c r="AF3287">
        <v>-3.0706314277247699</v>
      </c>
      <c r="AG3287">
        <v>-1.1097657188700001</v>
      </c>
      <c r="AH3287">
        <v>16.522496811823299</v>
      </c>
      <c r="AI3287">
        <v>93.778111967278505</v>
      </c>
      <c r="AJ3287">
        <v>100.52805066738701</v>
      </c>
      <c r="AK3287">
        <v>16.842008734483599</v>
      </c>
    </row>
    <row r="3288" spans="1:37" x14ac:dyDescent="0.2">
      <c r="A3288" t="str">
        <f>"20200111154130981"</f>
        <v>20200111154130981</v>
      </c>
      <c r="B3288" t="str">
        <f>"1578728490969598"</f>
        <v>1578728490969598</v>
      </c>
      <c r="C3288" t="s">
        <v>37</v>
      </c>
      <c r="D3288">
        <v>5.3369419999999996</v>
      </c>
      <c r="E3288">
        <v>0.44449509999999998</v>
      </c>
      <c r="F3288" t="s">
        <v>46</v>
      </c>
      <c r="G3288">
        <v>-319.42469999999997</v>
      </c>
      <c r="H3288" s="1">
        <v>-5.5781159999999996E-6</v>
      </c>
      <c r="I3288">
        <v>139.47489999999999</v>
      </c>
      <c r="J3288">
        <v>-303.08139999999997</v>
      </c>
      <c r="K3288">
        <v>1.1097109999999999</v>
      </c>
      <c r="L3288">
        <v>142.87700000000001</v>
      </c>
      <c r="M3288">
        <v>-0.99978400000000001</v>
      </c>
      <c r="N3288">
        <v>0</v>
      </c>
      <c r="O3288">
        <v>-1.9856329999999998E-2</v>
      </c>
      <c r="P3288">
        <v>-0.99671939999999903</v>
      </c>
      <c r="Q3288">
        <v>5.6117499999999897E-2</v>
      </c>
      <c r="R3288">
        <v>-5.8322140000000001E-2</v>
      </c>
      <c r="S3288">
        <v>-2.9859619999999998</v>
      </c>
      <c r="T3288">
        <v>-0.196745</v>
      </c>
      <c r="U3288">
        <v>-0.60484309999999997</v>
      </c>
      <c r="V3288">
        <v>-3.8704889999999999E-2</v>
      </c>
      <c r="W3288">
        <v>6.2140760000000003E-2</v>
      </c>
      <c r="X3288">
        <v>0.997316599999999</v>
      </c>
      <c r="Y3288">
        <v>-0.178699</v>
      </c>
      <c r="Z3288">
        <v>-4.5287950000000004E-3</v>
      </c>
      <c r="AA3288">
        <v>0.98389329999999997</v>
      </c>
      <c r="AB3288">
        <v>56</v>
      </c>
      <c r="AC3288">
        <v>-16.343299999999999</v>
      </c>
      <c r="AD3288">
        <v>-1.1097165781160001</v>
      </c>
      <c r="AE3288">
        <v>-3.4021000000000101</v>
      </c>
      <c r="AF3288">
        <v>-3.0633681993756299</v>
      </c>
      <c r="AG3288">
        <v>-1.1097165781160001</v>
      </c>
      <c r="AH3288">
        <v>16.335446203758501</v>
      </c>
      <c r="AI3288">
        <v>93.819920650379601</v>
      </c>
      <c r="AJ3288">
        <v>100.621254682179</v>
      </c>
      <c r="AK3288">
        <v>16.657205596515301</v>
      </c>
    </row>
    <row r="3289" spans="1:37" x14ac:dyDescent="0.2">
      <c r="A3289" t="str">
        <f>"20200111154131002"</f>
        <v>20200111154131002</v>
      </c>
      <c r="B3289" t="str">
        <f>"1578728490999854"</f>
        <v>1578728490999854</v>
      </c>
      <c r="C3289" t="s">
        <v>37</v>
      </c>
      <c r="D3289">
        <v>5.3217679999999996</v>
      </c>
      <c r="E3289">
        <v>0.49022489999999902</v>
      </c>
      <c r="F3289" t="s">
        <v>46</v>
      </c>
      <c r="G3289">
        <v>-319.85539999999997</v>
      </c>
      <c r="H3289" s="1">
        <v>-5.384706E-6</v>
      </c>
      <c r="I3289">
        <v>139.4674</v>
      </c>
      <c r="J3289">
        <v>-303.6216</v>
      </c>
      <c r="K3289">
        <v>1.1096549999999901</v>
      </c>
      <c r="L3289">
        <v>142.86619999999999</v>
      </c>
      <c r="M3289">
        <v>-0.99977199999999899</v>
      </c>
      <c r="N3289">
        <v>0</v>
      </c>
      <c r="O3289">
        <v>-2.0441279999999999E-2</v>
      </c>
      <c r="P3289">
        <v>-0.99666749999999904</v>
      </c>
      <c r="Q3289">
        <v>5.5822990000000003E-2</v>
      </c>
      <c r="R3289">
        <v>-5.9481480000000003E-2</v>
      </c>
      <c r="S3289">
        <v>-2.9854430000000001</v>
      </c>
      <c r="T3289">
        <v>-0.1975073</v>
      </c>
      <c r="U3289">
        <v>-0.60684199999999999</v>
      </c>
      <c r="V3289">
        <v>-3.9272420000000002E-2</v>
      </c>
      <c r="W3289">
        <v>6.1871389999999998E-2</v>
      </c>
      <c r="X3289">
        <v>0.99731119999999995</v>
      </c>
      <c r="Y3289">
        <v>-0.1787878</v>
      </c>
      <c r="Z3289">
        <v>-4.5114619999999999E-3</v>
      </c>
      <c r="AA3289">
        <v>0.98387729999999995</v>
      </c>
      <c r="AB3289">
        <v>57</v>
      </c>
      <c r="AC3289">
        <v>-16.233799999999899</v>
      </c>
      <c r="AD3289">
        <v>-1.10966038470599</v>
      </c>
      <c r="AE3289">
        <v>-3.3987999999999898</v>
      </c>
      <c r="AF3289">
        <v>-3.0525799153444702</v>
      </c>
      <c r="AG3289">
        <v>-1.10966038470599</v>
      </c>
      <c r="AH3289">
        <v>16.227248826488299</v>
      </c>
      <c r="AI3289">
        <v>93.844712969225796</v>
      </c>
      <c r="AJ3289">
        <v>100.653660976529</v>
      </c>
      <c r="AK3289">
        <v>16.549114622411601</v>
      </c>
    </row>
    <row r="3290" spans="1:37" x14ac:dyDescent="0.2">
      <c r="A3290" t="str">
        <f>"20200111154131026"</f>
        <v>20200111154131026</v>
      </c>
      <c r="B3290" t="str">
        <f>"1578728491019374"</f>
        <v>1578728491019374</v>
      </c>
      <c r="C3290" t="s">
        <v>37</v>
      </c>
      <c r="D3290">
        <v>5.219233</v>
      </c>
      <c r="E3290">
        <v>0.49679669999999998</v>
      </c>
      <c r="F3290" t="s">
        <v>39</v>
      </c>
      <c r="G3290">
        <v>-321.34350000000001</v>
      </c>
      <c r="H3290" s="1">
        <v>-4.137763E-6</v>
      </c>
      <c r="I3290">
        <v>141.4145</v>
      </c>
      <c r="J3290">
        <v>-304.21949999999998</v>
      </c>
      <c r="K3290">
        <v>1.1095930000000001</v>
      </c>
      <c r="L3290">
        <v>142.85399999999899</v>
      </c>
      <c r="M3290">
        <v>-0.99975959999999997</v>
      </c>
      <c r="N3290">
        <v>0</v>
      </c>
      <c r="O3290">
        <v>-2.1037009999999998E-2</v>
      </c>
      <c r="P3290">
        <v>-0.99660609999999905</v>
      </c>
      <c r="Q3290">
        <v>5.5966759999999997E-2</v>
      </c>
      <c r="R3290">
        <v>-6.0370769999999997E-2</v>
      </c>
      <c r="S3290">
        <v>-3.00589</v>
      </c>
      <c r="T3290">
        <v>-0.18821470000000001</v>
      </c>
      <c r="U3290">
        <v>-0.24623110000000001</v>
      </c>
      <c r="V3290">
        <v>-3.9559699999999899E-2</v>
      </c>
      <c r="W3290">
        <v>6.2044139999999998E-2</v>
      </c>
      <c r="X3290">
        <v>0.99728909999999904</v>
      </c>
      <c r="Y3290">
        <v>-6.0580589999999997E-2</v>
      </c>
      <c r="Z3290">
        <v>-5.7819510000000002E-4</v>
      </c>
      <c r="AA3290">
        <v>0.99816319999999903</v>
      </c>
      <c r="AB3290">
        <v>57</v>
      </c>
      <c r="AC3290">
        <v>-17.123999999999999</v>
      </c>
      <c r="AD3290">
        <v>-1.1095971377630001</v>
      </c>
      <c r="AE3290">
        <v>-1.43949999999998</v>
      </c>
      <c r="AF3290">
        <v>-1.07445706342384</v>
      </c>
      <c r="AG3290">
        <v>-1.1095971377630001</v>
      </c>
      <c r="AH3290">
        <v>17.079285150358299</v>
      </c>
      <c r="AI3290">
        <v>93.709821958831</v>
      </c>
      <c r="AJ3290">
        <v>93.599731082793795</v>
      </c>
      <c r="AK3290">
        <v>17.148983790199399</v>
      </c>
    </row>
    <row r="3291" spans="1:37" x14ac:dyDescent="0.2">
      <c r="A3291" t="str">
        <f>"20200111154131047"</f>
        <v>20200111154131047</v>
      </c>
      <c r="B3291" t="str">
        <f>"1578728491039873"</f>
        <v>1578728491039873</v>
      </c>
      <c r="C3291" t="s">
        <v>37</v>
      </c>
      <c r="D3291">
        <v>5.2725299999999997</v>
      </c>
      <c r="E3291">
        <v>0.49825710000000001</v>
      </c>
      <c r="F3291" t="s">
        <v>39</v>
      </c>
      <c r="G3291">
        <v>-322.14670000000001</v>
      </c>
      <c r="H3291" s="1">
        <v>-3.9011779999999998E-6</v>
      </c>
      <c r="I3291">
        <v>141.68279999999999</v>
      </c>
      <c r="J3291">
        <v>-304.79180000000002</v>
      </c>
      <c r="K3291">
        <v>1.1095379999999999</v>
      </c>
      <c r="L3291">
        <v>142.84190000000001</v>
      </c>
      <c r="M3291">
        <v>-0.99974819999999998</v>
      </c>
      <c r="N3291">
        <v>0</v>
      </c>
      <c r="O3291">
        <v>-2.1564590000000002E-2</v>
      </c>
      <c r="P3291">
        <v>-0.99655210000000005</v>
      </c>
      <c r="Q3291">
        <v>5.6086030000000002E-2</v>
      </c>
      <c r="R3291">
        <v>-6.1142460000000003E-2</v>
      </c>
      <c r="S3291">
        <v>-3.008759</v>
      </c>
      <c r="T3291">
        <v>-0.186226799999999</v>
      </c>
      <c r="U3291">
        <v>-0.19656370000000001</v>
      </c>
      <c r="V3291">
        <v>-3.9798069999999998E-2</v>
      </c>
      <c r="W3291">
        <v>6.2191690000000001E-2</v>
      </c>
      <c r="X3291">
        <v>0.9972704</v>
      </c>
      <c r="Y3291">
        <v>-4.3615220000000003E-2</v>
      </c>
      <c r="Z3291" s="1">
        <v>-1.5297089999999999E-5</v>
      </c>
      <c r="AA3291">
        <v>0.99904839999999995</v>
      </c>
      <c r="AB3291">
        <v>57</v>
      </c>
      <c r="AC3291">
        <v>-17.354899999999901</v>
      </c>
      <c r="AD3291">
        <v>-1.1095419011779999</v>
      </c>
      <c r="AE3291">
        <v>-1.15910000000002</v>
      </c>
      <c r="AF3291">
        <v>-0.78139229030401203</v>
      </c>
      <c r="AG3291">
        <v>-1.1095419011779999</v>
      </c>
      <c r="AH3291">
        <v>17.305440587715299</v>
      </c>
      <c r="AI3291">
        <v>93.664785686734405</v>
      </c>
      <c r="AJ3291">
        <v>92.585319421233393</v>
      </c>
      <c r="AK3291">
        <v>17.358569384507401</v>
      </c>
    </row>
    <row r="3292" spans="1:37" x14ac:dyDescent="0.2">
      <c r="A3292" t="str">
        <f>"20200111154131062"</f>
        <v>20200111154131062</v>
      </c>
      <c r="B3292" t="str">
        <f>"1578728491059391"</f>
        <v>1578728491059391</v>
      </c>
      <c r="C3292" t="s">
        <v>37</v>
      </c>
      <c r="D3292">
        <v>5.2503630000000001</v>
      </c>
      <c r="E3292">
        <v>0.49893500000000002</v>
      </c>
      <c r="F3292" t="s">
        <v>39</v>
      </c>
      <c r="G3292">
        <v>-323.5043</v>
      </c>
      <c r="H3292" s="1">
        <v>-3.317003E-6</v>
      </c>
      <c r="I3292">
        <v>141.67609999999999</v>
      </c>
      <c r="J3292">
        <v>-305.15410000000003</v>
      </c>
      <c r="K3292">
        <v>1.1095010000000001</v>
      </c>
      <c r="L3292">
        <v>142.83420000000001</v>
      </c>
      <c r="M3292">
        <v>-0.99974110000000005</v>
      </c>
      <c r="N3292">
        <v>0</v>
      </c>
      <c r="O3292">
        <v>-2.1883880000000001E-2</v>
      </c>
      <c r="P3292">
        <v>-0.99653269999999905</v>
      </c>
      <c r="Q3292">
        <v>5.6065749999999998E-2</v>
      </c>
      <c r="R3292">
        <v>-6.1474809999999998E-2</v>
      </c>
      <c r="S3292">
        <v>-3.0088810000000001</v>
      </c>
      <c r="T3292">
        <v>-0.1784096</v>
      </c>
      <c r="U3292">
        <v>-0.18745419999999999</v>
      </c>
      <c r="V3292">
        <v>-3.9807099999999998E-2</v>
      </c>
      <c r="W3292">
        <v>6.218883E-2</v>
      </c>
      <c r="X3292">
        <v>0.997270199999999</v>
      </c>
      <c r="Y3292">
        <v>-4.0290720000000002E-2</v>
      </c>
      <c r="Z3292">
        <v>1.026215E-4</v>
      </c>
      <c r="AA3292">
        <v>0.99918799999999997</v>
      </c>
      <c r="AB3292">
        <v>57</v>
      </c>
      <c r="AC3292">
        <v>-18.350199999999901</v>
      </c>
      <c r="AD3292">
        <v>-1.1095043170029999</v>
      </c>
      <c r="AE3292">
        <v>-1.1581000000000099</v>
      </c>
      <c r="AF3292">
        <v>-0.75349760504263696</v>
      </c>
      <c r="AG3292">
        <v>-1.1095043170029999</v>
      </c>
      <c r="AH3292">
        <v>18.304498340034499</v>
      </c>
      <c r="AI3292">
        <v>93.465740325799601</v>
      </c>
      <c r="AJ3292">
        <v>92.3572277765672</v>
      </c>
      <c r="AK3292">
        <v>18.353566899940201</v>
      </c>
    </row>
    <row r="3293" spans="1:37" x14ac:dyDescent="0.2">
      <c r="A3293" t="str">
        <f>"20200111154131075"</f>
        <v>20200111154131075</v>
      </c>
      <c r="B3293" t="str">
        <f>"1578728491069150"</f>
        <v>1578728491069150</v>
      </c>
      <c r="C3293" t="s">
        <v>37</v>
      </c>
      <c r="D3293">
        <v>5.245533</v>
      </c>
      <c r="E3293">
        <v>0.4989517</v>
      </c>
      <c r="F3293" t="s">
        <v>39</v>
      </c>
      <c r="G3293">
        <v>-324.1617</v>
      </c>
      <c r="H3293" s="1">
        <v>-3.0354420000000001E-6</v>
      </c>
      <c r="I3293">
        <v>141.67789999999999</v>
      </c>
      <c r="J3293">
        <v>-305.51479999999998</v>
      </c>
      <c r="K3293">
        <v>1.1094660000000001</v>
      </c>
      <c r="L3293">
        <v>142.8263</v>
      </c>
      <c r="M3293">
        <v>-0.99973440000000002</v>
      </c>
      <c r="N3293">
        <v>0</v>
      </c>
      <c r="O3293">
        <v>-2.218709E-2</v>
      </c>
      <c r="P3293">
        <v>-0.99651789999999996</v>
      </c>
      <c r="Q3293">
        <v>5.608527E-2</v>
      </c>
      <c r="R3293">
        <v>-6.1700480000000002E-2</v>
      </c>
      <c r="S3293">
        <v>-3.009064</v>
      </c>
      <c r="T3293">
        <v>-0.17564469999999999</v>
      </c>
      <c r="U3293">
        <v>-0.1830444</v>
      </c>
      <c r="V3293">
        <v>-3.9725209999999997E-2</v>
      </c>
      <c r="W3293">
        <v>6.2226429999999999E-2</v>
      </c>
      <c r="X3293">
        <v>0.99727119999999903</v>
      </c>
      <c r="Y3293">
        <v>-3.8529550000000003E-2</v>
      </c>
      <c r="Z3293">
        <v>1.700068E-4</v>
      </c>
      <c r="AA3293">
        <v>0.99925739999999996</v>
      </c>
      <c r="AB3293">
        <v>57</v>
      </c>
      <c r="AC3293">
        <v>-18.646899999999999</v>
      </c>
      <c r="AD3293">
        <v>-1.109469035442</v>
      </c>
      <c r="AE3293">
        <v>-1.1484000000000001</v>
      </c>
      <c r="AF3293">
        <v>-0.73180791328830996</v>
      </c>
      <c r="AG3293">
        <v>-1.109469035442</v>
      </c>
      <c r="AH3293">
        <v>18.602184783024398</v>
      </c>
      <c r="AI3293">
        <v>93.410552159338295</v>
      </c>
      <c r="AJ3293">
        <v>92.252847984616594</v>
      </c>
      <c r="AK3293">
        <v>18.649604367501802</v>
      </c>
    </row>
    <row r="3294" spans="1:37" x14ac:dyDescent="0.2">
      <c r="A3294" t="str">
        <f>"20200111154131091"</f>
        <v>20200111154131091</v>
      </c>
      <c r="B3294" t="str">
        <f>"1578728491089646"</f>
        <v>1578728491089646</v>
      </c>
      <c r="C3294" t="s">
        <v>37</v>
      </c>
      <c r="D3294">
        <v>5.2808979999999996</v>
      </c>
      <c r="E3294">
        <v>0.49940249999999897</v>
      </c>
      <c r="F3294" t="s">
        <v>39</v>
      </c>
      <c r="G3294">
        <v>-324.69170000000003</v>
      </c>
      <c r="H3294" s="1">
        <v>-2.8024189999999999E-6</v>
      </c>
      <c r="I3294">
        <v>141.6566</v>
      </c>
      <c r="J3294">
        <v>-305.91079999999999</v>
      </c>
      <c r="K3294">
        <v>1.109429</v>
      </c>
      <c r="L3294">
        <v>142.8175</v>
      </c>
      <c r="M3294">
        <v>-0.99972709999999998</v>
      </c>
      <c r="N3294">
        <v>0</v>
      </c>
      <c r="O3294">
        <v>-2.2511509999999998E-2</v>
      </c>
      <c r="P3294">
        <v>-0.99651290000000003</v>
      </c>
      <c r="Q3294">
        <v>5.6380090000000001E-2</v>
      </c>
      <c r="R3294">
        <v>-6.1509439999999999E-2</v>
      </c>
      <c r="S3294">
        <v>-3.0089109999999999</v>
      </c>
      <c r="T3294">
        <v>-0.1740795</v>
      </c>
      <c r="U3294">
        <v>-0.1835175</v>
      </c>
      <c r="V3294">
        <v>-3.9205629999999998E-2</v>
      </c>
      <c r="W3294">
        <v>6.2542440000000005E-2</v>
      </c>
      <c r="X3294">
        <v>0.99727199999999905</v>
      </c>
      <c r="Y3294">
        <v>-3.8366160000000003E-2</v>
      </c>
      <c r="Z3294">
        <v>1.919464E-4</v>
      </c>
      <c r="AA3294">
        <v>0.99926369999999898</v>
      </c>
      <c r="AB3294">
        <v>57</v>
      </c>
      <c r="AC3294">
        <v>-18.780899999999999</v>
      </c>
      <c r="AD3294">
        <v>-1.109431802419</v>
      </c>
      <c r="AE3294">
        <v>-1.1608999999999901</v>
      </c>
      <c r="AF3294">
        <v>-0.73525520590153703</v>
      </c>
      <c r="AG3294">
        <v>-1.109431802419</v>
      </c>
      <c r="AH3294">
        <v>18.737139388470698</v>
      </c>
      <c r="AI3294">
        <v>93.385944752492804</v>
      </c>
      <c r="AJ3294">
        <v>92.247163592311793</v>
      </c>
      <c r="AK3294">
        <v>18.7843507102322</v>
      </c>
    </row>
    <row r="3295" spans="1:37" x14ac:dyDescent="0.2">
      <c r="A3295" t="str">
        <f>"20200111154131114"</f>
        <v>20200111154131114</v>
      </c>
      <c r="B3295" t="str">
        <f>"1578728491109689"</f>
        <v>1578728491109689</v>
      </c>
      <c r="C3295" t="s">
        <v>37</v>
      </c>
      <c r="D3295">
        <v>5.2667999999999999</v>
      </c>
      <c r="E3295">
        <v>0.49967020000000001</v>
      </c>
      <c r="F3295" t="s">
        <v>39</v>
      </c>
      <c r="G3295">
        <v>-325.0317</v>
      </c>
      <c r="H3295" s="1">
        <v>-2.6623579999999998E-6</v>
      </c>
      <c r="I3295">
        <v>141.67850000000001</v>
      </c>
      <c r="J3295">
        <v>-306.48910000000001</v>
      </c>
      <c r="K3295">
        <v>1.109383</v>
      </c>
      <c r="L3295">
        <v>142.80449999999999</v>
      </c>
      <c r="M3295">
        <v>-0.99971650000000001</v>
      </c>
      <c r="N3295">
        <v>0</v>
      </c>
      <c r="O3295">
        <v>-2.2968039999999999E-2</v>
      </c>
      <c r="P3295">
        <v>-0.99648999999999999</v>
      </c>
      <c r="Q3295">
        <v>5.6642270000000002E-2</v>
      </c>
      <c r="R3295">
        <v>-6.1639810000000003E-2</v>
      </c>
      <c r="S3295">
        <v>-3.0093380000000001</v>
      </c>
      <c r="T3295">
        <v>-0.17460819999999999</v>
      </c>
      <c r="U3295">
        <v>-0.17926029999999901</v>
      </c>
      <c r="V3295">
        <v>-3.8874890000000002E-2</v>
      </c>
      <c r="W3295">
        <v>6.2833200000000006E-2</v>
      </c>
      <c r="X3295">
        <v>0.99726669999999995</v>
      </c>
      <c r="Y3295">
        <v>-3.6496380000000002E-2</v>
      </c>
      <c r="Z3295">
        <v>2.7309490000000002E-4</v>
      </c>
      <c r="AA3295">
        <v>0.99933369999999999</v>
      </c>
      <c r="AB3295">
        <v>57</v>
      </c>
      <c r="AC3295">
        <v>-18.5426</v>
      </c>
      <c r="AD3295">
        <v>-1.1093856623580001</v>
      </c>
      <c r="AE3295">
        <v>-1.1259999999999699</v>
      </c>
      <c r="AF3295">
        <v>-0.69732048627566601</v>
      </c>
      <c r="AG3295">
        <v>-1.1093856623580001</v>
      </c>
      <c r="AH3295">
        <v>18.497601661290201</v>
      </c>
      <c r="AI3295">
        <v>93.429748048314195</v>
      </c>
      <c r="AJ3295">
        <v>92.158907478587594</v>
      </c>
      <c r="AK3295">
        <v>18.543954800101101</v>
      </c>
    </row>
    <row r="3296" spans="1:37" x14ac:dyDescent="0.2">
      <c r="A3296" t="str">
        <f>"20200111154131137"</f>
        <v>20200111154131137</v>
      </c>
      <c r="B3296" t="str">
        <f>"1578728491129208"</f>
        <v>1578728491129208</v>
      </c>
      <c r="C3296" t="s">
        <v>37</v>
      </c>
      <c r="D3296">
        <v>5.2595869999999998</v>
      </c>
      <c r="E3296">
        <v>0.49976749999999998</v>
      </c>
      <c r="F3296" t="s">
        <v>39</v>
      </c>
      <c r="G3296">
        <v>-325.55439999999999</v>
      </c>
      <c r="H3296" s="1">
        <v>-2.438645E-6</v>
      </c>
      <c r="I3296">
        <v>141.68039999999999</v>
      </c>
      <c r="J3296">
        <v>-307.08099999999899</v>
      </c>
      <c r="K3296">
        <v>1.109343</v>
      </c>
      <c r="L3296">
        <v>142.79089999999999</v>
      </c>
      <c r="M3296">
        <v>-0.99970579999999998</v>
      </c>
      <c r="N3296">
        <v>0</v>
      </c>
      <c r="O3296">
        <v>-2.3420079999999999E-2</v>
      </c>
      <c r="P3296">
        <v>-0.99648269999999906</v>
      </c>
      <c r="Q3296">
        <v>5.65388E-2</v>
      </c>
      <c r="R3296">
        <v>-6.1851080000000003E-2</v>
      </c>
      <c r="S3296">
        <v>-3.0095519999999998</v>
      </c>
      <c r="T3296">
        <v>-0.17512239999999901</v>
      </c>
      <c r="U3296">
        <v>-0.17742920000000001</v>
      </c>
      <c r="V3296">
        <v>-3.8627799999999997E-2</v>
      </c>
      <c r="W3296">
        <v>6.2758019999999998E-2</v>
      </c>
      <c r="X3296">
        <v>0.99728099999999997</v>
      </c>
      <c r="Y3296">
        <v>-3.5436820000000001E-2</v>
      </c>
      <c r="Z3296">
        <v>3.309055E-4</v>
      </c>
      <c r="AA3296">
        <v>0.99937189999999998</v>
      </c>
      <c r="AB3296">
        <v>57</v>
      </c>
      <c r="AC3296">
        <v>-18.473400000000002</v>
      </c>
      <c r="AD3296">
        <v>-1.1093454386449999</v>
      </c>
      <c r="AE3296">
        <v>-1.1105</v>
      </c>
      <c r="AF3296">
        <v>-0.67511250314568805</v>
      </c>
      <c r="AG3296">
        <v>-1.1093454386449999</v>
      </c>
      <c r="AH3296">
        <v>18.428126564720099</v>
      </c>
      <c r="AI3296">
        <v>93.4426583266861</v>
      </c>
      <c r="AJ3296">
        <v>92.098086643687694</v>
      </c>
      <c r="AK3296">
        <v>18.473826698318</v>
      </c>
    </row>
    <row r="3297" spans="1:37" x14ac:dyDescent="0.2">
      <c r="A3297" t="str">
        <f>"20200111154131159"</f>
        <v>20200111154131159</v>
      </c>
      <c r="B3297" t="str">
        <f>"1578728491149706"</f>
        <v>1578728491149706</v>
      </c>
      <c r="C3297" t="s">
        <v>37</v>
      </c>
      <c r="D3297">
        <v>5.2331909999999997</v>
      </c>
      <c r="E3297">
        <v>0.49982599999999999</v>
      </c>
      <c r="F3297" t="s">
        <v>39</v>
      </c>
      <c r="G3297">
        <v>-326.19880000000001</v>
      </c>
      <c r="H3297" s="1">
        <v>-2.1583990000000001E-6</v>
      </c>
      <c r="I3297">
        <v>141.6661</v>
      </c>
      <c r="J3297">
        <v>-307.6558</v>
      </c>
      <c r="K3297">
        <v>1.109308</v>
      </c>
      <c r="L3297">
        <v>142.7773</v>
      </c>
      <c r="M3297">
        <v>-0.99969560000000002</v>
      </c>
      <c r="N3297">
        <v>0</v>
      </c>
      <c r="O3297">
        <v>-2.3848100000000001E-2</v>
      </c>
      <c r="P3297">
        <v>-0.99646259999999998</v>
      </c>
      <c r="Q3297">
        <v>5.6561819999999999E-2</v>
      </c>
      <c r="R3297">
        <v>-6.2154540000000001E-2</v>
      </c>
      <c r="S3297">
        <v>-3.0095209999999999</v>
      </c>
      <c r="T3297">
        <v>-0.17463329999999999</v>
      </c>
      <c r="U3297">
        <v>-0.1770477</v>
      </c>
      <c r="V3297">
        <v>-3.8499279999999997E-2</v>
      </c>
      <c r="W3297">
        <v>6.2808939999999994E-2</v>
      </c>
      <c r="X3297">
        <v>0.99728269999999997</v>
      </c>
      <c r="Y3297">
        <v>-3.4885050000000001E-2</v>
      </c>
      <c r="Z3297">
        <v>3.707513E-4</v>
      </c>
      <c r="AA3297">
        <v>0.99939129999999998</v>
      </c>
      <c r="AB3297">
        <v>57</v>
      </c>
      <c r="AC3297">
        <v>-18.542999999999999</v>
      </c>
      <c r="AD3297">
        <v>-1.1093101583989999</v>
      </c>
      <c r="AE3297">
        <v>-1.11119999999999</v>
      </c>
      <c r="AF3297">
        <v>-0.66628378659504195</v>
      </c>
      <c r="AG3297">
        <v>-1.1093101583989999</v>
      </c>
      <c r="AH3297">
        <v>18.4982605898057</v>
      </c>
      <c r="AI3297">
        <v>93.429604768900305</v>
      </c>
      <c r="AJ3297">
        <v>92.062829243548506</v>
      </c>
      <c r="AK3297">
        <v>18.543466449403901</v>
      </c>
    </row>
    <row r="3298" spans="1:37" x14ac:dyDescent="0.2">
      <c r="A3298" t="str">
        <f>"20200111154131176"</f>
        <v>20200111154131176</v>
      </c>
      <c r="B3298" t="str">
        <f>"1578728491169224"</f>
        <v>1578728491169224</v>
      </c>
      <c r="C3298" t="s">
        <v>37</v>
      </c>
      <c r="D3298">
        <v>5.2794549999999996</v>
      </c>
      <c r="E3298">
        <v>0.49976509999999902</v>
      </c>
      <c r="F3298" t="s">
        <v>39</v>
      </c>
      <c r="G3298">
        <v>-326.87490000000003</v>
      </c>
      <c r="H3298" s="1">
        <v>-1.8624510000000001E-6</v>
      </c>
      <c r="I3298">
        <v>141.6438</v>
      </c>
      <c r="J3298">
        <v>-308.05549999999999</v>
      </c>
      <c r="K3298">
        <v>1.1092869999999999</v>
      </c>
      <c r="L3298">
        <v>142.76779999999999</v>
      </c>
      <c r="M3298">
        <v>-0.99968840000000003</v>
      </c>
      <c r="N3298">
        <v>0</v>
      </c>
      <c r="O3298">
        <v>-2.4140579999999998E-2</v>
      </c>
      <c r="P3298">
        <v>-0.99642430000000004</v>
      </c>
      <c r="Q3298">
        <v>5.6748569999999998E-2</v>
      </c>
      <c r="R3298">
        <v>-6.2597330000000007E-2</v>
      </c>
      <c r="S3298">
        <v>-3.0093990000000002</v>
      </c>
      <c r="T3298">
        <v>-0.17370039999999901</v>
      </c>
      <c r="U3298">
        <v>-0.17747499999999999</v>
      </c>
      <c r="V3298">
        <v>-3.8647609999999999E-2</v>
      </c>
      <c r="W3298">
        <v>6.3014050000000002E-2</v>
      </c>
      <c r="X3298">
        <v>0.99726399999999904</v>
      </c>
      <c r="Y3298">
        <v>-3.4737339999999998E-2</v>
      </c>
      <c r="Z3298">
        <v>3.8988640000000001E-4</v>
      </c>
      <c r="AA3298">
        <v>0.99939639999999996</v>
      </c>
      <c r="AB3298">
        <v>58</v>
      </c>
      <c r="AC3298">
        <v>-18.819400000000002</v>
      </c>
      <c r="AD3298">
        <v>-1.109288862451</v>
      </c>
      <c r="AE3298">
        <v>-1.1239999999999899</v>
      </c>
      <c r="AF3298">
        <v>-0.66704270524809695</v>
      </c>
      <c r="AG3298">
        <v>-1.109288862451</v>
      </c>
      <c r="AH3298">
        <v>18.776046559723401</v>
      </c>
      <c r="AI3298">
        <v>93.378977836961198</v>
      </c>
      <c r="AJ3298">
        <v>92.034649040524897</v>
      </c>
      <c r="AK3298">
        <v>18.8206108339736</v>
      </c>
    </row>
    <row r="3299" spans="1:37" x14ac:dyDescent="0.2">
      <c r="A3299" t="str">
        <f>"20200111154131192"</f>
        <v>20200111154131192</v>
      </c>
      <c r="B3299" t="str">
        <f>"1578728491189721"</f>
        <v>1578728491189721</v>
      </c>
      <c r="C3299" t="s">
        <v>37</v>
      </c>
      <c r="D3299">
        <v>5.2239519999999997</v>
      </c>
      <c r="E3299">
        <v>0.49986829999999999</v>
      </c>
      <c r="F3299" t="s">
        <v>39</v>
      </c>
      <c r="G3299">
        <v>-327.78</v>
      </c>
      <c r="H3299" s="1">
        <v>-1.4608860000000001E-6</v>
      </c>
      <c r="I3299">
        <v>141.59399999999999</v>
      </c>
      <c r="J3299">
        <v>-308.49590000000001</v>
      </c>
      <c r="K3299">
        <v>1.1092709999999999</v>
      </c>
      <c r="L3299">
        <v>142.75720000000001</v>
      </c>
      <c r="M3299">
        <v>-0.99968060000000003</v>
      </c>
      <c r="N3299">
        <v>0</v>
      </c>
      <c r="O3299">
        <v>-2.44599E-2</v>
      </c>
      <c r="P3299">
        <v>-0.99633570000000005</v>
      </c>
      <c r="Q3299">
        <v>5.7595819999999999E-2</v>
      </c>
      <c r="R3299">
        <v>-6.323252E-2</v>
      </c>
      <c r="S3299">
        <v>-3.0091860000000001</v>
      </c>
      <c r="T3299">
        <v>-0.1692342</v>
      </c>
      <c r="U3299">
        <v>-0.1790619</v>
      </c>
      <c r="V3299">
        <v>-3.8964070000000003E-2</v>
      </c>
      <c r="W3299">
        <v>6.3882049999999996E-2</v>
      </c>
      <c r="X3299">
        <v>0.99719650000000004</v>
      </c>
      <c r="Y3299">
        <v>-3.494854E-2</v>
      </c>
      <c r="Z3299">
        <v>3.9188539999999999E-4</v>
      </c>
      <c r="AA3299">
        <v>0.99938909999999903</v>
      </c>
      <c r="AB3299">
        <v>58</v>
      </c>
      <c r="AC3299">
        <v>-19.284099999999899</v>
      </c>
      <c r="AD3299">
        <v>-1.1092724608859901</v>
      </c>
      <c r="AE3299">
        <v>-1.16320000000001</v>
      </c>
      <c r="AF3299">
        <v>-0.68888412749730399</v>
      </c>
      <c r="AG3299">
        <v>-1.1092724608859901</v>
      </c>
      <c r="AH3299">
        <v>19.243339935106299</v>
      </c>
      <c r="AI3299">
        <v>93.297027545969101</v>
      </c>
      <c r="AJ3299">
        <v>92.050231681854797</v>
      </c>
      <c r="AK3299">
        <v>19.287591311297898</v>
      </c>
    </row>
    <row r="3300" spans="1:37" x14ac:dyDescent="0.2">
      <c r="A3300" t="str">
        <f>"20200111154131215"</f>
        <v>20200111154131215</v>
      </c>
      <c r="B3300" t="str">
        <f>"1578728491209499"</f>
        <v>1578728491209499</v>
      </c>
      <c r="C3300" t="s">
        <v>37</v>
      </c>
      <c r="D3300">
        <v>5.2097429999999996</v>
      </c>
      <c r="E3300">
        <v>0.50022040000000001</v>
      </c>
      <c r="F3300" t="s">
        <v>39</v>
      </c>
      <c r="G3300">
        <v>-328.5804</v>
      </c>
      <c r="H3300" s="1">
        <v>-1.106911E-6</v>
      </c>
      <c r="I3300">
        <v>141.55420000000001</v>
      </c>
      <c r="J3300">
        <v>-309.08179999999999</v>
      </c>
      <c r="K3300">
        <v>1.109256</v>
      </c>
      <c r="L3300">
        <v>142.74279999999999</v>
      </c>
      <c r="M3300">
        <v>-0.99966999999999995</v>
      </c>
      <c r="N3300">
        <v>0</v>
      </c>
      <c r="O3300">
        <v>-2.4880070000000001E-2</v>
      </c>
      <c r="P3300">
        <v>-0.9962915</v>
      </c>
      <c r="Q3300">
        <v>5.7885020000000002E-2</v>
      </c>
      <c r="R3300">
        <v>-6.3663070000000002E-2</v>
      </c>
      <c r="S3300">
        <v>-3.0091860000000001</v>
      </c>
      <c r="T3300">
        <v>-0.16619800000000001</v>
      </c>
      <c r="U3300">
        <v>-0.18022160000000001</v>
      </c>
      <c r="V3300">
        <v>-3.8972300000000001E-2</v>
      </c>
      <c r="W3300">
        <v>6.4205150000000002E-2</v>
      </c>
      <c r="X3300">
        <v>0.99717549999999899</v>
      </c>
      <c r="Y3300">
        <v>-3.4913529999999998E-2</v>
      </c>
      <c r="Z3300">
        <v>4.0897980000000002E-4</v>
      </c>
      <c r="AA3300">
        <v>0.99939020000000001</v>
      </c>
      <c r="AB3300">
        <v>58</v>
      </c>
      <c r="AC3300">
        <v>-19.4986</v>
      </c>
      <c r="AD3300">
        <v>-1.109257106911</v>
      </c>
      <c r="AE3300">
        <v>-1.1885999999999699</v>
      </c>
      <c r="AF3300">
        <v>-0.70083583420036699</v>
      </c>
      <c r="AG3300">
        <v>-1.109257106911</v>
      </c>
      <c r="AH3300">
        <v>19.459392327957101</v>
      </c>
      <c r="AI3300">
        <v>93.260430638238503</v>
      </c>
      <c r="AJ3300">
        <v>92.062633127229404</v>
      </c>
      <c r="AK3300">
        <v>19.503578440098799</v>
      </c>
    </row>
    <row r="3301" spans="1:37" x14ac:dyDescent="0.2">
      <c r="A3301" t="str">
        <f>"20200111154131238"</f>
        <v>20200111154131238</v>
      </c>
      <c r="B3301" t="str">
        <f>"1578728491229994"</f>
        <v>1578728491229994</v>
      </c>
      <c r="C3301" t="s">
        <v>37</v>
      </c>
      <c r="D3301">
        <v>5.1763379999999897</v>
      </c>
      <c r="E3301">
        <v>0.50025439999999999</v>
      </c>
      <c r="F3301" t="s">
        <v>39</v>
      </c>
      <c r="G3301">
        <v>-329.08600000000001</v>
      </c>
      <c r="H3301" s="1">
        <v>-8.9039409999999996E-7</v>
      </c>
      <c r="I3301">
        <v>141.5556</v>
      </c>
      <c r="J3301">
        <v>-309.69279999999998</v>
      </c>
      <c r="K3301">
        <v>1.1092439999999999</v>
      </c>
      <c r="L3301">
        <v>142.72749999999999</v>
      </c>
      <c r="M3301">
        <v>-0.99965879999999996</v>
      </c>
      <c r="N3301">
        <v>0</v>
      </c>
      <c r="O3301">
        <v>-2.5313769999999999E-2</v>
      </c>
      <c r="P3301">
        <v>-0.99626689999999996</v>
      </c>
      <c r="Q3301">
        <v>5.8174799999999999E-2</v>
      </c>
      <c r="R3301">
        <v>-6.378019E-2</v>
      </c>
      <c r="S3301">
        <v>-3.0094599999999998</v>
      </c>
      <c r="T3301">
        <v>-0.16687839999999901</v>
      </c>
      <c r="U3301">
        <v>-0.17858889999999999</v>
      </c>
      <c r="V3301">
        <v>-3.8653840000000002E-2</v>
      </c>
      <c r="W3301">
        <v>6.4535380000000003E-2</v>
      </c>
      <c r="X3301">
        <v>0.99716649999999996</v>
      </c>
      <c r="Y3301">
        <v>-3.3936250000000001E-2</v>
      </c>
      <c r="Z3301">
        <v>4.6167019999999998E-4</v>
      </c>
      <c r="AA3301">
        <v>0.99942389999999903</v>
      </c>
      <c r="AB3301">
        <v>58</v>
      </c>
      <c r="AC3301">
        <v>-19.3932</v>
      </c>
      <c r="AD3301">
        <v>-1.1092448903940999</v>
      </c>
      <c r="AE3301">
        <v>-1.1718999999999899</v>
      </c>
      <c r="AF3301">
        <v>-0.67838794747297304</v>
      </c>
      <c r="AG3301">
        <v>-1.1092448903940999</v>
      </c>
      <c r="AH3301">
        <v>19.3535649795541</v>
      </c>
      <c r="AI3301">
        <v>93.278296002279603</v>
      </c>
      <c r="AJ3301">
        <v>92.007529832445996</v>
      </c>
      <c r="AK3301">
        <v>19.3971934014167</v>
      </c>
    </row>
    <row r="3302" spans="1:37" x14ac:dyDescent="0.2">
      <c r="A3302" t="str">
        <f>"20200111154131253"</f>
        <v>20200111154131253</v>
      </c>
      <c r="B3302" t="str">
        <f>"1578728491249515"</f>
        <v>1578728491249515</v>
      </c>
      <c r="C3302" t="s">
        <v>37</v>
      </c>
      <c r="D3302">
        <v>5.2541949999999904</v>
      </c>
      <c r="E3302">
        <v>0.50042900000000001</v>
      </c>
      <c r="F3302" t="s">
        <v>39</v>
      </c>
      <c r="G3302">
        <v>-329.72120000000001</v>
      </c>
      <c r="H3302" s="1">
        <v>-6.1354290000000001E-7</v>
      </c>
      <c r="I3302">
        <v>141.53919999999999</v>
      </c>
      <c r="J3302">
        <v>-310.06639999999999</v>
      </c>
      <c r="K3302">
        <v>1.1092409999999999</v>
      </c>
      <c r="L3302">
        <v>142.71799999999999</v>
      </c>
      <c r="M3302">
        <v>-0.99965210000000004</v>
      </c>
      <c r="N3302">
        <v>0</v>
      </c>
      <c r="O3302">
        <v>-2.5576829999999998E-2</v>
      </c>
      <c r="P3302">
        <v>-0.99622219999999995</v>
      </c>
      <c r="Q3302">
        <v>5.8798019999999999E-2</v>
      </c>
      <c r="R3302">
        <v>-6.3910099999999997E-2</v>
      </c>
      <c r="S3302">
        <v>-3.0095209999999999</v>
      </c>
      <c r="T3302">
        <v>-0.1666783</v>
      </c>
      <c r="U3302">
        <v>-0.17854310000000001</v>
      </c>
      <c r="V3302">
        <v>-3.852146E-2</v>
      </c>
      <c r="W3302">
        <v>6.5184430000000002E-2</v>
      </c>
      <c r="X3302">
        <v>0.99712939999999906</v>
      </c>
      <c r="Y3302">
        <v>-3.3657769999999997E-2</v>
      </c>
      <c r="Z3302">
        <v>4.8334369999999998E-4</v>
      </c>
      <c r="AA3302">
        <v>0.99943329999999997</v>
      </c>
      <c r="AB3302">
        <v>58</v>
      </c>
      <c r="AC3302">
        <v>-19.654800000000002</v>
      </c>
      <c r="AD3302">
        <v>-1.1092416135429</v>
      </c>
      <c r="AE3302">
        <v>-1.1787999999999901</v>
      </c>
      <c r="AF3302">
        <v>-0.67355881616124602</v>
      </c>
      <c r="AG3302">
        <v>-1.1092416135429</v>
      </c>
      <c r="AH3302">
        <v>19.616265759829101</v>
      </c>
      <c r="AI3302">
        <v>93.234557453766399</v>
      </c>
      <c r="AJ3302">
        <v>91.966578234931106</v>
      </c>
      <c r="AK3302">
        <v>19.659144966052999</v>
      </c>
    </row>
    <row r="3303" spans="1:37" x14ac:dyDescent="0.2">
      <c r="A3303" t="str">
        <f>"20200111154131280"</f>
        <v>20200111154131280</v>
      </c>
      <c r="B3303" t="str">
        <f>"1578728491269034"</f>
        <v>1578728491269034</v>
      </c>
      <c r="C3303" t="s">
        <v>37</v>
      </c>
      <c r="D3303">
        <v>5.1587589999999999</v>
      </c>
      <c r="E3303">
        <v>0.50036709999999995</v>
      </c>
      <c r="F3303" t="s">
        <v>39</v>
      </c>
      <c r="G3303">
        <v>-330.44080000000002</v>
      </c>
      <c r="H3303" s="1">
        <v>-4.879247E-6</v>
      </c>
      <c r="I3303">
        <v>141.51750000000001</v>
      </c>
      <c r="J3303">
        <v>-310.8023</v>
      </c>
      <c r="K3303">
        <v>1.1092249999999999</v>
      </c>
      <c r="L3303">
        <v>142.69909999999999</v>
      </c>
      <c r="M3303">
        <v>-0.99963829999999998</v>
      </c>
      <c r="N3303">
        <v>0</v>
      </c>
      <c r="O3303">
        <v>-2.6089890000000001E-2</v>
      </c>
      <c r="P3303">
        <v>-0.99606989999999995</v>
      </c>
      <c r="Q3303">
        <v>6.056367E-2</v>
      </c>
      <c r="R3303">
        <v>-6.4628240000000003E-2</v>
      </c>
      <c r="S3303">
        <v>-3.0097049999999999</v>
      </c>
      <c r="T3303">
        <v>-0.1638579</v>
      </c>
      <c r="U3303">
        <v>-0.17733759999999901</v>
      </c>
      <c r="V3303">
        <v>-3.8730250000000001E-2</v>
      </c>
      <c r="W3303">
        <v>6.7005770000000006E-2</v>
      </c>
      <c r="X3303">
        <v>0.99700059999999902</v>
      </c>
      <c r="Y3303">
        <v>-3.2744820000000001E-2</v>
      </c>
      <c r="Z3303">
        <v>5.2783979999999995E-4</v>
      </c>
      <c r="AA3303">
        <v>0.99946360000000001</v>
      </c>
      <c r="AB3303">
        <v>58</v>
      </c>
      <c r="AC3303">
        <v>-19.638500000000001</v>
      </c>
      <c r="AD3303">
        <v>-1.1092298792469999</v>
      </c>
      <c r="AE3303">
        <v>-1.18159999999997</v>
      </c>
      <c r="AF3303">
        <v>-0.66670127177867</v>
      </c>
      <c r="AG3303">
        <v>-1.1092298792469999</v>
      </c>
      <c r="AH3303">
        <v>19.600338573020402</v>
      </c>
      <c r="AI3303">
        <v>93.237181590021905</v>
      </c>
      <c r="AJ3303">
        <v>91.948152422430894</v>
      </c>
      <c r="AK3303">
        <v>19.643017937369901</v>
      </c>
    </row>
    <row r="3304" spans="1:37" x14ac:dyDescent="0.2">
      <c r="A3304" t="str">
        <f>"20200111154131304"</f>
        <v>20200111154131304</v>
      </c>
      <c r="B3304" t="str">
        <f>"1578728491299804"</f>
        <v>1578728491299804</v>
      </c>
      <c r="C3304" t="s">
        <v>37</v>
      </c>
      <c r="D3304">
        <v>5.2003110000000001</v>
      </c>
      <c r="E3304">
        <v>0.50053939999999997</v>
      </c>
      <c r="F3304" t="s">
        <v>39</v>
      </c>
      <c r="G3304">
        <v>-331.72289999999998</v>
      </c>
      <c r="H3304" s="1">
        <v>-4.3752489999999999E-6</v>
      </c>
      <c r="I3304">
        <v>141.45179999999999</v>
      </c>
      <c r="J3304">
        <v>-311.40120000000002</v>
      </c>
      <c r="K3304">
        <v>1.1092059999999999</v>
      </c>
      <c r="L3304">
        <v>142.68340000000001</v>
      </c>
      <c r="M3304">
        <v>-0.99962719999999905</v>
      </c>
      <c r="N3304">
        <v>0</v>
      </c>
      <c r="O3304">
        <v>-2.6501799999999898E-2</v>
      </c>
      <c r="P3304">
        <v>-0.99608890000000005</v>
      </c>
      <c r="Q3304">
        <v>5.9625659999999997E-2</v>
      </c>
      <c r="R3304">
        <v>-6.5206650000000005E-2</v>
      </c>
      <c r="S3304">
        <v>-3.0098569999999998</v>
      </c>
      <c r="T3304">
        <v>-0.15958510000000001</v>
      </c>
      <c r="U3304">
        <v>-0.1794434</v>
      </c>
      <c r="V3304">
        <v>-3.8893709999999998E-2</v>
      </c>
      <c r="W3304">
        <v>6.6121760000000002E-2</v>
      </c>
      <c r="X3304">
        <v>0.99705330000000003</v>
      </c>
      <c r="Y3304">
        <v>-3.302745E-2</v>
      </c>
      <c r="Z3304">
        <v>5.2836650000000001E-4</v>
      </c>
      <c r="AA3304">
        <v>0.99945430000000002</v>
      </c>
      <c r="AB3304">
        <v>58</v>
      </c>
      <c r="AC3304">
        <v>-20.3216999999999</v>
      </c>
      <c r="AD3304">
        <v>-1.1092103752489999</v>
      </c>
      <c r="AE3304">
        <v>-1.23160000000001</v>
      </c>
      <c r="AF3304">
        <v>-0.69054438197805201</v>
      </c>
      <c r="AG3304">
        <v>-1.1092103752489999</v>
      </c>
      <c r="AH3304">
        <v>20.286983405845699</v>
      </c>
      <c r="AI3304">
        <v>93.127778012201603</v>
      </c>
      <c r="AJ3304">
        <v>91.949526346431696</v>
      </c>
      <c r="AK3304">
        <v>20.3290160831531</v>
      </c>
    </row>
    <row r="3305" spans="1:37" x14ac:dyDescent="0.2">
      <c r="A3305" t="str">
        <f>"20200111154131327"</f>
        <v>20200111154131327</v>
      </c>
      <c r="B3305" t="str">
        <f>"1578728491319317"</f>
        <v>1578728491319317</v>
      </c>
      <c r="C3305" t="s">
        <v>37</v>
      </c>
      <c r="D3305">
        <v>5.179144</v>
      </c>
      <c r="E3305">
        <v>0.50061420000000001</v>
      </c>
      <c r="F3305" t="s">
        <v>39</v>
      </c>
      <c r="G3305">
        <v>-332.0222</v>
      </c>
      <c r="H3305" s="1">
        <v>-4.2397009999999996E-6</v>
      </c>
      <c r="I3305">
        <v>141.45060000000001</v>
      </c>
      <c r="J3305">
        <v>-312.00080000000003</v>
      </c>
      <c r="K3305">
        <v>1.109199</v>
      </c>
      <c r="L3305">
        <v>142.66749999999999</v>
      </c>
      <c r="M3305">
        <v>-0.9996159</v>
      </c>
      <c r="N3305">
        <v>0</v>
      </c>
      <c r="O3305">
        <v>-2.6907589999999999E-2</v>
      </c>
      <c r="P3305">
        <v>-0.99606689999999998</v>
      </c>
      <c r="Q3305">
        <v>5.9174749999999998E-2</v>
      </c>
      <c r="R3305">
        <v>-6.5949309999999997E-2</v>
      </c>
      <c r="S3305">
        <v>-3.009674</v>
      </c>
      <c r="T3305">
        <v>-0.16189120000000001</v>
      </c>
      <c r="U3305">
        <v>-0.1799316</v>
      </c>
      <c r="V3305">
        <v>-3.9228470000000001E-2</v>
      </c>
      <c r="W3305">
        <v>6.5735429999999997E-2</v>
      </c>
      <c r="X3305">
        <v>0.99706569999999894</v>
      </c>
      <c r="Y3305">
        <v>-3.2787570000000002E-2</v>
      </c>
      <c r="Z3305">
        <v>5.6423949999999997E-4</v>
      </c>
      <c r="AA3305">
        <v>0.99946219999999997</v>
      </c>
      <c r="AB3305">
        <v>58</v>
      </c>
      <c r="AC3305">
        <v>-20.0213999999999</v>
      </c>
      <c r="AD3305">
        <v>-1.1092032397010001</v>
      </c>
      <c r="AE3305">
        <v>-1.2168999999999801</v>
      </c>
      <c r="AF3305">
        <v>-0.67565376489381401</v>
      </c>
      <c r="AG3305">
        <v>-1.1092032397010001</v>
      </c>
      <c r="AH3305">
        <v>19.985779268820199</v>
      </c>
      <c r="AI3305">
        <v>93.174825328416901</v>
      </c>
      <c r="AJ3305">
        <v>91.936245305718003</v>
      </c>
      <c r="AK3305">
        <v>20.027935810237199</v>
      </c>
    </row>
    <row r="3306" spans="1:37" x14ac:dyDescent="0.2">
      <c r="A3306" t="str">
        <f>"20200111154131348"</f>
        <v>20200111154131348</v>
      </c>
      <c r="B3306" t="str">
        <f>"1578728491339813"</f>
        <v>1578728491339813</v>
      </c>
      <c r="C3306" t="s">
        <v>37</v>
      </c>
      <c r="D3306">
        <v>5.2501879999999996</v>
      </c>
      <c r="E3306">
        <v>0.50071290000000002</v>
      </c>
      <c r="F3306" t="s">
        <v>39</v>
      </c>
      <c r="G3306">
        <v>-332.4264</v>
      </c>
      <c r="H3306" s="1">
        <v>-4.0447600000000004E-6</v>
      </c>
      <c r="I3306">
        <v>141.43610000000001</v>
      </c>
      <c r="J3306">
        <v>-312.5745</v>
      </c>
      <c r="K3306">
        <v>1.109192</v>
      </c>
      <c r="L3306">
        <v>142.65199999999999</v>
      </c>
      <c r="M3306">
        <v>-0.99960490000000002</v>
      </c>
      <c r="N3306">
        <v>0</v>
      </c>
      <c r="O3306">
        <v>-2.7290640000000001E-2</v>
      </c>
      <c r="P3306">
        <v>-0.9960253</v>
      </c>
      <c r="Q3306">
        <v>5.8416129999999997E-2</v>
      </c>
      <c r="R3306">
        <v>-6.7239129999999994E-2</v>
      </c>
      <c r="S3306">
        <v>-3.0095209999999999</v>
      </c>
      <c r="T3306">
        <v>-0.1634302</v>
      </c>
      <c r="U3306">
        <v>-0.181427</v>
      </c>
      <c r="V3306">
        <v>-4.013361E-2</v>
      </c>
      <c r="W3306">
        <v>6.5044050000000006E-2</v>
      </c>
      <c r="X3306">
        <v>0.99707500000000004</v>
      </c>
      <c r="Y3306">
        <v>-3.2902639999999997E-2</v>
      </c>
      <c r="Z3306">
        <v>5.8724850000000002E-4</v>
      </c>
      <c r="AA3306">
        <v>0.99945839999999997</v>
      </c>
      <c r="AB3306">
        <v>59</v>
      </c>
      <c r="AC3306">
        <v>-19.851900000000001</v>
      </c>
      <c r="AD3306">
        <v>-1.10919604476</v>
      </c>
      <c r="AE3306">
        <v>-1.2159</v>
      </c>
      <c r="AF3306">
        <v>-0.67157506540290401</v>
      </c>
      <c r="AG3306">
        <v>-1.10919604476</v>
      </c>
      <c r="AH3306">
        <v>19.816057471959699</v>
      </c>
      <c r="AI3306">
        <v>93.201931157158498</v>
      </c>
      <c r="AJ3306">
        <v>91.941036729946703</v>
      </c>
      <c r="AK3306">
        <v>19.858435554347999</v>
      </c>
    </row>
    <row r="3307" spans="1:37" x14ac:dyDescent="0.2">
      <c r="A3307" t="str">
        <f>"20200111154131371"</f>
        <v>20200111154131371</v>
      </c>
      <c r="B3307" t="str">
        <f>"1578728491359333"</f>
        <v>1578728491359333</v>
      </c>
      <c r="C3307" t="s">
        <v>37</v>
      </c>
      <c r="D3307">
        <v>5.2672049999999997</v>
      </c>
      <c r="E3307">
        <v>0.50082890000000002</v>
      </c>
      <c r="F3307" t="s">
        <v>39</v>
      </c>
      <c r="G3307">
        <v>-332.74029999999999</v>
      </c>
      <c r="H3307" s="1">
        <v>-3.8918169999999903E-6</v>
      </c>
      <c r="I3307">
        <v>141.41899999999899</v>
      </c>
      <c r="J3307">
        <v>-313.15300000000002</v>
      </c>
      <c r="K3307">
        <v>1.1091930000000001</v>
      </c>
      <c r="L3307">
        <v>142.6362</v>
      </c>
      <c r="M3307">
        <v>-0.99959419999999899</v>
      </c>
      <c r="N3307">
        <v>0</v>
      </c>
      <c r="O3307">
        <v>-2.7669429999999998E-2</v>
      </c>
      <c r="P3307">
        <v>-0.99596059999999997</v>
      </c>
      <c r="Q3307">
        <v>5.853237E-2</v>
      </c>
      <c r="R3307">
        <v>-6.809258E-2</v>
      </c>
      <c r="S3307">
        <v>-3.0092469999999998</v>
      </c>
      <c r="T3307">
        <v>-0.16551949999999899</v>
      </c>
      <c r="U3307">
        <v>-0.1839905</v>
      </c>
      <c r="V3307">
        <v>-4.0609010000000001E-2</v>
      </c>
      <c r="W3307">
        <v>6.5234390000000003E-2</v>
      </c>
      <c r="X3307">
        <v>0.99704329999999997</v>
      </c>
      <c r="Y3307">
        <v>-3.3377299999999999E-2</v>
      </c>
      <c r="Z3307">
        <v>6.0253390000000002E-4</v>
      </c>
      <c r="AA3307">
        <v>0.99944259999999996</v>
      </c>
      <c r="AB3307">
        <v>59</v>
      </c>
      <c r="AC3307">
        <v>-19.5872999999999</v>
      </c>
      <c r="AD3307">
        <v>-1.1091968918170001</v>
      </c>
      <c r="AE3307">
        <v>-1.2172000000000101</v>
      </c>
      <c r="AF3307">
        <v>-0.67260350957186599</v>
      </c>
      <c r="AG3307">
        <v>-1.1091968918170001</v>
      </c>
      <c r="AH3307">
        <v>19.551025718776</v>
      </c>
      <c r="AI3307">
        <v>93.245189984029693</v>
      </c>
      <c r="AJ3307">
        <v>91.970339068758506</v>
      </c>
      <c r="AK3307">
        <v>19.594012347708301</v>
      </c>
    </row>
    <row r="3308" spans="1:37" x14ac:dyDescent="0.2">
      <c r="A3308" t="str">
        <f>"20200111154131394"</f>
        <v>20200111154131394</v>
      </c>
      <c r="B3308" t="str">
        <f>"1578728491389589"</f>
        <v>1578728491389589</v>
      </c>
      <c r="C3308" t="s">
        <v>37</v>
      </c>
      <c r="D3308">
        <v>5.2585350000000002</v>
      </c>
      <c r="E3308">
        <v>0.50096890000000005</v>
      </c>
      <c r="F3308" t="s">
        <v>39</v>
      </c>
      <c r="G3308">
        <v>-333.31979999999999</v>
      </c>
      <c r="H3308" s="1">
        <v>-3.6111340000000001E-6</v>
      </c>
      <c r="I3308">
        <v>141.39349999999999</v>
      </c>
      <c r="J3308">
        <v>-313.7577</v>
      </c>
      <c r="K3308">
        <v>1.1091879999999901</v>
      </c>
      <c r="L3308">
        <v>142.61940000000001</v>
      </c>
      <c r="M3308">
        <v>-0.99958279999999999</v>
      </c>
      <c r="N3308">
        <v>0</v>
      </c>
      <c r="O3308">
        <v>-2.8053640000000001E-2</v>
      </c>
      <c r="P3308">
        <v>-0.99588369999999904</v>
      </c>
      <c r="Q3308">
        <v>5.8404820000000003E-2</v>
      </c>
      <c r="R3308">
        <v>-6.9316009999999997E-2</v>
      </c>
      <c r="S3308">
        <v>-3.0091860000000001</v>
      </c>
      <c r="T3308">
        <v>-0.16550860000000001</v>
      </c>
      <c r="U3308">
        <v>-0.185424799999999</v>
      </c>
      <c r="V3308">
        <v>-4.1448699999999998E-2</v>
      </c>
      <c r="W3308">
        <v>6.5198210000000006E-2</v>
      </c>
      <c r="X3308">
        <v>0.99701109999999904</v>
      </c>
      <c r="Y3308">
        <v>-3.3469390000000002E-2</v>
      </c>
      <c r="Z3308">
        <v>6.2104930000000003E-4</v>
      </c>
      <c r="AA3308">
        <v>0.99943950000000004</v>
      </c>
      <c r="AB3308">
        <v>59</v>
      </c>
      <c r="AC3308">
        <v>-19.562099999999901</v>
      </c>
      <c r="AD3308">
        <v>-1.1091916111339899</v>
      </c>
      <c r="AE3308">
        <v>-1.22590000000002</v>
      </c>
      <c r="AF3308">
        <v>-0.67445651678310004</v>
      </c>
      <c r="AG3308">
        <v>-1.1091916111339899</v>
      </c>
      <c r="AH3308">
        <v>19.5262606049962</v>
      </c>
      <c r="AI3308">
        <v>93.249266136773699</v>
      </c>
      <c r="AJ3308">
        <v>91.978266877446003</v>
      </c>
      <c r="AK3308">
        <v>19.569365110740499</v>
      </c>
    </row>
    <row r="3309" spans="1:37" x14ac:dyDescent="0.2">
      <c r="A3309" t="str">
        <f>"20200111154131416"</f>
        <v>20200111154131416</v>
      </c>
      <c r="B3309" t="str">
        <f>"1578728491409109"</f>
        <v>1578728491409109</v>
      </c>
      <c r="C3309" t="s">
        <v>37</v>
      </c>
      <c r="D3309">
        <v>5.2828080000000002</v>
      </c>
      <c r="E3309">
        <v>0.50102360000000001</v>
      </c>
      <c r="F3309" t="s">
        <v>39</v>
      </c>
      <c r="G3309">
        <v>-334.40640000000002</v>
      </c>
      <c r="H3309" s="1">
        <v>-3.080783E-6</v>
      </c>
      <c r="I3309">
        <v>141.33090000000001</v>
      </c>
      <c r="J3309">
        <v>-314.35199999999998</v>
      </c>
      <c r="K3309">
        <v>1.1091949999999999</v>
      </c>
      <c r="L3309">
        <v>142.6027</v>
      </c>
      <c r="M3309">
        <v>-0.99957169999999895</v>
      </c>
      <c r="N3309">
        <v>0</v>
      </c>
      <c r="O3309">
        <v>-2.8416159999999999E-2</v>
      </c>
      <c r="P3309">
        <v>-0.99586869999999905</v>
      </c>
      <c r="Q3309">
        <v>5.7646500000000003E-2</v>
      </c>
      <c r="R3309">
        <v>-7.0159639999999995E-2</v>
      </c>
      <c r="S3309">
        <v>-3.0088200000000001</v>
      </c>
      <c r="T3309">
        <v>-0.16162509999999999</v>
      </c>
      <c r="U3309">
        <v>-0.18775939999999999</v>
      </c>
      <c r="V3309">
        <v>-4.1927270000000003E-2</v>
      </c>
      <c r="W3309">
        <v>6.4562980000000006E-2</v>
      </c>
      <c r="X3309">
        <v>0.99703249999999999</v>
      </c>
      <c r="Y3309">
        <v>-3.3887170000000001E-2</v>
      </c>
      <c r="Z3309">
        <v>6.1477910000000001E-4</v>
      </c>
      <c r="AA3309">
        <v>0.99942549999999997</v>
      </c>
      <c r="AB3309">
        <v>59</v>
      </c>
      <c r="AC3309">
        <v>-20.054399999999902</v>
      </c>
      <c r="AD3309">
        <v>-1.109198080783</v>
      </c>
      <c r="AE3309">
        <v>-1.2717999999999801</v>
      </c>
      <c r="AF3309">
        <v>-0.69927280970343697</v>
      </c>
      <c r="AG3309">
        <v>-1.109198080783</v>
      </c>
      <c r="AH3309">
        <v>20.021438804072801</v>
      </c>
      <c r="AI3309">
        <v>93.169046045642901</v>
      </c>
      <c r="AJ3309">
        <v>92.0003108626276</v>
      </c>
      <c r="AK3309">
        <v>20.064329408929499</v>
      </c>
    </row>
    <row r="3310" spans="1:37" x14ac:dyDescent="0.2">
      <c r="A3310" t="str">
        <f>"20200111154131439"</f>
        <v>20200111154131439</v>
      </c>
      <c r="B3310" t="str">
        <f>"1578728491429605"</f>
        <v>1578728491429605</v>
      </c>
      <c r="C3310" t="s">
        <v>37</v>
      </c>
      <c r="D3310">
        <v>5.2481910000000003</v>
      </c>
      <c r="E3310">
        <v>0.50103549999999997</v>
      </c>
      <c r="F3310" t="s">
        <v>39</v>
      </c>
      <c r="G3310">
        <v>-335.00040000000001</v>
      </c>
      <c r="H3310" s="1">
        <v>-2.7919930000000001E-6</v>
      </c>
      <c r="I3310">
        <v>141.30080000000001</v>
      </c>
      <c r="J3310">
        <v>-314.94810000000001</v>
      </c>
      <c r="K3310">
        <v>1.1092200000000001</v>
      </c>
      <c r="L3310">
        <v>142.5857</v>
      </c>
      <c r="M3310">
        <v>-0.99956060000000002</v>
      </c>
      <c r="N3310">
        <v>0</v>
      </c>
      <c r="O3310">
        <v>-2.8760790000000001E-2</v>
      </c>
      <c r="P3310">
        <v>-0.99581280000000005</v>
      </c>
      <c r="Q3310">
        <v>5.7258150000000001E-2</v>
      </c>
      <c r="R3310">
        <v>-7.1264830000000001E-2</v>
      </c>
      <c r="S3310">
        <v>-3.00839199999999</v>
      </c>
      <c r="T3310">
        <v>-0.1616052</v>
      </c>
      <c r="U3310">
        <v>-0.18968199999999999</v>
      </c>
      <c r="V3310">
        <v>-4.2687549999999998E-2</v>
      </c>
      <c r="W3310">
        <v>6.4358849999999995E-2</v>
      </c>
      <c r="X3310">
        <v>0.99701340000000005</v>
      </c>
      <c r="Y3310">
        <v>-3.4187639999999998E-2</v>
      </c>
      <c r="Z3310">
        <v>6.2518779999999998E-4</v>
      </c>
      <c r="AA3310">
        <v>0.99941519999999995</v>
      </c>
      <c r="AB3310">
        <v>59</v>
      </c>
      <c r="AC3310">
        <v>-20.052299999999999</v>
      </c>
      <c r="AD3310">
        <v>-1.109222791993</v>
      </c>
      <c r="AE3310">
        <v>-1.2848999999999899</v>
      </c>
      <c r="AF3310">
        <v>-0.70548372842417795</v>
      </c>
      <c r="AG3310">
        <v>-1.109222791993</v>
      </c>
      <c r="AH3310">
        <v>20.019951259049702</v>
      </c>
      <c r="AI3310">
        <v>93.169316828696793</v>
      </c>
      <c r="AJ3310">
        <v>92.018212758337896</v>
      </c>
      <c r="AK3310">
        <v>20.063063846483502</v>
      </c>
    </row>
    <row r="3311" spans="1:37" x14ac:dyDescent="0.2">
      <c r="A3311" t="str">
        <f>"20200111154131459"</f>
        <v>20200111154131459</v>
      </c>
      <c r="B3311" t="str">
        <f>"1578728491449125"</f>
        <v>1578728491449125</v>
      </c>
      <c r="C3311" t="s">
        <v>37</v>
      </c>
      <c r="D3311">
        <v>5.2607349999999897</v>
      </c>
      <c r="E3311">
        <v>0.50102290000000005</v>
      </c>
      <c r="F3311" t="s">
        <v>39</v>
      </c>
      <c r="G3311">
        <v>-335.87189999999998</v>
      </c>
      <c r="H3311" s="1">
        <v>-2.3648070000000002E-6</v>
      </c>
      <c r="I3311">
        <v>141.24359999999999</v>
      </c>
      <c r="J3311">
        <v>-315.50490000000002</v>
      </c>
      <c r="K3311">
        <v>1.1092519999999999</v>
      </c>
      <c r="L3311">
        <v>142.56970000000001</v>
      </c>
      <c r="M3311">
        <v>-0.99955000000000005</v>
      </c>
      <c r="N3311">
        <v>0</v>
      </c>
      <c r="O3311">
        <v>-2.9061119999999999E-2</v>
      </c>
      <c r="P3311">
        <v>-0.99563189999999901</v>
      </c>
      <c r="Q3311">
        <v>5.7717020000000001E-2</v>
      </c>
      <c r="R3311">
        <v>-7.3388149999999999E-2</v>
      </c>
      <c r="S3311">
        <v>-3.007965</v>
      </c>
      <c r="T3311">
        <v>-0.1594592</v>
      </c>
      <c r="U3311">
        <v>-0.19294739999999999</v>
      </c>
      <c r="V3311">
        <v>-4.4513400000000002E-2</v>
      </c>
      <c r="W3311">
        <v>6.506642E-2</v>
      </c>
      <c r="X3311">
        <v>0.99688759999999998</v>
      </c>
      <c r="Y3311">
        <v>-3.497629E-2</v>
      </c>
      <c r="Z3311">
        <v>6.1197409999999997E-4</v>
      </c>
      <c r="AA3311">
        <v>0.99938799999999905</v>
      </c>
      <c r="AB3311">
        <v>59</v>
      </c>
      <c r="AC3311">
        <v>-20.366999999999901</v>
      </c>
      <c r="AD3311">
        <v>-1.1092543648069999</v>
      </c>
      <c r="AE3311">
        <v>-1.32610000000002</v>
      </c>
      <c r="AF3311">
        <v>-0.73147510981134201</v>
      </c>
      <c r="AG3311">
        <v>-1.1092543648069999</v>
      </c>
      <c r="AH3311">
        <v>20.3368666296568</v>
      </c>
      <c r="AI3311">
        <v>93.120034704260505</v>
      </c>
      <c r="AJ3311">
        <v>92.059922913326204</v>
      </c>
      <c r="AK3311">
        <v>20.380226823923401</v>
      </c>
    </row>
    <row r="3312" spans="1:37" x14ac:dyDescent="0.2">
      <c r="A3312" t="str">
        <f>"20200111154131482"</f>
        <v>20200111154131482</v>
      </c>
      <c r="B3312" t="str">
        <f>"1578728491479381"</f>
        <v>1578728491479381</v>
      </c>
      <c r="C3312" t="s">
        <v>37</v>
      </c>
      <c r="D3312">
        <v>5.3528320000000003</v>
      </c>
      <c r="E3312">
        <v>0.52966340000000001</v>
      </c>
      <c r="F3312" t="s">
        <v>39</v>
      </c>
      <c r="G3312">
        <v>-337.084</v>
      </c>
      <c r="H3312" s="1">
        <v>-1.7637689999999999E-6</v>
      </c>
      <c r="I3312">
        <v>141.1379</v>
      </c>
      <c r="J3312">
        <v>-316.07799999999997</v>
      </c>
      <c r="K3312">
        <v>1.1092949999999999</v>
      </c>
      <c r="L3312">
        <v>142.553</v>
      </c>
      <c r="M3312">
        <v>-0.99953910000000001</v>
      </c>
      <c r="N3312">
        <v>0</v>
      </c>
      <c r="O3312">
        <v>-2.9345960000000001E-2</v>
      </c>
      <c r="P3312">
        <v>-0.99557499999999999</v>
      </c>
      <c r="Q3312">
        <v>5.7399239999999997E-2</v>
      </c>
      <c r="R3312">
        <v>-7.4403559999999994E-2</v>
      </c>
      <c r="S3312">
        <v>-3.00738499999999</v>
      </c>
      <c r="T3312">
        <v>-0.15459189999999901</v>
      </c>
      <c r="U3312">
        <v>-0.1995392</v>
      </c>
      <c r="V3312">
        <v>-4.5242530000000003E-2</v>
      </c>
      <c r="W3312">
        <v>6.5083559999999999E-2</v>
      </c>
      <c r="X3312">
        <v>0.99685360000000001</v>
      </c>
      <c r="Y3312">
        <v>-3.6883279999999997E-2</v>
      </c>
      <c r="Z3312">
        <v>5.5906E-4</v>
      </c>
      <c r="AA3312">
        <v>0.99931939999999997</v>
      </c>
      <c r="AB3312">
        <v>59</v>
      </c>
      <c r="AC3312">
        <v>-21.006</v>
      </c>
      <c r="AD3312">
        <v>-1.1092967637690001</v>
      </c>
      <c r="AE3312">
        <v>-1.41509999999999</v>
      </c>
      <c r="AF3312">
        <v>-0.79582133025028101</v>
      </c>
      <c r="AG3312">
        <v>-1.1092967637690001</v>
      </c>
      <c r="AH3312">
        <v>20.980236997386299</v>
      </c>
      <c r="AI3312">
        <v>93.0244341961494</v>
      </c>
      <c r="AJ3312">
        <v>92.172299265072894</v>
      </c>
      <c r="AK3312">
        <v>21.0246097553864</v>
      </c>
    </row>
    <row r="3313" spans="1:37" x14ac:dyDescent="0.2">
      <c r="A3313" t="str">
        <f>"20200111154131505"</f>
        <v>20200111154131505</v>
      </c>
      <c r="B3313" t="str">
        <f>"1578728491499877"</f>
        <v>1578728491499877</v>
      </c>
      <c r="C3313" t="s">
        <v>37</v>
      </c>
      <c r="D3313">
        <v>5.365742</v>
      </c>
      <c r="E3313">
        <v>0.53967509999999996</v>
      </c>
      <c r="F3313" t="s">
        <v>39</v>
      </c>
      <c r="G3313">
        <v>-335.38099999999997</v>
      </c>
      <c r="H3313" s="1">
        <v>-2.9897430000000001E-6</v>
      </c>
      <c r="I3313">
        <v>142.7201</v>
      </c>
      <c r="J3313">
        <v>-316.68709999999999</v>
      </c>
      <c r="K3313">
        <v>1.1093469999999901</v>
      </c>
      <c r="L3313">
        <v>142.5351</v>
      </c>
      <c r="M3313">
        <v>-0.99952790000000002</v>
      </c>
      <c r="N3313">
        <v>0</v>
      </c>
      <c r="O3313">
        <v>-2.9615829999999999E-2</v>
      </c>
      <c r="P3313">
        <v>-0.99555339999999903</v>
      </c>
      <c r="Q3313">
        <v>5.7008679999999999E-2</v>
      </c>
      <c r="R3313">
        <v>-7.4991530000000001E-2</v>
      </c>
      <c r="S3313">
        <v>-3.025299</v>
      </c>
      <c r="T3313">
        <v>-0.1738565</v>
      </c>
      <c r="U3313">
        <v>2.6184079999999998E-2</v>
      </c>
      <c r="V3313">
        <v>-4.5558029999999999E-2</v>
      </c>
      <c r="W3313">
        <v>6.5122570000000005E-2</v>
      </c>
      <c r="X3313">
        <v>0.99683679999999997</v>
      </c>
      <c r="Y3313">
        <v>3.8154830000000001E-2</v>
      </c>
      <c r="Z3313">
        <v>2.7958470000000002E-3</v>
      </c>
      <c r="AA3313">
        <v>0.99926789999999999</v>
      </c>
      <c r="AB3313">
        <v>59</v>
      </c>
      <c r="AC3313">
        <v>-18.6938999999999</v>
      </c>
      <c r="AD3313">
        <v>-1.1093499897429999</v>
      </c>
      <c r="AE3313">
        <v>0.185000000000002</v>
      </c>
      <c r="AF3313">
        <v>0.73598116271199499</v>
      </c>
      <c r="AG3313">
        <v>-1.1093499897429999</v>
      </c>
      <c r="AH3313">
        <v>18.6146737458836</v>
      </c>
      <c r="AI3313">
        <v>93.407878021424693</v>
      </c>
      <c r="AJ3313">
        <v>87.735836656474405</v>
      </c>
      <c r="AK3313">
        <v>18.662218633841398</v>
      </c>
    </row>
    <row r="3314" spans="1:37" x14ac:dyDescent="0.2">
      <c r="A3314" t="str">
        <f>"20200111154131527"</f>
        <v>20200111154131527</v>
      </c>
      <c r="B3314" t="str">
        <f>"1578728491519396"</f>
        <v>1578728491519396</v>
      </c>
      <c r="C3314" t="s">
        <v>37</v>
      </c>
      <c r="D3314">
        <v>5.3499489999999996</v>
      </c>
      <c r="E3314">
        <v>0.54329850000000002</v>
      </c>
      <c r="F3314" t="s">
        <v>38</v>
      </c>
      <c r="G3314">
        <v>-317.89620000000002</v>
      </c>
      <c r="H3314">
        <v>1.0377080000000001</v>
      </c>
      <c r="I3314">
        <v>142.57730000000001</v>
      </c>
      <c r="J3314">
        <v>-317.29039999999998</v>
      </c>
      <c r="K3314">
        <v>1.1093919999999999</v>
      </c>
      <c r="L3314">
        <v>142.5172</v>
      </c>
      <c r="M3314">
        <v>-0.99951699999999999</v>
      </c>
      <c r="N3314">
        <v>0</v>
      </c>
      <c r="O3314">
        <v>-2.9846029999999999E-2</v>
      </c>
      <c r="P3314">
        <v>-0.99554830000000005</v>
      </c>
      <c r="Q3314">
        <v>5.6765139999999999E-2</v>
      </c>
      <c r="R3314">
        <v>-7.5242859999999995E-2</v>
      </c>
      <c r="S3314">
        <v>-3.031555</v>
      </c>
      <c r="T3314">
        <v>-0.17973520000000001</v>
      </c>
      <c r="U3314">
        <v>0.1042633</v>
      </c>
      <c r="V3314">
        <v>-4.5575400000000002E-2</v>
      </c>
      <c r="W3314">
        <v>6.5354300000000004E-2</v>
      </c>
      <c r="X3314">
        <v>0.99682079999999995</v>
      </c>
      <c r="Y3314">
        <v>6.4021880000000003E-2</v>
      </c>
      <c r="Z3314">
        <v>3.6631809999999902E-3</v>
      </c>
      <c r="AA3314">
        <v>0.99794179999999999</v>
      </c>
      <c r="AB3314">
        <v>59</v>
      </c>
      <c r="AC3314">
        <v>-0.60580000000004397</v>
      </c>
      <c r="AD3314">
        <v>-7.1683999999999803E-2</v>
      </c>
      <c r="AE3314">
        <v>6.0100000000005503E-2</v>
      </c>
      <c r="AF3314">
        <v>7.7085801266559797E-2</v>
      </c>
      <c r="AG3314">
        <v>-7.1683999999999803E-2</v>
      </c>
      <c r="AH3314">
        <v>0.595479722075551</v>
      </c>
      <c r="AI3314">
        <v>96.807983754902395</v>
      </c>
      <c r="AJ3314">
        <v>82.623988994581097</v>
      </c>
      <c r="AK3314">
        <v>0.60471225886042901</v>
      </c>
    </row>
    <row r="3315" spans="1:37" x14ac:dyDescent="0.2">
      <c r="A3315" t="str">
        <f>"20200111154131549"</f>
        <v>20200111154131549</v>
      </c>
      <c r="B3315" t="str">
        <f>"1578728491539906"</f>
        <v>1578728491539906</v>
      </c>
      <c r="C3315" t="s">
        <v>37</v>
      </c>
      <c r="D3315">
        <v>5.3344500000000004</v>
      </c>
      <c r="E3315">
        <v>0.54443680000000005</v>
      </c>
      <c r="F3315" t="s">
        <v>38</v>
      </c>
      <c r="G3315">
        <v>-318.4282</v>
      </c>
      <c r="H3315">
        <v>1.0452299999999899</v>
      </c>
      <c r="I3315">
        <v>142.5668</v>
      </c>
      <c r="J3315">
        <v>-317.86380000000003</v>
      </c>
      <c r="K3315">
        <v>1.109437</v>
      </c>
      <c r="L3315">
        <v>142.5001</v>
      </c>
      <c r="M3315">
        <v>-0.99950720000000004</v>
      </c>
      <c r="N3315">
        <v>0</v>
      </c>
      <c r="O3315">
        <v>-3.0035369999999999E-2</v>
      </c>
      <c r="P3315">
        <v>-0.9955946</v>
      </c>
      <c r="Q3315">
        <v>5.6368399999999999E-2</v>
      </c>
      <c r="R3315">
        <v>-7.4930150000000001E-2</v>
      </c>
      <c r="S3315">
        <v>-3.0331419999999998</v>
      </c>
      <c r="T3315">
        <v>-0.1710304</v>
      </c>
      <c r="U3315">
        <v>0.13203429999999999</v>
      </c>
      <c r="V3315">
        <v>-4.506802E-2</v>
      </c>
      <c r="W3315">
        <v>6.5420909999999999E-2</v>
      </c>
      <c r="X3315">
        <v>0.99683949999999999</v>
      </c>
      <c r="Y3315">
        <v>7.3314030000000002E-2</v>
      </c>
      <c r="Z3315">
        <v>3.7559939999999999E-3</v>
      </c>
      <c r="AA3315">
        <v>0.99730180000000002</v>
      </c>
      <c r="AB3315">
        <v>59</v>
      </c>
      <c r="AC3315">
        <v>-0.56439999999997703</v>
      </c>
      <c r="AD3315">
        <v>-6.4207000000000097E-2</v>
      </c>
      <c r="AE3315">
        <v>6.6699999999997303E-2</v>
      </c>
      <c r="AF3315">
        <v>8.2568713553918399E-2</v>
      </c>
      <c r="AG3315">
        <v>-6.4207000000000097E-2</v>
      </c>
      <c r="AH3315">
        <v>0.55505746449266302</v>
      </c>
      <c r="AI3315">
        <v>96.527243038470999</v>
      </c>
      <c r="AJ3315">
        <v>81.538895493235202</v>
      </c>
      <c r="AK3315">
        <v>0.56482645139544696</v>
      </c>
    </row>
    <row r="3316" spans="1:37" x14ac:dyDescent="0.2">
      <c r="A3316" t="str">
        <f>"20200111154131571"</f>
        <v>20200111154131571</v>
      </c>
      <c r="B3316" t="str">
        <f>"1578728491559413"</f>
        <v>1578728491559413</v>
      </c>
      <c r="C3316" t="s">
        <v>37</v>
      </c>
      <c r="D3316">
        <v>5.3130680000000003</v>
      </c>
      <c r="E3316">
        <v>0.54503550000000001</v>
      </c>
      <c r="F3316" t="s">
        <v>38</v>
      </c>
      <c r="G3316">
        <v>-318.95890000000003</v>
      </c>
      <c r="H3316">
        <v>1.048184</v>
      </c>
      <c r="I3316">
        <v>142.55160000000001</v>
      </c>
      <c r="J3316">
        <v>-318.4316</v>
      </c>
      <c r="K3316">
        <v>1.1094679999999999</v>
      </c>
      <c r="L3316">
        <v>142.483</v>
      </c>
      <c r="M3316">
        <v>-0.99949809999999994</v>
      </c>
      <c r="N3316">
        <v>0</v>
      </c>
      <c r="O3316">
        <v>-3.019546E-2</v>
      </c>
      <c r="P3316">
        <v>-0.99561769999999905</v>
      </c>
      <c r="Q3316">
        <v>5.6065579999999997E-2</v>
      </c>
      <c r="R3316">
        <v>-7.4848319999999996E-2</v>
      </c>
      <c r="S3316">
        <v>-3.033569</v>
      </c>
      <c r="T3316">
        <v>-0.16978019999999999</v>
      </c>
      <c r="U3316">
        <v>0.14201349999999999</v>
      </c>
      <c r="V3316">
        <v>-4.4821809999999997E-2</v>
      </c>
      <c r="W3316">
        <v>6.558079E-2</v>
      </c>
      <c r="X3316">
        <v>0.99684010000000001</v>
      </c>
      <c r="Y3316">
        <v>7.6738249999999994E-2</v>
      </c>
      <c r="Z3316">
        <v>3.8324520000000001E-3</v>
      </c>
      <c r="AA3316">
        <v>0.99704389999999998</v>
      </c>
      <c r="AB3316">
        <v>59</v>
      </c>
      <c r="AC3316">
        <v>-0.52730000000002497</v>
      </c>
      <c r="AD3316">
        <v>-6.1284000000000102E-2</v>
      </c>
      <c r="AE3316">
        <v>6.8600000000003505E-2</v>
      </c>
      <c r="AF3316">
        <v>8.3383940905129794E-2</v>
      </c>
      <c r="AG3316">
        <v>-6.1284000000000102E-2</v>
      </c>
      <c r="AH3316">
        <v>0.51810613165775299</v>
      </c>
      <c r="AI3316">
        <v>96.660938253175203</v>
      </c>
      <c r="AJ3316">
        <v>80.857223570676695</v>
      </c>
      <c r="AK3316">
        <v>0.52833944951918099</v>
      </c>
    </row>
    <row r="3317" spans="1:37" x14ac:dyDescent="0.2">
      <c r="A3317" t="str">
        <f>"20200111154131594"</f>
        <v>20200111154131594</v>
      </c>
      <c r="B3317" t="str">
        <f>"1578728491589669"</f>
        <v>1578728491589669</v>
      </c>
      <c r="C3317" t="s">
        <v>37</v>
      </c>
      <c r="D3317">
        <v>5.3719760000000001</v>
      </c>
      <c r="E3317">
        <v>0.54523889999999997</v>
      </c>
      <c r="F3317" t="s">
        <v>38</v>
      </c>
      <c r="G3317">
        <v>-319.48899999999998</v>
      </c>
      <c r="H3317">
        <v>1.0505139999999999</v>
      </c>
      <c r="I3317">
        <v>142.53440000000001</v>
      </c>
      <c r="J3317">
        <v>-319.05340000000001</v>
      </c>
      <c r="K3317">
        <v>1.1094930000000001</v>
      </c>
      <c r="L3317">
        <v>142.4641</v>
      </c>
      <c r="M3317">
        <v>-0.99948869999999901</v>
      </c>
      <c r="N3317">
        <v>0</v>
      </c>
      <c r="O3317">
        <v>-3.0336490000000001E-2</v>
      </c>
      <c r="P3317">
        <v>-0.99563829999999998</v>
      </c>
      <c r="Q3317">
        <v>5.5991289999999999E-2</v>
      </c>
      <c r="R3317">
        <v>-7.4630479999999999E-2</v>
      </c>
      <c r="S3317">
        <v>-3.0337830000000001</v>
      </c>
      <c r="T3317">
        <v>-0.1692322</v>
      </c>
      <c r="U3317">
        <v>0.14701839999999999</v>
      </c>
      <c r="V3317">
        <v>-4.4457339999999998E-2</v>
      </c>
      <c r="W3317">
        <v>6.6027080000000002E-2</v>
      </c>
      <c r="X3317">
        <v>0.99682689999999996</v>
      </c>
      <c r="Y3317">
        <v>7.851495E-2</v>
      </c>
      <c r="Z3317">
        <v>3.8770479999999902E-3</v>
      </c>
      <c r="AA3317">
        <v>0.99690540000000005</v>
      </c>
      <c r="AB3317">
        <v>59</v>
      </c>
      <c r="AC3317">
        <v>-0.43560000000002203</v>
      </c>
      <c r="AD3317">
        <v>-5.8979000000000101E-2</v>
      </c>
      <c r="AE3317">
        <v>7.0300000000003096E-2</v>
      </c>
      <c r="AF3317">
        <v>8.2017481013654497E-2</v>
      </c>
      <c r="AG3317">
        <v>-5.8979000000000101E-2</v>
      </c>
      <c r="AH3317">
        <v>0.42566142160652098</v>
      </c>
      <c r="AI3317">
        <v>97.747852792801595</v>
      </c>
      <c r="AJ3317">
        <v>79.093768708877604</v>
      </c>
      <c r="AK3317">
        <v>0.43748489742722502</v>
      </c>
    </row>
    <row r="3318" spans="1:37" x14ac:dyDescent="0.2">
      <c r="A3318" t="str">
        <f>"20200111154131616"</f>
        <v>20200111154131616</v>
      </c>
      <c r="B3318" t="str">
        <f>"1578728491609192"</f>
        <v>1578728491609192</v>
      </c>
      <c r="C3318" t="s">
        <v>37</v>
      </c>
      <c r="D3318">
        <v>5.3640930000000004</v>
      </c>
      <c r="E3318">
        <v>0.54551099999999997</v>
      </c>
      <c r="F3318" t="s">
        <v>38</v>
      </c>
      <c r="G3318">
        <v>-320.02800000000002</v>
      </c>
      <c r="H3318">
        <v>1.054732</v>
      </c>
      <c r="I3318">
        <v>142.51240000000001</v>
      </c>
      <c r="J3318">
        <v>-319.64710000000002</v>
      </c>
      <c r="K3318">
        <v>1.109515</v>
      </c>
      <c r="L3318">
        <v>142.446</v>
      </c>
      <c r="M3318">
        <v>-0.99948009999999998</v>
      </c>
      <c r="N3318">
        <v>0</v>
      </c>
      <c r="O3318">
        <v>-3.0445989999999999E-2</v>
      </c>
      <c r="P3318">
        <v>-0.99566189999999999</v>
      </c>
      <c r="Q3318">
        <v>5.5525680000000001E-2</v>
      </c>
      <c r="R3318">
        <v>-7.4662599999999996E-2</v>
      </c>
      <c r="S3318">
        <v>-3.0339659999999999</v>
      </c>
      <c r="T3318">
        <v>-0.17059639999999901</v>
      </c>
      <c r="U3318">
        <v>0.149231</v>
      </c>
      <c r="V3318">
        <v>-4.4372120000000001E-2</v>
      </c>
      <c r="W3318">
        <v>6.6075620000000002E-2</v>
      </c>
      <c r="X3318">
        <v>0.99682749999999998</v>
      </c>
      <c r="Y3318">
        <v>7.9342460000000004E-2</v>
      </c>
      <c r="Z3318">
        <v>3.9373430000000003E-3</v>
      </c>
      <c r="AA3318">
        <v>0.99683960000000005</v>
      </c>
      <c r="AB3318">
        <v>59</v>
      </c>
      <c r="AC3318">
        <v>-0.38089999999999602</v>
      </c>
      <c r="AD3318">
        <v>-5.4782999999999998E-2</v>
      </c>
      <c r="AE3318">
        <v>6.6400000000015696E-2</v>
      </c>
      <c r="AF3318">
        <v>7.6432320102223394E-2</v>
      </c>
      <c r="AG3318">
        <v>-5.4782999999999998E-2</v>
      </c>
      <c r="AH3318">
        <v>0.37124863347521703</v>
      </c>
      <c r="AI3318">
        <v>98.224171992356204</v>
      </c>
      <c r="AJ3318">
        <v>78.366546939083605</v>
      </c>
      <c r="AK3318">
        <v>0.38297339920995199</v>
      </c>
    </row>
    <row r="3319" spans="1:37" x14ac:dyDescent="0.2">
      <c r="A3319" t="str">
        <f>"20200111154131639"</f>
        <v>20200111154131639</v>
      </c>
      <c r="B3319" t="str">
        <f>"1578728491629688"</f>
        <v>1578728491629688</v>
      </c>
      <c r="C3319" t="s">
        <v>37</v>
      </c>
      <c r="D3319">
        <v>5.3711880000000001</v>
      </c>
      <c r="E3319">
        <v>0.5455101</v>
      </c>
      <c r="F3319" t="s">
        <v>39</v>
      </c>
      <c r="G3319">
        <v>-339.26220000000001</v>
      </c>
      <c r="H3319" s="1">
        <v>-1.3427409999999999E-6</v>
      </c>
      <c r="I3319">
        <v>143.4255</v>
      </c>
      <c r="J3319">
        <v>-320.22230000000002</v>
      </c>
      <c r="K3319">
        <v>1.109526</v>
      </c>
      <c r="L3319">
        <v>142.42840000000001</v>
      </c>
      <c r="M3319">
        <v>-0.99947169999999896</v>
      </c>
      <c r="N3319">
        <v>0</v>
      </c>
      <c r="O3319">
        <v>-3.0536029999999999E-2</v>
      </c>
      <c r="P3319">
        <v>-0.99562729999999999</v>
      </c>
      <c r="Q3319">
        <v>5.5545570000000002E-2</v>
      </c>
      <c r="R3319">
        <v>-7.5105850000000002E-2</v>
      </c>
      <c r="S3319">
        <v>-3.0339969999999998</v>
      </c>
      <c r="T3319">
        <v>-0.17161609999999999</v>
      </c>
      <c r="U3319">
        <v>0.15150449999999999</v>
      </c>
      <c r="V3319">
        <v>-4.4718939999999999E-2</v>
      </c>
      <c r="W3319">
        <v>6.6606600000000002E-2</v>
      </c>
      <c r="X3319">
        <v>0.99677669999999996</v>
      </c>
      <c r="Y3319">
        <v>8.0173549999999996E-2</v>
      </c>
      <c r="Z3319">
        <v>3.9892979999999996E-3</v>
      </c>
      <c r="AA3319">
        <v>0.99677289999999996</v>
      </c>
      <c r="AB3319">
        <v>59</v>
      </c>
      <c r="AC3319">
        <v>-19.0398999999999</v>
      </c>
      <c r="AD3319">
        <v>-1.109527342741</v>
      </c>
      <c r="AE3319">
        <v>0.997099999999989</v>
      </c>
      <c r="AF3319">
        <v>1.57274774599325</v>
      </c>
      <c r="AG3319">
        <v>-1.109527342741</v>
      </c>
      <c r="AH3319">
        <v>18.936441426591799</v>
      </c>
      <c r="AI3319">
        <v>93.341771018852697</v>
      </c>
      <c r="AJ3319">
        <v>85.252251298761095</v>
      </c>
      <c r="AK3319">
        <v>19.0340064174509</v>
      </c>
    </row>
    <row r="3320" spans="1:37" x14ac:dyDescent="0.2">
      <c r="A3320" t="str">
        <f>"20200111154131659"</f>
        <v>20200111154131659</v>
      </c>
      <c r="B3320" t="str">
        <f>"1578728491649205"</f>
        <v>1578728491649205</v>
      </c>
      <c r="C3320" t="s">
        <v>37</v>
      </c>
      <c r="D3320">
        <v>5.4116730000000004</v>
      </c>
      <c r="E3320">
        <v>0.54566759999999903</v>
      </c>
      <c r="F3320" t="s">
        <v>39</v>
      </c>
      <c r="G3320">
        <v>-339.81060000000002</v>
      </c>
      <c r="H3320" s="1">
        <v>-1.07618E-6</v>
      </c>
      <c r="I3320">
        <v>143.39789999999999</v>
      </c>
      <c r="J3320">
        <v>-320.78590000000003</v>
      </c>
      <c r="K3320">
        <v>1.1095429999999999</v>
      </c>
      <c r="L3320">
        <v>142.4111</v>
      </c>
      <c r="M3320">
        <v>-0.99946369999999896</v>
      </c>
      <c r="N3320">
        <v>0</v>
      </c>
      <c r="O3320">
        <v>-3.06133E-2</v>
      </c>
      <c r="P3320">
        <v>-0.99561390000000005</v>
      </c>
      <c r="Q3320">
        <v>5.6373189999999997E-2</v>
      </c>
      <c r="R3320">
        <v>-7.4667860000000003E-2</v>
      </c>
      <c r="S3320">
        <v>-3.034119</v>
      </c>
      <c r="T3320">
        <v>-0.17185880000000001</v>
      </c>
      <c r="U3320">
        <v>0.150177</v>
      </c>
      <c r="V3320">
        <v>-4.4196409999999998E-2</v>
      </c>
      <c r="W3320">
        <v>6.7934919999999996E-2</v>
      </c>
      <c r="X3320">
        <v>0.996710399999999</v>
      </c>
      <c r="Y3320">
        <v>7.9813709999999996E-2</v>
      </c>
      <c r="Z3320">
        <v>3.9890159999999997E-3</v>
      </c>
      <c r="AA3320">
        <v>0.99680179999999996</v>
      </c>
      <c r="AB3320">
        <v>59</v>
      </c>
      <c r="AC3320">
        <v>-19.024699999999999</v>
      </c>
      <c r="AD3320">
        <v>-1.1095440761799999</v>
      </c>
      <c r="AE3320">
        <v>0.98679999999998702</v>
      </c>
      <c r="AF3320">
        <v>1.56348192629517</v>
      </c>
      <c r="AG3320">
        <v>-1.1095440761799999</v>
      </c>
      <c r="AH3320">
        <v>18.921384846123999</v>
      </c>
      <c r="AI3320">
        <v>93.344590809126899</v>
      </c>
      <c r="AJ3320">
        <v>85.276356997388206</v>
      </c>
      <c r="AK3320">
        <v>19.018264071307101</v>
      </c>
    </row>
    <row r="3321" spans="1:37" x14ac:dyDescent="0.2">
      <c r="A3321" t="str">
        <f>"20200111154131683"</f>
        <v>20200111154131683</v>
      </c>
      <c r="B3321" t="str">
        <f>"1578728491679461"</f>
        <v>1578728491679461</v>
      </c>
      <c r="C3321" t="s">
        <v>37</v>
      </c>
      <c r="D3321">
        <v>5.3612739999999999</v>
      </c>
      <c r="E3321">
        <v>0.54558799999999996</v>
      </c>
      <c r="F3321" t="s">
        <v>39</v>
      </c>
      <c r="G3321">
        <v>-340.79039999999998</v>
      </c>
      <c r="H3321" s="1">
        <v>-4.6812420000000001E-6</v>
      </c>
      <c r="I3321">
        <v>143.417</v>
      </c>
      <c r="J3321">
        <v>-321.3768</v>
      </c>
      <c r="K3321">
        <v>1.109569</v>
      </c>
      <c r="L3321">
        <v>142.393</v>
      </c>
      <c r="M3321">
        <v>-0.99945589999999995</v>
      </c>
      <c r="N3321">
        <v>0</v>
      </c>
      <c r="O3321">
        <v>-3.0683499999999999E-2</v>
      </c>
      <c r="P3321">
        <v>-0.99561869999999997</v>
      </c>
      <c r="Q3321">
        <v>5.689346E-2</v>
      </c>
      <c r="R3321">
        <v>-7.4208070000000001E-2</v>
      </c>
      <c r="S3321">
        <v>-3.0341490000000002</v>
      </c>
      <c r="T3321">
        <v>-0.16828940000000001</v>
      </c>
      <c r="U3321">
        <v>0.1525879</v>
      </c>
      <c r="V3321">
        <v>-4.3659629999999998E-2</v>
      </c>
      <c r="W3321">
        <v>6.8954379999999996E-2</v>
      </c>
      <c r="X3321">
        <v>0.99666399999999999</v>
      </c>
      <c r="Y3321">
        <v>8.0679280000000006E-2</v>
      </c>
      <c r="Z3321">
        <v>3.9340540000000002E-3</v>
      </c>
      <c r="AA3321">
        <v>0.99673239999999996</v>
      </c>
      <c r="AB3321">
        <v>59</v>
      </c>
      <c r="AC3321">
        <v>-19.413599999999899</v>
      </c>
      <c r="AD3321">
        <v>-1.1095736812420001</v>
      </c>
      <c r="AE3321">
        <v>1.024</v>
      </c>
      <c r="AF3321">
        <v>1.6139809384128201</v>
      </c>
      <c r="AG3321">
        <v>-1.1095736812420001</v>
      </c>
      <c r="AH3321">
        <v>19.310131502337899</v>
      </c>
      <c r="AI3321">
        <v>93.277237032405097</v>
      </c>
      <c r="AJ3321">
        <v>85.222204809274501</v>
      </c>
      <c r="AK3321">
        <v>19.409205724636099</v>
      </c>
    </row>
    <row r="3322" spans="1:37" x14ac:dyDescent="0.2">
      <c r="A3322" t="str">
        <f>"20200111154131706"</f>
        <v>20200111154131706</v>
      </c>
      <c r="B3322" t="str">
        <f>"1578728491699957"</f>
        <v>1578728491699957</v>
      </c>
      <c r="C3322" t="s">
        <v>37</v>
      </c>
      <c r="D3322">
        <v>5.4285040000000002</v>
      </c>
      <c r="E3322">
        <v>0.5456569</v>
      </c>
      <c r="F3322" t="s">
        <v>39</v>
      </c>
      <c r="G3322">
        <v>-341.54640000000001</v>
      </c>
      <c r="H3322" s="1">
        <v>-4.4229999999999998E-6</v>
      </c>
      <c r="I3322">
        <v>143.4117</v>
      </c>
      <c r="J3322">
        <v>-321.98970000000003</v>
      </c>
      <c r="K3322">
        <v>1.1095950000000001</v>
      </c>
      <c r="L3322">
        <v>142.3741</v>
      </c>
      <c r="M3322">
        <v>-0.99944820000000001</v>
      </c>
      <c r="N3322">
        <v>0</v>
      </c>
      <c r="O3322">
        <v>-3.0739490000000001E-2</v>
      </c>
      <c r="P3322">
        <v>-0.99560649999999995</v>
      </c>
      <c r="Q3322">
        <v>5.7461980000000003E-2</v>
      </c>
      <c r="R3322">
        <v>-7.3932070000000003E-2</v>
      </c>
      <c r="S3322">
        <v>-3.0341800000000001</v>
      </c>
      <c r="T3322">
        <v>-0.16691719999999999</v>
      </c>
      <c r="U3322">
        <v>0.15325929999999999</v>
      </c>
      <c r="V3322">
        <v>-4.3321449999999997E-2</v>
      </c>
      <c r="W3322">
        <v>6.9986619999999999E-2</v>
      </c>
      <c r="X3322">
        <v>0.99660680000000001</v>
      </c>
      <c r="Y3322">
        <v>8.0957050000000003E-2</v>
      </c>
      <c r="Z3322">
        <v>3.91268E-3</v>
      </c>
      <c r="AA3322">
        <v>0.99670990000000004</v>
      </c>
      <c r="AB3322">
        <v>59</v>
      </c>
      <c r="AC3322">
        <v>-19.5566999999999</v>
      </c>
      <c r="AD3322">
        <v>-1.1095994229999999</v>
      </c>
      <c r="AE3322">
        <v>1.0375999999999901</v>
      </c>
      <c r="AF3322">
        <v>1.6330778130021</v>
      </c>
      <c r="AG3322">
        <v>-1.1095994229999999</v>
      </c>
      <c r="AH3322">
        <v>19.4531120950844</v>
      </c>
      <c r="AI3322">
        <v>93.253177344996402</v>
      </c>
      <c r="AJ3322">
        <v>85.201303396610996</v>
      </c>
      <c r="AK3322">
        <v>19.5530489746935</v>
      </c>
    </row>
    <row r="3323" spans="1:37" x14ac:dyDescent="0.2">
      <c r="A3323" t="str">
        <f>"20200111154131728"</f>
        <v>20200111154131728</v>
      </c>
      <c r="B3323" t="str">
        <f>"1578728491719476"</f>
        <v>1578728491719476</v>
      </c>
      <c r="C3323" t="s">
        <v>37</v>
      </c>
      <c r="D3323">
        <v>5.4434139999999998</v>
      </c>
      <c r="E3323">
        <v>0.54577159999999902</v>
      </c>
      <c r="F3323" t="s">
        <v>38</v>
      </c>
      <c r="G3323">
        <v>-323.17219999999998</v>
      </c>
      <c r="H3323">
        <v>1.045237</v>
      </c>
      <c r="I3323">
        <v>142.43450000000001</v>
      </c>
      <c r="J3323">
        <v>-322.57499999999999</v>
      </c>
      <c r="K3323">
        <v>1.1096159999999999</v>
      </c>
      <c r="L3323">
        <v>142.3561</v>
      </c>
      <c r="M3323">
        <v>-0.9994421</v>
      </c>
      <c r="N3323">
        <v>0</v>
      </c>
      <c r="O3323">
        <v>-3.0777740000000001E-2</v>
      </c>
      <c r="P3323">
        <v>-0.99553910000000001</v>
      </c>
      <c r="Q3323">
        <v>5.9812959999999998E-2</v>
      </c>
      <c r="R3323">
        <v>-7.2969779999999998E-2</v>
      </c>
      <c r="S3323">
        <v>-3.0343019999999998</v>
      </c>
      <c r="T3323">
        <v>-0.1651011</v>
      </c>
      <c r="U3323">
        <v>0.1549835</v>
      </c>
      <c r="V3323">
        <v>-4.2318939999999999E-2</v>
      </c>
      <c r="W3323">
        <v>7.2730950000000003E-2</v>
      </c>
      <c r="X3323">
        <v>0.99645329999999999</v>
      </c>
      <c r="Y3323">
        <v>8.1560960000000002E-2</v>
      </c>
      <c r="Z3323">
        <v>3.888458E-3</v>
      </c>
      <c r="AA3323">
        <v>0.99666080000000001</v>
      </c>
      <c r="AB3323">
        <v>59</v>
      </c>
      <c r="AC3323">
        <v>-0.59719999999998596</v>
      </c>
      <c r="AD3323">
        <v>-6.4378999999999895E-2</v>
      </c>
      <c r="AE3323">
        <v>7.8400000000016207E-2</v>
      </c>
      <c r="AF3323">
        <v>9.5652110419969197E-2</v>
      </c>
      <c r="AG3323">
        <v>-6.4378999999999895E-2</v>
      </c>
      <c r="AH3323">
        <v>0.58778880394305999</v>
      </c>
      <c r="AI3323">
        <v>96.170020528815201</v>
      </c>
      <c r="AJ3323">
        <v>80.757157627816497</v>
      </c>
      <c r="AK3323">
        <v>0.59899053407345804</v>
      </c>
    </row>
    <row r="3324" spans="1:37" x14ac:dyDescent="0.2">
      <c r="A3324" t="str">
        <f>"20200111154131749"</f>
        <v>20200111154131749</v>
      </c>
      <c r="B3324" t="str">
        <f>"1578728491739973"</f>
        <v>1578728491739973</v>
      </c>
      <c r="C3324" t="s">
        <v>37</v>
      </c>
      <c r="D3324">
        <v>5.3351660000000001</v>
      </c>
      <c r="E3324">
        <v>0.54588119999999996</v>
      </c>
      <c r="F3324" t="s">
        <v>38</v>
      </c>
      <c r="G3324">
        <v>-323.70819999999998</v>
      </c>
      <c r="H3324">
        <v>1.0510200000000001</v>
      </c>
      <c r="I3324">
        <v>142.41540000000001</v>
      </c>
      <c r="J3324">
        <v>-323.13290000000001</v>
      </c>
      <c r="K3324">
        <v>1.109631</v>
      </c>
      <c r="L3324">
        <v>142.3389</v>
      </c>
      <c r="M3324">
        <v>-0.99943700000000002</v>
      </c>
      <c r="N3324">
        <v>0</v>
      </c>
      <c r="O3324">
        <v>-3.0801579999999999E-2</v>
      </c>
      <c r="P3324">
        <v>-0.99547980000000003</v>
      </c>
      <c r="Q3324">
        <v>6.0695369999999998E-2</v>
      </c>
      <c r="R3324">
        <v>-7.3050630000000005E-2</v>
      </c>
      <c r="S3324">
        <v>-3.0345149999999999</v>
      </c>
      <c r="T3324">
        <v>-0.1568872</v>
      </c>
      <c r="U3324">
        <v>0.1588135</v>
      </c>
      <c r="V3324">
        <v>-4.2374059999999998E-2</v>
      </c>
      <c r="W3324">
        <v>7.3946449999999997E-2</v>
      </c>
      <c r="X3324">
        <v>0.99636159999999996</v>
      </c>
      <c r="Y3324">
        <v>8.2850140000000003E-2</v>
      </c>
      <c r="Z3324">
        <v>3.7294159999999902E-3</v>
      </c>
      <c r="AA3324">
        <v>0.99655499999999997</v>
      </c>
      <c r="AB3324">
        <v>59</v>
      </c>
      <c r="AC3324">
        <v>-0.57529999999996995</v>
      </c>
      <c r="AD3324">
        <v>-5.8610999999999899E-2</v>
      </c>
      <c r="AE3324">
        <v>7.6500000000009893E-2</v>
      </c>
      <c r="AF3324">
        <v>9.3234514360009194E-2</v>
      </c>
      <c r="AG3324">
        <v>-5.8610999999999899E-2</v>
      </c>
      <c r="AH3324">
        <v>0.56688875772138403</v>
      </c>
      <c r="AI3324">
        <v>95.825165622900201</v>
      </c>
      <c r="AJ3324">
        <v>80.660344646486195</v>
      </c>
      <c r="AK3324">
        <v>0.57748661250269695</v>
      </c>
    </row>
    <row r="3325" spans="1:37" x14ac:dyDescent="0.2">
      <c r="A3325" t="str">
        <f>"20200111154131772"</f>
        <v>20200111154131772</v>
      </c>
      <c r="B3325" t="str">
        <f>"1578728491769253"</f>
        <v>1578728491769253</v>
      </c>
      <c r="C3325" t="s">
        <v>37</v>
      </c>
      <c r="D3325">
        <v>5.3795929999999998</v>
      </c>
      <c r="E3325">
        <v>0.49701499999999998</v>
      </c>
      <c r="F3325" t="s">
        <v>39</v>
      </c>
      <c r="G3325">
        <v>-345.0283</v>
      </c>
      <c r="H3325" s="1">
        <v>-3.14573699999999E-6</v>
      </c>
      <c r="I3325">
        <v>143.4896</v>
      </c>
      <c r="J3325">
        <v>-323.7355</v>
      </c>
      <c r="K3325">
        <v>1.109637</v>
      </c>
      <c r="L3325">
        <v>142.3203</v>
      </c>
      <c r="M3325">
        <v>-0.99943230000000005</v>
      </c>
      <c r="N3325">
        <v>0</v>
      </c>
      <c r="O3325">
        <v>-3.0817069999999998E-2</v>
      </c>
      <c r="P3325">
        <v>-0.99537629999999999</v>
      </c>
      <c r="Q3325">
        <v>6.0121939999999999E-2</v>
      </c>
      <c r="R3325">
        <v>-7.4910389999999993E-2</v>
      </c>
      <c r="S3325">
        <v>-3.0346679999999999</v>
      </c>
      <c r="T3325">
        <v>-0.15379379999999901</v>
      </c>
      <c r="U3325">
        <v>0.15950010000000001</v>
      </c>
      <c r="V3325">
        <v>-4.4216789999999999E-2</v>
      </c>
      <c r="W3325">
        <v>7.3690619999999998E-2</v>
      </c>
      <c r="X3325">
        <v>0.99630049999999903</v>
      </c>
      <c r="Y3325">
        <v>8.3093550000000002E-2</v>
      </c>
      <c r="Z3325">
        <v>3.6627249999999999E-3</v>
      </c>
      <c r="AA3325">
        <v>0.99653499999999995</v>
      </c>
      <c r="AB3325">
        <v>59</v>
      </c>
      <c r="AC3325">
        <v>-21.2928</v>
      </c>
      <c r="AD3325">
        <v>-1.109640145737</v>
      </c>
      <c r="AE3325">
        <v>1.16929999999999</v>
      </c>
      <c r="AF3325">
        <v>1.8200590018023699</v>
      </c>
      <c r="AG3325">
        <v>-1.109640145737</v>
      </c>
      <c r="AH3325">
        <v>21.189274240329901</v>
      </c>
      <c r="AI3325">
        <v>92.986749827441898</v>
      </c>
      <c r="AJ3325">
        <v>85.090612169028503</v>
      </c>
      <c r="AK3325">
        <v>21.296226399411299</v>
      </c>
    </row>
    <row r="3326" spans="1:37" x14ac:dyDescent="0.2">
      <c r="A3326" t="str">
        <f>"20200111154131795"</f>
        <v>20200111154131795</v>
      </c>
      <c r="B3326" t="str">
        <f>"1578728491789749"</f>
        <v>1578728491789749</v>
      </c>
      <c r="C3326" t="s">
        <v>37</v>
      </c>
      <c r="D3326">
        <v>5.3914279999999897</v>
      </c>
      <c r="E3326">
        <v>0.49066309999999902</v>
      </c>
      <c r="F3326" t="s">
        <v>39</v>
      </c>
      <c r="G3326">
        <v>-343.28500000000003</v>
      </c>
      <c r="H3326" s="1">
        <v>-3.1770400000000001E-6</v>
      </c>
      <c r="I3326">
        <v>140.79650000000001</v>
      </c>
      <c r="J3326">
        <v>-324.32490000000001</v>
      </c>
      <c r="K3326">
        <v>1.109653</v>
      </c>
      <c r="L3326">
        <v>142.3021</v>
      </c>
      <c r="M3326">
        <v>-0.99942819999999899</v>
      </c>
      <c r="N3326">
        <v>0</v>
      </c>
      <c r="O3326">
        <v>-3.0825890000000002E-2</v>
      </c>
      <c r="P3326">
        <v>-0.99513629999999997</v>
      </c>
      <c r="Q3326">
        <v>6.1371660000000001E-2</v>
      </c>
      <c r="R3326">
        <v>-7.7054629999999999E-2</v>
      </c>
      <c r="S3326">
        <v>-3.0066220000000001</v>
      </c>
      <c r="T3326">
        <v>-0.17065839999999999</v>
      </c>
      <c r="U3326">
        <v>-0.23434450000000001</v>
      </c>
      <c r="V3326">
        <v>-4.6355899999999998E-2</v>
      </c>
      <c r="W3326">
        <v>7.5211319999999998E-2</v>
      </c>
      <c r="X3326">
        <v>0.99608960000000002</v>
      </c>
      <c r="Y3326">
        <v>-4.6908789999999999E-2</v>
      </c>
      <c r="Z3326">
        <v>4.1688249999999999E-4</v>
      </c>
      <c r="AA3326">
        <v>0.99889910000000004</v>
      </c>
      <c r="AB3326">
        <v>59</v>
      </c>
      <c r="AC3326">
        <v>-18.960100000000001</v>
      </c>
      <c r="AD3326">
        <v>-1.10965617704</v>
      </c>
      <c r="AE3326">
        <v>-1.5055999999999801</v>
      </c>
      <c r="AF3326">
        <v>-0.91724385149624699</v>
      </c>
      <c r="AG3326">
        <v>-1.10965617704</v>
      </c>
      <c r="AH3326">
        <v>18.933059190776799</v>
      </c>
      <c r="AI3326">
        <v>93.350316471753999</v>
      </c>
      <c r="AJ3326">
        <v>92.773621654728103</v>
      </c>
      <c r="AK3326">
        <v>18.987717172841201</v>
      </c>
    </row>
    <row r="3327" spans="1:37" x14ac:dyDescent="0.2">
      <c r="A3327" t="str">
        <f>"20200111154131811"</f>
        <v>20200111154131811</v>
      </c>
      <c r="B3327" t="str">
        <f>"1578728491799509"</f>
        <v>1578728491799509</v>
      </c>
      <c r="C3327" t="s">
        <v>37</v>
      </c>
      <c r="D3327">
        <v>5.3559349999999997</v>
      </c>
      <c r="E3327">
        <v>0.49031170000000002</v>
      </c>
      <c r="F3327" t="s">
        <v>39</v>
      </c>
      <c r="G3327">
        <v>-346.59120000000001</v>
      </c>
      <c r="H3327" s="1">
        <v>-1.5823609999999899E-6</v>
      </c>
      <c r="I3327">
        <v>140.1337</v>
      </c>
      <c r="J3327">
        <v>-324.73520000000002</v>
      </c>
      <c r="K3327">
        <v>1.109658</v>
      </c>
      <c r="L3327">
        <v>142.2895</v>
      </c>
      <c r="M3327">
        <v>-0.99942569999999997</v>
      </c>
      <c r="N3327">
        <v>0</v>
      </c>
      <c r="O3327">
        <v>-3.0828999999999999E-2</v>
      </c>
      <c r="P3327">
        <v>-0.99504009999999998</v>
      </c>
      <c r="Q3327">
        <v>6.20736E-2</v>
      </c>
      <c r="R3327">
        <v>-7.773323E-2</v>
      </c>
      <c r="S3327">
        <v>-3.0012209999999899</v>
      </c>
      <c r="T3327">
        <v>-0.14956829999999999</v>
      </c>
      <c r="U3327">
        <v>-0.29226679999999999</v>
      </c>
      <c r="V3327">
        <v>-4.7031030000000001E-2</v>
      </c>
      <c r="W3327">
        <v>7.6082380000000005E-2</v>
      </c>
      <c r="X3327">
        <v>0.99599179999999998</v>
      </c>
      <c r="Y3327">
        <v>-6.6147800000000007E-2</v>
      </c>
      <c r="Z3327">
        <v>-1.121475E-4</v>
      </c>
      <c r="AA3327">
        <v>0.99780979999999997</v>
      </c>
      <c r="AB3327">
        <v>59</v>
      </c>
      <c r="AC3327">
        <v>-21.855999999999899</v>
      </c>
      <c r="AD3327">
        <v>-1.109659582361</v>
      </c>
      <c r="AE3327">
        <v>-2.1558000000000002</v>
      </c>
      <c r="AF3327">
        <v>-1.47713881801336</v>
      </c>
      <c r="AG3327">
        <v>-1.109659582361</v>
      </c>
      <c r="AH3327">
        <v>21.856280110362398</v>
      </c>
      <c r="AI3327">
        <v>92.899849890987696</v>
      </c>
      <c r="AJ3327">
        <v>93.866408792998897</v>
      </c>
      <c r="AK3327">
        <v>21.934225852284602</v>
      </c>
    </row>
    <row r="3328" spans="1:37" x14ac:dyDescent="0.2">
      <c r="A3328" t="str">
        <f>"20200111154131828"</f>
        <v>20200111154131828</v>
      </c>
      <c r="B3328" t="str">
        <f>"1578728491820005"</f>
        <v>1578728491820005</v>
      </c>
      <c r="C3328" t="s">
        <v>37</v>
      </c>
      <c r="D3328">
        <v>5.3103030000000002</v>
      </c>
      <c r="E3328">
        <v>0.49127690000000002</v>
      </c>
      <c r="F3328" t="s">
        <v>39</v>
      </c>
      <c r="G3328">
        <v>-347.27859999999998</v>
      </c>
      <c r="H3328" s="1">
        <v>-1.2663930000000001E-6</v>
      </c>
      <c r="I3328">
        <v>140.05459999999999</v>
      </c>
      <c r="J3328">
        <v>-325.21660000000003</v>
      </c>
      <c r="K3328">
        <v>1.1096600000000001</v>
      </c>
      <c r="L3328">
        <v>142.27459999999999</v>
      </c>
      <c r="M3328">
        <v>-0.99942319999999996</v>
      </c>
      <c r="N3328">
        <v>0</v>
      </c>
      <c r="O3328">
        <v>-3.0830590000000001E-2</v>
      </c>
      <c r="P3328">
        <v>-0.99492590000000003</v>
      </c>
      <c r="Q3328">
        <v>6.2379379999999998E-2</v>
      </c>
      <c r="R3328">
        <v>-7.8940430000000006E-2</v>
      </c>
      <c r="S3328">
        <v>-3.0009160000000001</v>
      </c>
      <c r="T3328">
        <v>-0.14771519999999999</v>
      </c>
      <c r="U3328">
        <v>-0.29748540000000001</v>
      </c>
      <c r="V3328">
        <v>-4.8237410000000001E-2</v>
      </c>
      <c r="W3328">
        <v>7.656781E-2</v>
      </c>
      <c r="X3328">
        <v>0.99589680000000003</v>
      </c>
      <c r="Y3328">
        <v>-6.7873390000000006E-2</v>
      </c>
      <c r="Z3328">
        <v>-1.5302999999999999E-4</v>
      </c>
      <c r="AA3328">
        <v>0.99769399999999997</v>
      </c>
      <c r="AB3328">
        <v>59</v>
      </c>
      <c r="AC3328">
        <v>-22.061999999999902</v>
      </c>
      <c r="AD3328">
        <v>-1.1096612663929999</v>
      </c>
      <c r="AE3328">
        <v>-2.21999999999999</v>
      </c>
      <c r="AF3328">
        <v>-1.53484703627389</v>
      </c>
      <c r="AG3328">
        <v>-1.1096612663929999</v>
      </c>
      <c r="AH3328">
        <v>22.064700613135599</v>
      </c>
      <c r="AI3328">
        <v>92.872121778357197</v>
      </c>
      <c r="AJ3328">
        <v>93.979153340205698</v>
      </c>
      <c r="AK3328">
        <v>22.145837457594599</v>
      </c>
    </row>
    <row r="3329" spans="1:37" x14ac:dyDescent="0.2">
      <c r="A3329" t="str">
        <f>"20200111154131851"</f>
        <v>20200111154131851</v>
      </c>
      <c r="B3329" t="str">
        <f>"1578728491839526"</f>
        <v>1578728491839526</v>
      </c>
      <c r="C3329" t="s">
        <v>37</v>
      </c>
      <c r="D3329">
        <v>5.3642699999999897</v>
      </c>
      <c r="E3329">
        <v>0.492064</v>
      </c>
      <c r="F3329" t="s">
        <v>39</v>
      </c>
      <c r="G3329">
        <v>-348.34640000000002</v>
      </c>
      <c r="H3329" s="1">
        <v>-7.9665730000000004E-7</v>
      </c>
      <c r="I3329">
        <v>140.01079999999999</v>
      </c>
      <c r="J3329">
        <v>-325.79570000000001</v>
      </c>
      <c r="K3329">
        <v>1.1096489999999899</v>
      </c>
      <c r="L3329">
        <v>142.2567</v>
      </c>
      <c r="M3329">
        <v>-0.99942039999999999</v>
      </c>
      <c r="N3329">
        <v>0</v>
      </c>
      <c r="O3329">
        <v>-3.0829249999999999E-2</v>
      </c>
      <c r="P3329">
        <v>-0.9948458</v>
      </c>
      <c r="Q3329">
        <v>6.1723519999999997E-2</v>
      </c>
      <c r="R3329">
        <v>-8.0448850000000002E-2</v>
      </c>
      <c r="S3329">
        <v>-3.0010680000000001</v>
      </c>
      <c r="T3329">
        <v>-0.14397760000000001</v>
      </c>
      <c r="U3329">
        <v>-0.29371639999999999</v>
      </c>
      <c r="V3329">
        <v>-4.9745449999999997E-2</v>
      </c>
      <c r="W3329">
        <v>7.6102829999999996E-2</v>
      </c>
      <c r="X3329">
        <v>0.99585829999999997</v>
      </c>
      <c r="Y3329">
        <v>-6.6632319999999995E-2</v>
      </c>
      <c r="Z3329">
        <v>-1.1953430000000001E-4</v>
      </c>
      <c r="AA3329">
        <v>0.99777759999999904</v>
      </c>
      <c r="AB3329">
        <v>59</v>
      </c>
      <c r="AC3329">
        <v>-22.550699999999999</v>
      </c>
      <c r="AD3329">
        <v>-1.10964979665729</v>
      </c>
      <c r="AE3329">
        <v>-2.2458999999999998</v>
      </c>
      <c r="AF3329">
        <v>-1.5458324046670899</v>
      </c>
      <c r="AG3329">
        <v>-1.10964979665729</v>
      </c>
      <c r="AH3329">
        <v>22.555148466214099</v>
      </c>
      <c r="AI3329">
        <v>92.809939152115106</v>
      </c>
      <c r="AJ3329">
        <v>93.920674145766398</v>
      </c>
      <c r="AK3329">
        <v>22.635274304224801</v>
      </c>
    </row>
    <row r="3330" spans="1:37" x14ac:dyDescent="0.2">
      <c r="A3330" t="str">
        <f>"20200111154131874"</f>
        <v>20200111154131874</v>
      </c>
      <c r="B3330" t="str">
        <f>"1578728491869782"</f>
        <v>1578728491869782</v>
      </c>
      <c r="C3330" t="s">
        <v>37</v>
      </c>
      <c r="D3330">
        <v>5.5087769999999896</v>
      </c>
      <c r="E3330">
        <v>0.49279830000000002</v>
      </c>
      <c r="F3330" t="s">
        <v>39</v>
      </c>
      <c r="G3330">
        <v>-348.31990000000002</v>
      </c>
      <c r="H3330" s="1">
        <v>-8.2369430000000002E-7</v>
      </c>
      <c r="I3330">
        <v>140.06960000000001</v>
      </c>
      <c r="J3330">
        <v>-326.3897</v>
      </c>
      <c r="K3330">
        <v>1.109637</v>
      </c>
      <c r="L3330">
        <v>142.23840000000001</v>
      </c>
      <c r="M3330">
        <v>-0.99941809999999998</v>
      </c>
      <c r="N3330">
        <v>0</v>
      </c>
      <c r="O3330">
        <v>-3.082551E-2</v>
      </c>
      <c r="P3330">
        <v>-0.99471830000000006</v>
      </c>
      <c r="Q3330">
        <v>6.1569390000000002E-2</v>
      </c>
      <c r="R3330">
        <v>-8.2129099999999997E-2</v>
      </c>
      <c r="S3330">
        <v>-3.0011899999999998</v>
      </c>
      <c r="T3330">
        <v>-0.1478536</v>
      </c>
      <c r="U3330">
        <v>-0.29141240000000002</v>
      </c>
      <c r="V3330">
        <v>-5.142965E-2</v>
      </c>
      <c r="W3330">
        <v>7.6118989999999997E-2</v>
      </c>
      <c r="X3330">
        <v>0.99577150000000003</v>
      </c>
      <c r="Y3330">
        <v>-6.5871890000000002E-2</v>
      </c>
      <c r="Z3330">
        <v>-1.04247099999999E-4</v>
      </c>
      <c r="AA3330">
        <v>0.997828099999999</v>
      </c>
      <c r="AB3330">
        <v>58</v>
      </c>
      <c r="AC3330">
        <v>-21.930199999999999</v>
      </c>
      <c r="AD3330">
        <v>-1.1096378236943001</v>
      </c>
      <c r="AE3330">
        <v>-2.1688000000000001</v>
      </c>
      <c r="AF3330">
        <v>-1.4879149414055</v>
      </c>
      <c r="AG3330">
        <v>-1.1096378236943001</v>
      </c>
      <c r="AH3330">
        <v>21.931033181675001</v>
      </c>
      <c r="AI3330">
        <v>92.889875058818703</v>
      </c>
      <c r="AJ3330">
        <v>93.881294731378901</v>
      </c>
      <c r="AK3330">
        <v>22.009438961235698</v>
      </c>
    </row>
    <row r="3331" spans="1:37" x14ac:dyDescent="0.2">
      <c r="A3331" t="str">
        <f>"20200111154131896"</f>
        <v>20200111154131896</v>
      </c>
      <c r="B3331" t="str">
        <f>"1578728491889301"</f>
        <v>1578728491889301</v>
      </c>
      <c r="C3331" t="s">
        <v>37</v>
      </c>
      <c r="D3331">
        <v>5.3261339999999997</v>
      </c>
      <c r="E3331">
        <v>0.49317359999999999</v>
      </c>
      <c r="F3331" t="s">
        <v>39</v>
      </c>
      <c r="G3331">
        <v>-348.52089999999998</v>
      </c>
      <c r="H3331" s="1">
        <v>-7.453958E-7</v>
      </c>
      <c r="I3331">
        <v>140.09950000000001</v>
      </c>
      <c r="J3331">
        <v>-326.96449999999999</v>
      </c>
      <c r="K3331">
        <v>1.109632</v>
      </c>
      <c r="L3331">
        <v>142.22059999999999</v>
      </c>
      <c r="M3331">
        <v>-0.99941630000000004</v>
      </c>
      <c r="N3331">
        <v>0</v>
      </c>
      <c r="O3331">
        <v>-3.0818419999999999E-2</v>
      </c>
      <c r="P3331">
        <v>-0.99461999999999995</v>
      </c>
      <c r="Q3331">
        <v>6.1293050000000002E-2</v>
      </c>
      <c r="R3331">
        <v>-8.3513939999999995E-2</v>
      </c>
      <c r="S3331">
        <v>-3.0012819999999998</v>
      </c>
      <c r="T3331">
        <v>-0.1504817</v>
      </c>
      <c r="U3331">
        <v>-0.29005429999999999</v>
      </c>
      <c r="V3331">
        <v>-5.2821369999999999E-2</v>
      </c>
      <c r="W3331">
        <v>7.5984910000000003E-2</v>
      </c>
      <c r="X3331">
        <v>0.99570890000000001</v>
      </c>
      <c r="Y3331">
        <v>-6.5427719999999995E-2</v>
      </c>
      <c r="Z3331" s="1">
        <v>-9.5342979999999997E-5</v>
      </c>
      <c r="AA3331">
        <v>0.99785729999999995</v>
      </c>
      <c r="AB3331">
        <v>58</v>
      </c>
      <c r="AC3331">
        <v>-21.5564</v>
      </c>
      <c r="AD3331">
        <v>-1.1096327453957999</v>
      </c>
      <c r="AE3331">
        <v>-2.1210999999999798</v>
      </c>
      <c r="AF3331">
        <v>-1.4518756556865899</v>
      </c>
      <c r="AG3331">
        <v>-1.1096327453957999</v>
      </c>
      <c r="AH3331">
        <v>21.554966799806401</v>
      </c>
      <c r="AI3331">
        <v>92.940289588506602</v>
      </c>
      <c r="AJ3331">
        <v>93.853445260907804</v>
      </c>
      <c r="AK3331">
        <v>21.6322865525119</v>
      </c>
    </row>
    <row r="3332" spans="1:37" x14ac:dyDescent="0.2">
      <c r="A3332" t="str">
        <f>"20200111154131911"</f>
        <v>20200111154131911</v>
      </c>
      <c r="B3332" t="str">
        <f>"1578728491899061"</f>
        <v>1578728491899061</v>
      </c>
      <c r="C3332" t="s">
        <v>37</v>
      </c>
      <c r="D3332">
        <v>5.3831040000000003</v>
      </c>
      <c r="E3332">
        <v>0.49341439999999998</v>
      </c>
      <c r="F3332" t="s">
        <v>39</v>
      </c>
      <c r="G3332">
        <v>-349.44650000000001</v>
      </c>
      <c r="H3332" s="1">
        <v>-3.3259099999999901E-7</v>
      </c>
      <c r="I3332">
        <v>140.0403</v>
      </c>
      <c r="J3332">
        <v>-327.36509999999998</v>
      </c>
      <c r="K3332">
        <v>1.1096239999999999</v>
      </c>
      <c r="L3332">
        <v>142.20830000000001</v>
      </c>
      <c r="M3332">
        <v>-0.99941519999999995</v>
      </c>
      <c r="N3332">
        <v>0</v>
      </c>
      <c r="O3332">
        <v>-3.0810669999999998E-2</v>
      </c>
      <c r="P3332">
        <v>-0.99457469999999903</v>
      </c>
      <c r="Q3332">
        <v>6.0902680000000001E-2</v>
      </c>
      <c r="R3332">
        <v>-8.433388E-2</v>
      </c>
      <c r="S3332">
        <v>-3.0008849999999998</v>
      </c>
      <c r="T3332">
        <v>-0.14811350000000001</v>
      </c>
      <c r="U3332">
        <v>-0.29101559999999999</v>
      </c>
      <c r="V3332">
        <v>-5.3648719999999997E-2</v>
      </c>
      <c r="W3332">
        <v>7.5683E-2</v>
      </c>
      <c r="X3332">
        <v>0.99568769999999995</v>
      </c>
      <c r="Y3332">
        <v>-6.5765630000000005E-2</v>
      </c>
      <c r="Z3332">
        <v>-1.025506E-4</v>
      </c>
      <c r="AA3332">
        <v>0.99783509999999997</v>
      </c>
      <c r="AB3332">
        <v>58</v>
      </c>
      <c r="AC3332">
        <v>-22.081399999999999</v>
      </c>
      <c r="AD3332">
        <v>-1.109624332591</v>
      </c>
      <c r="AE3332">
        <v>-2.1680000000000001</v>
      </c>
      <c r="AF3332">
        <v>-1.48284417345053</v>
      </c>
      <c r="AG3332">
        <v>-1.109624332591</v>
      </c>
      <c r="AH3332">
        <v>22.082488507212702</v>
      </c>
      <c r="AI3332">
        <v>92.870186726912905</v>
      </c>
      <c r="AJ3332">
        <v>93.841657468810695</v>
      </c>
      <c r="AK3332">
        <v>22.1600178626597</v>
      </c>
    </row>
    <row r="3333" spans="1:37" x14ac:dyDescent="0.2">
      <c r="A3333" t="str">
        <f>"20200111154131926"</f>
        <v>20200111154131926</v>
      </c>
      <c r="B3333" t="str">
        <f>"1578728491919557"</f>
        <v>1578728491919557</v>
      </c>
      <c r="C3333" t="s">
        <v>37</v>
      </c>
      <c r="D3333">
        <v>5.2926659999999996</v>
      </c>
      <c r="E3333">
        <v>0.49367029999999901</v>
      </c>
      <c r="F3333" t="s">
        <v>39</v>
      </c>
      <c r="G3333">
        <v>-349.88060000000002</v>
      </c>
      <c r="H3333" s="1">
        <v>-1.4122210000000001E-7</v>
      </c>
      <c r="I3333">
        <v>140.02099999999999</v>
      </c>
      <c r="J3333">
        <v>-327.74560000000002</v>
      </c>
      <c r="K3333">
        <v>1.109623</v>
      </c>
      <c r="L3333">
        <v>142.19649999999999</v>
      </c>
      <c r="M3333">
        <v>-0.99941429999999998</v>
      </c>
      <c r="N3333">
        <v>0</v>
      </c>
      <c r="O3333">
        <v>-3.0801430000000001E-2</v>
      </c>
      <c r="P3333">
        <v>-0.99446119999999905</v>
      </c>
      <c r="Q3333">
        <v>6.0714070000000002E-2</v>
      </c>
      <c r="R3333">
        <v>-8.5796200000000003E-2</v>
      </c>
      <c r="S3333">
        <v>-3.0007630000000001</v>
      </c>
      <c r="T3333">
        <v>-0.14788599999999999</v>
      </c>
      <c r="U3333">
        <v>-0.29150389999999998</v>
      </c>
      <c r="V3333">
        <v>-5.5121429999999999E-2</v>
      </c>
      <c r="W3333">
        <v>7.5570310000000002E-2</v>
      </c>
      <c r="X3333">
        <v>0.99561580000000005</v>
      </c>
      <c r="Y3333">
        <v>-6.5939490000000003E-2</v>
      </c>
      <c r="Z3333">
        <v>-1.0712100000000001E-4</v>
      </c>
      <c r="AA3333">
        <v>0.99782359999999903</v>
      </c>
      <c r="AB3333">
        <v>58</v>
      </c>
      <c r="AC3333">
        <v>-22.134999999999899</v>
      </c>
      <c r="AD3333">
        <v>-1.1096231412221</v>
      </c>
      <c r="AE3333">
        <v>-2.1754999999999698</v>
      </c>
      <c r="AF3333">
        <v>-1.4888962947681801</v>
      </c>
      <c r="AG3333">
        <v>-1.1096231412221</v>
      </c>
      <c r="AH3333">
        <v>22.136414553939499</v>
      </c>
      <c r="AI3333">
        <v>92.863182304837096</v>
      </c>
      <c r="AJ3333">
        <v>93.847921281165299</v>
      </c>
      <c r="AK3333">
        <v>22.214160461200802</v>
      </c>
    </row>
    <row r="3334" spans="1:37" x14ac:dyDescent="0.2">
      <c r="A3334" t="str">
        <f>"20200111154131940"</f>
        <v>20200111154131940</v>
      </c>
      <c r="B3334" t="str">
        <f>"1578728491929318"</f>
        <v>1578728491929318</v>
      </c>
      <c r="C3334" t="s">
        <v>37</v>
      </c>
      <c r="D3334">
        <v>5.4483199999999998</v>
      </c>
      <c r="E3334">
        <v>0.49376720000000002</v>
      </c>
      <c r="F3334" t="s">
        <v>39</v>
      </c>
      <c r="G3334">
        <v>-350.38760000000002</v>
      </c>
      <c r="H3334" s="1">
        <v>-4.2031749999999998E-6</v>
      </c>
      <c r="I3334">
        <v>139.98150000000001</v>
      </c>
      <c r="J3334">
        <v>-328.10239999999999</v>
      </c>
      <c r="K3334">
        <v>1.109623</v>
      </c>
      <c r="L3334">
        <v>142.18549999999999</v>
      </c>
      <c r="M3334">
        <v>-0.99941369999999896</v>
      </c>
      <c r="N3334">
        <v>0</v>
      </c>
      <c r="O3334">
        <v>-3.0791059999999999E-2</v>
      </c>
      <c r="P3334">
        <v>-0.99419239999999998</v>
      </c>
      <c r="Q3334">
        <v>6.009577E-2</v>
      </c>
      <c r="R3334">
        <v>-8.9277670000000003E-2</v>
      </c>
      <c r="S3334">
        <v>-3.0003359999999999</v>
      </c>
      <c r="T3334">
        <v>-0.1470388</v>
      </c>
      <c r="U3334">
        <v>-0.29350279999999901</v>
      </c>
      <c r="V3334">
        <v>-5.8618629999999998E-2</v>
      </c>
      <c r="W3334">
        <v>7.5014460000000005E-2</v>
      </c>
      <c r="X3334">
        <v>0.99545799999999995</v>
      </c>
      <c r="Y3334">
        <v>-6.6621659999999999E-2</v>
      </c>
      <c r="Z3334">
        <v>-1.2369440000000001E-4</v>
      </c>
      <c r="AA3334">
        <v>0.99777830000000001</v>
      </c>
      <c r="AB3334">
        <v>58</v>
      </c>
      <c r="AC3334">
        <v>-22.2852</v>
      </c>
      <c r="AD3334">
        <v>-1.1096272031750001</v>
      </c>
      <c r="AE3334">
        <v>-2.2039999999999802</v>
      </c>
      <c r="AF3334">
        <v>-1.51297814650455</v>
      </c>
      <c r="AG3334">
        <v>-1.1096272031750001</v>
      </c>
      <c r="AH3334">
        <v>22.287780210606599</v>
      </c>
      <c r="AI3334">
        <v>92.843660546766998</v>
      </c>
      <c r="AJ3334">
        <v>93.883494493899306</v>
      </c>
      <c r="AK3334">
        <v>22.3666162420276</v>
      </c>
    </row>
    <row r="3335" spans="1:37" x14ac:dyDescent="0.2">
      <c r="A3335" t="str">
        <f>"20200111154131962"</f>
        <v>20200111154131962</v>
      </c>
      <c r="B3335" t="str">
        <f>"1578728491959573"</f>
        <v>1578728491959573</v>
      </c>
      <c r="C3335" t="s">
        <v>37</v>
      </c>
      <c r="D3335">
        <v>5.3799919999999997</v>
      </c>
      <c r="E3335">
        <v>0.49402760000000001</v>
      </c>
      <c r="F3335" t="s">
        <v>39</v>
      </c>
      <c r="G3335">
        <v>-350.59809999999999</v>
      </c>
      <c r="H3335" s="1">
        <v>-4.0951879999999999E-6</v>
      </c>
      <c r="I3335">
        <v>139.9151</v>
      </c>
      <c r="J3335">
        <v>-328.68699999999899</v>
      </c>
      <c r="K3335">
        <v>1.1096189999999999</v>
      </c>
      <c r="L3335">
        <v>142.16749999999999</v>
      </c>
      <c r="M3335">
        <v>-0.999412999999999</v>
      </c>
      <c r="N3335">
        <v>0</v>
      </c>
      <c r="O3335">
        <v>-3.0770840000000001E-2</v>
      </c>
      <c r="P3335">
        <v>-0.99389269999999996</v>
      </c>
      <c r="Q3335">
        <v>5.9370520000000003E-2</v>
      </c>
      <c r="R3335">
        <v>-9.3021090000000001E-2</v>
      </c>
      <c r="S3335">
        <v>-2.9993289999999999</v>
      </c>
      <c r="T3335">
        <v>-0.14794579999999999</v>
      </c>
      <c r="U3335">
        <v>-0.30270390000000003</v>
      </c>
      <c r="V3335">
        <v>-6.238817E-2</v>
      </c>
      <c r="W3335">
        <v>7.4381559999999999E-2</v>
      </c>
      <c r="X3335">
        <v>0.99527639999999995</v>
      </c>
      <c r="Y3335">
        <v>-6.9700620000000005E-2</v>
      </c>
      <c r="Z3335">
        <v>-2.0118729999999999E-4</v>
      </c>
      <c r="AA3335">
        <v>0.99756800000000001</v>
      </c>
      <c r="AB3335">
        <v>58</v>
      </c>
      <c r="AC3335">
        <v>-21.911100000000001</v>
      </c>
      <c r="AD3335">
        <v>-1.109623095188</v>
      </c>
      <c r="AE3335">
        <v>-2.25239999999999</v>
      </c>
      <c r="AF3335">
        <v>-1.57304167808456</v>
      </c>
      <c r="AG3335">
        <v>-1.109623095188</v>
      </c>
      <c r="AH3335">
        <v>21.9144236635107</v>
      </c>
      <c r="AI3335">
        <v>92.891233970484606</v>
      </c>
      <c r="AJ3335">
        <v>94.105712773626294</v>
      </c>
      <c r="AK3335">
        <v>21.9988110596505</v>
      </c>
    </row>
    <row r="3336" spans="1:37" x14ac:dyDescent="0.2">
      <c r="A3336" t="str">
        <f>"20200111154131985"</f>
        <v>20200111154131985</v>
      </c>
      <c r="B3336" t="str">
        <f>"1578728491980069"</f>
        <v>1578728491980069</v>
      </c>
      <c r="C3336" t="s">
        <v>37</v>
      </c>
      <c r="D3336">
        <v>5.571536</v>
      </c>
      <c r="E3336">
        <v>0.49433290000000002</v>
      </c>
      <c r="F3336" t="s">
        <v>39</v>
      </c>
      <c r="G3336">
        <v>-350.74680000000001</v>
      </c>
      <c r="H3336" s="1">
        <v>-4.0207829999999999E-6</v>
      </c>
      <c r="I3336">
        <v>139.87520000000001</v>
      </c>
      <c r="J3336">
        <v>-329.27609999999999</v>
      </c>
      <c r="K3336">
        <v>1.1096330000000001</v>
      </c>
      <c r="L3336">
        <v>142.14940000000001</v>
      </c>
      <c r="M3336">
        <v>-0.99941239999999998</v>
      </c>
      <c r="N3336">
        <v>0</v>
      </c>
      <c r="O3336">
        <v>-3.0747210000000001E-2</v>
      </c>
      <c r="P3336">
        <v>-0.99363259999999898</v>
      </c>
      <c r="Q3336">
        <v>5.8689190000000002E-2</v>
      </c>
      <c r="R3336">
        <v>-9.6176579999999998E-2</v>
      </c>
      <c r="S3336">
        <v>-2.998291</v>
      </c>
      <c r="T3336">
        <v>-0.1508158</v>
      </c>
      <c r="U3336">
        <v>-0.311554</v>
      </c>
      <c r="V3336">
        <v>-6.5571920000000006E-2</v>
      </c>
      <c r="W3336">
        <v>7.3779549999999999E-2</v>
      </c>
      <c r="X3336">
        <v>0.99511649999999996</v>
      </c>
      <c r="Y3336">
        <v>-7.2666699999999904E-2</v>
      </c>
      <c r="Z3336">
        <v>-2.8067519999999999E-4</v>
      </c>
      <c r="AA3336">
        <v>0.99735620000000003</v>
      </c>
      <c r="AB3336">
        <v>58</v>
      </c>
      <c r="AC3336">
        <v>-21.470700000000001</v>
      </c>
      <c r="AD3336">
        <v>-1.109637020783</v>
      </c>
      <c r="AE3336">
        <v>-2.2742</v>
      </c>
      <c r="AF3336">
        <v>-1.6086356663085299</v>
      </c>
      <c r="AG3336">
        <v>-1.109637020783</v>
      </c>
      <c r="AH3336">
        <v>21.473760018585001</v>
      </c>
      <c r="AI3336">
        <v>92.949825656860099</v>
      </c>
      <c r="AJ3336">
        <v>94.284121841121106</v>
      </c>
      <c r="AK3336">
        <v>21.562499214158599</v>
      </c>
    </row>
    <row r="3337" spans="1:37" x14ac:dyDescent="0.2">
      <c r="A3337" t="str">
        <f>"20200111154132000"</f>
        <v>20200111154132000</v>
      </c>
      <c r="B3337" t="str">
        <f>"1578728491989829"</f>
        <v>1578728491989829</v>
      </c>
      <c r="C3337" t="s">
        <v>37</v>
      </c>
      <c r="D3337">
        <v>5.3875060000000001</v>
      </c>
      <c r="E3337">
        <v>0.4945753</v>
      </c>
      <c r="F3337" t="s">
        <v>39</v>
      </c>
      <c r="G3337">
        <v>-351.03559999999999</v>
      </c>
      <c r="H3337" s="1">
        <v>-3.8875099999999902E-6</v>
      </c>
      <c r="I3337">
        <v>139.84</v>
      </c>
      <c r="J3337">
        <v>-329.70260000000002</v>
      </c>
      <c r="K3337">
        <v>1.10964</v>
      </c>
      <c r="L3337">
        <v>142.13630000000001</v>
      </c>
      <c r="M3337">
        <v>-0.99941219999999997</v>
      </c>
      <c r="N3337">
        <v>0</v>
      </c>
      <c r="O3337">
        <v>-3.0728780000000001E-2</v>
      </c>
      <c r="P3337">
        <v>-0.99347439999999998</v>
      </c>
      <c r="Q3337">
        <v>5.8910280000000002E-2</v>
      </c>
      <c r="R3337">
        <v>-9.7665269999999998E-2</v>
      </c>
      <c r="S3337">
        <v>-2.9974669999999999</v>
      </c>
      <c r="T3337">
        <v>-0.1528572</v>
      </c>
      <c r="U3337">
        <v>-0.31811519999999999</v>
      </c>
      <c r="V3337">
        <v>-6.7082290000000003E-2</v>
      </c>
      <c r="W3337">
        <v>7.4050610000000003E-2</v>
      </c>
      <c r="X3337">
        <v>0.99499570000000004</v>
      </c>
      <c r="Y3337">
        <v>-7.4868119999999996E-2</v>
      </c>
      <c r="Z3337">
        <v>-3.414003E-4</v>
      </c>
      <c r="AA3337">
        <v>0.99719340000000001</v>
      </c>
      <c r="AB3337">
        <v>58</v>
      </c>
      <c r="AC3337">
        <v>-21.332999999999899</v>
      </c>
      <c r="AD3337">
        <v>-1.1096438875100001</v>
      </c>
      <c r="AE3337">
        <v>-2.2963</v>
      </c>
      <c r="AF3337">
        <v>-1.6352289548155501</v>
      </c>
      <c r="AG3337">
        <v>-1.1096438875100001</v>
      </c>
      <c r="AH3337">
        <v>21.336427408110801</v>
      </c>
      <c r="AI3337">
        <v>92.968410863886305</v>
      </c>
      <c r="AJ3337">
        <v>94.382595070802907</v>
      </c>
      <c r="AK3337">
        <v>21.4277487812728</v>
      </c>
    </row>
    <row r="3338" spans="1:37" x14ac:dyDescent="0.2">
      <c r="A3338" t="str">
        <f>"20200111154132019"</f>
        <v>20200111154132019</v>
      </c>
      <c r="B3338" t="str">
        <f>"1578728492009349"</f>
        <v>1578728492009349</v>
      </c>
      <c r="C3338" t="s">
        <v>37</v>
      </c>
      <c r="D3338">
        <v>5.3886919999999998</v>
      </c>
      <c r="E3338">
        <v>0.49498229999999999</v>
      </c>
      <c r="F3338" t="s">
        <v>39</v>
      </c>
      <c r="G3338">
        <v>-351.74979999999999</v>
      </c>
      <c r="H3338" s="1">
        <v>-3.5644609999999999E-6</v>
      </c>
      <c r="I3338">
        <v>139.77719999999999</v>
      </c>
      <c r="J3338">
        <v>-330.16550000000001</v>
      </c>
      <c r="K3338">
        <v>1.1096600000000001</v>
      </c>
      <c r="L3338">
        <v>142.12200000000001</v>
      </c>
      <c r="M3338">
        <v>-0.99941219999999997</v>
      </c>
      <c r="N3338">
        <v>0</v>
      </c>
      <c r="O3338">
        <v>-3.0708199999999901E-2</v>
      </c>
      <c r="P3338">
        <v>-0.99324429999999997</v>
      </c>
      <c r="Q3338">
        <v>6.0051399999999998E-2</v>
      </c>
      <c r="R3338">
        <v>-9.9298890000000001E-2</v>
      </c>
      <c r="S3338">
        <v>-2.997131</v>
      </c>
      <c r="T3338">
        <v>-0.15084729999999999</v>
      </c>
      <c r="U3338">
        <v>-0.32067869999999998</v>
      </c>
      <c r="V3338">
        <v>-6.8741830000000004E-2</v>
      </c>
      <c r="W3338">
        <v>7.5238890000000003E-2</v>
      </c>
      <c r="X3338">
        <v>0.99479329999999999</v>
      </c>
      <c r="Y3338">
        <v>-7.5744010000000001E-2</v>
      </c>
      <c r="Z3338">
        <v>-3.5993989999999899E-4</v>
      </c>
      <c r="AA3338">
        <v>0.99712719999999899</v>
      </c>
      <c r="AB3338">
        <v>58</v>
      </c>
      <c r="AC3338">
        <v>-21.584299999999899</v>
      </c>
      <c r="AD3338">
        <v>-1.109663564461</v>
      </c>
      <c r="AE3338">
        <v>-2.3448000000000202</v>
      </c>
      <c r="AF3338">
        <v>-1.67642272719958</v>
      </c>
      <c r="AG3338">
        <v>-1.109663564461</v>
      </c>
      <c r="AH3338">
        <v>21.589733906427199</v>
      </c>
      <c r="AI3338">
        <v>92.933469871267803</v>
      </c>
      <c r="AJ3338">
        <v>94.440054622240396</v>
      </c>
      <c r="AK3338">
        <v>21.683135302278</v>
      </c>
    </row>
    <row r="3339" spans="1:37" x14ac:dyDescent="0.2">
      <c r="A3339" t="str">
        <f>"20200111154132040"</f>
        <v>20200111154132040</v>
      </c>
      <c r="B3339" t="str">
        <f>"1578728492029845"</f>
        <v>1578728492029845</v>
      </c>
      <c r="C3339" t="s">
        <v>37</v>
      </c>
      <c r="D3339">
        <v>5.3775589999999998</v>
      </c>
      <c r="E3339">
        <v>0.49528610000000001</v>
      </c>
      <c r="F3339" t="s">
        <v>39</v>
      </c>
      <c r="G3339">
        <v>-352.97179999999997</v>
      </c>
      <c r="H3339" s="1">
        <v>-3.0109729999999999E-6</v>
      </c>
      <c r="I3339">
        <v>139.66730000000001</v>
      </c>
      <c r="J3339">
        <v>-330.71640000000002</v>
      </c>
      <c r="K3339">
        <v>1.109683</v>
      </c>
      <c r="L3339">
        <v>142.10509999999999</v>
      </c>
      <c r="M3339">
        <v>-0.99941209999999903</v>
      </c>
      <c r="N3339">
        <v>0</v>
      </c>
      <c r="O3339">
        <v>-3.0682979999999999E-2</v>
      </c>
      <c r="P3339">
        <v>-0.99312590000000001</v>
      </c>
      <c r="Q3339">
        <v>6.1592429999999997E-2</v>
      </c>
      <c r="R3339">
        <v>-9.9535239999999997E-2</v>
      </c>
      <c r="S3339">
        <v>-2.9969480000000002</v>
      </c>
      <c r="T3339">
        <v>-0.1458197</v>
      </c>
      <c r="U3339">
        <v>-0.32255549999999999</v>
      </c>
      <c r="V3339">
        <v>-6.9006200000000004E-2</v>
      </c>
      <c r="W3339">
        <v>7.6829759999999997E-2</v>
      </c>
      <c r="X3339">
        <v>0.99465329999999996</v>
      </c>
      <c r="Y3339">
        <v>-7.6395829999999998E-2</v>
      </c>
      <c r="Z3339">
        <v>-3.6499349999999999E-4</v>
      </c>
      <c r="AA3339">
        <v>0.99707749999999995</v>
      </c>
      <c r="AB3339">
        <v>58</v>
      </c>
      <c r="AC3339">
        <v>-22.255399999999899</v>
      </c>
      <c r="AD3339">
        <v>-1.109686010973</v>
      </c>
      <c r="AE3339">
        <v>-2.4377999999999802</v>
      </c>
      <c r="AF3339">
        <v>-1.7494122725766399</v>
      </c>
      <c r="AG3339">
        <v>-1.109686010973</v>
      </c>
      <c r="AH3339">
        <v>22.265028508585999</v>
      </c>
      <c r="AI3339">
        <v>92.844500546998205</v>
      </c>
      <c r="AJ3339">
        <v>94.492625407285701</v>
      </c>
      <c r="AK3339">
        <v>22.361201685744401</v>
      </c>
    </row>
    <row r="3340" spans="1:37" x14ac:dyDescent="0.2">
      <c r="A3340" t="str">
        <f>"20200111154132063"</f>
        <v>20200111154132063</v>
      </c>
      <c r="B3340" t="str">
        <f>"1578728492059125"</f>
        <v>1578728492059125</v>
      </c>
      <c r="C3340" t="s">
        <v>37</v>
      </c>
      <c r="D3340">
        <v>5.4090870000000004</v>
      </c>
      <c r="E3340">
        <v>0.49554670000000001</v>
      </c>
      <c r="F3340" t="s">
        <v>39</v>
      </c>
      <c r="G3340">
        <v>-354.42899999999997</v>
      </c>
      <c r="H3340" s="1">
        <v>-2.3810440000000001E-6</v>
      </c>
      <c r="I3340">
        <v>139.56659999999999</v>
      </c>
      <c r="J3340">
        <v>-331.28649999999999</v>
      </c>
      <c r="K3340">
        <v>1.109723</v>
      </c>
      <c r="L3340">
        <v>142.08760000000001</v>
      </c>
      <c r="M3340">
        <v>-0.99941219999999997</v>
      </c>
      <c r="N3340">
        <v>0</v>
      </c>
      <c r="O3340">
        <v>-3.0656409999999999E-2</v>
      </c>
      <c r="P3340">
        <v>-0.99305730000000003</v>
      </c>
      <c r="Q3340">
        <v>6.3105499999999995E-2</v>
      </c>
      <c r="R3340">
        <v>-9.9274180000000004E-2</v>
      </c>
      <c r="S3340">
        <v>-2.9973139999999998</v>
      </c>
      <c r="T3340">
        <v>-0.1402659</v>
      </c>
      <c r="U3340">
        <v>-0.32086179999999997</v>
      </c>
      <c r="V3340">
        <v>-6.8772539999999993E-2</v>
      </c>
      <c r="W3340">
        <v>7.838813E-2</v>
      </c>
      <c r="X3340">
        <v>0.99454799999999999</v>
      </c>
      <c r="Y3340">
        <v>-7.5856859999999998E-2</v>
      </c>
      <c r="Z3340">
        <v>-3.397408E-4</v>
      </c>
      <c r="AA3340">
        <v>0.99711870000000002</v>
      </c>
      <c r="AB3340">
        <v>58</v>
      </c>
      <c r="AC3340">
        <v>-23.142499999999998</v>
      </c>
      <c r="AD3340">
        <v>-1.109725381044</v>
      </c>
      <c r="AE3340">
        <v>-2.5210000000000101</v>
      </c>
      <c r="AF3340">
        <v>-1.8061609603944699</v>
      </c>
      <c r="AG3340">
        <v>-1.109725381044</v>
      </c>
      <c r="AH3340">
        <v>23.156293291278701</v>
      </c>
      <c r="AI3340">
        <v>92.735406637603603</v>
      </c>
      <c r="AJ3340">
        <v>94.459966893361894</v>
      </c>
      <c r="AK3340">
        <v>23.253120797602801</v>
      </c>
    </row>
    <row r="3341" spans="1:37" x14ac:dyDescent="0.2">
      <c r="A3341" t="str">
        <f>"20200111154132077"</f>
        <v>20200111154132077</v>
      </c>
      <c r="B3341" t="str">
        <f>"1578728492069861"</f>
        <v>1578728492069861</v>
      </c>
      <c r="C3341" t="s">
        <v>37</v>
      </c>
      <c r="D3341">
        <v>5.5749629999999897</v>
      </c>
      <c r="E3341">
        <v>0.49569239999999998</v>
      </c>
      <c r="F3341" t="s">
        <v>39</v>
      </c>
      <c r="G3341">
        <v>-356.16199999999998</v>
      </c>
      <c r="H3341" s="1">
        <v>-1.658902E-6</v>
      </c>
      <c r="I3341">
        <v>139.44669999999999</v>
      </c>
      <c r="J3341">
        <v>-331.69470000000001</v>
      </c>
      <c r="K3341">
        <v>1.1097399999999999</v>
      </c>
      <c r="L3341">
        <v>142.07509999999999</v>
      </c>
      <c r="M3341">
        <v>-0.99941239999999998</v>
      </c>
      <c r="N3341">
        <v>0</v>
      </c>
      <c r="O3341">
        <v>-3.0637250000000001E-2</v>
      </c>
      <c r="P3341">
        <v>-0.99296030000000002</v>
      </c>
      <c r="Q3341">
        <v>6.4045669999999999E-2</v>
      </c>
      <c r="R3341">
        <v>-9.9642170000000002E-2</v>
      </c>
      <c r="S3341">
        <v>-2.99762</v>
      </c>
      <c r="T3341">
        <v>-0.13372779999999901</v>
      </c>
      <c r="U3341">
        <v>-0.3182373</v>
      </c>
      <c r="V3341">
        <v>-6.9162260000000003E-2</v>
      </c>
      <c r="W3341">
        <v>7.9355460000000003E-2</v>
      </c>
      <c r="X3341">
        <v>0.994444199999999</v>
      </c>
      <c r="Y3341">
        <v>-7.5007270000000001E-2</v>
      </c>
      <c r="Z3341">
        <v>-3.0586029999999899E-4</v>
      </c>
      <c r="AA3341">
        <v>0.99718300000000004</v>
      </c>
      <c r="AB3341">
        <v>58</v>
      </c>
      <c r="AC3341">
        <v>-24.467299999999899</v>
      </c>
      <c r="AD3341">
        <v>-1.1097416589019999</v>
      </c>
      <c r="AE3341">
        <v>-2.6283999999999899</v>
      </c>
      <c r="AF3341">
        <v>-1.87365605089691</v>
      </c>
      <c r="AG3341">
        <v>-1.1097416589019999</v>
      </c>
      <c r="AH3341">
        <v>24.486549555358799</v>
      </c>
      <c r="AI3341">
        <v>92.587342367481696</v>
      </c>
      <c r="AJ3341">
        <v>94.375618596795107</v>
      </c>
      <c r="AK3341">
        <v>24.5831898392704</v>
      </c>
    </row>
    <row r="3342" spans="1:37" x14ac:dyDescent="0.2">
      <c r="A3342" t="str">
        <f>"20200111154132091"</f>
        <v>20200111154132091</v>
      </c>
      <c r="B3342" t="str">
        <f>"1578728492079621"</f>
        <v>1578728492079621</v>
      </c>
      <c r="C3342" t="s">
        <v>37</v>
      </c>
      <c r="D3342">
        <v>5.4166970000000001</v>
      </c>
      <c r="E3342">
        <v>0.4956412</v>
      </c>
      <c r="F3342" t="s">
        <v>39</v>
      </c>
      <c r="G3342">
        <v>-357.14929999999998</v>
      </c>
      <c r="H3342" s="1">
        <v>-1.2483119999999899E-6</v>
      </c>
      <c r="I3342">
        <v>139.37360000000001</v>
      </c>
      <c r="J3342">
        <v>-332.03980000000001</v>
      </c>
      <c r="K3342">
        <v>1.109758</v>
      </c>
      <c r="L3342">
        <v>142.06450000000001</v>
      </c>
      <c r="M3342">
        <v>-0.99941250000000004</v>
      </c>
      <c r="N3342">
        <v>0</v>
      </c>
      <c r="O3342">
        <v>-3.0620919999999999E-2</v>
      </c>
      <c r="P3342">
        <v>-0.9928749</v>
      </c>
      <c r="Q3342">
        <v>6.4979869999999995E-2</v>
      </c>
      <c r="R3342">
        <v>-9.9888469999999993E-2</v>
      </c>
      <c r="S3342">
        <v>-2.9977419999999899</v>
      </c>
      <c r="T3342">
        <v>-0.13069259999999999</v>
      </c>
      <c r="U3342">
        <v>-0.31814579999999998</v>
      </c>
      <c r="V3342">
        <v>-6.9426280000000007E-2</v>
      </c>
      <c r="W3342">
        <v>8.0309899999999906E-2</v>
      </c>
      <c r="X3342">
        <v>0.99434920000000004</v>
      </c>
      <c r="Y3342">
        <v>-7.4991130000000003E-2</v>
      </c>
      <c r="Z3342">
        <v>-2.9927079999999997E-4</v>
      </c>
      <c r="AA3342">
        <v>0.99718419999999897</v>
      </c>
      <c r="AB3342">
        <v>58</v>
      </c>
      <c r="AC3342">
        <v>-25.109499999999901</v>
      </c>
      <c r="AD3342">
        <v>-1.109759248312</v>
      </c>
      <c r="AE3342">
        <v>-2.6908999999999899</v>
      </c>
      <c r="AF3342">
        <v>-1.91696872589148</v>
      </c>
      <c r="AG3342">
        <v>-1.109759248312</v>
      </c>
      <c r="AH3342">
        <v>25.131596637925401</v>
      </c>
      <c r="AI3342">
        <v>92.521106338635093</v>
      </c>
      <c r="AJ3342">
        <v>94.361917250040904</v>
      </c>
      <c r="AK3342">
        <v>25.229020675734599</v>
      </c>
    </row>
    <row r="3343" spans="1:37" x14ac:dyDescent="0.2">
      <c r="A3343" t="str">
        <f>"20200111154132107"</f>
        <v>20200111154132107</v>
      </c>
      <c r="B3343" t="str">
        <f>"1578728492099141"</f>
        <v>1578728492099141</v>
      </c>
      <c r="C3343" t="s">
        <v>37</v>
      </c>
      <c r="D3343">
        <v>5.2820419999999997</v>
      </c>
      <c r="E3343">
        <v>0.46656530000000002</v>
      </c>
      <c r="F3343" t="s">
        <v>39</v>
      </c>
      <c r="G3343">
        <v>-358.04340000000002</v>
      </c>
      <c r="H3343" s="1">
        <v>-8.7848759999999995E-7</v>
      </c>
      <c r="I3343">
        <v>139.29599999999999</v>
      </c>
      <c r="J3343">
        <v>-332.47879999999998</v>
      </c>
      <c r="K3343">
        <v>1.1097950000000001</v>
      </c>
      <c r="L3343">
        <v>142.05099999999999</v>
      </c>
      <c r="M3343">
        <v>-0.99941279999999999</v>
      </c>
      <c r="N3343">
        <v>0</v>
      </c>
      <c r="O3343">
        <v>-3.0599959999999999E-2</v>
      </c>
      <c r="P3343">
        <v>-0.99268709999999905</v>
      </c>
      <c r="Q3343">
        <v>6.6689269999999995E-2</v>
      </c>
      <c r="R3343">
        <v>-0.100623899999999</v>
      </c>
      <c r="S3343">
        <v>-2.99780299999999</v>
      </c>
      <c r="T3343">
        <v>-0.12793779999999999</v>
      </c>
      <c r="U3343">
        <v>-0.31915279999999902</v>
      </c>
      <c r="V3343">
        <v>-7.0186819999999997E-2</v>
      </c>
      <c r="W3343">
        <v>8.2041760000000005E-2</v>
      </c>
      <c r="X3343">
        <v>0.99415439999999999</v>
      </c>
      <c r="Y3343">
        <v>-7.534254E-2</v>
      </c>
      <c r="Z3343">
        <v>-3.0132310000000002E-4</v>
      </c>
      <c r="AA3343">
        <v>0.99715769999999904</v>
      </c>
      <c r="AB3343">
        <v>58</v>
      </c>
      <c r="AC3343">
        <v>-25.564599999999999</v>
      </c>
      <c r="AD3343">
        <v>-1.1097958784876001</v>
      </c>
      <c r="AE3343">
        <v>-2.7550000000000199</v>
      </c>
      <c r="AF3343">
        <v>-1.9676752158820201</v>
      </c>
      <c r="AG3343">
        <v>-1.1097958784876001</v>
      </c>
      <c r="AH3343">
        <v>25.589267768578701</v>
      </c>
      <c r="AI3343">
        <v>92.476037674770893</v>
      </c>
      <c r="AJ3343">
        <v>94.397080462509393</v>
      </c>
      <c r="AK3343">
        <v>25.6887916722279</v>
      </c>
    </row>
    <row r="3344" spans="1:37" x14ac:dyDescent="0.2">
      <c r="A3344" t="str">
        <f>"20200111154132125"</f>
        <v>20200111154132125</v>
      </c>
      <c r="B3344" t="str">
        <f>"1578728492119638"</f>
        <v>1578728492119638</v>
      </c>
      <c r="C3344" t="s">
        <v>37</v>
      </c>
      <c r="D3344">
        <v>5.5067570000000003</v>
      </c>
      <c r="E3344">
        <v>0.4510073</v>
      </c>
      <c r="F3344" t="s">
        <v>39</v>
      </c>
      <c r="G3344">
        <v>-356.13479999999998</v>
      </c>
      <c r="H3344" s="1">
        <v>-1.9862799999999998E-6</v>
      </c>
      <c r="I3344">
        <v>137.66679999999999</v>
      </c>
      <c r="J3344">
        <v>-332.90429999999998</v>
      </c>
      <c r="K3344">
        <v>1.1098129999999999</v>
      </c>
      <c r="L3344">
        <v>142.03799999999899</v>
      </c>
      <c r="M3344">
        <v>-0.99941309999999906</v>
      </c>
      <c r="N3344">
        <v>0</v>
      </c>
      <c r="O3344">
        <v>-3.057934E-2</v>
      </c>
      <c r="P3344">
        <v>-0.99262989999999995</v>
      </c>
      <c r="Q3344">
        <v>6.7580340000000003E-2</v>
      </c>
      <c r="R3344">
        <v>-0.1005933</v>
      </c>
      <c r="S3344">
        <v>-2.9755859999999998</v>
      </c>
      <c r="T3344">
        <v>-0.13959659999999999</v>
      </c>
      <c r="U3344">
        <v>-0.55146790000000001</v>
      </c>
      <c r="V3344">
        <v>-7.0178660000000004E-2</v>
      </c>
      <c r="W3344">
        <v>8.2953219999999994E-2</v>
      </c>
      <c r="X3344">
        <v>0.99407939999999995</v>
      </c>
      <c r="Y3344">
        <v>-0.15194279999999999</v>
      </c>
      <c r="Z3344">
        <v>-2.1114060000000001E-3</v>
      </c>
      <c r="AA3344">
        <v>0.98838700000000002</v>
      </c>
      <c r="AB3344">
        <v>58</v>
      </c>
      <c r="AC3344">
        <v>-23.230499999999999</v>
      </c>
      <c r="AD3344">
        <v>-1.10981498628</v>
      </c>
      <c r="AE3344">
        <v>-4.3711999999999804</v>
      </c>
      <c r="AF3344">
        <v>-3.6506500805803999</v>
      </c>
      <c r="AG3344">
        <v>-1.10981498628</v>
      </c>
      <c r="AH3344">
        <v>23.3019530572439</v>
      </c>
      <c r="AI3344">
        <v>92.693985501726303</v>
      </c>
      <c r="AJ3344">
        <v>98.903987800544002</v>
      </c>
      <c r="AK3344">
        <v>23.612283913179901</v>
      </c>
    </row>
    <row r="3345" spans="1:37" x14ac:dyDescent="0.2">
      <c r="A3345" t="str">
        <f>"20200111154132140"</f>
        <v>20200111154132140</v>
      </c>
      <c r="B3345" t="str">
        <f>"1578728492129397"</f>
        <v>1578728492129397</v>
      </c>
      <c r="C3345" t="s">
        <v>37</v>
      </c>
      <c r="D3345">
        <v>5.3938410000000001</v>
      </c>
      <c r="E3345">
        <v>0.44901359999999901</v>
      </c>
      <c r="F3345" t="s">
        <v>39</v>
      </c>
      <c r="G3345">
        <v>-352.28269999999998</v>
      </c>
      <c r="H3345" s="1">
        <v>-3.6439299999999999E-6</v>
      </c>
      <c r="I3345">
        <v>137.6379</v>
      </c>
      <c r="J3345">
        <v>-333.31240000000003</v>
      </c>
      <c r="K3345">
        <v>1.109853</v>
      </c>
      <c r="L3345">
        <v>142.02549999999999</v>
      </c>
      <c r="M3345">
        <v>-0.99941329999999995</v>
      </c>
      <c r="N3345">
        <v>0</v>
      </c>
      <c r="O3345">
        <v>-3.055942E-2</v>
      </c>
      <c r="P3345">
        <v>-0.99250729999999998</v>
      </c>
      <c r="Q3345">
        <v>6.8616479999999994E-2</v>
      </c>
      <c r="R3345">
        <v>-0.1011</v>
      </c>
      <c r="S3345">
        <v>-2.9656370000000001</v>
      </c>
      <c r="T3345">
        <v>-0.16984489999999999</v>
      </c>
      <c r="U3345">
        <v>-0.67337040000000004</v>
      </c>
      <c r="V3345">
        <v>-7.0708030000000005E-2</v>
      </c>
      <c r="W3345">
        <v>8.4005720000000006E-2</v>
      </c>
      <c r="X3345">
        <v>0.99395339999999999</v>
      </c>
      <c r="Y3345">
        <v>-0.19126370000000001</v>
      </c>
      <c r="Z3345">
        <v>-3.6784980000000001E-3</v>
      </c>
      <c r="AA3345">
        <v>0.98153179999999995</v>
      </c>
      <c r="AB3345">
        <v>58</v>
      </c>
      <c r="AC3345">
        <v>-18.970299999999899</v>
      </c>
      <c r="AD3345">
        <v>-1.1098566439299999</v>
      </c>
      <c r="AE3345">
        <v>-4.3875999999999902</v>
      </c>
      <c r="AF3345">
        <v>-3.7934346130691199</v>
      </c>
      <c r="AG3345">
        <v>-1.1098566439299999</v>
      </c>
      <c r="AH3345">
        <v>19.033695401065401</v>
      </c>
      <c r="AI3345">
        <v>93.272919186780797</v>
      </c>
      <c r="AJ3345">
        <v>101.271418176512</v>
      </c>
      <c r="AK3345">
        <v>19.4397399302111</v>
      </c>
    </row>
    <row r="3346" spans="1:37" x14ac:dyDescent="0.2">
      <c r="A3346" t="str">
        <f>"20200111154132163"</f>
        <v>20200111154132163</v>
      </c>
      <c r="B3346" t="str">
        <f>"1578728492159652"</f>
        <v>1578728492159652</v>
      </c>
      <c r="C3346" t="s">
        <v>37</v>
      </c>
      <c r="D3346">
        <v>5.354279</v>
      </c>
      <c r="E3346">
        <v>0.44756699999999999</v>
      </c>
      <c r="F3346" t="s">
        <v>39</v>
      </c>
      <c r="G3346">
        <v>-352.34710000000001</v>
      </c>
      <c r="H3346" s="1">
        <v>-3.6240289999999899E-6</v>
      </c>
      <c r="I3346">
        <v>137.5943</v>
      </c>
      <c r="J3346">
        <v>-333.8904</v>
      </c>
      <c r="K3346">
        <v>1.1098939999999999</v>
      </c>
      <c r="L3346">
        <v>142.0078</v>
      </c>
      <c r="M3346">
        <v>-0.99941389999999997</v>
      </c>
      <c r="N3346">
        <v>0</v>
      </c>
      <c r="O3346">
        <v>-3.0531050000000001E-2</v>
      </c>
      <c r="P3346">
        <v>-0.9922742</v>
      </c>
      <c r="Q3346">
        <v>7.0080989999999996E-2</v>
      </c>
      <c r="R3346">
        <v>-0.10237489999999901</v>
      </c>
      <c r="S3346">
        <v>-2.964264</v>
      </c>
      <c r="T3346">
        <v>-0.17283709999999999</v>
      </c>
      <c r="U3346">
        <v>-0.69006350000000005</v>
      </c>
      <c r="V3346">
        <v>-7.201689E-2</v>
      </c>
      <c r="W3346">
        <v>8.5489529999999994E-2</v>
      </c>
      <c r="X3346">
        <v>0.99373289999999903</v>
      </c>
      <c r="Y3346">
        <v>-0.1966193</v>
      </c>
      <c r="Z3346">
        <v>-3.8981709999999902E-3</v>
      </c>
      <c r="AA3346">
        <v>0.98047209999999996</v>
      </c>
      <c r="AB3346">
        <v>58</v>
      </c>
      <c r="AC3346">
        <v>-18.456700000000001</v>
      </c>
      <c r="AD3346">
        <v>-1.1098976240289999</v>
      </c>
      <c r="AE3346">
        <v>-4.4134999999999902</v>
      </c>
      <c r="AF3346">
        <v>-3.8347546987054999</v>
      </c>
      <c r="AG3346">
        <v>-1.1098976240289999</v>
      </c>
      <c r="AH3346">
        <v>18.519510038280401</v>
      </c>
      <c r="AI3346">
        <v>93.358627543572595</v>
      </c>
      <c r="AJ3346">
        <v>101.698660707157</v>
      </c>
      <c r="AK3346">
        <v>18.9449061331282</v>
      </c>
    </row>
    <row r="3347" spans="1:37" x14ac:dyDescent="0.2">
      <c r="A3347" t="str">
        <f>"20200111154132179"</f>
        <v>20200111154132179</v>
      </c>
      <c r="B3347" t="str">
        <f>"1578728492169414"</f>
        <v>1578728492169414</v>
      </c>
      <c r="C3347" t="s">
        <v>37</v>
      </c>
      <c r="D3347">
        <v>5.325774</v>
      </c>
      <c r="E3347">
        <v>0.447250599999999</v>
      </c>
      <c r="F3347" t="s">
        <v>39</v>
      </c>
      <c r="G3347">
        <v>-352.18020000000001</v>
      </c>
      <c r="H3347" s="1">
        <v>-3.683369E-6</v>
      </c>
      <c r="I3347">
        <v>137.6635</v>
      </c>
      <c r="J3347">
        <v>-334.3193</v>
      </c>
      <c r="K3347">
        <v>1.1099219999999901</v>
      </c>
      <c r="L3347">
        <v>141.99469999999999</v>
      </c>
      <c r="M3347">
        <v>-0.99941440000000004</v>
      </c>
      <c r="N3347">
        <v>0</v>
      </c>
      <c r="O3347">
        <v>-3.0509669999999999E-2</v>
      </c>
      <c r="P3347">
        <v>-0.99207219999999996</v>
      </c>
      <c r="Q3347">
        <v>7.1450830000000007E-2</v>
      </c>
      <c r="R3347">
        <v>-0.1033815</v>
      </c>
      <c r="S3347">
        <v>-2.963409</v>
      </c>
      <c r="T3347">
        <v>-0.179831399999999</v>
      </c>
      <c r="U3347">
        <v>-0.70388790000000001</v>
      </c>
      <c r="V3347">
        <v>-7.3050580000000004E-2</v>
      </c>
      <c r="W3347">
        <v>8.6870539999999996E-2</v>
      </c>
      <c r="X3347">
        <v>0.99353769999999997</v>
      </c>
      <c r="Y3347">
        <v>-0.201005399999999</v>
      </c>
      <c r="Z3347">
        <v>-4.1871039999999997E-3</v>
      </c>
      <c r="AA3347">
        <v>0.97958120000000004</v>
      </c>
      <c r="AB3347">
        <v>58</v>
      </c>
      <c r="AC3347">
        <v>-17.860900000000001</v>
      </c>
      <c r="AD3347">
        <v>-1.1099256833689899</v>
      </c>
      <c r="AE3347">
        <v>-4.3311999999999902</v>
      </c>
      <c r="AF3347">
        <v>-3.7704359286697202</v>
      </c>
      <c r="AG3347">
        <v>-1.1099256833689899</v>
      </c>
      <c r="AH3347">
        <v>17.9193861328949</v>
      </c>
      <c r="AI3347">
        <v>93.468609568869596</v>
      </c>
      <c r="AJ3347">
        <v>101.88233110981299</v>
      </c>
      <c r="AK3347">
        <v>18.3453678484404</v>
      </c>
    </row>
    <row r="3348" spans="1:37" x14ac:dyDescent="0.2">
      <c r="A3348" t="str">
        <f>"20200111154132193"</f>
        <v>20200111154132193</v>
      </c>
      <c r="B3348" t="str">
        <f>"1578728492189909"</f>
        <v>1578728492189909</v>
      </c>
      <c r="C3348" t="s">
        <v>37</v>
      </c>
      <c r="D3348">
        <v>5.3547839999999898</v>
      </c>
      <c r="E3348">
        <v>0.44678570000000001</v>
      </c>
      <c r="F3348" t="s">
        <v>39</v>
      </c>
      <c r="G3348">
        <v>-352.702</v>
      </c>
      <c r="H3348" s="1">
        <v>-3.4713900000000001E-6</v>
      </c>
      <c r="I3348">
        <v>137.5967</v>
      </c>
      <c r="J3348">
        <v>-334.67869999999999</v>
      </c>
      <c r="K3348">
        <v>1.1099410000000001</v>
      </c>
      <c r="L3348">
        <v>141.9838</v>
      </c>
      <c r="M3348">
        <v>-0.99941480000000005</v>
      </c>
      <c r="N3348">
        <v>0</v>
      </c>
      <c r="O3348">
        <v>-3.0491609999999999E-2</v>
      </c>
      <c r="P3348">
        <v>-0.99184259999999902</v>
      </c>
      <c r="Q3348">
        <v>7.2893089999999994E-2</v>
      </c>
      <c r="R3348">
        <v>-0.104572499999999</v>
      </c>
      <c r="S3348">
        <v>-2.962952</v>
      </c>
      <c r="T3348">
        <v>-0.17890049999999999</v>
      </c>
      <c r="U3348">
        <v>-0.7088776</v>
      </c>
      <c r="V3348">
        <v>-7.4264739999999996E-2</v>
      </c>
      <c r="W3348">
        <v>8.8319789999999995E-2</v>
      </c>
      <c r="X3348">
        <v>0.99331990000000003</v>
      </c>
      <c r="Y3348">
        <v>-0.2026181</v>
      </c>
      <c r="Z3348">
        <v>-4.2143420000000003E-3</v>
      </c>
      <c r="AA3348">
        <v>0.97924880000000003</v>
      </c>
      <c r="AB3348">
        <v>58</v>
      </c>
      <c r="AC3348">
        <v>-18.023299999999999</v>
      </c>
      <c r="AD3348">
        <v>-1.10994447139</v>
      </c>
      <c r="AE3348">
        <v>-4.3871000000000002</v>
      </c>
      <c r="AF3348">
        <v>-3.8217506057447999</v>
      </c>
      <c r="AG3348">
        <v>-1.10994447139</v>
      </c>
      <c r="AH3348">
        <v>18.083954995683399</v>
      </c>
      <c r="AI3348">
        <v>93.436539580063595</v>
      </c>
      <c r="AJ3348">
        <v>101.93295175965901</v>
      </c>
      <c r="AK3348">
        <v>18.516673100424502</v>
      </c>
    </row>
    <row r="3349" spans="1:37" x14ac:dyDescent="0.2">
      <c r="A3349" t="str">
        <f>"20200111154132209"</f>
        <v>20200111154132209</v>
      </c>
      <c r="B3349" t="str">
        <f>"1578728492199669"</f>
        <v>1578728492199669</v>
      </c>
      <c r="C3349" t="s">
        <v>37</v>
      </c>
      <c r="D3349">
        <v>5.3786809999999896</v>
      </c>
      <c r="E3349">
        <v>0.4466002</v>
      </c>
      <c r="F3349" t="s">
        <v>39</v>
      </c>
      <c r="G3349">
        <v>-352.93770000000001</v>
      </c>
      <c r="H3349" s="1">
        <v>-3.3744829999999998E-6</v>
      </c>
      <c r="I3349">
        <v>137.5728</v>
      </c>
      <c r="J3349">
        <v>-335.07740000000001</v>
      </c>
      <c r="K3349">
        <v>1.1099669999999999</v>
      </c>
      <c r="L3349">
        <v>141.9716</v>
      </c>
      <c r="M3349">
        <v>-0.99941519999999995</v>
      </c>
      <c r="N3349">
        <v>0</v>
      </c>
      <c r="O3349">
        <v>-3.047153E-2</v>
      </c>
      <c r="P3349">
        <v>-0.99140209999999995</v>
      </c>
      <c r="Q3349">
        <v>7.3918609999999996E-2</v>
      </c>
      <c r="R3349">
        <v>-0.107972499999999</v>
      </c>
      <c r="S3349">
        <v>-2.9624329999999999</v>
      </c>
      <c r="T3349">
        <v>-0.18008350000000001</v>
      </c>
      <c r="U3349">
        <v>-0.71563719999999997</v>
      </c>
      <c r="V3349">
        <v>-7.7696749999999995E-2</v>
      </c>
      <c r="W3349">
        <v>8.9350890000000002E-2</v>
      </c>
      <c r="X3349">
        <v>0.99296499999999999</v>
      </c>
      <c r="Y3349">
        <v>-0.20478080000000001</v>
      </c>
      <c r="Z3349">
        <v>-4.3077289999999997E-3</v>
      </c>
      <c r="AA3349">
        <v>0.97879839999999996</v>
      </c>
      <c r="AB3349">
        <v>58</v>
      </c>
      <c r="AC3349">
        <v>-17.860299999999899</v>
      </c>
      <c r="AD3349">
        <v>-1.1099703744829901</v>
      </c>
      <c r="AE3349">
        <v>-4.3987999999999898</v>
      </c>
      <c r="AF3349">
        <v>-3.8384831743700198</v>
      </c>
      <c r="AG3349">
        <v>-1.1099703744829901</v>
      </c>
      <c r="AH3349">
        <v>17.920801599414499</v>
      </c>
      <c r="AI3349">
        <v>93.465819358635102</v>
      </c>
      <c r="AJ3349">
        <v>102.089595269683</v>
      </c>
      <c r="AK3349">
        <v>18.360858293601801</v>
      </c>
    </row>
    <row r="3350" spans="1:37" x14ac:dyDescent="0.2">
      <c r="A3350" t="str">
        <f>"20200111154132225"</f>
        <v>20200111154132225</v>
      </c>
      <c r="B3350" t="str">
        <f>"1578728492219190"</f>
        <v>1578728492219190</v>
      </c>
      <c r="C3350" t="s">
        <v>37</v>
      </c>
      <c r="D3350">
        <v>5.5111319999999999</v>
      </c>
      <c r="E3350">
        <v>0.4467952</v>
      </c>
      <c r="F3350" t="s">
        <v>39</v>
      </c>
      <c r="G3350">
        <v>-353.35599999999999</v>
      </c>
      <c r="H3350" s="1">
        <v>-3.210348E-6</v>
      </c>
      <c r="I3350">
        <v>137.4864</v>
      </c>
      <c r="J3350">
        <v>-335.48009999999999</v>
      </c>
      <c r="K3350">
        <v>1.109977</v>
      </c>
      <c r="L3350">
        <v>141.95930000000001</v>
      </c>
      <c r="M3350">
        <v>-0.99941579999999997</v>
      </c>
      <c r="N3350">
        <v>0</v>
      </c>
      <c r="O3350">
        <v>-3.0451200000000001E-2</v>
      </c>
      <c r="P3350">
        <v>-0.99113259999999903</v>
      </c>
      <c r="Q3350">
        <v>7.4210349999999994E-2</v>
      </c>
      <c r="R3350">
        <v>-0.11022609999999999</v>
      </c>
      <c r="S3350">
        <v>-2.9602970000000002</v>
      </c>
      <c r="T3350">
        <v>-0.17976420000000001</v>
      </c>
      <c r="U3350">
        <v>-0.72637940000000001</v>
      </c>
      <c r="V3350">
        <v>-7.9977069999999997E-2</v>
      </c>
      <c r="W3350">
        <v>8.9648190000000003E-2</v>
      </c>
      <c r="X3350">
        <v>0.99275720000000001</v>
      </c>
      <c r="Y3350">
        <v>-0.2083083</v>
      </c>
      <c r="Z3350">
        <v>-4.4079810000000001E-3</v>
      </c>
      <c r="AA3350">
        <v>0.97805330000000001</v>
      </c>
      <c r="AB3350">
        <v>58</v>
      </c>
      <c r="AC3350">
        <v>-17.875900000000001</v>
      </c>
      <c r="AD3350">
        <v>-1.1099802103480001</v>
      </c>
      <c r="AE3350">
        <v>-4.4729000000000099</v>
      </c>
      <c r="AF3350">
        <v>-3.9122217715359899</v>
      </c>
      <c r="AG3350">
        <v>-1.1099802103480001</v>
      </c>
      <c r="AH3350">
        <v>17.9387399406036</v>
      </c>
      <c r="AI3350">
        <v>93.4596147897376</v>
      </c>
      <c r="AJ3350">
        <v>102.302878051061</v>
      </c>
      <c r="AK3350">
        <v>18.393910022440899</v>
      </c>
    </row>
    <row r="3351" spans="1:37" x14ac:dyDescent="0.2">
      <c r="A3351" t="str">
        <f>"20200111154132240"</f>
        <v>20200111154132240</v>
      </c>
      <c r="B3351" t="str">
        <f>"1578728492229925"</f>
        <v>1578728492229925</v>
      </c>
      <c r="C3351" t="s">
        <v>37</v>
      </c>
      <c r="D3351">
        <v>5.3673999999999999</v>
      </c>
      <c r="E3351">
        <v>0.44714110000000001</v>
      </c>
      <c r="F3351" t="s">
        <v>39</v>
      </c>
      <c r="G3351">
        <v>-353.642</v>
      </c>
      <c r="H3351" s="1">
        <v>-3.0900340000000002E-6</v>
      </c>
      <c r="I3351">
        <v>137.47299999999899</v>
      </c>
      <c r="J3351">
        <v>-335.9085</v>
      </c>
      <c r="K3351">
        <v>1.1099939999999999</v>
      </c>
      <c r="L3351">
        <v>141.9462</v>
      </c>
      <c r="M3351">
        <v>-0.99941610000000003</v>
      </c>
      <c r="N3351">
        <v>0</v>
      </c>
      <c r="O3351">
        <v>-3.0429189999999998E-2</v>
      </c>
      <c r="P3351">
        <v>-0.99056939999999905</v>
      </c>
      <c r="Q3351">
        <v>7.321134E-2</v>
      </c>
      <c r="R3351">
        <v>-0.115811699999999</v>
      </c>
      <c r="S3351">
        <v>-2.9591059999999998</v>
      </c>
      <c r="T3351">
        <v>-0.180848799999999</v>
      </c>
      <c r="U3351">
        <v>-0.73092650000000003</v>
      </c>
      <c r="V3351">
        <v>-8.5599629999999996E-2</v>
      </c>
      <c r="W3351">
        <v>8.8652720000000004E-2</v>
      </c>
      <c r="X3351">
        <v>0.99237759999999997</v>
      </c>
      <c r="Y3351">
        <v>-0.20983099999999999</v>
      </c>
      <c r="Z3351">
        <v>-4.482593E-3</v>
      </c>
      <c r="AA3351">
        <v>0.97772739999999903</v>
      </c>
      <c r="AB3351">
        <v>58</v>
      </c>
      <c r="AC3351">
        <v>-17.7334999999999</v>
      </c>
      <c r="AD3351">
        <v>-1.1099970900339999</v>
      </c>
      <c r="AE3351">
        <v>-4.4732000000000198</v>
      </c>
      <c r="AF3351">
        <v>-3.9170183726311198</v>
      </c>
      <c r="AG3351">
        <v>-1.1099970900339999</v>
      </c>
      <c r="AH3351">
        <v>17.795866635295098</v>
      </c>
      <c r="AI3351">
        <v>93.485905659566498</v>
      </c>
      <c r="AJ3351">
        <v>102.413338353516</v>
      </c>
      <c r="AK3351">
        <v>18.255629153020799</v>
      </c>
    </row>
    <row r="3352" spans="1:37" x14ac:dyDescent="0.2">
      <c r="A3352" t="str">
        <f>"20200111154132258"</f>
        <v>20200111154132258</v>
      </c>
      <c r="B3352" t="str">
        <f>"1578728492249445"</f>
        <v>1578728492249445</v>
      </c>
      <c r="C3352" t="s">
        <v>37</v>
      </c>
      <c r="D3352">
        <v>5.3866420000000002</v>
      </c>
      <c r="E3352">
        <v>0.44789390000000001</v>
      </c>
      <c r="F3352" t="s">
        <v>39</v>
      </c>
      <c r="G3352">
        <v>-353.7319</v>
      </c>
      <c r="H3352" s="1">
        <v>-3.0534389999999999E-6</v>
      </c>
      <c r="I3352">
        <v>137.46190000000001</v>
      </c>
      <c r="J3352">
        <v>-336.33519999999999</v>
      </c>
      <c r="K3352">
        <v>1.109996</v>
      </c>
      <c r="L3352">
        <v>141.9332</v>
      </c>
      <c r="M3352">
        <v>-0.99941679999999999</v>
      </c>
      <c r="N3352">
        <v>0</v>
      </c>
      <c r="O3352">
        <v>-3.040729E-2</v>
      </c>
      <c r="P3352">
        <v>-0.99028449999999901</v>
      </c>
      <c r="Q3352">
        <v>7.233726E-2</v>
      </c>
      <c r="R3352">
        <v>-0.1187597</v>
      </c>
      <c r="S3352">
        <v>-2.9552309999999999</v>
      </c>
      <c r="T3352">
        <v>-0.18404400000000001</v>
      </c>
      <c r="U3352">
        <v>-0.74351499999999904</v>
      </c>
      <c r="V3352">
        <v>-8.8576859999999993E-2</v>
      </c>
      <c r="W3352">
        <v>8.7783040000000007E-2</v>
      </c>
      <c r="X3352">
        <v>0.99219369999999996</v>
      </c>
      <c r="Y3352">
        <v>-0.2140505</v>
      </c>
      <c r="Z3352">
        <v>-4.69575299999999E-3</v>
      </c>
      <c r="AA3352">
        <v>0.97681130000000005</v>
      </c>
      <c r="AB3352">
        <v>58</v>
      </c>
      <c r="AC3352">
        <v>-17.396699999999999</v>
      </c>
      <c r="AD3352">
        <v>-1.1099990534389901</v>
      </c>
      <c r="AE3352">
        <v>-4.4712999999999798</v>
      </c>
      <c r="AF3352">
        <v>-3.92519192275486</v>
      </c>
      <c r="AG3352">
        <v>-1.1099990534389901</v>
      </c>
      <c r="AH3352">
        <v>17.457961253569401</v>
      </c>
      <c r="AI3352">
        <v>93.5496610861628</v>
      </c>
      <c r="AJ3352">
        <v>102.671482389989</v>
      </c>
      <c r="AK3352">
        <v>17.928180071056399</v>
      </c>
    </row>
    <row r="3353" spans="1:37" x14ac:dyDescent="0.2">
      <c r="A3353" t="str">
        <f>"20200111154132274"</f>
        <v>20200111154132274</v>
      </c>
      <c r="B3353" t="str">
        <f>"1578728492269943"</f>
        <v>1578728492269943</v>
      </c>
      <c r="C3353" t="s">
        <v>37</v>
      </c>
      <c r="D3353">
        <v>5.3724800000000004</v>
      </c>
      <c r="E3353">
        <v>0.44832269999999902</v>
      </c>
      <c r="F3353" t="s">
        <v>39</v>
      </c>
      <c r="G3353">
        <v>-353.91660000000002</v>
      </c>
      <c r="H3353" s="1">
        <v>-2.96848999999999E-6</v>
      </c>
      <c r="I3353">
        <v>137.49430000000001</v>
      </c>
      <c r="J3353">
        <v>-336.77499999999998</v>
      </c>
      <c r="K3353">
        <v>1.1099969999999999</v>
      </c>
      <c r="L3353">
        <v>141.91980000000001</v>
      </c>
      <c r="M3353">
        <v>-0.99941740000000001</v>
      </c>
      <c r="N3353">
        <v>0</v>
      </c>
      <c r="O3353">
        <v>-3.0383719999999999E-2</v>
      </c>
      <c r="P3353">
        <v>-0.98986319999999905</v>
      </c>
      <c r="Q3353">
        <v>6.9906940000000001E-2</v>
      </c>
      <c r="R3353">
        <v>-0.12362910000000001</v>
      </c>
      <c r="S3353">
        <v>-2.9536129999999998</v>
      </c>
      <c r="T3353">
        <v>-0.186477</v>
      </c>
      <c r="U3353">
        <v>-0.74571229999999999</v>
      </c>
      <c r="V3353">
        <v>-9.3479999999999994E-2</v>
      </c>
      <c r="W3353">
        <v>8.5356029999999999E-2</v>
      </c>
      <c r="X3353">
        <v>0.99195560000000005</v>
      </c>
      <c r="Y3353">
        <v>-0.21487249999999999</v>
      </c>
      <c r="Z3353">
        <v>-4.7868019999999997E-3</v>
      </c>
      <c r="AA3353">
        <v>0.97663040000000001</v>
      </c>
      <c r="AB3353">
        <v>58</v>
      </c>
      <c r="AC3353">
        <v>-17.1416</v>
      </c>
      <c r="AD3353">
        <v>-1.1099999684899999</v>
      </c>
      <c r="AE3353">
        <v>-4.4255000000000004</v>
      </c>
      <c r="AF3353">
        <v>-3.8872862475228098</v>
      </c>
      <c r="AG3353">
        <v>-1.1099999684899999</v>
      </c>
      <c r="AH3353">
        <v>17.200545384027301</v>
      </c>
      <c r="AI3353">
        <v>93.601753020788806</v>
      </c>
      <c r="AJ3353">
        <v>102.734789457616</v>
      </c>
      <c r="AK3353">
        <v>17.669234726161999</v>
      </c>
    </row>
    <row r="3354" spans="1:37" x14ac:dyDescent="0.2">
      <c r="A3354" t="str">
        <f>"20200111154132291"</f>
        <v>20200111154132291</v>
      </c>
      <c r="B3354" t="str">
        <f>"1578728492279701"</f>
        <v>1578728492279701</v>
      </c>
      <c r="C3354" t="s">
        <v>37</v>
      </c>
      <c r="D3354">
        <v>5.3977529999999998</v>
      </c>
      <c r="E3354">
        <v>0.44859389999999999</v>
      </c>
      <c r="F3354" t="s">
        <v>39</v>
      </c>
      <c r="G3354">
        <v>-353.66039999999998</v>
      </c>
      <c r="H3354" s="1">
        <v>-3.0612680000000002E-6</v>
      </c>
      <c r="I3354">
        <v>137.5907</v>
      </c>
      <c r="J3354">
        <v>-337.1934</v>
      </c>
      <c r="K3354">
        <v>1.109996</v>
      </c>
      <c r="L3354">
        <v>141.90710000000001</v>
      </c>
      <c r="M3354">
        <v>-0.99941829999999998</v>
      </c>
      <c r="N3354">
        <v>0</v>
      </c>
      <c r="O3354">
        <v>-3.035556E-2</v>
      </c>
      <c r="P3354">
        <v>-0.98970590000000003</v>
      </c>
      <c r="Q3354">
        <v>6.8746459999999995E-2</v>
      </c>
      <c r="R3354">
        <v>-0.12552539999999901</v>
      </c>
      <c r="S3354">
        <v>-2.9499209999999998</v>
      </c>
      <c r="T3354">
        <v>-0.193919799999999</v>
      </c>
      <c r="U3354">
        <v>-0.75630189999999997</v>
      </c>
      <c r="V3354">
        <v>-9.5407729999999996E-2</v>
      </c>
      <c r="W3354">
        <v>8.4200059999999993E-2</v>
      </c>
      <c r="X3354">
        <v>0.99187080000000005</v>
      </c>
      <c r="Y3354">
        <v>-0.21844539999999901</v>
      </c>
      <c r="Z3354">
        <v>-5.0986260000000002E-3</v>
      </c>
      <c r="AA3354">
        <v>0.97583589999999998</v>
      </c>
      <c r="AB3354">
        <v>58</v>
      </c>
      <c r="AC3354">
        <v>-16.466999999999899</v>
      </c>
      <c r="AD3354">
        <v>-1.109999061268</v>
      </c>
      <c r="AE3354">
        <v>-4.3164000000000096</v>
      </c>
      <c r="AF3354">
        <v>-3.7983357985084898</v>
      </c>
      <c r="AG3354">
        <v>-1.109999061268</v>
      </c>
      <c r="AH3354">
        <v>16.520214102497398</v>
      </c>
      <c r="AI3354">
        <v>93.746484742416101</v>
      </c>
      <c r="AJ3354">
        <v>102.948437987649</v>
      </c>
      <c r="AK3354">
        <v>16.987552111666901</v>
      </c>
    </row>
    <row r="3355" spans="1:37" x14ac:dyDescent="0.2">
      <c r="A3355" t="str">
        <f>"20200111154132308"</f>
        <v>20200111154132308</v>
      </c>
      <c r="B3355" t="str">
        <f>"1578728492299224"</f>
        <v>1578728492299224</v>
      </c>
      <c r="C3355" t="s">
        <v>37</v>
      </c>
      <c r="D3355">
        <v>5.3875070000000003</v>
      </c>
      <c r="E3355">
        <v>0.44865949999999999</v>
      </c>
      <c r="F3355" t="s">
        <v>39</v>
      </c>
      <c r="G3355">
        <v>-353.78910000000002</v>
      </c>
      <c r="H3355" s="1">
        <v>-2.9988889999999899E-6</v>
      </c>
      <c r="I3355">
        <v>137.63130000000001</v>
      </c>
      <c r="J3355">
        <v>-337.65499999999997</v>
      </c>
      <c r="K3355">
        <v>1.1099779999999999</v>
      </c>
      <c r="L3355">
        <v>141.8931</v>
      </c>
      <c r="M3355">
        <v>-0.99941950000000002</v>
      </c>
      <c r="N3355">
        <v>0</v>
      </c>
      <c r="O3355">
        <v>-3.030942E-2</v>
      </c>
      <c r="P3355">
        <v>-0.98958500000000005</v>
      </c>
      <c r="Q3355">
        <v>6.609806E-2</v>
      </c>
      <c r="R3355">
        <v>-0.12787809999999999</v>
      </c>
      <c r="S3355">
        <v>-2.948547</v>
      </c>
      <c r="T3355">
        <v>-0.19721320000000001</v>
      </c>
      <c r="U3355">
        <v>-0.75967410000000002</v>
      </c>
      <c r="V3355">
        <v>-9.7807530000000004E-2</v>
      </c>
      <c r="W3355">
        <v>8.1557969999999994E-2</v>
      </c>
      <c r="X3355">
        <v>0.99185780000000001</v>
      </c>
      <c r="Y3355">
        <v>-0.21963070000000001</v>
      </c>
      <c r="Z3355">
        <v>-5.228641E-3</v>
      </c>
      <c r="AA3355">
        <v>0.97556909999999897</v>
      </c>
      <c r="AB3355">
        <v>58</v>
      </c>
      <c r="AC3355">
        <v>-16.1341</v>
      </c>
      <c r="AD3355">
        <v>-1.1099809988889999</v>
      </c>
      <c r="AE3355">
        <v>-4.2617999999999903</v>
      </c>
      <c r="AF3355">
        <v>-3.7541574041647801</v>
      </c>
      <c r="AG3355">
        <v>-1.1099809988889999</v>
      </c>
      <c r="AH3355">
        <v>16.184269085165699</v>
      </c>
      <c r="AI3355">
        <v>93.822254698017503</v>
      </c>
      <c r="AJ3355">
        <v>103.059558864995</v>
      </c>
      <c r="AK3355">
        <v>16.651015628308901</v>
      </c>
    </row>
    <row r="3356" spans="1:37" x14ac:dyDescent="0.2">
      <c r="A3356" t="str">
        <f>"20200111154132323"</f>
        <v>20200111154132323</v>
      </c>
      <c r="B3356" t="str">
        <f>"1578728492319717"</f>
        <v>1578728492319717</v>
      </c>
      <c r="C3356" t="s">
        <v>37</v>
      </c>
      <c r="D3356">
        <v>5.3926769999999999</v>
      </c>
      <c r="E3356">
        <v>0.44876270000000001</v>
      </c>
      <c r="F3356" t="s">
        <v>39</v>
      </c>
      <c r="G3356">
        <v>-353.54930000000002</v>
      </c>
      <c r="H3356" s="1">
        <v>-3.0793619999999999E-6</v>
      </c>
      <c r="I3356">
        <v>137.75739999999999</v>
      </c>
      <c r="J3356">
        <v>-338.02870000000001</v>
      </c>
      <c r="K3356">
        <v>1.1099649999999901</v>
      </c>
      <c r="L3356">
        <v>141.8818</v>
      </c>
      <c r="M3356">
        <v>-0.99942119999999901</v>
      </c>
      <c r="N3356">
        <v>0</v>
      </c>
      <c r="O3356">
        <v>-3.0256870000000002E-2</v>
      </c>
      <c r="P3356">
        <v>-0.98957909999999905</v>
      </c>
      <c r="Q3356">
        <v>6.5049430000000005E-2</v>
      </c>
      <c r="R3356">
        <v>-0.12846009999999999</v>
      </c>
      <c r="S3356">
        <v>-2.9462890000000002</v>
      </c>
      <c r="T3356">
        <v>-0.20575450000000001</v>
      </c>
      <c r="U3356">
        <v>-0.76661679999999999</v>
      </c>
      <c r="V3356">
        <v>-9.8439230000000003E-2</v>
      </c>
      <c r="W3356">
        <v>8.0516169999999998E-2</v>
      </c>
      <c r="X3356">
        <v>0.99188050000000005</v>
      </c>
      <c r="Y3356">
        <v>-0.2219756</v>
      </c>
      <c r="Z3356">
        <v>-5.5410959999999997E-3</v>
      </c>
      <c r="AA3356">
        <v>0.97503649999999997</v>
      </c>
      <c r="AB3356">
        <v>58</v>
      </c>
      <c r="AC3356">
        <v>-15.5206</v>
      </c>
      <c r="AD3356">
        <v>-1.1099680793619999</v>
      </c>
      <c r="AE3356">
        <v>-4.1243999999999996</v>
      </c>
      <c r="AF3356">
        <v>-3.6354823577791602</v>
      </c>
      <c r="AG3356">
        <v>-1.1099680793619999</v>
      </c>
      <c r="AH3356">
        <v>15.5639472656844</v>
      </c>
      <c r="AI3356">
        <v>93.972653857226803</v>
      </c>
      <c r="AJ3356">
        <v>103.147618738131</v>
      </c>
      <c r="AK3356">
        <v>16.021398678015998</v>
      </c>
    </row>
    <row r="3357" spans="1:37" x14ac:dyDescent="0.2">
      <c r="A3357" t="str">
        <f>"20200111154132337"</f>
        <v>20200111154132337</v>
      </c>
      <c r="B3357" t="str">
        <f>"1578728492329478"</f>
        <v>1578728492329478</v>
      </c>
      <c r="C3357" t="s">
        <v>37</v>
      </c>
      <c r="D3357">
        <v>5.3925539999999996</v>
      </c>
      <c r="E3357">
        <v>0.44877020000000001</v>
      </c>
      <c r="F3357" t="s">
        <v>39</v>
      </c>
      <c r="G3357">
        <v>-353.45979999999997</v>
      </c>
      <c r="H3357" s="1">
        <v>-3.0994130000000001E-6</v>
      </c>
      <c r="I3357">
        <v>137.86089999999999</v>
      </c>
      <c r="J3357">
        <v>-338.40660000000003</v>
      </c>
      <c r="K3357">
        <v>1.109942</v>
      </c>
      <c r="L3357">
        <v>141.87039999999999</v>
      </c>
      <c r="M3357">
        <v>-0.99942369999999903</v>
      </c>
      <c r="N3357">
        <v>0</v>
      </c>
      <c r="O3357">
        <v>-3.0170860000000001E-2</v>
      </c>
      <c r="P3357">
        <v>-0.98959599999999903</v>
      </c>
      <c r="Q3357">
        <v>6.4156530000000003E-2</v>
      </c>
      <c r="R3357">
        <v>-0.12877730000000001</v>
      </c>
      <c r="S3357">
        <v>-2.945862</v>
      </c>
      <c r="T3357">
        <v>-0.21189820000000001</v>
      </c>
      <c r="U3357">
        <v>-0.76759339999999998</v>
      </c>
      <c r="V3357">
        <v>-9.8836469999999996E-2</v>
      </c>
      <c r="W3357">
        <v>7.9631640000000004E-2</v>
      </c>
      <c r="X3357">
        <v>0.99191240000000003</v>
      </c>
      <c r="Y3357">
        <v>-0.22236900000000001</v>
      </c>
      <c r="Z3357">
        <v>-5.7266840000000001E-3</v>
      </c>
      <c r="AA3357">
        <v>0.97494579999999997</v>
      </c>
      <c r="AB3357">
        <v>57</v>
      </c>
      <c r="AC3357">
        <v>-15.053199999999901</v>
      </c>
      <c r="AD3357">
        <v>-1.109945099413</v>
      </c>
      <c r="AE3357">
        <v>-4.0095000000000001</v>
      </c>
      <c r="AF3357">
        <v>-3.5355027597319402</v>
      </c>
      <c r="AG3357">
        <v>-1.109945099413</v>
      </c>
      <c r="AH3357">
        <v>15.0907197070973</v>
      </c>
      <c r="AI3357">
        <v>94.096095866017194</v>
      </c>
      <c r="AJ3357">
        <v>103.185627102712</v>
      </c>
      <c r="AK3357">
        <v>15.5390340486775</v>
      </c>
    </row>
    <row r="3358" spans="1:37" x14ac:dyDescent="0.2">
      <c r="A3358" t="str">
        <f>"20200111154132353"</f>
        <v>20200111154132353</v>
      </c>
      <c r="B3358" t="str">
        <f>"1578728492349973"</f>
        <v>1578728492349973</v>
      </c>
      <c r="C3358" t="s">
        <v>37</v>
      </c>
      <c r="D3358">
        <v>5.3781999999999996</v>
      </c>
      <c r="E3358">
        <v>0.44862380000000002</v>
      </c>
      <c r="F3358" t="s">
        <v>39</v>
      </c>
      <c r="G3358">
        <v>-353.64</v>
      </c>
      <c r="H3358" s="1">
        <v>-3.01613699999999E-6</v>
      </c>
      <c r="I3358">
        <v>137.89439999999999</v>
      </c>
      <c r="J3358">
        <v>-338.79919999999998</v>
      </c>
      <c r="K3358">
        <v>1.1099049999999999</v>
      </c>
      <c r="L3358">
        <v>141.8586</v>
      </c>
      <c r="M3358">
        <v>-0.99942710000000001</v>
      </c>
      <c r="N3358">
        <v>0</v>
      </c>
      <c r="O3358">
        <v>-3.0049849999999999E-2</v>
      </c>
      <c r="P3358">
        <v>-0.98966769999999904</v>
      </c>
      <c r="Q3358">
        <v>6.3151959999999993E-2</v>
      </c>
      <c r="R3358">
        <v>-0.12872320000000001</v>
      </c>
      <c r="S3358">
        <v>-2.9454349999999998</v>
      </c>
      <c r="T3358">
        <v>-0.214611</v>
      </c>
      <c r="U3358">
        <v>-0.76875309999999997</v>
      </c>
      <c r="V3358">
        <v>-9.8894419999999997E-2</v>
      </c>
      <c r="W3358">
        <v>7.8638639999999996E-2</v>
      </c>
      <c r="X3358">
        <v>0.99198580000000003</v>
      </c>
      <c r="Y3358">
        <v>-0.22286729999999999</v>
      </c>
      <c r="Z3358">
        <v>-5.8268269999999997E-3</v>
      </c>
      <c r="AA3358">
        <v>0.97483129999999996</v>
      </c>
      <c r="AB3358">
        <v>57</v>
      </c>
      <c r="AC3358">
        <v>-14.8408</v>
      </c>
      <c r="AD3358">
        <v>-1.1099080161370001</v>
      </c>
      <c r="AE3358">
        <v>-3.9641999999999999</v>
      </c>
      <c r="AF3358">
        <v>-3.4981288040671199</v>
      </c>
      <c r="AG3358">
        <v>-1.1099080161370001</v>
      </c>
      <c r="AH3358">
        <v>14.875573607173401</v>
      </c>
      <c r="AI3358">
        <v>94.154186709167305</v>
      </c>
      <c r="AJ3358">
        <v>103.233197977285</v>
      </c>
      <c r="AK3358">
        <v>15.321602105412</v>
      </c>
    </row>
    <row r="3359" spans="1:37" x14ac:dyDescent="0.2">
      <c r="A3359" t="str">
        <f>"20200111154132377"</f>
        <v>20200111154132377</v>
      </c>
      <c r="B3359" t="str">
        <f>"1578728492369493"</f>
        <v>1578728492369493</v>
      </c>
      <c r="C3359" t="s">
        <v>37</v>
      </c>
      <c r="D3359">
        <v>5.4066650000000003</v>
      </c>
      <c r="E3359">
        <v>0.44863350000000002</v>
      </c>
      <c r="F3359" t="s">
        <v>39</v>
      </c>
      <c r="G3359">
        <v>-353.7183</v>
      </c>
      <c r="H3359" s="1">
        <v>-2.9706689999999898E-6</v>
      </c>
      <c r="I3359">
        <v>137.9614</v>
      </c>
      <c r="J3359">
        <v>-339.39359999999999</v>
      </c>
      <c r="K3359">
        <v>1.109831</v>
      </c>
      <c r="L3359">
        <v>141.8409</v>
      </c>
      <c r="M3359">
        <v>-0.99943510000000002</v>
      </c>
      <c r="N3359">
        <v>0</v>
      </c>
      <c r="O3359">
        <v>-2.978954E-2</v>
      </c>
      <c r="P3359">
        <v>-0.98971939999999903</v>
      </c>
      <c r="Q3359">
        <v>6.2134309999999998E-2</v>
      </c>
      <c r="R3359">
        <v>-0.12882169999999901</v>
      </c>
      <c r="S3359">
        <v>-2.9452509999999998</v>
      </c>
      <c r="T3359">
        <v>-0.21911269999999999</v>
      </c>
      <c r="U3359">
        <v>-0.76934809999999998</v>
      </c>
      <c r="V3359">
        <v>-9.9237560000000002E-2</v>
      </c>
      <c r="W3359">
        <v>7.7640819999999999E-2</v>
      </c>
      <c r="X3359">
        <v>0.99203009999999903</v>
      </c>
      <c r="Y3359">
        <v>-0.22329829999999901</v>
      </c>
      <c r="Z3359">
        <v>-5.98367E-3</v>
      </c>
      <c r="AA3359">
        <v>0.97473180000000004</v>
      </c>
      <c r="AB3359">
        <v>57</v>
      </c>
      <c r="AC3359">
        <v>-14.3247</v>
      </c>
      <c r="AD3359">
        <v>-1.1098339706689999</v>
      </c>
      <c r="AE3359">
        <v>-3.8795000000000002</v>
      </c>
      <c r="AF3359">
        <v>-3.4318076162370401</v>
      </c>
      <c r="AG3359">
        <v>-1.1098339706689999</v>
      </c>
      <c r="AH3359">
        <v>14.3536509725029</v>
      </c>
      <c r="AI3359">
        <v>94.300613818556201</v>
      </c>
      <c r="AJ3359">
        <v>103.446397946291</v>
      </c>
      <c r="AK3359">
        <v>14.799876053458901</v>
      </c>
    </row>
    <row r="3360" spans="1:37" x14ac:dyDescent="0.2">
      <c r="A3360" t="str">
        <f>"20200111154132392"</f>
        <v>20200111154132392</v>
      </c>
      <c r="B3360" t="str">
        <f>"1578728492389013"</f>
        <v>1578728492389013</v>
      </c>
      <c r="C3360" t="s">
        <v>37</v>
      </c>
      <c r="D3360">
        <v>5.3886349999999998</v>
      </c>
      <c r="E3360">
        <v>0.44868619999999998</v>
      </c>
      <c r="F3360" t="s">
        <v>39</v>
      </c>
      <c r="G3360">
        <v>-354.0206</v>
      </c>
      <c r="H3360" s="1">
        <v>-2.83086E-6</v>
      </c>
      <c r="I3360">
        <v>138.0187</v>
      </c>
      <c r="J3360">
        <v>-339.78519999999997</v>
      </c>
      <c r="K3360">
        <v>1.109769</v>
      </c>
      <c r="L3360">
        <v>141.82929999999999</v>
      </c>
      <c r="M3360">
        <v>-0.99944200000000005</v>
      </c>
      <c r="N3360">
        <v>0</v>
      </c>
      <c r="O3360">
        <v>-2.9553019999999999E-2</v>
      </c>
      <c r="P3360">
        <v>-0.98974340000000005</v>
      </c>
      <c r="Q3360">
        <v>6.1730989999999999E-2</v>
      </c>
      <c r="R3360">
        <v>-0.12883059999999999</v>
      </c>
      <c r="S3360">
        <v>-2.9450069999999999</v>
      </c>
      <c r="T3360">
        <v>-0.2234563</v>
      </c>
      <c r="U3360">
        <v>-0.76956179999999996</v>
      </c>
      <c r="V3360">
        <v>-9.9469039999999995E-2</v>
      </c>
      <c r="W3360">
        <v>7.7253849999999999E-2</v>
      </c>
      <c r="X3360">
        <v>0.99203719999999995</v>
      </c>
      <c r="Y3360">
        <v>-0.223593399999999</v>
      </c>
      <c r="Z3360">
        <v>-6.1309839999999999E-3</v>
      </c>
      <c r="AA3360">
        <v>0.97466319999999995</v>
      </c>
      <c r="AB3360">
        <v>57</v>
      </c>
      <c r="AC3360">
        <v>-14.2354</v>
      </c>
      <c r="AD3360">
        <v>-1.10977183086</v>
      </c>
      <c r="AE3360">
        <v>-3.8105999999999902</v>
      </c>
      <c r="AF3360">
        <v>-3.36907850946884</v>
      </c>
      <c r="AG3360">
        <v>-1.10977183086</v>
      </c>
      <c r="AH3360">
        <v>14.260932820144699</v>
      </c>
      <c r="AI3360">
        <v>94.330986815258697</v>
      </c>
      <c r="AJ3360">
        <v>103.29214933460599</v>
      </c>
      <c r="AK3360">
        <v>14.6954580881378</v>
      </c>
    </row>
    <row r="3361" spans="1:37" x14ac:dyDescent="0.2">
      <c r="A3361" t="str">
        <f>"20200111154132409"</f>
        <v>20200111154132409</v>
      </c>
      <c r="B3361" t="str">
        <f>"1578728492399750"</f>
        <v>1578728492399750</v>
      </c>
      <c r="C3361" t="s">
        <v>37</v>
      </c>
      <c r="D3361">
        <v>5.4499500000000003</v>
      </c>
      <c r="E3361">
        <v>0.44863229999999998</v>
      </c>
      <c r="F3361" t="s">
        <v>39</v>
      </c>
      <c r="G3361">
        <v>-354.29610000000002</v>
      </c>
      <c r="H3361" s="1">
        <v>-2.7086869999999999E-6</v>
      </c>
      <c r="I3361">
        <v>138.041</v>
      </c>
      <c r="J3361">
        <v>-340.22899999999998</v>
      </c>
      <c r="K3361">
        <v>1.109685</v>
      </c>
      <c r="L3361">
        <v>141.81639999999999</v>
      </c>
      <c r="M3361">
        <v>-0.99945169999999905</v>
      </c>
      <c r="N3361">
        <v>0</v>
      </c>
      <c r="O3361">
        <v>-2.922549E-2</v>
      </c>
      <c r="P3361">
        <v>-0.98977169999999903</v>
      </c>
      <c r="Q3361">
        <v>5.9853759999999999E-2</v>
      </c>
      <c r="R3361">
        <v>-0.129498</v>
      </c>
      <c r="S3361">
        <v>-2.9450379999999998</v>
      </c>
      <c r="T3361">
        <v>-0.22523270000000001</v>
      </c>
      <c r="U3361">
        <v>-0.76884459999999999</v>
      </c>
      <c r="V3361">
        <v>-0.1004478</v>
      </c>
      <c r="W3361">
        <v>7.5398179999999995E-2</v>
      </c>
      <c r="X3361">
        <v>0.99208130000000005</v>
      </c>
      <c r="Y3361">
        <v>-0.22367870000000001</v>
      </c>
      <c r="Z3361">
        <v>-6.2074629999999999E-3</v>
      </c>
      <c r="AA3361">
        <v>0.97464319999999904</v>
      </c>
      <c r="AB3361">
        <v>57</v>
      </c>
      <c r="AC3361">
        <v>-14.0670999999999</v>
      </c>
      <c r="AD3361">
        <v>-1.1096877086870001</v>
      </c>
      <c r="AE3361">
        <v>-3.7753999999999901</v>
      </c>
      <c r="AF3361">
        <v>-3.3432126550554702</v>
      </c>
      <c r="AG3361">
        <v>-1.1096877086870001</v>
      </c>
      <c r="AH3361">
        <v>14.0896537369533</v>
      </c>
      <c r="AI3361">
        <v>94.382086912472005</v>
      </c>
      <c r="AJ3361">
        <v>103.348361342676</v>
      </c>
      <c r="AK3361">
        <v>14.5233198716745</v>
      </c>
    </row>
    <row r="3362" spans="1:37" x14ac:dyDescent="0.2">
      <c r="A3362" t="str">
        <f>"20200111154132430"</f>
        <v>20200111154132430</v>
      </c>
      <c r="B3362" t="str">
        <f>"1578728492419269"</f>
        <v>1578728492419269</v>
      </c>
      <c r="C3362" t="s">
        <v>37</v>
      </c>
      <c r="D3362">
        <v>5.3763339999999999</v>
      </c>
      <c r="E3362">
        <v>0.44860459999999902</v>
      </c>
      <c r="F3362" t="s">
        <v>39</v>
      </c>
      <c r="G3362">
        <v>-354.2885</v>
      </c>
      <c r="H3362" s="1">
        <v>-2.6948539999999998E-6</v>
      </c>
      <c r="I3362">
        <v>138.13749999999999</v>
      </c>
      <c r="J3362">
        <v>-340.7747</v>
      </c>
      <c r="K3362">
        <v>1.1095759999999999</v>
      </c>
      <c r="L3362">
        <v>141.80080000000001</v>
      </c>
      <c r="M3362">
        <v>-0.99946610000000002</v>
      </c>
      <c r="N3362">
        <v>0</v>
      </c>
      <c r="O3362">
        <v>-2.872773E-2</v>
      </c>
      <c r="P3362">
        <v>-0.98971699999999996</v>
      </c>
      <c r="Q3362">
        <v>5.8712239999999999E-2</v>
      </c>
      <c r="R3362">
        <v>-0.13043589999999999</v>
      </c>
      <c r="S3362">
        <v>-2.9442750000000002</v>
      </c>
      <c r="T3362">
        <v>-0.23238609999999901</v>
      </c>
      <c r="U3362">
        <v>-0.77041630000000005</v>
      </c>
      <c r="V3362">
        <v>-0.1018627</v>
      </c>
      <c r="W3362">
        <v>7.4285039999999997E-2</v>
      </c>
      <c r="X3362">
        <v>0.99202099999999904</v>
      </c>
      <c r="Y3362">
        <v>-0.22467390000000001</v>
      </c>
      <c r="Z3362">
        <v>-6.4822930000000001E-3</v>
      </c>
      <c r="AA3362">
        <v>0.97441239999999996</v>
      </c>
      <c r="AB3362">
        <v>57</v>
      </c>
      <c r="AC3362">
        <v>-13.5138</v>
      </c>
      <c r="AD3362">
        <v>-1.1095786948540001</v>
      </c>
      <c r="AE3362">
        <v>-3.66330000000002</v>
      </c>
      <c r="AF3362">
        <v>-3.25309016824641</v>
      </c>
      <c r="AG3362">
        <v>-1.1095786948540001</v>
      </c>
      <c r="AH3362">
        <v>13.528511917149499</v>
      </c>
      <c r="AI3362">
        <v>94.559386174964203</v>
      </c>
      <c r="AJ3362">
        <v>103.52074816819101</v>
      </c>
      <c r="AK3362">
        <v>13.9583091818197</v>
      </c>
    </row>
    <row r="3363" spans="1:37" x14ac:dyDescent="0.2">
      <c r="A3363" t="str">
        <f>"20200111154132446"</f>
        <v>20200111154132446</v>
      </c>
      <c r="B3363" t="str">
        <f>"1578728492439765"</f>
        <v>1578728492439765</v>
      </c>
      <c r="C3363" t="s">
        <v>37</v>
      </c>
      <c r="D3363">
        <v>5.4574610000000003</v>
      </c>
      <c r="E3363">
        <v>0.44865729999999998</v>
      </c>
      <c r="F3363" t="s">
        <v>39</v>
      </c>
      <c r="G3363">
        <v>-354.57119999999998</v>
      </c>
      <c r="H3363" s="1">
        <v>-2.5665879999999998E-6</v>
      </c>
      <c r="I3363">
        <v>138.17679999999999</v>
      </c>
      <c r="J3363">
        <v>-341.18049999999999</v>
      </c>
      <c r="K3363">
        <v>1.10949599999999</v>
      </c>
      <c r="L3363">
        <v>141.7894</v>
      </c>
      <c r="M3363">
        <v>-0.99947819999999898</v>
      </c>
      <c r="N3363">
        <v>0</v>
      </c>
      <c r="O3363">
        <v>-2.82998E-2</v>
      </c>
      <c r="P3363">
        <v>-0.98970769999999997</v>
      </c>
      <c r="Q3363">
        <v>5.830896E-2</v>
      </c>
      <c r="R3363">
        <v>-0.13068659999999899</v>
      </c>
      <c r="S3363">
        <v>-2.9433289999999999</v>
      </c>
      <c r="T3363">
        <v>-0.23671809999999999</v>
      </c>
      <c r="U3363">
        <v>-0.773117099999999</v>
      </c>
      <c r="V3363">
        <v>-0.10252449999999901</v>
      </c>
      <c r="W3363">
        <v>7.3903189999999994E-2</v>
      </c>
      <c r="X3363">
        <v>0.99198140000000001</v>
      </c>
      <c r="Y3363">
        <v>-0.22597729999999899</v>
      </c>
      <c r="Z3363">
        <v>-6.6892499999999999E-3</v>
      </c>
      <c r="AA3363">
        <v>0.97410959999999902</v>
      </c>
      <c r="AB3363">
        <v>57</v>
      </c>
      <c r="AC3363">
        <v>-13.390699999999899</v>
      </c>
      <c r="AD3363">
        <v>-1.10949856658799</v>
      </c>
      <c r="AE3363">
        <v>-3.6126000000000098</v>
      </c>
      <c r="AF3363">
        <v>-3.2116005464551001</v>
      </c>
      <c r="AG3363">
        <v>-1.10949856658799</v>
      </c>
      <c r="AH3363">
        <v>13.401820976795999</v>
      </c>
      <c r="AI3363">
        <v>94.602827708935706</v>
      </c>
      <c r="AJ3363">
        <v>103.47618074717001</v>
      </c>
      <c r="AK3363">
        <v>13.825851533751599</v>
      </c>
    </row>
    <row r="3364" spans="1:37" x14ac:dyDescent="0.2">
      <c r="A3364" t="str">
        <f>"20200111154132460"</f>
        <v>20200111154132460</v>
      </c>
      <c r="B3364" t="str">
        <f>"1578728492449525"</f>
        <v>1578728492449525</v>
      </c>
      <c r="C3364" t="s">
        <v>37</v>
      </c>
      <c r="D3364">
        <v>5.2738300000000002</v>
      </c>
      <c r="E3364">
        <v>0.44865729999999998</v>
      </c>
      <c r="F3364" t="s">
        <v>39</v>
      </c>
      <c r="G3364">
        <v>-354.91680000000002</v>
      </c>
      <c r="H3364" s="1">
        <v>-2.4179510000000001E-6</v>
      </c>
      <c r="I3364">
        <v>138.1788</v>
      </c>
      <c r="J3364">
        <v>-341.5446</v>
      </c>
      <c r="K3364">
        <v>1.1094219999999999</v>
      </c>
      <c r="L3364">
        <v>141.77930000000001</v>
      </c>
      <c r="M3364">
        <v>-0.99949030000000005</v>
      </c>
      <c r="N3364">
        <v>0</v>
      </c>
      <c r="O3364">
        <v>-2.7871670000000001E-2</v>
      </c>
      <c r="P3364">
        <v>-0.98965259999999999</v>
      </c>
      <c r="Q3364">
        <v>5.849915E-2</v>
      </c>
      <c r="R3364">
        <v>-0.13101869999999999</v>
      </c>
      <c r="S3364">
        <v>-2.9430540000000001</v>
      </c>
      <c r="T3364">
        <v>-0.237714799999999</v>
      </c>
      <c r="U3364">
        <v>-0.77355959999999901</v>
      </c>
      <c r="V3364">
        <v>-0.10327020000000001</v>
      </c>
      <c r="W3364">
        <v>7.4111940000000001E-2</v>
      </c>
      <c r="X3364">
        <v>0.99188849999999995</v>
      </c>
      <c r="Y3364">
        <v>-0.22654569999999999</v>
      </c>
      <c r="Z3364">
        <v>-6.7742269999999999E-3</v>
      </c>
      <c r="AA3364">
        <v>0.97397699999999998</v>
      </c>
      <c r="AB3364">
        <v>57</v>
      </c>
      <c r="AC3364">
        <v>-13.372199999999999</v>
      </c>
      <c r="AD3364">
        <v>-1.109424417951</v>
      </c>
      <c r="AE3364">
        <v>-3.60050000000001</v>
      </c>
      <c r="AF3364">
        <v>-3.2057758107718302</v>
      </c>
      <c r="AG3364">
        <v>-1.109424417951</v>
      </c>
      <c r="AH3364">
        <v>13.3814866967233</v>
      </c>
      <c r="AI3364">
        <v>94.609559193736402</v>
      </c>
      <c r="AJ3364">
        <v>103.472326478854</v>
      </c>
      <c r="AK3364">
        <v>13.8047820447358</v>
      </c>
    </row>
    <row r="3365" spans="1:37" x14ac:dyDescent="0.2">
      <c r="A3365" t="str">
        <f>"20200111154132477"</f>
        <v>20200111154132477</v>
      </c>
      <c r="B3365" t="str">
        <f>"1578728492469048"</f>
        <v>1578728492469048</v>
      </c>
      <c r="C3365" t="s">
        <v>37</v>
      </c>
      <c r="D3365">
        <v>5.6088259999999996</v>
      </c>
      <c r="E3365">
        <v>0.5005212</v>
      </c>
      <c r="F3365" t="s">
        <v>39</v>
      </c>
      <c r="G3365">
        <v>-355.3254</v>
      </c>
      <c r="H3365" s="1">
        <v>-2.2474840000000001E-6</v>
      </c>
      <c r="I3365">
        <v>138.15180000000001</v>
      </c>
      <c r="J3365">
        <v>-341.9624</v>
      </c>
      <c r="K3365">
        <v>1.1093389999999901</v>
      </c>
      <c r="L3365">
        <v>141.7679</v>
      </c>
      <c r="M3365">
        <v>-0.99950509999999904</v>
      </c>
      <c r="N3365">
        <v>0</v>
      </c>
      <c r="O3365">
        <v>-2.7329679999999999E-2</v>
      </c>
      <c r="P3365">
        <v>-0.98954580000000003</v>
      </c>
      <c r="Q3365">
        <v>5.88447E-2</v>
      </c>
      <c r="R3365">
        <v>-0.13166839999999999</v>
      </c>
      <c r="S3365">
        <v>-2.942841</v>
      </c>
      <c r="T3365">
        <v>-0.23691519999999999</v>
      </c>
      <c r="U3365">
        <v>-0.77462769999999903</v>
      </c>
      <c r="V3365">
        <v>-0.1044455</v>
      </c>
      <c r="W3365">
        <v>7.4478089999999997E-2</v>
      </c>
      <c r="X3365">
        <v>0.99173799999999901</v>
      </c>
      <c r="Y3365">
        <v>-0.2274214</v>
      </c>
      <c r="Z3365">
        <v>-6.8290440000000003E-3</v>
      </c>
      <c r="AA3365">
        <v>0.97377250000000004</v>
      </c>
      <c r="AB3365">
        <v>57</v>
      </c>
      <c r="AC3365">
        <v>-13.363</v>
      </c>
      <c r="AD3365">
        <v>-1.1093412474840001</v>
      </c>
      <c r="AE3365">
        <v>-3.6160999999999799</v>
      </c>
      <c r="AF3365">
        <v>-3.22876490064073</v>
      </c>
      <c r="AG3365">
        <v>-1.1093412474840001</v>
      </c>
      <c r="AH3365">
        <v>13.3709855794572</v>
      </c>
      <c r="AI3365">
        <v>94.610827906458198</v>
      </c>
      <c r="AJ3365">
        <v>103.57563996672</v>
      </c>
      <c r="AK3365">
        <v>13.7999571069272</v>
      </c>
    </row>
    <row r="3366" spans="1:37" x14ac:dyDescent="0.2">
      <c r="A3366" t="str">
        <f>"20200111154132498"</f>
        <v>20200111154132498</v>
      </c>
      <c r="B3366" t="str">
        <f>"1578728492489541"</f>
        <v>1578728492489541</v>
      </c>
      <c r="C3366" t="s">
        <v>37</v>
      </c>
      <c r="D3366">
        <v>5.4354829999999996</v>
      </c>
      <c r="E3366">
        <v>0.5113934</v>
      </c>
      <c r="F3366" t="s">
        <v>39</v>
      </c>
      <c r="G3366">
        <v>-360.75049999999999</v>
      </c>
      <c r="H3366" s="1">
        <v>-3.9802630000000003E-6</v>
      </c>
      <c r="I3366">
        <v>139.44730000000001</v>
      </c>
      <c r="J3366">
        <v>-342.50779999999997</v>
      </c>
      <c r="K3366">
        <v>1.109237</v>
      </c>
      <c r="L3366">
        <v>141.7534</v>
      </c>
      <c r="M3366">
        <v>-0.99952580000000002</v>
      </c>
      <c r="N3366">
        <v>0</v>
      </c>
      <c r="O3366">
        <v>-2.6562530000000001E-2</v>
      </c>
      <c r="P3366">
        <v>-0.98955179999999998</v>
      </c>
      <c r="Q3366">
        <v>5.872749E-2</v>
      </c>
      <c r="R3366">
        <v>-0.1316753</v>
      </c>
      <c r="S3366">
        <v>-2.9930110000000001</v>
      </c>
      <c r="T3366">
        <v>-0.17672199999999999</v>
      </c>
      <c r="U3366">
        <v>-0.36967470000000002</v>
      </c>
      <c r="V3366">
        <v>-0.1051952</v>
      </c>
      <c r="W3366">
        <v>7.4387270000000005E-2</v>
      </c>
      <c r="X3366">
        <v>0.99166549999999998</v>
      </c>
      <c r="Y3366">
        <v>-9.6053379999999994E-2</v>
      </c>
      <c r="Z3366">
        <v>-1.2620509999999999E-3</v>
      </c>
      <c r="AA3366">
        <v>0.99537540000000002</v>
      </c>
      <c r="AB3366">
        <v>57</v>
      </c>
      <c r="AC3366">
        <v>-18.242699999999999</v>
      </c>
      <c r="AD3366">
        <v>-1.1092409802630001</v>
      </c>
      <c r="AE3366">
        <v>-2.3060999999999798</v>
      </c>
      <c r="AF3366">
        <v>-1.8140536091650501</v>
      </c>
      <c r="AG3366">
        <v>-1.1092409802630001</v>
      </c>
      <c r="AH3366">
        <v>18.231180616196301</v>
      </c>
      <c r="AI3366">
        <v>93.464691557548804</v>
      </c>
      <c r="AJ3366">
        <v>95.682386625500996</v>
      </c>
      <c r="AK3366">
        <v>18.354758312481099</v>
      </c>
    </row>
    <row r="3367" spans="1:37" x14ac:dyDescent="0.2">
      <c r="A3367" t="str">
        <f>"20200111154132514"</f>
        <v>20200111154132514</v>
      </c>
      <c r="B3367" t="str">
        <f>"1578728492509063"</f>
        <v>1578728492509063</v>
      </c>
      <c r="C3367" t="s">
        <v>37</v>
      </c>
      <c r="D3367">
        <v>6.6986289999999897</v>
      </c>
      <c r="E3367">
        <v>0.5139918</v>
      </c>
      <c r="F3367" t="s">
        <v>39</v>
      </c>
      <c r="G3367">
        <v>-360.51859999999999</v>
      </c>
      <c r="H3367" s="1">
        <v>-4.1668219999999998E-6</v>
      </c>
      <c r="I3367">
        <v>140.05600000000001</v>
      </c>
      <c r="J3367">
        <v>-342.91860000000003</v>
      </c>
      <c r="K3367">
        <v>1.109159</v>
      </c>
      <c r="L3367">
        <v>141.74279999999999</v>
      </c>
      <c r="M3367">
        <v>-0.99954209999999999</v>
      </c>
      <c r="N3367">
        <v>0</v>
      </c>
      <c r="O3367">
        <v>-2.5942170000000001E-2</v>
      </c>
      <c r="P3367">
        <v>-0.98957280000000003</v>
      </c>
      <c r="Q3367">
        <v>5.8295909999999999E-2</v>
      </c>
      <c r="R3367">
        <v>-0.131708399999999</v>
      </c>
      <c r="S3367">
        <v>-3.0049739999999998</v>
      </c>
      <c r="T3367">
        <v>-0.18507000000000001</v>
      </c>
      <c r="U3367">
        <v>-0.28318789999999999</v>
      </c>
      <c r="V3367">
        <v>-0.1058316</v>
      </c>
      <c r="W3367">
        <v>7.3974999999999999E-2</v>
      </c>
      <c r="X3367">
        <v>0.99162859999999997</v>
      </c>
      <c r="Y3367">
        <v>-6.7882819999999996E-2</v>
      </c>
      <c r="Z3367">
        <v>-4.9153059999999999E-4</v>
      </c>
      <c r="AA3367">
        <v>0.99769319999999895</v>
      </c>
      <c r="AB3367">
        <v>57</v>
      </c>
      <c r="AC3367">
        <v>-17.599999999999898</v>
      </c>
      <c r="AD3367">
        <v>-1.1091631668219999</v>
      </c>
      <c r="AE3367">
        <v>-1.6867999999999701</v>
      </c>
      <c r="AF3367">
        <v>-1.22477453693</v>
      </c>
      <c r="AG3367">
        <v>-1.1091631668219999</v>
      </c>
      <c r="AH3367">
        <v>17.5686990000486</v>
      </c>
      <c r="AI3367">
        <v>93.603731900037303</v>
      </c>
      <c r="AJ3367">
        <v>93.987834298503103</v>
      </c>
      <c r="AK3367">
        <v>17.6462318966758</v>
      </c>
    </row>
    <row r="3368" spans="1:37" x14ac:dyDescent="0.2">
      <c r="A3368" t="str">
        <f>"20200111154132531"</f>
        <v>20200111154132531</v>
      </c>
      <c r="B3368" t="str">
        <f>"1578728492519797"</f>
        <v>1578728492519797</v>
      </c>
      <c r="C3368" t="s">
        <v>37</v>
      </c>
      <c r="D3368">
        <v>5.4734769999999999</v>
      </c>
      <c r="E3368">
        <v>0.51450099999999999</v>
      </c>
      <c r="F3368" t="s">
        <v>39</v>
      </c>
      <c r="G3368">
        <v>-360.58460000000002</v>
      </c>
      <c r="H3368" s="1">
        <v>-4.177014E-6</v>
      </c>
      <c r="I3368">
        <v>140.20079999999999</v>
      </c>
      <c r="J3368">
        <v>-343.3417</v>
      </c>
      <c r="K3368">
        <v>1.109078</v>
      </c>
      <c r="L3368">
        <v>141.7321</v>
      </c>
      <c r="M3368">
        <v>-0.99955919999999898</v>
      </c>
      <c r="N3368">
        <v>0</v>
      </c>
      <c r="O3368">
        <v>-2.5275849999999999E-2</v>
      </c>
      <c r="P3368">
        <v>-0.98967669999999996</v>
      </c>
      <c r="Q3368">
        <v>5.7149980000000003E-2</v>
      </c>
      <c r="R3368">
        <v>-0.13143070000000001</v>
      </c>
      <c r="S3368">
        <v>-3.0077509999999998</v>
      </c>
      <c r="T3368">
        <v>-0.18884279999999901</v>
      </c>
      <c r="U3368">
        <v>-0.26252750000000002</v>
      </c>
      <c r="V3368">
        <v>-0.1062022</v>
      </c>
      <c r="W3368">
        <v>7.2848419999999997E-2</v>
      </c>
      <c r="X3368">
        <v>0.99167249999999996</v>
      </c>
      <c r="Y3368">
        <v>-6.167098E-2</v>
      </c>
      <c r="Z3368">
        <v>-3.484305E-4</v>
      </c>
      <c r="AA3368">
        <v>0.99809650000000005</v>
      </c>
      <c r="AB3368">
        <v>57</v>
      </c>
      <c r="AC3368">
        <v>-17.242899999999999</v>
      </c>
      <c r="AD3368">
        <v>-1.109082177014</v>
      </c>
      <c r="AE3368">
        <v>-1.5313000000000101</v>
      </c>
      <c r="AF3368">
        <v>-1.0904527154172301</v>
      </c>
      <c r="AG3368">
        <v>-1.109082177014</v>
      </c>
      <c r="AH3368">
        <v>17.205473883106499</v>
      </c>
      <c r="AI3368">
        <v>93.6808759209556</v>
      </c>
      <c r="AJ3368">
        <v>93.626455478440107</v>
      </c>
      <c r="AK3368">
        <v>17.275632606136</v>
      </c>
    </row>
    <row r="3369" spans="1:37" x14ac:dyDescent="0.2">
      <c r="A3369" t="str">
        <f>"20200111154132548"</f>
        <v>20200111154132548</v>
      </c>
      <c r="B3369" t="str">
        <f>"1578728492539318"</f>
        <v>1578728492539318</v>
      </c>
      <c r="C3369" t="s">
        <v>37</v>
      </c>
      <c r="D3369">
        <v>5.4672929999999997</v>
      </c>
      <c r="E3369">
        <v>0.51542600000000005</v>
      </c>
      <c r="F3369" t="s">
        <v>39</v>
      </c>
      <c r="G3369">
        <v>-360.77670000000001</v>
      </c>
      <c r="H3369" s="1">
        <v>-4.1041289999999902E-6</v>
      </c>
      <c r="I3369">
        <v>140.23660000000001</v>
      </c>
      <c r="J3369">
        <v>-343.7663</v>
      </c>
      <c r="K3369">
        <v>1.109008</v>
      </c>
      <c r="L3369">
        <v>141.7217</v>
      </c>
      <c r="M3369">
        <v>-0.99957659999999904</v>
      </c>
      <c r="N3369">
        <v>0</v>
      </c>
      <c r="O3369">
        <v>-2.4584950000000001E-2</v>
      </c>
      <c r="P3369">
        <v>-0.98979200000000001</v>
      </c>
      <c r="Q3369">
        <v>5.654547E-2</v>
      </c>
      <c r="R3369">
        <v>-0.13082439999999901</v>
      </c>
      <c r="S3369">
        <v>-3.00808699999999</v>
      </c>
      <c r="T3369">
        <v>-0.191353</v>
      </c>
      <c r="U3369">
        <v>-0.25802609999999998</v>
      </c>
      <c r="V3369">
        <v>-0.10626919999999999</v>
      </c>
      <c r="W3369">
        <v>7.2261080000000005E-2</v>
      </c>
      <c r="X3369">
        <v>0.99170820000000004</v>
      </c>
      <c r="Y3369">
        <v>-6.0867070000000002E-2</v>
      </c>
      <c r="Z3369">
        <v>-3.7132929999999999E-4</v>
      </c>
      <c r="AA3369">
        <v>0.99814579999999997</v>
      </c>
      <c r="AB3369">
        <v>57</v>
      </c>
      <c r="AC3369">
        <v>-17.010400000000001</v>
      </c>
      <c r="AD3369">
        <v>-1.109012104129</v>
      </c>
      <c r="AE3369">
        <v>-1.4850999999999801</v>
      </c>
      <c r="AF3369">
        <v>-1.06192093776598</v>
      </c>
      <c r="AG3369">
        <v>-1.109012104129</v>
      </c>
      <c r="AH3369">
        <v>16.970186091268101</v>
      </c>
      <c r="AI3369">
        <v>93.731719428304999</v>
      </c>
      <c r="AJ3369">
        <v>93.580653638435805</v>
      </c>
      <c r="AK3369">
        <v>17.039507032113299</v>
      </c>
    </row>
    <row r="3370" spans="1:37" x14ac:dyDescent="0.2">
      <c r="A3370" t="str">
        <f>"20200111154132564"</f>
        <v>20200111154132564</v>
      </c>
      <c r="B3370" t="str">
        <f>"1578728492559813"</f>
        <v>1578728492559813</v>
      </c>
      <c r="C3370" t="s">
        <v>37</v>
      </c>
      <c r="D3370">
        <v>5.4551210000000001</v>
      </c>
      <c r="E3370">
        <v>0.51597040000000005</v>
      </c>
      <c r="F3370" t="s">
        <v>39</v>
      </c>
      <c r="G3370">
        <v>-361.10480000000001</v>
      </c>
      <c r="H3370" s="1">
        <v>-3.9768620000000002E-6</v>
      </c>
      <c r="I3370">
        <v>140.28729999999999</v>
      </c>
      <c r="J3370">
        <v>-344.20269999999999</v>
      </c>
      <c r="K3370">
        <v>1.1089370000000001</v>
      </c>
      <c r="L3370">
        <v>141.71129999999999</v>
      </c>
      <c r="M3370">
        <v>-0.99959419999999899</v>
      </c>
      <c r="N3370">
        <v>0</v>
      </c>
      <c r="O3370">
        <v>-2.385632E-2</v>
      </c>
      <c r="P3370">
        <v>-0.98994099999999996</v>
      </c>
      <c r="Q3370">
        <v>5.5545150000000001E-2</v>
      </c>
      <c r="R3370">
        <v>-0.13012209999999999</v>
      </c>
      <c r="S3370">
        <v>-3.0090330000000001</v>
      </c>
      <c r="T3370">
        <v>-0.19246489999999999</v>
      </c>
      <c r="U3370">
        <v>-0.24891659999999999</v>
      </c>
      <c r="V3370">
        <v>-0.1062781</v>
      </c>
      <c r="W3370">
        <v>7.1276560000000003E-2</v>
      </c>
      <c r="X3370">
        <v>0.99177850000000001</v>
      </c>
      <c r="Y3370">
        <v>-5.8569639999999999E-2</v>
      </c>
      <c r="Z3370">
        <v>-3.4657390000000001E-4</v>
      </c>
      <c r="AA3370">
        <v>0.99828329999999998</v>
      </c>
      <c r="AB3370">
        <v>57</v>
      </c>
      <c r="AC3370">
        <v>-16.902100000000001</v>
      </c>
      <c r="AD3370">
        <v>-1.108940976862</v>
      </c>
      <c r="AE3370">
        <v>-1.4239999999999999</v>
      </c>
      <c r="AF3370">
        <v>-1.0159812635485199</v>
      </c>
      <c r="AG3370">
        <v>-1.108940976862</v>
      </c>
      <c r="AH3370">
        <v>16.859202882391401</v>
      </c>
      <c r="AI3370">
        <v>93.756504903364601</v>
      </c>
      <c r="AJ3370">
        <v>93.448628339218104</v>
      </c>
      <c r="AK3370">
        <v>16.9261540181957</v>
      </c>
    </row>
    <row r="3371" spans="1:37" x14ac:dyDescent="0.2">
      <c r="A3371" t="str">
        <f>"20200111154132588"</f>
        <v>20200111154132588</v>
      </c>
      <c r="B3371" t="str">
        <f>"1578728492579332"</f>
        <v>1578728492579332</v>
      </c>
      <c r="C3371" t="s">
        <v>37</v>
      </c>
      <c r="D3371">
        <v>5.3923550000000002</v>
      </c>
      <c r="E3371">
        <v>0.5163702</v>
      </c>
      <c r="F3371" t="s">
        <v>39</v>
      </c>
      <c r="G3371">
        <v>-360.78530000000001</v>
      </c>
      <c r="H3371" s="1">
        <v>-4.1373000000000002E-6</v>
      </c>
      <c r="I3371">
        <v>140.3751</v>
      </c>
      <c r="J3371">
        <v>-344.79390000000001</v>
      </c>
      <c r="K3371">
        <v>1.1088549999999999</v>
      </c>
      <c r="L3371">
        <v>141.6977</v>
      </c>
      <c r="M3371">
        <v>-0.9996178</v>
      </c>
      <c r="N3371">
        <v>0</v>
      </c>
      <c r="O3371">
        <v>-2.2846890000000002E-2</v>
      </c>
      <c r="P3371">
        <v>-0.99006740000000004</v>
      </c>
      <c r="Q3371">
        <v>5.4661689999999999E-2</v>
      </c>
      <c r="R3371">
        <v>-0.12953310000000001</v>
      </c>
      <c r="S3371">
        <v>-3.0098569999999998</v>
      </c>
      <c r="T3371">
        <v>-0.2012815</v>
      </c>
      <c r="U3371">
        <v>-0.242507899999999</v>
      </c>
      <c r="V3371">
        <v>-0.1066781</v>
      </c>
      <c r="W3371">
        <v>7.0412329999999995E-2</v>
      </c>
      <c r="X3371">
        <v>0.99179729999999999</v>
      </c>
      <c r="Y3371">
        <v>-5.7437439999999999E-2</v>
      </c>
      <c r="Z3371">
        <v>-3.9186739999999998E-4</v>
      </c>
      <c r="AA3371">
        <v>0.99834899999999904</v>
      </c>
      <c r="AB3371">
        <v>57</v>
      </c>
      <c r="AC3371">
        <v>-15.991400000000001</v>
      </c>
      <c r="AD3371">
        <v>-1.1088591373000001</v>
      </c>
      <c r="AE3371">
        <v>-1.32259999999999</v>
      </c>
      <c r="AF3371">
        <v>-0.95230890889718101</v>
      </c>
      <c r="AG3371">
        <v>-1.1088591373000001</v>
      </c>
      <c r="AH3371">
        <v>15.9413179887231</v>
      </c>
      <c r="AI3371">
        <v>93.971958922549206</v>
      </c>
      <c r="AJ3371">
        <v>93.418695599242994</v>
      </c>
      <c r="AK3371">
        <v>16.008187906878302</v>
      </c>
    </row>
    <row r="3372" spans="1:37" x14ac:dyDescent="0.2">
      <c r="A3372" t="str">
        <f>"20200111154132603"</f>
        <v>20200111154132603</v>
      </c>
      <c r="B3372" t="str">
        <f>"1578728492599829"</f>
        <v>1578728492599829</v>
      </c>
      <c r="C3372" t="s">
        <v>37</v>
      </c>
      <c r="D3372">
        <v>5.4232940000000003</v>
      </c>
      <c r="E3372">
        <v>0.51669169999999998</v>
      </c>
      <c r="F3372" t="s">
        <v>39</v>
      </c>
      <c r="G3372">
        <v>-360.68790000000001</v>
      </c>
      <c r="H3372" s="1">
        <v>-4.1889790000000001E-6</v>
      </c>
      <c r="I3372">
        <v>140.4452</v>
      </c>
      <c r="J3372">
        <v>-345.1773</v>
      </c>
      <c r="K3372">
        <v>1.108808</v>
      </c>
      <c r="L3372">
        <v>141.6891</v>
      </c>
      <c r="M3372">
        <v>-0.99963269999999904</v>
      </c>
      <c r="N3372">
        <v>0</v>
      </c>
      <c r="O3372">
        <v>-2.2184240000000001E-2</v>
      </c>
      <c r="P3372">
        <v>-0.99010319999999996</v>
      </c>
      <c r="Q3372">
        <v>5.4574930000000001E-2</v>
      </c>
      <c r="R3372">
        <v>-0.12929579999999999</v>
      </c>
      <c r="S3372">
        <v>-3.01065099999999</v>
      </c>
      <c r="T3372">
        <v>-0.21004120000000001</v>
      </c>
      <c r="U3372">
        <v>-0.23722840000000001</v>
      </c>
      <c r="V3372">
        <v>-0.10709109999999999</v>
      </c>
      <c r="W3372">
        <v>7.0336700000000002E-2</v>
      </c>
      <c r="X3372">
        <v>0.99175820000000003</v>
      </c>
      <c r="Y3372">
        <v>-5.6332729999999998E-2</v>
      </c>
      <c r="Z3372">
        <v>-4.1644400000000003E-4</v>
      </c>
      <c r="AA3372">
        <v>0.99841199999999997</v>
      </c>
      <c r="AB3372">
        <v>57</v>
      </c>
      <c r="AC3372">
        <v>-15.5106</v>
      </c>
      <c r="AD3372">
        <v>-1.1088121889789999</v>
      </c>
      <c r="AE3372">
        <v>-1.24389999999999</v>
      </c>
      <c r="AF3372">
        <v>-0.89491703110388499</v>
      </c>
      <c r="AG3372">
        <v>-1.1088121889789999</v>
      </c>
      <c r="AH3372">
        <v>15.455898453803</v>
      </c>
      <c r="AI3372">
        <v>94.096553791241902</v>
      </c>
      <c r="AJ3372">
        <v>93.313801728917596</v>
      </c>
      <c r="AK3372">
        <v>15.5214412338951</v>
      </c>
    </row>
    <row r="3373" spans="1:37" x14ac:dyDescent="0.2">
      <c r="A3373" t="str">
        <f>"20200111154132618"</f>
        <v>20200111154132618</v>
      </c>
      <c r="B3373" t="str">
        <f>"1578728492609589"</f>
        <v>1578728492609589</v>
      </c>
      <c r="C3373" t="s">
        <v>37</v>
      </c>
      <c r="D3373">
        <v>5.4127159999999996</v>
      </c>
      <c r="E3373">
        <v>0.51686209999999999</v>
      </c>
      <c r="F3373" t="s">
        <v>39</v>
      </c>
      <c r="G3373">
        <v>-360.84829999999999</v>
      </c>
      <c r="H3373" s="1">
        <v>-4.1360580000000002E-6</v>
      </c>
      <c r="I3373">
        <v>140.47210000000001</v>
      </c>
      <c r="J3373">
        <v>-345.5711</v>
      </c>
      <c r="K3373">
        <v>1.1087670000000001</v>
      </c>
      <c r="L3373">
        <v>141.6807</v>
      </c>
      <c r="M3373">
        <v>-0.99964779999999998</v>
      </c>
      <c r="N3373">
        <v>0</v>
      </c>
      <c r="O3373">
        <v>-2.1497700000000002E-2</v>
      </c>
      <c r="P3373">
        <v>-0.99015019999999998</v>
      </c>
      <c r="Q3373">
        <v>5.4674300000000002E-2</v>
      </c>
      <c r="R3373">
        <v>-0.12889220000000001</v>
      </c>
      <c r="S3373">
        <v>-3.01116899999999</v>
      </c>
      <c r="T3373">
        <v>-0.2130582</v>
      </c>
      <c r="U3373">
        <v>-0.23384089999999999</v>
      </c>
      <c r="V3373">
        <v>-0.10736030000000001</v>
      </c>
      <c r="W3373">
        <v>7.0445629999999995E-2</v>
      </c>
      <c r="X3373">
        <v>0.99172130000000003</v>
      </c>
      <c r="Y3373">
        <v>-5.5885659999999997E-2</v>
      </c>
      <c r="Z3373">
        <v>-4.55E-4</v>
      </c>
      <c r="AA3373">
        <v>0.99843700000000002</v>
      </c>
      <c r="AB3373">
        <v>57</v>
      </c>
      <c r="AC3373">
        <v>-15.277199999999899</v>
      </c>
      <c r="AD3373">
        <v>-1.1087711360579999</v>
      </c>
      <c r="AE3373">
        <v>-1.2085999999999899</v>
      </c>
      <c r="AF3373">
        <v>-0.87527444737596305</v>
      </c>
      <c r="AG3373">
        <v>-1.1087711360579999</v>
      </c>
      <c r="AH3373">
        <v>15.219982709693801</v>
      </c>
      <c r="AI3373">
        <v>94.159771018126705</v>
      </c>
      <c r="AJ3373">
        <v>93.291354355751594</v>
      </c>
      <c r="AK3373">
        <v>15.285396706456901</v>
      </c>
    </row>
    <row r="3374" spans="1:37" x14ac:dyDescent="0.2">
      <c r="A3374" t="str">
        <f>"20200111154132633"</f>
        <v>20200111154132633</v>
      </c>
      <c r="B3374" t="str">
        <f>"1578728492629109"</f>
        <v>1578728492629109</v>
      </c>
      <c r="C3374" t="s">
        <v>37</v>
      </c>
      <c r="D3374">
        <v>5.4743930000000001</v>
      </c>
      <c r="E3374">
        <v>0.51709719999999904</v>
      </c>
      <c r="F3374" t="s">
        <v>39</v>
      </c>
      <c r="G3374">
        <v>-361.09210000000002</v>
      </c>
      <c r="H3374" s="1">
        <v>-4.0361089999999998E-6</v>
      </c>
      <c r="I3374">
        <v>140.48949999999999</v>
      </c>
      <c r="J3374">
        <v>-345.92529999999999</v>
      </c>
      <c r="K3374">
        <v>1.1087340000000001</v>
      </c>
      <c r="L3374">
        <v>141.67330000000001</v>
      </c>
      <c r="M3374">
        <v>-0.99966100000000002</v>
      </c>
      <c r="N3374">
        <v>0</v>
      </c>
      <c r="O3374">
        <v>-2.0877059999999999E-2</v>
      </c>
      <c r="P3374">
        <v>-0.99019849999999998</v>
      </c>
      <c r="Q3374">
        <v>5.5372449999999997E-2</v>
      </c>
      <c r="R3374">
        <v>-0.12822310000000001</v>
      </c>
      <c r="S3374">
        <v>-3.0116580000000002</v>
      </c>
      <c r="T3374">
        <v>-0.21514429999999901</v>
      </c>
      <c r="U3374">
        <v>-0.231124899999999</v>
      </c>
      <c r="V3374">
        <v>-0.10729859999999999</v>
      </c>
      <c r="W3374">
        <v>7.1150519999999995E-2</v>
      </c>
      <c r="X3374">
        <v>0.9916777</v>
      </c>
      <c r="Y3374">
        <v>-5.5595430000000001E-2</v>
      </c>
      <c r="Z3374">
        <v>-4.9323839999999895E-4</v>
      </c>
      <c r="AA3374">
        <v>0.99845329999999999</v>
      </c>
      <c r="AB3374">
        <v>57</v>
      </c>
      <c r="AC3374">
        <v>-15.1668</v>
      </c>
      <c r="AD3374">
        <v>-1.108738036109</v>
      </c>
      <c r="AE3374">
        <v>-1.18380000000001</v>
      </c>
      <c r="AF3374">
        <v>-0.86228522319335899</v>
      </c>
      <c r="AG3374">
        <v>-1.108738036109</v>
      </c>
      <c r="AH3374">
        <v>15.107962137547901</v>
      </c>
      <c r="AI3374">
        <v>94.190483557049404</v>
      </c>
      <c r="AJ3374">
        <v>93.266606148333906</v>
      </c>
      <c r="AK3374">
        <v>15.173112923472001</v>
      </c>
    </row>
    <row r="3375" spans="1:37" x14ac:dyDescent="0.2">
      <c r="A3375" t="str">
        <f>"20200111154132655"</f>
        <v>20200111154132655</v>
      </c>
      <c r="B3375" t="str">
        <f>"1578728492649605"</f>
        <v>1578728492649605</v>
      </c>
      <c r="C3375" t="s">
        <v>37</v>
      </c>
      <c r="D3375">
        <v>5.4224410000000001</v>
      </c>
      <c r="E3375">
        <v>0.51737929999999999</v>
      </c>
      <c r="F3375" t="s">
        <v>39</v>
      </c>
      <c r="G3375">
        <v>-361.26769999999999</v>
      </c>
      <c r="H3375" s="1">
        <v>-3.9674959999999996E-6</v>
      </c>
      <c r="I3375">
        <v>140.5147</v>
      </c>
      <c r="J3375">
        <v>-346.4923</v>
      </c>
      <c r="K3375">
        <v>1.1086879999999999</v>
      </c>
      <c r="L3375">
        <v>141.6619</v>
      </c>
      <c r="M3375">
        <v>-0.99968140000000005</v>
      </c>
      <c r="N3375">
        <v>0</v>
      </c>
      <c r="O3375">
        <v>-1.9878799999999999E-2</v>
      </c>
      <c r="P3375">
        <v>-0.99026170000000002</v>
      </c>
      <c r="Q3375">
        <v>5.6394479999999997E-2</v>
      </c>
      <c r="R3375">
        <v>-0.1272857</v>
      </c>
      <c r="S3375">
        <v>-3.0123899999999999</v>
      </c>
      <c r="T3375">
        <v>-0.21769559999999999</v>
      </c>
      <c r="U3375">
        <v>-0.22747800000000001</v>
      </c>
      <c r="V3375">
        <v>-0.1073394</v>
      </c>
      <c r="W3375">
        <v>7.2181640000000005E-2</v>
      </c>
      <c r="X3375">
        <v>0.99159869999999894</v>
      </c>
      <c r="Y3375">
        <v>-5.536812E-2</v>
      </c>
      <c r="Z3375">
        <v>-5.6269380000000002E-4</v>
      </c>
      <c r="AA3375">
        <v>0.99846579999999996</v>
      </c>
      <c r="AB3375">
        <v>57</v>
      </c>
      <c r="AC3375">
        <v>-14.7753999999999</v>
      </c>
      <c r="AD3375">
        <v>-1.1086919674959901</v>
      </c>
      <c r="AE3375">
        <v>-1.14719999999999</v>
      </c>
      <c r="AF3375">
        <v>-0.84847184351128502</v>
      </c>
      <c r="AG3375">
        <v>-1.1086919674959901</v>
      </c>
      <c r="AH3375">
        <v>14.712943221501099</v>
      </c>
      <c r="AI3375">
        <v>94.302250749783397</v>
      </c>
      <c r="AJ3375">
        <v>93.300500207485797</v>
      </c>
      <c r="AK3375">
        <v>14.7790324645133</v>
      </c>
    </row>
    <row r="3376" spans="1:37" x14ac:dyDescent="0.2">
      <c r="A3376" t="str">
        <f>"20200111154132677"</f>
        <v>20200111154132677</v>
      </c>
      <c r="B3376" t="str">
        <f>"1578728492669125"</f>
        <v>1578728492669125</v>
      </c>
      <c r="C3376" t="s">
        <v>37</v>
      </c>
      <c r="D3376">
        <v>5.4327519999999998</v>
      </c>
      <c r="E3376">
        <v>0.51761080000000004</v>
      </c>
      <c r="F3376" t="s">
        <v>39</v>
      </c>
      <c r="G3376">
        <v>-361.99709999999999</v>
      </c>
      <c r="H3376" s="1">
        <v>-3.6543790000000002E-6</v>
      </c>
      <c r="I3376">
        <v>140.51400000000001</v>
      </c>
      <c r="J3376">
        <v>-347.07889999999998</v>
      </c>
      <c r="K3376">
        <v>1.108646</v>
      </c>
      <c r="L3376">
        <v>141.6507</v>
      </c>
      <c r="M3376">
        <v>-0.99970149999999902</v>
      </c>
      <c r="N3376">
        <v>0</v>
      </c>
      <c r="O3376">
        <v>-1.884081E-2</v>
      </c>
      <c r="P3376">
        <v>-0.99032999999999904</v>
      </c>
      <c r="Q3376">
        <v>5.7134890000000001E-2</v>
      </c>
      <c r="R3376">
        <v>-0.126420899999999</v>
      </c>
      <c r="S3376">
        <v>-3.0130919999999999</v>
      </c>
      <c r="T3376">
        <v>-0.21545610000000001</v>
      </c>
      <c r="U3376">
        <v>-0.22306819999999999</v>
      </c>
      <c r="V3376">
        <v>-0.1074933</v>
      </c>
      <c r="W3376">
        <v>7.2930220000000004E-2</v>
      </c>
      <c r="X3376">
        <v>0.9915273</v>
      </c>
      <c r="Y3376">
        <v>-5.493456E-2</v>
      </c>
      <c r="Z3376">
        <v>-6.1535579999999999E-4</v>
      </c>
      <c r="AA3376">
        <v>0.99848979999999998</v>
      </c>
      <c r="AB3376">
        <v>57</v>
      </c>
      <c r="AC3376">
        <v>-14.918200000000001</v>
      </c>
      <c r="AD3376">
        <v>-1.1086496543790001</v>
      </c>
      <c r="AE3376">
        <v>-1.1366999999999901</v>
      </c>
      <c r="AF3376">
        <v>-0.85072199474779198</v>
      </c>
      <c r="AG3376">
        <v>-1.1086496543790001</v>
      </c>
      <c r="AH3376">
        <v>14.855401087267699</v>
      </c>
      <c r="AI3376">
        <v>94.261082046628005</v>
      </c>
      <c r="AJ3376">
        <v>93.277568899237593</v>
      </c>
      <c r="AK3376">
        <v>14.9209843318763</v>
      </c>
    </row>
    <row r="3377" spans="1:37" x14ac:dyDescent="0.2">
      <c r="A3377" t="str">
        <f>"20200111154132699"</f>
        <v>20200111154132699</v>
      </c>
      <c r="B3377" t="str">
        <f>"1578728492689621"</f>
        <v>1578728492689621</v>
      </c>
      <c r="C3377" t="s">
        <v>37</v>
      </c>
      <c r="D3377">
        <v>5.4258699999999997</v>
      </c>
      <c r="E3377">
        <v>0.51776080000000002</v>
      </c>
      <c r="F3377" t="s">
        <v>39</v>
      </c>
      <c r="G3377">
        <v>-362.50959999999998</v>
      </c>
      <c r="H3377" s="1">
        <v>-3.4388130000000002E-6</v>
      </c>
      <c r="I3377">
        <v>140.5301</v>
      </c>
      <c r="J3377">
        <v>-347.62049999999999</v>
      </c>
      <c r="K3377">
        <v>1.1086129999999901</v>
      </c>
      <c r="L3377">
        <v>141.64089999999999</v>
      </c>
      <c r="M3377">
        <v>-0.99971919999999903</v>
      </c>
      <c r="N3377">
        <v>0</v>
      </c>
      <c r="O3377">
        <v>-1.7877830000000001E-2</v>
      </c>
      <c r="P3377">
        <v>-0.99035499999999899</v>
      </c>
      <c r="Q3377">
        <v>5.827529E-2</v>
      </c>
      <c r="R3377">
        <v>-0.12570219999999999</v>
      </c>
      <c r="S3377">
        <v>-3.0138849999999899</v>
      </c>
      <c r="T3377">
        <v>-0.21653890000000001</v>
      </c>
      <c r="U3377">
        <v>-0.21885679999999899</v>
      </c>
      <c r="V3377">
        <v>-0.1077201</v>
      </c>
      <c r="W3377">
        <v>7.407627E-2</v>
      </c>
      <c r="X3377">
        <v>0.99141769999999996</v>
      </c>
      <c r="Y3377">
        <v>-5.4487019999999997E-2</v>
      </c>
      <c r="Z3377">
        <v>-6.7125449999999999E-4</v>
      </c>
      <c r="AA3377">
        <v>0.99851420000000002</v>
      </c>
      <c r="AB3377">
        <v>57</v>
      </c>
      <c r="AC3377">
        <v>-14.8890999999999</v>
      </c>
      <c r="AD3377">
        <v>-1.10861643881299</v>
      </c>
      <c r="AE3377">
        <v>-1.11079999999998</v>
      </c>
      <c r="AF3377">
        <v>-0.83977545541947196</v>
      </c>
      <c r="AG3377">
        <v>-1.10861643881299</v>
      </c>
      <c r="AH3377">
        <v>14.8248464279709</v>
      </c>
      <c r="AI3377">
        <v>94.269854248072704</v>
      </c>
      <c r="AJ3377">
        <v>93.242139714624997</v>
      </c>
      <c r="AK3377">
        <v>14.889940390641399</v>
      </c>
    </row>
    <row r="3378" spans="1:37" x14ac:dyDescent="0.2">
      <c r="A3378" t="str">
        <f>"20200111154132714"</f>
        <v>20200111154132714</v>
      </c>
      <c r="B3378" t="str">
        <f>"1578728492709084"</f>
        <v>1578728492709084</v>
      </c>
      <c r="C3378" t="s">
        <v>37</v>
      </c>
      <c r="D3378">
        <v>5.4199190000000002</v>
      </c>
      <c r="E3378">
        <v>0.51781929999999998</v>
      </c>
      <c r="F3378" t="s">
        <v>39</v>
      </c>
      <c r="G3378">
        <v>-363.13709999999998</v>
      </c>
      <c r="H3378" s="1">
        <v>-3.1690570000000002E-6</v>
      </c>
      <c r="I3378">
        <v>140.52799999999999</v>
      </c>
      <c r="J3378">
        <v>-348.02120000000002</v>
      </c>
      <c r="K3378">
        <v>1.1085929999999999</v>
      </c>
      <c r="L3378">
        <v>141.63399999999999</v>
      </c>
      <c r="M3378">
        <v>-0.99973189999999901</v>
      </c>
      <c r="N3378">
        <v>0</v>
      </c>
      <c r="O3378">
        <v>-1.716287E-2</v>
      </c>
      <c r="P3378">
        <v>-0.99039580000000005</v>
      </c>
      <c r="Q3378">
        <v>5.8826129999999997E-2</v>
      </c>
      <c r="R3378">
        <v>-0.1251235</v>
      </c>
      <c r="S3378">
        <v>-3.01443499999999</v>
      </c>
      <c r="T3378">
        <v>-0.21537329999999899</v>
      </c>
      <c r="U3378">
        <v>-0.2162018</v>
      </c>
      <c r="V3378">
        <v>-0.107844699999999</v>
      </c>
      <c r="W3378">
        <v>7.4630249999999995E-2</v>
      </c>
      <c r="X3378">
        <v>0.99136259999999998</v>
      </c>
      <c r="Y3378">
        <v>-5.431271E-2</v>
      </c>
      <c r="Z3378">
        <v>-7.1227319999999999E-4</v>
      </c>
      <c r="AA3378">
        <v>0.99852369999999901</v>
      </c>
      <c r="AB3378">
        <v>57</v>
      </c>
      <c r="AC3378">
        <v>-15.1158999999999</v>
      </c>
      <c r="AD3378">
        <v>-1.1085961690570001</v>
      </c>
      <c r="AE3378">
        <v>-1.1059999999999901</v>
      </c>
      <c r="AF3378">
        <v>-0.84186942267813103</v>
      </c>
      <c r="AG3378">
        <v>-1.1085961690570001</v>
      </c>
      <c r="AH3378">
        <v>15.0521274068672</v>
      </c>
      <c r="AI3378">
        <v>94.205706074669493</v>
      </c>
      <c r="AJ3378">
        <v>93.201232687786302</v>
      </c>
      <c r="AK3378">
        <v>15.1163576652397</v>
      </c>
    </row>
    <row r="3379" spans="1:37" x14ac:dyDescent="0.2">
      <c r="A3379" t="str">
        <f>"20200111154132732"</f>
        <v>20200111154132732</v>
      </c>
      <c r="B3379" t="str">
        <f>"1578728492719820"</f>
        <v>1578728492719820</v>
      </c>
      <c r="C3379" t="s">
        <v>37</v>
      </c>
      <c r="D3379">
        <v>5.4385279999999998</v>
      </c>
      <c r="E3379">
        <v>0.51787950000000005</v>
      </c>
      <c r="F3379" t="s">
        <v>39</v>
      </c>
      <c r="G3379">
        <v>-363.53019999999998</v>
      </c>
      <c r="H3379" s="1">
        <v>-3.0015699999999998E-6</v>
      </c>
      <c r="I3379">
        <v>140.5324</v>
      </c>
      <c r="J3379">
        <v>-348.45209999999997</v>
      </c>
      <c r="K3379">
        <v>1.1085689999999999</v>
      </c>
      <c r="L3379">
        <v>141.62700000000001</v>
      </c>
      <c r="M3379">
        <v>-0.99974490000000005</v>
      </c>
      <c r="N3379">
        <v>0</v>
      </c>
      <c r="O3379">
        <v>-1.6391309999999999E-2</v>
      </c>
      <c r="P3379">
        <v>-0.99046199999999995</v>
      </c>
      <c r="Q3379">
        <v>5.9650509999999997E-2</v>
      </c>
      <c r="R3379">
        <v>-0.1242066</v>
      </c>
      <c r="S3379">
        <v>-3.0148320000000002</v>
      </c>
      <c r="T3379">
        <v>-0.2155029</v>
      </c>
      <c r="U3379">
        <v>-0.21414179999999899</v>
      </c>
      <c r="V3379">
        <v>-0.1076858</v>
      </c>
      <c r="W3379">
        <v>7.5456659999999995E-2</v>
      </c>
      <c r="X3379">
        <v>0.99131729999999996</v>
      </c>
      <c r="Y3379">
        <v>-5.4392910000000003E-2</v>
      </c>
      <c r="Z3379">
        <v>-7.7047919999999998E-4</v>
      </c>
      <c r="AA3379">
        <v>0.9985193</v>
      </c>
      <c r="AB3379">
        <v>57</v>
      </c>
      <c r="AC3379">
        <v>-15.078099999999999</v>
      </c>
      <c r="AD3379">
        <v>-1.10857200157</v>
      </c>
      <c r="AE3379">
        <v>-1.09460000000001</v>
      </c>
      <c r="AF3379">
        <v>-0.842741708600799</v>
      </c>
      <c r="AG3379">
        <v>-1.10857200157</v>
      </c>
      <c r="AH3379">
        <v>15.0132892689243</v>
      </c>
      <c r="AI3379">
        <v>94.216407522192497</v>
      </c>
      <c r="AJ3379">
        <v>93.2128152136561</v>
      </c>
      <c r="AK3379">
        <v>15.077731929653</v>
      </c>
    </row>
    <row r="3380" spans="1:37" x14ac:dyDescent="0.2">
      <c r="A3380" t="str">
        <f>"20200111154132755"</f>
        <v>20200111154132755</v>
      </c>
      <c r="B3380" t="str">
        <f>"1578728492749102"</f>
        <v>1578728492749102</v>
      </c>
      <c r="C3380" t="s">
        <v>37</v>
      </c>
      <c r="D3380">
        <v>5.412598</v>
      </c>
      <c r="E3380">
        <v>0.51794830000000003</v>
      </c>
      <c r="F3380" t="s">
        <v>39</v>
      </c>
      <c r="G3380">
        <v>-364.09620000000001</v>
      </c>
      <c r="H3380" s="1">
        <v>-2.757828E-6</v>
      </c>
      <c r="I3380">
        <v>140.52879999999999</v>
      </c>
      <c r="J3380">
        <v>-349.03440000000001</v>
      </c>
      <c r="K3380">
        <v>1.108544</v>
      </c>
      <c r="L3380">
        <v>141.61789999999999</v>
      </c>
      <c r="M3380">
        <v>-0.99976139999999902</v>
      </c>
      <c r="N3380">
        <v>0</v>
      </c>
      <c r="O3380">
        <v>-1.534482E-2</v>
      </c>
      <c r="P3380">
        <v>-0.99061200000000005</v>
      </c>
      <c r="Q3380">
        <v>5.9434590000000002E-2</v>
      </c>
      <c r="R3380">
        <v>-0.123108199999999</v>
      </c>
      <c r="S3380">
        <v>-3.015228</v>
      </c>
      <c r="T3380">
        <v>-0.21366639999999901</v>
      </c>
      <c r="U3380">
        <v>-0.21163939999999901</v>
      </c>
      <c r="V3380">
        <v>-0.10762039999999901</v>
      </c>
      <c r="W3380">
        <v>7.5243649999999995E-2</v>
      </c>
      <c r="X3380">
        <v>0.99134059999999902</v>
      </c>
      <c r="Y3380">
        <v>-5.460272E-2</v>
      </c>
      <c r="Z3380">
        <v>-8.4521909999999995E-4</v>
      </c>
      <c r="AA3380">
        <v>0.99850779999999995</v>
      </c>
      <c r="AB3380">
        <v>57</v>
      </c>
      <c r="AC3380">
        <v>-15.0618</v>
      </c>
      <c r="AD3380">
        <v>-1.1085467578279999</v>
      </c>
      <c r="AE3380">
        <v>-1.0891</v>
      </c>
      <c r="AF3380">
        <v>-0.85322536302486396</v>
      </c>
      <c r="AG3380">
        <v>-1.1085467578279999</v>
      </c>
      <c r="AH3380">
        <v>14.9959306912474</v>
      </c>
      <c r="AI3380">
        <v>94.220993788943403</v>
      </c>
      <c r="AJ3380">
        <v>93.256454212482893</v>
      </c>
      <c r="AK3380">
        <v>15.061036044412599</v>
      </c>
    </row>
    <row r="3381" spans="1:37" x14ac:dyDescent="0.2">
      <c r="A3381" t="str">
        <f>"20200111154132772"</f>
        <v>20200111154132772</v>
      </c>
      <c r="B3381" t="str">
        <f>"1578728492759837"</f>
        <v>1578728492759837</v>
      </c>
      <c r="C3381" t="s">
        <v>37</v>
      </c>
      <c r="D3381">
        <v>5.402425</v>
      </c>
      <c r="E3381">
        <v>0.5180939</v>
      </c>
      <c r="F3381" t="s">
        <v>39</v>
      </c>
      <c r="G3381">
        <v>-364.4796</v>
      </c>
      <c r="H3381" s="1">
        <v>-2.5992789999999999E-6</v>
      </c>
      <c r="I3381">
        <v>140.55109999999999</v>
      </c>
      <c r="J3381">
        <v>-349.45240000000001</v>
      </c>
      <c r="K3381">
        <v>1.108528</v>
      </c>
      <c r="L3381">
        <v>141.61179999999999</v>
      </c>
      <c r="M3381">
        <v>-0.99977280000000002</v>
      </c>
      <c r="N3381">
        <v>0</v>
      </c>
      <c r="O3381">
        <v>-1.459124E-2</v>
      </c>
      <c r="P3381">
        <v>-0.99072919999999998</v>
      </c>
      <c r="Q3381">
        <v>5.9101580000000001E-2</v>
      </c>
      <c r="R3381">
        <v>-0.122324</v>
      </c>
      <c r="S3381">
        <v>-3.0155029999999998</v>
      </c>
      <c r="T3381">
        <v>-0.21643200000000001</v>
      </c>
      <c r="U3381">
        <v>-0.20826720000000001</v>
      </c>
      <c r="V3381">
        <v>-0.107581</v>
      </c>
      <c r="W3381">
        <v>7.4911749999999999E-2</v>
      </c>
      <c r="X3381">
        <v>0.99136999999999997</v>
      </c>
      <c r="Y3381">
        <v>-5.4234259999999999E-2</v>
      </c>
      <c r="Z3381">
        <v>-8.9683639999999995E-4</v>
      </c>
      <c r="AA3381">
        <v>0.99852779999999997</v>
      </c>
      <c r="AB3381">
        <v>57</v>
      </c>
      <c r="AC3381">
        <v>-15.027199999999899</v>
      </c>
      <c r="AD3381">
        <v>-1.108530599279</v>
      </c>
      <c r="AE3381">
        <v>-1.06069999999999</v>
      </c>
      <c r="AF3381">
        <v>-0.83676420202400403</v>
      </c>
      <c r="AG3381">
        <v>-1.108530599279</v>
      </c>
      <c r="AH3381">
        <v>14.960073140514</v>
      </c>
      <c r="AI3381">
        <v>94.231241406545607</v>
      </c>
      <c r="AJ3381">
        <v>93.201398382068206</v>
      </c>
      <c r="AK3381">
        <v>15.0244069030646</v>
      </c>
    </row>
    <row r="3382" spans="1:37" x14ac:dyDescent="0.2">
      <c r="A3382" t="str">
        <f>"20200111154132787"</f>
        <v>20200111154132787</v>
      </c>
      <c r="B3382" t="str">
        <f>"1578728492779357"</f>
        <v>1578728492779357</v>
      </c>
      <c r="C3382" t="s">
        <v>37</v>
      </c>
      <c r="D3382">
        <v>5.3817769999999996</v>
      </c>
      <c r="E3382">
        <v>0.51822659999999998</v>
      </c>
      <c r="F3382" t="s">
        <v>39</v>
      </c>
      <c r="G3382">
        <v>-364.79</v>
      </c>
      <c r="H3382" s="1">
        <v>-2.4714039999999999E-6</v>
      </c>
      <c r="I3382">
        <v>140.57089999999999</v>
      </c>
      <c r="J3382">
        <v>-349.84460000000001</v>
      </c>
      <c r="K3382">
        <v>1.1085129999999901</v>
      </c>
      <c r="L3382">
        <v>141.6063</v>
      </c>
      <c r="M3382">
        <v>-0.99978289999999903</v>
      </c>
      <c r="N3382">
        <v>0</v>
      </c>
      <c r="O3382">
        <v>-1.3882399999999901E-2</v>
      </c>
      <c r="P3382">
        <v>-0.99083019999999999</v>
      </c>
      <c r="Q3382">
        <v>5.8705769999999997E-2</v>
      </c>
      <c r="R3382">
        <v>-0.1216935</v>
      </c>
      <c r="S3382">
        <v>-3.0158079999999998</v>
      </c>
      <c r="T3382">
        <v>-0.21796969999999999</v>
      </c>
      <c r="U3382">
        <v>-0.2046509</v>
      </c>
      <c r="V3382">
        <v>-0.10765230000000001</v>
      </c>
      <c r="W3382">
        <v>7.4517070000000005E-2</v>
      </c>
      <c r="X3382">
        <v>0.9913921</v>
      </c>
      <c r="Y3382">
        <v>-5.374147E-2</v>
      </c>
      <c r="Z3382">
        <v>-9.3646669999999997E-4</v>
      </c>
      <c r="AA3382">
        <v>0.99855450000000001</v>
      </c>
      <c r="AB3382">
        <v>57</v>
      </c>
      <c r="AC3382">
        <v>-14.945399999999999</v>
      </c>
      <c r="AD3382">
        <v>-1.10851547140399</v>
      </c>
      <c r="AE3382">
        <v>-1.0354000000000101</v>
      </c>
      <c r="AF3382">
        <v>-0.82328956706781398</v>
      </c>
      <c r="AG3382">
        <v>-1.10851547140399</v>
      </c>
      <c r="AH3382">
        <v>14.876883159574399</v>
      </c>
      <c r="AI3382">
        <v>94.254896989592098</v>
      </c>
      <c r="AJ3382">
        <v>93.167528505140496</v>
      </c>
      <c r="AK3382">
        <v>14.9408254392189</v>
      </c>
    </row>
    <row r="3383" spans="1:37" x14ac:dyDescent="0.2">
      <c r="A3383" t="str">
        <f>"20200111154132800"</f>
        <v>20200111154132800</v>
      </c>
      <c r="B3383" t="str">
        <f>"1578728492789116"</f>
        <v>1578728492789116</v>
      </c>
      <c r="C3383" t="s">
        <v>37</v>
      </c>
      <c r="D3383">
        <v>5.3735439999999999</v>
      </c>
      <c r="E3383">
        <v>0.5182987</v>
      </c>
      <c r="F3383" t="s">
        <v>39</v>
      </c>
      <c r="G3383">
        <v>-365.03469999999999</v>
      </c>
      <c r="H3383" s="1">
        <v>-2.371266E-6</v>
      </c>
      <c r="I3383">
        <v>140.5891</v>
      </c>
      <c r="J3383">
        <v>-350.19499999999999</v>
      </c>
      <c r="K3383">
        <v>1.108495</v>
      </c>
      <c r="L3383">
        <v>141.60159999999999</v>
      </c>
      <c r="M3383">
        <v>-0.99979150000000006</v>
      </c>
      <c r="N3383">
        <v>0</v>
      </c>
      <c r="O3383">
        <v>-1.324786E-2</v>
      </c>
      <c r="P3383">
        <v>-0.99091149999999995</v>
      </c>
      <c r="Q3383">
        <v>5.791338E-2</v>
      </c>
      <c r="R3383">
        <v>-0.1214103</v>
      </c>
      <c r="S3383">
        <v>-3.016022</v>
      </c>
      <c r="T3383">
        <v>-0.22009879999999901</v>
      </c>
      <c r="U3383">
        <v>-0.20195009999999999</v>
      </c>
      <c r="V3383">
        <v>-0.107999499999999</v>
      </c>
      <c r="W3383">
        <v>7.3726760000000002E-2</v>
      </c>
      <c r="X3383">
        <v>0.9914134</v>
      </c>
      <c r="Y3383">
        <v>-5.3477289999999997E-2</v>
      </c>
      <c r="Z3383">
        <v>-9.821195E-4</v>
      </c>
      <c r="AA3383">
        <v>0.99856859999999903</v>
      </c>
      <c r="AB3383">
        <v>57</v>
      </c>
      <c r="AC3383">
        <v>-14.839699999999899</v>
      </c>
      <c r="AD3383">
        <v>-1.108497371266</v>
      </c>
      <c r="AE3383">
        <v>-1.01249999999998</v>
      </c>
      <c r="AF3383">
        <v>-0.81128726878397195</v>
      </c>
      <c r="AG3383">
        <v>-1.108497371266</v>
      </c>
      <c r="AH3383">
        <v>14.769781833957</v>
      </c>
      <c r="AI3383">
        <v>94.285663150645306</v>
      </c>
      <c r="AJ3383">
        <v>93.144032316825005</v>
      </c>
      <c r="AK3383">
        <v>14.833523144461701</v>
      </c>
    </row>
    <row r="3384" spans="1:37" x14ac:dyDescent="0.2">
      <c r="A3384" t="str">
        <f>"20200111154132818"</f>
        <v>20200111154132818</v>
      </c>
      <c r="B3384" t="str">
        <f>"1578728492809316"</f>
        <v>1578728492809316</v>
      </c>
      <c r="C3384" t="s">
        <v>37</v>
      </c>
      <c r="D3384">
        <v>5.4201839999999999</v>
      </c>
      <c r="E3384">
        <v>0.5183508</v>
      </c>
      <c r="F3384" t="s">
        <v>39</v>
      </c>
      <c r="G3384">
        <v>-365.19159999999999</v>
      </c>
      <c r="H3384" s="1">
        <v>-2.307647E-6</v>
      </c>
      <c r="I3384">
        <v>140.60299999999901</v>
      </c>
      <c r="J3384">
        <v>-350.61590000000001</v>
      </c>
      <c r="K3384">
        <v>1.108481</v>
      </c>
      <c r="L3384">
        <v>141.59639999999999</v>
      </c>
      <c r="M3384">
        <v>-0.99980139999999995</v>
      </c>
      <c r="N3384">
        <v>0</v>
      </c>
      <c r="O3384">
        <v>-1.248434E-2</v>
      </c>
      <c r="P3384">
        <v>-0.99099550000000003</v>
      </c>
      <c r="Q3384">
        <v>5.7801850000000002E-2</v>
      </c>
      <c r="R3384">
        <v>-0.1207768</v>
      </c>
      <c r="S3384">
        <v>-3.01593</v>
      </c>
      <c r="T3384">
        <v>-0.2229284</v>
      </c>
      <c r="U3384">
        <v>-0.2008209</v>
      </c>
      <c r="V3384">
        <v>-0.10812190000000001</v>
      </c>
      <c r="W3384">
        <v>7.36155E-2</v>
      </c>
      <c r="X3384">
        <v>0.99140830000000002</v>
      </c>
      <c r="Y3384">
        <v>-5.3863800000000003E-2</v>
      </c>
      <c r="Z3384">
        <v>-1.065292E-3</v>
      </c>
      <c r="AA3384">
        <v>0.99854769999999904</v>
      </c>
      <c r="AB3384">
        <v>57</v>
      </c>
      <c r="AC3384">
        <v>-14.5756999999999</v>
      </c>
      <c r="AD3384">
        <v>-1.108483307647</v>
      </c>
      <c r="AE3384">
        <v>-0.99340000000000805</v>
      </c>
      <c r="AF3384">
        <v>-0.80668860437284295</v>
      </c>
      <c r="AG3384">
        <v>-1.108483307647</v>
      </c>
      <c r="AH3384">
        <v>14.503472562148101</v>
      </c>
      <c r="AI3384">
        <v>94.363833384466204</v>
      </c>
      <c r="AJ3384">
        <v>93.183532645158607</v>
      </c>
      <c r="AK3384">
        <v>14.568122669333199</v>
      </c>
    </row>
    <row r="3385" spans="1:37" x14ac:dyDescent="0.2">
      <c r="A3385" t="str">
        <f>"20200111154132833"</f>
        <v>20200111154132833</v>
      </c>
      <c r="B3385" t="str">
        <f>"1578728492829811"</f>
        <v>1578728492829811</v>
      </c>
      <c r="C3385" t="s">
        <v>37</v>
      </c>
      <c r="D3385">
        <v>5.4235949999999997</v>
      </c>
      <c r="E3385">
        <v>0.51837619999999995</v>
      </c>
      <c r="F3385" t="s">
        <v>39</v>
      </c>
      <c r="G3385">
        <v>-365.48939999999999</v>
      </c>
      <c r="H3385" s="1">
        <v>-2.183693E-6</v>
      </c>
      <c r="I3385">
        <v>140.6173</v>
      </c>
      <c r="J3385">
        <v>-351.02539999999999</v>
      </c>
      <c r="K3385">
        <v>1.1084670000000001</v>
      </c>
      <c r="L3385">
        <v>141.5916</v>
      </c>
      <c r="M3385">
        <v>-0.99981049999999905</v>
      </c>
      <c r="N3385">
        <v>0</v>
      </c>
      <c r="O3385">
        <v>-1.17398E-2</v>
      </c>
      <c r="P3385">
        <v>-0.99107299999999998</v>
      </c>
      <c r="Q3385">
        <v>5.6818130000000001E-2</v>
      </c>
      <c r="R3385">
        <v>-0.1206081</v>
      </c>
      <c r="S3385">
        <v>-3.0161739999999999</v>
      </c>
      <c r="T3385">
        <v>-0.2247884</v>
      </c>
      <c r="U3385">
        <v>-0.19853209999999999</v>
      </c>
      <c r="V3385">
        <v>-0.108692699999999</v>
      </c>
      <c r="W3385">
        <v>7.2633450000000002E-2</v>
      </c>
      <c r="X3385">
        <v>0.99141829999999997</v>
      </c>
      <c r="Y3385">
        <v>-5.3843729999999999E-2</v>
      </c>
      <c r="Z3385">
        <v>-1.1286950000000001E-3</v>
      </c>
      <c r="AA3385">
        <v>0.99854869999999996</v>
      </c>
      <c r="AB3385">
        <v>56</v>
      </c>
      <c r="AC3385">
        <v>-14.464</v>
      </c>
      <c r="AD3385">
        <v>-1.1084691836929901</v>
      </c>
      <c r="AE3385">
        <v>-0.97429999999999894</v>
      </c>
      <c r="AF3385">
        <v>-0.79973217268921404</v>
      </c>
      <c r="AG3385">
        <v>-1.1084691836929901</v>
      </c>
      <c r="AH3385">
        <v>14.390307903698201</v>
      </c>
      <c r="AI3385">
        <v>94.397971587337295</v>
      </c>
      <c r="AJ3385">
        <v>93.180904301240403</v>
      </c>
      <c r="AK3385">
        <v>14.4550765145837</v>
      </c>
    </row>
    <row r="3386" spans="1:37" x14ac:dyDescent="0.2">
      <c r="A3386" t="str">
        <f>"20200111154132857"</f>
        <v>20200111154132857</v>
      </c>
      <c r="B3386" t="str">
        <f>"1578728492849331"</f>
        <v>1578728492849331</v>
      </c>
      <c r="C3386" t="s">
        <v>37</v>
      </c>
      <c r="D3386">
        <v>5.4559939999999996</v>
      </c>
      <c r="E3386">
        <v>0.51878519999999995</v>
      </c>
      <c r="F3386" t="s">
        <v>39</v>
      </c>
      <c r="G3386">
        <v>-365.63529999999997</v>
      </c>
      <c r="H3386" s="1">
        <v>-2.1254409999999899E-6</v>
      </c>
      <c r="I3386">
        <v>140.6335</v>
      </c>
      <c r="J3386">
        <v>-351.5985</v>
      </c>
      <c r="K3386">
        <v>1.108455</v>
      </c>
      <c r="L3386">
        <v>141.58529999999999</v>
      </c>
      <c r="M3386">
        <v>-0.99982229999999905</v>
      </c>
      <c r="N3386">
        <v>0</v>
      </c>
      <c r="O3386">
        <v>-1.069616E-2</v>
      </c>
      <c r="P3386">
        <v>-0.99114919999999995</v>
      </c>
      <c r="Q3386">
        <v>5.6461699999999997E-2</v>
      </c>
      <c r="R3386">
        <v>-0.1201469</v>
      </c>
      <c r="S3386">
        <v>-3.0160830000000001</v>
      </c>
      <c r="T3386">
        <v>-0.22883419999999999</v>
      </c>
      <c r="U3386">
        <v>-0.19775390000000001</v>
      </c>
      <c r="V3386">
        <v>-0.10926710000000001</v>
      </c>
      <c r="W3386">
        <v>7.2278179999999997E-2</v>
      </c>
      <c r="X3386">
        <v>0.99138119999999996</v>
      </c>
      <c r="Y3386">
        <v>-5.4622039999999997E-2</v>
      </c>
      <c r="Z3386">
        <v>-1.2574229999999999E-3</v>
      </c>
      <c r="AA3386">
        <v>0.99850629999999996</v>
      </c>
      <c r="AB3386">
        <v>56</v>
      </c>
      <c r="AC3386">
        <v>-14.0367999999999</v>
      </c>
      <c r="AD3386">
        <v>-1.1084571254410001</v>
      </c>
      <c r="AE3386">
        <v>-0.95179999999999099</v>
      </c>
      <c r="AF3386">
        <v>-0.79664251362712402</v>
      </c>
      <c r="AG3386">
        <v>-1.1084571254410001</v>
      </c>
      <c r="AH3386">
        <v>13.959526371805</v>
      </c>
      <c r="AI3386">
        <v>94.532705119800497</v>
      </c>
      <c r="AJ3386">
        <v>93.266213940413095</v>
      </c>
      <c r="AK3386">
        <v>14.0261075505137</v>
      </c>
    </row>
    <row r="3387" spans="1:37" x14ac:dyDescent="0.2">
      <c r="A3387" t="str">
        <f>"20200111154132879"</f>
        <v>20200111154132879</v>
      </c>
      <c r="B3387" t="str">
        <f>"1578728492869827"</f>
        <v>1578728492869827</v>
      </c>
      <c r="C3387" t="s">
        <v>37</v>
      </c>
      <c r="D3387">
        <v>5.3865589999999903</v>
      </c>
      <c r="E3387">
        <v>0.51911070000000004</v>
      </c>
      <c r="F3387" t="s">
        <v>39</v>
      </c>
      <c r="G3387">
        <v>-366.19279999999998</v>
      </c>
      <c r="H3387" s="1">
        <v>-1.8908570000000001E-6</v>
      </c>
      <c r="I3387">
        <v>140.6508</v>
      </c>
      <c r="J3387">
        <v>-352.16759999999999</v>
      </c>
      <c r="K3387">
        <v>1.108449</v>
      </c>
      <c r="L3387">
        <v>141.5797</v>
      </c>
      <c r="M3387">
        <v>-0.99983279999999997</v>
      </c>
      <c r="N3387">
        <v>0</v>
      </c>
      <c r="O3387">
        <v>-9.6578999999999901E-3</v>
      </c>
      <c r="P3387">
        <v>-0.99114619999999998</v>
      </c>
      <c r="Q3387">
        <v>5.6800469999999999E-2</v>
      </c>
      <c r="R3387">
        <v>-0.120012799999999</v>
      </c>
      <c r="S3387">
        <v>-3.0163570000000002</v>
      </c>
      <c r="T3387">
        <v>-0.2290982</v>
      </c>
      <c r="U3387">
        <v>-0.19313050000000001</v>
      </c>
      <c r="V3387">
        <v>-0.1101606</v>
      </c>
      <c r="W3387">
        <v>7.2616319999999998E-2</v>
      </c>
      <c r="X3387">
        <v>0.99125750000000001</v>
      </c>
      <c r="Y3387">
        <v>-5.4127040000000001E-2</v>
      </c>
      <c r="Z3387">
        <v>-1.318722E-3</v>
      </c>
      <c r="AA3387">
        <v>0.99853320000000001</v>
      </c>
      <c r="AB3387">
        <v>56</v>
      </c>
      <c r="AC3387">
        <v>-14.0251999999999</v>
      </c>
      <c r="AD3387">
        <v>-1.1084508908570001</v>
      </c>
      <c r="AE3387">
        <v>-0.92889999999999795</v>
      </c>
      <c r="AF3387">
        <v>-0.78848285627075898</v>
      </c>
      <c r="AG3387">
        <v>-1.1084508908570001</v>
      </c>
      <c r="AH3387">
        <v>13.9467843066402</v>
      </c>
      <c r="AI3387">
        <v>94.536939920339705</v>
      </c>
      <c r="AJ3387">
        <v>93.235778185112395</v>
      </c>
      <c r="AK3387">
        <v>14.012964036492001</v>
      </c>
    </row>
    <row r="3388" spans="1:37" x14ac:dyDescent="0.2">
      <c r="A3388" t="str">
        <f>"20200111154132901"</f>
        <v>20200111154132901</v>
      </c>
      <c r="B3388" t="str">
        <f>"1578728492889348"</f>
        <v>1578728492889348</v>
      </c>
      <c r="C3388" t="s">
        <v>37</v>
      </c>
      <c r="D3388">
        <v>5.4166290000000004</v>
      </c>
      <c r="E3388">
        <v>0.52474799999999999</v>
      </c>
      <c r="F3388" t="s">
        <v>39</v>
      </c>
      <c r="G3388">
        <v>-367.06189999999998</v>
      </c>
      <c r="H3388" s="1">
        <v>-1.5159049999999899E-6</v>
      </c>
      <c r="I3388">
        <v>140.64279999999999</v>
      </c>
      <c r="J3388">
        <v>-352.7081</v>
      </c>
      <c r="K3388">
        <v>1.1084430000000001</v>
      </c>
      <c r="L3388">
        <v>141.57490000000001</v>
      </c>
      <c r="M3388">
        <v>-0.99984200000000001</v>
      </c>
      <c r="N3388">
        <v>0</v>
      </c>
      <c r="O3388">
        <v>-8.6706869999999998E-3</v>
      </c>
      <c r="P3388">
        <v>-0.99101379999999994</v>
      </c>
      <c r="Q3388">
        <v>5.820591E-2</v>
      </c>
      <c r="R3388">
        <v>-0.1204329</v>
      </c>
      <c r="S3388">
        <v>-3.0166930000000001</v>
      </c>
      <c r="T3388">
        <v>-0.22450789999999901</v>
      </c>
      <c r="U3388">
        <v>-0.18974299999999999</v>
      </c>
      <c r="V3388">
        <v>-0.1115551</v>
      </c>
      <c r="W3388">
        <v>7.4021580000000003E-2</v>
      </c>
      <c r="X3388">
        <v>0.99099760000000003</v>
      </c>
      <c r="Y3388">
        <v>-5.3991839999999999E-2</v>
      </c>
      <c r="Z3388">
        <v>-1.3605479999999901E-3</v>
      </c>
      <c r="AA3388">
        <v>0.99854050000000005</v>
      </c>
      <c r="AB3388">
        <v>56</v>
      </c>
      <c r="AC3388">
        <v>-14.3537999999999</v>
      </c>
      <c r="AD3388">
        <v>-1.108444515905</v>
      </c>
      <c r="AE3388">
        <v>-0.93210000000001902</v>
      </c>
      <c r="AF3388">
        <v>-0.80282519273631003</v>
      </c>
      <c r="AG3388">
        <v>-1.108444515905</v>
      </c>
      <c r="AH3388">
        <v>14.2765638207543</v>
      </c>
      <c r="AI3388">
        <v>94.4326114414513</v>
      </c>
      <c r="AJ3388">
        <v>93.218568664437598</v>
      </c>
      <c r="AK3388">
        <v>14.3420170151552</v>
      </c>
    </row>
    <row r="3389" spans="1:37" x14ac:dyDescent="0.2">
      <c r="A3389" t="str">
        <f>"20200111154132917"</f>
        <v>20200111154132917</v>
      </c>
      <c r="B3389" t="str">
        <f>"1578728492909668"</f>
        <v>1578728492909668</v>
      </c>
      <c r="C3389" t="s">
        <v>37</v>
      </c>
      <c r="D3389">
        <v>5.4308649999999998</v>
      </c>
      <c r="E3389">
        <v>0.5235978</v>
      </c>
      <c r="F3389" t="s">
        <v>39</v>
      </c>
      <c r="G3389">
        <v>-374.61619999999999</v>
      </c>
      <c r="H3389" s="1">
        <v>-2.5252200000000001E-6</v>
      </c>
      <c r="I3389">
        <v>140.49299999999999</v>
      </c>
      <c r="J3389">
        <v>-353.14</v>
      </c>
      <c r="K3389">
        <v>1.108444</v>
      </c>
      <c r="L3389">
        <v>141.57149999999999</v>
      </c>
      <c r="M3389">
        <v>-0.99984850000000003</v>
      </c>
      <c r="N3389">
        <v>0</v>
      </c>
      <c r="O3389">
        <v>-7.8804280000000001E-3</v>
      </c>
      <c r="P3389">
        <v>-0.990977199999999</v>
      </c>
      <c r="Q3389">
        <v>5.9097160000000003E-2</v>
      </c>
      <c r="R3389">
        <v>-0.12029909999999901</v>
      </c>
      <c r="S3389">
        <v>-3.0180660000000001</v>
      </c>
      <c r="T3389">
        <v>-0.152699799999999</v>
      </c>
      <c r="U3389">
        <v>-0.14903259999999999</v>
      </c>
      <c r="V3389">
        <v>-0.1122016</v>
      </c>
      <c r="W3389">
        <v>7.49108E-2</v>
      </c>
      <c r="X3389">
        <v>0.99085780000000001</v>
      </c>
      <c r="Y3389">
        <v>-4.1403969999999998E-2</v>
      </c>
      <c r="Z3389">
        <v>-6.4787579999999996E-4</v>
      </c>
      <c r="AA3389">
        <v>0.99914230000000004</v>
      </c>
      <c r="AB3389">
        <v>56</v>
      </c>
      <c r="AC3389">
        <v>-21.476199999999999</v>
      </c>
      <c r="AD3389">
        <v>-1.10844652522</v>
      </c>
      <c r="AE3389">
        <v>-1.07849999999999</v>
      </c>
      <c r="AF3389">
        <v>-0.90679495258655995</v>
      </c>
      <c r="AG3389">
        <v>-1.10844652522</v>
      </c>
      <c r="AH3389">
        <v>21.427097420725001</v>
      </c>
      <c r="AI3389">
        <v>92.958688265449396</v>
      </c>
      <c r="AJ3389">
        <v>92.423311883068706</v>
      </c>
      <c r="AK3389">
        <v>21.474902436624699</v>
      </c>
    </row>
    <row r="3390" spans="1:37" x14ac:dyDescent="0.2">
      <c r="A3390" t="str">
        <f>"20200111154132934"</f>
        <v>20200111154132934</v>
      </c>
      <c r="B3390" t="str">
        <f>"1578728492929188"</f>
        <v>1578728492929188</v>
      </c>
      <c r="C3390" t="s">
        <v>37</v>
      </c>
      <c r="D3390">
        <v>5.3990309999999999</v>
      </c>
      <c r="E3390">
        <v>0.52353669999999997</v>
      </c>
      <c r="F3390" t="s">
        <v>39</v>
      </c>
      <c r="G3390">
        <v>-372.76420000000002</v>
      </c>
      <c r="H3390" s="1">
        <v>-3.33576399999999E-6</v>
      </c>
      <c r="I3390">
        <v>140.5532</v>
      </c>
      <c r="J3390">
        <v>-353.5378</v>
      </c>
      <c r="K3390">
        <v>1.108449</v>
      </c>
      <c r="L3390">
        <v>141.5686</v>
      </c>
      <c r="M3390">
        <v>-0.99985409999999997</v>
      </c>
      <c r="N3390">
        <v>0</v>
      </c>
      <c r="O3390">
        <v>-7.1525249999999999E-3</v>
      </c>
      <c r="P3390">
        <v>-0.99075579999999996</v>
      </c>
      <c r="Q3390">
        <v>6.0968620000000001E-2</v>
      </c>
      <c r="R3390">
        <v>-0.1211864</v>
      </c>
      <c r="S3390">
        <v>-3.0184630000000001</v>
      </c>
      <c r="T3390">
        <v>-0.17049500000000001</v>
      </c>
      <c r="U3390">
        <v>-0.15661620000000001</v>
      </c>
      <c r="V3390">
        <v>-0.1138049</v>
      </c>
      <c r="W3390">
        <v>7.6781760000000004E-2</v>
      </c>
      <c r="X3390">
        <v>0.99053169999999902</v>
      </c>
      <c r="Y3390">
        <v>-4.4611730000000002E-2</v>
      </c>
      <c r="Z3390">
        <v>-8.5463979999999998E-4</v>
      </c>
      <c r="AA3390">
        <v>0.999004</v>
      </c>
      <c r="AB3390">
        <v>56</v>
      </c>
      <c r="AC3390">
        <v>-19.226400000000002</v>
      </c>
      <c r="AD3390">
        <v>-1.1084523357639999</v>
      </c>
      <c r="AE3390">
        <v>-1.0153999999999901</v>
      </c>
      <c r="AF3390">
        <v>-0.87494010718829895</v>
      </c>
      <c r="AG3390">
        <v>-1.1084523357639999</v>
      </c>
      <c r="AH3390">
        <v>19.169632352636501</v>
      </c>
      <c r="AI3390">
        <v>93.305914817888507</v>
      </c>
      <c r="AJ3390">
        <v>92.613279566908702</v>
      </c>
      <c r="AK3390">
        <v>19.221576192057601</v>
      </c>
    </row>
    <row r="3391" spans="1:37" x14ac:dyDescent="0.2">
      <c r="A3391" t="str">
        <f>"20200111154132957"</f>
        <v>20200111154132957</v>
      </c>
      <c r="B3391" t="str">
        <f>"1578728492949684"</f>
        <v>1578728492949684</v>
      </c>
      <c r="C3391" t="s">
        <v>37</v>
      </c>
      <c r="D3391">
        <v>5.4001749999999999</v>
      </c>
      <c r="E3391">
        <v>0.52338770000000001</v>
      </c>
      <c r="F3391" t="s">
        <v>39</v>
      </c>
      <c r="G3391">
        <v>-373.41120000000001</v>
      </c>
      <c r="H3391" s="1">
        <v>-3.0493039999999999E-6</v>
      </c>
      <c r="I3391">
        <v>140.5198</v>
      </c>
      <c r="J3391">
        <v>-354.12630000000001</v>
      </c>
      <c r="K3391">
        <v>1.108449</v>
      </c>
      <c r="L3391">
        <v>141.56489999999999</v>
      </c>
      <c r="M3391">
        <v>-0.99986119999999901</v>
      </c>
      <c r="N3391">
        <v>0</v>
      </c>
      <c r="O3391">
        <v>-6.0740350000000002E-3</v>
      </c>
      <c r="P3391">
        <v>-0.9905465</v>
      </c>
      <c r="Q3391">
        <v>6.2544939999999993E-2</v>
      </c>
      <c r="R3391">
        <v>-0.12208910000000001</v>
      </c>
      <c r="S3391">
        <v>-3.0188899999999999</v>
      </c>
      <c r="T3391">
        <v>-0.16838059999999999</v>
      </c>
      <c r="U3391">
        <v>-0.15931699999999999</v>
      </c>
      <c r="V3391">
        <v>-0.11577229999999999</v>
      </c>
      <c r="W3391">
        <v>7.835723E-2</v>
      </c>
      <c r="X3391">
        <v>0.99018030000000001</v>
      </c>
      <c r="Y3391">
        <v>-4.6569979999999997E-2</v>
      </c>
      <c r="Z3391">
        <v>-9.5851569999999997E-4</v>
      </c>
      <c r="AA3391">
        <v>0.99891459999999999</v>
      </c>
      <c r="AB3391">
        <v>56</v>
      </c>
      <c r="AC3391">
        <v>-19.2849</v>
      </c>
      <c r="AD3391">
        <v>-1.108452049304</v>
      </c>
      <c r="AE3391">
        <v>-1.0450999999999899</v>
      </c>
      <c r="AF3391">
        <v>-0.92488288222219595</v>
      </c>
      <c r="AG3391">
        <v>-1.108452049304</v>
      </c>
      <c r="AH3391">
        <v>19.227557057613598</v>
      </c>
      <c r="AI3391">
        <v>93.295598254485597</v>
      </c>
      <c r="AJ3391">
        <v>92.7539157137779</v>
      </c>
      <c r="AK3391">
        <v>19.281675878803199</v>
      </c>
    </row>
    <row r="3392" spans="1:37" x14ac:dyDescent="0.2">
      <c r="A3392" t="str">
        <f>"20200111154132978"</f>
        <v>20200111154132978</v>
      </c>
      <c r="B3392" t="str">
        <f>"1578728492969207"</f>
        <v>1578728492969207</v>
      </c>
      <c r="C3392" t="s">
        <v>37</v>
      </c>
      <c r="D3392">
        <v>5.4575719999999999</v>
      </c>
      <c r="E3392">
        <v>0.52360890000000004</v>
      </c>
      <c r="F3392" t="s">
        <v>39</v>
      </c>
      <c r="G3392">
        <v>-374.17899999999997</v>
      </c>
      <c r="H3392" s="1">
        <v>-2.7102349999999998E-6</v>
      </c>
      <c r="I3392">
        <v>140.48349999999999</v>
      </c>
      <c r="J3392">
        <v>-354.66899999999998</v>
      </c>
      <c r="K3392">
        <v>1.1084590000000001</v>
      </c>
      <c r="L3392">
        <v>141.56209999999999</v>
      </c>
      <c r="M3392">
        <v>-0.99986649999999999</v>
      </c>
      <c r="N3392">
        <v>0</v>
      </c>
      <c r="O3392">
        <v>-5.0835709999999899E-3</v>
      </c>
      <c r="P3392">
        <v>-0.99037209999999998</v>
      </c>
      <c r="Q3392">
        <v>6.3423190000000004E-2</v>
      </c>
      <c r="R3392">
        <v>-0.1230492</v>
      </c>
      <c r="S3392">
        <v>-3.019104</v>
      </c>
      <c r="T3392">
        <v>-0.1668867</v>
      </c>
      <c r="U3392">
        <v>-0.16281129999999999</v>
      </c>
      <c r="V3392">
        <v>-0.1177113</v>
      </c>
      <c r="W3392">
        <v>7.9261830000000005E-2</v>
      </c>
      <c r="X3392">
        <v>0.98987959999999997</v>
      </c>
      <c r="Y3392">
        <v>-4.8704869999999997E-2</v>
      </c>
      <c r="Z3392">
        <v>-1.0635169999999999E-3</v>
      </c>
      <c r="AA3392">
        <v>0.9988127</v>
      </c>
      <c r="AB3392">
        <v>56</v>
      </c>
      <c r="AC3392">
        <v>-19.509999999999899</v>
      </c>
      <c r="AD3392">
        <v>-1.1084617102350001</v>
      </c>
      <c r="AE3392">
        <v>-1.07859999999999</v>
      </c>
      <c r="AF3392">
        <v>-0.97625193838870605</v>
      </c>
      <c r="AG3392">
        <v>-1.1084617102350001</v>
      </c>
      <c r="AH3392">
        <v>19.452630846818298</v>
      </c>
      <c r="AI3392">
        <v>93.257245833406401</v>
      </c>
      <c r="AJ3392">
        <v>92.873042049581699</v>
      </c>
      <c r="AK3392">
        <v>19.508628913197601</v>
      </c>
    </row>
    <row r="3393" spans="1:37" x14ac:dyDescent="0.2">
      <c r="A3393" t="str">
        <f>"20200111154132995"</f>
        <v>20200111154132995</v>
      </c>
      <c r="B3393" t="str">
        <f>"1578728492989701"</f>
        <v>1578728492989701</v>
      </c>
      <c r="C3393" t="s">
        <v>37</v>
      </c>
      <c r="D3393">
        <v>5.4505610000000004</v>
      </c>
      <c r="E3393">
        <v>0.52355249999999998</v>
      </c>
      <c r="F3393" t="s">
        <v>39</v>
      </c>
      <c r="G3393">
        <v>-374.26130000000001</v>
      </c>
      <c r="H3393" s="1">
        <v>-2.6798569999999998E-6</v>
      </c>
      <c r="I3393">
        <v>140.50190000000001</v>
      </c>
      <c r="J3393">
        <v>-355.07409999999999</v>
      </c>
      <c r="K3393">
        <v>1.108482</v>
      </c>
      <c r="L3393">
        <v>141.56030000000001</v>
      </c>
      <c r="M3393">
        <v>-0.9998686</v>
      </c>
      <c r="N3393">
        <v>0</v>
      </c>
      <c r="O3393">
        <v>-4.3539410000000001E-3</v>
      </c>
      <c r="P3393">
        <v>-0.990312999999999</v>
      </c>
      <c r="Q3393">
        <v>6.3576579999999994E-2</v>
      </c>
      <c r="R3393">
        <v>-0.123444</v>
      </c>
      <c r="S3393">
        <v>-3.0197750000000001</v>
      </c>
      <c r="T3393">
        <v>-0.17084830000000001</v>
      </c>
      <c r="U3393">
        <v>-0.16339110000000001</v>
      </c>
      <c r="V3393">
        <v>-0.118828999999999</v>
      </c>
      <c r="W3393">
        <v>7.950045E-2</v>
      </c>
      <c r="X3393">
        <v>0.98972689999999997</v>
      </c>
      <c r="Y3393">
        <v>-4.9607239999999997E-2</v>
      </c>
      <c r="Z3393">
        <v>-1.1551809999999999E-3</v>
      </c>
      <c r="AA3393">
        <v>0.998768199999999</v>
      </c>
      <c r="AB3393">
        <v>56</v>
      </c>
      <c r="AC3393">
        <v>-19.187200000000001</v>
      </c>
      <c r="AD3393">
        <v>-1.1084846798570001</v>
      </c>
      <c r="AE3393">
        <v>-1.0584</v>
      </c>
      <c r="AF3393">
        <v>-0.97160683068832598</v>
      </c>
      <c r="AG3393">
        <v>-1.1084846798570001</v>
      </c>
      <c r="AH3393">
        <v>19.127978712961198</v>
      </c>
      <c r="AI3393">
        <v>93.312374917744705</v>
      </c>
      <c r="AJ3393">
        <v>92.907843410091402</v>
      </c>
      <c r="AK3393">
        <v>19.184689931359699</v>
      </c>
    </row>
    <row r="3394" spans="1:37" x14ac:dyDescent="0.2">
      <c r="A3394" t="str">
        <f>"20200111154133010"</f>
        <v>20200111154133010</v>
      </c>
      <c r="B3394" t="str">
        <f>"1578728492999461"</f>
        <v>1578728492999461</v>
      </c>
      <c r="C3394" t="s">
        <v>37</v>
      </c>
      <c r="D3394">
        <v>5.487222</v>
      </c>
      <c r="E3394">
        <v>0.52352460000000001</v>
      </c>
      <c r="F3394" t="s">
        <v>39</v>
      </c>
      <c r="G3394">
        <v>-374.18579999999997</v>
      </c>
      <c r="H3394" s="1">
        <v>-2.716609E-6</v>
      </c>
      <c r="I3394">
        <v>140.51830000000001</v>
      </c>
      <c r="J3394">
        <v>-355.45530000000002</v>
      </c>
      <c r="K3394">
        <v>1.1085229999999999</v>
      </c>
      <c r="L3394">
        <v>141.55889999999999</v>
      </c>
      <c r="M3394">
        <v>-0.99986919999999901</v>
      </c>
      <c r="N3394">
        <v>0</v>
      </c>
      <c r="O3394">
        <v>-3.6742309999999901E-3</v>
      </c>
      <c r="P3394">
        <v>-0.99024279999999998</v>
      </c>
      <c r="Q3394">
        <v>6.3458500000000001E-2</v>
      </c>
      <c r="R3394">
        <v>-0.124067</v>
      </c>
      <c r="S3394">
        <v>-3.0200200000000001</v>
      </c>
      <c r="T3394">
        <v>-0.17516289999999901</v>
      </c>
      <c r="U3394">
        <v>-0.16465759999999999</v>
      </c>
      <c r="V3394">
        <v>-0.1201251</v>
      </c>
      <c r="W3394">
        <v>7.9518510000000001E-2</v>
      </c>
      <c r="X3394">
        <v>0.98956889999999997</v>
      </c>
      <c r="Y3394">
        <v>-5.0692790000000001E-2</v>
      </c>
      <c r="Z3394">
        <v>-1.254993E-3</v>
      </c>
      <c r="AA3394">
        <v>0.99871350000000003</v>
      </c>
      <c r="AB3394">
        <v>56</v>
      </c>
      <c r="AC3394">
        <v>-18.7304999999999</v>
      </c>
      <c r="AD3394">
        <v>-1.1085257166089999</v>
      </c>
      <c r="AE3394">
        <v>-1.04059999999998</v>
      </c>
      <c r="AF3394">
        <v>-0.96838281388042702</v>
      </c>
      <c r="AG3394">
        <v>-1.1085257166089999</v>
      </c>
      <c r="AH3394">
        <v>18.669008215838399</v>
      </c>
      <c r="AI3394">
        <v>93.393559162927801</v>
      </c>
      <c r="AJ3394">
        <v>92.969336424685295</v>
      </c>
      <c r="AK3394">
        <v>18.726944820275499</v>
      </c>
    </row>
    <row r="3395" spans="1:37" x14ac:dyDescent="0.2">
      <c r="A3395" t="str">
        <f>"20200111154133022"</f>
        <v>20200111154133022</v>
      </c>
      <c r="B3395" t="str">
        <f>"1578728493009220"</f>
        <v>1578728493009220</v>
      </c>
      <c r="C3395" t="s">
        <v>37</v>
      </c>
      <c r="D3395">
        <v>5.4519250000000001</v>
      </c>
      <c r="E3395">
        <v>0.52343700000000004</v>
      </c>
      <c r="F3395" t="s">
        <v>39</v>
      </c>
      <c r="G3395">
        <v>-374.3664</v>
      </c>
      <c r="H3395" s="1">
        <v>-2.638414E-6</v>
      </c>
      <c r="I3395">
        <v>140.5155</v>
      </c>
      <c r="J3395">
        <v>-355.77800000000002</v>
      </c>
      <c r="K3395">
        <v>1.108557</v>
      </c>
      <c r="L3395">
        <v>141.55789999999999</v>
      </c>
      <c r="M3395">
        <v>-0.9998688</v>
      </c>
      <c r="N3395">
        <v>0</v>
      </c>
      <c r="O3395">
        <v>-3.1028679999999999E-3</v>
      </c>
      <c r="P3395">
        <v>-0.9898614</v>
      </c>
      <c r="Q3395">
        <v>6.3614740000000003E-2</v>
      </c>
      <c r="R3395">
        <v>-0.12699530000000001</v>
      </c>
      <c r="S3395">
        <v>-3.0199889999999998</v>
      </c>
      <c r="T3395">
        <v>-0.17702579999999901</v>
      </c>
      <c r="U3395">
        <v>-0.1666107</v>
      </c>
      <c r="V3395">
        <v>-0.1236202</v>
      </c>
      <c r="W3395">
        <v>7.9829369999999997E-2</v>
      </c>
      <c r="X3395">
        <v>0.98911340000000003</v>
      </c>
      <c r="Y3395">
        <v>-5.1903230000000002E-2</v>
      </c>
      <c r="Z3395">
        <v>-1.337167E-3</v>
      </c>
      <c r="AA3395">
        <v>0.99865119999999896</v>
      </c>
      <c r="AB3395">
        <v>56</v>
      </c>
      <c r="AC3395">
        <v>-18.588399999999901</v>
      </c>
      <c r="AD3395">
        <v>-1.108559638414</v>
      </c>
      <c r="AE3395">
        <v>-1.04239999999998</v>
      </c>
      <c r="AF3395">
        <v>-0.98123143856511197</v>
      </c>
      <c r="AG3395">
        <v>-1.108559638414</v>
      </c>
      <c r="AH3395">
        <v>18.525862942246</v>
      </c>
      <c r="AI3395">
        <v>93.419627689489303</v>
      </c>
      <c r="AJ3395">
        <v>93.031866106183202</v>
      </c>
      <c r="AK3395">
        <v>18.584921774460899</v>
      </c>
    </row>
    <row r="3396" spans="1:37" x14ac:dyDescent="0.2">
      <c r="A3396" t="str">
        <f>"20200111154133058"</f>
        <v>20200111154133058</v>
      </c>
      <c r="B3396" t="str">
        <f>"1578728493049239"</f>
        <v>1578728493049239</v>
      </c>
      <c r="C3396" t="s">
        <v>37</v>
      </c>
      <c r="D3396">
        <v>5.4638839999999904</v>
      </c>
      <c r="E3396">
        <v>0.52321090000000003</v>
      </c>
      <c r="F3396" t="s">
        <v>39</v>
      </c>
      <c r="G3396">
        <v>-374.66820000000001</v>
      </c>
      <c r="H3396" s="1">
        <v>-2.4935809999999998E-6</v>
      </c>
      <c r="I3396">
        <v>140.4579</v>
      </c>
      <c r="J3396">
        <v>-356.6395</v>
      </c>
      <c r="K3396">
        <v>1.1086469999999999</v>
      </c>
      <c r="L3396">
        <v>141.55629999999999</v>
      </c>
      <c r="M3396">
        <v>-0.99986379999999997</v>
      </c>
      <c r="N3396">
        <v>0</v>
      </c>
      <c r="O3396">
        <v>-1.5918739999999901E-3</v>
      </c>
      <c r="P3396">
        <v>-0.98944069999999995</v>
      </c>
      <c r="Q3396">
        <v>6.186709E-2</v>
      </c>
      <c r="R3396">
        <v>-0.13107099999999999</v>
      </c>
      <c r="S3396">
        <v>-3.0195620000000001</v>
      </c>
      <c r="T3396">
        <v>-0.17720129999999901</v>
      </c>
      <c r="U3396">
        <v>-0.17582700000000001</v>
      </c>
      <c r="V3396">
        <v>-0.12919810000000001</v>
      </c>
      <c r="W3396">
        <v>7.8605369999999994E-2</v>
      </c>
      <c r="X3396">
        <v>0.9884984</v>
      </c>
      <c r="Y3396">
        <v>-5.6447339999999999E-2</v>
      </c>
      <c r="Z3396">
        <v>-1.5602000000000001E-3</v>
      </c>
      <c r="AA3396">
        <v>0.99840439999999997</v>
      </c>
      <c r="AB3396">
        <v>56</v>
      </c>
      <c r="AC3396">
        <v>-18.028700000000001</v>
      </c>
      <c r="AD3396">
        <v>-1.1086494935809901</v>
      </c>
      <c r="AE3396">
        <v>-1.0983999999999901</v>
      </c>
      <c r="AF3396">
        <v>-1.06568038944721</v>
      </c>
      <c r="AG3396">
        <v>-1.1086494935809901</v>
      </c>
      <c r="AH3396">
        <v>17.962751642309101</v>
      </c>
      <c r="AI3396">
        <v>93.525595317093604</v>
      </c>
      <c r="AJ3396">
        <v>93.3952205030062</v>
      </c>
      <c r="AK3396">
        <v>18.028455978129301</v>
      </c>
    </row>
    <row r="3397" spans="1:37" x14ac:dyDescent="0.2">
      <c r="A3397" t="str">
        <f>"20200111154133079"</f>
        <v>20200111154133079</v>
      </c>
      <c r="B3397" t="str">
        <f>"1578728493069732"</f>
        <v>1578728493069732</v>
      </c>
      <c r="C3397" t="s">
        <v>37</v>
      </c>
      <c r="D3397">
        <v>5.4511649999999996</v>
      </c>
      <c r="E3397">
        <v>0.52324009999999999</v>
      </c>
      <c r="F3397" t="s">
        <v>39</v>
      </c>
      <c r="G3397">
        <v>-374.5421</v>
      </c>
      <c r="H3397" s="1">
        <v>-2.5411059999999999E-6</v>
      </c>
      <c r="I3397">
        <v>140.4332</v>
      </c>
      <c r="J3397">
        <v>-357.17809999999997</v>
      </c>
      <c r="K3397">
        <v>1.1086860000000001</v>
      </c>
      <c r="L3397">
        <v>141.55590000000001</v>
      </c>
      <c r="M3397">
        <v>-0.99985949999999901</v>
      </c>
      <c r="N3397">
        <v>0</v>
      </c>
      <c r="O3397">
        <v>-6.5512640000000004E-4</v>
      </c>
      <c r="P3397">
        <v>-0.98926059999999905</v>
      </c>
      <c r="Q3397">
        <v>5.9478469999999999E-2</v>
      </c>
      <c r="R3397">
        <v>-0.13351370000000001</v>
      </c>
      <c r="S3397">
        <v>-3.0186459999999999</v>
      </c>
      <c r="T3397">
        <v>-0.18693570000000001</v>
      </c>
      <c r="U3397">
        <v>-0.18936159999999999</v>
      </c>
      <c r="V3397">
        <v>-0.1325761</v>
      </c>
      <c r="W3397">
        <v>7.6550220000000002E-2</v>
      </c>
      <c r="X3397">
        <v>0.98821229999999904</v>
      </c>
      <c r="Y3397">
        <v>-6.1836879999999997E-2</v>
      </c>
      <c r="Z3397">
        <v>-1.8704850000000001E-3</v>
      </c>
      <c r="AA3397">
        <v>0.99808449999999904</v>
      </c>
      <c r="AB3397">
        <v>56</v>
      </c>
      <c r="AC3397">
        <v>-17.364000000000001</v>
      </c>
      <c r="AD3397">
        <v>-1.1086885411059999</v>
      </c>
      <c r="AE3397">
        <v>-1.1227</v>
      </c>
      <c r="AF3397">
        <v>-1.10682901121156</v>
      </c>
      <c r="AG3397">
        <v>-1.1086885411059999</v>
      </c>
      <c r="AH3397">
        <v>17.294519089762201</v>
      </c>
      <c r="AI3397">
        <v>93.660535820494999</v>
      </c>
      <c r="AJ3397">
        <v>93.661868892277198</v>
      </c>
      <c r="AK3397">
        <v>17.365329000263401</v>
      </c>
    </row>
    <row r="3398" spans="1:37" x14ac:dyDescent="0.2">
      <c r="A3398" t="str">
        <f>"20200111154133100"</f>
        <v>20200111154133100</v>
      </c>
      <c r="B3398" t="str">
        <f>"1578728493089253"</f>
        <v>1578728493089253</v>
      </c>
      <c r="C3398" t="s">
        <v>37</v>
      </c>
      <c r="D3398">
        <v>6.7108429999999997</v>
      </c>
      <c r="E3398">
        <v>0.52342489999999997</v>
      </c>
      <c r="F3398" t="s">
        <v>39</v>
      </c>
      <c r="G3398">
        <v>-374.29820000000001</v>
      </c>
      <c r="H3398" s="1">
        <v>-2.6485780000000002E-6</v>
      </c>
      <c r="I3398">
        <v>140.44380000000001</v>
      </c>
      <c r="J3398">
        <v>-357.71179999999998</v>
      </c>
      <c r="K3398">
        <v>1.1087089999999999</v>
      </c>
      <c r="L3398">
        <v>141.55609999999999</v>
      </c>
      <c r="M3398">
        <v>-0.99985440000000003</v>
      </c>
      <c r="N3398">
        <v>0</v>
      </c>
      <c r="O3398">
        <v>2.6807859999999998E-4</v>
      </c>
      <c r="P3398">
        <v>-0.98906090000000002</v>
      </c>
      <c r="Q3398">
        <v>5.7587099999999898E-2</v>
      </c>
      <c r="R3398">
        <v>-0.13580120000000001</v>
      </c>
      <c r="S3398">
        <v>-3.017792</v>
      </c>
      <c r="T3398">
        <v>-0.19543150000000001</v>
      </c>
      <c r="U3398">
        <v>-0.1960297</v>
      </c>
      <c r="V3398">
        <v>-0.13578270000000001</v>
      </c>
      <c r="W3398">
        <v>7.4972609999999995E-2</v>
      </c>
      <c r="X3398">
        <v>0.987897899999999</v>
      </c>
      <c r="Y3398">
        <v>-6.4952880000000005E-2</v>
      </c>
      <c r="Z3398">
        <v>-2.1160889999999998E-3</v>
      </c>
      <c r="AA3398">
        <v>0.997886099999999</v>
      </c>
      <c r="AB3398">
        <v>56</v>
      </c>
      <c r="AC3398">
        <v>-16.586400000000001</v>
      </c>
      <c r="AD3398">
        <v>-1.108711648578</v>
      </c>
      <c r="AE3398">
        <v>-1.1122999999999701</v>
      </c>
      <c r="AF3398">
        <v>-1.11180155142181</v>
      </c>
      <c r="AG3398">
        <v>-1.108711648578</v>
      </c>
      <c r="AH3398">
        <v>16.512649620916001</v>
      </c>
      <c r="AI3398">
        <v>93.832603297471195</v>
      </c>
      <c r="AJ3398">
        <v>93.851927955454599</v>
      </c>
      <c r="AK3398">
        <v>16.587131810912201</v>
      </c>
    </row>
    <row r="3399" spans="1:37" x14ac:dyDescent="0.2">
      <c r="A3399" t="str">
        <f>"20200111154133123"</f>
        <v>20200111154133123</v>
      </c>
      <c r="B3399" t="str">
        <f>"1578728493119508"</f>
        <v>1578728493119508</v>
      </c>
      <c r="C3399" t="s">
        <v>37</v>
      </c>
      <c r="D3399">
        <v>5.2859559999999997</v>
      </c>
      <c r="E3399">
        <v>0.48645699999999997</v>
      </c>
      <c r="F3399" t="s">
        <v>39</v>
      </c>
      <c r="G3399">
        <v>-374.42320000000001</v>
      </c>
      <c r="H3399" s="1">
        <v>-2.5941689999999999E-6</v>
      </c>
      <c r="I3399">
        <v>140.441</v>
      </c>
      <c r="J3399">
        <v>-358.26679999999999</v>
      </c>
      <c r="K3399">
        <v>1.108744</v>
      </c>
      <c r="L3399">
        <v>141.55690000000001</v>
      </c>
      <c r="M3399">
        <v>-0.99984839999999997</v>
      </c>
      <c r="N3399">
        <v>0</v>
      </c>
      <c r="O3399">
        <v>1.2275769999999899E-3</v>
      </c>
      <c r="P3399">
        <v>-0.98877689999999996</v>
      </c>
      <c r="Q3399">
        <v>5.5868540000000001E-2</v>
      </c>
      <c r="R3399">
        <v>-0.13856009999999999</v>
      </c>
      <c r="S3399">
        <v>-3.0171809999999999</v>
      </c>
      <c r="T3399">
        <v>-0.20017399999999999</v>
      </c>
      <c r="U3399">
        <v>-0.20132449999999999</v>
      </c>
      <c r="V3399">
        <v>-0.13949619999999999</v>
      </c>
      <c r="W3399">
        <v>7.3564599999999994E-2</v>
      </c>
      <c r="X3399">
        <v>0.98748619999999898</v>
      </c>
      <c r="Y3399">
        <v>-6.7652210000000004E-2</v>
      </c>
      <c r="Z3399">
        <v>-2.3205140000000001E-3</v>
      </c>
      <c r="AA3399">
        <v>0.99770630000000005</v>
      </c>
      <c r="AB3399">
        <v>56</v>
      </c>
      <c r="AC3399">
        <v>-16.156400000000001</v>
      </c>
      <c r="AD3399">
        <v>-1.108746594169</v>
      </c>
      <c r="AE3399">
        <v>-1.1159000000000101</v>
      </c>
      <c r="AF3399">
        <v>-1.13043685292323</v>
      </c>
      <c r="AG3399">
        <v>-1.108746594169</v>
      </c>
      <c r="AH3399">
        <v>16.079650085335501</v>
      </c>
      <c r="AI3399">
        <v>93.934814282692898</v>
      </c>
      <c r="AJ3399">
        <v>94.021410296691798</v>
      </c>
      <c r="AK3399">
        <v>16.157424094061501</v>
      </c>
    </row>
    <row r="3400" spans="1:37" x14ac:dyDescent="0.2">
      <c r="A3400" t="str">
        <f>"20200111154133146"</f>
        <v>20200111154133146</v>
      </c>
      <c r="B3400" t="str">
        <f>"1578728493140004"</f>
        <v>1578728493140004</v>
      </c>
      <c r="C3400" t="s">
        <v>37</v>
      </c>
      <c r="D3400">
        <v>5.4652260000000004</v>
      </c>
      <c r="E3400">
        <v>0.41820029999999903</v>
      </c>
      <c r="F3400" t="s">
        <v>39</v>
      </c>
      <c r="G3400">
        <v>-377.31619999999998</v>
      </c>
      <c r="H3400" s="1">
        <v>-1.361961E-6</v>
      </c>
      <c r="I3400">
        <v>138.32919999999999</v>
      </c>
      <c r="J3400">
        <v>-358.84530000000001</v>
      </c>
      <c r="K3400">
        <v>1.108795</v>
      </c>
      <c r="L3400">
        <v>141.5583</v>
      </c>
      <c r="M3400">
        <v>-0.99984110000000004</v>
      </c>
      <c r="N3400">
        <v>0</v>
      </c>
      <c r="O3400">
        <v>2.2345920000000001E-3</v>
      </c>
      <c r="P3400">
        <v>-0.98848179999999997</v>
      </c>
      <c r="Q3400">
        <v>5.5217499999999899E-2</v>
      </c>
      <c r="R3400">
        <v>-0.14090729999999899</v>
      </c>
      <c r="S3400">
        <v>-2.9732669999999999</v>
      </c>
      <c r="T3400">
        <v>-0.17305609999999999</v>
      </c>
      <c r="U3400">
        <v>-0.50376889999999996</v>
      </c>
      <c r="V3400">
        <v>-0.1428422</v>
      </c>
      <c r="W3400">
        <v>7.3224579999999997E-2</v>
      </c>
      <c r="X3400">
        <v>0.9870331</v>
      </c>
      <c r="Y3400">
        <v>-0.1689734</v>
      </c>
      <c r="Z3400">
        <v>-5.0076929999999997E-3</v>
      </c>
      <c r="AA3400">
        <v>0.98560789999999998</v>
      </c>
      <c r="AB3400">
        <v>55</v>
      </c>
      <c r="AC3400">
        <v>-18.470899999999901</v>
      </c>
      <c r="AD3400">
        <v>-1.108796361961</v>
      </c>
      <c r="AE3400">
        <v>-3.2291000000000101</v>
      </c>
      <c r="AF3400">
        <v>-3.25897778554442</v>
      </c>
      <c r="AG3400">
        <v>-1.108796361961</v>
      </c>
      <c r="AH3400">
        <v>18.399300951031801</v>
      </c>
      <c r="AI3400">
        <v>93.395910197137994</v>
      </c>
      <c r="AJ3400">
        <v>100.044343201142</v>
      </c>
      <c r="AK3400">
        <v>18.718564075954301</v>
      </c>
    </row>
    <row r="3401" spans="1:37" x14ac:dyDescent="0.2">
      <c r="A3401" t="str">
        <f>"20200111154133168"</f>
        <v>20200111154133168</v>
      </c>
      <c r="B3401" t="str">
        <f>"1578728493159524"</f>
        <v>1578728493159524</v>
      </c>
      <c r="C3401" t="s">
        <v>37</v>
      </c>
      <c r="D3401">
        <v>5.3361689999999999</v>
      </c>
      <c r="E3401">
        <v>0.4119719</v>
      </c>
      <c r="F3401" t="s">
        <v>38</v>
      </c>
      <c r="G3401">
        <v>-360.02140000000003</v>
      </c>
      <c r="H3401">
        <v>1.014918</v>
      </c>
      <c r="I3401">
        <v>141.13339999999999</v>
      </c>
      <c r="J3401">
        <v>-359.38420000000002</v>
      </c>
      <c r="K3401">
        <v>1.1088450000000001</v>
      </c>
      <c r="L3401">
        <v>141.56020000000001</v>
      </c>
      <c r="M3401">
        <v>-0.99983339999999998</v>
      </c>
      <c r="N3401">
        <v>0</v>
      </c>
      <c r="O3401">
        <v>3.1805309999999999E-3</v>
      </c>
      <c r="P3401">
        <v>-0.98809159999999996</v>
      </c>
      <c r="Q3401">
        <v>5.5837900000000003E-2</v>
      </c>
      <c r="R3401">
        <v>-0.143377799999999</v>
      </c>
      <c r="S3401">
        <v>-2.89859</v>
      </c>
      <c r="T3401">
        <v>-0.23137170000000001</v>
      </c>
      <c r="U3401">
        <v>-1.0475459999999901</v>
      </c>
      <c r="V3401">
        <v>-0.14624519999999999</v>
      </c>
      <c r="W3401">
        <v>7.4126209999999998E-2</v>
      </c>
      <c r="X3401">
        <v>0.98646719999999899</v>
      </c>
      <c r="Y3401">
        <v>-0.34190229999999999</v>
      </c>
      <c r="Z3401">
        <v>-1.3453700000000001E-2</v>
      </c>
      <c r="AA3401">
        <v>0.93963920000000001</v>
      </c>
      <c r="AB3401">
        <v>55</v>
      </c>
      <c r="AC3401">
        <v>-0.63720000000000698</v>
      </c>
      <c r="AD3401">
        <v>-9.3927000000000094E-2</v>
      </c>
      <c r="AE3401">
        <v>-0.426800000000014</v>
      </c>
      <c r="AF3401">
        <v>-0.422487808395069</v>
      </c>
      <c r="AG3401">
        <v>-9.3927000000000094E-2</v>
      </c>
      <c r="AH3401">
        <v>0.626442941130955</v>
      </c>
      <c r="AI3401">
        <v>97.085993593689807</v>
      </c>
      <c r="AJ3401">
        <v>123.996649896671</v>
      </c>
      <c r="AK3401">
        <v>0.76141249534287903</v>
      </c>
    </row>
    <row r="3402" spans="1:37" x14ac:dyDescent="0.2">
      <c r="A3402" t="str">
        <f>"20200111154133189"</f>
        <v>20200111154133189</v>
      </c>
      <c r="B3402" t="str">
        <f>"1578728493179045"</f>
        <v>1578728493179045</v>
      </c>
      <c r="C3402" t="s">
        <v>37</v>
      </c>
      <c r="D3402">
        <v>5.2764689999999996</v>
      </c>
      <c r="E3402">
        <v>0.4118715</v>
      </c>
      <c r="F3402" t="s">
        <v>38</v>
      </c>
      <c r="G3402">
        <v>-360.47899999999998</v>
      </c>
      <c r="H3402">
        <v>1.0227930000000001</v>
      </c>
      <c r="I3402">
        <v>141.14169999999999</v>
      </c>
      <c r="J3402">
        <v>-359.91359999999997</v>
      </c>
      <c r="K3402">
        <v>1.108897</v>
      </c>
      <c r="L3402">
        <v>141.5625</v>
      </c>
      <c r="M3402">
        <v>-0.99982510000000002</v>
      </c>
      <c r="N3402">
        <v>0</v>
      </c>
      <c r="O3402">
        <v>4.11349E-3</v>
      </c>
      <c r="P3402">
        <v>-0.98759929999999996</v>
      </c>
      <c r="Q3402">
        <v>5.6992950000000001E-2</v>
      </c>
      <c r="R3402">
        <v>-0.14628650000000001</v>
      </c>
      <c r="S3402">
        <v>-2.888763</v>
      </c>
      <c r="T3402">
        <v>-0.22704479999999999</v>
      </c>
      <c r="U3402">
        <v>-1.1040190000000001</v>
      </c>
      <c r="V3402">
        <v>-0.1500715</v>
      </c>
      <c r="W3402">
        <v>7.554748E-2</v>
      </c>
      <c r="X3402">
        <v>0.98578449999999995</v>
      </c>
      <c r="Y3402">
        <v>-0.35985429999999902</v>
      </c>
      <c r="Z3402">
        <v>-1.395272E-2</v>
      </c>
      <c r="AA3402">
        <v>0.93290419999999996</v>
      </c>
      <c r="AB3402">
        <v>55</v>
      </c>
      <c r="AC3402">
        <v>-0.56540000000006696</v>
      </c>
      <c r="AD3402">
        <v>-8.6103999999999903E-2</v>
      </c>
      <c r="AE3402">
        <v>-0.420800000000014</v>
      </c>
      <c r="AF3402">
        <v>-0.41690043130170301</v>
      </c>
      <c r="AG3402">
        <v>-8.6103999999999903E-2</v>
      </c>
      <c r="AH3402">
        <v>0.55537509957916498</v>
      </c>
      <c r="AI3402">
        <v>97.068058027809997</v>
      </c>
      <c r="AJ3402">
        <v>126.894260573995</v>
      </c>
      <c r="AK3402">
        <v>0.69975807938752199</v>
      </c>
    </row>
    <row r="3403" spans="1:37" x14ac:dyDescent="0.2">
      <c r="A3403" t="str">
        <f>"20200111154133212"</f>
        <v>20200111154133212</v>
      </c>
      <c r="B3403" t="str">
        <f>"1578728493209984"</f>
        <v>1578728493209984</v>
      </c>
      <c r="C3403" t="s">
        <v>37</v>
      </c>
      <c r="D3403">
        <v>5.2131369999999997</v>
      </c>
      <c r="E3403">
        <v>0.41286239999999902</v>
      </c>
      <c r="F3403" t="s">
        <v>38</v>
      </c>
      <c r="G3403">
        <v>-361.01780000000002</v>
      </c>
      <c r="H3403">
        <v>1.024953</v>
      </c>
      <c r="I3403">
        <v>141.13659999999999</v>
      </c>
      <c r="J3403">
        <v>-360.46629999999999</v>
      </c>
      <c r="K3403">
        <v>1.108959</v>
      </c>
      <c r="L3403">
        <v>141.56540000000001</v>
      </c>
      <c r="M3403">
        <v>-0.99981549999999997</v>
      </c>
      <c r="N3403">
        <v>0</v>
      </c>
      <c r="O3403">
        <v>5.0754939999999998E-3</v>
      </c>
      <c r="P3403">
        <v>-0.98717250000000001</v>
      </c>
      <c r="Q3403">
        <v>5.8162400000000003E-2</v>
      </c>
      <c r="R3403">
        <v>-0.1486855</v>
      </c>
      <c r="S3403">
        <v>-2.8854060000000001</v>
      </c>
      <c r="T3403">
        <v>-0.2193416</v>
      </c>
      <c r="U3403">
        <v>-1.1133420000000001</v>
      </c>
      <c r="V3403">
        <v>-0.153417</v>
      </c>
      <c r="W3403">
        <v>7.6989520000000006E-2</v>
      </c>
      <c r="X3403">
        <v>0.98515779999999997</v>
      </c>
      <c r="Y3403">
        <v>-0.36378899999999997</v>
      </c>
      <c r="Z3403">
        <v>-1.37024E-2</v>
      </c>
      <c r="AA3403">
        <v>0.9313806</v>
      </c>
      <c r="AB3403">
        <v>55</v>
      </c>
      <c r="AC3403">
        <v>-0.55150000000003196</v>
      </c>
      <c r="AD3403">
        <v>-8.4005999999999997E-2</v>
      </c>
      <c r="AE3403">
        <v>-0.428800000000023</v>
      </c>
      <c r="AF3403">
        <v>-0.42544201199145598</v>
      </c>
      <c r="AG3403">
        <v>-8.4005999999999997E-2</v>
      </c>
      <c r="AH3403">
        <v>0.54148602284757796</v>
      </c>
      <c r="AI3403">
        <v>96.955172672583899</v>
      </c>
      <c r="AJ3403">
        <v>128.15648784171199</v>
      </c>
      <c r="AK3403">
        <v>0.69373267657118898</v>
      </c>
    </row>
    <row r="3404" spans="1:37" x14ac:dyDescent="0.2">
      <c r="A3404" t="str">
        <f>"20200111154133235"</f>
        <v>20200111154133235</v>
      </c>
      <c r="B3404" t="str">
        <f>"1578728493229503"</f>
        <v>1578728493229503</v>
      </c>
      <c r="C3404" t="s">
        <v>37</v>
      </c>
      <c r="D3404">
        <v>5.2010559999999897</v>
      </c>
      <c r="E3404">
        <v>0.41374329999999998</v>
      </c>
      <c r="F3404" t="s">
        <v>39</v>
      </c>
      <c r="G3404">
        <v>-375.45429999999999</v>
      </c>
      <c r="H3404" s="1">
        <v>-2.6121910000000001E-6</v>
      </c>
      <c r="I3404">
        <v>135.78380000000001</v>
      </c>
      <c r="J3404">
        <v>-361.0231</v>
      </c>
      <c r="K3404">
        <v>1.109019</v>
      </c>
      <c r="L3404">
        <v>141.56890000000001</v>
      </c>
      <c r="M3404">
        <v>-0.9998049</v>
      </c>
      <c r="N3404">
        <v>0</v>
      </c>
      <c r="O3404">
        <v>6.0132479999999997E-3</v>
      </c>
      <c r="P3404">
        <v>-0.98677300000000001</v>
      </c>
      <c r="Q3404">
        <v>5.807201E-2</v>
      </c>
      <c r="R3404">
        <v>-0.15135000000000001</v>
      </c>
      <c r="S3404">
        <v>-2.8840029999999999</v>
      </c>
      <c r="T3404">
        <v>-0.21338760000000001</v>
      </c>
      <c r="U3404">
        <v>-1.1124879999999999</v>
      </c>
      <c r="V3404">
        <v>-0.15700919999999999</v>
      </c>
      <c r="W3404">
        <v>7.7171130000000004E-2</v>
      </c>
      <c r="X3404">
        <v>0.98457739999999905</v>
      </c>
      <c r="Y3404">
        <v>-0.36461869999999902</v>
      </c>
      <c r="Z3404">
        <v>-1.3434639999999999E-2</v>
      </c>
      <c r="AA3404">
        <v>0.93106</v>
      </c>
      <c r="AB3404">
        <v>55</v>
      </c>
      <c r="AC3404">
        <v>-14.431199999999899</v>
      </c>
      <c r="AD3404">
        <v>-1.1090216121909999</v>
      </c>
      <c r="AE3404">
        <v>-5.7850999999999999</v>
      </c>
      <c r="AF3404">
        <v>-5.8420641548188597</v>
      </c>
      <c r="AG3404">
        <v>-1.1090216121909999</v>
      </c>
      <c r="AH3404">
        <v>14.323267483559199</v>
      </c>
      <c r="AI3404">
        <v>94.1007361374363</v>
      </c>
      <c r="AJ3404">
        <v>112.18918707908399</v>
      </c>
      <c r="AK3404">
        <v>15.5085664692424</v>
      </c>
    </row>
    <row r="3405" spans="1:37" x14ac:dyDescent="0.2">
      <c r="A3405" t="str">
        <f>"20200111154133257"</f>
        <v>20200111154133257</v>
      </c>
      <c r="B3405" t="str">
        <f>"1578728493250001"</f>
        <v>1578728493250001</v>
      </c>
      <c r="C3405" t="s">
        <v>37</v>
      </c>
      <c r="D3405">
        <v>5.2269180000000004</v>
      </c>
      <c r="E3405">
        <v>0.41424259999999902</v>
      </c>
      <c r="F3405" t="s">
        <v>39</v>
      </c>
      <c r="G3405">
        <v>-376.26369999999997</v>
      </c>
      <c r="H3405" s="1">
        <v>-2.3050730000000001E-6</v>
      </c>
      <c r="I3405">
        <v>135.67920000000001</v>
      </c>
      <c r="J3405">
        <v>-361.58339999999998</v>
      </c>
      <c r="K3405">
        <v>1.1090869999999999</v>
      </c>
      <c r="L3405">
        <v>141.5729</v>
      </c>
      <c r="M3405">
        <v>-0.99979359999999995</v>
      </c>
      <c r="N3405">
        <v>0</v>
      </c>
      <c r="O3405">
        <v>6.9089879999999996E-3</v>
      </c>
      <c r="P3405">
        <v>-0.98659809999999903</v>
      </c>
      <c r="Q3405">
        <v>5.6408920000000001E-2</v>
      </c>
      <c r="R3405">
        <v>-0.1531091</v>
      </c>
      <c r="S3405">
        <v>-2.8817439999999999</v>
      </c>
      <c r="T3405">
        <v>-0.2096981</v>
      </c>
      <c r="U3405">
        <v>-1.113632</v>
      </c>
      <c r="V3405">
        <v>-0.1596629</v>
      </c>
      <c r="W3405">
        <v>7.5776650000000001E-2</v>
      </c>
      <c r="X3405">
        <v>0.98425890000000005</v>
      </c>
      <c r="Y3405">
        <v>-0.3660427</v>
      </c>
      <c r="Z3405">
        <v>-1.332446E-2</v>
      </c>
      <c r="AA3405">
        <v>0.93050270000000002</v>
      </c>
      <c r="AB3405">
        <v>55</v>
      </c>
      <c r="AC3405">
        <v>-14.6802999999999</v>
      </c>
      <c r="AD3405">
        <v>-1.109089305073</v>
      </c>
      <c r="AE3405">
        <v>-5.8936999999999902</v>
      </c>
      <c r="AF3405">
        <v>-5.9656797445118297</v>
      </c>
      <c r="AG3405">
        <v>-1.109089305073</v>
      </c>
      <c r="AH3405">
        <v>14.5676159976564</v>
      </c>
      <c r="AI3405">
        <v>94.030113345078803</v>
      </c>
      <c r="AJ3405">
        <v>112.26991137879899</v>
      </c>
      <c r="AK3405">
        <v>15.780838056195901</v>
      </c>
    </row>
    <row r="3406" spans="1:37" x14ac:dyDescent="0.2">
      <c r="A3406" t="str">
        <f>"20200111154133279"</f>
        <v>20200111154133279</v>
      </c>
      <c r="B3406" t="str">
        <f>"1578728493269518"</f>
        <v>1578728493269518</v>
      </c>
      <c r="C3406" t="s">
        <v>37</v>
      </c>
      <c r="D3406">
        <v>5.2270139999999996</v>
      </c>
      <c r="E3406">
        <v>0.41478199999999998</v>
      </c>
      <c r="F3406" t="s">
        <v>39</v>
      </c>
      <c r="G3406">
        <v>-376.48680000000002</v>
      </c>
      <c r="H3406" s="1">
        <v>-2.195668E-6</v>
      </c>
      <c r="I3406">
        <v>135.80500000000001</v>
      </c>
      <c r="J3406">
        <v>-362.09730000000002</v>
      </c>
      <c r="K3406">
        <v>1.1091629999999999</v>
      </c>
      <c r="L3406">
        <v>141.577</v>
      </c>
      <c r="M3406">
        <v>-0.99978310000000004</v>
      </c>
      <c r="N3406">
        <v>0</v>
      </c>
      <c r="O3406">
        <v>7.6754850000000001E-3</v>
      </c>
      <c r="P3406">
        <v>-0.98643760000000003</v>
      </c>
      <c r="Q3406">
        <v>5.4315830000000002E-2</v>
      </c>
      <c r="R3406">
        <v>-0.15488949999999899</v>
      </c>
      <c r="S3406">
        <v>-2.8800349999999999</v>
      </c>
      <c r="T3406">
        <v>-0.21432759999999901</v>
      </c>
      <c r="U3406">
        <v>-1.114609</v>
      </c>
      <c r="V3406">
        <v>-0.16221279999999999</v>
      </c>
      <c r="W3406">
        <v>7.3924100000000006E-2</v>
      </c>
      <c r="X3406">
        <v>0.98398289999999999</v>
      </c>
      <c r="Y3406">
        <v>-0.367172</v>
      </c>
      <c r="Z3406">
        <v>-1.372016E-2</v>
      </c>
      <c r="AA3406">
        <v>0.93005190000000004</v>
      </c>
      <c r="AB3406">
        <v>55</v>
      </c>
      <c r="AC3406">
        <v>-14.3894999999999</v>
      </c>
      <c r="AD3406">
        <v>-1.109165195668</v>
      </c>
      <c r="AE3406">
        <v>-5.7719999999999896</v>
      </c>
      <c r="AF3406">
        <v>-5.8523443474389598</v>
      </c>
      <c r="AG3406">
        <v>-1.109165195668</v>
      </c>
      <c r="AH3406">
        <v>14.271721213301801</v>
      </c>
      <c r="AI3406">
        <v>94.112876104202201</v>
      </c>
      <c r="AJ3406">
        <v>112.29685512659</v>
      </c>
      <c r="AK3406">
        <v>15.464870131446</v>
      </c>
    </row>
    <row r="3407" spans="1:37" x14ac:dyDescent="0.2">
      <c r="A3407" t="str">
        <f>"20200111154133302"</f>
        <v>20200111154133302</v>
      </c>
      <c r="B3407" t="str">
        <f>"1578728493299774"</f>
        <v>1578728493299774</v>
      </c>
      <c r="C3407" t="s">
        <v>37</v>
      </c>
      <c r="D3407">
        <v>5.2197480000000001</v>
      </c>
      <c r="E3407">
        <v>0.41602699999999998</v>
      </c>
      <c r="F3407" t="s">
        <v>39</v>
      </c>
      <c r="G3407">
        <v>-376.59969999999998</v>
      </c>
      <c r="H3407" s="1">
        <v>-2.1167859999999998E-6</v>
      </c>
      <c r="I3407">
        <v>135.9571</v>
      </c>
      <c r="J3407">
        <v>-362.64769999999999</v>
      </c>
      <c r="K3407">
        <v>1.109248</v>
      </c>
      <c r="L3407">
        <v>141.58170000000001</v>
      </c>
      <c r="M3407">
        <v>-0.99977150000000004</v>
      </c>
      <c r="N3407">
        <v>0</v>
      </c>
      <c r="O3407">
        <v>8.4346839999999996E-3</v>
      </c>
      <c r="P3407">
        <v>-0.98623249999999996</v>
      </c>
      <c r="Q3407">
        <v>5.2884689999999998E-2</v>
      </c>
      <c r="R3407">
        <v>-0.15668180000000001</v>
      </c>
      <c r="S3407">
        <v>-2.8782649999999999</v>
      </c>
      <c r="T3407">
        <v>-0.2201341</v>
      </c>
      <c r="U3407">
        <v>-1.1153409999999999</v>
      </c>
      <c r="V3407">
        <v>-0.16476640000000001</v>
      </c>
      <c r="W3407">
        <v>7.2741399999999998E-2</v>
      </c>
      <c r="X3407">
        <v>0.98364660000000004</v>
      </c>
      <c r="Y3407">
        <v>-0.36822100000000002</v>
      </c>
      <c r="Z3407">
        <v>-1.4193010000000001E-2</v>
      </c>
      <c r="AA3407">
        <v>0.92962999999999996</v>
      </c>
      <c r="AB3407">
        <v>54</v>
      </c>
      <c r="AC3407">
        <v>-13.9519999999999</v>
      </c>
      <c r="AD3407">
        <v>-1.1092501167860001</v>
      </c>
      <c r="AE3407">
        <v>-5.6246000000000098</v>
      </c>
      <c r="AF3407">
        <v>-5.71105043602231</v>
      </c>
      <c r="AG3407">
        <v>-1.1092501167860001</v>
      </c>
      <c r="AH3407">
        <v>13.82886064495</v>
      </c>
      <c r="AI3407">
        <v>94.240102540480905</v>
      </c>
      <c r="AJ3407">
        <v>112.439673107069</v>
      </c>
      <c r="AK3407">
        <v>15.0027970606093</v>
      </c>
    </row>
    <row r="3408" spans="1:37" x14ac:dyDescent="0.2">
      <c r="A3408" t="str">
        <f>"20200111154133324"</f>
        <v>20200111154133324</v>
      </c>
      <c r="B3408" t="str">
        <f>"1578728493319979"</f>
        <v>1578728493319979</v>
      </c>
      <c r="C3408" t="s">
        <v>37</v>
      </c>
      <c r="D3408">
        <v>5.1779169999999999</v>
      </c>
      <c r="E3408">
        <v>0.4169794</v>
      </c>
      <c r="F3408" t="s">
        <v>39</v>
      </c>
      <c r="G3408">
        <v>-377.2045</v>
      </c>
      <c r="H3408" s="1">
        <v>-1.9100060000000001E-6</v>
      </c>
      <c r="I3408">
        <v>135.9607</v>
      </c>
      <c r="J3408">
        <v>-363.17939999999999</v>
      </c>
      <c r="K3408">
        <v>1.1093580000000001</v>
      </c>
      <c r="L3408">
        <v>141.58670000000001</v>
      </c>
      <c r="M3408">
        <v>-0.9997606</v>
      </c>
      <c r="N3408">
        <v>0</v>
      </c>
      <c r="O3408">
        <v>9.1012019999999992E-3</v>
      </c>
      <c r="P3408">
        <v>-0.98614849999999998</v>
      </c>
      <c r="Q3408">
        <v>5.2462590000000003E-2</v>
      </c>
      <c r="R3408">
        <v>-0.15734970000000001</v>
      </c>
      <c r="S3408">
        <v>-2.8771360000000001</v>
      </c>
      <c r="T3408">
        <v>-0.21924299999999999</v>
      </c>
      <c r="U3408">
        <v>-1.110962</v>
      </c>
      <c r="V3408">
        <v>-0.16610349999999999</v>
      </c>
      <c r="W3408">
        <v>7.2544529999999996E-2</v>
      </c>
      <c r="X3408">
        <v>0.98343630000000004</v>
      </c>
      <c r="Y3408">
        <v>-0.36773859999999903</v>
      </c>
      <c r="Z3408">
        <v>-1.4175899999999899E-2</v>
      </c>
      <c r="AA3408">
        <v>0.92982109999999996</v>
      </c>
      <c r="AB3408">
        <v>54</v>
      </c>
      <c r="AC3408">
        <v>-14.0251</v>
      </c>
      <c r="AD3408">
        <v>-1.1093599100060001</v>
      </c>
      <c r="AE3408">
        <v>-5.6260000000000003</v>
      </c>
      <c r="AF3408">
        <v>-5.7225965467582496</v>
      </c>
      <c r="AG3408">
        <v>-1.1093599100060001</v>
      </c>
      <c r="AH3408">
        <v>13.898402480139699</v>
      </c>
      <c r="AI3408">
        <v>94.221210916291696</v>
      </c>
      <c r="AJ3408">
        <v>112.37916549431201</v>
      </c>
      <c r="AK3408">
        <v>15.071309901493301</v>
      </c>
    </row>
    <row r="3409" spans="1:37" x14ac:dyDescent="0.2">
      <c r="A3409" t="str">
        <f>"20200111154133347"</f>
        <v>20200111154133347</v>
      </c>
      <c r="B3409" t="str">
        <f>"1578728493339499"</f>
        <v>1578728493339499</v>
      </c>
      <c r="C3409" t="s">
        <v>37</v>
      </c>
      <c r="D3409">
        <v>5.1904329999999996</v>
      </c>
      <c r="E3409">
        <v>0.41780450000000002</v>
      </c>
      <c r="F3409" t="s">
        <v>38</v>
      </c>
      <c r="G3409">
        <v>-364.3621</v>
      </c>
      <c r="H3409">
        <v>1.020594</v>
      </c>
      <c r="I3409">
        <v>141.13210000000001</v>
      </c>
      <c r="J3409">
        <v>-363.73219999999998</v>
      </c>
      <c r="K3409">
        <v>1.109478</v>
      </c>
      <c r="L3409">
        <v>141.59219999999999</v>
      </c>
      <c r="M3409">
        <v>-0.99974969999999996</v>
      </c>
      <c r="N3409">
        <v>0</v>
      </c>
      <c r="O3409">
        <v>9.7261910000000004E-3</v>
      </c>
      <c r="P3409">
        <v>-0.98592400000000002</v>
      </c>
      <c r="Q3409">
        <v>5.4060499999999997E-2</v>
      </c>
      <c r="R3409">
        <v>-0.158214299999999</v>
      </c>
      <c r="S3409">
        <v>-2.8772279999999899</v>
      </c>
      <c r="T3409">
        <v>-0.21593490000000001</v>
      </c>
      <c r="U3409">
        <v>-1.1055759999999999</v>
      </c>
      <c r="V3409">
        <v>-0.1675895</v>
      </c>
      <c r="W3409">
        <v>7.4352559999999998E-2</v>
      </c>
      <c r="X3409">
        <v>0.98304899999999995</v>
      </c>
      <c r="Y3409">
        <v>-0.36682219999999999</v>
      </c>
      <c r="Z3409">
        <v>-1.397877E-2</v>
      </c>
      <c r="AA3409">
        <v>0.93018599999999996</v>
      </c>
      <c r="AB3409">
        <v>54</v>
      </c>
      <c r="AC3409">
        <v>-0.62990000000002</v>
      </c>
      <c r="AD3409">
        <v>-8.8883999999999894E-2</v>
      </c>
      <c r="AE3409">
        <v>-0.46009999999998202</v>
      </c>
      <c r="AF3409">
        <v>-0.46023033682699399</v>
      </c>
      <c r="AG3409">
        <v>-8.8883999999999894E-2</v>
      </c>
      <c r="AH3409">
        <v>0.61737818265797195</v>
      </c>
      <c r="AI3409">
        <v>96.584350713104101</v>
      </c>
      <c r="AJ3409">
        <v>126.70303186424999</v>
      </c>
      <c r="AK3409">
        <v>0.77515685432946302</v>
      </c>
    </row>
    <row r="3410" spans="1:37" x14ac:dyDescent="0.2">
      <c r="A3410" t="str">
        <f>"20200111154133368"</f>
        <v>20200111154133368</v>
      </c>
      <c r="B3410" t="str">
        <f>"1578728493359997"</f>
        <v>1578728493359997</v>
      </c>
      <c r="C3410" t="s">
        <v>37</v>
      </c>
      <c r="D3410">
        <v>5.1861689999999996</v>
      </c>
      <c r="E3410">
        <v>0.41860639999999999</v>
      </c>
      <c r="F3410" t="s">
        <v>38</v>
      </c>
      <c r="G3410">
        <v>-364.84840000000003</v>
      </c>
      <c r="H3410">
        <v>1.028437</v>
      </c>
      <c r="I3410">
        <v>141.16499999999999</v>
      </c>
      <c r="J3410">
        <v>-364.25369999999998</v>
      </c>
      <c r="K3410">
        <v>1.1095919999999999</v>
      </c>
      <c r="L3410">
        <v>141.5977</v>
      </c>
      <c r="M3410">
        <v>-0.99974019999999997</v>
      </c>
      <c r="N3410">
        <v>0</v>
      </c>
      <c r="O3410">
        <v>1.026532E-2</v>
      </c>
      <c r="P3410">
        <v>-0.98573650000000002</v>
      </c>
      <c r="Q3410">
        <v>5.5275749999999998E-2</v>
      </c>
      <c r="R3410">
        <v>-0.15896179999999999</v>
      </c>
      <c r="S3410">
        <v>-2.8775019999999998</v>
      </c>
      <c r="T3410">
        <v>-0.2089232</v>
      </c>
      <c r="U3410">
        <v>-1.1016539999999999</v>
      </c>
      <c r="V3410">
        <v>-0.16887569999999999</v>
      </c>
      <c r="W3410">
        <v>7.5743850000000001E-2</v>
      </c>
      <c r="X3410">
        <v>0.98272269999999995</v>
      </c>
      <c r="Y3410">
        <v>-0.3662475</v>
      </c>
      <c r="Z3410">
        <v>-1.354561E-2</v>
      </c>
      <c r="AA3410">
        <v>0.93041879999999999</v>
      </c>
      <c r="AB3410">
        <v>54</v>
      </c>
      <c r="AC3410">
        <v>-0.59470000000004497</v>
      </c>
      <c r="AD3410">
        <v>-8.1154999999999797E-2</v>
      </c>
      <c r="AE3410">
        <v>-0.43270000000001102</v>
      </c>
      <c r="AF3410">
        <v>-0.43350475389809301</v>
      </c>
      <c r="AG3410">
        <v>-8.1154999999999797E-2</v>
      </c>
      <c r="AH3410">
        <v>0.58312561031625598</v>
      </c>
      <c r="AI3410">
        <v>96.372948997425297</v>
      </c>
      <c r="AJ3410">
        <v>126.627693209979</v>
      </c>
      <c r="AK3410">
        <v>0.731127884219958</v>
      </c>
    </row>
    <row r="3411" spans="1:37" x14ac:dyDescent="0.2">
      <c r="A3411" t="str">
        <f>"20200111154133391"</f>
        <v>20200111154133391</v>
      </c>
      <c r="B3411" t="str">
        <f>"1578728493379515"</f>
        <v>1578728493379515</v>
      </c>
      <c r="C3411" t="s">
        <v>37</v>
      </c>
      <c r="D3411">
        <v>5.1886219999999996</v>
      </c>
      <c r="E3411">
        <v>0.4191298</v>
      </c>
      <c r="F3411" t="s">
        <v>38</v>
      </c>
      <c r="G3411">
        <v>-365.33179999999999</v>
      </c>
      <c r="H3411">
        <v>1.033153</v>
      </c>
      <c r="I3411">
        <v>141.1865</v>
      </c>
      <c r="J3411">
        <v>-364.78250000000003</v>
      </c>
      <c r="K3411">
        <v>1.109696</v>
      </c>
      <c r="L3411">
        <v>141.6035</v>
      </c>
      <c r="M3411">
        <v>-0.99973089999999998</v>
      </c>
      <c r="N3411">
        <v>0</v>
      </c>
      <c r="O3411">
        <v>1.076179E-2</v>
      </c>
      <c r="P3411">
        <v>-0.98554549999999996</v>
      </c>
      <c r="Q3411">
        <v>5.7084820000000001E-2</v>
      </c>
      <c r="R3411">
        <v>-0.159504799999999</v>
      </c>
      <c r="S3411">
        <v>-2.877869</v>
      </c>
      <c r="T3411">
        <v>-0.20404149999999999</v>
      </c>
      <c r="U3411">
        <v>-1.0974120000000001</v>
      </c>
      <c r="V3411">
        <v>-0.1699145</v>
      </c>
      <c r="W3411">
        <v>7.7709280000000006E-2</v>
      </c>
      <c r="X3411">
        <v>0.98239009999999904</v>
      </c>
      <c r="Y3411">
        <v>-0.36551319999999998</v>
      </c>
      <c r="Z3411">
        <v>-1.3240490000000001E-2</v>
      </c>
      <c r="AA3411">
        <v>0.93071199999999998</v>
      </c>
      <c r="AB3411">
        <v>54</v>
      </c>
      <c r="AC3411">
        <v>-0.54929999999995904</v>
      </c>
      <c r="AD3411">
        <v>-7.6543E-2</v>
      </c>
      <c r="AE3411">
        <v>-0.41700000000000098</v>
      </c>
      <c r="AF3411">
        <v>-0.41774265556268497</v>
      </c>
      <c r="AG3411">
        <v>-7.6543E-2</v>
      </c>
      <c r="AH3411">
        <v>0.538150455415906</v>
      </c>
      <c r="AI3411">
        <v>96.410587646437506</v>
      </c>
      <c r="AJ3411">
        <v>127.820625607843</v>
      </c>
      <c r="AK3411">
        <v>0.68554625649179302</v>
      </c>
    </row>
    <row r="3412" spans="1:37" x14ac:dyDescent="0.2">
      <c r="A3412" t="str">
        <f>"20200111154133413"</f>
        <v>20200111154133413</v>
      </c>
      <c r="B3412" t="str">
        <f>"1578728493409465"</f>
        <v>1578728493409465</v>
      </c>
      <c r="C3412" t="s">
        <v>37</v>
      </c>
      <c r="D3412">
        <v>5.2537839999999996</v>
      </c>
      <c r="E3412">
        <v>0.41954719999999901</v>
      </c>
      <c r="F3412" t="s">
        <v>39</v>
      </c>
      <c r="G3412">
        <v>-380.88199999999898</v>
      </c>
      <c r="H3412" s="1">
        <v>-4.6274930000000002E-6</v>
      </c>
      <c r="I3412">
        <v>135.48050000000001</v>
      </c>
      <c r="J3412">
        <v>-365.31950000000001</v>
      </c>
      <c r="K3412">
        <v>1.1097969999999999</v>
      </c>
      <c r="L3412">
        <v>141.6097</v>
      </c>
      <c r="M3412">
        <v>-0.99972240000000001</v>
      </c>
      <c r="N3412">
        <v>0</v>
      </c>
      <c r="O3412">
        <v>1.1210639999999999E-2</v>
      </c>
      <c r="P3412">
        <v>-0.98543259999999899</v>
      </c>
      <c r="Q3412">
        <v>5.8190449999999998E-2</v>
      </c>
      <c r="R3412">
        <v>-0.15980239999999901</v>
      </c>
      <c r="S3412">
        <v>-2.87829599999999</v>
      </c>
      <c r="T3412">
        <v>-0.19839489999999901</v>
      </c>
      <c r="U3412">
        <v>-1.0946659999999999</v>
      </c>
      <c r="V3412">
        <v>-0.17066410000000001</v>
      </c>
      <c r="W3412">
        <v>7.895191E-2</v>
      </c>
      <c r="X3412">
        <v>0.98216099999999995</v>
      </c>
      <c r="Y3412">
        <v>-0.36515399999999998</v>
      </c>
      <c r="Z3412">
        <v>-1.2893150000000001E-2</v>
      </c>
      <c r="AA3412">
        <v>0.93085779999999996</v>
      </c>
      <c r="AB3412">
        <v>54</v>
      </c>
      <c r="AC3412">
        <v>-15.562499999999901</v>
      </c>
      <c r="AD3412">
        <v>-1.1098016274929901</v>
      </c>
      <c r="AE3412">
        <v>-6.1291999999999902</v>
      </c>
      <c r="AF3412">
        <v>-6.2756884955187804</v>
      </c>
      <c r="AG3412">
        <v>-1.1098016274929901</v>
      </c>
      <c r="AH3412">
        <v>15.4248852822413</v>
      </c>
      <c r="AI3412">
        <v>93.812786054226805</v>
      </c>
      <c r="AJ3412">
        <v>112.139185311104</v>
      </c>
      <c r="AK3412">
        <v>16.689607895797799</v>
      </c>
    </row>
    <row r="3413" spans="1:37" x14ac:dyDescent="0.2">
      <c r="A3413" t="str">
        <f>"20200111154133436"</f>
        <v>20200111154133436</v>
      </c>
      <c r="B3413" t="str">
        <f>"1578728493429944"</f>
        <v>1578728493429944</v>
      </c>
      <c r="C3413" t="s">
        <v>37</v>
      </c>
      <c r="D3413">
        <v>5.1969260000000004</v>
      </c>
      <c r="E3413">
        <v>0.41972920000000002</v>
      </c>
      <c r="F3413" t="s">
        <v>39</v>
      </c>
      <c r="G3413">
        <v>-381.88049999999998</v>
      </c>
      <c r="H3413" s="1">
        <v>-4.2262439999999998E-6</v>
      </c>
      <c r="I3413">
        <v>135.32769999999999</v>
      </c>
      <c r="J3413">
        <v>-365.87450000000001</v>
      </c>
      <c r="K3413">
        <v>1.1099030000000001</v>
      </c>
      <c r="L3413">
        <v>141.61619999999999</v>
      </c>
      <c r="M3413">
        <v>-0.99971460000000001</v>
      </c>
      <c r="N3413">
        <v>0</v>
      </c>
      <c r="O3413">
        <v>1.1606160000000001E-2</v>
      </c>
      <c r="P3413">
        <v>-0.98520180000000002</v>
      </c>
      <c r="Q3413">
        <v>5.9033490000000001E-2</v>
      </c>
      <c r="R3413">
        <v>-0.1609119</v>
      </c>
      <c r="S3413">
        <v>-2.8786320000000001</v>
      </c>
      <c r="T3413">
        <v>-0.19290679999999999</v>
      </c>
      <c r="U3413">
        <v>-1.0919190000000001</v>
      </c>
      <c r="V3413">
        <v>-0.17217560000000001</v>
      </c>
      <c r="W3413">
        <v>7.9910640000000005E-2</v>
      </c>
      <c r="X3413">
        <v>0.98181969999999996</v>
      </c>
      <c r="Y3413">
        <v>-0.36475239999999998</v>
      </c>
      <c r="Z3413">
        <v>-1.2550540000000001E-2</v>
      </c>
      <c r="AA3413">
        <v>0.93101999999999996</v>
      </c>
      <c r="AB3413">
        <v>53</v>
      </c>
      <c r="AC3413">
        <v>-16.005999999999901</v>
      </c>
      <c r="AD3413">
        <v>-1.109907226244</v>
      </c>
      <c r="AE3413">
        <v>-6.2884999999999902</v>
      </c>
      <c r="AF3413">
        <v>-6.4470298574482401</v>
      </c>
      <c r="AG3413">
        <v>-1.109907226244</v>
      </c>
      <c r="AH3413">
        <v>15.8658310679838</v>
      </c>
      <c r="AI3413">
        <v>93.708127268933396</v>
      </c>
      <c r="AJ3413">
        <v>112.11420927530401</v>
      </c>
      <c r="AK3413">
        <v>17.161604922369499</v>
      </c>
    </row>
    <row r="3414" spans="1:37" x14ac:dyDescent="0.2">
      <c r="A3414" t="str">
        <f>"20200111154133459"</f>
        <v>20200111154133459</v>
      </c>
      <c r="B3414" t="str">
        <f>"1578728493449464"</f>
        <v>1578728493449464</v>
      </c>
      <c r="C3414" t="s">
        <v>37</v>
      </c>
      <c r="D3414">
        <v>5.3732329999999999</v>
      </c>
      <c r="E3414">
        <v>0.45130439999999999</v>
      </c>
      <c r="F3414" t="s">
        <v>39</v>
      </c>
      <c r="G3414">
        <v>-382.65499999999997</v>
      </c>
      <c r="H3414" s="1">
        <v>-3.9098539999999996E-6</v>
      </c>
      <c r="I3414">
        <v>135.23820000000001</v>
      </c>
      <c r="J3414">
        <v>-366.39510000000001</v>
      </c>
      <c r="K3414">
        <v>1.110009</v>
      </c>
      <c r="L3414">
        <v>141.62260000000001</v>
      </c>
      <c r="M3414">
        <v>-0.99970820000000005</v>
      </c>
      <c r="N3414">
        <v>0</v>
      </c>
      <c r="O3414">
        <v>1.190123E-2</v>
      </c>
      <c r="P3414">
        <v>-0.98494020000000004</v>
      </c>
      <c r="Q3414">
        <v>5.8623300000000003E-2</v>
      </c>
      <c r="R3414">
        <v>-0.1626533</v>
      </c>
      <c r="S3414">
        <v>-2.877777</v>
      </c>
      <c r="T3414">
        <v>-0.1903446</v>
      </c>
      <c r="U3414">
        <v>-1.093796</v>
      </c>
      <c r="V3414">
        <v>-0.17422279999999901</v>
      </c>
      <c r="W3414">
        <v>7.9590759999999997E-2</v>
      </c>
      <c r="X3414">
        <v>0.98148449999999998</v>
      </c>
      <c r="Y3414">
        <v>-0.3656663</v>
      </c>
      <c r="Z3414">
        <v>-1.2434260000000001E-2</v>
      </c>
      <c r="AA3414">
        <v>0.93066299999999902</v>
      </c>
      <c r="AB3414">
        <v>53</v>
      </c>
      <c r="AC3414">
        <v>-16.259899999999899</v>
      </c>
      <c r="AD3414">
        <v>-1.1100129098539999</v>
      </c>
      <c r="AE3414">
        <v>-6.3843999999999896</v>
      </c>
      <c r="AF3414">
        <v>-6.5510510752248399</v>
      </c>
      <c r="AG3414">
        <v>-1.1100129098539999</v>
      </c>
      <c r="AH3414">
        <v>16.117668235547601</v>
      </c>
      <c r="AI3414">
        <v>93.650559645705002</v>
      </c>
      <c r="AJ3414">
        <v>112.11935923777401</v>
      </c>
      <c r="AK3414">
        <v>17.4335202469675</v>
      </c>
    </row>
    <row r="3415" spans="1:37" x14ac:dyDescent="0.2">
      <c r="A3415" t="str">
        <f>"20200111154133479"</f>
        <v>20200111154133479</v>
      </c>
      <c r="B3415" t="str">
        <f>"1578728493469961"</f>
        <v>1578728493469961</v>
      </c>
      <c r="C3415" t="s">
        <v>37</v>
      </c>
      <c r="D3415">
        <v>5.4579940000000002</v>
      </c>
      <c r="E3415">
        <v>0.51290349999999996</v>
      </c>
      <c r="F3415" t="s">
        <v>39</v>
      </c>
      <c r="G3415">
        <v>-379.35849999999999</v>
      </c>
      <c r="H3415" s="1">
        <v>-6.6958709999999896E-7</v>
      </c>
      <c r="I3415">
        <v>137.86779999999999</v>
      </c>
      <c r="J3415">
        <v>-366.9</v>
      </c>
      <c r="K3415">
        <v>1.1101259999999999</v>
      </c>
      <c r="L3415">
        <v>141.62880000000001</v>
      </c>
      <c r="M3415">
        <v>-0.99970300000000001</v>
      </c>
      <c r="N3415">
        <v>0</v>
      </c>
      <c r="O3415">
        <v>1.211374E-2</v>
      </c>
      <c r="P3415">
        <v>-0.98482789999999998</v>
      </c>
      <c r="Q3415">
        <v>5.7831420000000001E-2</v>
      </c>
      <c r="R3415">
        <v>-0.16361489999999901</v>
      </c>
      <c r="S3415">
        <v>-2.9210509999999998</v>
      </c>
      <c r="T3415">
        <v>-0.25012119999999999</v>
      </c>
      <c r="U3415">
        <v>-0.84605409999999903</v>
      </c>
      <c r="V3415">
        <v>-0.17541289999999901</v>
      </c>
      <c r="W3415">
        <v>7.8881069999999998E-2</v>
      </c>
      <c r="X3415">
        <v>0.98132969999999897</v>
      </c>
      <c r="Y3415">
        <v>-0.28880640000000002</v>
      </c>
      <c r="Z3415">
        <v>-1.311029E-2</v>
      </c>
      <c r="AA3415">
        <v>0.95729769999999903</v>
      </c>
      <c r="AB3415">
        <v>53</v>
      </c>
      <c r="AC3415">
        <v>-12.458500000000001</v>
      </c>
      <c r="AD3415">
        <v>-1.1101266695870999</v>
      </c>
      <c r="AE3415">
        <v>-3.7610000000000201</v>
      </c>
      <c r="AF3415">
        <v>-3.8834181385070301</v>
      </c>
      <c r="AG3415">
        <v>-1.1101266695870999</v>
      </c>
      <c r="AH3415">
        <v>12.3223491588603</v>
      </c>
      <c r="AI3415">
        <v>94.911045868983294</v>
      </c>
      <c r="AJ3415">
        <v>107.492371604806</v>
      </c>
      <c r="AK3415">
        <v>12.9674055405806</v>
      </c>
    </row>
    <row r="3416" spans="1:37" x14ac:dyDescent="0.2">
      <c r="A3416" t="str">
        <f>"20200111154133502"</f>
        <v>20200111154133502</v>
      </c>
      <c r="B3416" t="str">
        <f>"1578728493489481"</f>
        <v>1578728493489481</v>
      </c>
      <c r="C3416" t="s">
        <v>37</v>
      </c>
      <c r="D3416">
        <v>5.5519790000000002</v>
      </c>
      <c r="E3416">
        <v>0.53034650000000005</v>
      </c>
      <c r="F3416" t="s">
        <v>39</v>
      </c>
      <c r="G3416">
        <v>-395.43439999999998</v>
      </c>
      <c r="H3416" s="1">
        <v>-2.21272699999999E-6</v>
      </c>
      <c r="I3416">
        <v>138.0838</v>
      </c>
      <c r="J3416">
        <v>-367.42349999999999</v>
      </c>
      <c r="K3416">
        <v>1.1102529999999999</v>
      </c>
      <c r="L3416">
        <v>141.6352</v>
      </c>
      <c r="M3416">
        <v>-0.99969850000000005</v>
      </c>
      <c r="N3416">
        <v>0</v>
      </c>
      <c r="O3416">
        <v>1.2241760000000001E-2</v>
      </c>
      <c r="P3416">
        <v>-0.98493529999999996</v>
      </c>
      <c r="Q3416">
        <v>5.5201880000000002E-2</v>
      </c>
      <c r="R3416">
        <v>-0.16387699999999999</v>
      </c>
      <c r="S3416">
        <v>-2.991333</v>
      </c>
      <c r="T3416">
        <v>-0.11637749999999999</v>
      </c>
      <c r="U3416">
        <v>-0.37161250000000001</v>
      </c>
      <c r="V3416">
        <v>-0.1758277</v>
      </c>
      <c r="W3416">
        <v>7.6341019999999996E-2</v>
      </c>
      <c r="X3416">
        <v>0.98145640000000001</v>
      </c>
      <c r="Y3416">
        <v>-0.13531399999999999</v>
      </c>
      <c r="Z3416">
        <v>-3.0955809999999901E-3</v>
      </c>
      <c r="AA3416">
        <v>0.99079789999999901</v>
      </c>
      <c r="AB3416">
        <v>53</v>
      </c>
      <c r="AC3416">
        <v>-28.0108999999999</v>
      </c>
      <c r="AD3416">
        <v>-1.110255212727</v>
      </c>
      <c r="AE3416">
        <v>-3.5514000000000001</v>
      </c>
      <c r="AF3416">
        <v>-3.8881023927986602</v>
      </c>
      <c r="AG3416">
        <v>-1.110255212727</v>
      </c>
      <c r="AH3416">
        <v>27.922141632813801</v>
      </c>
      <c r="AI3416">
        <v>92.255288807033594</v>
      </c>
      <c r="AJ3416">
        <v>97.927347901597003</v>
      </c>
      <c r="AK3416">
        <v>28.213401074971301</v>
      </c>
    </row>
    <row r="3417" spans="1:37" x14ac:dyDescent="0.2">
      <c r="A3417" t="str">
        <f>"20200111154133526"</f>
        <v>20200111154133526</v>
      </c>
      <c r="B3417" t="str">
        <f>"1578728493519743"</f>
        <v>1578728493519743</v>
      </c>
      <c r="C3417" t="s">
        <v>37</v>
      </c>
      <c r="D3417">
        <v>5.3865939999999997</v>
      </c>
      <c r="E3417">
        <v>0.53354939999999995</v>
      </c>
      <c r="F3417" t="s">
        <v>39</v>
      </c>
      <c r="G3417">
        <v>-384.85399999999998</v>
      </c>
      <c r="H3417" s="1">
        <v>-2.3715270000000002E-6</v>
      </c>
      <c r="I3417">
        <v>140.2987</v>
      </c>
      <c r="J3417">
        <v>-367.97289999999998</v>
      </c>
      <c r="K3417">
        <v>1.1104160000000001</v>
      </c>
      <c r="L3417">
        <v>141.642</v>
      </c>
      <c r="M3417">
        <v>-0.99969549999999996</v>
      </c>
      <c r="N3417">
        <v>0</v>
      </c>
      <c r="O3417">
        <v>1.2222449999999999E-2</v>
      </c>
      <c r="P3417">
        <v>-0.98504499999999995</v>
      </c>
      <c r="Q3417">
        <v>5.2620090000000001E-2</v>
      </c>
      <c r="R3417">
        <v>-0.16406579999999901</v>
      </c>
      <c r="S3417">
        <v>-3.0181580000000001</v>
      </c>
      <c r="T3417">
        <v>-0.19224549999999899</v>
      </c>
      <c r="U3417">
        <v>-0.231414799999999</v>
      </c>
      <c r="V3417">
        <v>-0.1760275</v>
      </c>
      <c r="W3417">
        <v>7.3841359999999995E-2</v>
      </c>
      <c r="X3417">
        <v>0.98161180000000003</v>
      </c>
      <c r="Y3417">
        <v>-8.8430739999999994E-2</v>
      </c>
      <c r="Z3417">
        <v>-3.5862509999999999E-3</v>
      </c>
      <c r="AA3417">
        <v>0.99607590000000001</v>
      </c>
      <c r="AB3417">
        <v>53</v>
      </c>
      <c r="AC3417">
        <v>-16.8811</v>
      </c>
      <c r="AD3417">
        <v>-1.110418371527</v>
      </c>
      <c r="AE3417">
        <v>-1.3432999999999899</v>
      </c>
      <c r="AF3417">
        <v>-1.5429413685742299</v>
      </c>
      <c r="AG3417">
        <v>-1.110418371527</v>
      </c>
      <c r="AH3417">
        <v>16.791220328050802</v>
      </c>
      <c r="AI3417">
        <v>93.7676847201149</v>
      </c>
      <c r="AJ3417">
        <v>95.250152154024306</v>
      </c>
      <c r="AK3417">
        <v>16.8984844625733</v>
      </c>
    </row>
    <row r="3418" spans="1:37" x14ac:dyDescent="0.2">
      <c r="A3418" t="str">
        <f>"20200111154133548"</f>
        <v>20200111154133548</v>
      </c>
      <c r="B3418" t="str">
        <f>"1578728493539260"</f>
        <v>1578728493539260</v>
      </c>
      <c r="C3418" t="s">
        <v>37</v>
      </c>
      <c r="D3418">
        <v>5.4670559999999897</v>
      </c>
      <c r="E3418">
        <v>0.53384929999999997</v>
      </c>
      <c r="F3418" t="s">
        <v>39</v>
      </c>
      <c r="G3418">
        <v>-383.30489999999998</v>
      </c>
      <c r="H3418" s="1">
        <v>-3.1149450000000002E-6</v>
      </c>
      <c r="I3418">
        <v>140.59520000000001</v>
      </c>
      <c r="J3418">
        <v>-368.50069999999999</v>
      </c>
      <c r="K3418">
        <v>1.110598</v>
      </c>
      <c r="L3418">
        <v>141.64830000000001</v>
      </c>
      <c r="M3418">
        <v>-0.999695</v>
      </c>
      <c r="N3418">
        <v>0</v>
      </c>
      <c r="O3418">
        <v>1.20343E-2</v>
      </c>
      <c r="P3418">
        <v>-0.98513449999999902</v>
      </c>
      <c r="Q3418">
        <v>5.2389730000000002E-2</v>
      </c>
      <c r="R3418">
        <v>-0.1636012</v>
      </c>
      <c r="S3418">
        <v>-3.0228579999999998</v>
      </c>
      <c r="T3418">
        <v>-0.21893009999999999</v>
      </c>
      <c r="U3418">
        <v>-0.20637510000000001</v>
      </c>
      <c r="V3418">
        <v>-0.17540910000000001</v>
      </c>
      <c r="W3418">
        <v>7.3670169999999993E-2</v>
      </c>
      <c r="X3418">
        <v>0.98173539999999904</v>
      </c>
      <c r="Y3418">
        <v>-7.9877500000000004E-2</v>
      </c>
      <c r="Z3418">
        <v>-3.7551419999999999E-3</v>
      </c>
      <c r="AA3418">
        <v>0.99679759999999995</v>
      </c>
      <c r="AB3418">
        <v>52</v>
      </c>
      <c r="AC3418">
        <v>-14.8041999999999</v>
      </c>
      <c r="AD3418">
        <v>-1.1106011149449999</v>
      </c>
      <c r="AE3418">
        <v>-1.0530999999999999</v>
      </c>
      <c r="AF3418">
        <v>-1.2243674080522</v>
      </c>
      <c r="AG3418">
        <v>-1.1106011149449999</v>
      </c>
      <c r="AH3418">
        <v>14.7080922793483</v>
      </c>
      <c r="AI3418">
        <v>94.303354357849102</v>
      </c>
      <c r="AJ3418">
        <v>94.758585511458406</v>
      </c>
      <c r="AK3418">
        <v>14.8006921758492</v>
      </c>
    </row>
    <row r="3419" spans="1:37" x14ac:dyDescent="0.2">
      <c r="A3419" t="str">
        <f>"20200111154133569"</f>
        <v>20200111154133569</v>
      </c>
      <c r="B3419" t="str">
        <f>"1578728493559756"</f>
        <v>1578728493559756</v>
      </c>
      <c r="C3419" t="s">
        <v>37</v>
      </c>
      <c r="D3419">
        <v>5.402285</v>
      </c>
      <c r="E3419">
        <v>0.53389609999999998</v>
      </c>
      <c r="F3419" t="s">
        <v>39</v>
      </c>
      <c r="G3419">
        <v>-383.416</v>
      </c>
      <c r="H3419" s="1">
        <v>-3.0808860000000001E-6</v>
      </c>
      <c r="I3419">
        <v>140.64619999999999</v>
      </c>
      <c r="J3419">
        <v>-368.99209999999999</v>
      </c>
      <c r="K3419">
        <v>1.1107910000000001</v>
      </c>
      <c r="L3419">
        <v>141.654</v>
      </c>
      <c r="M3419">
        <v>-0.99969649999999999</v>
      </c>
      <c r="N3419">
        <v>0</v>
      </c>
      <c r="O3419">
        <v>1.1716580000000001E-2</v>
      </c>
      <c r="P3419">
        <v>-0.98505499999999901</v>
      </c>
      <c r="Q3419">
        <v>5.3272550000000002E-2</v>
      </c>
      <c r="R3419">
        <v>-0.16379649999999901</v>
      </c>
      <c r="S3419">
        <v>-3.0234679999999998</v>
      </c>
      <c r="T3419">
        <v>-0.22512969999999999</v>
      </c>
      <c r="U3419">
        <v>-0.203125</v>
      </c>
      <c r="V3419">
        <v>-0.1753208</v>
      </c>
      <c r="W3419">
        <v>7.4588429999999997E-2</v>
      </c>
      <c r="X3419">
        <v>0.98168180000000005</v>
      </c>
      <c r="Y3419">
        <v>-7.8471449999999998E-2</v>
      </c>
      <c r="Z3419">
        <v>-3.7847290000000001E-3</v>
      </c>
      <c r="AA3419">
        <v>0.99690919999999905</v>
      </c>
      <c r="AB3419">
        <v>52</v>
      </c>
      <c r="AC3419">
        <v>-14.4239</v>
      </c>
      <c r="AD3419">
        <v>-1.110794080886</v>
      </c>
      <c r="AE3419">
        <v>-1.0078</v>
      </c>
      <c r="AF3419">
        <v>-1.16986492213125</v>
      </c>
      <c r="AG3419">
        <v>-1.110794080886</v>
      </c>
      <c r="AH3419">
        <v>14.326545872670501</v>
      </c>
      <c r="AI3419">
        <v>94.418850650696598</v>
      </c>
      <c r="AJ3419">
        <v>94.668252715384895</v>
      </c>
      <c r="AK3419">
        <v>14.417085838264899</v>
      </c>
    </row>
    <row r="3420" spans="1:37" x14ac:dyDescent="0.2">
      <c r="A3420" t="str">
        <f>"20200111154133586"</f>
        <v>20200111154133586</v>
      </c>
      <c r="B3420" t="str">
        <f>"1578728493579277"</f>
        <v>1578728493579277</v>
      </c>
      <c r="C3420" t="s">
        <v>37</v>
      </c>
      <c r="D3420">
        <v>5.4306429999999999</v>
      </c>
      <c r="E3420">
        <v>0.53399919999999901</v>
      </c>
      <c r="F3420" t="s">
        <v>39</v>
      </c>
      <c r="G3420">
        <v>-383.87599999999998</v>
      </c>
      <c r="H3420" s="1">
        <v>-2.884429E-6</v>
      </c>
      <c r="I3420">
        <v>140.64959999999999</v>
      </c>
      <c r="J3420">
        <v>-369.38909999999998</v>
      </c>
      <c r="K3420">
        <v>1.110954</v>
      </c>
      <c r="L3420">
        <v>141.6585</v>
      </c>
      <c r="M3420">
        <v>-0.99969889999999995</v>
      </c>
      <c r="N3420">
        <v>0</v>
      </c>
      <c r="O3420">
        <v>1.1351150000000001E-2</v>
      </c>
      <c r="P3420">
        <v>-0.98490679999999997</v>
      </c>
      <c r="Q3420">
        <v>5.3817089999999998E-2</v>
      </c>
      <c r="R3420">
        <v>-0.1645064</v>
      </c>
      <c r="S3420">
        <v>-3.0238040000000002</v>
      </c>
      <c r="T3420">
        <v>-0.2256688</v>
      </c>
      <c r="U3420">
        <v>-0.20404049999999899</v>
      </c>
      <c r="V3420">
        <v>-0.17569679999999999</v>
      </c>
      <c r="W3420">
        <v>7.5147130000000006E-2</v>
      </c>
      <c r="X3420">
        <v>0.981571999999999</v>
      </c>
      <c r="Y3420">
        <v>-7.8400220000000007E-2</v>
      </c>
      <c r="Z3420">
        <v>-3.7634459999999902E-3</v>
      </c>
      <c r="AA3420">
        <v>0.99691489999999905</v>
      </c>
      <c r="AB3420">
        <v>52</v>
      </c>
      <c r="AC3420">
        <v>-14.486899999999901</v>
      </c>
      <c r="AD3420">
        <v>-1.1109568844290001</v>
      </c>
      <c r="AE3420">
        <v>-1.0089000000000099</v>
      </c>
      <c r="AF3420">
        <v>-1.1664899751214</v>
      </c>
      <c r="AG3420">
        <v>-1.1109568844290001</v>
      </c>
      <c r="AH3420">
        <v>14.3902919928454</v>
      </c>
      <c r="AI3420">
        <v>94.400206515537704</v>
      </c>
      <c r="AJ3420">
        <v>94.634314507912407</v>
      </c>
      <c r="AK3420">
        <v>14.4801736074009</v>
      </c>
    </row>
    <row r="3421" spans="1:37" x14ac:dyDescent="0.2">
      <c r="A3421" t="str">
        <f>"20200111154133600"</f>
        <v>20200111154133600</v>
      </c>
      <c r="B3421" t="str">
        <f>"1578728493590014"</f>
        <v>1578728493590014</v>
      </c>
      <c r="C3421" t="s">
        <v>37</v>
      </c>
      <c r="D3421">
        <v>5.4184939999999999</v>
      </c>
      <c r="E3421">
        <v>0.53399459999999999</v>
      </c>
      <c r="F3421" t="s">
        <v>39</v>
      </c>
      <c r="G3421">
        <v>-384.31020000000001</v>
      </c>
      <c r="H3421" s="1">
        <v>-2.69670799999999E-6</v>
      </c>
      <c r="I3421">
        <v>140.64400000000001</v>
      </c>
      <c r="J3421">
        <v>-369.72469999999998</v>
      </c>
      <c r="K3421">
        <v>1.1111</v>
      </c>
      <c r="L3421">
        <v>141.66200000000001</v>
      </c>
      <c r="M3421">
        <v>-0.99970199999999998</v>
      </c>
      <c r="N3421">
        <v>0</v>
      </c>
      <c r="O3421">
        <v>1.095191E-2</v>
      </c>
      <c r="P3421">
        <v>-0.98473909999999998</v>
      </c>
      <c r="Q3421">
        <v>5.4036380000000002E-2</v>
      </c>
      <c r="R3421">
        <v>-0.16543659999999999</v>
      </c>
      <c r="S3421">
        <v>-3.0239560000000001</v>
      </c>
      <c r="T3421">
        <v>-0.22515149999999901</v>
      </c>
      <c r="U3421">
        <v>-0.20556639999999901</v>
      </c>
      <c r="V3421">
        <v>-0.17625729999999901</v>
      </c>
      <c r="W3421">
        <v>7.5367279999999995E-2</v>
      </c>
      <c r="X3421">
        <v>0.98145459999999995</v>
      </c>
      <c r="Y3421">
        <v>-7.8501459999999995E-2</v>
      </c>
      <c r="Z3421">
        <v>-3.7286909999999901E-3</v>
      </c>
      <c r="AA3421">
        <v>0.99690699999999999</v>
      </c>
      <c r="AB3421">
        <v>52</v>
      </c>
      <c r="AC3421">
        <v>-14.5855</v>
      </c>
      <c r="AD3421">
        <v>-1.111102696708</v>
      </c>
      <c r="AE3421">
        <v>-1.018</v>
      </c>
      <c r="AF3421">
        <v>-1.17095372060142</v>
      </c>
      <c r="AG3421">
        <v>-1.111102696708</v>
      </c>
      <c r="AH3421">
        <v>14.489793940639</v>
      </c>
      <c r="AI3421">
        <v>94.370765969526403</v>
      </c>
      <c r="AJ3421">
        <v>94.620164227666706</v>
      </c>
      <c r="AK3421">
        <v>14.5794310677955</v>
      </c>
    </row>
    <row r="3422" spans="1:37" x14ac:dyDescent="0.2">
      <c r="A3422" t="str">
        <f>"20200111154133617"</f>
        <v>20200111154133617</v>
      </c>
      <c r="B3422" t="str">
        <f>"1578728493609533"</f>
        <v>1578728493609533</v>
      </c>
      <c r="C3422" t="s">
        <v>37</v>
      </c>
      <c r="D3422">
        <v>5.4287599999999996</v>
      </c>
      <c r="E3422">
        <v>0.53411439999999999</v>
      </c>
      <c r="F3422" t="s">
        <v>39</v>
      </c>
      <c r="G3422">
        <v>-384.66699999999997</v>
      </c>
      <c r="H3422" s="1">
        <v>-2.5405079999999999E-6</v>
      </c>
      <c r="I3422">
        <v>140.63229999999999</v>
      </c>
      <c r="J3422">
        <v>-370.07859999999999</v>
      </c>
      <c r="K3422">
        <v>1.111262</v>
      </c>
      <c r="L3422">
        <v>141.66550000000001</v>
      </c>
      <c r="M3422">
        <v>-0.9997064</v>
      </c>
      <c r="N3422">
        <v>0</v>
      </c>
      <c r="O3422">
        <v>1.041276E-2</v>
      </c>
      <c r="P3422">
        <v>-0.98446199999999995</v>
      </c>
      <c r="Q3422">
        <v>5.3774570000000001E-2</v>
      </c>
      <c r="R3422">
        <v>-0.1671609</v>
      </c>
      <c r="S3422">
        <v>-3.0238649999999998</v>
      </c>
      <c r="T3422">
        <v>-0.22485349999999901</v>
      </c>
      <c r="U3422">
        <v>-0.20835879999999901</v>
      </c>
      <c r="V3422">
        <v>-0.1774772</v>
      </c>
      <c r="W3422">
        <v>7.5092930000000002E-2</v>
      </c>
      <c r="X3422">
        <v>0.98125580000000001</v>
      </c>
      <c r="Y3422">
        <v>-7.8883259999999997E-2</v>
      </c>
      <c r="Z3422">
        <v>-3.6979220000000002E-3</v>
      </c>
      <c r="AA3422">
        <v>0.99687700000000001</v>
      </c>
      <c r="AB3422">
        <v>52</v>
      </c>
      <c r="AC3422">
        <v>-14.588399999999901</v>
      </c>
      <c r="AD3422">
        <v>-1.1112645405079999</v>
      </c>
      <c r="AE3422">
        <v>-1.0332000000000201</v>
      </c>
      <c r="AF3422">
        <v>-1.17828290450114</v>
      </c>
      <c r="AG3422">
        <v>-1.1112645405079999</v>
      </c>
      <c r="AH3422">
        <v>14.493169928137799</v>
      </c>
      <c r="AI3422">
        <v>94.370215157086406</v>
      </c>
      <c r="AJ3422">
        <v>94.647878030897701</v>
      </c>
      <c r="AK3422">
        <v>14.583388976774501</v>
      </c>
    </row>
    <row r="3423" spans="1:37" x14ac:dyDescent="0.2">
      <c r="A3423" t="str">
        <f>"20200111154133637"</f>
        <v>20200111154133637</v>
      </c>
      <c r="B3423" t="str">
        <f>"1578728493630029"</f>
        <v>1578728493630029</v>
      </c>
      <c r="C3423" t="s">
        <v>37</v>
      </c>
      <c r="D3423">
        <v>5.4632290000000001</v>
      </c>
      <c r="E3423">
        <v>0.53401169999999998</v>
      </c>
      <c r="F3423" t="s">
        <v>39</v>
      </c>
      <c r="G3423">
        <v>-384.86099999999999</v>
      </c>
      <c r="H3423" s="1">
        <v>-2.455829E-6</v>
      </c>
      <c r="I3423">
        <v>140.6268</v>
      </c>
      <c r="J3423">
        <v>-370.57190000000003</v>
      </c>
      <c r="K3423">
        <v>1.111505</v>
      </c>
      <c r="L3423">
        <v>141.66990000000001</v>
      </c>
      <c r="M3423">
        <v>-0.99971399999999999</v>
      </c>
      <c r="N3423">
        <v>0</v>
      </c>
      <c r="O3423">
        <v>9.4865390000000004E-3</v>
      </c>
      <c r="P3423">
        <v>-0.98431349999999995</v>
      </c>
      <c r="Q3423">
        <v>5.255638E-2</v>
      </c>
      <c r="R3423">
        <v>-0.1684185</v>
      </c>
      <c r="S3423">
        <v>-3.023682</v>
      </c>
      <c r="T3423">
        <v>-0.22730649999999999</v>
      </c>
      <c r="U3423">
        <v>-0.2124481</v>
      </c>
      <c r="V3423">
        <v>-0.17786479999999999</v>
      </c>
      <c r="W3423">
        <v>7.3846590000000004E-2</v>
      </c>
      <c r="X3423">
        <v>0.98128019999999905</v>
      </c>
      <c r="Y3423">
        <v>-7.9301609999999995E-2</v>
      </c>
      <c r="Z3423">
        <v>-3.6844159999999998E-3</v>
      </c>
      <c r="AA3423">
        <v>0.9968439</v>
      </c>
      <c r="AB3423">
        <v>52</v>
      </c>
      <c r="AC3423">
        <v>-14.2890999999999</v>
      </c>
      <c r="AD3423">
        <v>-1.1115074558289999</v>
      </c>
      <c r="AE3423">
        <v>-1.0430999999999999</v>
      </c>
      <c r="AF3423">
        <v>-1.1715883138322201</v>
      </c>
      <c r="AG3423">
        <v>-1.1115074558289999</v>
      </c>
      <c r="AH3423">
        <v>14.193133886208701</v>
      </c>
      <c r="AI3423">
        <v>94.462750571184799</v>
      </c>
      <c r="AJ3423">
        <v>94.718846567232802</v>
      </c>
      <c r="AK3423">
        <v>14.2847162209586</v>
      </c>
    </row>
    <row r="3424" spans="1:37" x14ac:dyDescent="0.2">
      <c r="A3424" t="str">
        <f>"20200111154133659"</f>
        <v>20200111154133659</v>
      </c>
      <c r="B3424" t="str">
        <f>"1578728493649548"</f>
        <v>1578728493649548</v>
      </c>
      <c r="C3424" t="s">
        <v>37</v>
      </c>
      <c r="D3424">
        <v>5.472137</v>
      </c>
      <c r="E3424">
        <v>0.53403599999999996</v>
      </c>
      <c r="F3424" t="s">
        <v>39</v>
      </c>
      <c r="G3424">
        <v>-385.05650000000003</v>
      </c>
      <c r="H3424" s="1">
        <v>-2.372641E-6</v>
      </c>
      <c r="I3424">
        <v>140.6293</v>
      </c>
      <c r="J3424">
        <v>-371.06869999999998</v>
      </c>
      <c r="K3424">
        <v>1.111777</v>
      </c>
      <c r="L3424">
        <v>141.6738</v>
      </c>
      <c r="M3424">
        <v>-0.99972280000000002</v>
      </c>
      <c r="N3424">
        <v>0</v>
      </c>
      <c r="O3424">
        <v>8.3146069999999999E-3</v>
      </c>
      <c r="P3424">
        <v>-0.98417089999999996</v>
      </c>
      <c r="Q3424">
        <v>5.1681159999999997E-2</v>
      </c>
      <c r="R3424">
        <v>-0.16951949999999999</v>
      </c>
      <c r="S3424">
        <v>-3.0230709999999998</v>
      </c>
      <c r="T3424">
        <v>-0.23198379999999899</v>
      </c>
      <c r="U3424">
        <v>-0.21717829999999999</v>
      </c>
      <c r="V3424">
        <v>-0.17785870000000001</v>
      </c>
      <c r="W3424">
        <v>7.2924989999999995E-2</v>
      </c>
      <c r="X3424">
        <v>0.98135019999999995</v>
      </c>
      <c r="Y3424">
        <v>-7.9690940000000002E-2</v>
      </c>
      <c r="Z3424">
        <v>-3.6857420000000001E-3</v>
      </c>
      <c r="AA3424">
        <v>0.99681280000000005</v>
      </c>
      <c r="AB3424">
        <v>52</v>
      </c>
      <c r="AC3424">
        <v>-13.9878</v>
      </c>
      <c r="AD3424">
        <v>-1.1117793726409999</v>
      </c>
      <c r="AE3424">
        <v>-1.04449999999999</v>
      </c>
      <c r="AF3424">
        <v>-1.15354814547202</v>
      </c>
      <c r="AG3424">
        <v>-1.1117793726409999</v>
      </c>
      <c r="AH3424">
        <v>13.8913588764969</v>
      </c>
      <c r="AI3424">
        <v>94.560220654209601</v>
      </c>
      <c r="AJ3424">
        <v>94.746990184869901</v>
      </c>
      <c r="AK3424">
        <v>13.9834394242969</v>
      </c>
    </row>
    <row r="3425" spans="1:37" x14ac:dyDescent="0.2">
      <c r="A3425" t="str">
        <f>"20200111154133681"</f>
        <v>20200111154133681</v>
      </c>
      <c r="B3425" t="str">
        <f>"1578728493670044"</f>
        <v>1578728493670044</v>
      </c>
      <c r="C3425" t="s">
        <v>37</v>
      </c>
      <c r="D3425">
        <v>5.4599260000000003</v>
      </c>
      <c r="E3425">
        <v>0.53406899999999902</v>
      </c>
      <c r="F3425" t="s">
        <v>39</v>
      </c>
      <c r="G3425">
        <v>-385.36090000000002</v>
      </c>
      <c r="H3425" s="1">
        <v>-2.2425989999999899E-6</v>
      </c>
      <c r="I3425">
        <v>140.63149999999999</v>
      </c>
      <c r="J3425">
        <v>-371.56490000000002</v>
      </c>
      <c r="K3425">
        <v>1.1120749999999999</v>
      </c>
      <c r="L3425">
        <v>141.67679999999999</v>
      </c>
      <c r="M3425">
        <v>-0.99973239999999997</v>
      </c>
      <c r="N3425">
        <v>0</v>
      </c>
      <c r="O3425">
        <v>6.8981759999999998E-3</v>
      </c>
      <c r="P3425">
        <v>-0.98382409999999998</v>
      </c>
      <c r="Q3425">
        <v>5.0616939999999999E-2</v>
      </c>
      <c r="R3425">
        <v>-0.17183879999999899</v>
      </c>
      <c r="S3425">
        <v>-3.0226439999999899</v>
      </c>
      <c r="T3425">
        <v>-0.235128899999999</v>
      </c>
      <c r="U3425">
        <v>-0.2204132</v>
      </c>
      <c r="V3425">
        <v>-0.1788312</v>
      </c>
      <c r="W3425">
        <v>7.1791170000000001E-2</v>
      </c>
      <c r="X3425">
        <v>0.98125709999999999</v>
      </c>
      <c r="Y3425">
        <v>-7.9348210000000002E-2</v>
      </c>
      <c r="Z3425">
        <v>-3.6127409999999901E-3</v>
      </c>
      <c r="AA3425">
        <v>0.99684039999999996</v>
      </c>
      <c r="AB3425">
        <v>51</v>
      </c>
      <c r="AC3425">
        <v>-13.7959999999999</v>
      </c>
      <c r="AD3425">
        <v>-1.112077242599</v>
      </c>
      <c r="AE3425">
        <v>-1.0452999999999899</v>
      </c>
      <c r="AF3425">
        <v>-1.1331446889738299</v>
      </c>
      <c r="AG3425">
        <v>-1.112077242599</v>
      </c>
      <c r="AH3425">
        <v>13.699948351002501</v>
      </c>
      <c r="AI3425">
        <v>94.625018126218606</v>
      </c>
      <c r="AJ3425">
        <v>94.728263022706102</v>
      </c>
      <c r="AK3425">
        <v>13.791639405806499</v>
      </c>
    </row>
    <row r="3426" spans="1:37" x14ac:dyDescent="0.2">
      <c r="A3426" t="str">
        <f>"20200111154133697"</f>
        <v>20200111154133697</v>
      </c>
      <c r="B3426" t="str">
        <f>"1578728493689564"</f>
        <v>1578728493689564</v>
      </c>
      <c r="C3426" t="s">
        <v>37</v>
      </c>
      <c r="D3426">
        <v>5.4587449999999897</v>
      </c>
      <c r="E3426">
        <v>0.53407059999999995</v>
      </c>
      <c r="F3426" t="s">
        <v>39</v>
      </c>
      <c r="G3426">
        <v>-385.64240000000001</v>
      </c>
      <c r="H3426" s="1">
        <v>-2.118388E-6</v>
      </c>
      <c r="I3426">
        <v>140.61850000000001</v>
      </c>
      <c r="J3426">
        <v>-371.93310000000002</v>
      </c>
      <c r="K3426">
        <v>1.112301</v>
      </c>
      <c r="L3426">
        <v>141.67840000000001</v>
      </c>
      <c r="M3426">
        <v>-0.99973919999999905</v>
      </c>
      <c r="N3426">
        <v>0</v>
      </c>
      <c r="O3426">
        <v>5.6668040000000001E-3</v>
      </c>
      <c r="P3426">
        <v>-0.98353519999999905</v>
      </c>
      <c r="Q3426">
        <v>5.03708E-2</v>
      </c>
      <c r="R3426">
        <v>-0.1735555</v>
      </c>
      <c r="S3426">
        <v>-3.0219419999999899</v>
      </c>
      <c r="T3426">
        <v>-0.23872460000000001</v>
      </c>
      <c r="U3426">
        <v>-0.22717289999999901</v>
      </c>
      <c r="V3426">
        <v>-0.17937320000000001</v>
      </c>
      <c r="W3426">
        <v>7.1484889999999995E-2</v>
      </c>
      <c r="X3426">
        <v>0.98118050000000001</v>
      </c>
      <c r="Y3426">
        <v>-8.0347479999999999E-2</v>
      </c>
      <c r="Z3426">
        <v>-3.6106979999999999E-3</v>
      </c>
      <c r="AA3426">
        <v>0.99676039999999999</v>
      </c>
      <c r="AB3426">
        <v>51</v>
      </c>
      <c r="AC3426">
        <v>-13.709299999999899</v>
      </c>
      <c r="AD3426">
        <v>-1.1123031183879999</v>
      </c>
      <c r="AE3426">
        <v>-1.0598999999999901</v>
      </c>
      <c r="AF3426">
        <v>-1.13019418388005</v>
      </c>
      <c r="AG3426">
        <v>-1.1123031183879999</v>
      </c>
      <c r="AH3426">
        <v>13.613985351403601</v>
      </c>
      <c r="AI3426">
        <v>94.654918665391904</v>
      </c>
      <c r="AJ3426">
        <v>94.745649852762796</v>
      </c>
      <c r="AK3426">
        <v>13.7060262026848</v>
      </c>
    </row>
    <row r="3427" spans="1:37" x14ac:dyDescent="0.2">
      <c r="A3427" t="str">
        <f>"20200111154133712"</f>
        <v>20200111154133712</v>
      </c>
      <c r="B3427" t="str">
        <f>"1578728493699325"</f>
        <v>1578728493699325</v>
      </c>
      <c r="C3427" t="s">
        <v>37</v>
      </c>
      <c r="D3427">
        <v>5.4520169999999997</v>
      </c>
      <c r="E3427">
        <v>0.53404580000000001</v>
      </c>
      <c r="F3427" t="s">
        <v>39</v>
      </c>
      <c r="G3427">
        <v>-385.98759999999999</v>
      </c>
      <c r="H3427" s="1">
        <v>-1.9645119999999999E-6</v>
      </c>
      <c r="I3427">
        <v>140.5968</v>
      </c>
      <c r="J3427">
        <v>-372.26209999999998</v>
      </c>
      <c r="K3427">
        <v>1.1125069999999999</v>
      </c>
      <c r="L3427">
        <v>141.67939999999999</v>
      </c>
      <c r="M3427">
        <v>-0.99974449999999904</v>
      </c>
      <c r="N3427">
        <v>0</v>
      </c>
      <c r="O3427">
        <v>4.4581759999999899E-3</v>
      </c>
      <c r="P3427">
        <v>-0.98315789999999903</v>
      </c>
      <c r="Q3427">
        <v>5.000959E-2</v>
      </c>
      <c r="R3427">
        <v>-0.17578250000000001</v>
      </c>
      <c r="S3427">
        <v>-3.0214539999999999</v>
      </c>
      <c r="T3427">
        <v>-0.23912449999999999</v>
      </c>
      <c r="U3427">
        <v>-0.23251340000000001</v>
      </c>
      <c r="V3427">
        <v>-0.1804443</v>
      </c>
      <c r="W3427">
        <v>7.1061579999999999E-2</v>
      </c>
      <c r="X3427">
        <v>0.98101479999999996</v>
      </c>
      <c r="Y3427">
        <v>-8.0907279999999998E-2</v>
      </c>
      <c r="Z3427">
        <v>-3.5437579999999902E-3</v>
      </c>
      <c r="AA3427">
        <v>0.99671529999999997</v>
      </c>
      <c r="AB3427">
        <v>51</v>
      </c>
      <c r="AC3427">
        <v>-13.7255</v>
      </c>
      <c r="AD3427">
        <v>-1.1125089645119901</v>
      </c>
      <c r="AE3427">
        <v>-1.08259999999998</v>
      </c>
      <c r="AF3427">
        <v>-1.1363753858116801</v>
      </c>
      <c r="AG3427">
        <v>-1.1125089645119901</v>
      </c>
      <c r="AH3427">
        <v>13.631533487189801</v>
      </c>
      <c r="AI3427">
        <v>94.649676602333997</v>
      </c>
      <c r="AJ3427">
        <v>94.765370894943203</v>
      </c>
      <c r="AK3427">
        <v>13.7239837666027</v>
      </c>
    </row>
    <row r="3428" spans="1:37" x14ac:dyDescent="0.2">
      <c r="A3428" t="str">
        <f>"20200111154133726"</f>
        <v>20200111154133726</v>
      </c>
      <c r="B3428" t="str">
        <f>"1578728493719821"</f>
        <v>1578728493719821</v>
      </c>
      <c r="C3428" t="s">
        <v>37</v>
      </c>
      <c r="D3428">
        <v>5.4736979999999997</v>
      </c>
      <c r="E3428">
        <v>0.53404359999999995</v>
      </c>
      <c r="F3428" t="s">
        <v>39</v>
      </c>
      <c r="G3428">
        <v>-386.24419999999998</v>
      </c>
      <c r="H3428" s="1">
        <v>-1.8477969999999901E-6</v>
      </c>
      <c r="I3428">
        <v>140.57169999999999</v>
      </c>
      <c r="J3428">
        <v>-372.60120000000001</v>
      </c>
      <c r="K3428">
        <v>1.1127129999999901</v>
      </c>
      <c r="L3428">
        <v>141.68</v>
      </c>
      <c r="M3428">
        <v>-0.99974879999999999</v>
      </c>
      <c r="N3428">
        <v>0</v>
      </c>
      <c r="O3428">
        <v>3.115647E-3</v>
      </c>
      <c r="P3428">
        <v>-0.98272440000000005</v>
      </c>
      <c r="Q3428">
        <v>4.8691169999999999E-2</v>
      </c>
      <c r="R3428">
        <v>-0.17855479999999899</v>
      </c>
      <c r="S3428">
        <v>-3.0208740000000001</v>
      </c>
      <c r="T3428">
        <v>-0.24036250000000001</v>
      </c>
      <c r="U3428">
        <v>-0.23930360000000001</v>
      </c>
      <c r="V3428">
        <v>-0.18192520000000001</v>
      </c>
      <c r="W3428">
        <v>6.9673150000000003E-2</v>
      </c>
      <c r="X3428">
        <v>0.98084090000000002</v>
      </c>
      <c r="Y3428">
        <v>-8.1808829999999999E-2</v>
      </c>
      <c r="Z3428">
        <v>-3.4916529999999999E-3</v>
      </c>
      <c r="AA3428">
        <v>0.99664189999999997</v>
      </c>
      <c r="AB3428">
        <v>51</v>
      </c>
      <c r="AC3428">
        <v>-13.642999999999899</v>
      </c>
      <c r="AD3428">
        <v>-1.1127148477969999</v>
      </c>
      <c r="AE3428">
        <v>-1.1083000000000101</v>
      </c>
      <c r="AF3428">
        <v>-1.1432568509961001</v>
      </c>
      <c r="AG3428">
        <v>-1.1127148477969999</v>
      </c>
      <c r="AH3428">
        <v>13.5499374343849</v>
      </c>
      <c r="AI3428">
        <v>94.678022589569906</v>
      </c>
      <c r="AJ3428">
        <v>94.822827779098802</v>
      </c>
      <c r="AK3428">
        <v>13.643532351836299</v>
      </c>
    </row>
    <row r="3429" spans="1:37" x14ac:dyDescent="0.2">
      <c r="A3429" t="str">
        <f>"20200111154133749"</f>
        <v>20200111154133749</v>
      </c>
      <c r="B3429" t="str">
        <f>"1578728493739340"</f>
        <v>1578728493739340</v>
      </c>
      <c r="C3429" t="s">
        <v>37</v>
      </c>
      <c r="D3429">
        <v>5.4603099999999998</v>
      </c>
      <c r="E3429">
        <v>0.53409989999999996</v>
      </c>
      <c r="F3429" t="s">
        <v>39</v>
      </c>
      <c r="G3429">
        <v>-386.3981</v>
      </c>
      <c r="H3429" s="1">
        <v>-1.775707E-6</v>
      </c>
      <c r="I3429">
        <v>140.54900000000001</v>
      </c>
      <c r="J3429">
        <v>-373.09629999999999</v>
      </c>
      <c r="K3429">
        <v>1.113011</v>
      </c>
      <c r="L3429">
        <v>141.6798</v>
      </c>
      <c r="M3429">
        <v>-0.99975259999999999</v>
      </c>
      <c r="N3429">
        <v>0</v>
      </c>
      <c r="O3429">
        <v>9.4646809999999896E-4</v>
      </c>
      <c r="P3429">
        <v>-0.98203090000000004</v>
      </c>
      <c r="Q3429">
        <v>4.8019979999999997E-2</v>
      </c>
      <c r="R3429">
        <v>-0.18250939999999999</v>
      </c>
      <c r="S3429">
        <v>-3.0198360000000002</v>
      </c>
      <c r="T3429">
        <v>-0.24354970000000001</v>
      </c>
      <c r="U3429">
        <v>-0.2475281</v>
      </c>
      <c r="V3429">
        <v>-0.1837935</v>
      </c>
      <c r="W3429">
        <v>6.8896810000000003E-2</v>
      </c>
      <c r="X3429">
        <v>0.98054739999999996</v>
      </c>
      <c r="Y3429">
        <v>-8.2368189999999994E-2</v>
      </c>
      <c r="Z3429">
        <v>-3.386689E-3</v>
      </c>
      <c r="AA3429">
        <v>0.99659619999999904</v>
      </c>
      <c r="AB3429">
        <v>51</v>
      </c>
      <c r="AC3429">
        <v>-13.3018</v>
      </c>
      <c r="AD3429">
        <v>-1.1130127757070001</v>
      </c>
      <c r="AE3429">
        <v>-1.13079999999999</v>
      </c>
      <c r="AF3429">
        <v>-1.13549938760043</v>
      </c>
      <c r="AG3429">
        <v>-1.1130127757070001</v>
      </c>
      <c r="AH3429">
        <v>13.2089073627155</v>
      </c>
      <c r="AI3429">
        <v>94.798879877967806</v>
      </c>
      <c r="AJ3429">
        <v>94.913333590812499</v>
      </c>
      <c r="AK3429">
        <v>13.3042620996028</v>
      </c>
    </row>
    <row r="3430" spans="1:37" x14ac:dyDescent="0.2">
      <c r="A3430" t="str">
        <f>"20200111154133770"</f>
        <v>20200111154133770</v>
      </c>
      <c r="B3430" t="str">
        <f>"1578728493759837"</f>
        <v>1578728493759837</v>
      </c>
      <c r="C3430" t="s">
        <v>37</v>
      </c>
      <c r="D3430">
        <v>5.4445759999999996</v>
      </c>
      <c r="E3430">
        <v>0.53419910000000004</v>
      </c>
      <c r="F3430" t="s">
        <v>39</v>
      </c>
      <c r="G3430">
        <v>-386.82799999999997</v>
      </c>
      <c r="H3430" s="1">
        <v>-1.5783129999999999E-6</v>
      </c>
      <c r="I3430">
        <v>140.50020000000001</v>
      </c>
      <c r="J3430">
        <v>-373.59190000000001</v>
      </c>
      <c r="K3430">
        <v>1.1132869999999999</v>
      </c>
      <c r="L3430">
        <v>141.67840000000001</v>
      </c>
      <c r="M3430">
        <v>-0.99975119999999895</v>
      </c>
      <c r="N3430">
        <v>0</v>
      </c>
      <c r="O3430">
        <v>-1.4236679999999999E-3</v>
      </c>
      <c r="P3430">
        <v>-0.98115049999999904</v>
      </c>
      <c r="Q3430">
        <v>4.7829160000000003E-2</v>
      </c>
      <c r="R3430">
        <v>-0.18723239999999999</v>
      </c>
      <c r="S3430">
        <v>-3.018707</v>
      </c>
      <c r="T3430">
        <v>-0.24467929999999899</v>
      </c>
      <c r="U3430">
        <v>-0.25929259999999998</v>
      </c>
      <c r="V3430">
        <v>-0.18623429999999999</v>
      </c>
      <c r="W3430">
        <v>6.8590940000000003E-2</v>
      </c>
      <c r="X3430">
        <v>0.98010819999999998</v>
      </c>
      <c r="Y3430">
        <v>-8.3892759999999997E-2</v>
      </c>
      <c r="Z3430">
        <v>-3.2731399999999999E-3</v>
      </c>
      <c r="AA3430">
        <v>0.99646939999999995</v>
      </c>
      <c r="AB3430">
        <v>51</v>
      </c>
      <c r="AC3430">
        <v>-13.2361</v>
      </c>
      <c r="AD3430">
        <v>-1.113288578313</v>
      </c>
      <c r="AE3430">
        <v>-1.1781999999999999</v>
      </c>
      <c r="AF3430">
        <v>-1.1512696985297699</v>
      </c>
      <c r="AG3430">
        <v>-1.113288578313</v>
      </c>
      <c r="AH3430">
        <v>13.1454976834258</v>
      </c>
      <c r="AI3430">
        <v>94.822441123171402</v>
      </c>
      <c r="AJ3430">
        <v>95.005137220346299</v>
      </c>
      <c r="AK3430">
        <v>13.242693937500301</v>
      </c>
    </row>
    <row r="3431" spans="1:37" x14ac:dyDescent="0.2">
      <c r="A3431" t="str">
        <f>"20200111154133793"</f>
        <v>20200111154133793</v>
      </c>
      <c r="B3431" t="str">
        <f>"1578728493789116"</f>
        <v>1578728493789116</v>
      </c>
      <c r="C3431" t="s">
        <v>37</v>
      </c>
      <c r="D3431">
        <v>5.4544990000000002</v>
      </c>
      <c r="E3431">
        <v>0.53436209999999995</v>
      </c>
      <c r="F3431" t="s">
        <v>39</v>
      </c>
      <c r="G3431">
        <v>-387.34010000000001</v>
      </c>
      <c r="H3431" s="1">
        <v>-1.341148E-6</v>
      </c>
      <c r="I3431">
        <v>140.43450000000001</v>
      </c>
      <c r="J3431">
        <v>-374.09800000000001</v>
      </c>
      <c r="K3431">
        <v>1.1135429999999999</v>
      </c>
      <c r="L3431">
        <v>141.6756</v>
      </c>
      <c r="M3431">
        <v>-0.99974379999999996</v>
      </c>
      <c r="N3431">
        <v>0</v>
      </c>
      <c r="O3431">
        <v>-4.0250909999999997E-3</v>
      </c>
      <c r="P3431">
        <v>-0.98015839999999999</v>
      </c>
      <c r="Q3431">
        <v>4.7136089999999999E-2</v>
      </c>
      <c r="R3431">
        <v>-0.19252929999999999</v>
      </c>
      <c r="S3431">
        <v>-3.0174560000000001</v>
      </c>
      <c r="T3431">
        <v>-0.24434510000000001</v>
      </c>
      <c r="U3431">
        <v>-0.27297969999999999</v>
      </c>
      <c r="V3431">
        <v>-0.18901889999999999</v>
      </c>
      <c r="W3431">
        <v>6.7766499999999993E-2</v>
      </c>
      <c r="X3431">
        <v>0.97963239999999996</v>
      </c>
      <c r="Y3431">
        <v>-8.5822899999999994E-2</v>
      </c>
      <c r="Z3431">
        <v>-3.137323E-3</v>
      </c>
      <c r="AA3431">
        <v>0.99630549999999996</v>
      </c>
      <c r="AB3431">
        <v>50</v>
      </c>
      <c r="AC3431">
        <v>-13.242099999999899</v>
      </c>
      <c r="AD3431">
        <v>-1.1135443411479999</v>
      </c>
      <c r="AE3431">
        <v>-1.2410999999999801</v>
      </c>
      <c r="AF3431">
        <v>-1.17950799054148</v>
      </c>
      <c r="AG3431">
        <v>-1.1135443411479999</v>
      </c>
      <c r="AH3431">
        <v>13.154777642592</v>
      </c>
      <c r="AI3431">
        <v>94.819277690012896</v>
      </c>
      <c r="AJ3431">
        <v>95.123658680074897</v>
      </c>
      <c r="AK3431">
        <v>13.254410395241701</v>
      </c>
    </row>
    <row r="3432" spans="1:37" x14ac:dyDescent="0.2">
      <c r="A3432" t="str">
        <f>"20200111154133816"</f>
        <v>20200111154133816</v>
      </c>
      <c r="B3432" t="str">
        <f>"1578728493809612"</f>
        <v>1578728493809612</v>
      </c>
      <c r="C3432" t="s">
        <v>37</v>
      </c>
      <c r="D3432">
        <v>5.5482009999999997</v>
      </c>
      <c r="E3432">
        <v>0.53414609999999996</v>
      </c>
      <c r="F3432" t="s">
        <v>39</v>
      </c>
      <c r="G3432">
        <v>-387.695999999999</v>
      </c>
      <c r="H3432" s="1">
        <v>-1.173603E-6</v>
      </c>
      <c r="I3432">
        <v>140.37880000000001</v>
      </c>
      <c r="J3432">
        <v>-374.6053</v>
      </c>
      <c r="K3432">
        <v>1.113775</v>
      </c>
      <c r="L3432">
        <v>141.67140000000001</v>
      </c>
      <c r="M3432">
        <v>-0.99972909999999904</v>
      </c>
      <c r="N3432">
        <v>0</v>
      </c>
      <c r="O3432">
        <v>-6.791961E-3</v>
      </c>
      <c r="P3432">
        <v>-0.97918139999999998</v>
      </c>
      <c r="Q3432">
        <v>4.568767E-2</v>
      </c>
      <c r="R3432">
        <v>-0.19777990000000001</v>
      </c>
      <c r="S3432">
        <v>-3.0160830000000001</v>
      </c>
      <c r="T3432">
        <v>-0.24698809999999999</v>
      </c>
      <c r="U3432">
        <v>-0.2876282</v>
      </c>
      <c r="V3432">
        <v>-0.19158919999999999</v>
      </c>
      <c r="W3432">
        <v>6.6176479999999996E-2</v>
      </c>
      <c r="X3432">
        <v>0.97924169999999999</v>
      </c>
      <c r="Y3432">
        <v>-8.7899950000000004E-2</v>
      </c>
      <c r="Z3432">
        <v>-3.030867E-3</v>
      </c>
      <c r="AA3432">
        <v>0.99612469999999997</v>
      </c>
      <c r="AB3432">
        <v>50</v>
      </c>
      <c r="AC3432">
        <v>-13.090699999999901</v>
      </c>
      <c r="AD3432">
        <v>-1.1137761736030001</v>
      </c>
      <c r="AE3432">
        <v>-1.29259999999999</v>
      </c>
      <c r="AF3432">
        <v>-1.1950692010333599</v>
      </c>
      <c r="AG3432">
        <v>-1.1137761736030001</v>
      </c>
      <c r="AH3432">
        <v>13.005940281605101</v>
      </c>
      <c r="AI3432">
        <v>94.874203458845699</v>
      </c>
      <c r="AJ3432">
        <v>95.249961444532204</v>
      </c>
      <c r="AK3432">
        <v>13.1081337485099</v>
      </c>
    </row>
    <row r="3433" spans="1:37" x14ac:dyDescent="0.2">
      <c r="A3433" t="str">
        <f>"20200111154133831"</f>
        <v>20200111154133831</v>
      </c>
      <c r="B3433" t="str">
        <f>"1578728493819374"</f>
        <v>1578728493819374</v>
      </c>
      <c r="C3433" t="s">
        <v>37</v>
      </c>
      <c r="D3433">
        <v>5.0948199999999897</v>
      </c>
      <c r="E3433">
        <v>0.49019799999999902</v>
      </c>
      <c r="F3433" t="s">
        <v>39</v>
      </c>
      <c r="G3433">
        <v>-387.91930000000002</v>
      </c>
      <c r="H3433" s="1">
        <v>-1.062982E-6</v>
      </c>
      <c r="I3433">
        <v>140.32299999999901</v>
      </c>
      <c r="J3433">
        <v>-374.9409</v>
      </c>
      <c r="K3433">
        <v>1.113918</v>
      </c>
      <c r="L3433">
        <v>141.6678</v>
      </c>
      <c r="M3433">
        <v>-0.99971449999999995</v>
      </c>
      <c r="N3433">
        <v>0</v>
      </c>
      <c r="O3433">
        <v>-8.7043659999999998E-3</v>
      </c>
      <c r="P3433">
        <v>-0.97853369999999995</v>
      </c>
      <c r="Q3433">
        <v>4.5003920000000003E-2</v>
      </c>
      <c r="R3433">
        <v>-0.20111279999999901</v>
      </c>
      <c r="S3433">
        <v>-3.013855</v>
      </c>
      <c r="T3433">
        <v>-0.25212269999999998</v>
      </c>
      <c r="U3433">
        <v>-0.30522159999999998</v>
      </c>
      <c r="V3433">
        <v>-0.19306889999999999</v>
      </c>
      <c r="W3433">
        <v>6.5391409999999997E-2</v>
      </c>
      <c r="X3433">
        <v>0.97900370000000003</v>
      </c>
      <c r="Y3433">
        <v>-9.1804150000000001E-2</v>
      </c>
      <c r="Z3433">
        <v>-3.0983569999999999E-3</v>
      </c>
      <c r="AA3433">
        <v>0.9957722</v>
      </c>
      <c r="AB3433">
        <v>50</v>
      </c>
      <c r="AC3433">
        <v>-12.978400000000001</v>
      </c>
      <c r="AD3433">
        <v>-1.1139190629819999</v>
      </c>
      <c r="AE3433">
        <v>-1.34480000000002</v>
      </c>
      <c r="AF3433">
        <v>-1.22283986887938</v>
      </c>
      <c r="AG3433">
        <v>-1.1139190629819999</v>
      </c>
      <c r="AH3433">
        <v>12.895629258961501</v>
      </c>
      <c r="AI3433">
        <v>94.914991445580895</v>
      </c>
      <c r="AJ3433">
        <v>95.416927323739102</v>
      </c>
      <c r="AK3433">
        <v>13.001284821446699</v>
      </c>
    </row>
    <row r="3434" spans="1:37" x14ac:dyDescent="0.2">
      <c r="A3434" t="str">
        <f>"20200111154133850"</f>
        <v>20200111154133850</v>
      </c>
      <c r="B3434" t="str">
        <f>"1578728493839869"</f>
        <v>1578728493839869</v>
      </c>
      <c r="C3434" t="s">
        <v>37</v>
      </c>
      <c r="D3434">
        <v>5.3645050000000003</v>
      </c>
      <c r="E3434">
        <v>0.47719979999999901</v>
      </c>
      <c r="F3434" t="s">
        <v>39</v>
      </c>
      <c r="G3434">
        <v>-390.91019999999997</v>
      </c>
      <c r="H3434" s="1">
        <v>-4.1560419999999903E-6</v>
      </c>
      <c r="I3434">
        <v>138.0702</v>
      </c>
      <c r="J3434">
        <v>-375.36869999999999</v>
      </c>
      <c r="K3434">
        <v>1.114085</v>
      </c>
      <c r="L3434">
        <v>141.66220000000001</v>
      </c>
      <c r="M3434">
        <v>-0.99969039999999998</v>
      </c>
      <c r="N3434">
        <v>0</v>
      </c>
      <c r="O3434">
        <v>-1.122421E-2</v>
      </c>
      <c r="P3434">
        <v>-0.9774543</v>
      </c>
      <c r="Q3434">
        <v>4.4411630000000001E-2</v>
      </c>
      <c r="R3434">
        <v>-0.20642359999999901</v>
      </c>
      <c r="S3434">
        <v>-2.9391479999999999</v>
      </c>
      <c r="T3434">
        <v>-0.20501829999999999</v>
      </c>
      <c r="U3434">
        <v>-0.66212459999999995</v>
      </c>
      <c r="V3434">
        <v>-0.19594259999999999</v>
      </c>
      <c r="W3434">
        <v>6.4644839999999995E-2</v>
      </c>
      <c r="X3434">
        <v>0.97848219999999997</v>
      </c>
      <c r="Y3434">
        <v>-0.20834819999999901</v>
      </c>
      <c r="Z3434">
        <v>-6.3959919999999996E-3</v>
      </c>
      <c r="AA3434">
        <v>0.97803379999999995</v>
      </c>
      <c r="AB3434">
        <v>50</v>
      </c>
      <c r="AC3434">
        <v>-15.5414999999999</v>
      </c>
      <c r="AD3434">
        <v>-1.1140891560420001</v>
      </c>
      <c r="AE3434">
        <v>-3.5920000000000099</v>
      </c>
      <c r="AF3434">
        <v>-3.4007004723423702</v>
      </c>
      <c r="AG3434">
        <v>-1.1140891560420001</v>
      </c>
      <c r="AH3434">
        <v>15.505211380400301</v>
      </c>
      <c r="AI3434">
        <v>94.014681752317799</v>
      </c>
      <c r="AJ3434">
        <v>102.370594558424</v>
      </c>
      <c r="AK3434">
        <v>15.912810509180799</v>
      </c>
    </row>
    <row r="3435" spans="1:37" x14ac:dyDescent="0.2">
      <c r="A3435" t="str">
        <f>"20200111154133872"</f>
        <v>20200111154133872</v>
      </c>
      <c r="B3435" t="str">
        <f>"1578728493859389"</f>
        <v>1578728493859389</v>
      </c>
      <c r="C3435" t="s">
        <v>37</v>
      </c>
      <c r="D3435">
        <v>5.3696820000000001</v>
      </c>
      <c r="E3435">
        <v>0.38515279999999902</v>
      </c>
      <c r="F3435" t="s">
        <v>39</v>
      </c>
      <c r="G3435">
        <v>-390.87729999999999</v>
      </c>
      <c r="H3435" s="1">
        <v>-4.2693489999999998E-6</v>
      </c>
      <c r="I3435">
        <v>137.51079999999999</v>
      </c>
      <c r="J3435">
        <v>-375.839</v>
      </c>
      <c r="K3435">
        <v>1.114258</v>
      </c>
      <c r="L3435">
        <v>141.65479999999999</v>
      </c>
      <c r="M3435">
        <v>-0.99965569999999904</v>
      </c>
      <c r="N3435">
        <v>0</v>
      </c>
      <c r="O3435">
        <v>-1.409119E-2</v>
      </c>
      <c r="P3435">
        <v>-0.97635300000000003</v>
      </c>
      <c r="Q3435">
        <v>4.4837990000000001E-2</v>
      </c>
      <c r="R3435">
        <v>-0.21148229999999901</v>
      </c>
      <c r="S3435">
        <v>-2.9139710000000001</v>
      </c>
      <c r="T3435">
        <v>-0.20933070000000001</v>
      </c>
      <c r="U3435">
        <v>-0.77999879999999999</v>
      </c>
      <c r="V3435">
        <v>-0.19823579999999999</v>
      </c>
      <c r="W3435">
        <v>6.4891790000000005E-2</v>
      </c>
      <c r="X3435">
        <v>0.97800390000000004</v>
      </c>
      <c r="Y3435">
        <v>-0.24437809999999999</v>
      </c>
      <c r="Z3435">
        <v>-7.6220080000000004E-3</v>
      </c>
      <c r="AA3435">
        <v>0.96965000000000001</v>
      </c>
      <c r="AB3435">
        <v>50</v>
      </c>
      <c r="AC3435">
        <v>-15.0382999999999</v>
      </c>
      <c r="AD3435">
        <v>-1.1142622693490001</v>
      </c>
      <c r="AE3435">
        <v>-4.1440000000000001</v>
      </c>
      <c r="AF3435">
        <v>-3.91166921351074</v>
      </c>
      <c r="AG3435">
        <v>-1.1142622693490001</v>
      </c>
      <c r="AH3435">
        <v>15.018580605841301</v>
      </c>
      <c r="AI3435">
        <v>94.106616217181099</v>
      </c>
      <c r="AJ3435">
        <v>104.59864951060899</v>
      </c>
      <c r="AK3435">
        <v>15.5595790384886</v>
      </c>
    </row>
    <row r="3436" spans="1:37" x14ac:dyDescent="0.2">
      <c r="A3436" t="str">
        <f>"20200111154133895"</f>
        <v>20200111154133895</v>
      </c>
      <c r="B3436" t="str">
        <f>"1578728493889645"</f>
        <v>1578728493889645</v>
      </c>
      <c r="C3436" t="s">
        <v>37</v>
      </c>
      <c r="D3436">
        <v>5.19069</v>
      </c>
      <c r="E3436">
        <v>0.3838839</v>
      </c>
      <c r="F3436" t="s">
        <v>38</v>
      </c>
      <c r="G3436">
        <v>-376.79599999999999</v>
      </c>
      <c r="H3436">
        <v>1.046076</v>
      </c>
      <c r="I3436">
        <v>141.1285</v>
      </c>
      <c r="J3436">
        <v>-376.3546</v>
      </c>
      <c r="K3436">
        <v>1.1144149999999999</v>
      </c>
      <c r="L3436">
        <v>141.64510000000001</v>
      </c>
      <c r="M3436">
        <v>-0.99960700000000002</v>
      </c>
      <c r="N3436">
        <v>0</v>
      </c>
      <c r="O3436">
        <v>-1.7329170000000001E-2</v>
      </c>
      <c r="P3436">
        <v>-0.975294199999999</v>
      </c>
      <c r="Q3436">
        <v>4.4907309999999999E-2</v>
      </c>
      <c r="R3436">
        <v>-0.21629859999999901</v>
      </c>
      <c r="S3436">
        <v>-2.7535099999999999</v>
      </c>
      <c r="T3436">
        <v>-0.1961705</v>
      </c>
      <c r="U3436">
        <v>-1.5150600000000001</v>
      </c>
      <c r="V3436">
        <v>-0.19992299999999999</v>
      </c>
      <c r="W3436">
        <v>6.4762840000000002E-2</v>
      </c>
      <c r="X3436">
        <v>0.97766889999999995</v>
      </c>
      <c r="Y3436">
        <v>-0.46594289999999999</v>
      </c>
      <c r="Z3436">
        <v>-1.433502E-2</v>
      </c>
      <c r="AA3436">
        <v>0.884698599999999</v>
      </c>
      <c r="AB3436">
        <v>50</v>
      </c>
      <c r="AC3436">
        <v>-0.44139999999998702</v>
      </c>
      <c r="AD3436">
        <v>-6.83389999999999E-2</v>
      </c>
      <c r="AE3436">
        <v>-0.51660000000001005</v>
      </c>
      <c r="AF3436">
        <v>-0.50377571470681204</v>
      </c>
      <c r="AG3436">
        <v>-6.83389999999999E-2</v>
      </c>
      <c r="AH3436">
        <v>0.44577902889169602</v>
      </c>
      <c r="AI3436">
        <v>95.800831430316606</v>
      </c>
      <c r="AJ3436">
        <v>138.49515651304799</v>
      </c>
      <c r="AK3436">
        <v>0.67615022905341304</v>
      </c>
    </row>
    <row r="3437" spans="1:37" x14ac:dyDescent="0.2">
      <c r="A3437" t="str">
        <f>"20200111154133917"</f>
        <v>20200111154133917</v>
      </c>
      <c r="B3437" t="str">
        <f>"1578728493909165"</f>
        <v>1578728493909165</v>
      </c>
      <c r="C3437" t="s">
        <v>37</v>
      </c>
      <c r="D3437">
        <v>5.1500329999999996</v>
      </c>
      <c r="E3437">
        <v>0.3847602</v>
      </c>
      <c r="F3437" t="s">
        <v>38</v>
      </c>
      <c r="G3437">
        <v>-377.24250000000001</v>
      </c>
      <c r="H3437">
        <v>1.051296</v>
      </c>
      <c r="I3437">
        <v>141.14689999999999</v>
      </c>
      <c r="J3437">
        <v>-376.85059999999999</v>
      </c>
      <c r="K3437">
        <v>1.1145559999999901</v>
      </c>
      <c r="L3437">
        <v>141.63409999999999</v>
      </c>
      <c r="M3437">
        <v>-0.99954869999999996</v>
      </c>
      <c r="N3437">
        <v>0</v>
      </c>
      <c r="O3437">
        <v>-2.0521770000000002E-2</v>
      </c>
      <c r="P3437">
        <v>-0.97430369999999999</v>
      </c>
      <c r="Q3437">
        <v>4.4568480000000001E-2</v>
      </c>
      <c r="R3437">
        <v>-0.22078409999999901</v>
      </c>
      <c r="S3437">
        <v>-2.7436219999999998</v>
      </c>
      <c r="T3437">
        <v>-0.1950479</v>
      </c>
      <c r="U3437">
        <v>-1.539169</v>
      </c>
      <c r="V3437">
        <v>-0.20131849999999901</v>
      </c>
      <c r="W3437">
        <v>6.4232739999999997E-2</v>
      </c>
      <c r="X3437">
        <v>0.97741749999999905</v>
      </c>
      <c r="Y3437">
        <v>-0.47040009999999999</v>
      </c>
      <c r="Z3437">
        <v>-1.4206399999999999E-2</v>
      </c>
      <c r="AA3437">
        <v>0.88233890000000004</v>
      </c>
      <c r="AB3437">
        <v>50</v>
      </c>
      <c r="AC3437">
        <v>-0.39190000000002101</v>
      </c>
      <c r="AD3437">
        <v>-6.3259999999999803E-2</v>
      </c>
      <c r="AE3437">
        <v>-0.48720000000000102</v>
      </c>
      <c r="AF3437">
        <v>-0.47419894759092801</v>
      </c>
      <c r="AG3437">
        <v>-6.3259999999999803E-2</v>
      </c>
      <c r="AH3437">
        <v>0.39774663683123901</v>
      </c>
      <c r="AI3437">
        <v>95.835914300224402</v>
      </c>
      <c r="AJ3437">
        <v>140.01088726711001</v>
      </c>
      <c r="AK3437">
        <v>0.62214858081241697</v>
      </c>
    </row>
    <row r="3438" spans="1:37" x14ac:dyDescent="0.2">
      <c r="A3438" t="str">
        <f>"20200111154133939"</f>
        <v>20200111154133939</v>
      </c>
      <c r="B3438" t="str">
        <f>"1578728493929660"</f>
        <v>1578728493929660</v>
      </c>
      <c r="C3438" t="s">
        <v>37</v>
      </c>
      <c r="D3438">
        <v>5.2234339999999904</v>
      </c>
      <c r="E3438">
        <v>0.38562979999999902</v>
      </c>
      <c r="F3438" t="s">
        <v>38</v>
      </c>
      <c r="G3438">
        <v>-377.68740000000003</v>
      </c>
      <c r="H3438">
        <v>1.055328</v>
      </c>
      <c r="I3438">
        <v>141.16200000000001</v>
      </c>
      <c r="J3438">
        <v>-377.33449999999999</v>
      </c>
      <c r="K3438">
        <v>1.1146830000000001</v>
      </c>
      <c r="L3438">
        <v>141.62180000000001</v>
      </c>
      <c r="M3438">
        <v>-0.99948119999999996</v>
      </c>
      <c r="N3438">
        <v>0</v>
      </c>
      <c r="O3438">
        <v>-2.3701400000000001E-2</v>
      </c>
      <c r="P3438">
        <v>-0.97342709999999999</v>
      </c>
      <c r="Q3438">
        <v>4.3860469999999999E-2</v>
      </c>
      <c r="R3438">
        <v>-0.22475799999999899</v>
      </c>
      <c r="S3438">
        <v>-2.7378230000000001</v>
      </c>
      <c r="T3438">
        <v>-0.19376589999999999</v>
      </c>
      <c r="U3438">
        <v>-1.545105</v>
      </c>
      <c r="V3438">
        <v>-0.2022081</v>
      </c>
      <c r="W3438">
        <v>6.3334310000000005E-2</v>
      </c>
      <c r="X3438">
        <v>0.97729249999999901</v>
      </c>
      <c r="Y3438">
        <v>-0.46986</v>
      </c>
      <c r="Z3438">
        <v>-1.390578E-2</v>
      </c>
      <c r="AA3438">
        <v>0.88263139999999995</v>
      </c>
      <c r="AB3438">
        <v>49</v>
      </c>
      <c r="AC3438">
        <v>-0.35290000000003302</v>
      </c>
      <c r="AD3438">
        <v>-5.9354999999999998E-2</v>
      </c>
      <c r="AE3438">
        <v>-0.45980000000000099</v>
      </c>
      <c r="AF3438">
        <v>-0.44662102805423498</v>
      </c>
      <c r="AG3438">
        <v>-5.9354999999999998E-2</v>
      </c>
      <c r="AH3438">
        <v>0.35992690769621499</v>
      </c>
      <c r="AI3438">
        <v>95.907821252219804</v>
      </c>
      <c r="AJ3438">
        <v>141.135046329857</v>
      </c>
      <c r="AK3438">
        <v>0.57666345263852303</v>
      </c>
    </row>
    <row r="3439" spans="1:37" x14ac:dyDescent="0.2">
      <c r="A3439" t="str">
        <f>"20200111154133960"</f>
        <v>20200111154133960</v>
      </c>
      <c r="B3439" t="str">
        <f>"1578728493950156"</f>
        <v>1578728493950156</v>
      </c>
      <c r="C3439" t="s">
        <v>37</v>
      </c>
      <c r="D3439">
        <v>5.2147249999999996</v>
      </c>
      <c r="E3439">
        <v>0.38657390000000003</v>
      </c>
      <c r="F3439" t="s">
        <v>38</v>
      </c>
      <c r="G3439">
        <v>-378.13010000000003</v>
      </c>
      <c r="H3439">
        <v>1.05732</v>
      </c>
      <c r="I3439">
        <v>141.17080000000001</v>
      </c>
      <c r="J3439">
        <v>-377.78969999999998</v>
      </c>
      <c r="K3439">
        <v>1.1147879999999999</v>
      </c>
      <c r="L3439">
        <v>141.60890000000001</v>
      </c>
      <c r="M3439">
        <v>-0.99940759999999995</v>
      </c>
      <c r="N3439">
        <v>0</v>
      </c>
      <c r="O3439">
        <v>-2.6745129999999999E-2</v>
      </c>
      <c r="P3439">
        <v>-0.97266679999999905</v>
      </c>
      <c r="Q3439">
        <v>4.4752800000000002E-2</v>
      </c>
      <c r="R3439">
        <v>-0.227852</v>
      </c>
      <c r="S3439">
        <v>-2.7330019999999999</v>
      </c>
      <c r="T3439">
        <v>-0.19704829999999901</v>
      </c>
      <c r="U3439">
        <v>-1.5496219999999901</v>
      </c>
      <c r="V3439">
        <v>-0.20236279999999901</v>
      </c>
      <c r="W3439">
        <v>6.402766E-2</v>
      </c>
      <c r="X3439">
        <v>0.97721530000000001</v>
      </c>
      <c r="Y3439">
        <v>-0.46892139999999999</v>
      </c>
      <c r="Z3439">
        <v>-1.3922459999999999E-2</v>
      </c>
      <c r="AA3439">
        <v>0.88313009999999903</v>
      </c>
      <c r="AB3439">
        <v>49</v>
      </c>
      <c r="AC3439">
        <v>-0.340400000000045</v>
      </c>
      <c r="AD3439">
        <v>-5.7467999999999797E-2</v>
      </c>
      <c r="AE3439">
        <v>-0.438099999999991</v>
      </c>
      <c r="AF3439">
        <v>-0.42428468354977</v>
      </c>
      <c r="AG3439">
        <v>-5.7467999999999797E-2</v>
      </c>
      <c r="AH3439">
        <v>0.34826130865666999</v>
      </c>
      <c r="AI3439">
        <v>95.976781831203397</v>
      </c>
      <c r="AJ3439">
        <v>140.62016943684</v>
      </c>
      <c r="AK3439">
        <v>0.55191122730579201</v>
      </c>
    </row>
    <row r="3440" spans="1:37" x14ac:dyDescent="0.2">
      <c r="A3440" t="str">
        <f>"20200111154133984"</f>
        <v>20200111154133984</v>
      </c>
      <c r="B3440" t="str">
        <f>"1578728493979437"</f>
        <v>1578728493979437</v>
      </c>
      <c r="C3440" t="s">
        <v>37</v>
      </c>
      <c r="D3440">
        <v>5.2157549999999997</v>
      </c>
      <c r="E3440">
        <v>0.38724969999999997</v>
      </c>
      <c r="F3440" t="s">
        <v>38</v>
      </c>
      <c r="G3440">
        <v>-378.56979999999999</v>
      </c>
      <c r="H3440">
        <v>1.0591969999999999</v>
      </c>
      <c r="I3440">
        <v>141.16589999999999</v>
      </c>
      <c r="J3440">
        <v>-378.28890000000001</v>
      </c>
      <c r="K3440">
        <v>1.114878</v>
      </c>
      <c r="L3440">
        <v>141.59309999999999</v>
      </c>
      <c r="M3440">
        <v>-0.99931599999999998</v>
      </c>
      <c r="N3440">
        <v>0</v>
      </c>
      <c r="O3440">
        <v>-3.0130770000000001E-2</v>
      </c>
      <c r="P3440">
        <v>-0.97161109999999995</v>
      </c>
      <c r="Q3440">
        <v>4.7615789999999998E-2</v>
      </c>
      <c r="R3440">
        <v>-0.23174249999999999</v>
      </c>
      <c r="S3440">
        <v>-2.7299799999999999</v>
      </c>
      <c r="T3440">
        <v>-0.19453099999999901</v>
      </c>
      <c r="U3440">
        <v>-1.550751</v>
      </c>
      <c r="V3440">
        <v>-0.2030071</v>
      </c>
      <c r="W3440">
        <v>6.6619919999999999E-2</v>
      </c>
      <c r="X3440">
        <v>0.97690829999999995</v>
      </c>
      <c r="Y3440">
        <v>-0.46665640000000003</v>
      </c>
      <c r="Z3440">
        <v>-1.345856E-2</v>
      </c>
      <c r="AA3440">
        <v>0.88433629999999996</v>
      </c>
      <c r="AB3440">
        <v>49</v>
      </c>
      <c r="AC3440">
        <v>-0.280899999999974</v>
      </c>
      <c r="AD3440">
        <v>-5.5681000000000001E-2</v>
      </c>
      <c r="AE3440">
        <v>-0.42719999999999902</v>
      </c>
      <c r="AF3440">
        <v>-0.41363438278790798</v>
      </c>
      <c r="AG3440">
        <v>-5.5681000000000001E-2</v>
      </c>
      <c r="AH3440">
        <v>0.29020526565203097</v>
      </c>
      <c r="AI3440">
        <v>96.288468053708698</v>
      </c>
      <c r="AJ3440">
        <v>144.946557670743</v>
      </c>
      <c r="AK3440">
        <v>0.50834326256723406</v>
      </c>
    </row>
    <row r="3441" spans="1:37" x14ac:dyDescent="0.2">
      <c r="A3441" t="str">
        <f>"20200111154133997"</f>
        <v>20200111154133997</v>
      </c>
      <c r="B3441" t="str">
        <f>"1578728493990174"</f>
        <v>1578728493990174</v>
      </c>
      <c r="C3441" t="s">
        <v>37</v>
      </c>
      <c r="D3441">
        <v>5.2123679999999997</v>
      </c>
      <c r="E3441">
        <v>0.38735629999999999</v>
      </c>
      <c r="F3441" t="s">
        <v>38</v>
      </c>
      <c r="G3441">
        <v>-379.3956</v>
      </c>
      <c r="H3441">
        <v>1.0376049999999899</v>
      </c>
      <c r="I3441">
        <v>140.9615</v>
      </c>
      <c r="J3441">
        <v>-378.63589999999999</v>
      </c>
      <c r="K3441">
        <v>1.1149129999999901</v>
      </c>
      <c r="L3441">
        <v>141.58099999999999</v>
      </c>
      <c r="M3441">
        <v>-0.99924559999999996</v>
      </c>
      <c r="N3441">
        <v>0</v>
      </c>
      <c r="O3441">
        <v>-3.2516940000000001E-2</v>
      </c>
      <c r="P3441">
        <v>-0.970925499999999</v>
      </c>
      <c r="Q3441">
        <v>4.887031E-2</v>
      </c>
      <c r="R3441">
        <v>-0.23434089999999999</v>
      </c>
      <c r="S3441">
        <v>-2.7258</v>
      </c>
      <c r="T3441">
        <v>-0.1903204</v>
      </c>
      <c r="U3441">
        <v>-1.55629</v>
      </c>
      <c r="V3441">
        <v>-0.20330979999999901</v>
      </c>
      <c r="W3441">
        <v>6.7642320000000006E-2</v>
      </c>
      <c r="X3441">
        <v>0.97677510000000001</v>
      </c>
      <c r="Y3441">
        <v>-0.46652379999999999</v>
      </c>
      <c r="Z3441">
        <v>-1.302087E-2</v>
      </c>
      <c r="AA3441">
        <v>0.8844128</v>
      </c>
      <c r="AB3441">
        <v>49</v>
      </c>
      <c r="AC3441">
        <v>-0.75970000000000903</v>
      </c>
      <c r="AD3441">
        <v>-7.7307999999999905E-2</v>
      </c>
      <c r="AE3441">
        <v>-0.61950000000001604</v>
      </c>
      <c r="AF3441">
        <v>-0.59078911220594199</v>
      </c>
      <c r="AG3441">
        <v>-7.7307999999999905E-2</v>
      </c>
      <c r="AH3441">
        <v>0.77462901291927699</v>
      </c>
      <c r="AI3441">
        <v>94.537180935546402</v>
      </c>
      <c r="AJ3441">
        <v>127.331810308529</v>
      </c>
      <c r="AK3441">
        <v>0.97727089878977702</v>
      </c>
    </row>
    <row r="3442" spans="1:37" x14ac:dyDescent="0.2">
      <c r="A3442" t="str">
        <f>"20200111154134013"</f>
        <v>20200111154134013</v>
      </c>
      <c r="B3442" t="str">
        <f>"1578728494009692"</f>
        <v>1578728494009692</v>
      </c>
      <c r="C3442" t="s">
        <v>37</v>
      </c>
      <c r="D3442">
        <v>5.2410959999999998</v>
      </c>
      <c r="E3442">
        <v>0.38742529999999997</v>
      </c>
      <c r="F3442" t="s">
        <v>38</v>
      </c>
      <c r="G3442">
        <v>-379.43579999999997</v>
      </c>
      <c r="H3442">
        <v>1.059771</v>
      </c>
      <c r="I3442">
        <v>141.12190000000001</v>
      </c>
      <c r="J3442">
        <v>-378.95010000000002</v>
      </c>
      <c r="K3442">
        <v>1.1149290000000001</v>
      </c>
      <c r="L3442">
        <v>141.5693</v>
      </c>
      <c r="M3442">
        <v>-0.99917719999999899</v>
      </c>
      <c r="N3442">
        <v>0</v>
      </c>
      <c r="O3442">
        <v>-3.4700479999999999E-2</v>
      </c>
      <c r="P3442">
        <v>-0.97018839999999995</v>
      </c>
      <c r="Q3442">
        <v>5.0032109999999998E-2</v>
      </c>
      <c r="R3442">
        <v>-0.23713200000000001</v>
      </c>
      <c r="S3442">
        <v>-2.7221069999999998</v>
      </c>
      <c r="T3442">
        <v>-0.187632299999999</v>
      </c>
      <c r="U3442">
        <v>-1.562881</v>
      </c>
      <c r="V3442">
        <v>-0.2040033</v>
      </c>
      <c r="W3442">
        <v>6.8542409999999998E-2</v>
      </c>
      <c r="X3442">
        <v>0.97656769999999904</v>
      </c>
      <c r="Y3442">
        <v>-0.46674589999999999</v>
      </c>
      <c r="Z3442">
        <v>-1.271335E-2</v>
      </c>
      <c r="AA3442">
        <v>0.88430010000000003</v>
      </c>
      <c r="AB3442">
        <v>49</v>
      </c>
      <c r="AC3442">
        <v>-0.485699999999951</v>
      </c>
      <c r="AD3442">
        <v>-5.5157999999999999E-2</v>
      </c>
      <c r="AE3442">
        <v>-0.44739999999998697</v>
      </c>
      <c r="AF3442">
        <v>-0.427291548355274</v>
      </c>
      <c r="AG3442">
        <v>-5.5157999999999999E-2</v>
      </c>
      <c r="AH3442">
        <v>0.49746503873214698</v>
      </c>
      <c r="AI3442">
        <v>94.807849715331798</v>
      </c>
      <c r="AJ3442">
        <v>130.660529337496</v>
      </c>
      <c r="AK3442">
        <v>0.65809720940042304</v>
      </c>
    </row>
    <row r="3443" spans="1:37" x14ac:dyDescent="0.2">
      <c r="A3443" t="str">
        <f>"20200111154134029"</f>
        <v>20200111154134029</v>
      </c>
      <c r="B3443" t="str">
        <f>"1578728494019452"</f>
        <v>1578728494019452</v>
      </c>
      <c r="C3443" t="s">
        <v>37</v>
      </c>
      <c r="D3443">
        <v>5.2378629999999999</v>
      </c>
      <c r="E3443">
        <v>0.38741409999999998</v>
      </c>
      <c r="F3443" t="s">
        <v>38</v>
      </c>
      <c r="G3443">
        <v>-379.85520000000002</v>
      </c>
      <c r="H3443">
        <v>1.0533379999999899</v>
      </c>
      <c r="I3443">
        <v>141.04640000000001</v>
      </c>
      <c r="J3443">
        <v>-379.27539999999999</v>
      </c>
      <c r="K3443">
        <v>1.1149420000000001</v>
      </c>
      <c r="L3443">
        <v>141.5566</v>
      </c>
      <c r="M3443">
        <v>-0.99910119999999902</v>
      </c>
      <c r="N3443">
        <v>0</v>
      </c>
      <c r="O3443">
        <v>-3.697719E-2</v>
      </c>
      <c r="P3443">
        <v>-0.96912099999999901</v>
      </c>
      <c r="Q3443">
        <v>5.1549129999999999E-2</v>
      </c>
      <c r="R3443">
        <v>-0.241137399999999</v>
      </c>
      <c r="S3443">
        <v>-2.7178650000000002</v>
      </c>
      <c r="T3443">
        <v>-0.1849509</v>
      </c>
      <c r="U3443">
        <v>-1.570206</v>
      </c>
      <c r="V3443">
        <v>-0.205836299999999</v>
      </c>
      <c r="W3443">
        <v>6.973973E-2</v>
      </c>
      <c r="X3443">
        <v>0.97609820000000003</v>
      </c>
      <c r="Y3443">
        <v>-0.46714070000000002</v>
      </c>
      <c r="Z3443">
        <v>-1.241068E-2</v>
      </c>
      <c r="AA3443">
        <v>0.88409590000000005</v>
      </c>
      <c r="AB3443">
        <v>49</v>
      </c>
      <c r="AC3443">
        <v>-0.57980000000003395</v>
      </c>
      <c r="AD3443">
        <v>-6.16040000000002E-2</v>
      </c>
      <c r="AE3443">
        <v>-0.51019999999999699</v>
      </c>
      <c r="AF3443">
        <v>-0.485319106973787</v>
      </c>
      <c r="AG3443">
        <v>-6.16040000000002E-2</v>
      </c>
      <c r="AH3443">
        <v>0.59449067878641404</v>
      </c>
      <c r="AI3443">
        <v>94.5894506052651</v>
      </c>
      <c r="AJ3443">
        <v>129.226865141199</v>
      </c>
      <c r="AK3443">
        <v>0.76990184801295602</v>
      </c>
    </row>
    <row r="3444" spans="1:37" x14ac:dyDescent="0.2">
      <c r="A3444" t="str">
        <f>"20200111154134061"</f>
        <v>20200111154134061</v>
      </c>
      <c r="B3444" t="str">
        <f>"1578728494049708"</f>
        <v>1578728494049708</v>
      </c>
      <c r="C3444" t="s">
        <v>37</v>
      </c>
      <c r="D3444">
        <v>5.1851959999999897</v>
      </c>
      <c r="E3444">
        <v>0.38729920000000001</v>
      </c>
      <c r="F3444" t="s">
        <v>38</v>
      </c>
      <c r="G3444">
        <v>-380.2747</v>
      </c>
      <c r="H3444">
        <v>1.0486409999999999</v>
      </c>
      <c r="I3444">
        <v>140.9736</v>
      </c>
      <c r="J3444">
        <v>-379.9812</v>
      </c>
      <c r="K3444">
        <v>1.1148750000000001</v>
      </c>
      <c r="L3444">
        <v>141.5266</v>
      </c>
      <c r="M3444">
        <v>-0.99891810000000003</v>
      </c>
      <c r="N3444">
        <v>0</v>
      </c>
      <c r="O3444">
        <v>-4.1971710000000002E-2</v>
      </c>
      <c r="P3444">
        <v>-0.96749219999999903</v>
      </c>
      <c r="Q3444">
        <v>4.8660620000000002E-2</v>
      </c>
      <c r="R3444">
        <v>-0.2481759</v>
      </c>
      <c r="S3444">
        <v>-2.7114560000000001</v>
      </c>
      <c r="T3444">
        <v>-0.17988709999999999</v>
      </c>
      <c r="U3444">
        <v>-1.5822909999999999</v>
      </c>
      <c r="V3444">
        <v>-0.208023299999999</v>
      </c>
      <c r="W3444">
        <v>6.6109399999999999E-2</v>
      </c>
      <c r="X3444">
        <v>0.97588719999999995</v>
      </c>
      <c r="Y3444">
        <v>-0.466620799999999</v>
      </c>
      <c r="Z3444">
        <v>-1.176262E-2</v>
      </c>
      <c r="AA3444">
        <v>0.88437929999999998</v>
      </c>
      <c r="AB3444">
        <v>49</v>
      </c>
      <c r="AC3444">
        <v>-0.29349999999999399</v>
      </c>
      <c r="AD3444">
        <v>-6.6234000000000098E-2</v>
      </c>
      <c r="AE3444">
        <v>-0.55299999999999705</v>
      </c>
      <c r="AF3444">
        <v>-0.53421212509719995</v>
      </c>
      <c r="AG3444">
        <v>-6.6234000000000098E-2</v>
      </c>
      <c r="AH3444">
        <v>0.31295351968728402</v>
      </c>
      <c r="AI3444">
        <v>96.106225732626399</v>
      </c>
      <c r="AJ3444">
        <v>149.63726531717501</v>
      </c>
      <c r="AK3444">
        <v>0.62266318571240897</v>
      </c>
    </row>
    <row r="3445" spans="1:37" x14ac:dyDescent="0.2">
      <c r="A3445" t="str">
        <f>"20200111154134084"</f>
        <v>20200111154134084</v>
      </c>
      <c r="B3445" t="str">
        <f>"1578728494079965"</f>
        <v>1578728494079965</v>
      </c>
      <c r="C3445" t="s">
        <v>37</v>
      </c>
      <c r="D3445">
        <v>5.2709970000000004</v>
      </c>
      <c r="E3445">
        <v>0.38697169999999997</v>
      </c>
      <c r="F3445" t="s">
        <v>38</v>
      </c>
      <c r="G3445">
        <v>-380.75110000000001</v>
      </c>
      <c r="H3445">
        <v>1.0604959999999899</v>
      </c>
      <c r="I3445">
        <v>141.06950000000001</v>
      </c>
      <c r="J3445">
        <v>-380.47059999999999</v>
      </c>
      <c r="K3445">
        <v>1.1148020000000001</v>
      </c>
      <c r="L3445">
        <v>141.50370000000001</v>
      </c>
      <c r="M3445">
        <v>-0.99877510000000003</v>
      </c>
      <c r="N3445">
        <v>0</v>
      </c>
      <c r="O3445">
        <v>-4.5470980000000001E-2</v>
      </c>
      <c r="P3445">
        <v>-0.9665743</v>
      </c>
      <c r="Q3445">
        <v>4.5833470000000001E-2</v>
      </c>
      <c r="R3445">
        <v>-0.25225799999999998</v>
      </c>
      <c r="S3445">
        <v>-2.6992189999999998</v>
      </c>
      <c r="T3445">
        <v>-0.19064249999999999</v>
      </c>
      <c r="U3445">
        <v>-1.602905</v>
      </c>
      <c r="V3445">
        <v>-0.20869009999999999</v>
      </c>
      <c r="W3445">
        <v>6.2763239999999998E-2</v>
      </c>
      <c r="X3445">
        <v>0.97596579999999999</v>
      </c>
      <c r="Y3445">
        <v>-0.4701863</v>
      </c>
      <c r="Z3445">
        <v>-1.2380479999999999E-2</v>
      </c>
      <c r="AA3445">
        <v>0.88248040000000005</v>
      </c>
      <c r="AB3445">
        <v>49</v>
      </c>
      <c r="AC3445">
        <v>-0.28050000000001701</v>
      </c>
      <c r="AD3445">
        <v>-5.4306000000000097E-2</v>
      </c>
      <c r="AE3445">
        <v>-0.43420000000000403</v>
      </c>
      <c r="AF3445">
        <v>-0.416397979638509</v>
      </c>
      <c r="AG3445">
        <v>-5.4306000000000097E-2</v>
      </c>
      <c r="AH3445">
        <v>0.29668258988145801</v>
      </c>
      <c r="AI3445">
        <v>96.062976335406702</v>
      </c>
      <c r="AJ3445">
        <v>144.53021641702301</v>
      </c>
      <c r="AK3445">
        <v>0.51415656975458501</v>
      </c>
    </row>
    <row r="3446" spans="1:37" x14ac:dyDescent="0.2">
      <c r="A3446" t="str">
        <f>"20200111154134106"</f>
        <v>20200111154134106</v>
      </c>
      <c r="B3446" t="str">
        <f>"1578728494099484"</f>
        <v>1578728494099484</v>
      </c>
      <c r="C3446" t="s">
        <v>37</v>
      </c>
      <c r="D3446">
        <v>5.3200120000000002</v>
      </c>
      <c r="E3446">
        <v>0.38669509999999901</v>
      </c>
      <c r="F3446" t="s">
        <v>38</v>
      </c>
      <c r="G3446">
        <v>-381.55610000000001</v>
      </c>
      <c r="H3446">
        <v>1.0339259999999999</v>
      </c>
      <c r="I3446">
        <v>140.85159999999999</v>
      </c>
      <c r="J3446">
        <v>-380.96809999999999</v>
      </c>
      <c r="K3446">
        <v>1.114735</v>
      </c>
      <c r="L3446">
        <v>141.4787</v>
      </c>
      <c r="M3446">
        <v>-0.99861540000000004</v>
      </c>
      <c r="N3446">
        <v>0</v>
      </c>
      <c r="O3446">
        <v>-4.9049199999999897E-2</v>
      </c>
      <c r="P3446">
        <v>-0.965900599999999</v>
      </c>
      <c r="Q3446">
        <v>4.2012269999999997E-2</v>
      </c>
      <c r="R3446">
        <v>-0.25548159999999998</v>
      </c>
      <c r="S3446">
        <v>-2.691284</v>
      </c>
      <c r="T3446">
        <v>-0.200520899999999</v>
      </c>
      <c r="U3446">
        <v>-1.6168370000000001</v>
      </c>
      <c r="V3446">
        <v>-0.20840139999999999</v>
      </c>
      <c r="W3446">
        <v>5.8445799999999999E-2</v>
      </c>
      <c r="X3446">
        <v>0.97629549999999998</v>
      </c>
      <c r="Y3446">
        <v>-0.47145239999999999</v>
      </c>
      <c r="Z3446">
        <v>-1.283712E-2</v>
      </c>
      <c r="AA3446">
        <v>0.88179810000000003</v>
      </c>
      <c r="AB3446">
        <v>49</v>
      </c>
      <c r="AC3446">
        <v>-0.58800000000002195</v>
      </c>
      <c r="AD3446">
        <v>-8.0808999999999895E-2</v>
      </c>
      <c r="AE3446">
        <v>-0.62710000000001198</v>
      </c>
      <c r="AF3446">
        <v>-0.59226528301063497</v>
      </c>
      <c r="AG3446">
        <v>-8.0808999999999895E-2</v>
      </c>
      <c r="AH3446">
        <v>0.61264275573209404</v>
      </c>
      <c r="AI3446">
        <v>95.4173201116418</v>
      </c>
      <c r="AJ3446">
        <v>134.03110291159899</v>
      </c>
      <c r="AK3446">
        <v>0.85594357646499197</v>
      </c>
    </row>
    <row r="3447" spans="1:37" x14ac:dyDescent="0.2">
      <c r="A3447" t="str">
        <f>"20200111154134128"</f>
        <v>20200111154134128</v>
      </c>
      <c r="B3447" t="str">
        <f>"1578728494119980"</f>
        <v>1578728494119980</v>
      </c>
      <c r="C3447" t="s">
        <v>37</v>
      </c>
      <c r="D3447">
        <v>5.3203699999999996</v>
      </c>
      <c r="E3447">
        <v>0.38651940000000001</v>
      </c>
      <c r="F3447" t="s">
        <v>38</v>
      </c>
      <c r="G3447">
        <v>-381.995</v>
      </c>
      <c r="H3447">
        <v>1.0335289999999999</v>
      </c>
      <c r="I3447">
        <v>140.8562</v>
      </c>
      <c r="J3447">
        <v>-381.44670000000002</v>
      </c>
      <c r="K3447">
        <v>1.1146849999999999</v>
      </c>
      <c r="L3447">
        <v>141.453</v>
      </c>
      <c r="M3447">
        <v>-0.99844840000000001</v>
      </c>
      <c r="N3447">
        <v>0</v>
      </c>
      <c r="O3447">
        <v>-5.2501989999999998E-2</v>
      </c>
      <c r="P3447">
        <v>-0.96544649999999999</v>
      </c>
      <c r="Q3447">
        <v>3.8087650000000001E-2</v>
      </c>
      <c r="R3447">
        <v>-0.257803</v>
      </c>
      <c r="S3447">
        <v>-2.6846009999999998</v>
      </c>
      <c r="T3447">
        <v>-0.21227179999999901</v>
      </c>
      <c r="U3447">
        <v>-1.627731</v>
      </c>
      <c r="V3447">
        <v>-0.20732199999999901</v>
      </c>
      <c r="W3447">
        <v>5.408396E-2</v>
      </c>
      <c r="X3447">
        <v>0.97677659999999999</v>
      </c>
      <c r="Y3447">
        <v>-0.47189730000000002</v>
      </c>
      <c r="Z3447">
        <v>-1.33703E-2</v>
      </c>
      <c r="AA3447">
        <v>0.88155209999999995</v>
      </c>
      <c r="AB3447">
        <v>49</v>
      </c>
      <c r="AC3447">
        <v>-0.54829999999998302</v>
      </c>
      <c r="AD3447">
        <v>-8.1155999999999701E-2</v>
      </c>
      <c r="AE3447">
        <v>-0.596800000000001</v>
      </c>
      <c r="AF3447">
        <v>-0.56155366985911304</v>
      </c>
      <c r="AG3447">
        <v>-8.1155999999999701E-2</v>
      </c>
      <c r="AH3447">
        <v>0.57313483158951695</v>
      </c>
      <c r="AI3447">
        <v>95.775433400914096</v>
      </c>
      <c r="AJ3447">
        <v>134.415232772309</v>
      </c>
      <c r="AK3447">
        <v>0.80648146640166696</v>
      </c>
    </row>
    <row r="3448" spans="1:37" x14ac:dyDescent="0.2">
      <c r="A3448" t="str">
        <f>"20200111154134150"</f>
        <v>20200111154134150</v>
      </c>
      <c r="B3448" t="str">
        <f>"1578728494139500"</f>
        <v>1578728494139500</v>
      </c>
      <c r="C3448" t="s">
        <v>37</v>
      </c>
      <c r="D3448">
        <v>5.3290410000000001</v>
      </c>
      <c r="E3448">
        <v>0.38634190000000002</v>
      </c>
      <c r="F3448" t="s">
        <v>38</v>
      </c>
      <c r="G3448">
        <v>-382.43169999999998</v>
      </c>
      <c r="H3448">
        <v>1.031579</v>
      </c>
      <c r="I3448">
        <v>140.85210000000001</v>
      </c>
      <c r="J3448">
        <v>-381.92309999999998</v>
      </c>
      <c r="K3448">
        <v>1.1146450000000001</v>
      </c>
      <c r="L3448">
        <v>141.42590000000001</v>
      </c>
      <c r="M3448">
        <v>-0.99826930000000003</v>
      </c>
      <c r="N3448">
        <v>0</v>
      </c>
      <c r="O3448">
        <v>-5.5942199999999997E-2</v>
      </c>
      <c r="P3448">
        <v>-0.96513059999999995</v>
      </c>
      <c r="Q3448">
        <v>3.4056389999999999E-2</v>
      </c>
      <c r="R3448">
        <v>-0.25954450000000001</v>
      </c>
      <c r="S3448">
        <v>-2.6797179999999998</v>
      </c>
      <c r="T3448">
        <v>-0.22605999999999901</v>
      </c>
      <c r="U3448">
        <v>-1.634903</v>
      </c>
      <c r="V3448">
        <v>-0.20566669999999901</v>
      </c>
      <c r="W3448">
        <v>4.9654869999999997E-2</v>
      </c>
      <c r="X3448">
        <v>0.97736160000000005</v>
      </c>
      <c r="Y3448">
        <v>-0.47117709999999902</v>
      </c>
      <c r="Z3448">
        <v>-1.3956929999999999E-2</v>
      </c>
      <c r="AA3448">
        <v>0.88192819999999905</v>
      </c>
      <c r="AB3448">
        <v>49</v>
      </c>
      <c r="AC3448">
        <v>-0.50860000000000105</v>
      </c>
      <c r="AD3448">
        <v>-8.3066000000000001E-2</v>
      </c>
      <c r="AE3448">
        <v>-0.57380000000000497</v>
      </c>
      <c r="AF3448">
        <v>-0.53812866201505405</v>
      </c>
      <c r="AG3448">
        <v>-8.3066000000000001E-2</v>
      </c>
      <c r="AH3448">
        <v>0.53364521368888795</v>
      </c>
      <c r="AI3448">
        <v>96.254950019069298</v>
      </c>
      <c r="AJ3448">
        <v>135.23967851258499</v>
      </c>
      <c r="AK3448">
        <v>0.76240385054849502</v>
      </c>
    </row>
    <row r="3449" spans="1:37" x14ac:dyDescent="0.2">
      <c r="A3449" t="str">
        <f>"20200111154134172"</f>
        <v>20200111154134172</v>
      </c>
      <c r="B3449" t="str">
        <f>"1578728494169757"</f>
        <v>1578728494169757</v>
      </c>
      <c r="C3449" t="s">
        <v>37</v>
      </c>
      <c r="D3449">
        <v>5.3382489999999896</v>
      </c>
      <c r="E3449">
        <v>0.38606760000000001</v>
      </c>
      <c r="F3449" t="s">
        <v>38</v>
      </c>
      <c r="G3449">
        <v>-382.86810000000003</v>
      </c>
      <c r="H3449">
        <v>1.030178</v>
      </c>
      <c r="I3449">
        <v>140.84630000000001</v>
      </c>
      <c r="J3449">
        <v>-382.39879999999999</v>
      </c>
      <c r="K3449">
        <v>1.114636</v>
      </c>
      <c r="L3449">
        <v>141.3972</v>
      </c>
      <c r="M3449">
        <v>-0.99807769999999996</v>
      </c>
      <c r="N3449">
        <v>0</v>
      </c>
      <c r="O3449">
        <v>-5.9376480000000002E-2</v>
      </c>
      <c r="P3449">
        <v>-0.96495909999999996</v>
      </c>
      <c r="Q3449">
        <v>3.104326E-2</v>
      </c>
      <c r="R3449">
        <v>-0.26055739999999999</v>
      </c>
      <c r="S3449">
        <v>-2.6755680000000002</v>
      </c>
      <c r="T3449">
        <v>-0.23916100000000001</v>
      </c>
      <c r="U3449">
        <v>-1.6406099999999999</v>
      </c>
      <c r="V3449">
        <v>-0.20329</v>
      </c>
      <c r="W3449">
        <v>4.628703E-2</v>
      </c>
      <c r="X3449">
        <v>0.97802389999999995</v>
      </c>
      <c r="Y3449">
        <v>-0.47000599999999998</v>
      </c>
      <c r="Z3449">
        <v>-1.444777E-2</v>
      </c>
      <c r="AA3449">
        <v>0.88254500000000002</v>
      </c>
      <c r="AB3449">
        <v>49</v>
      </c>
      <c r="AC3449">
        <v>-0.46930000000003202</v>
      </c>
      <c r="AD3449">
        <v>-8.4457999999999894E-2</v>
      </c>
      <c r="AE3449">
        <v>-0.55089999999998396</v>
      </c>
      <c r="AF3449">
        <v>-0.51504314638250703</v>
      </c>
      <c r="AG3449">
        <v>-8.4457999999999894E-2</v>
      </c>
      <c r="AH3449">
        <v>0.49445303370462301</v>
      </c>
      <c r="AI3449">
        <v>96.746365411270205</v>
      </c>
      <c r="AJ3449">
        <v>136.16846702932</v>
      </c>
      <c r="AK3449">
        <v>0.718948119782852</v>
      </c>
    </row>
    <row r="3450" spans="1:37" x14ac:dyDescent="0.2">
      <c r="A3450" t="str">
        <f>"20200111154134195"</f>
        <v>20200111154134195</v>
      </c>
      <c r="B3450" t="str">
        <f>"1578728494189276"</f>
        <v>1578728494189276</v>
      </c>
      <c r="C3450" t="s">
        <v>37</v>
      </c>
      <c r="D3450">
        <v>5.3395869999999999</v>
      </c>
      <c r="E3450">
        <v>0.38586090000000001</v>
      </c>
      <c r="F3450" t="s">
        <v>38</v>
      </c>
      <c r="G3450">
        <v>-383.30439999999999</v>
      </c>
      <c r="H3450">
        <v>1.0299199999999999</v>
      </c>
      <c r="I3450">
        <v>140.84</v>
      </c>
      <c r="J3450">
        <v>-382.88740000000001</v>
      </c>
      <c r="K3450">
        <v>1.1146469999999999</v>
      </c>
      <c r="L3450">
        <v>141.36600000000001</v>
      </c>
      <c r="M3450">
        <v>-0.99786810000000004</v>
      </c>
      <c r="N3450">
        <v>0</v>
      </c>
      <c r="O3450">
        <v>-6.2900689999999995E-2</v>
      </c>
      <c r="P3450">
        <v>-0.96463650000000001</v>
      </c>
      <c r="Q3450">
        <v>3.0125059999999999E-2</v>
      </c>
      <c r="R3450">
        <v>-0.26185740000000002</v>
      </c>
      <c r="S3450">
        <v>-2.6728209999999999</v>
      </c>
      <c r="T3450">
        <v>-0.25003259999999999</v>
      </c>
      <c r="U3450">
        <v>-1.644943</v>
      </c>
      <c r="V3450">
        <v>-0.20114179999999901</v>
      </c>
      <c r="W3450">
        <v>4.503426E-2</v>
      </c>
      <c r="X3450">
        <v>0.97852640000000002</v>
      </c>
      <c r="Y3450">
        <v>-0.46824009999999999</v>
      </c>
      <c r="Z3450">
        <v>-1.473411E-2</v>
      </c>
      <c r="AA3450">
        <v>0.8834784</v>
      </c>
      <c r="AB3450">
        <v>49</v>
      </c>
      <c r="AC3450">
        <v>-0.416999999999973</v>
      </c>
      <c r="AD3450">
        <v>-8.4726999999999705E-2</v>
      </c>
      <c r="AE3450">
        <v>-0.52600000000001002</v>
      </c>
      <c r="AF3450">
        <v>-0.490903179116435</v>
      </c>
      <c r="AG3450">
        <v>-8.4726999999999705E-2</v>
      </c>
      <c r="AH3450">
        <v>0.442219082583583</v>
      </c>
      <c r="AI3450">
        <v>97.307466951417098</v>
      </c>
      <c r="AJ3450">
        <v>137.98660372684199</v>
      </c>
      <c r="AK3450">
        <v>0.66612484775504999</v>
      </c>
    </row>
    <row r="3451" spans="1:37" x14ac:dyDescent="0.2">
      <c r="A3451" t="str">
        <f>"20200111154134217"</f>
        <v>20200111154134217</v>
      </c>
      <c r="B3451" t="str">
        <f>"1578728494209772"</f>
        <v>1578728494209772</v>
      </c>
      <c r="C3451" t="s">
        <v>37</v>
      </c>
      <c r="D3451">
        <v>5.3823030000000003</v>
      </c>
      <c r="E3451">
        <v>0.38568829999999998</v>
      </c>
      <c r="F3451" t="s">
        <v>38</v>
      </c>
      <c r="G3451">
        <v>-383.74209999999999</v>
      </c>
      <c r="H3451">
        <v>1.0335270000000001</v>
      </c>
      <c r="I3451">
        <v>140.8381</v>
      </c>
      <c r="J3451">
        <v>-383.3716</v>
      </c>
      <c r="K3451">
        <v>1.1146689999999999</v>
      </c>
      <c r="L3451">
        <v>141.33349999999999</v>
      </c>
      <c r="M3451">
        <v>-0.99764730000000001</v>
      </c>
      <c r="N3451">
        <v>0</v>
      </c>
      <c r="O3451">
        <v>-6.6390749999999998E-2</v>
      </c>
      <c r="P3451">
        <v>-0.96412589999999998</v>
      </c>
      <c r="Q3451">
        <v>3.1192480000000002E-2</v>
      </c>
      <c r="R3451">
        <v>-0.26360630000000002</v>
      </c>
      <c r="S3451">
        <v>-2.6700740000000001</v>
      </c>
      <c r="T3451">
        <v>-0.25338620000000001</v>
      </c>
      <c r="U3451">
        <v>-1.6498409999999999</v>
      </c>
      <c r="V3451">
        <v>-0.19950709999999999</v>
      </c>
      <c r="W3451">
        <v>4.5798319999999997E-2</v>
      </c>
      <c r="X3451">
        <v>0.97882559999999996</v>
      </c>
      <c r="Y3451">
        <v>-0.46671249999999997</v>
      </c>
      <c r="Z3451">
        <v>-1.4570319999999999E-2</v>
      </c>
      <c r="AA3451">
        <v>0.88428909999999905</v>
      </c>
      <c r="AB3451">
        <v>49</v>
      </c>
      <c r="AC3451">
        <v>-0.370499999999992</v>
      </c>
      <c r="AD3451">
        <v>-8.1142000000000006E-2</v>
      </c>
      <c r="AE3451">
        <v>-0.49539999999998902</v>
      </c>
      <c r="AF3451">
        <v>-0.461760934963794</v>
      </c>
      <c r="AG3451">
        <v>-8.1142000000000006E-2</v>
      </c>
      <c r="AH3451">
        <v>0.39576810701545601</v>
      </c>
      <c r="AI3451">
        <v>97.599672643925402</v>
      </c>
      <c r="AJ3451">
        <v>139.40063527199999</v>
      </c>
      <c r="AK3451">
        <v>0.61354672173619795</v>
      </c>
    </row>
    <row r="3452" spans="1:37" x14ac:dyDescent="0.2">
      <c r="A3452" t="str">
        <f>"20200111154134240"</f>
        <v>20200111154134240</v>
      </c>
      <c r="B3452" t="str">
        <f>"1578728494229292"</f>
        <v>1578728494229292</v>
      </c>
      <c r="C3452" t="s">
        <v>37</v>
      </c>
      <c r="D3452">
        <v>5.3675569999999997</v>
      </c>
      <c r="E3452">
        <v>0.3854728</v>
      </c>
      <c r="F3452" t="s">
        <v>38</v>
      </c>
      <c r="G3452">
        <v>-384.1789</v>
      </c>
      <c r="H3452">
        <v>1.0389600000000001</v>
      </c>
      <c r="I3452">
        <v>140.8323</v>
      </c>
      <c r="J3452">
        <v>-383.84649999999999</v>
      </c>
      <c r="K3452">
        <v>1.1146959999999999</v>
      </c>
      <c r="L3452">
        <v>141.29990000000001</v>
      </c>
      <c r="M3452">
        <v>-0.99741829999999998</v>
      </c>
      <c r="N3452">
        <v>0</v>
      </c>
      <c r="O3452">
        <v>-6.9815420000000003E-2</v>
      </c>
      <c r="P3452">
        <v>-0.96353109999999997</v>
      </c>
      <c r="Q3452">
        <v>3.2488309999999999E-2</v>
      </c>
      <c r="R3452">
        <v>-0.26561760000000001</v>
      </c>
      <c r="S3452">
        <v>-2.6669309999999999</v>
      </c>
      <c r="T3452">
        <v>-0.250077299999999</v>
      </c>
      <c r="U3452">
        <v>-1.6560969999999999</v>
      </c>
      <c r="V3452">
        <v>-0.19820589999999999</v>
      </c>
      <c r="W3452">
        <v>4.6828130000000003E-2</v>
      </c>
      <c r="X3452">
        <v>0.97904119999999994</v>
      </c>
      <c r="Y3452">
        <v>-0.4656904</v>
      </c>
      <c r="Z3452">
        <v>-1.4051920000000001E-2</v>
      </c>
      <c r="AA3452">
        <v>0.88483609999999902</v>
      </c>
      <c r="AB3452">
        <v>49</v>
      </c>
      <c r="AC3452">
        <v>-0.33240000000000602</v>
      </c>
      <c r="AD3452">
        <v>-7.5735999999999803E-2</v>
      </c>
      <c r="AE3452">
        <v>-0.46760000000000401</v>
      </c>
      <c r="AF3452">
        <v>-0.43565655125494102</v>
      </c>
      <c r="AG3452">
        <v>-7.5735999999999803E-2</v>
      </c>
      <c r="AH3452">
        <v>0.358000095999785</v>
      </c>
      <c r="AI3452">
        <v>97.649744689989006</v>
      </c>
      <c r="AJ3452">
        <v>140.588397459444</v>
      </c>
      <c r="AK3452">
        <v>0.56894344278074305</v>
      </c>
    </row>
    <row r="3453" spans="1:37" x14ac:dyDescent="0.2">
      <c r="A3453" t="str">
        <f>"20200111154134262"</f>
        <v>20200111154134262</v>
      </c>
      <c r="B3453" t="str">
        <f>"1578728494259549"</f>
        <v>1578728494259549</v>
      </c>
      <c r="C3453" t="s">
        <v>37</v>
      </c>
      <c r="D3453">
        <v>5.3887799999999997</v>
      </c>
      <c r="E3453">
        <v>0.3850133</v>
      </c>
      <c r="F3453" t="s">
        <v>38</v>
      </c>
      <c r="G3453">
        <v>-384.61500000000001</v>
      </c>
      <c r="H3453">
        <v>1.044082</v>
      </c>
      <c r="I3453">
        <v>140.81989999999999</v>
      </c>
      <c r="J3453">
        <v>-384.33010000000002</v>
      </c>
      <c r="K3453">
        <v>1.1147209999999901</v>
      </c>
      <c r="L3453">
        <v>141.26400000000001</v>
      </c>
      <c r="M3453">
        <v>-0.99717180000000005</v>
      </c>
      <c r="N3453">
        <v>0</v>
      </c>
      <c r="O3453">
        <v>-7.330623E-2</v>
      </c>
      <c r="P3453">
        <v>-0.96258220000000005</v>
      </c>
      <c r="Q3453">
        <v>3.27316E-2</v>
      </c>
      <c r="R3453">
        <v>-0.26900599999999902</v>
      </c>
      <c r="S3453">
        <v>-2.663116</v>
      </c>
      <c r="T3453">
        <v>-0.24471599999999999</v>
      </c>
      <c r="U3453">
        <v>-1.66363499999999</v>
      </c>
      <c r="V3453">
        <v>-0.19822799999999999</v>
      </c>
      <c r="W3453">
        <v>4.6815269999999999E-2</v>
      </c>
      <c r="X3453">
        <v>0.9790373</v>
      </c>
      <c r="Y3453">
        <v>-0.46503149999999999</v>
      </c>
      <c r="Z3453">
        <v>-1.344093E-2</v>
      </c>
      <c r="AA3453">
        <v>0.88519210000000004</v>
      </c>
      <c r="AB3453">
        <v>48</v>
      </c>
      <c r="AC3453">
        <v>-0.28489999999999299</v>
      </c>
      <c r="AD3453">
        <v>-7.0638999999999896E-2</v>
      </c>
      <c r="AE3453">
        <v>-0.44410000000001998</v>
      </c>
      <c r="AF3453">
        <v>-0.414586024422196</v>
      </c>
      <c r="AG3453">
        <v>-7.0638999999999896E-2</v>
      </c>
      <c r="AH3453">
        <v>0.31111662265388101</v>
      </c>
      <c r="AI3453">
        <v>97.760438281091297</v>
      </c>
      <c r="AJ3453">
        <v>143.11444104392601</v>
      </c>
      <c r="AK3453">
        <v>0.52312999613744104</v>
      </c>
    </row>
    <row r="3454" spans="1:37" x14ac:dyDescent="0.2">
      <c r="A3454" t="str">
        <f>"20200111154134285"</f>
        <v>20200111154134285</v>
      </c>
      <c r="B3454" t="str">
        <f>"1578728494280044"</f>
        <v>1578728494280044</v>
      </c>
      <c r="C3454" t="s">
        <v>37</v>
      </c>
      <c r="D3454">
        <v>5.3845460000000003</v>
      </c>
      <c r="E3454">
        <v>0.3847584</v>
      </c>
      <c r="F3454" t="s">
        <v>38</v>
      </c>
      <c r="G3454">
        <v>-385.11599999999999</v>
      </c>
      <c r="H3454">
        <v>1.0432619999999999</v>
      </c>
      <c r="I3454">
        <v>140.76769999999999</v>
      </c>
      <c r="J3454">
        <v>-384.81509999999997</v>
      </c>
      <c r="K3454">
        <v>1.114743</v>
      </c>
      <c r="L3454">
        <v>141.22620000000001</v>
      </c>
      <c r="M3454">
        <v>-0.99691129999999994</v>
      </c>
      <c r="N3454">
        <v>0</v>
      </c>
      <c r="O3454">
        <v>-7.6813240000000005E-2</v>
      </c>
      <c r="P3454">
        <v>-0.96138380000000001</v>
      </c>
      <c r="Q3454">
        <v>3.2790720000000002E-2</v>
      </c>
      <c r="R3454">
        <v>-0.27325120000000003</v>
      </c>
      <c r="S3454">
        <v>-2.656158</v>
      </c>
      <c r="T3454">
        <v>-0.24154249999999999</v>
      </c>
      <c r="U3454">
        <v>-1.6769559999999999</v>
      </c>
      <c r="V3454">
        <v>-0.19910629999999899</v>
      </c>
      <c r="W3454">
        <v>4.6639029999999998E-2</v>
      </c>
      <c r="X3454">
        <v>0.978867499999999</v>
      </c>
      <c r="Y3454">
        <v>-0.46617839999999999</v>
      </c>
      <c r="Z3454">
        <v>-1.3040299999999999E-2</v>
      </c>
      <c r="AA3454">
        <v>0.88459460000000001</v>
      </c>
      <c r="AB3454">
        <v>48</v>
      </c>
      <c r="AC3454">
        <v>-0.30090000000001199</v>
      </c>
      <c r="AD3454">
        <v>-7.1480999999999906E-2</v>
      </c>
      <c r="AE3454">
        <v>-0.45850000000001501</v>
      </c>
      <c r="AF3454">
        <v>-0.426778446865622</v>
      </c>
      <c r="AG3454">
        <v>-7.1480999999999906E-2</v>
      </c>
      <c r="AH3454">
        <v>0.32963432102400397</v>
      </c>
      <c r="AI3454">
        <v>97.550793926621097</v>
      </c>
      <c r="AJ3454">
        <v>142.31828853387501</v>
      </c>
      <c r="AK3454">
        <v>0.54397441269510904</v>
      </c>
    </row>
    <row r="3455" spans="1:37" x14ac:dyDescent="0.2">
      <c r="A3455" t="str">
        <f>"20200111154134308"</f>
        <v>20200111154134308</v>
      </c>
      <c r="B3455" t="str">
        <f>"1578728494299564"</f>
        <v>1578728494299564</v>
      </c>
      <c r="C3455" t="s">
        <v>37</v>
      </c>
      <c r="D3455">
        <v>5.3812439999999997</v>
      </c>
      <c r="E3455">
        <v>0.37739210000000001</v>
      </c>
      <c r="F3455" t="s">
        <v>38</v>
      </c>
      <c r="G3455">
        <v>-385.85359999999997</v>
      </c>
      <c r="H3455">
        <v>1.020451</v>
      </c>
      <c r="I3455">
        <v>140.56299999999999</v>
      </c>
      <c r="J3455">
        <v>-385.31169999999997</v>
      </c>
      <c r="K3455">
        <v>1.1147609999999999</v>
      </c>
      <c r="L3455">
        <v>141.18559999999999</v>
      </c>
      <c r="M3455">
        <v>-0.99663040000000003</v>
      </c>
      <c r="N3455">
        <v>0</v>
      </c>
      <c r="O3455">
        <v>-8.0414879999999994E-2</v>
      </c>
      <c r="P3455">
        <v>-0.95997180000000004</v>
      </c>
      <c r="Q3455">
        <v>3.4321600000000001E-2</v>
      </c>
      <c r="R3455">
        <v>-0.27798519999999999</v>
      </c>
      <c r="S3455">
        <v>-2.6481629999999998</v>
      </c>
      <c r="T3455">
        <v>-0.240416399999999</v>
      </c>
      <c r="U3455">
        <v>-1.6906889999999899</v>
      </c>
      <c r="V3455">
        <v>-0.2004146</v>
      </c>
      <c r="W3455">
        <v>4.79522E-2</v>
      </c>
      <c r="X3455">
        <v>0.97853699999999999</v>
      </c>
      <c r="Y3455">
        <v>-0.46747070000000002</v>
      </c>
      <c r="Z3455">
        <v>-1.2755560000000001E-2</v>
      </c>
      <c r="AA3455">
        <v>0.88391649999999999</v>
      </c>
      <c r="AB3455">
        <v>48</v>
      </c>
      <c r="AC3455">
        <v>-0.54189999999999805</v>
      </c>
      <c r="AD3455">
        <v>-9.4310000000000102E-2</v>
      </c>
      <c r="AE3455">
        <v>-0.62260000000000504</v>
      </c>
      <c r="AF3455">
        <v>-0.56956483010841896</v>
      </c>
      <c r="AG3455">
        <v>-9.4310000000000102E-2</v>
      </c>
      <c r="AH3455">
        <v>0.58261128644354498</v>
      </c>
      <c r="AI3455">
        <v>96.602679592653203</v>
      </c>
      <c r="AJ3455">
        <v>134.35124940580101</v>
      </c>
      <c r="AK3455">
        <v>0.82020386666232903</v>
      </c>
    </row>
    <row r="3456" spans="1:37" x14ac:dyDescent="0.2">
      <c r="A3456" t="str">
        <f>"20200111154134329"</f>
        <v>20200111154134329</v>
      </c>
      <c r="B3456" t="str">
        <f>"1578728494320060"</f>
        <v>1578728494320060</v>
      </c>
      <c r="C3456" t="s">
        <v>37</v>
      </c>
      <c r="D3456">
        <v>5.3696789999999996</v>
      </c>
      <c r="E3456">
        <v>0.37732470000000001</v>
      </c>
      <c r="F3456" t="s">
        <v>38</v>
      </c>
      <c r="G3456">
        <v>-386.28339999999997</v>
      </c>
      <c r="H3456">
        <v>1.030195</v>
      </c>
      <c r="I3456">
        <v>140.53370000000001</v>
      </c>
      <c r="J3456">
        <v>-385.76710000000003</v>
      </c>
      <c r="K3456">
        <v>1.114778</v>
      </c>
      <c r="L3456">
        <v>141.14680000000001</v>
      </c>
      <c r="M3456">
        <v>-0.99636019999999903</v>
      </c>
      <c r="N3456">
        <v>0</v>
      </c>
      <c r="O3456">
        <v>-8.3726759999999997E-2</v>
      </c>
      <c r="P3456">
        <v>-0.95862250000000004</v>
      </c>
      <c r="Q3456">
        <v>3.5445079999999997E-2</v>
      </c>
      <c r="R3456">
        <v>-0.28246549999999998</v>
      </c>
      <c r="S3456">
        <v>-2.623383</v>
      </c>
      <c r="T3456">
        <v>-0.2283094</v>
      </c>
      <c r="U3456">
        <v>-1.7607269999999999</v>
      </c>
      <c r="V3456">
        <v>-0.20174900000000001</v>
      </c>
      <c r="W3456">
        <v>4.8896179999999997E-2</v>
      </c>
      <c r="X3456">
        <v>0.97821599999999997</v>
      </c>
      <c r="Y3456">
        <v>-0.48476609999999998</v>
      </c>
      <c r="Z3456">
        <v>-1.255626E-2</v>
      </c>
      <c r="AA3456">
        <v>0.87455369999999999</v>
      </c>
      <c r="AB3456">
        <v>48</v>
      </c>
      <c r="AC3456">
        <v>-0.51629999999994403</v>
      </c>
      <c r="AD3456">
        <v>-8.4583000000000005E-2</v>
      </c>
      <c r="AE3456">
        <v>-0.61310000000000198</v>
      </c>
      <c r="AF3456">
        <v>-0.561460714762271</v>
      </c>
      <c r="AG3456">
        <v>-8.4583000000000005E-2</v>
      </c>
      <c r="AH3456">
        <v>0.55959458925875905</v>
      </c>
      <c r="AI3456">
        <v>96.090500360412406</v>
      </c>
      <c r="AJ3456">
        <v>135.09537532738301</v>
      </c>
      <c r="AK3456">
        <v>0.79720669994552795</v>
      </c>
    </row>
    <row r="3457" spans="1:37" x14ac:dyDescent="0.2">
      <c r="A3457" t="str">
        <f>"20200111154134351"</f>
        <v>20200111154134351</v>
      </c>
      <c r="B3457" t="str">
        <f>"1578728494339581"</f>
        <v>1578728494339581</v>
      </c>
      <c r="C3457" t="s">
        <v>37</v>
      </c>
      <c r="D3457">
        <v>5.4599169999999999</v>
      </c>
      <c r="E3457">
        <v>0.37814399999999998</v>
      </c>
      <c r="F3457" t="s">
        <v>38</v>
      </c>
      <c r="G3457">
        <v>-386.71319999999997</v>
      </c>
      <c r="H3457">
        <v>1.0339339999999999</v>
      </c>
      <c r="I3457">
        <v>140.5052</v>
      </c>
      <c r="J3457">
        <v>-386.23899999999998</v>
      </c>
      <c r="K3457">
        <v>1.1147959999999999</v>
      </c>
      <c r="L3457">
        <v>141.10499999999999</v>
      </c>
      <c r="M3457">
        <v>-0.99606689999999998</v>
      </c>
      <c r="N3457">
        <v>0</v>
      </c>
      <c r="O3457">
        <v>-8.7175730000000007E-2</v>
      </c>
      <c r="P3457">
        <v>-0.95706460000000004</v>
      </c>
      <c r="Q3457">
        <v>3.6001470000000001E-2</v>
      </c>
      <c r="R3457">
        <v>-0.28763080000000002</v>
      </c>
      <c r="S3457">
        <v>-2.6151119999999999</v>
      </c>
      <c r="T3457">
        <v>-0.22345809999999999</v>
      </c>
      <c r="U3457">
        <v>-1.7736509999999901</v>
      </c>
      <c r="V3457">
        <v>-0.20364640000000001</v>
      </c>
      <c r="W3457">
        <v>4.9279089999999998E-2</v>
      </c>
      <c r="X3457">
        <v>0.97780349999999905</v>
      </c>
      <c r="Y3457">
        <v>-0.48603269999999998</v>
      </c>
      <c r="Z3457">
        <v>-1.209387E-2</v>
      </c>
      <c r="AA3457">
        <v>0.87385699999999999</v>
      </c>
      <c r="AB3457">
        <v>48</v>
      </c>
      <c r="AC3457">
        <v>-0.474199999999939</v>
      </c>
      <c r="AD3457">
        <v>-8.0861999999999906E-2</v>
      </c>
      <c r="AE3457">
        <v>-0.59979999999998701</v>
      </c>
      <c r="AF3457">
        <v>-0.55002040829630605</v>
      </c>
      <c r="AG3457">
        <v>-8.0861999999999906E-2</v>
      </c>
      <c r="AH3457">
        <v>0.51888541131048005</v>
      </c>
      <c r="AI3457">
        <v>96.103952364256102</v>
      </c>
      <c r="AJ3457">
        <v>136.668434802512</v>
      </c>
      <c r="AK3457">
        <v>0.76046247945397105</v>
      </c>
    </row>
    <row r="3458" spans="1:37" x14ac:dyDescent="0.2">
      <c r="A3458" t="str">
        <f>"20200111154134374"</f>
        <v>20200111154134374</v>
      </c>
      <c r="B3458" t="str">
        <f>"1578728494369836"</f>
        <v>1578728494369836</v>
      </c>
      <c r="C3458" t="s">
        <v>37</v>
      </c>
      <c r="D3458">
        <v>5.3005820000000003</v>
      </c>
      <c r="E3458">
        <v>0.40837990000000002</v>
      </c>
      <c r="F3458" t="s">
        <v>38</v>
      </c>
      <c r="G3458">
        <v>-387.14589999999998</v>
      </c>
      <c r="H3458">
        <v>1.0366739999999901</v>
      </c>
      <c r="I3458">
        <v>140.4855</v>
      </c>
      <c r="J3458">
        <v>-386.72089999999997</v>
      </c>
      <c r="K3458">
        <v>1.114819</v>
      </c>
      <c r="L3458">
        <v>141.06059999999999</v>
      </c>
      <c r="M3458">
        <v>-0.99575170000000002</v>
      </c>
      <c r="N3458">
        <v>0</v>
      </c>
      <c r="O3458">
        <v>-9.0726580000000001E-2</v>
      </c>
      <c r="P3458">
        <v>-0.95534300000000005</v>
      </c>
      <c r="Q3458">
        <v>3.6459720000000001E-2</v>
      </c>
      <c r="R3458">
        <v>-0.2932419</v>
      </c>
      <c r="S3458">
        <v>-2.607666</v>
      </c>
      <c r="T3458">
        <v>-0.22464919999999999</v>
      </c>
      <c r="U3458">
        <v>-1.7814639999999999</v>
      </c>
      <c r="V3458">
        <v>-0.20590709999999901</v>
      </c>
      <c r="W3458">
        <v>4.9570580000000003E-2</v>
      </c>
      <c r="X3458">
        <v>0.97731520000000005</v>
      </c>
      <c r="Y3458">
        <v>-0.48586119999999999</v>
      </c>
      <c r="Z3458">
        <v>-1.189933E-2</v>
      </c>
      <c r="AA3458">
        <v>0.87395499999999904</v>
      </c>
      <c r="AB3458">
        <v>48</v>
      </c>
      <c r="AC3458">
        <v>-0.42500000000001098</v>
      </c>
      <c r="AD3458">
        <v>-7.8145000000000103E-2</v>
      </c>
      <c r="AE3458">
        <v>-0.57509999999999195</v>
      </c>
      <c r="AF3458">
        <v>-0.52786041691565599</v>
      </c>
      <c r="AG3458">
        <v>-7.8145000000000103E-2</v>
      </c>
      <c r="AH3458">
        <v>0.46981959272714802</v>
      </c>
      <c r="AI3458">
        <v>96.310341964916901</v>
      </c>
      <c r="AJ3458">
        <v>138.32947458817799</v>
      </c>
      <c r="AK3458">
        <v>0.71096674358346301</v>
      </c>
    </row>
    <row r="3459" spans="1:37" x14ac:dyDescent="0.2">
      <c r="A3459" t="str">
        <f>"20200111154134397"</f>
        <v>20200111154134397</v>
      </c>
      <c r="B3459" t="str">
        <f>"1578728494389356"</f>
        <v>1578728494389356</v>
      </c>
      <c r="C3459" t="s">
        <v>37</v>
      </c>
      <c r="D3459">
        <v>5.459422</v>
      </c>
      <c r="E3459">
        <v>0.40901749999999998</v>
      </c>
      <c r="F3459" t="s">
        <v>38</v>
      </c>
      <c r="G3459">
        <v>-387.6028</v>
      </c>
      <c r="H3459">
        <v>1.0225949999999999</v>
      </c>
      <c r="I3459">
        <v>140.54429999999999</v>
      </c>
      <c r="J3459">
        <v>-387.22129999999999</v>
      </c>
      <c r="K3459">
        <v>1.1148549999999999</v>
      </c>
      <c r="L3459">
        <v>141.01259999999999</v>
      </c>
      <c r="M3459">
        <v>-0.99540629999999997</v>
      </c>
      <c r="N3459">
        <v>0</v>
      </c>
      <c r="O3459">
        <v>-9.4460100000000005E-2</v>
      </c>
      <c r="P3459">
        <v>-0.95357199999999998</v>
      </c>
      <c r="Q3459">
        <v>3.7882899999999997E-2</v>
      </c>
      <c r="R3459">
        <v>-0.29877369999999998</v>
      </c>
      <c r="S3459">
        <v>-2.6709290000000001</v>
      </c>
      <c r="T3459">
        <v>-0.27930189999999999</v>
      </c>
      <c r="U3459">
        <v>-1.563644</v>
      </c>
      <c r="V3459">
        <v>-0.20793130000000001</v>
      </c>
      <c r="W3459">
        <v>5.0836409999999999E-2</v>
      </c>
      <c r="X3459">
        <v>0.97682150000000001</v>
      </c>
      <c r="Y3459">
        <v>-0.42012690000000003</v>
      </c>
      <c r="Z3459">
        <v>-1.124212E-2</v>
      </c>
      <c r="AA3459">
        <v>0.90739570000000003</v>
      </c>
      <c r="AB3459">
        <v>48</v>
      </c>
      <c r="AC3459">
        <v>-0.38150000000001599</v>
      </c>
      <c r="AD3459">
        <v>-9.2259999999999801E-2</v>
      </c>
      <c r="AE3459">
        <v>-0.46829999999999899</v>
      </c>
      <c r="AF3459">
        <v>-0.420357664908802</v>
      </c>
      <c r="AG3459">
        <v>-9.2259999999999801E-2</v>
      </c>
      <c r="AH3459">
        <v>0.41436759319399402</v>
      </c>
      <c r="AI3459">
        <v>98.8837522039004</v>
      </c>
      <c r="AJ3459">
        <v>135.41115317141799</v>
      </c>
      <c r="AK3459">
        <v>0.59742194162665596</v>
      </c>
    </row>
    <row r="3460" spans="1:37" x14ac:dyDescent="0.2">
      <c r="A3460" t="str">
        <f>"20200111154134418"</f>
        <v>20200111154134418</v>
      </c>
      <c r="B3460" t="str">
        <f>"1578728494409852"</f>
        <v>1578728494409852</v>
      </c>
      <c r="C3460" t="s">
        <v>37</v>
      </c>
      <c r="D3460">
        <v>5.3438109999999996</v>
      </c>
      <c r="E3460">
        <v>0.41148659999999998</v>
      </c>
      <c r="F3460" t="s">
        <v>38</v>
      </c>
      <c r="G3460">
        <v>-388.11369999999999</v>
      </c>
      <c r="H3460">
        <v>1.0246629999999901</v>
      </c>
      <c r="I3460">
        <v>140.4853</v>
      </c>
      <c r="J3460">
        <v>-387.67899999999997</v>
      </c>
      <c r="K3460">
        <v>1.114903</v>
      </c>
      <c r="L3460">
        <v>140.96700000000001</v>
      </c>
      <c r="M3460">
        <v>-0.99507190000000001</v>
      </c>
      <c r="N3460">
        <v>0</v>
      </c>
      <c r="O3460">
        <v>-9.7932459999999999E-2</v>
      </c>
      <c r="P3460">
        <v>-0.95177780000000001</v>
      </c>
      <c r="Q3460">
        <v>3.9277609999999998E-2</v>
      </c>
      <c r="R3460">
        <v>-0.30426370000000003</v>
      </c>
      <c r="S3460">
        <v>-2.6634519999999999</v>
      </c>
      <c r="T3460">
        <v>-0.2691692</v>
      </c>
      <c r="U3460">
        <v>-1.5744320000000001</v>
      </c>
      <c r="V3460">
        <v>-0.21017810000000001</v>
      </c>
      <c r="W3460">
        <v>5.2089770000000001E-2</v>
      </c>
      <c r="X3460">
        <v>0.97627450000000005</v>
      </c>
      <c r="Y3460">
        <v>-0.42090169999999999</v>
      </c>
      <c r="Z3460">
        <v>-1.056969E-2</v>
      </c>
      <c r="AA3460">
        <v>0.90704459999999998</v>
      </c>
      <c r="AB3460">
        <v>48</v>
      </c>
      <c r="AC3460">
        <v>-0.434699999999963</v>
      </c>
      <c r="AD3460">
        <v>-9.0240000000000098E-2</v>
      </c>
      <c r="AE3460">
        <v>-0.481700000000017</v>
      </c>
      <c r="AF3460">
        <v>-0.42851885224015401</v>
      </c>
      <c r="AG3460">
        <v>-9.0240000000000098E-2</v>
      </c>
      <c r="AH3460">
        <v>0.47068534815867502</v>
      </c>
      <c r="AI3460">
        <v>98.068948278060901</v>
      </c>
      <c r="AJ3460">
        <v>132.315188571916</v>
      </c>
      <c r="AK3460">
        <v>0.64289685121057505</v>
      </c>
    </row>
    <row r="3461" spans="1:37" x14ac:dyDescent="0.2">
      <c r="A3461" t="str">
        <f>"20200111154134441"</f>
        <v>20200111154134441</v>
      </c>
      <c r="B3461" t="str">
        <f>"1578728494429373"</f>
        <v>1578728494429373</v>
      </c>
      <c r="C3461" t="s">
        <v>37</v>
      </c>
      <c r="D3461">
        <v>5.3144689999999999</v>
      </c>
      <c r="E3461">
        <v>0.41161559999999903</v>
      </c>
      <c r="F3461" t="s">
        <v>46</v>
      </c>
      <c r="G3461">
        <v>-400.26530000000002</v>
      </c>
      <c r="H3461" s="1">
        <v>-2.294607E-6</v>
      </c>
      <c r="I3461">
        <v>133.5284</v>
      </c>
      <c r="J3461">
        <v>-388.14890000000003</v>
      </c>
      <c r="K3461">
        <v>1.114962</v>
      </c>
      <c r="L3461">
        <v>140.91849999999999</v>
      </c>
      <c r="M3461">
        <v>-0.99470879999999995</v>
      </c>
      <c r="N3461">
        <v>0</v>
      </c>
      <c r="O3461">
        <v>-0.1015673</v>
      </c>
      <c r="P3461">
        <v>-0.9498046</v>
      </c>
      <c r="Q3461">
        <v>4.0037379999999997E-2</v>
      </c>
      <c r="R3461">
        <v>-0.310272099999999</v>
      </c>
      <c r="S3461">
        <v>-2.6592709999999999</v>
      </c>
      <c r="T3461">
        <v>-0.23556069999999901</v>
      </c>
      <c r="U3461">
        <v>-1.57167099999999</v>
      </c>
      <c r="V3461">
        <v>-0.21279919999999999</v>
      </c>
      <c r="W3461">
        <v>5.2704999999999898E-2</v>
      </c>
      <c r="X3461">
        <v>0.97567340000000002</v>
      </c>
      <c r="Y3461">
        <v>-0.4178115</v>
      </c>
      <c r="Z3461">
        <v>-8.8502759999999903E-3</v>
      </c>
      <c r="AA3461">
        <v>0.90849059999999904</v>
      </c>
      <c r="AB3461">
        <v>48</v>
      </c>
      <c r="AC3461">
        <v>-12.116400000000001</v>
      </c>
      <c r="AD3461">
        <v>-1.114964294607</v>
      </c>
      <c r="AE3461">
        <v>-7.3900999999999897</v>
      </c>
      <c r="AF3461">
        <v>-6.0835504449251996</v>
      </c>
      <c r="AG3461">
        <v>-1.114964294607</v>
      </c>
      <c r="AH3461">
        <v>12.7258665669297</v>
      </c>
      <c r="AI3461">
        <v>94.519616603100104</v>
      </c>
      <c r="AJ3461">
        <v>115.549948040892</v>
      </c>
      <c r="AK3461">
        <v>14.149219458100699</v>
      </c>
    </row>
    <row r="3462" spans="1:37" x14ac:dyDescent="0.2">
      <c r="A3462" t="str">
        <f>"20200111154134463"</f>
        <v>20200111154134463</v>
      </c>
      <c r="B3462" t="str">
        <f>"1578728494459628"</f>
        <v>1578728494459628</v>
      </c>
      <c r="C3462" t="s">
        <v>37</v>
      </c>
      <c r="D3462">
        <v>5.3030839999999904</v>
      </c>
      <c r="E3462">
        <v>0.4116475</v>
      </c>
      <c r="F3462" t="s">
        <v>46</v>
      </c>
      <c r="G3462">
        <v>-401.12199999999899</v>
      </c>
      <c r="H3462" s="1">
        <v>-2.5805009999999999E-6</v>
      </c>
      <c r="I3462">
        <v>133.1464</v>
      </c>
      <c r="J3462">
        <v>-388.62639999999999</v>
      </c>
      <c r="K3462">
        <v>1.1150329999999999</v>
      </c>
      <c r="L3462">
        <v>140.8674</v>
      </c>
      <c r="M3462">
        <v>-0.994316599999999</v>
      </c>
      <c r="N3462">
        <v>0</v>
      </c>
      <c r="O3462">
        <v>-0.105347</v>
      </c>
      <c r="P3462">
        <v>-0.94778890000000005</v>
      </c>
      <c r="Q3462">
        <v>4.0829770000000001E-2</v>
      </c>
      <c r="R3462">
        <v>-0.31627430000000001</v>
      </c>
      <c r="S3462">
        <v>-2.649597</v>
      </c>
      <c r="T3462">
        <v>-0.2277178</v>
      </c>
      <c r="U3462">
        <v>-1.5873569999999999</v>
      </c>
      <c r="V3462">
        <v>-0.2152847</v>
      </c>
      <c r="W3462">
        <v>5.3358309999999999E-2</v>
      </c>
      <c r="X3462">
        <v>0.97509249999999903</v>
      </c>
      <c r="Y3462">
        <v>-0.41984110000000002</v>
      </c>
      <c r="Z3462">
        <v>-8.3582120000000003E-3</v>
      </c>
      <c r="AA3462">
        <v>0.90755919999999901</v>
      </c>
      <c r="AB3462">
        <v>48</v>
      </c>
      <c r="AC3462">
        <v>-12.4955999999999</v>
      </c>
      <c r="AD3462">
        <v>-1.1150355805009999</v>
      </c>
      <c r="AE3462">
        <v>-7.7210000000000001</v>
      </c>
      <c r="AF3462">
        <v>-6.3250480584389202</v>
      </c>
      <c r="AG3462">
        <v>-1.1150355805009999</v>
      </c>
      <c r="AH3462">
        <v>13.1636753521326</v>
      </c>
      <c r="AI3462">
        <v>94.366020938989607</v>
      </c>
      <c r="AJ3462">
        <v>115.66393831779</v>
      </c>
      <c r="AK3462">
        <v>14.6469070476906</v>
      </c>
    </row>
    <row r="3463" spans="1:37" x14ac:dyDescent="0.2">
      <c r="A3463" t="str">
        <f>"20200111154134485"</f>
        <v>20200111154134485</v>
      </c>
      <c r="B3463" t="str">
        <f>"1578728494480124"</f>
        <v>1578728494480124</v>
      </c>
      <c r="C3463" t="s">
        <v>37</v>
      </c>
      <c r="D3463">
        <v>5.3231400000000004</v>
      </c>
      <c r="E3463">
        <v>0.4111689</v>
      </c>
      <c r="F3463" t="s">
        <v>38</v>
      </c>
      <c r="G3463">
        <v>-389.69420000000002</v>
      </c>
      <c r="H3463">
        <v>1.02217</v>
      </c>
      <c r="I3463">
        <v>140.21889999999999</v>
      </c>
      <c r="J3463">
        <v>-389.10739999999998</v>
      </c>
      <c r="K3463">
        <v>1.1151180000000001</v>
      </c>
      <c r="L3463">
        <v>140.81379999999999</v>
      </c>
      <c r="M3463">
        <v>-0.99389519999999998</v>
      </c>
      <c r="N3463">
        <v>0</v>
      </c>
      <c r="O3463">
        <v>-0.109259799999999</v>
      </c>
      <c r="P3463">
        <v>-0.94591229999999904</v>
      </c>
      <c r="Q3463">
        <v>4.1757120000000002E-2</v>
      </c>
      <c r="R3463">
        <v>-0.32172459999999897</v>
      </c>
      <c r="S3463">
        <v>-2.6399539999999999</v>
      </c>
      <c r="T3463">
        <v>-0.2295836</v>
      </c>
      <c r="U3463">
        <v>-1.6038509999999999</v>
      </c>
      <c r="V3463">
        <v>-0.21708549999999999</v>
      </c>
      <c r="W3463">
        <v>5.4159190000000003E-2</v>
      </c>
      <c r="X3463">
        <v>0.97464899999999999</v>
      </c>
      <c r="Y3463">
        <v>-0.42187269999999999</v>
      </c>
      <c r="Z3463">
        <v>-8.2150809999999904E-3</v>
      </c>
      <c r="AA3463">
        <v>0.90661780000000003</v>
      </c>
      <c r="AB3463">
        <v>48</v>
      </c>
      <c r="AC3463">
        <v>-0.58680000000003896</v>
      </c>
      <c r="AD3463">
        <v>-9.2948000000000003E-2</v>
      </c>
      <c r="AE3463">
        <v>-0.59489999999999499</v>
      </c>
      <c r="AF3463">
        <v>-0.52077293069103203</v>
      </c>
      <c r="AG3463">
        <v>-9.2948000000000003E-2</v>
      </c>
      <c r="AH3463">
        <v>0.64036912552110703</v>
      </c>
      <c r="AI3463">
        <v>96.425028132359799</v>
      </c>
      <c r="AJ3463">
        <v>129.119342575465</v>
      </c>
      <c r="AK3463">
        <v>0.83061205924618897</v>
      </c>
    </row>
    <row r="3464" spans="1:37" x14ac:dyDescent="0.2">
      <c r="A3464" t="str">
        <f>"20200111154134507"</f>
        <v>20200111154134507</v>
      </c>
      <c r="B3464" t="str">
        <f>"1578728494499644"</f>
        <v>1578728494499644</v>
      </c>
      <c r="C3464" t="s">
        <v>37</v>
      </c>
      <c r="D3464">
        <v>5.3294930000000003</v>
      </c>
      <c r="E3464">
        <v>0.41092990000000001</v>
      </c>
      <c r="F3464" t="s">
        <v>38</v>
      </c>
      <c r="G3464">
        <v>-390.12310000000002</v>
      </c>
      <c r="H3464">
        <v>1.0264450000000001</v>
      </c>
      <c r="I3464">
        <v>140.1874</v>
      </c>
      <c r="J3464">
        <v>-389.57440000000003</v>
      </c>
      <c r="K3464">
        <v>1.115208</v>
      </c>
      <c r="L3464">
        <v>140.75989999999999</v>
      </c>
      <c r="M3464">
        <v>-0.99346129999999999</v>
      </c>
      <c r="N3464">
        <v>0</v>
      </c>
      <c r="O3464">
        <v>-0.11314389999999901</v>
      </c>
      <c r="P3464">
        <v>-0.94394750000000005</v>
      </c>
      <c r="Q3464">
        <v>4.319783E-2</v>
      </c>
      <c r="R3464">
        <v>-0.32725739999999998</v>
      </c>
      <c r="S3464">
        <v>-2.6299130000000002</v>
      </c>
      <c r="T3464">
        <v>-0.22959169999999901</v>
      </c>
      <c r="U3464">
        <v>-1.6221920000000001</v>
      </c>
      <c r="V3464">
        <v>-0.2190174</v>
      </c>
      <c r="W3464">
        <v>5.5480889999999998E-2</v>
      </c>
      <c r="X3464">
        <v>0.97414230000000002</v>
      </c>
      <c r="Y3464">
        <v>-0.42445959999999899</v>
      </c>
      <c r="Z3464">
        <v>-8.0277189999999991E-3</v>
      </c>
      <c r="AA3464">
        <v>0.90541130000000003</v>
      </c>
      <c r="AB3464">
        <v>48</v>
      </c>
      <c r="AC3464">
        <v>-0.54869999999999597</v>
      </c>
      <c r="AD3464">
        <v>-8.8762999999999898E-2</v>
      </c>
      <c r="AE3464">
        <v>-0.57249999999999002</v>
      </c>
      <c r="AF3464">
        <v>-0.50046307182202399</v>
      </c>
      <c r="AG3464">
        <v>-8.8762999999999898E-2</v>
      </c>
      <c r="AH3464">
        <v>0.60241032197236599</v>
      </c>
      <c r="AI3464">
        <v>96.466169182658206</v>
      </c>
      <c r="AJ3464">
        <v>129.71870940300801</v>
      </c>
      <c r="AK3464">
        <v>0.788188018460942</v>
      </c>
    </row>
    <row r="3465" spans="1:37" x14ac:dyDescent="0.2">
      <c r="A3465" t="str">
        <f>"20200111154134529"</f>
        <v>20200111154134529</v>
      </c>
      <c r="B3465" t="str">
        <f>"1578728494519164"</f>
        <v>1578728494519164</v>
      </c>
      <c r="C3465" t="s">
        <v>37</v>
      </c>
      <c r="D3465">
        <v>5.3030299999999997</v>
      </c>
      <c r="E3465">
        <v>0.410446599999999</v>
      </c>
      <c r="F3465" t="s">
        <v>38</v>
      </c>
      <c r="G3465">
        <v>-390.55</v>
      </c>
      <c r="H3465">
        <v>1.0297540000000001</v>
      </c>
      <c r="I3465">
        <v>140.14949999999999</v>
      </c>
      <c r="J3465">
        <v>-390.04079999999999</v>
      </c>
      <c r="K3465">
        <v>1.1152979999999999</v>
      </c>
      <c r="L3465">
        <v>140.70410000000001</v>
      </c>
      <c r="M3465">
        <v>-0.9930021</v>
      </c>
      <c r="N3465">
        <v>0</v>
      </c>
      <c r="O3465">
        <v>-0.117110899999999</v>
      </c>
      <c r="P3465">
        <v>-0.94199029999999995</v>
      </c>
      <c r="Q3465">
        <v>4.5493329999999998E-2</v>
      </c>
      <c r="R3465">
        <v>-0.33254289999999997</v>
      </c>
      <c r="S3465">
        <v>-2.6202999999999999</v>
      </c>
      <c r="T3465">
        <v>-0.22953689999999999</v>
      </c>
      <c r="U3465">
        <v>-1.6394500000000001</v>
      </c>
      <c r="V3465">
        <v>-0.22063820000000001</v>
      </c>
      <c r="W3465">
        <v>5.7666549999999997E-2</v>
      </c>
      <c r="X3465">
        <v>0.97364949999999995</v>
      </c>
      <c r="Y3465">
        <v>-0.42662860000000002</v>
      </c>
      <c r="Z3465">
        <v>-7.8141819999999994E-3</v>
      </c>
      <c r="AA3465">
        <v>0.90439309999999995</v>
      </c>
      <c r="AB3465">
        <v>48</v>
      </c>
      <c r="AC3465">
        <v>-0.50920000000002097</v>
      </c>
      <c r="AD3465">
        <v>-8.5543999999999801E-2</v>
      </c>
      <c r="AE3465">
        <v>-0.55460000000002196</v>
      </c>
      <c r="AF3465">
        <v>-0.48488358519599001</v>
      </c>
      <c r="AG3465">
        <v>-8.5543999999999801E-2</v>
      </c>
      <c r="AH3465">
        <v>0.56337976187544603</v>
      </c>
      <c r="AI3465">
        <v>96.565021110675303</v>
      </c>
      <c r="AJ3465">
        <v>130.717563253229</v>
      </c>
      <c r="AK3465">
        <v>0.74821562615288395</v>
      </c>
    </row>
    <row r="3466" spans="1:37" x14ac:dyDescent="0.2">
      <c r="A3466" t="str">
        <f>"20200111154134552"</f>
        <v>20200111154134552</v>
      </c>
      <c r="B3466" t="str">
        <f>"1578728494549421"</f>
        <v>1578728494549421</v>
      </c>
      <c r="C3466" t="s">
        <v>37</v>
      </c>
      <c r="D3466">
        <v>5.3202949999999998</v>
      </c>
      <c r="E3466">
        <v>0.40992149999999999</v>
      </c>
      <c r="F3466" t="s">
        <v>38</v>
      </c>
      <c r="G3466">
        <v>-390.97629999999998</v>
      </c>
      <c r="H3466">
        <v>1.0346569999999999</v>
      </c>
      <c r="I3466">
        <v>140.10990000000001</v>
      </c>
      <c r="J3466">
        <v>-390.5172</v>
      </c>
      <c r="K3466">
        <v>1.115383</v>
      </c>
      <c r="L3466">
        <v>140.64519999999999</v>
      </c>
      <c r="M3466">
        <v>-0.99250450000000001</v>
      </c>
      <c r="N3466">
        <v>0</v>
      </c>
      <c r="O3466">
        <v>-0.1212607</v>
      </c>
      <c r="P3466">
        <v>-0.94063410000000003</v>
      </c>
      <c r="Q3466">
        <v>4.6279819999999999E-2</v>
      </c>
      <c r="R3466">
        <v>-0.33625300000000002</v>
      </c>
      <c r="S3466">
        <v>-2.6103209999999999</v>
      </c>
      <c r="T3466">
        <v>-0.224984499999999</v>
      </c>
      <c r="U3466">
        <v>-1.658066</v>
      </c>
      <c r="V3466">
        <v>-0.22043179999999901</v>
      </c>
      <c r="W3466">
        <v>5.8373929999999997E-2</v>
      </c>
      <c r="X3466">
        <v>0.97365409999999997</v>
      </c>
      <c r="Y3466">
        <v>-0.42904789999999998</v>
      </c>
      <c r="Z3466">
        <v>-7.4476019999999898E-3</v>
      </c>
      <c r="AA3466">
        <v>0.90325109999999997</v>
      </c>
      <c r="AB3466">
        <v>48</v>
      </c>
      <c r="AC3466">
        <v>-0.45909999999997803</v>
      </c>
      <c r="AD3466">
        <v>-8.0726000000000006E-2</v>
      </c>
      <c r="AE3466">
        <v>-0.53529999999997802</v>
      </c>
      <c r="AF3466">
        <v>-0.46951932243071498</v>
      </c>
      <c r="AG3466">
        <v>-8.0726000000000006E-2</v>
      </c>
      <c r="AH3466">
        <v>0.51389581144726404</v>
      </c>
      <c r="AI3466">
        <v>96.6151047840697</v>
      </c>
      <c r="AJ3466">
        <v>132.41628762439899</v>
      </c>
      <c r="AK3466">
        <v>0.70075244290322702</v>
      </c>
    </row>
    <row r="3467" spans="1:37" x14ac:dyDescent="0.2">
      <c r="A3467" t="str">
        <f>"20200111154134575"</f>
        <v>20200111154134575</v>
      </c>
      <c r="B3467" t="str">
        <f>"1578728494569919"</f>
        <v>1578728494569919</v>
      </c>
      <c r="C3467" t="s">
        <v>37</v>
      </c>
      <c r="D3467">
        <v>5.2973809999999997</v>
      </c>
      <c r="E3467">
        <v>0.40987269999999998</v>
      </c>
      <c r="F3467" t="s">
        <v>38</v>
      </c>
      <c r="G3467">
        <v>-391.40449999999998</v>
      </c>
      <c r="H3467">
        <v>1.037909</v>
      </c>
      <c r="I3467">
        <v>140.0754</v>
      </c>
      <c r="J3467">
        <v>-391.00920000000002</v>
      </c>
      <c r="K3467">
        <v>1.1154770000000001</v>
      </c>
      <c r="L3467">
        <v>140.5822</v>
      </c>
      <c r="M3467">
        <v>-0.99195769999999905</v>
      </c>
      <c r="N3467">
        <v>0</v>
      </c>
      <c r="O3467">
        <v>-0.12565860000000001</v>
      </c>
      <c r="P3467">
        <v>-0.93879439999999903</v>
      </c>
      <c r="Q3467">
        <v>4.5899990000000002E-2</v>
      </c>
      <c r="R3467">
        <v>-0.3414066</v>
      </c>
      <c r="S3467">
        <v>-2.602722</v>
      </c>
      <c r="T3467">
        <v>-0.2272439</v>
      </c>
      <c r="U3467">
        <v>-1.6723790000000001</v>
      </c>
      <c r="V3467">
        <v>-0.22146299999999999</v>
      </c>
      <c r="W3467">
        <v>5.789362E-2</v>
      </c>
      <c r="X3467">
        <v>0.9734488</v>
      </c>
      <c r="Y3467">
        <v>-0.42975580000000002</v>
      </c>
      <c r="Z3467">
        <v>-7.2172709999999999E-3</v>
      </c>
      <c r="AA3467">
        <v>0.9029163</v>
      </c>
      <c r="AB3467">
        <v>48</v>
      </c>
      <c r="AC3467">
        <v>-0.39529999999996301</v>
      </c>
      <c r="AD3467">
        <v>-7.7567999999999998E-2</v>
      </c>
      <c r="AE3467">
        <v>-0.50679999999999803</v>
      </c>
      <c r="AF3467">
        <v>-0.44659881769905002</v>
      </c>
      <c r="AG3467">
        <v>-7.7567999999999998E-2</v>
      </c>
      <c r="AH3467">
        <v>0.44931294327735599</v>
      </c>
      <c r="AI3467">
        <v>96.980662555309607</v>
      </c>
      <c r="AJ3467">
        <v>134.82642546760499</v>
      </c>
      <c r="AK3467">
        <v>0.63823931216335295</v>
      </c>
    </row>
    <row r="3468" spans="1:37" x14ac:dyDescent="0.2">
      <c r="A3468" t="str">
        <f>"20200111154134590"</f>
        <v>20200111154134590</v>
      </c>
      <c r="B3468" t="str">
        <f>"1578728494579678"</f>
        <v>1578728494579678</v>
      </c>
      <c r="C3468" t="s">
        <v>37</v>
      </c>
      <c r="D3468">
        <v>5.3157610000000002</v>
      </c>
      <c r="E3468">
        <v>0.40980929999999999</v>
      </c>
      <c r="F3468" t="s">
        <v>38</v>
      </c>
      <c r="G3468">
        <v>-391.83440000000002</v>
      </c>
      <c r="H3468">
        <v>1.0415369999999999</v>
      </c>
      <c r="I3468">
        <v>140.0454</v>
      </c>
      <c r="J3468">
        <v>-391.3177</v>
      </c>
      <c r="K3468">
        <v>1.1155409999999999</v>
      </c>
      <c r="L3468">
        <v>140.54150000000001</v>
      </c>
      <c r="M3468">
        <v>-0.99159660000000005</v>
      </c>
      <c r="N3468">
        <v>0</v>
      </c>
      <c r="O3468">
        <v>-0.12847939999999999</v>
      </c>
      <c r="P3468">
        <v>-0.93764689999999995</v>
      </c>
      <c r="Q3468">
        <v>4.5235730000000002E-2</v>
      </c>
      <c r="R3468">
        <v>-0.34463290000000002</v>
      </c>
      <c r="S3468">
        <v>-2.5935969999999999</v>
      </c>
      <c r="T3468">
        <v>-0.23240459999999999</v>
      </c>
      <c r="U3468">
        <v>-1.6866000000000001</v>
      </c>
      <c r="V3468">
        <v>-0.22203909999999999</v>
      </c>
      <c r="W3468">
        <v>5.7167179999999998E-2</v>
      </c>
      <c r="X3468">
        <v>0.97336049999999996</v>
      </c>
      <c r="Y3468">
        <v>-0.43208170000000001</v>
      </c>
      <c r="Z3468">
        <v>-7.2636699999999998E-3</v>
      </c>
      <c r="AA3468">
        <v>0.90180519999999997</v>
      </c>
      <c r="AB3468">
        <v>48</v>
      </c>
      <c r="AC3468">
        <v>-0.51670000000001404</v>
      </c>
      <c r="AD3468">
        <v>-7.4003999999999695E-2</v>
      </c>
      <c r="AE3468">
        <v>-0.49610000000001198</v>
      </c>
      <c r="AF3468">
        <v>-0.421099871984565</v>
      </c>
      <c r="AG3468">
        <v>-7.4003999999999695E-2</v>
      </c>
      <c r="AH3468">
        <v>0.57007781642259703</v>
      </c>
      <c r="AI3468">
        <v>95.961002986638107</v>
      </c>
      <c r="AJ3468">
        <v>126.452202029829</v>
      </c>
      <c r="AK3468">
        <v>0.71259414183571101</v>
      </c>
    </row>
    <row r="3469" spans="1:37" x14ac:dyDescent="0.2">
      <c r="A3469" t="str">
        <f>"20200111154134608"</f>
        <v>20200111154134608</v>
      </c>
      <c r="B3469" t="str">
        <f>"1578728494599196"</f>
        <v>1578728494599196</v>
      </c>
      <c r="C3469" t="s">
        <v>37</v>
      </c>
      <c r="D3469">
        <v>5.306756</v>
      </c>
      <c r="E3469">
        <v>0.40947659999999902</v>
      </c>
      <c r="F3469" t="s">
        <v>38</v>
      </c>
      <c r="G3469">
        <v>-392.23719999999997</v>
      </c>
      <c r="H3469">
        <v>1.03142</v>
      </c>
      <c r="I3469">
        <v>139.9391</v>
      </c>
      <c r="J3469">
        <v>-391.70499999999998</v>
      </c>
      <c r="K3469">
        <v>1.115629</v>
      </c>
      <c r="L3469">
        <v>140.48920000000001</v>
      </c>
      <c r="M3469">
        <v>-0.99112230000000001</v>
      </c>
      <c r="N3469">
        <v>0</v>
      </c>
      <c r="O3469">
        <v>-0.1320904</v>
      </c>
      <c r="P3469">
        <v>-0.93593539999999997</v>
      </c>
      <c r="Q3469">
        <v>4.449355E-2</v>
      </c>
      <c r="R3469">
        <v>-0.3493502</v>
      </c>
      <c r="S3469">
        <v>-2.5875849999999998</v>
      </c>
      <c r="T3469">
        <v>-0.23673949999999999</v>
      </c>
      <c r="U3469">
        <v>-1.6958470000000001</v>
      </c>
      <c r="V3469">
        <v>-0.2233936</v>
      </c>
      <c r="W3469">
        <v>5.6335490000000002E-2</v>
      </c>
      <c r="X3469">
        <v>0.97309899999999905</v>
      </c>
      <c r="Y3469">
        <v>-0.43199149999999997</v>
      </c>
      <c r="Z3469">
        <v>-7.1105319999999897E-3</v>
      </c>
      <c r="AA3469">
        <v>0.90184959999999903</v>
      </c>
      <c r="AB3469">
        <v>48</v>
      </c>
      <c r="AC3469">
        <v>-0.53219999999998802</v>
      </c>
      <c r="AD3469">
        <v>-8.4208999999999895E-2</v>
      </c>
      <c r="AE3469">
        <v>-0.55010000000001402</v>
      </c>
      <c r="AF3469">
        <v>-0.469291824890614</v>
      </c>
      <c r="AG3469">
        <v>-8.4208999999999895E-2</v>
      </c>
      <c r="AH3469">
        <v>0.59302877201483195</v>
      </c>
      <c r="AI3469">
        <v>96.353732522484094</v>
      </c>
      <c r="AJ3469">
        <v>128.356241500377</v>
      </c>
      <c r="AK3469">
        <v>0.76092647281296699</v>
      </c>
    </row>
    <row r="3470" spans="1:37" x14ac:dyDescent="0.2">
      <c r="A3470" t="str">
        <f>"20200111154134630"</f>
        <v>20200111154134630</v>
      </c>
      <c r="B3470" t="str">
        <f>"1578728494619692"</f>
        <v>1578728494619692</v>
      </c>
      <c r="C3470" t="s">
        <v>37</v>
      </c>
      <c r="D3470">
        <v>5.3203019999999999</v>
      </c>
      <c r="E3470">
        <v>0.40922940000000002</v>
      </c>
      <c r="F3470" t="s">
        <v>38</v>
      </c>
      <c r="G3470">
        <v>-392.65010000000001</v>
      </c>
      <c r="H3470">
        <v>1.0263770000000001</v>
      </c>
      <c r="I3470">
        <v>139.8622</v>
      </c>
      <c r="J3470">
        <v>-392.16340000000002</v>
      </c>
      <c r="K3470">
        <v>1.115745</v>
      </c>
      <c r="L3470">
        <v>140.42529999999999</v>
      </c>
      <c r="M3470">
        <v>-0.99052890000000005</v>
      </c>
      <c r="N3470">
        <v>0</v>
      </c>
      <c r="O3470">
        <v>-0.13647000000000001</v>
      </c>
      <c r="P3470">
        <v>-0.93373009999999901</v>
      </c>
      <c r="Q3470">
        <v>4.486797E-2</v>
      </c>
      <c r="R3470">
        <v>-0.35515469999999999</v>
      </c>
      <c r="S3470">
        <v>-2.5783689999999999</v>
      </c>
      <c r="T3470">
        <v>-0.2435042</v>
      </c>
      <c r="U3470">
        <v>-1.7105410000000001</v>
      </c>
      <c r="V3470">
        <v>-0.2251582</v>
      </c>
      <c r="W3470">
        <v>5.6599219999999999E-2</v>
      </c>
      <c r="X3470">
        <v>0.97267689999999996</v>
      </c>
      <c r="Y3470">
        <v>-0.43302020000000002</v>
      </c>
      <c r="Z3470">
        <v>-7.0040930000000003E-3</v>
      </c>
      <c r="AA3470">
        <v>0.90135699999999996</v>
      </c>
      <c r="AB3470">
        <v>48</v>
      </c>
      <c r="AC3470">
        <v>-0.48669999999998398</v>
      </c>
      <c r="AD3470">
        <v>-8.9367999999999795E-2</v>
      </c>
      <c r="AE3470">
        <v>-0.56309999999999105</v>
      </c>
      <c r="AF3470">
        <v>-0.484418945121321</v>
      </c>
      <c r="AG3470">
        <v>-8.9367999999999795E-2</v>
      </c>
      <c r="AH3470">
        <v>0.55105573546381903</v>
      </c>
      <c r="AI3470">
        <v>96.944623093401901</v>
      </c>
      <c r="AJ3470">
        <v>131.31787302846999</v>
      </c>
      <c r="AK3470">
        <v>0.73912839033825795</v>
      </c>
    </row>
    <row r="3471" spans="1:37" x14ac:dyDescent="0.2">
      <c r="A3471" t="str">
        <f>"20200111154134652"</f>
        <v>20200111154134652</v>
      </c>
      <c r="B3471" t="str">
        <f>"1578728494649948"</f>
        <v>1578728494649948</v>
      </c>
      <c r="C3471" t="s">
        <v>37</v>
      </c>
      <c r="D3471">
        <v>5.2824269999999904</v>
      </c>
      <c r="E3471">
        <v>0.40906559999999997</v>
      </c>
      <c r="F3471" t="s">
        <v>38</v>
      </c>
      <c r="G3471">
        <v>-393.07319999999999</v>
      </c>
      <c r="H3471">
        <v>1.028316</v>
      </c>
      <c r="I3471">
        <v>139.8133</v>
      </c>
      <c r="J3471">
        <v>-392.63319999999999</v>
      </c>
      <c r="K3471">
        <v>1.1158649999999899</v>
      </c>
      <c r="L3471">
        <v>140.35749999999999</v>
      </c>
      <c r="M3471">
        <v>-0.98988430000000005</v>
      </c>
      <c r="N3471">
        <v>0</v>
      </c>
      <c r="O3471">
        <v>-0.14107159999999999</v>
      </c>
      <c r="P3471">
        <v>-0.93127680000000002</v>
      </c>
      <c r="Q3471">
        <v>4.5629199999999898E-2</v>
      </c>
      <c r="R3471">
        <v>-0.36144399999999999</v>
      </c>
      <c r="S3471">
        <v>-2.5675659999999998</v>
      </c>
      <c r="T3471">
        <v>-0.24674079999999901</v>
      </c>
      <c r="U3471">
        <v>-1.727875</v>
      </c>
      <c r="V3471">
        <v>-0.22723179999999901</v>
      </c>
      <c r="W3471">
        <v>5.7242380000000002E-2</v>
      </c>
      <c r="X3471">
        <v>0.97215689999999999</v>
      </c>
      <c r="Y3471">
        <v>-0.43476219999999999</v>
      </c>
      <c r="Z3471">
        <v>-6.7975099999999997E-3</v>
      </c>
      <c r="AA3471">
        <v>0.90051970000000003</v>
      </c>
      <c r="AB3471">
        <v>48</v>
      </c>
      <c r="AC3471">
        <v>-0.439999999999997</v>
      </c>
      <c r="AD3471">
        <v>-8.7548999999999794E-2</v>
      </c>
      <c r="AE3471">
        <v>-0.54419999999998903</v>
      </c>
      <c r="AF3471">
        <v>-0.46933261619268801</v>
      </c>
      <c r="AG3471">
        <v>-8.7548999999999794E-2</v>
      </c>
      <c r="AH3471">
        <v>0.50448328762886496</v>
      </c>
      <c r="AI3471">
        <v>97.241162841509393</v>
      </c>
      <c r="AJ3471">
        <v>132.932760065911</v>
      </c>
      <c r="AK3471">
        <v>0.69457995905446501</v>
      </c>
    </row>
    <row r="3472" spans="1:37" x14ac:dyDescent="0.2">
      <c r="A3472" t="str">
        <f>"20200111154134676"</f>
        <v>20200111154134676</v>
      </c>
      <c r="B3472" t="str">
        <f>"1578728494669468"</f>
        <v>1578728494669468</v>
      </c>
      <c r="C3472" t="s">
        <v>37</v>
      </c>
      <c r="D3472">
        <v>5.2850640000000002</v>
      </c>
      <c r="E3472">
        <v>0.40874250000000001</v>
      </c>
      <c r="F3472" t="s">
        <v>38</v>
      </c>
      <c r="G3472">
        <v>-393.4975</v>
      </c>
      <c r="H3472">
        <v>1.031628</v>
      </c>
      <c r="I3472">
        <v>139.76730000000001</v>
      </c>
      <c r="J3472">
        <v>-393.12189999999998</v>
      </c>
      <c r="K3472">
        <v>1.1159829999999999</v>
      </c>
      <c r="L3472">
        <v>140.28469999999999</v>
      </c>
      <c r="M3472">
        <v>-0.98917310000000003</v>
      </c>
      <c r="N3472">
        <v>0</v>
      </c>
      <c r="O3472">
        <v>-0.14597650000000001</v>
      </c>
      <c r="P3472">
        <v>-0.92840540000000005</v>
      </c>
      <c r="Q3472">
        <v>4.5979970000000002E-2</v>
      </c>
      <c r="R3472">
        <v>-0.36871329999999902</v>
      </c>
      <c r="S3472">
        <v>-2.5559689999999899</v>
      </c>
      <c r="T3472">
        <v>-0.2491304</v>
      </c>
      <c r="U3472">
        <v>-1.7458799999999901</v>
      </c>
      <c r="V3472">
        <v>-0.23003899999999999</v>
      </c>
      <c r="W3472">
        <v>5.7459469999999999E-2</v>
      </c>
      <c r="X3472">
        <v>0.971483599999999</v>
      </c>
      <c r="Y3472">
        <v>-0.43651960000000001</v>
      </c>
      <c r="Z3472">
        <v>-6.5363919999999898E-3</v>
      </c>
      <c r="AA3472">
        <v>0.899670999999999</v>
      </c>
      <c r="AB3472">
        <v>48</v>
      </c>
      <c r="AC3472">
        <v>-0.37560000000001897</v>
      </c>
      <c r="AD3472">
        <v>-8.4354999999999902E-2</v>
      </c>
      <c r="AE3472">
        <v>-0.51739999999997999</v>
      </c>
      <c r="AF3472">
        <v>-0.44920192435985501</v>
      </c>
      <c r="AG3472">
        <v>-8.4354999999999902E-2</v>
      </c>
      <c r="AH3472">
        <v>0.43946260269242798</v>
      </c>
      <c r="AI3472">
        <v>97.645329442287505</v>
      </c>
      <c r="AJ3472">
        <v>135.627908136325</v>
      </c>
      <c r="AK3472">
        <v>0.63405481942715303</v>
      </c>
    </row>
    <row r="3473" spans="1:37" x14ac:dyDescent="0.2">
      <c r="A3473" t="str">
        <f>"20200111154134698"</f>
        <v>20200111154134698</v>
      </c>
      <c r="B3473" t="str">
        <f>"1578728494689965"</f>
        <v>1578728494689965</v>
      </c>
      <c r="C3473" t="s">
        <v>37</v>
      </c>
      <c r="D3473">
        <v>5.29617</v>
      </c>
      <c r="E3473">
        <v>0.40862459999999901</v>
      </c>
      <c r="F3473" t="s">
        <v>38</v>
      </c>
      <c r="G3473">
        <v>-393.92399999999998</v>
      </c>
      <c r="H3473">
        <v>1.0367850000000001</v>
      </c>
      <c r="I3473">
        <v>139.727</v>
      </c>
      <c r="J3473">
        <v>-393.58640000000003</v>
      </c>
      <c r="K3473">
        <v>1.1160969999999999</v>
      </c>
      <c r="L3473">
        <v>140.2131</v>
      </c>
      <c r="M3473">
        <v>-0.98845620000000001</v>
      </c>
      <c r="N3473">
        <v>0</v>
      </c>
      <c r="O3473">
        <v>-0.1507559</v>
      </c>
      <c r="P3473">
        <v>-0.92538799999999899</v>
      </c>
      <c r="Q3473">
        <v>4.5340409999999998E-2</v>
      </c>
      <c r="R3473">
        <v>-0.37629950000000001</v>
      </c>
      <c r="S3473">
        <v>-2.541687</v>
      </c>
      <c r="T3473">
        <v>-0.2509557</v>
      </c>
      <c r="U3473">
        <v>-1.76777599999999</v>
      </c>
      <c r="V3473">
        <v>-0.23329910000000001</v>
      </c>
      <c r="W3473">
        <v>5.6683499999999998E-2</v>
      </c>
      <c r="X3473">
        <v>0.97075149999999999</v>
      </c>
      <c r="Y3473">
        <v>-0.4397547</v>
      </c>
      <c r="Z3473">
        <v>-6.3341459999999997E-3</v>
      </c>
      <c r="AA3473">
        <v>0.89809559999999999</v>
      </c>
      <c r="AB3473">
        <v>48</v>
      </c>
      <c r="AC3473">
        <v>-0.337600000000008</v>
      </c>
      <c r="AD3473">
        <v>-7.9311999999999799E-2</v>
      </c>
      <c r="AE3473">
        <v>-0.48609999999999298</v>
      </c>
      <c r="AF3473">
        <v>-0.42206237740180702</v>
      </c>
      <c r="AG3473">
        <v>-7.9311999999999799E-2</v>
      </c>
      <c r="AH3473">
        <v>0.39985059818037999</v>
      </c>
      <c r="AI3473">
        <v>97.768186037470599</v>
      </c>
      <c r="AJ3473">
        <v>136.548012460286</v>
      </c>
      <c r="AK3473">
        <v>0.58677725299066696</v>
      </c>
    </row>
    <row r="3474" spans="1:37" x14ac:dyDescent="0.2">
      <c r="A3474" t="str">
        <f>"20200111154134720"</f>
        <v>20200111154134720</v>
      </c>
      <c r="B3474" t="str">
        <f>"1578728494709484"</f>
        <v>1578728494709484</v>
      </c>
      <c r="C3474" t="s">
        <v>37</v>
      </c>
      <c r="D3474">
        <v>5.3073949999999996</v>
      </c>
      <c r="E3474">
        <v>0.40838459999999899</v>
      </c>
      <c r="F3474" t="s">
        <v>38</v>
      </c>
      <c r="G3474">
        <v>-394.36450000000002</v>
      </c>
      <c r="H3474">
        <v>1.0372669999999999</v>
      </c>
      <c r="I3474">
        <v>139.66239999999999</v>
      </c>
      <c r="J3474">
        <v>-394.04050000000001</v>
      </c>
      <c r="K3474">
        <v>1.116212</v>
      </c>
      <c r="L3474">
        <v>140.14089999999999</v>
      </c>
      <c r="M3474">
        <v>-0.98771390000000003</v>
      </c>
      <c r="N3474">
        <v>0</v>
      </c>
      <c r="O3474">
        <v>-0.1555453</v>
      </c>
      <c r="P3474">
        <v>-0.92209929999999996</v>
      </c>
      <c r="Q3474">
        <v>4.4203020000000003E-2</v>
      </c>
      <c r="R3474">
        <v>-0.38442019999999999</v>
      </c>
      <c r="S3474">
        <v>-2.52697799999999</v>
      </c>
      <c r="T3474">
        <v>-0.25603089999999901</v>
      </c>
      <c r="U3474">
        <v>-1.789032</v>
      </c>
      <c r="V3474">
        <v>-0.2371212</v>
      </c>
      <c r="W3474">
        <v>5.5398530000000001E-2</v>
      </c>
      <c r="X3474">
        <v>0.96989919999999996</v>
      </c>
      <c r="Y3474">
        <v>-0.44286399999999998</v>
      </c>
      <c r="Z3474">
        <v>-6.2007599999999996E-3</v>
      </c>
      <c r="AA3474">
        <v>0.89656729999999996</v>
      </c>
      <c r="AB3474">
        <v>48</v>
      </c>
      <c r="AC3474">
        <v>-0.324000000000012</v>
      </c>
      <c r="AD3474">
        <v>-7.8945000000000001E-2</v>
      </c>
      <c r="AE3474">
        <v>-0.47849999999999598</v>
      </c>
      <c r="AF3474">
        <v>-0.41453582464635302</v>
      </c>
      <c r="AG3474">
        <v>-7.8945000000000001E-2</v>
      </c>
      <c r="AH3474">
        <v>0.387264936880379</v>
      </c>
      <c r="AI3474">
        <v>97.922540144232897</v>
      </c>
      <c r="AJ3474">
        <v>136.947996001707</v>
      </c>
      <c r="AK3474">
        <v>0.57275334505980502</v>
      </c>
    </row>
    <row r="3475" spans="1:37" x14ac:dyDescent="0.2">
      <c r="A3475" t="str">
        <f>"20200111154134744"</f>
        <v>20200111154134744</v>
      </c>
      <c r="B3475" t="str">
        <f>"1578728494739741"</f>
        <v>1578728494739741</v>
      </c>
      <c r="C3475" t="s">
        <v>37</v>
      </c>
      <c r="D3475">
        <v>5.2667979999999996</v>
      </c>
      <c r="E3475">
        <v>0.40827639999999998</v>
      </c>
      <c r="F3475" t="s">
        <v>38</v>
      </c>
      <c r="G3475">
        <v>-394.82429999999999</v>
      </c>
      <c r="H3475">
        <v>1.0341129999999901</v>
      </c>
      <c r="I3475">
        <v>139.5753</v>
      </c>
      <c r="J3475">
        <v>-394.50760000000002</v>
      </c>
      <c r="K3475">
        <v>1.1163369999999999</v>
      </c>
      <c r="L3475">
        <v>140.0642</v>
      </c>
      <c r="M3475">
        <v>-0.98690469999999897</v>
      </c>
      <c r="N3475">
        <v>0</v>
      </c>
      <c r="O3475">
        <v>-0.1606003</v>
      </c>
      <c r="P3475">
        <v>-0.91842780000000002</v>
      </c>
      <c r="Q3475">
        <v>4.4031670000000002E-2</v>
      </c>
      <c r="R3475">
        <v>-0.39313100000000001</v>
      </c>
      <c r="S3475">
        <v>-2.5105590000000002</v>
      </c>
      <c r="T3475">
        <v>-0.26296389999999997</v>
      </c>
      <c r="U3475">
        <v>-1.81211899999999</v>
      </c>
      <c r="V3475">
        <v>-0.2413505</v>
      </c>
      <c r="W3475">
        <v>5.5064769999999999E-2</v>
      </c>
      <c r="X3475">
        <v>0.96887449999999997</v>
      </c>
      <c r="Y3475">
        <v>-0.44642529999999903</v>
      </c>
      <c r="Z3475">
        <v>-6.0988179999999998E-3</v>
      </c>
      <c r="AA3475">
        <v>0.89480009999999999</v>
      </c>
      <c r="AB3475">
        <v>48</v>
      </c>
      <c r="AC3475">
        <v>-0.31669999999996801</v>
      </c>
      <c r="AD3475">
        <v>-8.2224000000000297E-2</v>
      </c>
      <c r="AE3475">
        <v>-0.488900000000001</v>
      </c>
      <c r="AF3475">
        <v>-0.42325148955396202</v>
      </c>
      <c r="AG3475">
        <v>-8.2224000000000297E-2</v>
      </c>
      <c r="AH3475">
        <v>0.383474045253616</v>
      </c>
      <c r="AI3475">
        <v>98.192365391535503</v>
      </c>
      <c r="AJ3475">
        <v>137.82281308469001</v>
      </c>
      <c r="AK3475">
        <v>0.57702248913609899</v>
      </c>
    </row>
    <row r="3476" spans="1:37" x14ac:dyDescent="0.2">
      <c r="A3476" t="str">
        <f>"20200111154134765"</f>
        <v>20200111154134765</v>
      </c>
      <c r="B3476" t="str">
        <f>"1578728494759260"</f>
        <v>1578728494759260</v>
      </c>
      <c r="C3476" t="s">
        <v>37</v>
      </c>
      <c r="D3476">
        <v>5.3502390000000002</v>
      </c>
      <c r="E3476">
        <v>0.40811259999999999</v>
      </c>
      <c r="F3476" t="s">
        <v>46</v>
      </c>
      <c r="G3476">
        <v>-404.89679999999998</v>
      </c>
      <c r="H3476" s="1">
        <v>-4.1752069999999901E-6</v>
      </c>
      <c r="I3476">
        <v>132.41499999999999</v>
      </c>
      <c r="J3476">
        <v>-394.97340000000003</v>
      </c>
      <c r="K3476">
        <v>1.1164889999999901</v>
      </c>
      <c r="L3476">
        <v>139.98500000000001</v>
      </c>
      <c r="M3476">
        <v>-0.9860447</v>
      </c>
      <c r="N3476">
        <v>0</v>
      </c>
      <c r="O3476">
        <v>-0.16579920000000001</v>
      </c>
      <c r="P3476">
        <v>-0.91450569999999898</v>
      </c>
      <c r="Q3476">
        <v>4.479785E-2</v>
      </c>
      <c r="R3476">
        <v>-0.40208549999999998</v>
      </c>
      <c r="S3476">
        <v>-2.4934080000000001</v>
      </c>
      <c r="T3476">
        <v>-0.2679223</v>
      </c>
      <c r="U3476">
        <v>-1.8358000000000001</v>
      </c>
      <c r="V3476">
        <v>-0.24574879999999999</v>
      </c>
      <c r="W3476">
        <v>5.5655629999999998E-2</v>
      </c>
      <c r="X3476">
        <v>0.96773449999999905</v>
      </c>
      <c r="Y3476">
        <v>-0.45012209999999903</v>
      </c>
      <c r="Z3476">
        <v>-5.9326209999999999E-3</v>
      </c>
      <c r="AA3476">
        <v>0.8929473</v>
      </c>
      <c r="AB3476">
        <v>48</v>
      </c>
      <c r="AC3476">
        <v>-9.9233999999999494</v>
      </c>
      <c r="AD3476">
        <v>-1.11649317520699</v>
      </c>
      <c r="AE3476">
        <v>-7.5700000000000198</v>
      </c>
      <c r="AF3476">
        <v>-5.7735253286853201</v>
      </c>
      <c r="AG3476">
        <v>-1.11649317520699</v>
      </c>
      <c r="AH3476">
        <v>10.9536143765853</v>
      </c>
      <c r="AI3476">
        <v>95.152441858440298</v>
      </c>
      <c r="AJ3476">
        <v>117.793203649836</v>
      </c>
      <c r="AK3476">
        <v>12.432289396655399</v>
      </c>
    </row>
    <row r="3477" spans="1:37" x14ac:dyDescent="0.2">
      <c r="A3477" t="str">
        <f>"20200111154134787"</f>
        <v>20200111154134787</v>
      </c>
      <c r="B3477" t="str">
        <f>"1578728494779770"</f>
        <v>1578728494779770</v>
      </c>
      <c r="C3477" t="s">
        <v>37</v>
      </c>
      <c r="D3477">
        <v>5.3015679999999996</v>
      </c>
      <c r="E3477">
        <v>0.40804449999999998</v>
      </c>
      <c r="F3477" t="s">
        <v>38</v>
      </c>
      <c r="G3477">
        <v>-395.9502</v>
      </c>
      <c r="H3477">
        <v>1.0104709999999999</v>
      </c>
      <c r="I3477">
        <v>139.25049999999999</v>
      </c>
      <c r="J3477">
        <v>-395.45260000000002</v>
      </c>
      <c r="K3477">
        <v>1.1166579999999999</v>
      </c>
      <c r="L3477">
        <v>139.9008</v>
      </c>
      <c r="M3477">
        <v>-0.98509849999999999</v>
      </c>
      <c r="N3477">
        <v>0</v>
      </c>
      <c r="O3477">
        <v>-0.17133109999999999</v>
      </c>
      <c r="P3477">
        <v>-0.91072719999999896</v>
      </c>
      <c r="Q3477">
        <v>4.5223819999999998E-2</v>
      </c>
      <c r="R3477">
        <v>-0.41052519999999998</v>
      </c>
      <c r="S3477">
        <v>-2.4753419999999999</v>
      </c>
      <c r="T3477">
        <v>-0.26865149999999999</v>
      </c>
      <c r="U3477">
        <v>-1.861084</v>
      </c>
      <c r="V3477">
        <v>-0.24930050000000001</v>
      </c>
      <c r="W3477">
        <v>5.5909380000000002E-2</v>
      </c>
      <c r="X3477">
        <v>0.96681090000000003</v>
      </c>
      <c r="Y3477">
        <v>-0.45406439999999998</v>
      </c>
      <c r="Z3477">
        <v>-5.6482549999999996E-3</v>
      </c>
      <c r="AA3477">
        <v>0.89095100000000005</v>
      </c>
      <c r="AB3477">
        <v>47</v>
      </c>
      <c r="AC3477">
        <v>-0.49759999999997701</v>
      </c>
      <c r="AD3477">
        <v>-0.106187</v>
      </c>
      <c r="AE3477">
        <v>-0.65030000000001498</v>
      </c>
      <c r="AF3477">
        <v>-0.54623218534366602</v>
      </c>
      <c r="AG3477">
        <v>-0.106187</v>
      </c>
      <c r="AH3477">
        <v>0.59171890784453096</v>
      </c>
      <c r="AI3477">
        <v>97.511737434122196</v>
      </c>
      <c r="AJ3477">
        <v>132.710964462052</v>
      </c>
      <c r="AK3477">
        <v>0.81226630188322002</v>
      </c>
    </row>
    <row r="3478" spans="1:37" x14ac:dyDescent="0.2">
      <c r="A3478" t="str">
        <f>"20200111154134809"</f>
        <v>20200111154134809</v>
      </c>
      <c r="B3478" t="str">
        <f>"1578728494799276"</f>
        <v>1578728494799276</v>
      </c>
      <c r="C3478" t="s">
        <v>37</v>
      </c>
      <c r="D3478">
        <v>5.3220999999999998</v>
      </c>
      <c r="E3478">
        <v>0.40797649999999902</v>
      </c>
      <c r="F3478" t="s">
        <v>38</v>
      </c>
      <c r="G3478">
        <v>-396.3716</v>
      </c>
      <c r="H3478">
        <v>1.015916</v>
      </c>
      <c r="I3478">
        <v>139.19649999999999</v>
      </c>
      <c r="J3478">
        <v>-395.8963</v>
      </c>
      <c r="K3478">
        <v>1.116824</v>
      </c>
      <c r="L3478">
        <v>139.8203</v>
      </c>
      <c r="M3478">
        <v>-0.98416689999999996</v>
      </c>
      <c r="N3478">
        <v>0</v>
      </c>
      <c r="O3478">
        <v>-0.17660499999999901</v>
      </c>
      <c r="P3478">
        <v>-0.90740200000000004</v>
      </c>
      <c r="Q3478">
        <v>4.5641880000000003E-2</v>
      </c>
      <c r="R3478">
        <v>-0.4177786</v>
      </c>
      <c r="S3478">
        <v>-2.4582820000000001</v>
      </c>
      <c r="T3478">
        <v>-0.2694607</v>
      </c>
      <c r="U3478">
        <v>-1.88385</v>
      </c>
      <c r="V3478">
        <v>-0.25187009999999999</v>
      </c>
      <c r="W3478">
        <v>5.6176469999999999E-2</v>
      </c>
      <c r="X3478">
        <v>0.96612919999999902</v>
      </c>
      <c r="Y3478">
        <v>-0.45747259999999901</v>
      </c>
      <c r="Z3478">
        <v>-5.3605090000000003E-3</v>
      </c>
      <c r="AA3478">
        <v>0.88920750000000004</v>
      </c>
      <c r="AB3478">
        <v>47</v>
      </c>
      <c r="AC3478">
        <v>-0.475300000000004</v>
      </c>
      <c r="AD3478">
        <v>-0.100908</v>
      </c>
      <c r="AE3478">
        <v>-0.62380000000001701</v>
      </c>
      <c r="AF3478">
        <v>-0.52141053272554505</v>
      </c>
      <c r="AG3478">
        <v>-0.100908</v>
      </c>
      <c r="AH3478">
        <v>0.56859259127543105</v>
      </c>
      <c r="AI3478">
        <v>97.451959011125894</v>
      </c>
      <c r="AJ3478">
        <v>132.5214325032</v>
      </c>
      <c r="AK3478">
        <v>0.77804171029222202</v>
      </c>
    </row>
    <row r="3479" spans="1:37" x14ac:dyDescent="0.2">
      <c r="A3479" t="str">
        <f>"20200111154134831"</f>
        <v>20200111154134831</v>
      </c>
      <c r="B3479" t="str">
        <f>"1578728494819171"</f>
        <v>1578728494819171</v>
      </c>
      <c r="C3479" t="s">
        <v>37</v>
      </c>
      <c r="D3479">
        <v>5.4365009999999998</v>
      </c>
      <c r="E3479">
        <v>0.40797689999999998</v>
      </c>
      <c r="F3479" t="s">
        <v>38</v>
      </c>
      <c r="G3479">
        <v>-396.78649999999999</v>
      </c>
      <c r="H3479">
        <v>1.0188029999999999</v>
      </c>
      <c r="I3479">
        <v>139.12629999999999</v>
      </c>
      <c r="J3479">
        <v>-396.3571</v>
      </c>
      <c r="K3479">
        <v>1.117008</v>
      </c>
      <c r="L3479">
        <v>139.73400000000001</v>
      </c>
      <c r="M3479">
        <v>-0.98313209999999995</v>
      </c>
      <c r="N3479">
        <v>0</v>
      </c>
      <c r="O3479">
        <v>-0.18227579999999999</v>
      </c>
      <c r="P3479">
        <v>-0.90433030000000003</v>
      </c>
      <c r="Q3479">
        <v>4.5913820000000001E-2</v>
      </c>
      <c r="R3479">
        <v>-0.42435679999999998</v>
      </c>
      <c r="S3479">
        <v>-2.442841</v>
      </c>
      <c r="T3479">
        <v>-0.26896720000000002</v>
      </c>
      <c r="U3479">
        <v>-1.904434</v>
      </c>
      <c r="V3479">
        <v>-0.25335000000000002</v>
      </c>
      <c r="W3479">
        <v>5.6304529999999998E-2</v>
      </c>
      <c r="X3479">
        <v>0.96573469999999995</v>
      </c>
      <c r="Y3479">
        <v>-0.45974769999999998</v>
      </c>
      <c r="Z3479">
        <v>-4.952237E-3</v>
      </c>
      <c r="AA3479">
        <v>0.88803580000000004</v>
      </c>
      <c r="AB3479">
        <v>47</v>
      </c>
      <c r="AC3479">
        <v>-0.42939999999998602</v>
      </c>
      <c r="AD3479">
        <v>-9.8204999999999806E-2</v>
      </c>
      <c r="AE3479">
        <v>-0.607700000000022</v>
      </c>
      <c r="AF3479">
        <v>-0.51034961811228996</v>
      </c>
      <c r="AG3479">
        <v>-9.8204999999999806E-2</v>
      </c>
      <c r="AH3479">
        <v>0.52386160032875595</v>
      </c>
      <c r="AI3479">
        <v>97.647771984841498</v>
      </c>
      <c r="AJ3479">
        <v>134.251472527895</v>
      </c>
      <c r="AK3479">
        <v>0.73792406860825899</v>
      </c>
    </row>
    <row r="3480" spans="1:37" x14ac:dyDescent="0.2">
      <c r="A3480" t="str">
        <f>"20200111154134855"</f>
        <v>20200111154134855</v>
      </c>
      <c r="B3480" t="str">
        <f>"1578728494849426"</f>
        <v>1578728494849426</v>
      </c>
      <c r="C3480" t="s">
        <v>37</v>
      </c>
      <c r="D3480">
        <v>5.2953799999999998</v>
      </c>
      <c r="E3480">
        <v>0.45678019999999903</v>
      </c>
      <c r="F3480" t="s">
        <v>38</v>
      </c>
      <c r="G3480">
        <v>-397.20460000000003</v>
      </c>
      <c r="H3480">
        <v>1.023606</v>
      </c>
      <c r="I3480">
        <v>139.0633</v>
      </c>
      <c r="J3480">
        <v>-396.83980000000003</v>
      </c>
      <c r="K3480">
        <v>1.117235</v>
      </c>
      <c r="L3480">
        <v>139.6405</v>
      </c>
      <c r="M3480">
        <v>-0.98196170000000005</v>
      </c>
      <c r="N3480">
        <v>0</v>
      </c>
      <c r="O3480">
        <v>-0.1884786</v>
      </c>
      <c r="P3480">
        <v>-0.90132619999999897</v>
      </c>
      <c r="Q3480">
        <v>4.6067480000000001E-2</v>
      </c>
      <c r="R3480">
        <v>-0.43068400000000001</v>
      </c>
      <c r="S3480">
        <v>-2.428741</v>
      </c>
      <c r="T3480">
        <v>-0.26767079999999999</v>
      </c>
      <c r="U3480">
        <v>-1.922714</v>
      </c>
      <c r="V3480">
        <v>-0.25405810000000001</v>
      </c>
      <c r="W3480">
        <v>5.6307389999999999E-2</v>
      </c>
      <c r="X3480">
        <v>0.96554850000000003</v>
      </c>
      <c r="Y3480">
        <v>-0.46078819999999998</v>
      </c>
      <c r="Z3480">
        <v>-4.4209549999999999E-3</v>
      </c>
      <c r="AA3480">
        <v>0.88749909999999999</v>
      </c>
      <c r="AB3480">
        <v>47</v>
      </c>
      <c r="AC3480">
        <v>-0.36480000000000201</v>
      </c>
      <c r="AD3480">
        <v>-9.3628999999999907E-2</v>
      </c>
      <c r="AE3480">
        <v>-0.57720000000000404</v>
      </c>
      <c r="AF3480">
        <v>-0.48889545866311201</v>
      </c>
      <c r="AG3480">
        <v>-9.3628999999999907E-2</v>
      </c>
      <c r="AH3480">
        <v>0.45844269632548901</v>
      </c>
      <c r="AI3480">
        <v>97.952745536676503</v>
      </c>
      <c r="AJ3480">
        <v>136.84117373914901</v>
      </c>
      <c r="AK3480">
        <v>0.67672362523898899</v>
      </c>
    </row>
    <row r="3481" spans="1:37" x14ac:dyDescent="0.2">
      <c r="A3481" t="str">
        <f>"20200111154134877"</f>
        <v>20200111154134877</v>
      </c>
      <c r="B3481" t="str">
        <f>"1578728494869924"</f>
        <v>1578728494869924</v>
      </c>
      <c r="C3481" t="s">
        <v>37</v>
      </c>
      <c r="D3481">
        <v>5.2225779999999897</v>
      </c>
      <c r="E3481">
        <v>0.46429179999999998</v>
      </c>
      <c r="F3481" t="s">
        <v>46</v>
      </c>
      <c r="G3481">
        <v>-406.95740000000001</v>
      </c>
      <c r="H3481" s="1">
        <v>-6.0371220000000004E-6</v>
      </c>
      <c r="I3481">
        <v>133.42349999999999</v>
      </c>
      <c r="J3481">
        <v>-397.2987</v>
      </c>
      <c r="K3481">
        <v>1.117491</v>
      </c>
      <c r="L3481">
        <v>139.54859999999999</v>
      </c>
      <c r="M3481">
        <v>-0.98075089999999998</v>
      </c>
      <c r="N3481">
        <v>0</v>
      </c>
      <c r="O3481">
        <v>-0.19468009999999999</v>
      </c>
      <c r="P3481">
        <v>-0.89878429999999998</v>
      </c>
      <c r="Q3481">
        <v>4.6488649999999999E-2</v>
      </c>
      <c r="R3481">
        <v>-0.43591940000000001</v>
      </c>
      <c r="S3481">
        <v>-2.5842290000000001</v>
      </c>
      <c r="T3481">
        <v>-0.28536620000000001</v>
      </c>
      <c r="U3481">
        <v>-1.587952</v>
      </c>
      <c r="V3481">
        <v>-0.25361990000000001</v>
      </c>
      <c r="W3481">
        <v>5.6586379999999999E-2</v>
      </c>
      <c r="X3481">
        <v>0.96564740000000004</v>
      </c>
      <c r="Y3481">
        <v>-0.34696919999999998</v>
      </c>
      <c r="Z3481">
        <v>1.79149E-3</v>
      </c>
      <c r="AA3481">
        <v>0.93787480000000001</v>
      </c>
      <c r="AB3481">
        <v>47</v>
      </c>
      <c r="AC3481">
        <v>-9.6587000000000103</v>
      </c>
      <c r="AD3481">
        <v>-1.1174970371220001</v>
      </c>
      <c r="AE3481">
        <v>-6.1250999999999998</v>
      </c>
      <c r="AF3481">
        <v>-4.0882795724171697</v>
      </c>
      <c r="AG3481">
        <v>-1.1174970371220001</v>
      </c>
      <c r="AH3481">
        <v>10.565558339835601</v>
      </c>
      <c r="AI3481">
        <v>95.633480373115205</v>
      </c>
      <c r="AJ3481">
        <v>111.15364759626399</v>
      </c>
      <c r="AK3481">
        <v>11.3839295729853</v>
      </c>
    </row>
    <row r="3482" spans="1:37" x14ac:dyDescent="0.2">
      <c r="A3482" t="str">
        <f>"20200111154134900"</f>
        <v>20200111154134900</v>
      </c>
      <c r="B3482" t="str">
        <f>"1578728494889444"</f>
        <v>1578728494889444</v>
      </c>
      <c r="C3482" t="s">
        <v>37</v>
      </c>
      <c r="D3482">
        <v>5.2450519999999896</v>
      </c>
      <c r="E3482">
        <v>0.4673696</v>
      </c>
      <c r="F3482" t="s">
        <v>46</v>
      </c>
      <c r="G3482">
        <v>-407.65499999999997</v>
      </c>
      <c r="H3482" s="1">
        <v>-6.4899140000000003E-6</v>
      </c>
      <c r="I3482">
        <v>133.374</v>
      </c>
      <c r="J3482">
        <v>-397.7713</v>
      </c>
      <c r="K3482">
        <v>1.117804</v>
      </c>
      <c r="L3482">
        <v>139.45050000000001</v>
      </c>
      <c r="M3482">
        <v>-0.97938590000000003</v>
      </c>
      <c r="N3482">
        <v>0</v>
      </c>
      <c r="O3482">
        <v>-0.2014339</v>
      </c>
      <c r="P3482">
        <v>-0.89619069999999901</v>
      </c>
      <c r="Q3482">
        <v>4.7459479999999998E-2</v>
      </c>
      <c r="R3482">
        <v>-0.44112399999999902</v>
      </c>
      <c r="S3482">
        <v>-2.600403</v>
      </c>
      <c r="T3482">
        <v>-0.28059509999999899</v>
      </c>
      <c r="U3482">
        <v>-1.5503849999999999</v>
      </c>
      <c r="V3482">
        <v>-0.25263739999999901</v>
      </c>
      <c r="W3482">
        <v>5.7399489999999997E-2</v>
      </c>
      <c r="X3482">
        <v>0.96585699999999997</v>
      </c>
      <c r="Y3482">
        <v>-0.32802789999999998</v>
      </c>
      <c r="Z3482">
        <v>3.3511679999999999E-3</v>
      </c>
      <c r="AA3482">
        <v>0.94466209999999995</v>
      </c>
      <c r="AB3482">
        <v>47</v>
      </c>
      <c r="AC3482">
        <v>-9.8836999999999708</v>
      </c>
      <c r="AD3482">
        <v>-1.117810489914</v>
      </c>
      <c r="AE3482">
        <v>-6.0765000000000002</v>
      </c>
      <c r="AF3482">
        <v>-3.9243501202736999</v>
      </c>
      <c r="AG3482">
        <v>-1.117810489914</v>
      </c>
      <c r="AH3482">
        <v>10.804916585975</v>
      </c>
      <c r="AI3482">
        <v>95.553916459851905</v>
      </c>
      <c r="AJ3482">
        <v>109.96104223987901</v>
      </c>
      <c r="AK3482">
        <v>11.5497292863397</v>
      </c>
    </row>
    <row r="3483" spans="1:37" x14ac:dyDescent="0.2">
      <c r="A3483" t="str">
        <f>"20200111154134922"</f>
        <v>20200111154134922</v>
      </c>
      <c r="B3483" t="str">
        <f>"1578728494909938"</f>
        <v>1578728494909938</v>
      </c>
      <c r="C3483" t="s">
        <v>37</v>
      </c>
      <c r="D3483">
        <v>5.2418800000000001</v>
      </c>
      <c r="E3483">
        <v>0.4686573</v>
      </c>
      <c r="F3483" t="s">
        <v>46</v>
      </c>
      <c r="G3483">
        <v>-408.48559999999998</v>
      </c>
      <c r="H3483" s="1">
        <v>-6.9074719999999996E-6</v>
      </c>
      <c r="I3483">
        <v>133.08860000000001</v>
      </c>
      <c r="J3483">
        <v>-398.21</v>
      </c>
      <c r="K3483">
        <v>1.118139</v>
      </c>
      <c r="L3483">
        <v>139.3562</v>
      </c>
      <c r="M3483">
        <v>-0.97799239999999998</v>
      </c>
      <c r="N3483">
        <v>0</v>
      </c>
      <c r="O3483">
        <v>-0.2080919</v>
      </c>
      <c r="P3483">
        <v>-0.89396089999999995</v>
      </c>
      <c r="Q3483">
        <v>4.8173300000000002E-2</v>
      </c>
      <c r="R3483">
        <v>-0.44554840000000001</v>
      </c>
      <c r="S3483">
        <v>-2.6015009999999998</v>
      </c>
      <c r="T3483">
        <v>-0.2714124</v>
      </c>
      <c r="U3483">
        <v>-1.544724</v>
      </c>
      <c r="V3483">
        <v>-0.25090899999999999</v>
      </c>
      <c r="W3483">
        <v>5.7967399999999898E-2</v>
      </c>
      <c r="X3483">
        <v>0.96627350000000001</v>
      </c>
      <c r="Y3483">
        <v>-0.31998749999999998</v>
      </c>
      <c r="Z3483">
        <v>4.2435870000000001E-3</v>
      </c>
      <c r="AA3483">
        <v>0.94741229999999999</v>
      </c>
      <c r="AB3483">
        <v>47</v>
      </c>
      <c r="AC3483">
        <v>-10.275599999999899</v>
      </c>
      <c r="AD3483">
        <v>-1.1181459074719999</v>
      </c>
      <c r="AE3483">
        <v>-6.2675999999999803</v>
      </c>
      <c r="AF3483">
        <v>-3.9576970359933399</v>
      </c>
      <c r="AG3483">
        <v>-1.1181459074719999</v>
      </c>
      <c r="AH3483">
        <v>11.2578372541783</v>
      </c>
      <c r="AI3483">
        <v>95.352990572611901</v>
      </c>
      <c r="AJ3483">
        <v>109.369144317821</v>
      </c>
      <c r="AK3483">
        <v>11.9855127441704</v>
      </c>
    </row>
    <row r="3484" spans="1:37" x14ac:dyDescent="0.2">
      <c r="A3484" t="str">
        <f>"20200111154134944"</f>
        <v>20200111154134944</v>
      </c>
      <c r="B3484" t="str">
        <f>"1578728494939728"</f>
        <v>1578728494939728</v>
      </c>
      <c r="C3484" t="s">
        <v>37</v>
      </c>
      <c r="D3484">
        <v>5.2681440000000004</v>
      </c>
      <c r="E3484">
        <v>0.470176599999999</v>
      </c>
      <c r="F3484" t="s">
        <v>46</v>
      </c>
      <c r="G3484">
        <v>-409.1721</v>
      </c>
      <c r="H3484" s="1">
        <v>-7.21636499999999E-6</v>
      </c>
      <c r="I3484">
        <v>132.8175</v>
      </c>
      <c r="J3484">
        <v>-398.66070000000002</v>
      </c>
      <c r="K3484">
        <v>1.118528</v>
      </c>
      <c r="L3484">
        <v>139.25579999999999</v>
      </c>
      <c r="M3484">
        <v>-0.9764159</v>
      </c>
      <c r="N3484">
        <v>0</v>
      </c>
      <c r="O3484">
        <v>-0.21536649999999999</v>
      </c>
      <c r="P3484">
        <v>-0.89139849999999998</v>
      </c>
      <c r="Q3484">
        <v>4.8125000000000001E-2</v>
      </c>
      <c r="R3484">
        <v>-0.45065870000000002</v>
      </c>
      <c r="S3484">
        <v>-2.597839</v>
      </c>
      <c r="T3484">
        <v>-0.26498159999999998</v>
      </c>
      <c r="U3484">
        <v>-1.5495760000000001</v>
      </c>
      <c r="V3484">
        <v>-0.24930059999999901</v>
      </c>
      <c r="W3484">
        <v>5.7749849999999998E-2</v>
      </c>
      <c r="X3484">
        <v>0.96670279999999997</v>
      </c>
      <c r="Y3484">
        <v>-0.31488909999999998</v>
      </c>
      <c r="Z3484">
        <v>5.0386620000000002E-3</v>
      </c>
      <c r="AA3484">
        <v>0.94911509999999999</v>
      </c>
      <c r="AB3484">
        <v>47</v>
      </c>
      <c r="AC3484">
        <v>-10.511399999999901</v>
      </c>
      <c r="AD3484">
        <v>-1.118535216365</v>
      </c>
      <c r="AE3484">
        <v>-6.4382999999999901</v>
      </c>
      <c r="AF3484">
        <v>-3.9902594935765299</v>
      </c>
      <c r="AG3484">
        <v>-1.118535216365</v>
      </c>
      <c r="AH3484">
        <v>11.556270774209199</v>
      </c>
      <c r="AI3484">
        <v>95.227433798459501</v>
      </c>
      <c r="AJ3484">
        <v>109.04925824607</v>
      </c>
      <c r="AK3484">
        <v>12.276835343978901</v>
      </c>
    </row>
    <row r="3485" spans="1:37" x14ac:dyDescent="0.2">
      <c r="A3485" t="str">
        <f>"20200111154134966"</f>
        <v>20200111154134966</v>
      </c>
      <c r="B3485" t="str">
        <f>"1578728494959252"</f>
        <v>1578728494959252</v>
      </c>
      <c r="C3485" t="s">
        <v>37</v>
      </c>
      <c r="D3485">
        <v>5.238353</v>
      </c>
      <c r="E3485">
        <v>0.4709914</v>
      </c>
      <c r="F3485" t="s">
        <v>46</v>
      </c>
      <c r="G3485">
        <v>-409.73790000000002</v>
      </c>
      <c r="H3485" s="1">
        <v>-7.4811929999999996E-6</v>
      </c>
      <c r="I3485">
        <v>132.61760000000001</v>
      </c>
      <c r="J3485">
        <v>-399.11419999999998</v>
      </c>
      <c r="K3485">
        <v>1.1189559999999901</v>
      </c>
      <c r="L3485">
        <v>139.1508</v>
      </c>
      <c r="M3485">
        <v>-0.97465879999999905</v>
      </c>
      <c r="N3485">
        <v>0</v>
      </c>
      <c r="O3485">
        <v>-0.2231804</v>
      </c>
      <c r="P3485">
        <v>-0.88853099999999996</v>
      </c>
      <c r="Q3485">
        <v>4.8825849999999997E-2</v>
      </c>
      <c r="R3485">
        <v>-0.45621139999999999</v>
      </c>
      <c r="S3485">
        <v>-2.5937809999999999</v>
      </c>
      <c r="T3485">
        <v>-0.26191189999999998</v>
      </c>
      <c r="U3485">
        <v>-1.5543819999999999</v>
      </c>
      <c r="V3485">
        <v>-0.247671999999999</v>
      </c>
      <c r="W3485">
        <v>5.8271110000000001E-2</v>
      </c>
      <c r="X3485">
        <v>0.96709000000000001</v>
      </c>
      <c r="Y3485">
        <v>-0.30928670000000003</v>
      </c>
      <c r="Z3485">
        <v>5.9370809999999899E-3</v>
      </c>
      <c r="AA3485">
        <v>0.95095030000000003</v>
      </c>
      <c r="AB3485">
        <v>47</v>
      </c>
      <c r="AC3485">
        <v>-10.623699999999999</v>
      </c>
      <c r="AD3485">
        <v>-1.1189634811929901</v>
      </c>
      <c r="AE3485">
        <v>-6.5331999999999901</v>
      </c>
      <c r="AF3485">
        <v>-3.9651823188058399</v>
      </c>
      <c r="AG3485">
        <v>-1.1189634811929901</v>
      </c>
      <c r="AH3485">
        <v>11.719589986736301</v>
      </c>
      <c r="AI3485">
        <v>95.167868754173099</v>
      </c>
      <c r="AJ3485">
        <v>108.69263045218899</v>
      </c>
      <c r="AK3485">
        <v>12.422702586427199</v>
      </c>
    </row>
    <row r="3486" spans="1:37" x14ac:dyDescent="0.2">
      <c r="A3486" t="str">
        <f>"20200111154134988"</f>
        <v>20200111154134988</v>
      </c>
      <c r="B3486" t="str">
        <f>"1578728494979758"</f>
        <v>1578728494979758</v>
      </c>
      <c r="C3486" t="s">
        <v>37</v>
      </c>
      <c r="D3486">
        <v>5.2348869999999996</v>
      </c>
      <c r="E3486">
        <v>0.47170249999999903</v>
      </c>
      <c r="F3486" t="s">
        <v>46</v>
      </c>
      <c r="G3486">
        <v>-410.36930000000001</v>
      </c>
      <c r="H3486" s="1">
        <v>-7.4604989999999997E-6</v>
      </c>
      <c r="I3486">
        <v>132.3398</v>
      </c>
      <c r="J3486">
        <v>-399.57499999999999</v>
      </c>
      <c r="K3486">
        <v>1.119397</v>
      </c>
      <c r="L3486">
        <v>139.03989999999999</v>
      </c>
      <c r="M3486">
        <v>-0.97270129999999999</v>
      </c>
      <c r="N3486">
        <v>0</v>
      </c>
      <c r="O3486">
        <v>-0.23156009999999999</v>
      </c>
      <c r="P3486">
        <v>-0.88519820000000005</v>
      </c>
      <c r="Q3486">
        <v>5.1038260000000002E-2</v>
      </c>
      <c r="R3486">
        <v>-0.46240599999999998</v>
      </c>
      <c r="S3486">
        <v>-2.5867610000000001</v>
      </c>
      <c r="T3486">
        <v>-0.25717279999999998</v>
      </c>
      <c r="U3486">
        <v>-1.5653840000000001</v>
      </c>
      <c r="V3486">
        <v>-0.2462433</v>
      </c>
      <c r="W3486">
        <v>6.0302199999999903E-2</v>
      </c>
      <c r="X3486">
        <v>0.96733029999999998</v>
      </c>
      <c r="Y3486">
        <v>-0.30525679999999999</v>
      </c>
      <c r="Z3486">
        <v>6.7477319999999898E-3</v>
      </c>
      <c r="AA3486">
        <v>0.95224619999999904</v>
      </c>
      <c r="AB3486">
        <v>47</v>
      </c>
      <c r="AC3486">
        <v>-10.7943</v>
      </c>
      <c r="AD3486">
        <v>-1.1194044604989899</v>
      </c>
      <c r="AE3486">
        <v>-6.7000999999999902</v>
      </c>
      <c r="AF3486">
        <v>-3.9871793172538199</v>
      </c>
      <c r="AG3486">
        <v>-1.1194044604989899</v>
      </c>
      <c r="AH3486">
        <v>11.959657421504399</v>
      </c>
      <c r="AI3486">
        <v>95.074203222282307</v>
      </c>
      <c r="AJ3486">
        <v>108.437651527914</v>
      </c>
      <c r="AK3486">
        <v>12.6563845901532</v>
      </c>
    </row>
    <row r="3487" spans="1:37" x14ac:dyDescent="0.2">
      <c r="A3487" t="str">
        <f>"20200111154135010"</f>
        <v>20200111154135010</v>
      </c>
      <c r="B3487" t="str">
        <f>"1578728494999263"</f>
        <v>1578728494999263</v>
      </c>
      <c r="C3487" t="s">
        <v>37</v>
      </c>
      <c r="D3487">
        <v>5.2166709999999998</v>
      </c>
      <c r="E3487">
        <v>0.4720242</v>
      </c>
      <c r="F3487" t="s">
        <v>46</v>
      </c>
      <c r="G3487">
        <v>-411.23970000000003</v>
      </c>
      <c r="H3487" s="1">
        <v>-7.190454E-6</v>
      </c>
      <c r="I3487">
        <v>131.89689999999999</v>
      </c>
      <c r="J3487">
        <v>-400.00959999999998</v>
      </c>
      <c r="K3487">
        <v>1.1198059999999901</v>
      </c>
      <c r="L3487">
        <v>138.9314</v>
      </c>
      <c r="M3487">
        <v>-0.97068430000000006</v>
      </c>
      <c r="N3487">
        <v>0</v>
      </c>
      <c r="O3487">
        <v>-0.239871999999999</v>
      </c>
      <c r="P3487">
        <v>-0.88160620000000001</v>
      </c>
      <c r="Q3487">
        <v>5.3518059999999999E-2</v>
      </c>
      <c r="R3487">
        <v>-0.46894209999999897</v>
      </c>
      <c r="S3487">
        <v>-2.5784910000000001</v>
      </c>
      <c r="T3487">
        <v>-0.24744569999999999</v>
      </c>
      <c r="U3487">
        <v>-1.5789789999999999</v>
      </c>
      <c r="V3487">
        <v>-0.24527889999999899</v>
      </c>
      <c r="W3487">
        <v>6.2602389999999994E-2</v>
      </c>
      <c r="X3487">
        <v>0.96742919999999999</v>
      </c>
      <c r="Y3487">
        <v>-0.30217749999999999</v>
      </c>
      <c r="Z3487">
        <v>7.32951099999999E-3</v>
      </c>
      <c r="AA3487">
        <v>0.9532235</v>
      </c>
      <c r="AB3487">
        <v>47</v>
      </c>
      <c r="AC3487">
        <v>-11.2301</v>
      </c>
      <c r="AD3487">
        <v>-1.1198131904539901</v>
      </c>
      <c r="AE3487">
        <v>-7.0345000000000004</v>
      </c>
      <c r="AF3487">
        <v>-4.1056556566592404</v>
      </c>
      <c r="AG3487">
        <v>-1.1198131904539901</v>
      </c>
      <c r="AH3487">
        <v>12.5004630241146</v>
      </c>
      <c r="AI3487">
        <v>94.864652132094903</v>
      </c>
      <c r="AJ3487">
        <v>108.18226369794399</v>
      </c>
      <c r="AK3487">
        <v>13.2049977572822</v>
      </c>
    </row>
    <row r="3488" spans="1:37" x14ac:dyDescent="0.2">
      <c r="A3488" t="str">
        <f>"20200111154135032"</f>
        <v>20200111154135032</v>
      </c>
      <c r="B3488" t="str">
        <f>"1578728495029520"</f>
        <v>1578728495029520</v>
      </c>
      <c r="C3488" t="s">
        <v>37</v>
      </c>
      <c r="D3488">
        <v>5.4671269999999996</v>
      </c>
      <c r="E3488">
        <v>0.47254889999999999</v>
      </c>
      <c r="F3488" t="s">
        <v>46</v>
      </c>
      <c r="G3488">
        <v>-412.02159999999998</v>
      </c>
      <c r="H3488" s="1">
        <v>-6.9403579999999998E-6</v>
      </c>
      <c r="I3488">
        <v>131.46729999999999</v>
      </c>
      <c r="J3488">
        <v>-400.46030000000002</v>
      </c>
      <c r="K3488">
        <v>1.1202270000000001</v>
      </c>
      <c r="L3488">
        <v>138.81460000000001</v>
      </c>
      <c r="M3488">
        <v>-0.96840020000000004</v>
      </c>
      <c r="N3488">
        <v>0</v>
      </c>
      <c r="O3488">
        <v>-0.24892990000000001</v>
      </c>
      <c r="P3488">
        <v>-0.87765930000000003</v>
      </c>
      <c r="Q3488">
        <v>5.511543E-2</v>
      </c>
      <c r="R3488">
        <v>-0.47610569999999902</v>
      </c>
      <c r="S3488">
        <v>-2.5684809999999998</v>
      </c>
      <c r="T3488">
        <v>-0.23944570000000001</v>
      </c>
      <c r="U3488">
        <v>-1.5960239999999899</v>
      </c>
      <c r="V3488">
        <v>-0.24424889999999999</v>
      </c>
      <c r="W3488">
        <v>6.4014349999999998E-2</v>
      </c>
      <c r="X3488">
        <v>0.96759740000000005</v>
      </c>
      <c r="Y3488">
        <v>-0.29954839999999999</v>
      </c>
      <c r="Z3488">
        <v>7.9443729999999994E-3</v>
      </c>
      <c r="AA3488">
        <v>0.95404800000000001</v>
      </c>
      <c r="AB3488">
        <v>47</v>
      </c>
      <c r="AC3488">
        <v>-11.5612999999999</v>
      </c>
      <c r="AD3488">
        <v>-1.1202339403579999</v>
      </c>
      <c r="AE3488">
        <v>-7.3473000000000104</v>
      </c>
      <c r="AF3488">
        <v>-4.2095193826210897</v>
      </c>
      <c r="AG3488">
        <v>-1.1202339403579999</v>
      </c>
      <c r="AH3488">
        <v>12.939919954214201</v>
      </c>
      <c r="AI3488">
        <v>94.706278792028797</v>
      </c>
      <c r="AJ3488">
        <v>108.02036121272801</v>
      </c>
      <c r="AK3488">
        <v>13.653443006628899</v>
      </c>
    </row>
    <row r="3489" spans="1:37" x14ac:dyDescent="0.2">
      <c r="A3489" t="str">
        <f>"20200111154135055"</f>
        <v>20200111154135055</v>
      </c>
      <c r="B3489" t="str">
        <f>"1578728495050017"</f>
        <v>1578728495050017</v>
      </c>
      <c r="C3489" t="s">
        <v>37</v>
      </c>
      <c r="D3489">
        <v>5.2588210000000002</v>
      </c>
      <c r="E3489">
        <v>0.47305069999999999</v>
      </c>
      <c r="F3489" t="s">
        <v>46</v>
      </c>
      <c r="G3489">
        <v>-412.72949999999997</v>
      </c>
      <c r="H3489" s="1">
        <v>-6.73901399999999E-6</v>
      </c>
      <c r="I3489">
        <v>131.07390000000001</v>
      </c>
      <c r="J3489">
        <v>-400.92180000000002</v>
      </c>
      <c r="K3489">
        <v>1.120665</v>
      </c>
      <c r="L3489">
        <v>138.69030000000001</v>
      </c>
      <c r="M3489">
        <v>-0.96584570000000003</v>
      </c>
      <c r="N3489">
        <v>0</v>
      </c>
      <c r="O3489">
        <v>-0.25866159999999999</v>
      </c>
      <c r="P3489">
        <v>-0.87297309999999995</v>
      </c>
      <c r="Q3489">
        <v>5.5437E-2</v>
      </c>
      <c r="R3489">
        <v>-0.48460839999999999</v>
      </c>
      <c r="S3489">
        <v>-2.55752599999999</v>
      </c>
      <c r="T3489">
        <v>-0.23351359999999999</v>
      </c>
      <c r="U3489">
        <v>-1.613556</v>
      </c>
      <c r="V3489">
        <v>-0.2439962</v>
      </c>
      <c r="W3489">
        <v>6.4122819999999997E-2</v>
      </c>
      <c r="X3489">
        <v>0.96765389999999996</v>
      </c>
      <c r="Y3489">
        <v>-0.29651259999999902</v>
      </c>
      <c r="Z3489">
        <v>8.6498259999999993E-3</v>
      </c>
      <c r="AA3489">
        <v>0.9549898</v>
      </c>
      <c r="AB3489">
        <v>47</v>
      </c>
      <c r="AC3489">
        <v>-11.807699999999899</v>
      </c>
      <c r="AD3489">
        <v>-1.120671739014</v>
      </c>
      <c r="AE3489">
        <v>-7.6163999999999898</v>
      </c>
      <c r="AF3489">
        <v>-4.2753802528845002</v>
      </c>
      <c r="AG3489">
        <v>-1.120671739014</v>
      </c>
      <c r="AH3489">
        <v>13.2915163641671</v>
      </c>
      <c r="AI3489">
        <v>94.588987478014204</v>
      </c>
      <c r="AJ3489">
        <v>107.83102779719999</v>
      </c>
      <c r="AK3489">
        <v>14.007112076095501</v>
      </c>
    </row>
    <row r="3490" spans="1:37" x14ac:dyDescent="0.2">
      <c r="A3490" t="str">
        <f>"20200111154135089"</f>
        <v>20200111154135089</v>
      </c>
      <c r="B3490" t="str">
        <f>"1578728495079295"</f>
        <v>1578728495079295</v>
      </c>
      <c r="C3490" t="s">
        <v>37</v>
      </c>
      <c r="D3490">
        <v>5.2376069999999997</v>
      </c>
      <c r="E3490">
        <v>0.47360550000000001</v>
      </c>
      <c r="F3490" t="s">
        <v>46</v>
      </c>
      <c r="G3490">
        <v>-413.39339999999999</v>
      </c>
      <c r="H3490" s="1">
        <v>-6.5363569999999997E-6</v>
      </c>
      <c r="I3490">
        <v>130.67089999999999</v>
      </c>
      <c r="J3490">
        <v>-401.58260000000001</v>
      </c>
      <c r="K3490">
        <v>1.1212959999999901</v>
      </c>
      <c r="L3490">
        <v>138.5033</v>
      </c>
      <c r="M3490">
        <v>-0.96177449999999998</v>
      </c>
      <c r="N3490">
        <v>0</v>
      </c>
      <c r="O3490">
        <v>-0.27340619999999999</v>
      </c>
      <c r="P3490">
        <v>-0.86439100000000002</v>
      </c>
      <c r="Q3490">
        <v>5.484091E-2</v>
      </c>
      <c r="R3490">
        <v>-0.49982089999999901</v>
      </c>
      <c r="S3490">
        <v>-2.5432130000000002</v>
      </c>
      <c r="T3490">
        <v>-0.22852710000000001</v>
      </c>
      <c r="U3490">
        <v>-1.6353</v>
      </c>
      <c r="V3490">
        <v>-0.24621799999999999</v>
      </c>
      <c r="W3490">
        <v>6.3142519999999994E-2</v>
      </c>
      <c r="X3490">
        <v>0.96715549999999995</v>
      </c>
      <c r="Y3490">
        <v>-0.29017749999999998</v>
      </c>
      <c r="Z3490">
        <v>9.8720249999999996E-3</v>
      </c>
      <c r="AA3490">
        <v>0.95692189999999999</v>
      </c>
      <c r="AB3490">
        <v>47</v>
      </c>
      <c r="AC3490">
        <v>-11.810799999999899</v>
      </c>
      <c r="AD3490">
        <v>-1.1213025363569999</v>
      </c>
      <c r="AE3490">
        <v>-7.8323999999999998</v>
      </c>
      <c r="AF3490">
        <v>-4.2775919245865897</v>
      </c>
      <c r="AG3490">
        <v>-1.1213025363569999</v>
      </c>
      <c r="AH3490">
        <v>13.418363269355</v>
      </c>
      <c r="AI3490">
        <v>94.552122150173901</v>
      </c>
      <c r="AJ3490">
        <v>107.681574961409</v>
      </c>
      <c r="AK3490">
        <v>14.1282548419719</v>
      </c>
    </row>
    <row r="3491" spans="1:37" x14ac:dyDescent="0.2">
      <c r="A3491" t="str">
        <f>"20200111154135110"</f>
        <v>20200111154135110</v>
      </c>
      <c r="B3491" t="str">
        <f>"1578728495099791"</f>
        <v>1578728495099791</v>
      </c>
      <c r="C3491" t="s">
        <v>37</v>
      </c>
      <c r="D3491">
        <v>5.2244459999999897</v>
      </c>
      <c r="E3491">
        <v>0.47391919999999998</v>
      </c>
      <c r="F3491" t="s">
        <v>46</v>
      </c>
      <c r="G3491">
        <v>-413.97669999999999</v>
      </c>
      <c r="H3491" s="1">
        <v>-6.3313289999999898E-6</v>
      </c>
      <c r="I3491">
        <v>130.25069999999999</v>
      </c>
      <c r="J3491">
        <v>-402.0145</v>
      </c>
      <c r="K3491">
        <v>1.1217059999999901</v>
      </c>
      <c r="L3491">
        <v>138.375</v>
      </c>
      <c r="M3491">
        <v>-0.95883209999999996</v>
      </c>
      <c r="N3491">
        <v>0</v>
      </c>
      <c r="O3491">
        <v>-0.2835493</v>
      </c>
      <c r="P3491">
        <v>-0.85845009999999999</v>
      </c>
      <c r="Q3491">
        <v>5.4112059999999997E-2</v>
      </c>
      <c r="R3491">
        <v>-0.51003489999999996</v>
      </c>
      <c r="S3491">
        <v>-2.5162659999999999</v>
      </c>
      <c r="T3491">
        <v>-0.22764690000000001</v>
      </c>
      <c r="U3491">
        <v>-1.675446</v>
      </c>
      <c r="V3491">
        <v>-0.24750529999999901</v>
      </c>
      <c r="W3491">
        <v>6.2167899999999998E-2</v>
      </c>
      <c r="X3491">
        <v>0.96688999999999903</v>
      </c>
      <c r="Y3491">
        <v>-0.295381</v>
      </c>
      <c r="Z3491">
        <v>1.043087E-2</v>
      </c>
      <c r="AA3491">
        <v>0.95532260000000002</v>
      </c>
      <c r="AB3491">
        <v>47</v>
      </c>
      <c r="AC3491">
        <v>-11.9621999999999</v>
      </c>
      <c r="AD3491">
        <v>-1.1217123313289901</v>
      </c>
      <c r="AE3491">
        <v>-8.1242999999999999</v>
      </c>
      <c r="AF3491">
        <v>-4.3721864106822501</v>
      </c>
      <c r="AG3491">
        <v>-1.1217123313289901</v>
      </c>
      <c r="AH3491">
        <v>13.6926447947175</v>
      </c>
      <c r="AI3491">
        <v>94.462260184313195</v>
      </c>
      <c r="AJ3491">
        <v>107.70875704743401</v>
      </c>
      <c r="AK3491">
        <v>14.417446862683899</v>
      </c>
    </row>
    <row r="3492" spans="1:37" x14ac:dyDescent="0.2">
      <c r="A3492" t="str">
        <f>"20200111154135132"</f>
        <v>20200111154135132</v>
      </c>
      <c r="B3492" t="str">
        <f>"1578728495130048"</f>
        <v>1578728495130048</v>
      </c>
      <c r="C3492" t="s">
        <v>37</v>
      </c>
      <c r="D3492">
        <v>5.1905549999999998</v>
      </c>
      <c r="E3492">
        <v>0.47412850000000001</v>
      </c>
      <c r="F3492" t="s">
        <v>46</v>
      </c>
      <c r="G3492">
        <v>-414.24329999999998</v>
      </c>
      <c r="H3492" s="1">
        <v>-6.2289419999999997E-6</v>
      </c>
      <c r="I3492">
        <v>130.03729999999999</v>
      </c>
      <c r="J3492">
        <v>-402.4579</v>
      </c>
      <c r="K3492">
        <v>1.1221179999999999</v>
      </c>
      <c r="L3492">
        <v>138.2381</v>
      </c>
      <c r="M3492">
        <v>-0.9555766</v>
      </c>
      <c r="N3492">
        <v>0</v>
      </c>
      <c r="O3492">
        <v>-0.29433169999999997</v>
      </c>
      <c r="P3492">
        <v>-0.85198929999999995</v>
      </c>
      <c r="Q3492">
        <v>5.371277E-2</v>
      </c>
      <c r="R3492">
        <v>-0.52079690000000001</v>
      </c>
      <c r="S3492">
        <v>-2.4974669999999999</v>
      </c>
      <c r="T3492">
        <v>-0.22908529999999999</v>
      </c>
      <c r="U3492">
        <v>-1.7027889999999899</v>
      </c>
      <c r="V3492">
        <v>-0.24883</v>
      </c>
      <c r="W3492">
        <v>6.152063E-2</v>
      </c>
      <c r="X3492">
        <v>0.96659139999999999</v>
      </c>
      <c r="Y3492">
        <v>-0.29513349999999999</v>
      </c>
      <c r="Z3492">
        <v>1.136036E-2</v>
      </c>
      <c r="AA3492">
        <v>0.95538849999999997</v>
      </c>
      <c r="AB3492">
        <v>47</v>
      </c>
      <c r="AC3492">
        <v>-11.7853999999999</v>
      </c>
      <c r="AD3492">
        <v>-1.1221242289419999</v>
      </c>
      <c r="AE3492">
        <v>-8.2008000000000099</v>
      </c>
      <c r="AF3492">
        <v>-4.3416856677476403</v>
      </c>
      <c r="AG3492">
        <v>-1.1221242289419999</v>
      </c>
      <c r="AH3492">
        <v>13.594230405545</v>
      </c>
      <c r="AI3492">
        <v>94.495987919851004</v>
      </c>
      <c r="AJ3492">
        <v>107.71229054571501</v>
      </c>
      <c r="AK3492">
        <v>14.3147650187402</v>
      </c>
    </row>
    <row r="3493" spans="1:37" x14ac:dyDescent="0.2">
      <c r="A3493" t="str">
        <f>"20200111154135156"</f>
        <v>20200111154135156</v>
      </c>
      <c r="B3493" t="str">
        <f>"1578728495149566"</f>
        <v>1578728495149566</v>
      </c>
      <c r="C3493" t="s">
        <v>37</v>
      </c>
      <c r="D3493">
        <v>5.1930209999999999</v>
      </c>
      <c r="E3493">
        <v>0.4742382</v>
      </c>
      <c r="F3493" t="s">
        <v>46</v>
      </c>
      <c r="G3493">
        <v>-414.50740000000002</v>
      </c>
      <c r="H3493" s="1">
        <v>-6.1202950000000002E-6</v>
      </c>
      <c r="I3493">
        <v>129.8082</v>
      </c>
      <c r="J3493">
        <v>-402.91370000000001</v>
      </c>
      <c r="K3493">
        <v>1.1225240000000001</v>
      </c>
      <c r="L3493">
        <v>138.09180000000001</v>
      </c>
      <c r="M3493">
        <v>-0.95196769999999997</v>
      </c>
      <c r="N3493">
        <v>0</v>
      </c>
      <c r="O3493">
        <v>-0.3057993</v>
      </c>
      <c r="P3493">
        <v>-0.84480159999999904</v>
      </c>
      <c r="Q3493">
        <v>5.4629240000000003E-2</v>
      </c>
      <c r="R3493">
        <v>-0.53228399999999998</v>
      </c>
      <c r="S3493">
        <v>-2.4765630000000001</v>
      </c>
      <c r="T3493">
        <v>-0.23063249999999999</v>
      </c>
      <c r="U3493">
        <v>-1.73262</v>
      </c>
      <c r="V3493">
        <v>-0.25040820000000003</v>
      </c>
      <c r="W3493">
        <v>6.2175500000000002E-2</v>
      </c>
      <c r="X3493">
        <v>0.96614179999999905</v>
      </c>
      <c r="Y3493">
        <v>-0.29518860000000002</v>
      </c>
      <c r="Z3493">
        <v>1.23508E-2</v>
      </c>
      <c r="AA3493">
        <v>0.95535919999999896</v>
      </c>
      <c r="AB3493">
        <v>47</v>
      </c>
      <c r="AC3493">
        <v>-11.5937</v>
      </c>
      <c r="AD3493">
        <v>-1.122530120295</v>
      </c>
      <c r="AE3493">
        <v>-8.2835999999999999</v>
      </c>
      <c r="AF3493">
        <v>-4.3141298205907699</v>
      </c>
      <c r="AG3493">
        <v>-1.122530120295</v>
      </c>
      <c r="AH3493">
        <v>13.487895065002901</v>
      </c>
      <c r="AI3493">
        <v>94.532296791433396</v>
      </c>
      <c r="AJ3493">
        <v>107.73697768105799</v>
      </c>
      <c r="AK3493">
        <v>14.2054603327175</v>
      </c>
    </row>
    <row r="3494" spans="1:37" x14ac:dyDescent="0.2">
      <c r="A3494" t="str">
        <f>"20200111154135177"</f>
        <v>20200111154135177</v>
      </c>
      <c r="B3494" t="str">
        <f>"1578728495170064"</f>
        <v>1578728495170064</v>
      </c>
      <c r="C3494" t="s">
        <v>37</v>
      </c>
      <c r="D3494">
        <v>5.2512819999999998</v>
      </c>
      <c r="E3494">
        <v>0.47428229999999999</v>
      </c>
      <c r="F3494" t="s">
        <v>46</v>
      </c>
      <c r="G3494">
        <v>-414.94</v>
      </c>
      <c r="H3494" s="1">
        <v>-5.9268959999999998E-6</v>
      </c>
      <c r="I3494">
        <v>129.43940000000001</v>
      </c>
      <c r="J3494">
        <v>-403.34390000000002</v>
      </c>
      <c r="K3494">
        <v>1.1229069999999901</v>
      </c>
      <c r="L3494">
        <v>137.94820000000001</v>
      </c>
      <c r="M3494">
        <v>-0.94830609999999904</v>
      </c>
      <c r="N3494">
        <v>0</v>
      </c>
      <c r="O3494">
        <v>-0.31696970000000002</v>
      </c>
      <c r="P3494">
        <v>-0.83772559999999996</v>
      </c>
      <c r="Q3494">
        <v>5.4322670000000003E-2</v>
      </c>
      <c r="R3494">
        <v>-0.54338350000000002</v>
      </c>
      <c r="S3494">
        <v>-2.4536739999999999</v>
      </c>
      <c r="T3494">
        <v>-0.22902620000000001</v>
      </c>
      <c r="U3494">
        <v>-1.76532</v>
      </c>
      <c r="V3494">
        <v>-0.25184420000000002</v>
      </c>
      <c r="W3494">
        <v>6.162724E-2</v>
      </c>
      <c r="X3494">
        <v>0.96580359999999998</v>
      </c>
      <c r="Y3494">
        <v>-0.29659600000000003</v>
      </c>
      <c r="Z3494">
        <v>1.3096780000000001E-2</v>
      </c>
      <c r="AA3494">
        <v>0.95491329999999996</v>
      </c>
      <c r="AB3494">
        <v>47</v>
      </c>
      <c r="AC3494">
        <v>-11.5960999999999</v>
      </c>
      <c r="AD3494">
        <v>-1.1229129268960001</v>
      </c>
      <c r="AE3494">
        <v>-8.5088000000000008</v>
      </c>
      <c r="AF3494">
        <v>-4.3672547336932803</v>
      </c>
      <c r="AG3494">
        <v>-1.1229129268960001</v>
      </c>
      <c r="AH3494">
        <v>13.6123952063441</v>
      </c>
      <c r="AI3494">
        <v>94.491269465416195</v>
      </c>
      <c r="AJ3494">
        <v>107.787761136157</v>
      </c>
      <c r="AK3494">
        <v>14.339844859832199</v>
      </c>
    </row>
    <row r="3495" spans="1:37" x14ac:dyDescent="0.2">
      <c r="A3495" t="str">
        <f>"20200111154135200"</f>
        <v>20200111154135200</v>
      </c>
      <c r="B3495" t="str">
        <f>"1578728495189583"</f>
        <v>1578728495189583</v>
      </c>
      <c r="C3495" t="s">
        <v>37</v>
      </c>
      <c r="D3495">
        <v>5.1194940000000004</v>
      </c>
      <c r="E3495">
        <v>0.44694729999999999</v>
      </c>
      <c r="F3495" t="s">
        <v>46</v>
      </c>
      <c r="G3495">
        <v>-415.19709999999998</v>
      </c>
      <c r="H3495" s="1">
        <v>-5.7799859999999998E-6</v>
      </c>
      <c r="I3495">
        <v>129.18039999999999</v>
      </c>
      <c r="J3495">
        <v>-403.76490000000001</v>
      </c>
      <c r="K3495">
        <v>1.1232719999999901</v>
      </c>
      <c r="L3495">
        <v>137.80240000000001</v>
      </c>
      <c r="M3495">
        <v>-0.94446869999999905</v>
      </c>
      <c r="N3495">
        <v>0</v>
      </c>
      <c r="O3495">
        <v>-0.32822390000000001</v>
      </c>
      <c r="P3495">
        <v>-0.83107070000000005</v>
      </c>
      <c r="Q3495">
        <v>5.3513459999999999E-2</v>
      </c>
      <c r="R3495">
        <v>-0.55358640000000003</v>
      </c>
      <c r="S3495">
        <v>-2.4300839999999999</v>
      </c>
      <c r="T3495">
        <v>-0.2302138</v>
      </c>
      <c r="U3495">
        <v>-1.7975459999999901</v>
      </c>
      <c r="V3495">
        <v>-0.25218579999999902</v>
      </c>
      <c r="W3495">
        <v>6.0622530000000001E-2</v>
      </c>
      <c r="X3495">
        <v>0.96577809999999897</v>
      </c>
      <c r="Y3495">
        <v>-0.29788179999999997</v>
      </c>
      <c r="Z3495">
        <v>1.401528E-2</v>
      </c>
      <c r="AA3495">
        <v>0.95449980000000001</v>
      </c>
      <c r="AB3495">
        <v>47</v>
      </c>
      <c r="AC3495">
        <v>-11.4321999999999</v>
      </c>
      <c r="AD3495">
        <v>-1.1232777799860001</v>
      </c>
      <c r="AE3495">
        <v>-8.6220000000000105</v>
      </c>
      <c r="AF3495">
        <v>-4.36457330062699</v>
      </c>
      <c r="AG3495">
        <v>-1.1232777799860001</v>
      </c>
      <c r="AH3495">
        <v>13.5456332121933</v>
      </c>
      <c r="AI3495">
        <v>94.512962633416194</v>
      </c>
      <c r="AJ3495">
        <v>107.859593098752</v>
      </c>
      <c r="AK3495">
        <v>14.27569375501</v>
      </c>
    </row>
    <row r="3496" spans="1:37" x14ac:dyDescent="0.2">
      <c r="A3496" t="str">
        <f>"20200111154135223"</f>
        <v>20200111154135223</v>
      </c>
      <c r="B3496" t="str">
        <f>"1578728495219449"</f>
        <v>1578728495219449</v>
      </c>
      <c r="C3496" t="s">
        <v>37</v>
      </c>
      <c r="D3496">
        <v>5.1860089999999897</v>
      </c>
      <c r="E3496">
        <v>0.39719379999999999</v>
      </c>
      <c r="F3496" t="s">
        <v>46</v>
      </c>
      <c r="G3496">
        <v>-412.81939999999997</v>
      </c>
      <c r="H3496" s="1">
        <v>-6.2382519999999996E-6</v>
      </c>
      <c r="I3496">
        <v>129.85720000000001</v>
      </c>
      <c r="J3496">
        <v>-404.20420000000001</v>
      </c>
      <c r="K3496">
        <v>1.1236409999999999</v>
      </c>
      <c r="L3496">
        <v>137.64439999999999</v>
      </c>
      <c r="M3496">
        <v>-0.94018889999999999</v>
      </c>
      <c r="N3496">
        <v>0</v>
      </c>
      <c r="O3496">
        <v>-0.34028659999999999</v>
      </c>
      <c r="P3496">
        <v>-0.82376890000000003</v>
      </c>
      <c r="Q3496">
        <v>5.3430399999999899E-2</v>
      </c>
      <c r="R3496">
        <v>-0.56440219999999997</v>
      </c>
      <c r="S3496">
        <v>-2.2897340000000002</v>
      </c>
      <c r="T3496">
        <v>-0.28405949999999902</v>
      </c>
      <c r="U3496">
        <v>-2.009201</v>
      </c>
      <c r="V3496">
        <v>-0.25250270000000002</v>
      </c>
      <c r="W3496">
        <v>6.0343140000000003E-2</v>
      </c>
      <c r="X3496">
        <v>0.96571269999999998</v>
      </c>
      <c r="Y3496">
        <v>-0.364237799999999</v>
      </c>
      <c r="Z3496">
        <v>1.516294E-2</v>
      </c>
      <c r="AA3496">
        <v>0.93118259999999897</v>
      </c>
      <c r="AB3496">
        <v>47</v>
      </c>
      <c r="AC3496">
        <v>-8.61519999999995</v>
      </c>
      <c r="AD3496">
        <v>-1.123647238252</v>
      </c>
      <c r="AE3496">
        <v>-7.7871999999999799</v>
      </c>
      <c r="AF3496">
        <v>-4.3496290671361697</v>
      </c>
      <c r="AG3496">
        <v>-1.123647238252</v>
      </c>
      <c r="AH3496">
        <v>10.651419581947</v>
      </c>
      <c r="AI3496">
        <v>95.578011717794993</v>
      </c>
      <c r="AJ3496">
        <v>112.21321105978301</v>
      </c>
      <c r="AK3496">
        <v>11.560043046995601</v>
      </c>
    </row>
    <row r="3497" spans="1:37" x14ac:dyDescent="0.2">
      <c r="A3497" t="str">
        <f>"20200111154135245"</f>
        <v>20200111154135245</v>
      </c>
      <c r="B3497" t="str">
        <f>"1578728495239946"</f>
        <v>1578728495239946</v>
      </c>
      <c r="C3497" t="s">
        <v>37</v>
      </c>
      <c r="D3497">
        <v>5.1423730000000001</v>
      </c>
      <c r="E3497">
        <v>0.39899319999999999</v>
      </c>
      <c r="F3497" t="s">
        <v>38</v>
      </c>
      <c r="G3497">
        <v>-404.7697</v>
      </c>
      <c r="H3497">
        <v>1.0567530000000001</v>
      </c>
      <c r="I3497">
        <v>136.98650000000001</v>
      </c>
      <c r="J3497">
        <v>-404.63</v>
      </c>
      <c r="K3497">
        <v>1.123991</v>
      </c>
      <c r="L3497">
        <v>137.48490000000001</v>
      </c>
      <c r="M3497">
        <v>-0.93574889999999999</v>
      </c>
      <c r="N3497">
        <v>0</v>
      </c>
      <c r="O3497">
        <v>-0.35231009999999902</v>
      </c>
      <c r="P3497">
        <v>-0.81615909999999903</v>
      </c>
      <c r="Q3497">
        <v>5.3619590000000002E-2</v>
      </c>
      <c r="R3497">
        <v>-0.57533440000000002</v>
      </c>
      <c r="S3497">
        <v>-2.0352169999999998</v>
      </c>
      <c r="T3497">
        <v>-0.2407328</v>
      </c>
      <c r="U3497">
        <v>-2.3676759999999999</v>
      </c>
      <c r="V3497">
        <v>-0.25306590000000001</v>
      </c>
      <c r="W3497">
        <v>6.0341699999999901E-2</v>
      </c>
      <c r="X3497">
        <v>0.96556540000000002</v>
      </c>
      <c r="Y3497">
        <v>-0.47963990000000001</v>
      </c>
      <c r="Z3497">
        <v>8.719882E-3</v>
      </c>
      <c r="AA3497">
        <v>0.87742209999999998</v>
      </c>
      <c r="AB3497">
        <v>46</v>
      </c>
      <c r="AC3497">
        <v>-0.13970000000000399</v>
      </c>
      <c r="AD3497">
        <v>-6.7237999999999895E-2</v>
      </c>
      <c r="AE3497">
        <v>-0.49840000000000301</v>
      </c>
      <c r="AF3497">
        <v>-0.41028866936353098</v>
      </c>
      <c r="AG3497">
        <v>-6.7237999999999895E-2</v>
      </c>
      <c r="AH3497">
        <v>0.301270280161058</v>
      </c>
      <c r="AI3497">
        <v>97.524821143968495</v>
      </c>
      <c r="AJ3497">
        <v>143.71058749911501</v>
      </c>
      <c r="AK3497">
        <v>0.51344086568992497</v>
      </c>
    </row>
    <row r="3498" spans="1:37" x14ac:dyDescent="0.2">
      <c r="A3498" t="str">
        <f>"20200111154135268"</f>
        <v>20200111154135268</v>
      </c>
      <c r="B3498" t="str">
        <f>"1578728495259465"</f>
        <v>1578728495259465</v>
      </c>
      <c r="C3498" t="s">
        <v>37</v>
      </c>
      <c r="D3498">
        <v>5.1472670000000003</v>
      </c>
      <c r="E3498">
        <v>0.40107300000000001</v>
      </c>
      <c r="F3498" t="s">
        <v>38</v>
      </c>
      <c r="G3498">
        <v>-405.41550000000001</v>
      </c>
      <c r="H3498">
        <v>1.0299</v>
      </c>
      <c r="I3498">
        <v>136.55439999999999</v>
      </c>
      <c r="J3498">
        <v>-405.06830000000002</v>
      </c>
      <c r="K3498">
        <v>1.1243459999999901</v>
      </c>
      <c r="L3498">
        <v>137.3142</v>
      </c>
      <c r="M3498">
        <v>-0.93087659999999905</v>
      </c>
      <c r="N3498">
        <v>0</v>
      </c>
      <c r="O3498">
        <v>-0.36498700000000001</v>
      </c>
      <c r="P3498">
        <v>-0.80790779999999995</v>
      </c>
      <c r="Q3498">
        <v>5.4405670000000003E-2</v>
      </c>
      <c r="R3498">
        <v>-0.58679230000000004</v>
      </c>
      <c r="S3498">
        <v>-2.0119020000000001</v>
      </c>
      <c r="T3498">
        <v>-0.24099189999999901</v>
      </c>
      <c r="U3498">
        <v>-2.382736</v>
      </c>
      <c r="V3498">
        <v>-0.25367770000000001</v>
      </c>
      <c r="W3498">
        <v>6.0938560000000003E-2</v>
      </c>
      <c r="X3498">
        <v>0.96536730000000004</v>
      </c>
      <c r="Y3498">
        <v>-0.47549589999999903</v>
      </c>
      <c r="Z3498">
        <v>9.9938600000000002E-3</v>
      </c>
      <c r="AA3498">
        <v>0.87966109999999897</v>
      </c>
      <c r="AB3498">
        <v>46</v>
      </c>
      <c r="AC3498">
        <v>-0.34719999999998602</v>
      </c>
      <c r="AD3498">
        <v>-9.4445999999999794E-2</v>
      </c>
      <c r="AE3498">
        <v>-0.75980000000001202</v>
      </c>
      <c r="AF3498">
        <v>-0.57330196457469795</v>
      </c>
      <c r="AG3498">
        <v>-9.4445999999999794E-2</v>
      </c>
      <c r="AH3498">
        <v>0.59301345825747198</v>
      </c>
      <c r="AI3498">
        <v>96.532145183819694</v>
      </c>
      <c r="AJ3498">
        <v>134.03175602186101</v>
      </c>
      <c r="AK3498">
        <v>0.83021693019095599</v>
      </c>
    </row>
    <row r="3499" spans="1:37" x14ac:dyDescent="0.2">
      <c r="A3499" t="str">
        <f>"20200111154135289"</f>
        <v>20200111154135289</v>
      </c>
      <c r="B3499" t="str">
        <f>"1578728495279962"</f>
        <v>1578728495279962</v>
      </c>
      <c r="C3499" t="s">
        <v>37</v>
      </c>
      <c r="D3499">
        <v>5.2055009999999999</v>
      </c>
      <c r="E3499">
        <v>0.4027868</v>
      </c>
      <c r="F3499" t="s">
        <v>38</v>
      </c>
      <c r="G3499">
        <v>-405.80470000000003</v>
      </c>
      <c r="H3499">
        <v>1.03478</v>
      </c>
      <c r="I3499">
        <v>136.42619999999999</v>
      </c>
      <c r="J3499">
        <v>-405.47640000000001</v>
      </c>
      <c r="K3499">
        <v>1.124654</v>
      </c>
      <c r="L3499">
        <v>137.14940000000001</v>
      </c>
      <c r="M3499">
        <v>-0.92606369999999905</v>
      </c>
      <c r="N3499">
        <v>0</v>
      </c>
      <c r="O3499">
        <v>-0.3770289</v>
      </c>
      <c r="P3499">
        <v>-0.80007050000000002</v>
      </c>
      <c r="Q3499">
        <v>5.5273099999999999E-2</v>
      </c>
      <c r="R3499">
        <v>-0.59735439999999995</v>
      </c>
      <c r="S3499">
        <v>-1.9880679999999999</v>
      </c>
      <c r="T3499">
        <v>-0.2417957</v>
      </c>
      <c r="U3499">
        <v>-2.3977810000000002</v>
      </c>
      <c r="V3499">
        <v>-0.253941799999999</v>
      </c>
      <c r="W3499">
        <v>6.1652459999999999E-2</v>
      </c>
      <c r="X3499">
        <v>0.96525260000000002</v>
      </c>
      <c r="Y3499">
        <v>-0.47200419999999998</v>
      </c>
      <c r="Z3499">
        <v>1.121804E-2</v>
      </c>
      <c r="AA3499">
        <v>0.881525</v>
      </c>
      <c r="AB3499">
        <v>46</v>
      </c>
      <c r="AC3499">
        <v>-0.32830000000001203</v>
      </c>
      <c r="AD3499">
        <v>-8.9873999999999996E-2</v>
      </c>
      <c r="AE3499">
        <v>-0.72320000000001905</v>
      </c>
      <c r="AF3499">
        <v>-0.53911701219473396</v>
      </c>
      <c r="AG3499">
        <v>-8.9873999999999996E-2</v>
      </c>
      <c r="AH3499">
        <v>0.56947553093746595</v>
      </c>
      <c r="AI3499">
        <v>96.538019660225999</v>
      </c>
      <c r="AJ3499">
        <v>133.43136200684299</v>
      </c>
      <c r="AK3499">
        <v>0.78932051097781997</v>
      </c>
    </row>
    <row r="3500" spans="1:37" x14ac:dyDescent="0.2">
      <c r="A3500" t="str">
        <f>"20200111154135312"</f>
        <v>20200111154135312</v>
      </c>
      <c r="B3500" t="str">
        <f>"1578728495309241"</f>
        <v>1578728495309241</v>
      </c>
      <c r="C3500" t="s">
        <v>37</v>
      </c>
      <c r="D3500">
        <v>5.2094690000000003</v>
      </c>
      <c r="E3500">
        <v>0.4048062</v>
      </c>
      <c r="F3500" t="s">
        <v>38</v>
      </c>
      <c r="G3500">
        <v>-406.18340000000001</v>
      </c>
      <c r="H3500">
        <v>1.037609</v>
      </c>
      <c r="I3500">
        <v>136.28100000000001</v>
      </c>
      <c r="J3500">
        <v>-405.89510000000001</v>
      </c>
      <c r="K3500">
        <v>1.124954</v>
      </c>
      <c r="L3500">
        <v>136.97399999999999</v>
      </c>
      <c r="M3500">
        <v>-0.9208385</v>
      </c>
      <c r="N3500">
        <v>0</v>
      </c>
      <c r="O3500">
        <v>-0.38961420000000002</v>
      </c>
      <c r="P3500">
        <v>-0.79156949999999904</v>
      </c>
      <c r="Q3500">
        <v>5.7174309999999999E-2</v>
      </c>
      <c r="R3500">
        <v>-0.60839889999999996</v>
      </c>
      <c r="S3500">
        <v>-1.9649049999999999</v>
      </c>
      <c r="T3500">
        <v>-0.24189659999999999</v>
      </c>
      <c r="U3500">
        <v>-2.4127959999999899</v>
      </c>
      <c r="V3500">
        <v>-0.25435249999999998</v>
      </c>
      <c r="W3500">
        <v>6.3399510000000006E-2</v>
      </c>
      <c r="X3500">
        <v>0.96503119999999998</v>
      </c>
      <c r="Y3500">
        <v>-0.46779290000000001</v>
      </c>
      <c r="Z3500">
        <v>1.249335E-2</v>
      </c>
      <c r="AA3500">
        <v>0.88374979999999903</v>
      </c>
      <c r="AB3500">
        <v>46</v>
      </c>
      <c r="AC3500">
        <v>-0.28829999999999201</v>
      </c>
      <c r="AD3500">
        <v>-8.7345000000000006E-2</v>
      </c>
      <c r="AE3500">
        <v>-0.69299999999998296</v>
      </c>
      <c r="AF3500">
        <v>-0.51885654825585503</v>
      </c>
      <c r="AG3500">
        <v>-8.7345000000000006E-2</v>
      </c>
      <c r="AH3500">
        <v>0.528393712002727</v>
      </c>
      <c r="AI3500">
        <v>96.726751097322406</v>
      </c>
      <c r="AJ3500">
        <v>134.47822965874801</v>
      </c>
      <c r="AK3500">
        <v>0.74568168917910405</v>
      </c>
    </row>
    <row r="3501" spans="1:37" x14ac:dyDescent="0.2">
      <c r="A3501" t="str">
        <f>"20200111154135334"</f>
        <v>20200111154135334</v>
      </c>
      <c r="B3501" t="str">
        <f>"1578728495329400"</f>
        <v>1578728495329400</v>
      </c>
      <c r="C3501" t="s">
        <v>37</v>
      </c>
      <c r="D3501">
        <v>5.1858339999999998</v>
      </c>
      <c r="E3501">
        <v>0.405636</v>
      </c>
      <c r="F3501" t="s">
        <v>38</v>
      </c>
      <c r="G3501">
        <v>-406.5643</v>
      </c>
      <c r="H3501">
        <v>1.042861</v>
      </c>
      <c r="I3501">
        <v>136.13749999999999</v>
      </c>
      <c r="J3501">
        <v>-406.31549999999999</v>
      </c>
      <c r="K3501">
        <v>1.1252309999999901</v>
      </c>
      <c r="L3501">
        <v>136.79150000000001</v>
      </c>
      <c r="M3501">
        <v>-0.91529240000000001</v>
      </c>
      <c r="N3501">
        <v>0</v>
      </c>
      <c r="O3501">
        <v>-0.4024682</v>
      </c>
      <c r="P3501">
        <v>-0.78254069999999998</v>
      </c>
      <c r="Q3501">
        <v>5.8873880000000003E-2</v>
      </c>
      <c r="R3501">
        <v>-0.61980990000000002</v>
      </c>
      <c r="S3501">
        <v>-1.9413450000000001</v>
      </c>
      <c r="T3501">
        <v>-0.238171299999999</v>
      </c>
      <c r="U3501">
        <v>-2.427505</v>
      </c>
      <c r="V3501">
        <v>-0.25499309999999997</v>
      </c>
      <c r="W3501">
        <v>6.4940800000000007E-2</v>
      </c>
      <c r="X3501">
        <v>0.96475959999999905</v>
      </c>
      <c r="Y3501">
        <v>-0.46329749999999997</v>
      </c>
      <c r="Z3501">
        <v>1.3591999999999899E-2</v>
      </c>
      <c r="AA3501">
        <v>0.88609859999999896</v>
      </c>
      <c r="AB3501">
        <v>46</v>
      </c>
      <c r="AC3501">
        <v>-0.24880000000001601</v>
      </c>
      <c r="AD3501">
        <v>-8.2369999999999804E-2</v>
      </c>
      <c r="AE3501">
        <v>-0.65400000000002401</v>
      </c>
      <c r="AF3501">
        <v>-0.49171782524035401</v>
      </c>
      <c r="AG3501">
        <v>-8.2369999999999804E-2</v>
      </c>
      <c r="AH3501">
        <v>0.484291568480334</v>
      </c>
      <c r="AI3501">
        <v>96.805980505110696</v>
      </c>
      <c r="AJ3501">
        <v>135.435943508142</v>
      </c>
      <c r="AK3501">
        <v>0.69506083176959799</v>
      </c>
    </row>
    <row r="3502" spans="1:37" x14ac:dyDescent="0.2">
      <c r="A3502" t="str">
        <f>"20200111154135356"</f>
        <v>20200111154135356</v>
      </c>
      <c r="B3502" t="str">
        <f>"1578728495349898"</f>
        <v>1578728495349898</v>
      </c>
      <c r="C3502" t="s">
        <v>37</v>
      </c>
      <c r="D3502">
        <v>5.1711179999999999</v>
      </c>
      <c r="E3502">
        <v>0.40648139999999999</v>
      </c>
      <c r="F3502" t="s">
        <v>38</v>
      </c>
      <c r="G3502">
        <v>-406.94199999999898</v>
      </c>
      <c r="H3502">
        <v>1.0489899999999901</v>
      </c>
      <c r="I3502">
        <v>135.988</v>
      </c>
      <c r="J3502">
        <v>-406.7337</v>
      </c>
      <c r="K3502">
        <v>1.1254959999999901</v>
      </c>
      <c r="L3502">
        <v>136.60319999999999</v>
      </c>
      <c r="M3502">
        <v>-0.90946729999999998</v>
      </c>
      <c r="N3502">
        <v>0</v>
      </c>
      <c r="O3502">
        <v>-0.41546179999999899</v>
      </c>
      <c r="P3502">
        <v>-0.77321139999999999</v>
      </c>
      <c r="Q3502">
        <v>5.9052979999999998E-2</v>
      </c>
      <c r="R3502">
        <v>-0.63139279999999998</v>
      </c>
      <c r="S3502">
        <v>-1.9105220000000001</v>
      </c>
      <c r="T3502">
        <v>-0.2324927</v>
      </c>
      <c r="U3502">
        <v>-2.4501040000000001</v>
      </c>
      <c r="V3502">
        <v>-0.25567839999999997</v>
      </c>
      <c r="W3502">
        <v>6.4967449999999996E-2</v>
      </c>
      <c r="X3502">
        <v>0.96457649999999995</v>
      </c>
      <c r="Y3502">
        <v>-0.46161009999999902</v>
      </c>
      <c r="Z3502">
        <v>1.4420850000000001E-2</v>
      </c>
      <c r="AA3502">
        <v>0.88696569999999997</v>
      </c>
      <c r="AB3502">
        <v>46</v>
      </c>
      <c r="AC3502">
        <v>-0.208299999999951</v>
      </c>
      <c r="AD3502">
        <v>-7.6505999999999894E-2</v>
      </c>
      <c r="AE3502">
        <v>-0.61519999999998698</v>
      </c>
      <c r="AF3502">
        <v>-0.46655200244612699</v>
      </c>
      <c r="AG3502">
        <v>-7.6505999999999894E-2</v>
      </c>
      <c r="AH3502">
        <v>0.43900116752888202</v>
      </c>
      <c r="AI3502">
        <v>96.810299739534898</v>
      </c>
      <c r="AJ3502">
        <v>136.74264729089401</v>
      </c>
      <c r="AK3502">
        <v>0.64517126727266205</v>
      </c>
    </row>
    <row r="3503" spans="1:37" x14ac:dyDescent="0.2">
      <c r="A3503" t="str">
        <f>"20200111154135379"</f>
        <v>20200111154135379</v>
      </c>
      <c r="B3503" t="str">
        <f>"1578728495369415"</f>
        <v>1578728495369415</v>
      </c>
      <c r="C3503" t="s">
        <v>37</v>
      </c>
      <c r="D3503">
        <v>5.2592489999999996</v>
      </c>
      <c r="E3503">
        <v>0.42175639999999998</v>
      </c>
      <c r="F3503" t="s">
        <v>38</v>
      </c>
      <c r="G3503">
        <v>-407.3177</v>
      </c>
      <c r="H3503">
        <v>1.053364</v>
      </c>
      <c r="I3503">
        <v>135.834</v>
      </c>
      <c r="J3503">
        <v>-407.14640000000003</v>
      </c>
      <c r="K3503">
        <v>1.1257489999999899</v>
      </c>
      <c r="L3503">
        <v>136.41059999999999</v>
      </c>
      <c r="M3503">
        <v>-0.90341109999999902</v>
      </c>
      <c r="N3503">
        <v>0</v>
      </c>
      <c r="O3503">
        <v>-0.428469499999999</v>
      </c>
      <c r="P3503">
        <v>-0.76377240000000002</v>
      </c>
      <c r="Q3503">
        <v>5.9394370000000002E-2</v>
      </c>
      <c r="R3503">
        <v>-0.64274730000000002</v>
      </c>
      <c r="S3503">
        <v>-1.8778379999999999</v>
      </c>
      <c r="T3503">
        <v>-0.23194479999999901</v>
      </c>
      <c r="U3503">
        <v>-2.473465</v>
      </c>
      <c r="V3503">
        <v>-0.25615599999999999</v>
      </c>
      <c r="W3503">
        <v>6.5173469999999997E-2</v>
      </c>
      <c r="X3503">
        <v>0.96443590000000001</v>
      </c>
      <c r="Y3503">
        <v>-0.46037669999999897</v>
      </c>
      <c r="Z3503">
        <v>1.552339E-2</v>
      </c>
      <c r="AA3503">
        <v>0.88758789999999999</v>
      </c>
      <c r="AB3503">
        <v>46</v>
      </c>
      <c r="AC3503">
        <v>-0.171299999999973</v>
      </c>
      <c r="AD3503">
        <v>-7.2384999999999894E-2</v>
      </c>
      <c r="AE3503">
        <v>-0.57659999999998401</v>
      </c>
      <c r="AF3503">
        <v>-0.44117974396947701</v>
      </c>
      <c r="AG3503">
        <v>-7.2384999999999894E-2</v>
      </c>
      <c r="AH3503">
        <v>0.396126017923219</v>
      </c>
      <c r="AI3503">
        <v>96.960341727193594</v>
      </c>
      <c r="AJ3503">
        <v>138.079999557973</v>
      </c>
      <c r="AK3503">
        <v>0.59732317616988595</v>
      </c>
    </row>
    <row r="3504" spans="1:37" x14ac:dyDescent="0.2">
      <c r="A3504" t="str">
        <f>"20200111154135401"</f>
        <v>20200111154135401</v>
      </c>
      <c r="B3504" t="str">
        <f>"1578728495389912"</f>
        <v>1578728495389912</v>
      </c>
      <c r="C3504" t="s">
        <v>37</v>
      </c>
      <c r="D3504">
        <v>5.257816</v>
      </c>
      <c r="E3504">
        <v>0.4219463</v>
      </c>
      <c r="F3504" t="s">
        <v>46</v>
      </c>
      <c r="G3504">
        <v>-415.91890000000001</v>
      </c>
      <c r="H3504" s="1">
        <v>-4.0176630000000001E-6</v>
      </c>
      <c r="I3504">
        <v>125.4147</v>
      </c>
      <c r="J3504">
        <v>-407.54989999999998</v>
      </c>
      <c r="K3504">
        <v>1.12599</v>
      </c>
      <c r="L3504">
        <v>136.21559999999999</v>
      </c>
      <c r="M3504">
        <v>-0.89718229999999999</v>
      </c>
      <c r="N3504">
        <v>0</v>
      </c>
      <c r="O3504">
        <v>-0.44136140000000001</v>
      </c>
      <c r="P3504">
        <v>-0.75443209999999905</v>
      </c>
      <c r="Q3504">
        <v>6.1065050000000003E-2</v>
      </c>
      <c r="R3504">
        <v>-0.65353159999999999</v>
      </c>
      <c r="S3504">
        <v>-1.920868</v>
      </c>
      <c r="T3504">
        <v>-0.2464992</v>
      </c>
      <c r="U3504">
        <v>-2.4077000000000002</v>
      </c>
      <c r="V3504">
        <v>-0.25621050000000001</v>
      </c>
      <c r="W3504">
        <v>6.6736480000000001E-2</v>
      </c>
      <c r="X3504">
        <v>0.96431449999999996</v>
      </c>
      <c r="Y3504">
        <v>-0.42610299999999901</v>
      </c>
      <c r="Z3504">
        <v>1.922594E-2</v>
      </c>
      <c r="AA3504">
        <v>0.90447040000000001</v>
      </c>
      <c r="AB3504">
        <v>46</v>
      </c>
      <c r="AC3504">
        <v>-8.3690000000000193</v>
      </c>
      <c r="AD3504">
        <v>-1.1259940176629999</v>
      </c>
      <c r="AE3504">
        <v>-10.8009</v>
      </c>
      <c r="AF3504">
        <v>-5.9569613013183798</v>
      </c>
      <c r="AG3504">
        <v>-1.1259940176629999</v>
      </c>
      <c r="AH3504">
        <v>12.1944285134061</v>
      </c>
      <c r="AI3504">
        <v>94.742777889635207</v>
      </c>
      <c r="AJ3504">
        <v>116.03544453033</v>
      </c>
      <c r="AK3504">
        <v>13.6182721826886</v>
      </c>
    </row>
    <row r="3505" spans="1:37" x14ac:dyDescent="0.2">
      <c r="A3505" t="str">
        <f>"20200111154135424"</f>
        <v>20200111154135424</v>
      </c>
      <c r="B3505" t="str">
        <f>"1578728495420168"</f>
        <v>1578728495420168</v>
      </c>
      <c r="C3505" t="s">
        <v>37</v>
      </c>
      <c r="D3505">
        <v>5.2148370000000002</v>
      </c>
      <c r="E3505">
        <v>0.42324629999999902</v>
      </c>
      <c r="F3505" t="s">
        <v>46</v>
      </c>
      <c r="G3505">
        <v>-416.02910000000003</v>
      </c>
      <c r="H3505" s="1">
        <v>-3.9571260000000001E-6</v>
      </c>
      <c r="I3505">
        <v>125.28449999999999</v>
      </c>
      <c r="J3505">
        <v>-407.95030000000003</v>
      </c>
      <c r="K3505">
        <v>1.12622</v>
      </c>
      <c r="L3505">
        <v>136.01509999999999</v>
      </c>
      <c r="M3505">
        <v>-0.89069419999999899</v>
      </c>
      <c r="N3505">
        <v>0</v>
      </c>
      <c r="O3505">
        <v>-0.45431109999999902</v>
      </c>
      <c r="P3505">
        <v>-0.74513169999999995</v>
      </c>
      <c r="Q3505">
        <v>6.229606E-2</v>
      </c>
      <c r="R3505">
        <v>-0.66400179999999998</v>
      </c>
      <c r="S3505">
        <v>-1.8881840000000001</v>
      </c>
      <c r="T3505">
        <v>-0.25074339999999901</v>
      </c>
      <c r="U3505">
        <v>-2.4341889999999999</v>
      </c>
      <c r="V3505">
        <v>-0.25584059999999997</v>
      </c>
      <c r="W3505">
        <v>6.7887320000000001E-2</v>
      </c>
      <c r="X3505">
        <v>0.96433230000000003</v>
      </c>
      <c r="Y3505">
        <v>-0.42538320000000002</v>
      </c>
      <c r="Z3505">
        <v>2.0751579999999999E-2</v>
      </c>
      <c r="AA3505">
        <v>0.90477540000000001</v>
      </c>
      <c r="AB3505">
        <v>46</v>
      </c>
      <c r="AC3505">
        <v>-8.0787999999999993</v>
      </c>
      <c r="AD3505">
        <v>-1.126223957126</v>
      </c>
      <c r="AE3505">
        <v>-10.7305999999999</v>
      </c>
      <c r="AF3505">
        <v>-5.8470682530046796</v>
      </c>
      <c r="AG3505">
        <v>-1.126223957126</v>
      </c>
      <c r="AH3505">
        <v>11.9880908011442</v>
      </c>
      <c r="AI3505">
        <v>94.826445295486394</v>
      </c>
      <c r="AJ3505">
        <v>116.000330860723</v>
      </c>
      <c r="AK3505">
        <v>13.385473791143101</v>
      </c>
    </row>
    <row r="3506" spans="1:37" x14ac:dyDescent="0.2">
      <c r="A3506" t="str">
        <f>"20200111154135446"</f>
        <v>20200111154135446</v>
      </c>
      <c r="B3506" t="str">
        <f>"1578728495439687"</f>
        <v>1578728495439687</v>
      </c>
      <c r="C3506" t="s">
        <v>37</v>
      </c>
      <c r="D3506">
        <v>5.1840070000000003</v>
      </c>
      <c r="E3506">
        <v>0.4239907</v>
      </c>
      <c r="F3506" t="s">
        <v>38</v>
      </c>
      <c r="G3506">
        <v>-408.68830000000003</v>
      </c>
      <c r="H3506">
        <v>1.027576</v>
      </c>
      <c r="I3506">
        <v>135.0427</v>
      </c>
      <c r="J3506">
        <v>-408.35829999999999</v>
      </c>
      <c r="K3506">
        <v>1.126441</v>
      </c>
      <c r="L3506">
        <v>135.803</v>
      </c>
      <c r="M3506">
        <v>-0.8837507</v>
      </c>
      <c r="N3506">
        <v>0</v>
      </c>
      <c r="O3506">
        <v>-0.4676728</v>
      </c>
      <c r="P3506">
        <v>-0.73515769999999903</v>
      </c>
      <c r="Q3506">
        <v>6.2761230000000001E-2</v>
      </c>
      <c r="R3506">
        <v>-0.67498459999999905</v>
      </c>
      <c r="S3506">
        <v>-1.8607479999999901</v>
      </c>
      <c r="T3506">
        <v>-0.24875810000000001</v>
      </c>
      <c r="U3506">
        <v>-2.4532929999999999</v>
      </c>
      <c r="V3506">
        <v>-0.25570199999999998</v>
      </c>
      <c r="W3506">
        <v>6.8266969999999996E-2</v>
      </c>
      <c r="X3506">
        <v>0.96434229999999999</v>
      </c>
      <c r="Y3506">
        <v>-0.42160349999999902</v>
      </c>
      <c r="Z3506">
        <v>2.1956139999999999E-2</v>
      </c>
      <c r="AA3506">
        <v>0.90651440000000005</v>
      </c>
      <c r="AB3506">
        <v>46</v>
      </c>
      <c r="AC3506">
        <v>-0.33000000000003998</v>
      </c>
      <c r="AD3506">
        <v>-9.8864999999999897E-2</v>
      </c>
      <c r="AE3506">
        <v>-0.76029999999999998</v>
      </c>
      <c r="AF3506">
        <v>-0.51039066212214901</v>
      </c>
      <c r="AG3506">
        <v>-9.8864999999999897E-2</v>
      </c>
      <c r="AH3506">
        <v>0.63821495313161503</v>
      </c>
      <c r="AI3506">
        <v>96.898124013467594</v>
      </c>
      <c r="AJ3506">
        <v>128.64988233542601</v>
      </c>
      <c r="AK3506">
        <v>0.82315930572840901</v>
      </c>
    </row>
    <row r="3507" spans="1:37" x14ac:dyDescent="0.2">
      <c r="A3507" t="str">
        <f>"20200111154135467"</f>
        <v>20200111154135467</v>
      </c>
      <c r="B3507" t="str">
        <f>"1578728495460187"</f>
        <v>1578728495460187</v>
      </c>
      <c r="C3507" t="s">
        <v>37</v>
      </c>
      <c r="D3507">
        <v>5.22506</v>
      </c>
      <c r="E3507">
        <v>0.4245428</v>
      </c>
      <c r="F3507" t="s">
        <v>38</v>
      </c>
      <c r="G3507">
        <v>-409.04950000000002</v>
      </c>
      <c r="H3507">
        <v>1.031728</v>
      </c>
      <c r="I3507">
        <v>134.8665</v>
      </c>
      <c r="J3507">
        <v>-408.7484</v>
      </c>
      <c r="K3507">
        <v>1.1266370000000001</v>
      </c>
      <c r="L3507">
        <v>135.5933</v>
      </c>
      <c r="M3507">
        <v>-0.87680550000000002</v>
      </c>
      <c r="N3507">
        <v>0</v>
      </c>
      <c r="O3507">
        <v>-0.4805661</v>
      </c>
      <c r="P3507">
        <v>-0.72472879999999995</v>
      </c>
      <c r="Q3507">
        <v>6.3436030000000004E-2</v>
      </c>
      <c r="R3507">
        <v>-0.68610819999999995</v>
      </c>
      <c r="S3507">
        <v>-1.8280029999999901</v>
      </c>
      <c r="T3507">
        <v>-0.25050149999999999</v>
      </c>
      <c r="U3507">
        <v>-2.4768219999999999</v>
      </c>
      <c r="V3507">
        <v>-0.25636239999999999</v>
      </c>
      <c r="W3507">
        <v>6.8832589999999999E-2</v>
      </c>
      <c r="X3507">
        <v>0.96412679999999995</v>
      </c>
      <c r="Y3507">
        <v>-0.42022789999999999</v>
      </c>
      <c r="Z3507">
        <v>2.3342959999999999E-2</v>
      </c>
      <c r="AA3507">
        <v>0.90711830000000004</v>
      </c>
      <c r="AB3507">
        <v>46</v>
      </c>
      <c r="AC3507">
        <v>-0.30110000000001902</v>
      </c>
      <c r="AD3507">
        <v>-9.4909000000000104E-2</v>
      </c>
      <c r="AE3507">
        <v>-0.726799999999997</v>
      </c>
      <c r="AF3507">
        <v>-0.485562803316342</v>
      </c>
      <c r="AG3507">
        <v>-9.4909000000000104E-2</v>
      </c>
      <c r="AH3507">
        <v>0.604564791938906</v>
      </c>
      <c r="AI3507">
        <v>96.978153721971793</v>
      </c>
      <c r="AJ3507">
        <v>128.770068787263</v>
      </c>
      <c r="AK3507">
        <v>0.78120262537804996</v>
      </c>
    </row>
    <row r="3508" spans="1:37" x14ac:dyDescent="0.2">
      <c r="A3508" t="str">
        <f>"20200111154135490"</f>
        <v>20200111154135490</v>
      </c>
      <c r="B3508" t="str">
        <f>"1578728495479704"</f>
        <v>1578728495479704</v>
      </c>
      <c r="C3508" t="s">
        <v>37</v>
      </c>
      <c r="D3508">
        <v>5.0452760000000003</v>
      </c>
      <c r="E3508">
        <v>0.42416619999999999</v>
      </c>
      <c r="F3508" t="s">
        <v>38</v>
      </c>
      <c r="G3508">
        <v>-409.40320000000003</v>
      </c>
      <c r="H3508">
        <v>1.0351489999999901</v>
      </c>
      <c r="I3508">
        <v>134.68010000000001</v>
      </c>
      <c r="J3508">
        <v>-409.14210000000003</v>
      </c>
      <c r="K3508">
        <v>1.126817</v>
      </c>
      <c r="L3508">
        <v>135.37440000000001</v>
      </c>
      <c r="M3508">
        <v>-0.86947890000000005</v>
      </c>
      <c r="N3508">
        <v>0</v>
      </c>
      <c r="O3508">
        <v>-0.4936972</v>
      </c>
      <c r="P3508">
        <v>-0.71339469999999905</v>
      </c>
      <c r="Q3508">
        <v>6.4791029999999999E-2</v>
      </c>
      <c r="R3508">
        <v>-0.69776119999999997</v>
      </c>
      <c r="S3508">
        <v>-1.793304</v>
      </c>
      <c r="T3508">
        <v>-0.25053429999999999</v>
      </c>
      <c r="U3508">
        <v>-2.501404</v>
      </c>
      <c r="V3508">
        <v>-0.25763429999999998</v>
      </c>
      <c r="W3508">
        <v>7.0055099999999995E-2</v>
      </c>
      <c r="X3508">
        <v>0.96369959999999899</v>
      </c>
      <c r="Y3508">
        <v>-0.41914659999999898</v>
      </c>
      <c r="Z3508">
        <v>2.4591479999999999E-2</v>
      </c>
      <c r="AA3508">
        <v>0.90758539999999999</v>
      </c>
      <c r="AB3508">
        <v>46</v>
      </c>
      <c r="AC3508">
        <v>-0.261099999999999</v>
      </c>
      <c r="AD3508">
        <v>-9.1667999999999999E-2</v>
      </c>
      <c r="AE3508">
        <v>-0.69429999999999803</v>
      </c>
      <c r="AF3508">
        <v>-0.46769621858980098</v>
      </c>
      <c r="AG3508">
        <v>-9.1667999999999999E-2</v>
      </c>
      <c r="AH3508">
        <v>0.56129956523171498</v>
      </c>
      <c r="AI3508">
        <v>97.151363512299596</v>
      </c>
      <c r="AJ3508">
        <v>129.80235285904701</v>
      </c>
      <c r="AK3508">
        <v>0.73634229610725999</v>
      </c>
    </row>
    <row r="3509" spans="1:37" x14ac:dyDescent="0.2">
      <c r="A3509" t="str">
        <f>"20200111154135512"</f>
        <v>20200111154135512</v>
      </c>
      <c r="B3509" t="str">
        <f>"1578728495509959"</f>
        <v>1578728495509959</v>
      </c>
      <c r="C3509" t="s">
        <v>37</v>
      </c>
      <c r="D3509">
        <v>5.0148630000000001</v>
      </c>
      <c r="E3509">
        <v>0.37964619999999999</v>
      </c>
      <c r="F3509" t="s">
        <v>38</v>
      </c>
      <c r="G3509">
        <v>-409.75389999999999</v>
      </c>
      <c r="H3509">
        <v>1.04077999999999</v>
      </c>
      <c r="I3509">
        <v>134.48920000000001</v>
      </c>
      <c r="J3509">
        <v>-409.52949999999998</v>
      </c>
      <c r="K3509">
        <v>1.1269849999999999</v>
      </c>
      <c r="L3509">
        <v>135.1516</v>
      </c>
      <c r="M3509">
        <v>-0.86195489999999997</v>
      </c>
      <c r="N3509">
        <v>0</v>
      </c>
      <c r="O3509">
        <v>-0.50671759999999999</v>
      </c>
      <c r="P3509">
        <v>-0.70196590000000003</v>
      </c>
      <c r="Q3509">
        <v>6.5556420000000004E-2</v>
      </c>
      <c r="R3509">
        <v>-0.70918700000000001</v>
      </c>
      <c r="S3509">
        <v>-1.7503660000000001</v>
      </c>
      <c r="T3509">
        <v>-0.24615010000000001</v>
      </c>
      <c r="U3509">
        <v>-2.5327299999999999</v>
      </c>
      <c r="V3509">
        <v>-0.25879789999999903</v>
      </c>
      <c r="W3509">
        <v>7.0698200000000003E-2</v>
      </c>
      <c r="X3509">
        <v>0.9633408</v>
      </c>
      <c r="Y3509">
        <v>-0.42118080000000002</v>
      </c>
      <c r="Z3509">
        <v>2.524535E-2</v>
      </c>
      <c r="AA3509">
        <v>0.90662529999999997</v>
      </c>
      <c r="AB3509">
        <v>46</v>
      </c>
      <c r="AC3509">
        <v>-0.22440000000000199</v>
      </c>
      <c r="AD3509">
        <v>-8.6205000000000295E-2</v>
      </c>
      <c r="AE3509">
        <v>-0.662399999999991</v>
      </c>
      <c r="AF3509">
        <v>-0.45046952237360899</v>
      </c>
      <c r="AG3509">
        <v>-8.6205000000000295E-2</v>
      </c>
      <c r="AH3509">
        <v>0.52122519284360802</v>
      </c>
      <c r="AI3509">
        <v>97.132477432742306</v>
      </c>
      <c r="AJ3509">
        <v>130.83525690988401</v>
      </c>
      <c r="AK3509">
        <v>0.69428365548049897</v>
      </c>
    </row>
    <row r="3510" spans="1:37" x14ac:dyDescent="0.2">
      <c r="A3510" t="str">
        <f>"20200111154135535"</f>
        <v>20200111154135535</v>
      </c>
      <c r="B3510" t="str">
        <f>"1578728495529479"</f>
        <v>1578728495529479</v>
      </c>
      <c r="C3510" t="s">
        <v>37</v>
      </c>
      <c r="D3510">
        <v>4.980226</v>
      </c>
      <c r="E3510">
        <v>0.3830498</v>
      </c>
      <c r="F3510" t="s">
        <v>38</v>
      </c>
      <c r="G3510">
        <v>-410.01940000000002</v>
      </c>
      <c r="H3510">
        <v>1.0593870000000001</v>
      </c>
      <c r="I3510">
        <v>134.20480000000001</v>
      </c>
      <c r="J3510">
        <v>-409.91950000000003</v>
      </c>
      <c r="K3510">
        <v>1.1271359999999999</v>
      </c>
      <c r="L3510">
        <v>134.91980000000001</v>
      </c>
      <c r="M3510">
        <v>-0.85405499999999901</v>
      </c>
      <c r="N3510">
        <v>0</v>
      </c>
      <c r="O3510">
        <v>-0.51992090000000002</v>
      </c>
      <c r="P3510">
        <v>-0.69110490000000002</v>
      </c>
      <c r="Q3510">
        <v>6.6265519999999994E-2</v>
      </c>
      <c r="R3510">
        <v>-0.71971049999999903</v>
      </c>
      <c r="S3510">
        <v>-1.4534</v>
      </c>
      <c r="T3510">
        <v>-0.2005615</v>
      </c>
      <c r="U3510">
        <v>-2.810165</v>
      </c>
      <c r="V3510">
        <v>-0.2586214</v>
      </c>
      <c r="W3510">
        <v>7.134981E-2</v>
      </c>
      <c r="X3510">
        <v>0.96334010000000003</v>
      </c>
      <c r="Y3510">
        <v>-0.5197444</v>
      </c>
      <c r="Z3510">
        <v>1.7764700000000001E-2</v>
      </c>
      <c r="AA3510">
        <v>0.85413709999999898</v>
      </c>
      <c r="AB3510">
        <v>46</v>
      </c>
      <c r="AC3510">
        <v>-9.9899999999990996E-2</v>
      </c>
      <c r="AD3510">
        <v>-6.7749000000000004E-2</v>
      </c>
      <c r="AE3510">
        <v>-0.71500000000000297</v>
      </c>
      <c r="AF3510">
        <v>-0.55390739849116999</v>
      </c>
      <c r="AG3510">
        <v>-6.7749000000000004E-2</v>
      </c>
      <c r="AH3510">
        <v>0.45313530366657301</v>
      </c>
      <c r="AI3510">
        <v>95.407999642201304</v>
      </c>
      <c r="AJ3510">
        <v>140.714413792058</v>
      </c>
      <c r="AK3510">
        <v>0.71884277594843604</v>
      </c>
    </row>
    <row r="3511" spans="1:37" x14ac:dyDescent="0.2">
      <c r="A3511" t="str">
        <f>"20200111154135557"</f>
        <v>20200111154135557</v>
      </c>
      <c r="B3511" t="str">
        <f>"1578728495549978"</f>
        <v>1578728495549978</v>
      </c>
      <c r="C3511" t="s">
        <v>37</v>
      </c>
      <c r="D3511">
        <v>4.9961399999999996</v>
      </c>
      <c r="E3511">
        <v>0.38583329999999999</v>
      </c>
      <c r="F3511" t="s">
        <v>38</v>
      </c>
      <c r="G3511">
        <v>-410.37650000000002</v>
      </c>
      <c r="H3511">
        <v>1.062459</v>
      </c>
      <c r="I3511">
        <v>134.02029999999999</v>
      </c>
      <c r="J3511">
        <v>-410.30130000000003</v>
      </c>
      <c r="K3511">
        <v>1.127262</v>
      </c>
      <c r="L3511">
        <v>134.68520000000001</v>
      </c>
      <c r="M3511">
        <v>-0.84599780000000002</v>
      </c>
      <c r="N3511">
        <v>0</v>
      </c>
      <c r="O3511">
        <v>-0.53293000000000001</v>
      </c>
      <c r="P3511">
        <v>-0.68078549999999904</v>
      </c>
      <c r="Q3511">
        <v>6.6159609999999994E-2</v>
      </c>
      <c r="R3511">
        <v>-0.72948880000000005</v>
      </c>
      <c r="S3511">
        <v>-1.430237</v>
      </c>
      <c r="T3511">
        <v>-0.20239509999999999</v>
      </c>
      <c r="U3511">
        <v>-2.813599</v>
      </c>
      <c r="V3511">
        <v>-0.25762750000000001</v>
      </c>
      <c r="W3511">
        <v>7.12309E-2</v>
      </c>
      <c r="X3511">
        <v>0.96361520000000001</v>
      </c>
      <c r="Y3511">
        <v>-0.51267339999999995</v>
      </c>
      <c r="Z3511">
        <v>1.9187760000000002E-2</v>
      </c>
      <c r="AA3511">
        <v>0.85836919999999906</v>
      </c>
      <c r="AB3511">
        <v>45</v>
      </c>
      <c r="AC3511">
        <v>-7.5199999999995201E-2</v>
      </c>
      <c r="AD3511">
        <v>-6.4802999999999902E-2</v>
      </c>
      <c r="AE3511">
        <v>-0.66490000000001703</v>
      </c>
      <c r="AF3511">
        <v>-0.51764402144186605</v>
      </c>
      <c r="AG3511">
        <v>-6.4802999999999902E-2</v>
      </c>
      <c r="AH3511">
        <v>0.41413712528313001</v>
      </c>
      <c r="AI3511">
        <v>95.583133412687403</v>
      </c>
      <c r="AJ3511">
        <v>141.33871316900601</v>
      </c>
      <c r="AK3511">
        <v>0.66608131656824199</v>
      </c>
    </row>
    <row r="3512" spans="1:37" x14ac:dyDescent="0.2">
      <c r="A3512" t="str">
        <f>"20200111154135579"</f>
        <v>20200111154135579</v>
      </c>
      <c r="B3512" t="str">
        <f>"1578728495569496"</f>
        <v>1578728495569496</v>
      </c>
      <c r="C3512" t="s">
        <v>37</v>
      </c>
      <c r="D3512">
        <v>5.0057219999999996</v>
      </c>
      <c r="E3512">
        <v>0.38683070000000003</v>
      </c>
      <c r="F3512" t="s">
        <v>38</v>
      </c>
      <c r="G3512">
        <v>-410.72859999999997</v>
      </c>
      <c r="H3512">
        <v>1.0642339999999999</v>
      </c>
      <c r="I3512">
        <v>133.82859999999999</v>
      </c>
      <c r="J3512">
        <v>-410.66829999999999</v>
      </c>
      <c r="K3512">
        <v>1.127364</v>
      </c>
      <c r="L3512">
        <v>134.45230000000001</v>
      </c>
      <c r="M3512">
        <v>-0.83794089999999999</v>
      </c>
      <c r="N3512">
        <v>0</v>
      </c>
      <c r="O3512">
        <v>-0.54550959999999904</v>
      </c>
      <c r="P3512">
        <v>-0.67117559999999998</v>
      </c>
      <c r="Q3512">
        <v>6.5523609999999996E-2</v>
      </c>
      <c r="R3512">
        <v>-0.73839719999999998</v>
      </c>
      <c r="S3512">
        <v>-1.4060059999999901</v>
      </c>
      <c r="T3512">
        <v>-0.2073952</v>
      </c>
      <c r="U3512">
        <v>-2.8191069999999998</v>
      </c>
      <c r="V3512">
        <v>-0.25589259999999903</v>
      </c>
      <c r="W3512">
        <v>7.0624469999999995E-2</v>
      </c>
      <c r="X3512">
        <v>0.96412199999999904</v>
      </c>
      <c r="Y3512">
        <v>-0.50642259999999995</v>
      </c>
      <c r="Z3512">
        <v>2.0885669999999999E-2</v>
      </c>
      <c r="AA3512">
        <v>0.86203240000000003</v>
      </c>
      <c r="AB3512">
        <v>45</v>
      </c>
      <c r="AC3512">
        <v>-6.0299999999983797E-2</v>
      </c>
      <c r="AD3512">
        <v>-6.3129999999999895E-2</v>
      </c>
      <c r="AE3512">
        <v>-0.62370000000001302</v>
      </c>
      <c r="AF3512">
        <v>-0.48487506234190902</v>
      </c>
      <c r="AG3512">
        <v>-6.3129999999999895E-2</v>
      </c>
      <c r="AH3512">
        <v>0.38688874028272302</v>
      </c>
      <c r="AI3512">
        <v>95.811064282399599</v>
      </c>
      <c r="AJ3512">
        <v>141.41313328321101</v>
      </c>
      <c r="AK3512">
        <v>0.62351593431011998</v>
      </c>
    </row>
    <row r="3513" spans="1:37" x14ac:dyDescent="0.2">
      <c r="A3513" t="str">
        <f>"20200111154135601"</f>
        <v>20200111154135601</v>
      </c>
      <c r="B3513" t="str">
        <f>"1578728495599751"</f>
        <v>1578728495599751</v>
      </c>
      <c r="C3513" t="s">
        <v>37</v>
      </c>
      <c r="D3513">
        <v>5.0239519999999898</v>
      </c>
      <c r="E3513">
        <v>0.38811669999999998</v>
      </c>
      <c r="F3513" t="s">
        <v>38</v>
      </c>
      <c r="G3513">
        <v>-411.07</v>
      </c>
      <c r="H3513">
        <v>1.0667799999999901</v>
      </c>
      <c r="I3513">
        <v>133.62450000000001</v>
      </c>
      <c r="J3513">
        <v>-411.03859999999997</v>
      </c>
      <c r="K3513">
        <v>1.127464</v>
      </c>
      <c r="L3513">
        <v>134.20959999999999</v>
      </c>
      <c r="M3513">
        <v>-0.82949119999999998</v>
      </c>
      <c r="N3513">
        <v>0</v>
      </c>
      <c r="O3513">
        <v>-0.55827299999999902</v>
      </c>
      <c r="P3513">
        <v>-0.66077089999999905</v>
      </c>
      <c r="Q3513">
        <v>6.5014440000000007E-2</v>
      </c>
      <c r="R3513">
        <v>-0.74776659999999995</v>
      </c>
      <c r="S3513">
        <v>-1.37439</v>
      </c>
      <c r="T3513">
        <v>-0.207258</v>
      </c>
      <c r="U3513">
        <v>-2.8319700000000001</v>
      </c>
      <c r="V3513">
        <v>-0.2546697</v>
      </c>
      <c r="W3513">
        <v>7.0125489999999999E-2</v>
      </c>
      <c r="X3513">
        <v>0.96448210000000001</v>
      </c>
      <c r="Y3513">
        <v>-0.50256060000000002</v>
      </c>
      <c r="Z3513">
        <v>2.2008730000000001E-2</v>
      </c>
      <c r="AA3513">
        <v>0.86426179999999997</v>
      </c>
      <c r="AB3513">
        <v>45</v>
      </c>
      <c r="AC3513">
        <v>-3.14000000000191E-2</v>
      </c>
      <c r="AD3513">
        <v>-6.0684000000000099E-2</v>
      </c>
      <c r="AE3513">
        <v>-0.58509999999998197</v>
      </c>
      <c r="AF3513">
        <v>-0.46290487347299503</v>
      </c>
      <c r="AG3513">
        <v>-6.0684000000000099E-2</v>
      </c>
      <c r="AH3513">
        <v>0.34899681599070398</v>
      </c>
      <c r="AI3513">
        <v>95.975812089775701</v>
      </c>
      <c r="AJ3513">
        <v>142.986346928297</v>
      </c>
      <c r="AK3513">
        <v>0.58289128258423895</v>
      </c>
    </row>
    <row r="3514" spans="1:37" x14ac:dyDescent="0.2">
      <c r="A3514" t="str">
        <f>"20200111154135625"</f>
        <v>20200111154135625</v>
      </c>
      <c r="B3514" t="str">
        <f>"1578728495619812"</f>
        <v>1578728495619812</v>
      </c>
      <c r="C3514" t="s">
        <v>37</v>
      </c>
      <c r="D3514">
        <v>4.9928559999999997</v>
      </c>
      <c r="E3514">
        <v>0.38940200000000003</v>
      </c>
      <c r="F3514" t="s">
        <v>38</v>
      </c>
      <c r="G3514">
        <v>-411.41180000000003</v>
      </c>
      <c r="H3514">
        <v>1.0691079999999999</v>
      </c>
      <c r="I3514">
        <v>133.41909999999999</v>
      </c>
      <c r="J3514">
        <v>-411.41849999999999</v>
      </c>
      <c r="K3514">
        <v>1.127548</v>
      </c>
      <c r="L3514">
        <v>133.95189999999999</v>
      </c>
      <c r="M3514">
        <v>-0.82047549999999903</v>
      </c>
      <c r="N3514">
        <v>0</v>
      </c>
      <c r="O3514">
        <v>-0.5714399</v>
      </c>
      <c r="P3514">
        <v>-0.64964169999999999</v>
      </c>
      <c r="Q3514">
        <v>6.422862E-2</v>
      </c>
      <c r="R3514">
        <v>-0.75752259999999905</v>
      </c>
      <c r="S3514">
        <v>-1.341888</v>
      </c>
      <c r="T3514">
        <v>-0.2098768</v>
      </c>
      <c r="U3514">
        <v>-2.8443909999999999</v>
      </c>
      <c r="V3514">
        <v>-0.253581</v>
      </c>
      <c r="W3514">
        <v>6.9347309999999995E-2</v>
      </c>
      <c r="X3514">
        <v>0.96482520000000005</v>
      </c>
      <c r="Y3514">
        <v>-0.49830639999999998</v>
      </c>
      <c r="Z3514">
        <v>2.34889E-2</v>
      </c>
      <c r="AA3514">
        <v>0.86668279999999998</v>
      </c>
      <c r="AB3514">
        <v>45</v>
      </c>
      <c r="AC3514">
        <v>6.6999999999666198E-3</v>
      </c>
      <c r="AD3514">
        <v>-5.8439999999999999E-2</v>
      </c>
      <c r="AE3514">
        <v>-0.53280000000000804</v>
      </c>
      <c r="AF3514">
        <v>-0.43579682334153103</v>
      </c>
      <c r="AG3514">
        <v>-5.8439999999999999E-2</v>
      </c>
      <c r="AH3514">
        <v>0.29545336010504603</v>
      </c>
      <c r="AI3514">
        <v>96.333636373444307</v>
      </c>
      <c r="AJ3514">
        <v>145.86425027746799</v>
      </c>
      <c r="AK3514">
        <v>0.52974219468712502</v>
      </c>
    </row>
    <row r="3515" spans="1:37" x14ac:dyDescent="0.2">
      <c r="A3515" t="str">
        <f>"20200111154135647"</f>
        <v>20200111154135647</v>
      </c>
      <c r="B3515" t="str">
        <f>"1578728495639330"</f>
        <v>1578728495639330</v>
      </c>
      <c r="C3515" t="s">
        <v>37</v>
      </c>
      <c r="D3515">
        <v>4.9913530000000002</v>
      </c>
      <c r="E3515">
        <v>0.39024140000000002</v>
      </c>
      <c r="F3515" t="s">
        <v>38</v>
      </c>
      <c r="G3515">
        <v>-411.9246</v>
      </c>
      <c r="H3515">
        <v>1.0435700000000001</v>
      </c>
      <c r="I3515">
        <v>132.84649999999999</v>
      </c>
      <c r="J3515">
        <v>-411.78519999999997</v>
      </c>
      <c r="K3515">
        <v>1.1276189999999999</v>
      </c>
      <c r="L3515">
        <v>133.69470000000001</v>
      </c>
      <c r="M3515">
        <v>-0.81143009999999904</v>
      </c>
      <c r="N3515">
        <v>0</v>
      </c>
      <c r="O3515">
        <v>-0.58421219999999996</v>
      </c>
      <c r="P3515">
        <v>-0.63855580000000001</v>
      </c>
      <c r="Q3515">
        <v>6.1577979999999997E-2</v>
      </c>
      <c r="R3515">
        <v>-0.76710800000000001</v>
      </c>
      <c r="S3515">
        <v>-1.3073729999999999</v>
      </c>
      <c r="T3515">
        <v>-0.21699169999999901</v>
      </c>
      <c r="U3515">
        <v>-2.8574980000000001</v>
      </c>
      <c r="V3515">
        <v>-0.25259090000000001</v>
      </c>
      <c r="W3515">
        <v>6.6706500000000002E-2</v>
      </c>
      <c r="X3515">
        <v>0.96527099999999899</v>
      </c>
      <c r="Y3515">
        <v>-0.49490770000000001</v>
      </c>
      <c r="Z3515">
        <v>2.546704E-2</v>
      </c>
      <c r="AA3515">
        <v>0.86857229999999996</v>
      </c>
      <c r="AB3515">
        <v>45</v>
      </c>
      <c r="AC3515">
        <v>-0.13940000000002301</v>
      </c>
      <c r="AD3515">
        <v>-8.4048999999999999E-2</v>
      </c>
      <c r="AE3515">
        <v>-0.84820000000001905</v>
      </c>
      <c r="AF3515">
        <v>-0.60115248943456001</v>
      </c>
      <c r="AG3515">
        <v>-8.4048999999999999E-2</v>
      </c>
      <c r="AH3515">
        <v>0.60296175850252198</v>
      </c>
      <c r="AI3515">
        <v>95.637638943400802</v>
      </c>
      <c r="AJ3515">
        <v>134.91390899679001</v>
      </c>
      <c r="AK3515">
        <v>0.85557666644832198</v>
      </c>
    </row>
    <row r="3516" spans="1:37" x14ac:dyDescent="0.2">
      <c r="A3516" t="str">
        <f>"20200111154135668"</f>
        <v>20200111154135668</v>
      </c>
      <c r="B3516" t="str">
        <f>"1578728495659826"</f>
        <v>1578728495659826</v>
      </c>
      <c r="C3516" t="s">
        <v>37</v>
      </c>
      <c r="D3516">
        <v>5.1896409999999999</v>
      </c>
      <c r="E3516">
        <v>0.39055990000000002</v>
      </c>
      <c r="F3516" t="s">
        <v>38</v>
      </c>
      <c r="G3516">
        <v>-412.25529999999998</v>
      </c>
      <c r="H3516">
        <v>1.043831</v>
      </c>
      <c r="I3516">
        <v>132.6317</v>
      </c>
      <c r="J3516">
        <v>-412.12979999999999</v>
      </c>
      <c r="K3516">
        <v>1.1276729999999999</v>
      </c>
      <c r="L3516">
        <v>133.44540000000001</v>
      </c>
      <c r="M3516">
        <v>-0.80262199999999995</v>
      </c>
      <c r="N3516">
        <v>0</v>
      </c>
      <c r="O3516">
        <v>-0.59625439999999996</v>
      </c>
      <c r="P3516">
        <v>-0.62762150000000005</v>
      </c>
      <c r="Q3516">
        <v>5.9001339999999999E-2</v>
      </c>
      <c r="R3516">
        <v>-0.77627969999999902</v>
      </c>
      <c r="S3516">
        <v>-1.2699279999999999</v>
      </c>
      <c r="T3516">
        <v>-0.22635529999999901</v>
      </c>
      <c r="U3516">
        <v>-2.8718110000000001</v>
      </c>
      <c r="V3516">
        <v>-0.25192969999999998</v>
      </c>
      <c r="W3516">
        <v>6.4129489999999997E-2</v>
      </c>
      <c r="X3516">
        <v>0.96561839999999999</v>
      </c>
      <c r="Y3516">
        <v>-0.49303049999999998</v>
      </c>
      <c r="Z3516">
        <v>2.7682310000000002E-2</v>
      </c>
      <c r="AA3516">
        <v>0.8695716</v>
      </c>
      <c r="AB3516">
        <v>45</v>
      </c>
      <c r="AC3516">
        <v>-0.12549999999998801</v>
      </c>
      <c r="AD3516">
        <v>-8.3841999999999903E-2</v>
      </c>
      <c r="AE3516">
        <v>-0.81370000000001097</v>
      </c>
      <c r="AF3516">
        <v>-0.57240821499223205</v>
      </c>
      <c r="AG3516">
        <v>-8.3841999999999903E-2</v>
      </c>
      <c r="AH3516">
        <v>0.57996854956256905</v>
      </c>
      <c r="AI3516">
        <v>95.874486050718502</v>
      </c>
      <c r="AJ3516">
        <v>134.624108137934</v>
      </c>
      <c r="AK3516">
        <v>0.819172853576279</v>
      </c>
    </row>
    <row r="3517" spans="1:37" x14ac:dyDescent="0.2">
      <c r="A3517" t="str">
        <f>"20200111154135692"</f>
        <v>20200111154135692</v>
      </c>
      <c r="B3517" t="str">
        <f>"1578728495679347"</f>
        <v>1578728495679347</v>
      </c>
      <c r="C3517" t="s">
        <v>37</v>
      </c>
      <c r="D3517">
        <v>5.2706359999999997</v>
      </c>
      <c r="E3517">
        <v>0.400750299999999</v>
      </c>
      <c r="F3517" t="s">
        <v>38</v>
      </c>
      <c r="G3517">
        <v>-412.57389999999998</v>
      </c>
      <c r="H3517">
        <v>1.042664</v>
      </c>
      <c r="I3517">
        <v>132.40350000000001</v>
      </c>
      <c r="J3517">
        <v>-412.49310000000003</v>
      </c>
      <c r="K3517">
        <v>1.127734</v>
      </c>
      <c r="L3517">
        <v>133.17400000000001</v>
      </c>
      <c r="M3517">
        <v>-0.79299459999999999</v>
      </c>
      <c r="N3517">
        <v>0</v>
      </c>
      <c r="O3517">
        <v>-0.60899959999999997</v>
      </c>
      <c r="P3517">
        <v>-0.61508069999999904</v>
      </c>
      <c r="Q3517">
        <v>5.7017699999999998E-2</v>
      </c>
      <c r="R3517">
        <v>-0.78640010000000005</v>
      </c>
      <c r="S3517">
        <v>-1.2305299999999999</v>
      </c>
      <c r="T3517">
        <v>-0.23554349999999999</v>
      </c>
      <c r="U3517">
        <v>-2.88758899999999</v>
      </c>
      <c r="V3517">
        <v>-0.25204759999999998</v>
      </c>
      <c r="W3517">
        <v>6.21103E-2</v>
      </c>
      <c r="X3517">
        <v>0.96571960000000001</v>
      </c>
      <c r="Y3517">
        <v>-0.49090889999999998</v>
      </c>
      <c r="Z3517">
        <v>3.003428E-2</v>
      </c>
      <c r="AA3517">
        <v>0.87069300000000005</v>
      </c>
      <c r="AB3517">
        <v>45</v>
      </c>
      <c r="AC3517">
        <v>-8.0799999999953798E-2</v>
      </c>
      <c r="AD3517">
        <v>-8.5069999999999896E-2</v>
      </c>
      <c r="AE3517">
        <v>-0.77049999999999796</v>
      </c>
      <c r="AF3517">
        <v>-0.55517948996618305</v>
      </c>
      <c r="AG3517">
        <v>-8.5069999999999896E-2</v>
      </c>
      <c r="AH3517">
        <v>0.52702793600089504</v>
      </c>
      <c r="AI3517">
        <v>96.341300147426693</v>
      </c>
      <c r="AJ3517">
        <v>136.49010394600401</v>
      </c>
      <c r="AK3517">
        <v>0.77020751509218199</v>
      </c>
    </row>
    <row r="3518" spans="1:37" x14ac:dyDescent="0.2">
      <c r="A3518" t="str">
        <f>"20200111154135714"</f>
        <v>20200111154135714</v>
      </c>
      <c r="B3518" t="str">
        <f>"1578728495709602"</f>
        <v>1578728495709602</v>
      </c>
      <c r="C3518" t="s">
        <v>37</v>
      </c>
      <c r="D3518">
        <v>5.058827</v>
      </c>
      <c r="E3518">
        <v>0.40205109999999999</v>
      </c>
      <c r="F3518" t="s">
        <v>38</v>
      </c>
      <c r="G3518">
        <v>-412.92059999999998</v>
      </c>
      <c r="H3518">
        <v>1.033404</v>
      </c>
      <c r="I3518">
        <v>132.1977</v>
      </c>
      <c r="J3518">
        <v>-412.8383</v>
      </c>
      <c r="K3518">
        <v>1.1277999999999999</v>
      </c>
      <c r="L3518">
        <v>132.90790000000001</v>
      </c>
      <c r="M3518">
        <v>-0.78351759999999904</v>
      </c>
      <c r="N3518">
        <v>0</v>
      </c>
      <c r="O3518">
        <v>-0.62114419999999904</v>
      </c>
      <c r="P3518">
        <v>-0.60279069999999901</v>
      </c>
      <c r="Q3518">
        <v>5.5657159999999997E-2</v>
      </c>
      <c r="R3518">
        <v>-0.795956</v>
      </c>
      <c r="S3518">
        <v>-1.2504580000000001</v>
      </c>
      <c r="T3518">
        <v>-0.2759395</v>
      </c>
      <c r="U3518">
        <v>-2.8568119999999899</v>
      </c>
      <c r="V3518">
        <v>-0.25219809999999998</v>
      </c>
      <c r="W3518">
        <v>6.0716279999999997E-2</v>
      </c>
      <c r="X3518">
        <v>0.96576890000000004</v>
      </c>
      <c r="Y3518">
        <v>-0.46895569999999998</v>
      </c>
      <c r="Z3518">
        <v>3.7599489999999999E-2</v>
      </c>
      <c r="AA3518">
        <v>0.88242099999999901</v>
      </c>
      <c r="AB3518">
        <v>45</v>
      </c>
      <c r="AC3518">
        <v>-8.2299999999975101E-2</v>
      </c>
      <c r="AD3518">
        <v>-9.4395999999999897E-2</v>
      </c>
      <c r="AE3518">
        <v>-0.71020000000001404</v>
      </c>
      <c r="AF3518">
        <v>-0.49674543342989802</v>
      </c>
      <c r="AG3518">
        <v>-9.4395999999999897E-2</v>
      </c>
      <c r="AH3518">
        <v>0.49702664875062502</v>
      </c>
      <c r="AI3518">
        <v>97.650895941218494</v>
      </c>
      <c r="AJ3518">
        <v>134.98378657353001</v>
      </c>
      <c r="AK3518">
        <v>0.70901489407327301</v>
      </c>
    </row>
    <row r="3519" spans="1:37" x14ac:dyDescent="0.2">
      <c r="A3519" t="str">
        <f>"20200111154135751"</f>
        <v>20200111154135751</v>
      </c>
      <c r="B3519" t="str">
        <f>"1578728495739460"</f>
        <v>1578728495739460</v>
      </c>
      <c r="C3519" t="s">
        <v>37</v>
      </c>
      <c r="D3519">
        <v>5.004766</v>
      </c>
      <c r="E3519">
        <v>0.40218009999999998</v>
      </c>
      <c r="F3519" t="s">
        <v>38</v>
      </c>
      <c r="G3519">
        <v>-413.2373</v>
      </c>
      <c r="H3519">
        <v>1.037615</v>
      </c>
      <c r="I3519">
        <v>131.96459999999999</v>
      </c>
      <c r="J3519">
        <v>-413.40960000000001</v>
      </c>
      <c r="K3519">
        <v>1.1279059999999901</v>
      </c>
      <c r="L3519">
        <v>132.4486</v>
      </c>
      <c r="M3519">
        <v>-0.76709289999999997</v>
      </c>
      <c r="N3519">
        <v>0</v>
      </c>
      <c r="O3519">
        <v>-0.64131689999999997</v>
      </c>
      <c r="P3519">
        <v>-0.58219279999999995</v>
      </c>
      <c r="Q3519">
        <v>5.5271510000000003E-2</v>
      </c>
      <c r="R3519">
        <v>-0.81116999999999995</v>
      </c>
      <c r="S3519">
        <v>-1.213074</v>
      </c>
      <c r="T3519">
        <v>-0.2742677</v>
      </c>
      <c r="U3519">
        <v>-2.869583</v>
      </c>
      <c r="V3519">
        <v>-0.2518475</v>
      </c>
      <c r="W3519">
        <v>6.0308859999999999E-2</v>
      </c>
      <c r="X3519">
        <v>0.96588600000000002</v>
      </c>
      <c r="Y3519">
        <v>-0.45715309999999998</v>
      </c>
      <c r="Z3519">
        <v>4.0012599999999898E-2</v>
      </c>
      <c r="AA3519">
        <v>0.88848749999999999</v>
      </c>
      <c r="AB3519">
        <v>45</v>
      </c>
      <c r="AC3519">
        <v>0.172300000000007</v>
      </c>
      <c r="AD3519">
        <v>-9.0290999999999899E-2</v>
      </c>
      <c r="AE3519">
        <v>-0.48400000000000798</v>
      </c>
      <c r="AF3519">
        <v>-0.46740283975858299</v>
      </c>
      <c r="AG3519">
        <v>-9.0290999999999899E-2</v>
      </c>
      <c r="AH3519">
        <v>0.172911577990632</v>
      </c>
      <c r="AI3519">
        <v>100.26921683414599</v>
      </c>
      <c r="AJ3519">
        <v>159.69848852147899</v>
      </c>
      <c r="AK3519">
        <v>0.50647437555970998</v>
      </c>
    </row>
    <row r="3520" spans="1:37" x14ac:dyDescent="0.2">
      <c r="A3520" t="str">
        <f>"20200111154135768"</f>
        <v>20200111154135768</v>
      </c>
      <c r="B3520" t="str">
        <f>"1578728495759955"</f>
        <v>1578728495759955</v>
      </c>
      <c r="C3520" t="s">
        <v>37</v>
      </c>
      <c r="D3520">
        <v>5.0822070000000004</v>
      </c>
      <c r="E3520">
        <v>0.40233799999999997</v>
      </c>
      <c r="F3520" t="s">
        <v>38</v>
      </c>
      <c r="G3520">
        <v>-413.80500000000001</v>
      </c>
      <c r="H3520">
        <v>1.0328299999999999</v>
      </c>
      <c r="I3520">
        <v>131.44380000000001</v>
      </c>
      <c r="J3520">
        <v>-413.68610000000001</v>
      </c>
      <c r="K3520">
        <v>1.1279569999999901</v>
      </c>
      <c r="L3520">
        <v>132.2176</v>
      </c>
      <c r="M3520">
        <v>-0.75880170000000002</v>
      </c>
      <c r="N3520">
        <v>0</v>
      </c>
      <c r="O3520">
        <v>-0.65110559999999995</v>
      </c>
      <c r="P3520">
        <v>-0.57152599999999998</v>
      </c>
      <c r="Q3520">
        <v>5.5662389999999999E-2</v>
      </c>
      <c r="R3520">
        <v>-0.81869419999999904</v>
      </c>
      <c r="S3520">
        <v>-1.139618</v>
      </c>
      <c r="T3520">
        <v>-0.2741749</v>
      </c>
      <c r="U3520">
        <v>-2.8991699999999998</v>
      </c>
      <c r="V3520">
        <v>-0.25210260000000001</v>
      </c>
      <c r="W3520">
        <v>6.0671070000000001E-2</v>
      </c>
      <c r="X3520">
        <v>0.96579669999999895</v>
      </c>
      <c r="Y3520">
        <v>-0.46828750000000002</v>
      </c>
      <c r="Z3520">
        <v>4.0594289999999998E-2</v>
      </c>
      <c r="AA3520">
        <v>0.88264319999999896</v>
      </c>
      <c r="AB3520">
        <v>45</v>
      </c>
      <c r="AC3520">
        <v>-0.118899999999996</v>
      </c>
      <c r="AD3520">
        <v>-9.5126999999999906E-2</v>
      </c>
      <c r="AE3520">
        <v>-0.77379999999999405</v>
      </c>
      <c r="AF3520">
        <v>-0.50239845089801405</v>
      </c>
      <c r="AG3520">
        <v>-9.5126999999999906E-2</v>
      </c>
      <c r="AH3520">
        <v>0.58548631259442097</v>
      </c>
      <c r="AI3520">
        <v>97.029249672904101</v>
      </c>
      <c r="AJ3520">
        <v>130.63247901457501</v>
      </c>
      <c r="AK3520">
        <v>0.77733362967849096</v>
      </c>
    </row>
    <row r="3521" spans="1:37" x14ac:dyDescent="0.2">
      <c r="A3521" t="str">
        <f>"20200111154135785"</f>
        <v>20200111154135785</v>
      </c>
      <c r="B3521" t="str">
        <f>"1578728495779475"</f>
        <v>1578728495779475</v>
      </c>
      <c r="C3521" t="s">
        <v>37</v>
      </c>
      <c r="D3521">
        <v>5.0765969999999996</v>
      </c>
      <c r="E3521">
        <v>0.40278340000000001</v>
      </c>
      <c r="F3521" t="s">
        <v>38</v>
      </c>
      <c r="G3521">
        <v>-414.07990000000001</v>
      </c>
      <c r="H3521">
        <v>1.0307899999999901</v>
      </c>
      <c r="I3521">
        <v>131.1764</v>
      </c>
      <c r="J3521">
        <v>-413.91520000000003</v>
      </c>
      <c r="K3521">
        <v>1.1279920000000001</v>
      </c>
      <c r="L3521">
        <v>132.02199999999999</v>
      </c>
      <c r="M3521">
        <v>-0.75176209999999999</v>
      </c>
      <c r="N3521">
        <v>0</v>
      </c>
      <c r="O3521">
        <v>-0.6592209</v>
      </c>
      <c r="P3521">
        <v>-0.56213829999999998</v>
      </c>
      <c r="Q3521">
        <v>5.6963470000000002E-2</v>
      </c>
      <c r="R3521">
        <v>-0.82507949999999997</v>
      </c>
      <c r="S3521">
        <v>-1.1024479999999901</v>
      </c>
      <c r="T3521">
        <v>-0.2719473</v>
      </c>
      <c r="U3521">
        <v>-2.9132229999999999</v>
      </c>
      <c r="V3521">
        <v>-0.25275399999999998</v>
      </c>
      <c r="W3521">
        <v>6.1928030000000002E-2</v>
      </c>
      <c r="X3521">
        <v>0.96554669999999898</v>
      </c>
      <c r="Y3521">
        <v>-0.47006170000000003</v>
      </c>
      <c r="Z3521">
        <v>4.1057919999999998E-2</v>
      </c>
      <c r="AA3521">
        <v>0.88167799999999996</v>
      </c>
      <c r="AB3521">
        <v>45</v>
      </c>
      <c r="AC3521">
        <v>-0.164699999999982</v>
      </c>
      <c r="AD3521">
        <v>-9.7202000000000205E-2</v>
      </c>
      <c r="AE3521">
        <v>-0.845600000000018</v>
      </c>
      <c r="AF3521">
        <v>-0.52056347251287605</v>
      </c>
      <c r="AG3521">
        <v>-9.7202000000000205E-2</v>
      </c>
      <c r="AH3521">
        <v>0.67278338263889703</v>
      </c>
      <c r="AI3521">
        <v>96.518712843247798</v>
      </c>
      <c r="AJ3521">
        <v>127.730770147397</v>
      </c>
      <c r="AK3521">
        <v>0.85619626118881198</v>
      </c>
    </row>
    <row r="3522" spans="1:37" x14ac:dyDescent="0.2">
      <c r="A3522" t="str">
        <f>"20200111154135802"</f>
        <v>20200111154135802</v>
      </c>
      <c r="B3522" t="str">
        <f>"1578728495799971"</f>
        <v>1578728495799971</v>
      </c>
      <c r="C3522" t="s">
        <v>37</v>
      </c>
      <c r="D3522">
        <v>5.1473509999999996</v>
      </c>
      <c r="E3522">
        <v>0.40365040000000002</v>
      </c>
      <c r="F3522" t="s">
        <v>38</v>
      </c>
      <c r="G3522">
        <v>-414.3304</v>
      </c>
      <c r="H3522">
        <v>1.02417</v>
      </c>
      <c r="I3522">
        <v>130.8912</v>
      </c>
      <c r="J3522">
        <v>-414.1857</v>
      </c>
      <c r="K3522">
        <v>1.128036</v>
      </c>
      <c r="L3522">
        <v>131.7852</v>
      </c>
      <c r="M3522">
        <v>-0.74322940000000004</v>
      </c>
      <c r="N3522">
        <v>0</v>
      </c>
      <c r="O3522">
        <v>-0.66882549999999996</v>
      </c>
      <c r="P3522">
        <v>-0.55071029999999999</v>
      </c>
      <c r="Q3522">
        <v>5.8174869999999997E-2</v>
      </c>
      <c r="R3522">
        <v>-0.83266649999999998</v>
      </c>
      <c r="S3522">
        <v>-1.072662</v>
      </c>
      <c r="T3522">
        <v>-0.26832279999999997</v>
      </c>
      <c r="U3522">
        <v>-2.9237820000000001</v>
      </c>
      <c r="V3522">
        <v>-0.25365729999999997</v>
      </c>
      <c r="W3522">
        <v>6.3081620000000005E-2</v>
      </c>
      <c r="X3522">
        <v>0.96523510000000001</v>
      </c>
      <c r="Y3522">
        <v>-0.4676807</v>
      </c>
      <c r="Z3522">
        <v>4.1618910000000002E-2</v>
      </c>
      <c r="AA3522">
        <v>0.88291710000000001</v>
      </c>
      <c r="AB3522">
        <v>45</v>
      </c>
      <c r="AC3522">
        <v>-0.1447</v>
      </c>
      <c r="AD3522">
        <v>-0.103866</v>
      </c>
      <c r="AE3522">
        <v>-0.89400000000000501</v>
      </c>
      <c r="AF3522">
        <v>-0.56037732296197895</v>
      </c>
      <c r="AG3522">
        <v>-0.103866</v>
      </c>
      <c r="AH3522">
        <v>0.69641468531478801</v>
      </c>
      <c r="AI3522">
        <v>96.627885794463694</v>
      </c>
      <c r="AJ3522">
        <v>128.82225653504301</v>
      </c>
      <c r="AK3522">
        <v>0.89989127341481101</v>
      </c>
    </row>
    <row r="3523" spans="1:37" x14ac:dyDescent="0.2">
      <c r="A3523" t="str">
        <f>"20200111154135825"</f>
        <v>20200111154135825</v>
      </c>
      <c r="B3523" t="str">
        <f>"1578728495820031"</f>
        <v>1578728495820031</v>
      </c>
      <c r="C3523" t="s">
        <v>37</v>
      </c>
      <c r="D3523">
        <v>5.1521019999999904</v>
      </c>
      <c r="E3523">
        <v>0.40490660000000001</v>
      </c>
      <c r="F3523" t="s">
        <v>38</v>
      </c>
      <c r="G3523">
        <v>-414.4932</v>
      </c>
      <c r="H3523">
        <v>1.049166</v>
      </c>
      <c r="I3523">
        <v>130.91749999999999</v>
      </c>
      <c r="J3523">
        <v>-414.51990000000001</v>
      </c>
      <c r="K3523">
        <v>1.128077</v>
      </c>
      <c r="L3523">
        <v>131.48320000000001</v>
      </c>
      <c r="M3523">
        <v>-0.73234129999999997</v>
      </c>
      <c r="N3523">
        <v>0</v>
      </c>
      <c r="O3523">
        <v>-0.68072999999999995</v>
      </c>
      <c r="P3523">
        <v>-0.5368387</v>
      </c>
      <c r="Q3523">
        <v>5.8800850000000002E-2</v>
      </c>
      <c r="R3523">
        <v>-0.84163359999999998</v>
      </c>
      <c r="S3523">
        <v>-1.038818</v>
      </c>
      <c r="T3523">
        <v>-0.26657890000000001</v>
      </c>
      <c r="U3523">
        <v>-2.9344790000000001</v>
      </c>
      <c r="V3523">
        <v>-0.2540808</v>
      </c>
      <c r="W3523">
        <v>6.3672199999999998E-2</v>
      </c>
      <c r="X3523">
        <v>0.96508490000000002</v>
      </c>
      <c r="Y3523">
        <v>-0.46349699999999999</v>
      </c>
      <c r="Z3523">
        <v>4.27716E-2</v>
      </c>
      <c r="AA3523">
        <v>0.88506559999999901</v>
      </c>
      <c r="AB3523">
        <v>45</v>
      </c>
      <c r="AC3523">
        <v>2.6700000000005199E-2</v>
      </c>
      <c r="AD3523">
        <v>-7.8910999999999898E-2</v>
      </c>
      <c r="AE3523">
        <v>-0.56570000000002096</v>
      </c>
      <c r="AF3523">
        <v>-0.42428467906117801</v>
      </c>
      <c r="AG3523">
        <v>-7.8910999999999898E-2</v>
      </c>
      <c r="AH3523">
        <v>0.35862448435038002</v>
      </c>
      <c r="AI3523">
        <v>98.084370985593395</v>
      </c>
      <c r="AJ3523">
        <v>139.79400282435901</v>
      </c>
      <c r="AK3523">
        <v>0.56112026837623996</v>
      </c>
    </row>
    <row r="3524" spans="1:37" x14ac:dyDescent="0.2">
      <c r="A3524" t="str">
        <f>"20200111154135848"</f>
        <v>20200111154135848</v>
      </c>
      <c r="B3524" t="str">
        <f>"1578728495839549"</f>
        <v>1578728495839549</v>
      </c>
      <c r="C3524" t="s">
        <v>37</v>
      </c>
      <c r="D3524">
        <v>5.1842639999999998</v>
      </c>
      <c r="E3524">
        <v>0.4059777</v>
      </c>
      <c r="F3524" t="s">
        <v>38</v>
      </c>
      <c r="G3524">
        <v>-414.89789999999999</v>
      </c>
      <c r="H3524">
        <v>1.027352</v>
      </c>
      <c r="I3524">
        <v>130.36840000000001</v>
      </c>
      <c r="J3524">
        <v>-414.84800000000001</v>
      </c>
      <c r="K3524">
        <v>1.128107</v>
      </c>
      <c r="L3524">
        <v>131.1772</v>
      </c>
      <c r="M3524">
        <v>-0.7212847</v>
      </c>
      <c r="N3524">
        <v>0</v>
      </c>
      <c r="O3524">
        <v>-0.69243399999999999</v>
      </c>
      <c r="P3524">
        <v>-0.52285130000000002</v>
      </c>
      <c r="Q3524">
        <v>5.9142979999999998E-2</v>
      </c>
      <c r="R3524">
        <v>-0.85036970000000001</v>
      </c>
      <c r="S3524">
        <v>-0.99829100000000004</v>
      </c>
      <c r="T3524">
        <v>-0.26613309999999901</v>
      </c>
      <c r="U3524">
        <v>-2.9463349999999999</v>
      </c>
      <c r="V3524">
        <v>-0.25450050000000002</v>
      </c>
      <c r="W3524">
        <v>6.3981029999999994E-2</v>
      </c>
      <c r="X3524">
        <v>0.96495379999999997</v>
      </c>
      <c r="Y3524">
        <v>-0.46124569999999998</v>
      </c>
      <c r="Z3524">
        <v>4.40404E-2</v>
      </c>
      <c r="AA3524">
        <v>0.88617880000000004</v>
      </c>
      <c r="AB3524">
        <v>44</v>
      </c>
      <c r="AC3524">
        <v>-4.98999999999796E-2</v>
      </c>
      <c r="AD3524">
        <v>-0.100754999999999</v>
      </c>
      <c r="AE3524">
        <v>-0.80879999999998997</v>
      </c>
      <c r="AF3524">
        <v>-0.54054378841936401</v>
      </c>
      <c r="AG3524">
        <v>-0.100754999999999</v>
      </c>
      <c r="AH3524">
        <v>0.58704175528761504</v>
      </c>
      <c r="AI3524">
        <v>97.196044394291704</v>
      </c>
      <c r="AJ3524">
        <v>132.638645940255</v>
      </c>
      <c r="AK3524">
        <v>0.80433648411278802</v>
      </c>
    </row>
    <row r="3525" spans="1:37" x14ac:dyDescent="0.2">
      <c r="A3525" t="str">
        <f>"20200111154135870"</f>
        <v>20200111154135870</v>
      </c>
      <c r="B3525" t="str">
        <f>"1578728495860045"</f>
        <v>1578728495860045</v>
      </c>
      <c r="C3525" t="s">
        <v>37</v>
      </c>
      <c r="D3525">
        <v>5.1861379999999997</v>
      </c>
      <c r="E3525">
        <v>0.40707259999999901</v>
      </c>
      <c r="F3525" t="s">
        <v>38</v>
      </c>
      <c r="G3525">
        <v>-415.19229999999999</v>
      </c>
      <c r="H3525">
        <v>1.031477</v>
      </c>
      <c r="I3525">
        <v>130.11269999999999</v>
      </c>
      <c r="J3525">
        <v>-415.1583</v>
      </c>
      <c r="K3525">
        <v>1.1281379999999901</v>
      </c>
      <c r="L3525">
        <v>130.87860000000001</v>
      </c>
      <c r="M3525">
        <v>-0.71047510000000003</v>
      </c>
      <c r="N3525">
        <v>0</v>
      </c>
      <c r="O3525">
        <v>-0.703520699999999</v>
      </c>
      <c r="P3525">
        <v>-0.50924459999999905</v>
      </c>
      <c r="Q3525">
        <v>5.8797370000000002E-2</v>
      </c>
      <c r="R3525">
        <v>-0.85861109999999896</v>
      </c>
      <c r="S3525">
        <v>-0.95706179999999996</v>
      </c>
      <c r="T3525">
        <v>-0.26853539999999998</v>
      </c>
      <c r="U3525">
        <v>-2.9580839999999999</v>
      </c>
      <c r="V3525">
        <v>-0.25492900000000002</v>
      </c>
      <c r="W3525">
        <v>6.3604149999999998E-2</v>
      </c>
      <c r="X3525">
        <v>0.96486559999999899</v>
      </c>
      <c r="Y3525">
        <v>-0.45973549999999902</v>
      </c>
      <c r="Z3525">
        <v>4.5697550000000003E-2</v>
      </c>
      <c r="AA3525">
        <v>0.88687939999999998</v>
      </c>
      <c r="AB3525">
        <v>44</v>
      </c>
      <c r="AC3525">
        <v>-3.3999999999991801E-2</v>
      </c>
      <c r="AD3525">
        <v>-9.6660999999999803E-2</v>
      </c>
      <c r="AE3525">
        <v>-0.76590000000001601</v>
      </c>
      <c r="AF3525">
        <v>-0.51216532901408096</v>
      </c>
      <c r="AG3525">
        <v>-9.6660999999999803E-2</v>
      </c>
      <c r="AH3525">
        <v>0.55425184651542803</v>
      </c>
      <c r="AI3525">
        <v>97.299036626339003</v>
      </c>
      <c r="AJ3525">
        <v>132.73997537495401</v>
      </c>
      <c r="AK3525">
        <v>0.76082309542420201</v>
      </c>
    </row>
    <row r="3526" spans="1:37" x14ac:dyDescent="0.2">
      <c r="A3526" t="str">
        <f>"20200111154135894"</f>
        <v>20200111154135894</v>
      </c>
      <c r="B3526" t="str">
        <f>"1578728495889326"</f>
        <v>1578728495889326</v>
      </c>
      <c r="C3526" t="s">
        <v>37</v>
      </c>
      <c r="D3526">
        <v>5.219652</v>
      </c>
      <c r="E3526">
        <v>0.40814929999999999</v>
      </c>
      <c r="F3526" t="s">
        <v>38</v>
      </c>
      <c r="G3526">
        <v>-415.47649999999999</v>
      </c>
      <c r="H3526">
        <v>1.033506</v>
      </c>
      <c r="I3526">
        <v>129.84889999999999</v>
      </c>
      <c r="J3526">
        <v>-415.47120000000001</v>
      </c>
      <c r="K3526">
        <v>1.128155</v>
      </c>
      <c r="L3526">
        <v>130.56799999999899</v>
      </c>
      <c r="M3526">
        <v>-0.69921009999999995</v>
      </c>
      <c r="N3526">
        <v>0</v>
      </c>
      <c r="O3526">
        <v>-0.71471759999999995</v>
      </c>
      <c r="P3526">
        <v>-0.49582470000000001</v>
      </c>
      <c r="Q3526">
        <v>5.7950019999999998E-2</v>
      </c>
      <c r="R3526">
        <v>-0.86648700000000001</v>
      </c>
      <c r="S3526">
        <v>-0.91729740000000004</v>
      </c>
      <c r="T3526">
        <v>-0.27280379999999999</v>
      </c>
      <c r="U3526">
        <v>-2.968658</v>
      </c>
      <c r="V3526">
        <v>-0.25462010000000002</v>
      </c>
      <c r="W3526">
        <v>6.2764199999999895E-2</v>
      </c>
      <c r="X3526">
        <v>0.96500219999999903</v>
      </c>
      <c r="Y3526">
        <v>-0.45738599999999902</v>
      </c>
      <c r="Z3526">
        <v>4.7752429999999998E-2</v>
      </c>
      <c r="AA3526">
        <v>0.88798519999999903</v>
      </c>
      <c r="AB3526">
        <v>44</v>
      </c>
      <c r="AC3526">
        <v>-5.2999999999769898E-3</v>
      </c>
      <c r="AD3526">
        <v>-9.46489999999999E-2</v>
      </c>
      <c r="AE3526">
        <v>-0.71909999999999696</v>
      </c>
      <c r="AF3526">
        <v>-0.49058629265692399</v>
      </c>
      <c r="AG3526">
        <v>-9.46489999999999E-2</v>
      </c>
      <c r="AH3526">
        <v>0.508916658902826</v>
      </c>
      <c r="AI3526">
        <v>97.626426037880407</v>
      </c>
      <c r="AJ3526">
        <v>133.949342872068</v>
      </c>
      <c r="AK3526">
        <v>0.71318266205277403</v>
      </c>
    </row>
    <row r="3527" spans="1:37" x14ac:dyDescent="0.2">
      <c r="A3527" t="str">
        <f>"20200111154135918"</f>
        <v>20200111154135918</v>
      </c>
      <c r="B3527" t="str">
        <f>"1578728495909821"</f>
        <v>1578728495909821</v>
      </c>
      <c r="C3527" t="s">
        <v>37</v>
      </c>
      <c r="D3527">
        <v>5.0590299999999999</v>
      </c>
      <c r="E3527">
        <v>0.40762809999999999</v>
      </c>
      <c r="F3527" t="s">
        <v>38</v>
      </c>
      <c r="G3527">
        <v>-415.76119999999997</v>
      </c>
      <c r="H3527">
        <v>1.0363979999999999</v>
      </c>
      <c r="I3527">
        <v>129.58420000000001</v>
      </c>
      <c r="J3527">
        <v>-415.79939999999999</v>
      </c>
      <c r="K3527">
        <v>1.128177</v>
      </c>
      <c r="L3527">
        <v>130.23150000000001</v>
      </c>
      <c r="M3527">
        <v>-0.6869845</v>
      </c>
      <c r="N3527">
        <v>0</v>
      </c>
      <c r="O3527">
        <v>-0.72647640000000002</v>
      </c>
      <c r="P3527">
        <v>-0.48197770000000001</v>
      </c>
      <c r="Q3527">
        <v>5.8203060000000001E-2</v>
      </c>
      <c r="R3527">
        <v>-0.87424829999999998</v>
      </c>
      <c r="S3527">
        <v>-0.8781738</v>
      </c>
      <c r="T3527">
        <v>-0.27780579999999999</v>
      </c>
      <c r="U3527">
        <v>-2.9783019999999998</v>
      </c>
      <c r="V3527">
        <v>-0.25360549999999998</v>
      </c>
      <c r="W3527">
        <v>6.3060669999999999E-2</v>
      </c>
      <c r="X3527">
        <v>0.96525000000000005</v>
      </c>
      <c r="Y3527">
        <v>-0.45383590000000001</v>
      </c>
      <c r="Z3527">
        <v>5.0095170000000001E-2</v>
      </c>
      <c r="AA3527">
        <v>0.88967600000000002</v>
      </c>
      <c r="AB3527">
        <v>44</v>
      </c>
      <c r="AC3527">
        <v>3.8200000000017498E-2</v>
      </c>
      <c r="AD3527">
        <v>-9.1778999999999999E-2</v>
      </c>
      <c r="AE3527">
        <v>-0.64730000000000099</v>
      </c>
      <c r="AF3527">
        <v>-0.46322347168905498</v>
      </c>
      <c r="AG3527">
        <v>-9.1778999999999999E-2</v>
      </c>
      <c r="AH3527">
        <v>0.43534680766022898</v>
      </c>
      <c r="AI3527">
        <v>98.215412029003005</v>
      </c>
      <c r="AJ3527">
        <v>136.776937336668</v>
      </c>
      <c r="AK3527">
        <v>0.64228203501624803</v>
      </c>
    </row>
    <row r="3528" spans="1:37" x14ac:dyDescent="0.2">
      <c r="A3528" t="str">
        <f>"20200111154135939"</f>
        <v>20200111154135939</v>
      </c>
      <c r="B3528" t="str">
        <f>"1578728495929341"</f>
        <v>1578728495929341</v>
      </c>
      <c r="C3528" t="s">
        <v>37</v>
      </c>
      <c r="D3528">
        <v>5.103421</v>
      </c>
      <c r="E3528">
        <v>0.38816729999999999</v>
      </c>
      <c r="F3528" t="s">
        <v>38</v>
      </c>
      <c r="G3528">
        <v>-416.05090000000001</v>
      </c>
      <c r="H3528">
        <v>1.0439479999999901</v>
      </c>
      <c r="I3528">
        <v>129.321</v>
      </c>
      <c r="J3528">
        <v>-416.0856</v>
      </c>
      <c r="K3528">
        <v>1.1281859999999999</v>
      </c>
      <c r="L3528">
        <v>129.92850000000001</v>
      </c>
      <c r="M3528">
        <v>-0.67595780000000005</v>
      </c>
      <c r="N3528">
        <v>0</v>
      </c>
      <c r="O3528">
        <v>-0.73674709999999999</v>
      </c>
      <c r="P3528">
        <v>-0.46972069999999999</v>
      </c>
      <c r="Q3528">
        <v>5.8143390000000003E-2</v>
      </c>
      <c r="R3528">
        <v>-0.88089819999999996</v>
      </c>
      <c r="S3528">
        <v>-0.827179</v>
      </c>
      <c r="T3528">
        <v>-0.27696959999999998</v>
      </c>
      <c r="U3528">
        <v>-2.9939580000000001</v>
      </c>
      <c r="V3528">
        <v>-0.2525424</v>
      </c>
      <c r="W3528">
        <v>6.3050220000000004E-2</v>
      </c>
      <c r="X3528">
        <v>0.96552939999999998</v>
      </c>
      <c r="Y3528">
        <v>-0.45569569999999998</v>
      </c>
      <c r="Z3528">
        <v>5.100872E-2</v>
      </c>
      <c r="AA3528">
        <v>0.88867289999999999</v>
      </c>
      <c r="AB3528">
        <v>44</v>
      </c>
      <c r="AC3528">
        <v>3.4699999999986603E-2</v>
      </c>
      <c r="AD3528">
        <v>-8.4238000000000202E-2</v>
      </c>
      <c r="AE3528">
        <v>-0.60750000000001503</v>
      </c>
      <c r="AF3528">
        <v>-0.428067690645002</v>
      </c>
      <c r="AG3528">
        <v>-8.4238000000000202E-2</v>
      </c>
      <c r="AH3528">
        <v>0.41620201413924401</v>
      </c>
      <c r="AI3528">
        <v>98.0309026748332</v>
      </c>
      <c r="AJ3528">
        <v>135.80520291510899</v>
      </c>
      <c r="AK3528">
        <v>0.602961113996342</v>
      </c>
    </row>
    <row r="3529" spans="1:37" x14ac:dyDescent="0.2">
      <c r="A3529" t="str">
        <f>"20200111154135965"</f>
        <v>20200111154135965</v>
      </c>
      <c r="B3529" t="str">
        <f>"1578728495959597"</f>
        <v>1578728495959597</v>
      </c>
      <c r="C3529" t="s">
        <v>37</v>
      </c>
      <c r="D3529">
        <v>5.0610730000000004</v>
      </c>
      <c r="E3529">
        <v>0.38791199999999998</v>
      </c>
      <c r="F3529" t="s">
        <v>38</v>
      </c>
      <c r="G3529">
        <v>-416.27640000000002</v>
      </c>
      <c r="H3529">
        <v>1.0657809999999901</v>
      </c>
      <c r="I3529">
        <v>129.01820000000001</v>
      </c>
      <c r="J3529">
        <v>-416.41149999999999</v>
      </c>
      <c r="K3529">
        <v>1.128199</v>
      </c>
      <c r="L3529">
        <v>129.57230000000001</v>
      </c>
      <c r="M3529">
        <v>-0.66297159999999999</v>
      </c>
      <c r="N3529">
        <v>0</v>
      </c>
      <c r="O3529">
        <v>-0.74845439999999996</v>
      </c>
      <c r="P3529">
        <v>-0.45584409999999997</v>
      </c>
      <c r="Q3529">
        <v>5.769809E-2</v>
      </c>
      <c r="R3529">
        <v>-0.88818779999999997</v>
      </c>
      <c r="S3529">
        <v>-0.64425659999999996</v>
      </c>
      <c r="T3529">
        <v>-0.21082699999999999</v>
      </c>
      <c r="U3529">
        <v>-3.075974</v>
      </c>
      <c r="V3529">
        <v>-0.25080639999999998</v>
      </c>
      <c r="W3529">
        <v>6.2688049999999995E-2</v>
      </c>
      <c r="X3529">
        <v>0.96600529999999996</v>
      </c>
      <c r="Y3529">
        <v>-0.49560890000000002</v>
      </c>
      <c r="Z3529">
        <v>3.8348720000000003E-2</v>
      </c>
      <c r="AA3529">
        <v>0.86769879999999999</v>
      </c>
      <c r="AB3529">
        <v>44</v>
      </c>
      <c r="AC3529">
        <v>0.135099999999965</v>
      </c>
      <c r="AD3529">
        <v>-6.2418000000000001E-2</v>
      </c>
      <c r="AE3529">
        <v>-0.55410000000000503</v>
      </c>
      <c r="AF3529">
        <v>-0.46299001251812699</v>
      </c>
      <c r="AG3529">
        <v>-6.2418000000000001E-2</v>
      </c>
      <c r="AH3529">
        <v>0.32134847863277499</v>
      </c>
      <c r="AI3529">
        <v>96.319883754694899</v>
      </c>
      <c r="AJ3529">
        <v>145.236561570775</v>
      </c>
      <c r="AK3529">
        <v>0.56702786804101102</v>
      </c>
    </row>
    <row r="3530" spans="1:37" x14ac:dyDescent="0.2">
      <c r="A3530" t="str">
        <f>"20200111154135983"</f>
        <v>20200111154135983</v>
      </c>
      <c r="B3530" t="str">
        <f>"1578728495980093"</f>
        <v>1578728495980093</v>
      </c>
      <c r="C3530" t="s">
        <v>37</v>
      </c>
      <c r="D3530">
        <v>5.0290419999999996</v>
      </c>
      <c r="E3530">
        <v>0.38977810000000002</v>
      </c>
      <c r="F3530" t="s">
        <v>39</v>
      </c>
      <c r="G3530">
        <v>-419.58280000000002</v>
      </c>
      <c r="H3530" s="1">
        <v>-1.5549590000000001E-6</v>
      </c>
      <c r="I3530">
        <v>113.0849</v>
      </c>
      <c r="J3530">
        <v>-416.65859999999998</v>
      </c>
      <c r="K3530">
        <v>1.1282110000000001</v>
      </c>
      <c r="L3530">
        <v>129.29320000000001</v>
      </c>
      <c r="M3530">
        <v>-0.65278819999999904</v>
      </c>
      <c r="N3530">
        <v>0</v>
      </c>
      <c r="O3530">
        <v>-0.75735220000000003</v>
      </c>
      <c r="P3530">
        <v>-0.4457853</v>
      </c>
      <c r="Q3530">
        <v>5.7628279999999997E-2</v>
      </c>
      <c r="R3530">
        <v>-0.89328289999999999</v>
      </c>
      <c r="S3530">
        <v>-0.59371949999999996</v>
      </c>
      <c r="T3530">
        <v>-0.21121669999999901</v>
      </c>
      <c r="U3530">
        <v>-3.0866849999999899</v>
      </c>
      <c r="V3530">
        <v>-0.24865139999999999</v>
      </c>
      <c r="W3530">
        <v>6.2724710000000003E-2</v>
      </c>
      <c r="X3530">
        <v>0.96655990000000003</v>
      </c>
      <c r="Y3530">
        <v>-0.49812629999999902</v>
      </c>
      <c r="Z3530">
        <v>3.9122070000000002E-2</v>
      </c>
      <c r="AA3530">
        <v>0.86622149999999998</v>
      </c>
      <c r="AB3530">
        <v>44</v>
      </c>
      <c r="AC3530">
        <v>-2.9242000000000399</v>
      </c>
      <c r="AD3530">
        <v>-1.1282125549590001</v>
      </c>
      <c r="AE3530">
        <v>-16.208300000000001</v>
      </c>
      <c r="AF3530">
        <v>-8.3280523045796198</v>
      </c>
      <c r="AG3530">
        <v>-1.1282125549590001</v>
      </c>
      <c r="AH3530">
        <v>14.1200410464693</v>
      </c>
      <c r="AI3530">
        <v>93.937037704004794</v>
      </c>
      <c r="AJ3530">
        <v>120.532260712305</v>
      </c>
      <c r="AK3530">
        <v>16.4318251545882</v>
      </c>
    </row>
    <row r="3531" spans="1:37" x14ac:dyDescent="0.2">
      <c r="A3531" t="str">
        <f>"20200111154136004"</f>
        <v>20200111154136004</v>
      </c>
      <c r="B3531" t="str">
        <f>"1578728495999613"</f>
        <v>1578728495999613</v>
      </c>
      <c r="C3531" t="s">
        <v>37</v>
      </c>
      <c r="D3531">
        <v>5.0673729999999999</v>
      </c>
      <c r="E3531">
        <v>0.39123200000000002</v>
      </c>
      <c r="F3531" t="s">
        <v>39</v>
      </c>
      <c r="G3531">
        <v>-419.69290000000001</v>
      </c>
      <c r="H3531" s="1">
        <v>-1.463454E-6</v>
      </c>
      <c r="I3531">
        <v>112.9171</v>
      </c>
      <c r="J3531">
        <v>-416.92989999999998</v>
      </c>
      <c r="K3531">
        <v>1.1282190000000001</v>
      </c>
      <c r="L3531">
        <v>128.97730000000001</v>
      </c>
      <c r="M3531">
        <v>-0.64125299999999996</v>
      </c>
      <c r="N3531">
        <v>0</v>
      </c>
      <c r="O3531">
        <v>-0.76714369999999998</v>
      </c>
      <c r="P3531">
        <v>-0.43407269999999998</v>
      </c>
      <c r="Q3531">
        <v>5.8132280000000001E-2</v>
      </c>
      <c r="R3531">
        <v>-0.89900059999999904</v>
      </c>
      <c r="S3531">
        <v>-0.57192989999999999</v>
      </c>
      <c r="T3531">
        <v>-0.2126566</v>
      </c>
      <c r="U3531">
        <v>-3.086716</v>
      </c>
      <c r="V3531">
        <v>-0.24665999999999999</v>
      </c>
      <c r="W3531">
        <v>6.3328120000000002E-2</v>
      </c>
      <c r="X3531">
        <v>0.96703069999999902</v>
      </c>
      <c r="Y3531">
        <v>-0.49090779999999901</v>
      </c>
      <c r="Z3531">
        <v>4.0500040000000001E-2</v>
      </c>
      <c r="AA3531">
        <v>0.87026970000000003</v>
      </c>
      <c r="AB3531">
        <v>44</v>
      </c>
      <c r="AC3531">
        <v>-2.7630000000000301</v>
      </c>
      <c r="AD3531">
        <v>-1.1282204634540001</v>
      </c>
      <c r="AE3531">
        <v>-16.060199999999998</v>
      </c>
      <c r="AF3531">
        <v>-8.1411780406891197</v>
      </c>
      <c r="AG3531">
        <v>-1.1282204634540001</v>
      </c>
      <c r="AH3531">
        <v>14.0270395048612</v>
      </c>
      <c r="AI3531">
        <v>93.979325101514604</v>
      </c>
      <c r="AJ3531">
        <v>120.13052598914599</v>
      </c>
      <c r="AK3531">
        <v>16.257598179783201</v>
      </c>
    </row>
    <row r="3532" spans="1:37" x14ac:dyDescent="0.2">
      <c r="A3532" t="str">
        <f>"20200111154136027"</f>
        <v>20200111154136027</v>
      </c>
      <c r="B3532" t="str">
        <f>"1578728496020110"</f>
        <v>1578728496020110</v>
      </c>
      <c r="C3532" t="s">
        <v>37</v>
      </c>
      <c r="D3532">
        <v>5.1053420000000003</v>
      </c>
      <c r="E3532">
        <v>0.39323779999999903</v>
      </c>
      <c r="F3532" t="s">
        <v>38</v>
      </c>
      <c r="G3532">
        <v>-417.13799999999998</v>
      </c>
      <c r="H3532">
        <v>1.0459270000000001</v>
      </c>
      <c r="I3532">
        <v>127.7907</v>
      </c>
      <c r="J3532">
        <v>-417.21109999999999</v>
      </c>
      <c r="K3532">
        <v>1.1282270000000001</v>
      </c>
      <c r="L3532">
        <v>128.63910000000001</v>
      </c>
      <c r="M3532">
        <v>-0.62888750000000004</v>
      </c>
      <c r="N3532">
        <v>0</v>
      </c>
      <c r="O3532">
        <v>-0.77731260000000002</v>
      </c>
      <c r="P3532">
        <v>-0.42123339999999998</v>
      </c>
      <c r="Q3532">
        <v>5.8591249999999997E-2</v>
      </c>
      <c r="R3532">
        <v>-0.90505780000000002</v>
      </c>
      <c r="S3532">
        <v>-0.54196169999999899</v>
      </c>
      <c r="T3532">
        <v>-0.214260799999999</v>
      </c>
      <c r="U3532">
        <v>-3.0892179999999998</v>
      </c>
      <c r="V3532">
        <v>-0.2449432</v>
      </c>
      <c r="W3532">
        <v>6.3873949999999999E-2</v>
      </c>
      <c r="X3532">
        <v>0.96743109999999999</v>
      </c>
      <c r="Y3532">
        <v>-0.48526390000000003</v>
      </c>
      <c r="Z3532">
        <v>4.1903299999999997E-2</v>
      </c>
      <c r="AA3532">
        <v>0.87336309999999995</v>
      </c>
      <c r="AB3532">
        <v>44</v>
      </c>
      <c r="AC3532">
        <v>7.3099999999953896E-2</v>
      </c>
      <c r="AD3532">
        <v>-8.2299999999999998E-2</v>
      </c>
      <c r="AE3532">
        <v>-0.84840000000001203</v>
      </c>
      <c r="AF3532">
        <v>-0.58498974145721705</v>
      </c>
      <c r="AG3532">
        <v>-8.2299999999999998E-2</v>
      </c>
      <c r="AH3532">
        <v>0.60790958249862403</v>
      </c>
      <c r="AI3532">
        <v>95.571621017581805</v>
      </c>
      <c r="AJ3532">
        <v>133.89927961819899</v>
      </c>
      <c r="AK3532">
        <v>0.847667592930055</v>
      </c>
    </row>
    <row r="3533" spans="1:37" x14ac:dyDescent="0.2">
      <c r="A3533" t="str">
        <f>"20200111154136049"</f>
        <v>20200111154136049</v>
      </c>
      <c r="B3533" t="str">
        <f>"1578728496039629"</f>
        <v>1578728496039629</v>
      </c>
      <c r="C3533" t="s">
        <v>37</v>
      </c>
      <c r="D3533">
        <v>5.0284199999999997</v>
      </c>
      <c r="E3533">
        <v>0.39459090000000002</v>
      </c>
      <c r="F3533" t="s">
        <v>38</v>
      </c>
      <c r="G3533">
        <v>-417.39890000000003</v>
      </c>
      <c r="H3533">
        <v>1.049849</v>
      </c>
      <c r="I3533">
        <v>127.50700000000001</v>
      </c>
      <c r="J3533">
        <v>-417.46929999999998</v>
      </c>
      <c r="K3533">
        <v>1.1282350000000001</v>
      </c>
      <c r="L3533">
        <v>128.31870000000001</v>
      </c>
      <c r="M3533">
        <v>-0.61715109999999995</v>
      </c>
      <c r="N3533">
        <v>0</v>
      </c>
      <c r="O3533">
        <v>-0.78666309999999995</v>
      </c>
      <c r="P3533">
        <v>-0.40859289999999998</v>
      </c>
      <c r="Q3533">
        <v>5.9241019999999998E-2</v>
      </c>
      <c r="R3533">
        <v>-0.91079209999999999</v>
      </c>
      <c r="S3533">
        <v>-0.51248170000000004</v>
      </c>
      <c r="T3533">
        <v>-0.2139228</v>
      </c>
      <c r="U3533">
        <v>-3.0900569999999998</v>
      </c>
      <c r="V3533">
        <v>-0.24389629999999901</v>
      </c>
      <c r="W3533">
        <v>6.4578209999999997E-2</v>
      </c>
      <c r="X3533">
        <v>0.96764879999999998</v>
      </c>
      <c r="Y3533">
        <v>-0.48028090000000001</v>
      </c>
      <c r="Z3533">
        <v>4.2863829999999999E-2</v>
      </c>
      <c r="AA3533">
        <v>0.87606669999999998</v>
      </c>
      <c r="AB3533">
        <v>44</v>
      </c>
      <c r="AC3533">
        <v>7.03999999999496E-2</v>
      </c>
      <c r="AD3533">
        <v>-7.8385999999999997E-2</v>
      </c>
      <c r="AE3533">
        <v>-0.81170000000000098</v>
      </c>
      <c r="AF3533">
        <v>-0.55129919629238699</v>
      </c>
      <c r="AG3533">
        <v>-7.8385999999999997E-2</v>
      </c>
      <c r="AH3533">
        <v>0.58971353586101305</v>
      </c>
      <c r="AI3533">
        <v>95.546005690605796</v>
      </c>
      <c r="AJ3533">
        <v>133.07175813214701</v>
      </c>
      <c r="AK3533">
        <v>0.81107165109275703</v>
      </c>
    </row>
    <row r="3534" spans="1:37" x14ac:dyDescent="0.2">
      <c r="A3534" t="str">
        <f>"20200111154136070"</f>
        <v>20200111154136070</v>
      </c>
      <c r="B3534" t="str">
        <f>"1578728496060125"</f>
        <v>1578728496060125</v>
      </c>
      <c r="C3534" t="s">
        <v>37</v>
      </c>
      <c r="D3534">
        <v>4.973865</v>
      </c>
      <c r="E3534">
        <v>0.395628599999999</v>
      </c>
      <c r="F3534" t="s">
        <v>38</v>
      </c>
      <c r="G3534">
        <v>-417.64049999999997</v>
      </c>
      <c r="H3534">
        <v>1.0521229999999999</v>
      </c>
      <c r="I3534">
        <v>127.21250000000001</v>
      </c>
      <c r="J3534">
        <v>-417.7328</v>
      </c>
      <c r="K3534">
        <v>1.128236</v>
      </c>
      <c r="L3534">
        <v>127.9812</v>
      </c>
      <c r="M3534">
        <v>-0.60476719999999995</v>
      </c>
      <c r="N3534">
        <v>0</v>
      </c>
      <c r="O3534">
        <v>-0.79622289999999996</v>
      </c>
      <c r="P3534">
        <v>-0.394569</v>
      </c>
      <c r="Q3534">
        <v>5.9827320000000003E-2</v>
      </c>
      <c r="R3534">
        <v>-0.91691669999999903</v>
      </c>
      <c r="S3534">
        <v>-0.47866819999999999</v>
      </c>
      <c r="T3534">
        <v>-0.21281309999999901</v>
      </c>
      <c r="U3534">
        <v>-3.0929259999999998</v>
      </c>
      <c r="V3534">
        <v>-0.24360799999999999</v>
      </c>
      <c r="W3534">
        <v>6.5182030000000002E-2</v>
      </c>
      <c r="X3534">
        <v>0.96768089999999995</v>
      </c>
      <c r="Y3534">
        <v>-0.47602899999999998</v>
      </c>
      <c r="Z3534">
        <v>4.3645429999999999E-2</v>
      </c>
      <c r="AA3534">
        <v>0.87834579999999995</v>
      </c>
      <c r="AB3534">
        <v>44</v>
      </c>
      <c r="AC3534">
        <v>9.2300000000022905E-2</v>
      </c>
      <c r="AD3534">
        <v>-7.6113000000000097E-2</v>
      </c>
      <c r="AE3534">
        <v>-0.76869999999999505</v>
      </c>
      <c r="AF3534">
        <v>-0.53329869336787705</v>
      </c>
      <c r="AG3534">
        <v>-7.6113000000000097E-2</v>
      </c>
      <c r="AH3534">
        <v>0.55099086682585496</v>
      </c>
      <c r="AI3534">
        <v>95.668565406746296</v>
      </c>
      <c r="AJ3534">
        <v>134.06519719444799</v>
      </c>
      <c r="AK3534">
        <v>0.77057875680711096</v>
      </c>
    </row>
    <row r="3535" spans="1:37" x14ac:dyDescent="0.2">
      <c r="A3535" t="str">
        <f>"20200111154136093"</f>
        <v>20200111154136093</v>
      </c>
      <c r="B3535" t="str">
        <f>"1578728496089404"</f>
        <v>1578728496089404</v>
      </c>
      <c r="C3535" t="s">
        <v>37</v>
      </c>
      <c r="D3535">
        <v>5.0355419999999897</v>
      </c>
      <c r="E3535">
        <v>0.39717199999999903</v>
      </c>
      <c r="F3535" t="s">
        <v>38</v>
      </c>
      <c r="G3535">
        <v>-417.8836</v>
      </c>
      <c r="H3535">
        <v>1.0547690000000001</v>
      </c>
      <c r="I3535">
        <v>126.9177</v>
      </c>
      <c r="J3535">
        <v>-417.99270000000001</v>
      </c>
      <c r="K3535">
        <v>1.1282399999999999</v>
      </c>
      <c r="L3535">
        <v>127.637</v>
      </c>
      <c r="M3535">
        <v>-0.59211740000000002</v>
      </c>
      <c r="N3535">
        <v>0</v>
      </c>
      <c r="O3535">
        <v>-0.80567440000000001</v>
      </c>
      <c r="P3535">
        <v>-0.3804707</v>
      </c>
      <c r="Q3535">
        <v>5.9953029999999997E-2</v>
      </c>
      <c r="R3535">
        <v>-0.92284769999999905</v>
      </c>
      <c r="S3535">
        <v>-0.43896479999999999</v>
      </c>
      <c r="T3535">
        <v>-0.21390519999999999</v>
      </c>
      <c r="U3535">
        <v>-3.0969090000000001</v>
      </c>
      <c r="V3535">
        <v>-0.2431566</v>
      </c>
      <c r="W3535">
        <v>6.5334790000000004E-2</v>
      </c>
      <c r="X3535">
        <v>0.96778419999999898</v>
      </c>
      <c r="Y3535">
        <v>-0.47333619999999998</v>
      </c>
      <c r="Z3535">
        <v>4.4823580000000002E-2</v>
      </c>
      <c r="AA3535">
        <v>0.87974069999999904</v>
      </c>
      <c r="AB3535">
        <v>44</v>
      </c>
      <c r="AC3535">
        <v>0.10910000000001201</v>
      </c>
      <c r="AD3535">
        <v>-7.34709999999998E-2</v>
      </c>
      <c r="AE3535">
        <v>-0.71930000000000405</v>
      </c>
      <c r="AF3535">
        <v>-0.50869465465814001</v>
      </c>
      <c r="AG3535">
        <v>-7.34709999999998E-2</v>
      </c>
      <c r="AH3535">
        <v>0.50979604587790195</v>
      </c>
      <c r="AI3535">
        <v>95.825005882819994</v>
      </c>
      <c r="AJ3535">
        <v>134.938040628301</v>
      </c>
      <c r="AK3535">
        <v>0.72392005629869705</v>
      </c>
    </row>
    <row r="3536" spans="1:37" x14ac:dyDescent="0.2">
      <c r="A3536" t="str">
        <f>"20200111154136128"</f>
        <v>20200111154136128</v>
      </c>
      <c r="B3536" t="str">
        <f>"1578728496119660"</f>
        <v>1578728496119660</v>
      </c>
      <c r="C3536" t="s">
        <v>37</v>
      </c>
      <c r="D3536">
        <v>5.0078209999999999</v>
      </c>
      <c r="E3536">
        <v>0.4079045</v>
      </c>
      <c r="F3536" t="s">
        <v>38</v>
      </c>
      <c r="G3536">
        <v>-418.12490000000003</v>
      </c>
      <c r="H3536">
        <v>1.0574509999999999</v>
      </c>
      <c r="I3536">
        <v>126.6208</v>
      </c>
      <c r="J3536">
        <v>-418.38389999999998</v>
      </c>
      <c r="K3536">
        <v>1.1282319999999999</v>
      </c>
      <c r="L3536">
        <v>127.09699999999999</v>
      </c>
      <c r="M3536">
        <v>-0.57221940000000004</v>
      </c>
      <c r="N3536">
        <v>0</v>
      </c>
      <c r="O3536">
        <v>-0.81992640000000006</v>
      </c>
      <c r="P3536">
        <v>-0.3586587</v>
      </c>
      <c r="Q3536">
        <v>5.9589360000000001E-2</v>
      </c>
      <c r="R3536">
        <v>-0.93156499999999998</v>
      </c>
      <c r="S3536">
        <v>-0.40310669999999998</v>
      </c>
      <c r="T3536">
        <v>-0.21584099999999901</v>
      </c>
      <c r="U3536">
        <v>-3.0986479999999998</v>
      </c>
      <c r="V3536">
        <v>-0.242226899999999</v>
      </c>
      <c r="W3536">
        <v>6.5025979999999997E-2</v>
      </c>
      <c r="X3536">
        <v>0.96803809999999901</v>
      </c>
      <c r="Y3536">
        <v>-0.46181480000000003</v>
      </c>
      <c r="Z3536">
        <v>4.6871740000000002E-2</v>
      </c>
      <c r="AA3536">
        <v>0.88573709999999894</v>
      </c>
      <c r="AB3536">
        <v>44</v>
      </c>
      <c r="AC3536">
        <v>0.25899999999995699</v>
      </c>
      <c r="AD3536">
        <v>-7.07809999999999E-2</v>
      </c>
      <c r="AE3536">
        <v>-0.47620000000000501</v>
      </c>
      <c r="AF3536">
        <v>-0.47679201900441198</v>
      </c>
      <c r="AG3536">
        <v>-7.07809999999999E-2</v>
      </c>
      <c r="AH3536">
        <v>0.23821725042490399</v>
      </c>
      <c r="AI3536">
        <v>97.564612998884499</v>
      </c>
      <c r="AJ3536">
        <v>153.45213648746099</v>
      </c>
      <c r="AK3536">
        <v>0.53766907828822097</v>
      </c>
    </row>
    <row r="3537" spans="1:37" x14ac:dyDescent="0.2">
      <c r="A3537" t="str">
        <f>"20200111154136149"</f>
        <v>20200111154136149</v>
      </c>
      <c r="B3537" t="str">
        <f>"1578728496139687"</f>
        <v>1578728496139687</v>
      </c>
      <c r="C3537" t="s">
        <v>37</v>
      </c>
      <c r="D3537">
        <v>5.0069249999999998</v>
      </c>
      <c r="E3537">
        <v>0.40875240000000002</v>
      </c>
      <c r="F3537" t="s">
        <v>38</v>
      </c>
      <c r="G3537">
        <v>-418.53120000000001</v>
      </c>
      <c r="H3537">
        <v>1.0442199999999999</v>
      </c>
      <c r="I3537">
        <v>125.9915</v>
      </c>
      <c r="J3537">
        <v>-418.61410000000001</v>
      </c>
      <c r="K3537">
        <v>1.128228</v>
      </c>
      <c r="L3537">
        <v>126.765</v>
      </c>
      <c r="M3537">
        <v>-0.55996219999999997</v>
      </c>
      <c r="N3537">
        <v>0</v>
      </c>
      <c r="O3537">
        <v>-0.82834569999999996</v>
      </c>
      <c r="P3537">
        <v>-0.34611350000000002</v>
      </c>
      <c r="Q3537">
        <v>5.9476880000000003E-2</v>
      </c>
      <c r="R3537">
        <v>-0.93630579999999997</v>
      </c>
      <c r="S3537">
        <v>-0.41000370000000003</v>
      </c>
      <c r="T3537">
        <v>-0.23386299999999999</v>
      </c>
      <c r="U3537">
        <v>-3.077515</v>
      </c>
      <c r="V3537">
        <v>-0.2408304</v>
      </c>
      <c r="W3537">
        <v>6.4988389999999993E-2</v>
      </c>
      <c r="X3537">
        <v>0.96838899999999895</v>
      </c>
      <c r="Y3537">
        <v>-0.44585530000000001</v>
      </c>
      <c r="Z3537">
        <v>5.2349109999999997E-2</v>
      </c>
      <c r="AA3537">
        <v>0.893572899999999</v>
      </c>
      <c r="AB3537">
        <v>43</v>
      </c>
      <c r="AC3537">
        <v>8.2899999999995005E-2</v>
      </c>
      <c r="AD3537">
        <v>-8.4007999999999805E-2</v>
      </c>
      <c r="AE3537">
        <v>-0.77349999999999797</v>
      </c>
      <c r="AF3537">
        <v>-0.496087125022598</v>
      </c>
      <c r="AG3537">
        <v>-8.4007999999999805E-2</v>
      </c>
      <c r="AH3537">
        <v>0.58753778904342602</v>
      </c>
      <c r="AI3537">
        <v>96.234753278807105</v>
      </c>
      <c r="AJ3537">
        <v>130.17605181218499</v>
      </c>
      <c r="AK3537">
        <v>0.77353760944845096</v>
      </c>
    </row>
    <row r="3538" spans="1:37" x14ac:dyDescent="0.2">
      <c r="A3538" t="str">
        <f>"20200111154136172"</f>
        <v>20200111154136172</v>
      </c>
      <c r="B3538" t="str">
        <f>"1578728496169942"</f>
        <v>1578728496169942</v>
      </c>
      <c r="C3538" t="s">
        <v>37</v>
      </c>
      <c r="D3538">
        <v>5.0882670000000001</v>
      </c>
      <c r="E3538">
        <v>0.42137770000000002</v>
      </c>
      <c r="F3538" t="s">
        <v>38</v>
      </c>
      <c r="G3538">
        <v>-418.74639999999999</v>
      </c>
      <c r="H3538">
        <v>1.0467089999999999</v>
      </c>
      <c r="I3538">
        <v>125.681</v>
      </c>
      <c r="J3538">
        <v>-418.85230000000001</v>
      </c>
      <c r="K3538">
        <v>1.128228</v>
      </c>
      <c r="L3538">
        <v>126.4098</v>
      </c>
      <c r="M3538">
        <v>-0.54681930000000001</v>
      </c>
      <c r="N3538">
        <v>0</v>
      </c>
      <c r="O3538">
        <v>-0.83708009999999999</v>
      </c>
      <c r="P3538">
        <v>-0.33256459999999999</v>
      </c>
      <c r="Q3538">
        <v>5.9456299999999997E-2</v>
      </c>
      <c r="R3538">
        <v>-0.94120479999999995</v>
      </c>
      <c r="S3538">
        <v>-0.375</v>
      </c>
      <c r="T3538">
        <v>-0.2315316</v>
      </c>
      <c r="U3538">
        <v>-3.080139</v>
      </c>
      <c r="V3538">
        <v>-0.23952119999999999</v>
      </c>
      <c r="W3538">
        <v>6.5039780000000005E-2</v>
      </c>
      <c r="X3538">
        <v>0.96871019999999897</v>
      </c>
      <c r="Y3538">
        <v>-0.441822099999999</v>
      </c>
      <c r="Z3538">
        <v>5.2836069999999999E-2</v>
      </c>
      <c r="AA3538">
        <v>0.89554539999999905</v>
      </c>
      <c r="AB3538">
        <v>43</v>
      </c>
      <c r="AC3538">
        <v>0.10590000000001901</v>
      </c>
      <c r="AD3538">
        <v>-8.1518999999999897E-2</v>
      </c>
      <c r="AE3538">
        <v>-0.728800000000006</v>
      </c>
      <c r="AF3538">
        <v>-0.48134060921745803</v>
      </c>
      <c r="AG3538">
        <v>-8.1518999999999897E-2</v>
      </c>
      <c r="AH3538">
        <v>0.54555028212854795</v>
      </c>
      <c r="AI3538">
        <v>96.393183515741995</v>
      </c>
      <c r="AJ3538">
        <v>131.42205429085499</v>
      </c>
      <c r="AK3538">
        <v>0.73209237106622804</v>
      </c>
    </row>
    <row r="3539" spans="1:37" x14ac:dyDescent="0.2">
      <c r="A3539" t="str">
        <f>"20200111154136195"</f>
        <v>20200111154136195</v>
      </c>
      <c r="B3539" t="str">
        <f>"1578728496189462"</f>
        <v>1578728496189462</v>
      </c>
      <c r="C3539" t="s">
        <v>37</v>
      </c>
      <c r="D3539">
        <v>5.0843930000000004</v>
      </c>
      <c r="E3539">
        <v>0.4217494</v>
      </c>
      <c r="F3539" t="s">
        <v>38</v>
      </c>
      <c r="G3539">
        <v>-418.99579999999997</v>
      </c>
      <c r="H3539">
        <v>1.042389</v>
      </c>
      <c r="I3539">
        <v>125.3826</v>
      </c>
      <c r="J3539">
        <v>-419.09</v>
      </c>
      <c r="K3539">
        <v>1.1282239999999999</v>
      </c>
      <c r="L3539">
        <v>126.0429</v>
      </c>
      <c r="M3539">
        <v>-0.53321430000000003</v>
      </c>
      <c r="N3539">
        <v>0</v>
      </c>
      <c r="O3539">
        <v>-0.84581119999999899</v>
      </c>
      <c r="P3539">
        <v>-0.31808049999999999</v>
      </c>
      <c r="Q3539">
        <v>6.0695800000000001E-2</v>
      </c>
      <c r="R3539">
        <v>-0.94611900000000004</v>
      </c>
      <c r="S3539">
        <v>-0.4265137</v>
      </c>
      <c r="T3539">
        <v>-0.25512590000000002</v>
      </c>
      <c r="U3539">
        <v>-3.0528110000000002</v>
      </c>
      <c r="V3539">
        <v>-0.2387387</v>
      </c>
      <c r="W3539">
        <v>6.6325869999999995E-2</v>
      </c>
      <c r="X3539">
        <v>0.96881609999999996</v>
      </c>
      <c r="Y3539">
        <v>-0.41131819999999902</v>
      </c>
      <c r="Z3539">
        <v>6.033326E-2</v>
      </c>
      <c r="AA3539">
        <v>0.90949290000000005</v>
      </c>
      <c r="AB3539">
        <v>43</v>
      </c>
      <c r="AC3539">
        <v>9.42000000000007E-2</v>
      </c>
      <c r="AD3539">
        <v>-8.58349999999998E-2</v>
      </c>
      <c r="AE3539">
        <v>-0.66030000000000599</v>
      </c>
      <c r="AF3539">
        <v>-0.42478356244061499</v>
      </c>
      <c r="AG3539">
        <v>-8.58349999999998E-2</v>
      </c>
      <c r="AH3539">
        <v>0.500051493647093</v>
      </c>
      <c r="AI3539">
        <v>97.453235183494897</v>
      </c>
      <c r="AJ3539">
        <v>130.34722328983</v>
      </c>
      <c r="AK3539">
        <v>0.66171007128759096</v>
      </c>
    </row>
    <row r="3540" spans="1:37" x14ac:dyDescent="0.2">
      <c r="A3540" t="str">
        <f>"20200111154136216"</f>
        <v>20200111154136216</v>
      </c>
      <c r="B3540" t="str">
        <f>"1578728496209958"</f>
        <v>1578728496209958</v>
      </c>
      <c r="C3540" t="s">
        <v>37</v>
      </c>
      <c r="D3540">
        <v>5.0964029999999996</v>
      </c>
      <c r="E3540">
        <v>0.42309600000000003</v>
      </c>
      <c r="F3540" t="s">
        <v>38</v>
      </c>
      <c r="G3540">
        <v>-419.21910000000003</v>
      </c>
      <c r="H3540">
        <v>1.042068</v>
      </c>
      <c r="I3540">
        <v>125.014</v>
      </c>
      <c r="J3540">
        <v>-419.31650000000002</v>
      </c>
      <c r="K3540">
        <v>1.1282110000000001</v>
      </c>
      <c r="L3540">
        <v>125.68040000000001</v>
      </c>
      <c r="M3540">
        <v>-0.51974430000000005</v>
      </c>
      <c r="N3540">
        <v>0</v>
      </c>
      <c r="O3540">
        <v>-0.85415450000000004</v>
      </c>
      <c r="P3540">
        <v>-0.30334420000000001</v>
      </c>
      <c r="Q3540">
        <v>6.1563609999999998E-2</v>
      </c>
      <c r="R3540">
        <v>-0.95089040000000002</v>
      </c>
      <c r="S3540">
        <v>-0.38320920000000003</v>
      </c>
      <c r="T3540">
        <v>-0.25604759999999999</v>
      </c>
      <c r="U3540">
        <v>-3.0584259999999999</v>
      </c>
      <c r="V3540">
        <v>-0.23844589999999999</v>
      </c>
      <c r="W3540">
        <v>6.7216049999999999E-2</v>
      </c>
      <c r="X3540">
        <v>0.96882690000000005</v>
      </c>
      <c r="Y3540">
        <v>-0.40976669999999998</v>
      </c>
      <c r="Z3540">
        <v>6.1520180000000001E-2</v>
      </c>
      <c r="AA3540">
        <v>0.91011350000000002</v>
      </c>
      <c r="AB3540">
        <v>43</v>
      </c>
      <c r="AC3540">
        <v>9.73999999999932E-2</v>
      </c>
      <c r="AD3540">
        <v>-8.6142999999999997E-2</v>
      </c>
      <c r="AE3540">
        <v>-0.66640000000000998</v>
      </c>
      <c r="AF3540">
        <v>-0.42269822617800401</v>
      </c>
      <c r="AG3540">
        <v>-8.6142999999999997E-2</v>
      </c>
      <c r="AH3540">
        <v>0.51031080814477103</v>
      </c>
      <c r="AI3540">
        <v>97.406902281328698</v>
      </c>
      <c r="AJ3540">
        <v>129.635470920583</v>
      </c>
      <c r="AK3540">
        <v>0.66821518074075503</v>
      </c>
    </row>
    <row r="3541" spans="1:37" x14ac:dyDescent="0.2">
      <c r="A3541" t="str">
        <f>"20200111154136238"</f>
        <v>20200111154136238</v>
      </c>
      <c r="B3541" t="str">
        <f>"1578728496229478"</f>
        <v>1578728496229478</v>
      </c>
      <c r="C3541" t="s">
        <v>37</v>
      </c>
      <c r="D3541">
        <v>5.0735549999999998</v>
      </c>
      <c r="E3541">
        <v>0.424278299999999</v>
      </c>
      <c r="F3541" t="s">
        <v>39</v>
      </c>
      <c r="G3541">
        <v>-420.83269999999999</v>
      </c>
      <c r="H3541" s="1">
        <v>-1.3824789999999999E-6</v>
      </c>
      <c r="I3541">
        <v>112.29519999999999</v>
      </c>
      <c r="J3541">
        <v>-419.52749999999997</v>
      </c>
      <c r="K3541">
        <v>1.1282000000000001</v>
      </c>
      <c r="L3541">
        <v>125.3305</v>
      </c>
      <c r="M3541">
        <v>-0.50671060000000001</v>
      </c>
      <c r="N3541">
        <v>0</v>
      </c>
      <c r="O3541">
        <v>-0.86194999999999999</v>
      </c>
      <c r="P3541">
        <v>-0.28966329999999901</v>
      </c>
      <c r="Q3541">
        <v>6.1172020000000001E-2</v>
      </c>
      <c r="R3541">
        <v>-0.95517160000000001</v>
      </c>
      <c r="S3541">
        <v>-0.34674070000000001</v>
      </c>
      <c r="T3541">
        <v>-0.2580076</v>
      </c>
      <c r="U3541">
        <v>-3.0610200000000001</v>
      </c>
      <c r="V3541">
        <v>-0.23763039999999999</v>
      </c>
      <c r="W3541">
        <v>6.6872550000000003E-2</v>
      </c>
      <c r="X3541">
        <v>0.969051</v>
      </c>
      <c r="Y3541">
        <v>-0.4067055</v>
      </c>
      <c r="Z3541">
        <v>6.2979950000000007E-2</v>
      </c>
      <c r="AA3541">
        <v>0.91138580000000002</v>
      </c>
      <c r="AB3541">
        <v>43</v>
      </c>
      <c r="AC3541">
        <v>-1.3052000000000099</v>
      </c>
      <c r="AD3541">
        <v>-1.128201382479</v>
      </c>
      <c r="AE3541">
        <v>-13.035299999999999</v>
      </c>
      <c r="AF3541">
        <v>-5.4405431482823996</v>
      </c>
      <c r="AG3541">
        <v>-1.128201382479</v>
      </c>
      <c r="AH3541">
        <v>11.8112424914931</v>
      </c>
      <c r="AI3541">
        <v>94.958439216063198</v>
      </c>
      <c r="AJ3541">
        <v>114.731937342027</v>
      </c>
      <c r="AK3541">
        <v>13.0528846352292</v>
      </c>
    </row>
    <row r="3542" spans="1:37" x14ac:dyDescent="0.2">
      <c r="A3542" t="str">
        <f>"20200111154136261"</f>
        <v>20200111154136261</v>
      </c>
      <c r="B3542" t="str">
        <f>"1578728496249974"</f>
        <v>1578728496249974</v>
      </c>
      <c r="C3542" t="s">
        <v>37</v>
      </c>
      <c r="D3542">
        <v>5.1134779999999997</v>
      </c>
      <c r="E3542">
        <v>0.42488869999999901</v>
      </c>
      <c r="F3542" t="s">
        <v>39</v>
      </c>
      <c r="G3542">
        <v>-420.87779999999998</v>
      </c>
      <c r="H3542" s="1">
        <v>-1.2911719999999899E-6</v>
      </c>
      <c r="I3542">
        <v>112.0544</v>
      </c>
      <c r="J3542">
        <v>-419.73899999999998</v>
      </c>
      <c r="K3542">
        <v>1.1281889999999899</v>
      </c>
      <c r="L3542">
        <v>124.9674</v>
      </c>
      <c r="M3542">
        <v>-0.49315179999999997</v>
      </c>
      <c r="N3542">
        <v>0</v>
      </c>
      <c r="O3542">
        <v>-0.86977870000000002</v>
      </c>
      <c r="P3542">
        <v>-0.27603840000000002</v>
      </c>
      <c r="Q3542">
        <v>6.0385340000000003E-2</v>
      </c>
      <c r="R3542">
        <v>-0.95924789999999904</v>
      </c>
      <c r="S3542">
        <v>-0.31152340000000001</v>
      </c>
      <c r="T3542">
        <v>-0.26029229999999998</v>
      </c>
      <c r="U3542">
        <v>-3.0629879999999998</v>
      </c>
      <c r="V3542">
        <v>-0.23623569999999999</v>
      </c>
      <c r="W3542">
        <v>6.6163630000000001E-2</v>
      </c>
      <c r="X3542">
        <v>0.96944059999999899</v>
      </c>
      <c r="Y3542">
        <v>-0.40283209999999903</v>
      </c>
      <c r="Z3542">
        <v>6.4564300000000005E-2</v>
      </c>
      <c r="AA3542">
        <v>0.91299379999999997</v>
      </c>
      <c r="AB3542">
        <v>43</v>
      </c>
      <c r="AC3542">
        <v>-1.1387999999999401</v>
      </c>
      <c r="AD3542">
        <v>-1.1281902911720001</v>
      </c>
      <c r="AE3542">
        <v>-12.912999999999901</v>
      </c>
      <c r="AF3542">
        <v>-5.3379040255493404</v>
      </c>
      <c r="AG3542">
        <v>-1.1281902911720001</v>
      </c>
      <c r="AH3542">
        <v>11.7060762540307</v>
      </c>
      <c r="AI3542">
        <v>95.011446888045697</v>
      </c>
      <c r="AJ3542">
        <v>114.512715351419</v>
      </c>
      <c r="AK3542">
        <v>12.915039836727299</v>
      </c>
    </row>
    <row r="3543" spans="1:37" x14ac:dyDescent="0.2">
      <c r="A3543" t="str">
        <f>"20200111154136284"</f>
        <v>20200111154136284</v>
      </c>
      <c r="B3543" t="str">
        <f>"1578728496279254"</f>
        <v>1578728496279254</v>
      </c>
      <c r="C3543" t="s">
        <v>37</v>
      </c>
      <c r="D3543">
        <v>5.1471530000000003</v>
      </c>
      <c r="E3543">
        <v>0.42597679999999999</v>
      </c>
      <c r="F3543" t="s">
        <v>39</v>
      </c>
      <c r="G3543">
        <v>-420.90519999999998</v>
      </c>
      <c r="H3543" s="1">
        <v>-1.199725E-6</v>
      </c>
      <c r="I3543">
        <v>111.82429999999999</v>
      </c>
      <c r="J3543">
        <v>-419.94929999999999</v>
      </c>
      <c r="K3543">
        <v>1.128182</v>
      </c>
      <c r="L3543">
        <v>124.59220000000001</v>
      </c>
      <c r="M3543">
        <v>-0.47910999999999998</v>
      </c>
      <c r="N3543">
        <v>0</v>
      </c>
      <c r="O3543">
        <v>-0.87759200000000004</v>
      </c>
      <c r="P3543">
        <v>-0.26236870000000001</v>
      </c>
      <c r="Q3543">
        <v>6.041535E-2</v>
      </c>
      <c r="R3543">
        <v>-0.96307489999999996</v>
      </c>
      <c r="S3543">
        <v>-0.27203369999999999</v>
      </c>
      <c r="T3543">
        <v>-0.26315699999999997</v>
      </c>
      <c r="U3543">
        <v>-3.0657199999999998</v>
      </c>
      <c r="V3543">
        <v>-0.23444019999999999</v>
      </c>
      <c r="W3543">
        <v>6.6291149999999993E-2</v>
      </c>
      <c r="X3543">
        <v>0.96986759999999905</v>
      </c>
      <c r="Y3543">
        <v>-0.39986670000000002</v>
      </c>
      <c r="Z3543">
        <v>6.6276849999999998E-2</v>
      </c>
      <c r="AA3543">
        <v>0.91417399999999904</v>
      </c>
      <c r="AB3543">
        <v>43</v>
      </c>
      <c r="AC3543">
        <v>-0.95589999999998498</v>
      </c>
      <c r="AD3543">
        <v>-1.128183199725</v>
      </c>
      <c r="AE3543">
        <v>-12.767899999999999</v>
      </c>
      <c r="AF3543">
        <v>-5.2384212620382797</v>
      </c>
      <c r="AG3543">
        <v>-1.128183199725</v>
      </c>
      <c r="AH3543">
        <v>11.574787504593999</v>
      </c>
      <c r="AI3543">
        <v>95.074465813504801</v>
      </c>
      <c r="AJ3543">
        <v>114.35016168659899</v>
      </c>
      <c r="AK3543">
        <v>12.754981788588401</v>
      </c>
    </row>
    <row r="3544" spans="1:37" x14ac:dyDescent="0.2">
      <c r="A3544" t="str">
        <f>"20200111154136306"</f>
        <v>20200111154136306</v>
      </c>
      <c r="B3544" t="str">
        <f>"1578728496299750"</f>
        <v>1578728496299750</v>
      </c>
      <c r="C3544" t="s">
        <v>37</v>
      </c>
      <c r="D3544">
        <v>5.1344079999999996</v>
      </c>
      <c r="E3544">
        <v>0.42673499999999998</v>
      </c>
      <c r="F3544" t="s">
        <v>38</v>
      </c>
      <c r="G3544">
        <v>-420.04050000000001</v>
      </c>
      <c r="H3544">
        <v>1.0264879999999901</v>
      </c>
      <c r="I3544">
        <v>123.4136</v>
      </c>
      <c r="J3544">
        <v>-420.15190000000001</v>
      </c>
      <c r="K3544">
        <v>1.128172</v>
      </c>
      <c r="L3544">
        <v>124.2159</v>
      </c>
      <c r="M3544">
        <v>-0.46499689999999999</v>
      </c>
      <c r="N3544">
        <v>0</v>
      </c>
      <c r="O3544">
        <v>-0.88515059999999901</v>
      </c>
      <c r="P3544">
        <v>-0.24764620000000001</v>
      </c>
      <c r="Q3544">
        <v>6.1404819999999999E-2</v>
      </c>
      <c r="R3544">
        <v>-0.96690279999999995</v>
      </c>
      <c r="S3544">
        <v>-0.2370911</v>
      </c>
      <c r="T3544">
        <v>-0.26460869999999997</v>
      </c>
      <c r="U3544">
        <v>-3.0670470000000001</v>
      </c>
      <c r="V3544">
        <v>-0.2337196</v>
      </c>
      <c r="W3544">
        <v>6.7325469999999998E-2</v>
      </c>
      <c r="X3544">
        <v>0.96997029999999995</v>
      </c>
      <c r="Y3544">
        <v>-0.39557340000000002</v>
      </c>
      <c r="Z3544">
        <v>6.7670019999999997E-2</v>
      </c>
      <c r="AA3544">
        <v>0.91593799999999903</v>
      </c>
      <c r="AB3544">
        <v>43</v>
      </c>
      <c r="AC3544">
        <v>0.111400000000003</v>
      </c>
      <c r="AD3544">
        <v>-0.101684</v>
      </c>
      <c r="AE3544">
        <v>-0.80230000000000201</v>
      </c>
      <c r="AF3544">
        <v>-0.46442134442475302</v>
      </c>
      <c r="AG3544">
        <v>-0.101684</v>
      </c>
      <c r="AH3544">
        <v>0.64823418446047998</v>
      </c>
      <c r="AI3544">
        <v>97.266833101088693</v>
      </c>
      <c r="AJ3544">
        <v>125.61935220823899</v>
      </c>
      <c r="AK3544">
        <v>0.80388704363015995</v>
      </c>
    </row>
    <row r="3545" spans="1:37" x14ac:dyDescent="0.2">
      <c r="A3545" t="str">
        <f>"20200111154136329"</f>
        <v>20200111154136329</v>
      </c>
      <c r="B3545" t="str">
        <f>"1578728496320246"</f>
        <v>1578728496320246</v>
      </c>
      <c r="C3545" t="s">
        <v>37</v>
      </c>
      <c r="D3545">
        <v>5.1844390000000002</v>
      </c>
      <c r="E3545">
        <v>0.43476549999999903</v>
      </c>
      <c r="F3545" t="s">
        <v>38</v>
      </c>
      <c r="G3545">
        <v>-420.2242</v>
      </c>
      <c r="H3545">
        <v>1.0310820000000001</v>
      </c>
      <c r="I3545">
        <v>123.0864</v>
      </c>
      <c r="J3545">
        <v>-420.34730000000002</v>
      </c>
      <c r="K3545">
        <v>1.128155</v>
      </c>
      <c r="L3545">
        <v>123.83839999999999</v>
      </c>
      <c r="M3545">
        <v>-0.45080439999999999</v>
      </c>
      <c r="N3545">
        <v>0</v>
      </c>
      <c r="O3545">
        <v>-0.89246250000000005</v>
      </c>
      <c r="P3545">
        <v>-0.2332215</v>
      </c>
      <c r="Q3545">
        <v>6.132377E-2</v>
      </c>
      <c r="R3545">
        <v>-0.97048809999999996</v>
      </c>
      <c r="S3545">
        <v>-0.19631960000000001</v>
      </c>
      <c r="T3545">
        <v>-0.26380679999999901</v>
      </c>
      <c r="U3545">
        <v>-3.0691679999999999</v>
      </c>
      <c r="V3545">
        <v>-0.2326703</v>
      </c>
      <c r="W3545">
        <v>6.7304539999999996E-2</v>
      </c>
      <c r="X3545">
        <v>0.97022399999999998</v>
      </c>
      <c r="Y3545">
        <v>-0.39306740000000001</v>
      </c>
      <c r="Z3545">
        <v>6.8411449999999999E-2</v>
      </c>
      <c r="AA3545">
        <v>0.91696119999999903</v>
      </c>
      <c r="AB3545">
        <v>43</v>
      </c>
      <c r="AC3545">
        <v>0.123100000000022</v>
      </c>
      <c r="AD3545">
        <v>-9.7072999999999895E-2</v>
      </c>
      <c r="AE3545">
        <v>-0.75199999999999501</v>
      </c>
      <c r="AF3545">
        <v>-0.441762151376415</v>
      </c>
      <c r="AG3545">
        <v>-9.7072999999999895E-2</v>
      </c>
      <c r="AH3545">
        <v>0.60589315689533696</v>
      </c>
      <c r="AI3545">
        <v>97.376385943213904</v>
      </c>
      <c r="AJ3545">
        <v>126.096126622696</v>
      </c>
      <c r="AK3545">
        <v>0.75609753556688397</v>
      </c>
    </row>
    <row r="3546" spans="1:37" x14ac:dyDescent="0.2">
      <c r="A3546" t="str">
        <f>"20200111154136350"</f>
        <v>20200111154136350</v>
      </c>
      <c r="B3546" t="str">
        <f>"1578728496339768"</f>
        <v>1578728496339768</v>
      </c>
      <c r="C3546" t="s">
        <v>37</v>
      </c>
      <c r="D3546">
        <v>5.1900820000000003</v>
      </c>
      <c r="E3546">
        <v>0.43482009999999999</v>
      </c>
      <c r="F3546" t="s">
        <v>38</v>
      </c>
      <c r="G3546">
        <v>-420.42849999999999</v>
      </c>
      <c r="H3546">
        <v>1.019299</v>
      </c>
      <c r="I3546">
        <v>122.6773</v>
      </c>
      <c r="J3546">
        <v>-420.53030000000001</v>
      </c>
      <c r="K3546">
        <v>1.1281330000000001</v>
      </c>
      <c r="L3546">
        <v>123.47069999999999</v>
      </c>
      <c r="M3546">
        <v>-0.4369479</v>
      </c>
      <c r="N3546">
        <v>0</v>
      </c>
      <c r="O3546">
        <v>-0.89932769999999995</v>
      </c>
      <c r="P3546">
        <v>-0.219696999999999</v>
      </c>
      <c r="Q3546">
        <v>5.9916740000000003E-2</v>
      </c>
      <c r="R3546">
        <v>-0.97372649999999905</v>
      </c>
      <c r="S3546">
        <v>-0.2142029</v>
      </c>
      <c r="T3546">
        <v>-0.28670509999999999</v>
      </c>
      <c r="U3546">
        <v>-3.057877</v>
      </c>
      <c r="V3546">
        <v>-0.2311346</v>
      </c>
      <c r="W3546">
        <v>6.5981410000000004E-2</v>
      </c>
      <c r="X3546">
        <v>0.97068180000000004</v>
      </c>
      <c r="Y3546">
        <v>-0.37324040000000003</v>
      </c>
      <c r="Z3546">
        <v>7.5902720000000007E-2</v>
      </c>
      <c r="AA3546">
        <v>0.92462449999999996</v>
      </c>
      <c r="AB3546">
        <v>43</v>
      </c>
      <c r="AC3546">
        <v>0.101800000000025</v>
      </c>
      <c r="AD3546">
        <v>-0.108834</v>
      </c>
      <c r="AE3546">
        <v>-0.793399999999991</v>
      </c>
      <c r="AF3546">
        <v>-0.43032262244147701</v>
      </c>
      <c r="AG3546">
        <v>-0.108834</v>
      </c>
      <c r="AH3546">
        <v>0.65697907668118705</v>
      </c>
      <c r="AI3546">
        <v>97.889658609164798</v>
      </c>
      <c r="AJ3546">
        <v>123.22487979882899</v>
      </c>
      <c r="AK3546">
        <v>0.79287067428287195</v>
      </c>
    </row>
    <row r="3547" spans="1:37" x14ac:dyDescent="0.2">
      <c r="A3547" t="str">
        <f>"20200111154136373"</f>
        <v>20200111154136373</v>
      </c>
      <c r="B3547" t="str">
        <f>"1578728496370023"</f>
        <v>1578728496370023</v>
      </c>
      <c r="C3547" t="s">
        <v>37</v>
      </c>
      <c r="D3547">
        <v>5.1413640000000003</v>
      </c>
      <c r="E3547">
        <v>0.43571729999999997</v>
      </c>
      <c r="F3547" t="s">
        <v>39</v>
      </c>
      <c r="G3547">
        <v>-421.20190000000002</v>
      </c>
      <c r="H3547" s="1">
        <v>-1.115048E-6</v>
      </c>
      <c r="I3547">
        <v>111.44280000000001</v>
      </c>
      <c r="J3547">
        <v>-420.7115</v>
      </c>
      <c r="K3547">
        <v>1.1281159999999999</v>
      </c>
      <c r="L3547">
        <v>123.0919</v>
      </c>
      <c r="M3547">
        <v>-0.42264119999999999</v>
      </c>
      <c r="N3547">
        <v>0</v>
      </c>
      <c r="O3547">
        <v>-0.90613949999999999</v>
      </c>
      <c r="P3547">
        <v>-0.20600160000000001</v>
      </c>
      <c r="Q3547">
        <v>5.8823880000000002E-2</v>
      </c>
      <c r="R3547">
        <v>-0.97678229999999999</v>
      </c>
      <c r="S3547">
        <v>-0.17086789999999999</v>
      </c>
      <c r="T3547">
        <v>-0.287014099999999</v>
      </c>
      <c r="U3547">
        <v>-3.0600589999999999</v>
      </c>
      <c r="V3547">
        <v>-0.22935800000000001</v>
      </c>
      <c r="W3547">
        <v>6.4984589999999995E-2</v>
      </c>
      <c r="X3547">
        <v>0.97117039999999999</v>
      </c>
      <c r="Y3547">
        <v>-0.37163069999999998</v>
      </c>
      <c r="Z3547">
        <v>7.6924560000000003E-2</v>
      </c>
      <c r="AA3547">
        <v>0.92518820000000002</v>
      </c>
      <c r="AB3547">
        <v>43</v>
      </c>
      <c r="AC3547">
        <v>-0.49040000000002198</v>
      </c>
      <c r="AD3547">
        <v>-1.1281171150479901</v>
      </c>
      <c r="AE3547">
        <v>-11.649099999999899</v>
      </c>
      <c r="AF3547">
        <v>-4.4381103330681597</v>
      </c>
      <c r="AG3547">
        <v>-1.1281171150479901</v>
      </c>
      <c r="AH3547">
        <v>10.664670864770899</v>
      </c>
      <c r="AI3547">
        <v>95.577912694917302</v>
      </c>
      <c r="AJ3547">
        <v>112.594671204799</v>
      </c>
      <c r="AK3547">
        <v>11.606234368116301</v>
      </c>
    </row>
    <row r="3548" spans="1:37" x14ac:dyDescent="0.2">
      <c r="A3548" t="str">
        <f>"20200111154136396"</f>
        <v>20200111154136396</v>
      </c>
      <c r="B3548" t="str">
        <f>"1578728496389542"</f>
        <v>1578728496389542</v>
      </c>
      <c r="C3548" t="s">
        <v>37</v>
      </c>
      <c r="D3548">
        <v>5.2071489999999896</v>
      </c>
      <c r="E3548">
        <v>0.43609940000000003</v>
      </c>
      <c r="F3548" t="s">
        <v>39</v>
      </c>
      <c r="G3548">
        <v>-421.24189999999999</v>
      </c>
      <c r="H3548" s="1">
        <v>-9.2139479999999996E-7</v>
      </c>
      <c r="I3548">
        <v>110.9666</v>
      </c>
      <c r="J3548">
        <v>-420.8895</v>
      </c>
      <c r="K3548">
        <v>1.128098</v>
      </c>
      <c r="L3548">
        <v>122.7038</v>
      </c>
      <c r="M3548">
        <v>-0.4079527</v>
      </c>
      <c r="N3548">
        <v>0</v>
      </c>
      <c r="O3548">
        <v>-0.91284639999999995</v>
      </c>
      <c r="P3548">
        <v>-0.19187799999999999</v>
      </c>
      <c r="Q3548">
        <v>5.899944E-2</v>
      </c>
      <c r="R3548">
        <v>-0.97964379999999995</v>
      </c>
      <c r="S3548">
        <v>-0.13388059999999999</v>
      </c>
      <c r="T3548">
        <v>-0.284719</v>
      </c>
      <c r="U3548">
        <v>-3.0602259999999899</v>
      </c>
      <c r="V3548">
        <v>-0.22769539999999899</v>
      </c>
      <c r="W3548">
        <v>6.5249619999999994E-2</v>
      </c>
      <c r="X3548">
        <v>0.97154379999999996</v>
      </c>
      <c r="Y3548">
        <v>-0.36779629999999902</v>
      </c>
      <c r="Z3548">
        <v>7.7317819999999995E-2</v>
      </c>
      <c r="AA3548">
        <v>0.92668649999999997</v>
      </c>
      <c r="AB3548">
        <v>43</v>
      </c>
      <c r="AC3548">
        <v>-0.352399999999988</v>
      </c>
      <c r="AD3548">
        <v>-1.1280989213948001</v>
      </c>
      <c r="AE3548">
        <v>-11.7372</v>
      </c>
      <c r="AF3548">
        <v>-4.4263219607298598</v>
      </c>
      <c r="AG3548">
        <v>-1.1280989213948001</v>
      </c>
      <c r="AH3548">
        <v>10.760265644019301</v>
      </c>
      <c r="AI3548">
        <v>95.537888297789294</v>
      </c>
      <c r="AJ3548">
        <v>112.36021060586</v>
      </c>
      <c r="AK3548">
        <v>11.6896642383926</v>
      </c>
    </row>
    <row r="3549" spans="1:37" x14ac:dyDescent="0.2">
      <c r="A3549" t="str">
        <f>"20200111154136419"</f>
        <v>20200111154136419</v>
      </c>
      <c r="B3549" t="str">
        <f>"1578728496410038"</f>
        <v>1578728496410038</v>
      </c>
      <c r="C3549" t="s">
        <v>37</v>
      </c>
      <c r="D3549">
        <v>5.2116730000000002</v>
      </c>
      <c r="E3549">
        <v>0.43642249999999999</v>
      </c>
      <c r="F3549" t="s">
        <v>39</v>
      </c>
      <c r="G3549">
        <v>-421.25740000000002</v>
      </c>
      <c r="H3549" s="1">
        <v>-7.3064619999999897E-7</v>
      </c>
      <c r="I3549">
        <v>110.5124</v>
      </c>
      <c r="J3549">
        <v>-421.06349999999998</v>
      </c>
      <c r="K3549">
        <v>1.128077</v>
      </c>
      <c r="L3549">
        <v>122.3074</v>
      </c>
      <c r="M3549">
        <v>-0.3929203</v>
      </c>
      <c r="N3549">
        <v>0</v>
      </c>
      <c r="O3549">
        <v>-0.91941719999999905</v>
      </c>
      <c r="P3549">
        <v>-0.17804229999999999</v>
      </c>
      <c r="Q3549">
        <v>5.9694879999999999E-2</v>
      </c>
      <c r="R3549">
        <v>-0.98221059999999905</v>
      </c>
      <c r="S3549">
        <v>-9.2376710000000001E-2</v>
      </c>
      <c r="T3549">
        <v>-0.28327249999999998</v>
      </c>
      <c r="U3549">
        <v>-3.0613250000000001</v>
      </c>
      <c r="V3549">
        <v>-0.2254669</v>
      </c>
      <c r="W3549">
        <v>6.6061819999999993E-2</v>
      </c>
      <c r="X3549">
        <v>0.97200849999999905</v>
      </c>
      <c r="Y3549">
        <v>-0.36510159999999903</v>
      </c>
      <c r="Z3549">
        <v>7.7860879999999993E-2</v>
      </c>
      <c r="AA3549">
        <v>0.92770609999999998</v>
      </c>
      <c r="AB3549">
        <v>43</v>
      </c>
      <c r="AC3549">
        <v>-0.19390000000004201</v>
      </c>
      <c r="AD3549">
        <v>-1.1280777306462</v>
      </c>
      <c r="AE3549">
        <v>-11.795</v>
      </c>
      <c r="AF3549">
        <v>-4.4164696821434504</v>
      </c>
      <c r="AG3549">
        <v>-1.1280777306462</v>
      </c>
      <c r="AH3549">
        <v>10.823298449133899</v>
      </c>
      <c r="AI3549">
        <v>95.512082509202799</v>
      </c>
      <c r="AJ3549">
        <v>112.19801868792401</v>
      </c>
      <c r="AK3549">
        <v>11.744000729678801</v>
      </c>
    </row>
    <row r="3550" spans="1:37" x14ac:dyDescent="0.2">
      <c r="A3550" t="str">
        <f>"20200111154136440"</f>
        <v>20200111154136440</v>
      </c>
      <c r="B3550" t="str">
        <f>"1578728496429558"</f>
        <v>1578728496429558</v>
      </c>
      <c r="C3550" t="s">
        <v>37</v>
      </c>
      <c r="D3550">
        <v>5.2284990000000002</v>
      </c>
      <c r="E3550">
        <v>0.44183260000000002</v>
      </c>
      <c r="F3550" t="s">
        <v>39</v>
      </c>
      <c r="G3550">
        <v>-421.26740000000001</v>
      </c>
      <c r="H3550" s="1">
        <v>-5.1556459999999905E-7</v>
      </c>
      <c r="I3550">
        <v>110.0048</v>
      </c>
      <c r="J3550">
        <v>-421.21839999999997</v>
      </c>
      <c r="K3550">
        <v>1.128066</v>
      </c>
      <c r="L3550">
        <v>121.9387</v>
      </c>
      <c r="M3550">
        <v>-0.37891269999999999</v>
      </c>
      <c r="N3550">
        <v>0</v>
      </c>
      <c r="O3550">
        <v>-0.92527819999999905</v>
      </c>
      <c r="P3550">
        <v>-0.16573060000000001</v>
      </c>
      <c r="Q3550">
        <v>6.048721E-2</v>
      </c>
      <c r="R3550">
        <v>-0.98431429999999998</v>
      </c>
      <c r="S3550">
        <v>-5.0750730000000001E-2</v>
      </c>
      <c r="T3550">
        <v>-0.28078839999999999</v>
      </c>
      <c r="U3550">
        <v>-3.0622250000000002</v>
      </c>
      <c r="V3550">
        <v>-0.22288829999999901</v>
      </c>
      <c r="W3550">
        <v>6.6986729999999994E-2</v>
      </c>
      <c r="X3550">
        <v>0.97253979999999995</v>
      </c>
      <c r="Y3550">
        <v>-0.36357790000000001</v>
      </c>
      <c r="Z3550">
        <v>7.7990260000000006E-2</v>
      </c>
      <c r="AA3550">
        <v>0.92829340000000005</v>
      </c>
      <c r="AB3550">
        <v>43</v>
      </c>
      <c r="AC3550">
        <v>-4.9000000000035002E-2</v>
      </c>
      <c r="AD3550">
        <v>-1.1280665155645999</v>
      </c>
      <c r="AE3550">
        <v>-11.9338999999999</v>
      </c>
      <c r="AF3550">
        <v>-4.4375568018404401</v>
      </c>
      <c r="AG3550">
        <v>-1.1280665155645999</v>
      </c>
      <c r="AH3550">
        <v>10.964355900972</v>
      </c>
      <c r="AI3550">
        <v>95.447822622521599</v>
      </c>
      <c r="AJ3550">
        <v>112.03444537695501</v>
      </c>
      <c r="AK3550">
        <v>11.8819840412398</v>
      </c>
    </row>
    <row r="3551" spans="1:37" x14ac:dyDescent="0.2">
      <c r="A3551" t="str">
        <f>"20200111154136462"</f>
        <v>20200111154136462</v>
      </c>
      <c r="B3551" t="str">
        <f>"1578728496459814"</f>
        <v>1578728496459814</v>
      </c>
      <c r="C3551" t="s">
        <v>37</v>
      </c>
      <c r="D3551">
        <v>5.2392539999999999</v>
      </c>
      <c r="E3551">
        <v>0.44261070000000002</v>
      </c>
      <c r="F3551" t="s">
        <v>39</v>
      </c>
      <c r="G3551">
        <v>-421.43380000000002</v>
      </c>
      <c r="H3551" s="1">
        <v>-6.0457129999999997E-7</v>
      </c>
      <c r="I3551">
        <v>110.1091</v>
      </c>
      <c r="J3551">
        <v>-421.37099999999998</v>
      </c>
      <c r="K3551">
        <v>1.1280410000000001</v>
      </c>
      <c r="L3551">
        <v>121.55889999999999</v>
      </c>
      <c r="M3551">
        <v>-0.36446040000000002</v>
      </c>
      <c r="N3551">
        <v>0</v>
      </c>
      <c r="O3551">
        <v>-0.9310659</v>
      </c>
      <c r="P3551">
        <v>-0.152926799999999</v>
      </c>
      <c r="Q3551">
        <v>6.0995460000000001E-2</v>
      </c>
      <c r="R3551">
        <v>-0.98635390000000001</v>
      </c>
      <c r="S3551">
        <v>-5.5664060000000001E-2</v>
      </c>
      <c r="T3551">
        <v>-0.29145159999999998</v>
      </c>
      <c r="U3551">
        <v>-3.0563349999999998</v>
      </c>
      <c r="V3551">
        <v>-0.2203888</v>
      </c>
      <c r="W3551">
        <v>6.762282E-2</v>
      </c>
      <c r="X3551">
        <v>0.97306530000000002</v>
      </c>
      <c r="Y3551">
        <v>-0.34750779999999998</v>
      </c>
      <c r="Z3551">
        <v>8.2193370000000002E-2</v>
      </c>
      <c r="AA3551">
        <v>0.93406769999999995</v>
      </c>
      <c r="AB3551">
        <v>42</v>
      </c>
      <c r="AC3551">
        <v>-6.2800000000038297E-2</v>
      </c>
      <c r="AD3551">
        <v>-1.1280416045713</v>
      </c>
      <c r="AE3551">
        <v>-11.4497999999999</v>
      </c>
      <c r="AF3551">
        <v>-4.0755565524433299</v>
      </c>
      <c r="AG3551">
        <v>-1.1280416045713</v>
      </c>
      <c r="AH3551">
        <v>10.5822174090807</v>
      </c>
      <c r="AI3551">
        <v>95.680831018025899</v>
      </c>
      <c r="AJ3551">
        <v>111.063320301617</v>
      </c>
      <c r="AK3551">
        <v>11.395874883784</v>
      </c>
    </row>
    <row r="3552" spans="1:37" x14ac:dyDescent="0.2">
      <c r="A3552" t="str">
        <f>"20200111154136486"</f>
        <v>20200111154136486</v>
      </c>
      <c r="B3552" t="str">
        <f>"1578728496479334"</f>
        <v>1578728496479334</v>
      </c>
      <c r="C3552" t="s">
        <v>37</v>
      </c>
      <c r="D3552">
        <v>5.2219809999999898</v>
      </c>
      <c r="E3552">
        <v>0.44334040000000002</v>
      </c>
      <c r="F3552" t="s">
        <v>39</v>
      </c>
      <c r="G3552">
        <v>-421.45589999999999</v>
      </c>
      <c r="H3552" s="1">
        <v>-4.8885069999999998E-6</v>
      </c>
      <c r="I3552">
        <v>109.3436</v>
      </c>
      <c r="J3552">
        <v>-421.52359999999999</v>
      </c>
      <c r="K3552">
        <v>1.1280219999999901</v>
      </c>
      <c r="L3552">
        <v>121.1596</v>
      </c>
      <c r="M3552">
        <v>-0.34925200000000001</v>
      </c>
      <c r="N3552">
        <v>0</v>
      </c>
      <c r="O3552">
        <v>-0.93687679999999995</v>
      </c>
      <c r="P3552">
        <v>-0.14032739999999999</v>
      </c>
      <c r="Q3552">
        <v>6.0242940000000002E-2</v>
      </c>
      <c r="R3552">
        <v>-0.9882706</v>
      </c>
      <c r="S3552">
        <v>-2.1240229999999999E-2</v>
      </c>
      <c r="T3552">
        <v>-0.28218130000000002</v>
      </c>
      <c r="U3552">
        <v>-3.0556640000000002</v>
      </c>
      <c r="V3552">
        <v>-0.21693769999999901</v>
      </c>
      <c r="W3552">
        <v>6.7043359999999996E-2</v>
      </c>
      <c r="X3552">
        <v>0.97388050000000004</v>
      </c>
      <c r="Y3552">
        <v>-0.34275800000000001</v>
      </c>
      <c r="Z3552">
        <v>8.0496869999999998E-2</v>
      </c>
      <c r="AA3552">
        <v>0.93596859999999904</v>
      </c>
      <c r="AB3552">
        <v>42</v>
      </c>
      <c r="AC3552">
        <v>6.7700000000001995E-2</v>
      </c>
      <c r="AD3552">
        <v>-1.1280268885069999</v>
      </c>
      <c r="AE3552">
        <v>-11.816000000000001</v>
      </c>
      <c r="AF3552">
        <v>-4.15293755134575</v>
      </c>
      <c r="AG3552">
        <v>-1.1280268885069999</v>
      </c>
      <c r="AH3552">
        <v>10.9482889459773</v>
      </c>
      <c r="AI3552">
        <v>95.502580215558496</v>
      </c>
      <c r="AJ3552">
        <v>110.772887392524</v>
      </c>
      <c r="AK3552">
        <v>11.7636884441565</v>
      </c>
    </row>
    <row r="3553" spans="1:37" x14ac:dyDescent="0.2">
      <c r="A3553" t="str">
        <f>"20200111154136508"</f>
        <v>20200111154136508</v>
      </c>
      <c r="B3553" t="str">
        <f>"1578728496499830"</f>
        <v>1578728496499830</v>
      </c>
      <c r="C3553" t="s">
        <v>37</v>
      </c>
      <c r="D3553">
        <v>5.2221419999999998</v>
      </c>
      <c r="E3553">
        <v>0.44387890000000002</v>
      </c>
      <c r="F3553" t="s">
        <v>39</v>
      </c>
      <c r="G3553">
        <v>-421.4744</v>
      </c>
      <c r="H3553" s="1">
        <v>-4.7376019999999998E-6</v>
      </c>
      <c r="I3553">
        <v>108.9421</v>
      </c>
      <c r="J3553">
        <v>-421.6687</v>
      </c>
      <c r="K3553">
        <v>1.1279980000000001</v>
      </c>
      <c r="L3553">
        <v>120.7598</v>
      </c>
      <c r="M3553">
        <v>-0.3340072</v>
      </c>
      <c r="N3553">
        <v>0</v>
      </c>
      <c r="O3553">
        <v>-0.94241960000000002</v>
      </c>
      <c r="P3553">
        <v>-0.12849820000000001</v>
      </c>
      <c r="Q3553">
        <v>5.993561E-2</v>
      </c>
      <c r="R3553">
        <v>-0.98989680000000002</v>
      </c>
      <c r="S3553">
        <v>1.229858E-2</v>
      </c>
      <c r="T3553">
        <v>-0.28202149999999998</v>
      </c>
      <c r="U3553">
        <v>-3.054535</v>
      </c>
      <c r="V3553">
        <v>-0.21276979999999901</v>
      </c>
      <c r="W3553">
        <v>6.6942950000000001E-2</v>
      </c>
      <c r="X3553">
        <v>0.97480650000000002</v>
      </c>
      <c r="Y3553">
        <v>-0.33778999999999998</v>
      </c>
      <c r="Z3553">
        <v>8.1322130000000006E-2</v>
      </c>
      <c r="AA3553">
        <v>0.93770180000000003</v>
      </c>
      <c r="AB3553">
        <v>42</v>
      </c>
      <c r="AC3553">
        <v>0.194299999999998</v>
      </c>
      <c r="AD3553">
        <v>-1.1280027376020001</v>
      </c>
      <c r="AE3553">
        <v>-11.8177</v>
      </c>
      <c r="AF3553">
        <v>-4.0936108447101596</v>
      </c>
      <c r="AG3553">
        <v>-1.1280027376020001</v>
      </c>
      <c r="AH3553">
        <v>10.973955809488601</v>
      </c>
      <c r="AI3553">
        <v>95.500999246146307</v>
      </c>
      <c r="AJ3553">
        <v>110.457006476861</v>
      </c>
      <c r="AK3553">
        <v>11.7668069599435</v>
      </c>
    </row>
    <row r="3554" spans="1:37" x14ac:dyDescent="0.2">
      <c r="A3554" t="str">
        <f>"20200111154136530"</f>
        <v>20200111154136530</v>
      </c>
      <c r="B3554" t="str">
        <f>"1578728496519350"</f>
        <v>1578728496519350</v>
      </c>
      <c r="C3554" t="s">
        <v>37</v>
      </c>
      <c r="D3554">
        <v>5.2589980000000001</v>
      </c>
      <c r="E3554">
        <v>0.44940329999999901</v>
      </c>
      <c r="F3554" t="s">
        <v>39</v>
      </c>
      <c r="G3554">
        <v>-421.4896</v>
      </c>
      <c r="H3554" s="1">
        <v>-4.5830180000000001E-6</v>
      </c>
      <c r="I3554">
        <v>108.5325</v>
      </c>
      <c r="J3554">
        <v>-421.7971</v>
      </c>
      <c r="K3554">
        <v>1.1279749999999999</v>
      </c>
      <c r="L3554">
        <v>120.38849999999999</v>
      </c>
      <c r="M3554">
        <v>-0.31983099999999998</v>
      </c>
      <c r="N3554">
        <v>0</v>
      </c>
      <c r="O3554">
        <v>-0.94732459999999996</v>
      </c>
      <c r="P3554">
        <v>-0.11766169999999999</v>
      </c>
      <c r="Q3554">
        <v>6.1231609999999999E-2</v>
      </c>
      <c r="R3554">
        <v>-0.9911643</v>
      </c>
      <c r="S3554">
        <v>4.4738769999999997E-2</v>
      </c>
      <c r="T3554">
        <v>-0.28169050000000001</v>
      </c>
      <c r="U3554">
        <v>-3.0534669999999999</v>
      </c>
      <c r="V3554">
        <v>-0.20883409999999999</v>
      </c>
      <c r="W3554">
        <v>6.8432510000000002E-2</v>
      </c>
      <c r="X3554">
        <v>0.97555389999999997</v>
      </c>
      <c r="Y3554">
        <v>-0.3336307</v>
      </c>
      <c r="Z3554">
        <v>8.1990510000000003E-2</v>
      </c>
      <c r="AA3554">
        <v>0.93913159999999896</v>
      </c>
      <c r="AB3554">
        <v>42</v>
      </c>
      <c r="AC3554">
        <v>0.30750000000000399</v>
      </c>
      <c r="AD3554">
        <v>-1.1279795830179999</v>
      </c>
      <c r="AE3554">
        <v>-11.8559999999999</v>
      </c>
      <c r="AF3554">
        <v>-4.04719008636713</v>
      </c>
      <c r="AG3554">
        <v>-1.1279795830179999</v>
      </c>
      <c r="AH3554">
        <v>11.0348984557953</v>
      </c>
      <c r="AI3554">
        <v>95.481790576601497</v>
      </c>
      <c r="AJ3554">
        <v>110.141157774121</v>
      </c>
      <c r="AK3554">
        <v>11.8076699422285</v>
      </c>
    </row>
    <row r="3555" spans="1:37" x14ac:dyDescent="0.2">
      <c r="A3555" t="str">
        <f>"20200111154136552"</f>
        <v>20200111154136552</v>
      </c>
      <c r="B3555" t="str">
        <f>"1578728496539846"</f>
        <v>1578728496539846</v>
      </c>
      <c r="C3555" t="s">
        <v>37</v>
      </c>
      <c r="D3555">
        <v>5.2619550000000004</v>
      </c>
      <c r="E3555">
        <v>0.44892779999999999</v>
      </c>
      <c r="F3555" t="s">
        <v>39</v>
      </c>
      <c r="G3555">
        <v>-421.66109999999998</v>
      </c>
      <c r="H3555" s="1">
        <v>-4.6134809999999996E-6</v>
      </c>
      <c r="I3555">
        <v>108.5326</v>
      </c>
      <c r="J3555">
        <v>-421.92680000000001</v>
      </c>
      <c r="K3555">
        <v>1.1279410000000001</v>
      </c>
      <c r="L3555">
        <v>119.9932</v>
      </c>
      <c r="M3555">
        <v>-0.30473040000000001</v>
      </c>
      <c r="N3555">
        <v>0</v>
      </c>
      <c r="O3555">
        <v>-0.95228989999999902</v>
      </c>
      <c r="P3555">
        <v>-0.10591829999999899</v>
      </c>
      <c r="Q3555">
        <v>6.1693970000000001E-2</v>
      </c>
      <c r="R3555">
        <v>-0.99245939999999999</v>
      </c>
      <c r="S3555">
        <v>3.497314E-2</v>
      </c>
      <c r="T3555">
        <v>-0.29006679999999901</v>
      </c>
      <c r="U3555">
        <v>-3.048813</v>
      </c>
      <c r="V3555">
        <v>-0.20487929999999899</v>
      </c>
      <c r="W3555">
        <v>6.9088029999999995E-2</v>
      </c>
      <c r="X3555">
        <v>0.97634589999999999</v>
      </c>
      <c r="Y3555">
        <v>-0.31559809999999999</v>
      </c>
      <c r="Z3555">
        <v>8.5536719999999997E-2</v>
      </c>
      <c r="AA3555">
        <v>0.94502980000000003</v>
      </c>
      <c r="AB3555">
        <v>42</v>
      </c>
      <c r="AC3555">
        <v>0.26570000000003802</v>
      </c>
      <c r="AD3555">
        <v>-1.127945613481</v>
      </c>
      <c r="AE3555">
        <v>-11.460599999999999</v>
      </c>
      <c r="AF3555">
        <v>-3.7100298922909101</v>
      </c>
      <c r="AG3555">
        <v>-1.127945613481</v>
      </c>
      <c r="AH3555">
        <v>10.730497851267399</v>
      </c>
      <c r="AI3555">
        <v>95.673464311822897</v>
      </c>
      <c r="AJ3555">
        <v>109.072637076413</v>
      </c>
      <c r="AK3555">
        <v>11.4096523717736</v>
      </c>
    </row>
    <row r="3556" spans="1:37" x14ac:dyDescent="0.2">
      <c r="A3556" t="str">
        <f>"20200111154136574"</f>
        <v>20200111154136574</v>
      </c>
      <c r="B3556" t="str">
        <f>"1578728496570105"</f>
        <v>1578728496570105</v>
      </c>
      <c r="C3556" t="s">
        <v>37</v>
      </c>
      <c r="D3556">
        <v>5.2765699999999898</v>
      </c>
      <c r="E3556">
        <v>0.44963149999999902</v>
      </c>
      <c r="F3556" t="s">
        <v>39</v>
      </c>
      <c r="G3556">
        <v>-421.62520000000001</v>
      </c>
      <c r="H3556" s="1">
        <v>-4.2367719999999999E-6</v>
      </c>
      <c r="I3556">
        <v>107.6396</v>
      </c>
      <c r="J3556">
        <v>-422.05059999999997</v>
      </c>
      <c r="K3556">
        <v>1.1279030000000001</v>
      </c>
      <c r="L3556">
        <v>119.5945</v>
      </c>
      <c r="M3556">
        <v>-0.28948859999999998</v>
      </c>
      <c r="N3556">
        <v>0</v>
      </c>
      <c r="O3556">
        <v>-0.95703359999999904</v>
      </c>
      <c r="P3556">
        <v>-9.3587959999999998E-2</v>
      </c>
      <c r="Q3556">
        <v>6.0461109999999998E-2</v>
      </c>
      <c r="R3556">
        <v>-0.99377380000000004</v>
      </c>
      <c r="S3556">
        <v>7.440186E-2</v>
      </c>
      <c r="T3556">
        <v>-0.27829890000000002</v>
      </c>
      <c r="U3556">
        <v>-3.048019</v>
      </c>
      <c r="V3556">
        <v>-0.20137260000000001</v>
      </c>
      <c r="W3556">
        <v>6.8026719999999999E-2</v>
      </c>
      <c r="X3556">
        <v>0.97714969999999901</v>
      </c>
      <c r="Y3556">
        <v>-0.31268259999999998</v>
      </c>
      <c r="Z3556">
        <v>8.27933E-2</v>
      </c>
      <c r="AA3556">
        <v>0.94624249999999899</v>
      </c>
      <c r="AB3556">
        <v>42</v>
      </c>
      <c r="AC3556">
        <v>0.42539999999996703</v>
      </c>
      <c r="AD3556">
        <v>-1.127907236772</v>
      </c>
      <c r="AE3556">
        <v>-11.954899999999901</v>
      </c>
      <c r="AF3556">
        <v>-3.8343888652225102</v>
      </c>
      <c r="AG3556">
        <v>-1.127907236772</v>
      </c>
      <c r="AH3556">
        <v>11.2199484470024</v>
      </c>
      <c r="AI3556">
        <v>95.433933162998898</v>
      </c>
      <c r="AJ3556">
        <v>108.86773259157</v>
      </c>
      <c r="AK3556">
        <v>11.9105816758837</v>
      </c>
    </row>
    <row r="3557" spans="1:37" x14ac:dyDescent="0.2">
      <c r="A3557" t="str">
        <f>"20200111154136597"</f>
        <v>20200111154136597</v>
      </c>
      <c r="B3557" t="str">
        <f>"1578728496589622"</f>
        <v>1578728496589622</v>
      </c>
      <c r="C3557" t="s">
        <v>37</v>
      </c>
      <c r="D3557">
        <v>5.3119040000000002</v>
      </c>
      <c r="E3557">
        <v>0.45169129999999902</v>
      </c>
      <c r="F3557" t="s">
        <v>39</v>
      </c>
      <c r="G3557">
        <v>-421.61099999999999</v>
      </c>
      <c r="H3557" s="1">
        <v>-3.9708089999999998E-6</v>
      </c>
      <c r="I3557">
        <v>107.08499999999999</v>
      </c>
      <c r="J3557">
        <v>-422.16809999999998</v>
      </c>
      <c r="K3557">
        <v>1.1278619999999999</v>
      </c>
      <c r="L3557">
        <v>119.1935</v>
      </c>
      <c r="M3557">
        <v>-0.27416040000000003</v>
      </c>
      <c r="N3557">
        <v>0</v>
      </c>
      <c r="O3557">
        <v>-0.96153709999999903</v>
      </c>
      <c r="P3557">
        <v>-8.2956849999999999E-2</v>
      </c>
      <c r="Q3557">
        <v>5.7886239999999999E-2</v>
      </c>
      <c r="R3557">
        <v>-0.99487060000000005</v>
      </c>
      <c r="S3557">
        <v>0.1070251</v>
      </c>
      <c r="T3557">
        <v>-0.27460119999999999</v>
      </c>
      <c r="U3557">
        <v>-3.0455779999999999</v>
      </c>
      <c r="V3557">
        <v>-0.19612539999999901</v>
      </c>
      <c r="W3557">
        <v>6.5706870000000001E-2</v>
      </c>
      <c r="X3557">
        <v>0.97837489999999905</v>
      </c>
      <c r="Y3557">
        <v>-0.30765189999999998</v>
      </c>
      <c r="Z3557">
        <v>8.243164E-2</v>
      </c>
      <c r="AA3557">
        <v>0.94792160000000003</v>
      </c>
      <c r="AB3557">
        <v>42</v>
      </c>
      <c r="AC3557">
        <v>0.55709999999999105</v>
      </c>
      <c r="AD3557">
        <v>-1.127865970809</v>
      </c>
      <c r="AE3557">
        <v>-12.108499999999999</v>
      </c>
      <c r="AF3557">
        <v>-3.82279057102738</v>
      </c>
      <c r="AG3557">
        <v>-1.127865970809</v>
      </c>
      <c r="AH3557">
        <v>11.3930200210555</v>
      </c>
      <c r="AI3557">
        <v>95.361720864749998</v>
      </c>
      <c r="AJ3557">
        <v>108.548557192044</v>
      </c>
      <c r="AK3557">
        <v>12.070075169534601</v>
      </c>
    </row>
    <row r="3558" spans="1:37" x14ac:dyDescent="0.2">
      <c r="A3558" t="str">
        <f>"20200111154136618"</f>
        <v>20200111154136618</v>
      </c>
      <c r="B3558" t="str">
        <f>"1578728496610122"</f>
        <v>1578728496610122</v>
      </c>
      <c r="C3558" t="s">
        <v>37</v>
      </c>
      <c r="D3558">
        <v>5.2554530000000002</v>
      </c>
      <c r="E3558">
        <v>0.45446239999999999</v>
      </c>
      <c r="F3558" t="s">
        <v>39</v>
      </c>
      <c r="G3558">
        <v>-421.66180000000003</v>
      </c>
      <c r="H3558" s="1">
        <v>-3.8734799999999997E-6</v>
      </c>
      <c r="I3558">
        <v>106.8505</v>
      </c>
      <c r="J3558">
        <v>-422.27679999999998</v>
      </c>
      <c r="K3558">
        <v>1.1278189999999999</v>
      </c>
      <c r="L3558">
        <v>118.7993</v>
      </c>
      <c r="M3558">
        <v>-0.25910639999999902</v>
      </c>
      <c r="N3558">
        <v>0</v>
      </c>
      <c r="O3558">
        <v>-0.96570270000000002</v>
      </c>
      <c r="P3558">
        <v>-7.0342589999999997E-2</v>
      </c>
      <c r="Q3558">
        <v>5.710585E-2</v>
      </c>
      <c r="R3558">
        <v>-0.99588690000000002</v>
      </c>
      <c r="S3558">
        <v>0.12478640000000001</v>
      </c>
      <c r="T3558">
        <v>-0.27797149999999998</v>
      </c>
      <c r="U3558">
        <v>-3.0420229999999999</v>
      </c>
      <c r="V3558">
        <v>-0.193208399999999</v>
      </c>
      <c r="W3558">
        <v>6.5068799999999996E-2</v>
      </c>
      <c r="X3558">
        <v>0.97899769999999897</v>
      </c>
      <c r="Y3558">
        <v>-0.29833589999999999</v>
      </c>
      <c r="Z3558">
        <v>8.4225099999999997E-2</v>
      </c>
      <c r="AA3558">
        <v>0.95073750000000001</v>
      </c>
      <c r="AB3558">
        <v>42</v>
      </c>
      <c r="AC3558">
        <v>0.61499999999995203</v>
      </c>
      <c r="AD3558">
        <v>-1.12782287348</v>
      </c>
      <c r="AE3558">
        <v>-11.9488</v>
      </c>
      <c r="AF3558">
        <v>-3.6579356484778698</v>
      </c>
      <c r="AG3558">
        <v>-1.12782287348</v>
      </c>
      <c r="AH3558">
        <v>11.281005890798699</v>
      </c>
      <c r="AI3558">
        <v>95.432534320207594</v>
      </c>
      <c r="AJ3558">
        <v>107.965605838597</v>
      </c>
      <c r="AK3558">
        <v>11.9127482786544</v>
      </c>
    </row>
    <row r="3559" spans="1:37" x14ac:dyDescent="0.2">
      <c r="A3559" t="str">
        <f>"20200111154136642"</f>
        <v>20200111154136642</v>
      </c>
      <c r="B3559" t="str">
        <f>"1578728496629638"</f>
        <v>1578728496629638</v>
      </c>
      <c r="C3559" t="s">
        <v>37</v>
      </c>
      <c r="D3559">
        <v>5.2178709999999997</v>
      </c>
      <c r="E3559">
        <v>0.45654709999999898</v>
      </c>
      <c r="F3559" t="s">
        <v>39</v>
      </c>
      <c r="G3559">
        <v>-421.69119999999998</v>
      </c>
      <c r="H3559" s="1">
        <v>-3.6136839999999998E-6</v>
      </c>
      <c r="I3559">
        <v>106.2843</v>
      </c>
      <c r="J3559">
        <v>-422.37979999999999</v>
      </c>
      <c r="K3559">
        <v>1.1277790000000001</v>
      </c>
      <c r="L3559">
        <v>118.4014</v>
      </c>
      <c r="M3559">
        <v>-0.243924899999999</v>
      </c>
      <c r="N3559">
        <v>0</v>
      </c>
      <c r="O3559">
        <v>-0.96964910000000004</v>
      </c>
      <c r="P3559">
        <v>-5.9091989999999997E-2</v>
      </c>
      <c r="Q3559">
        <v>5.7320379999999997E-2</v>
      </c>
      <c r="R3559">
        <v>-0.99660579999999999</v>
      </c>
      <c r="S3559">
        <v>0.1421509</v>
      </c>
      <c r="T3559">
        <v>-0.27378930000000001</v>
      </c>
      <c r="U3559">
        <v>-3.0381320000000001</v>
      </c>
      <c r="V3559">
        <v>-0.18890099999999899</v>
      </c>
      <c r="W3559">
        <v>6.5490859999999998E-2</v>
      </c>
      <c r="X3559">
        <v>0.97980990000000001</v>
      </c>
      <c r="Y3559">
        <v>-0.28882779999999902</v>
      </c>
      <c r="Z3559">
        <v>8.3724679999999996E-2</v>
      </c>
      <c r="AA3559">
        <v>0.95371309999999998</v>
      </c>
      <c r="AB3559">
        <v>42</v>
      </c>
      <c r="AC3559">
        <v>0.68860000000000798</v>
      </c>
      <c r="AD3559">
        <v>-1.1277826136839999</v>
      </c>
      <c r="AE3559">
        <v>-12.117099999999899</v>
      </c>
      <c r="AF3559">
        <v>-3.5928488577718798</v>
      </c>
      <c r="AG3559">
        <v>-1.1277826136839999</v>
      </c>
      <c r="AH3559">
        <v>11.4838366687258</v>
      </c>
      <c r="AI3559">
        <v>95.354467145519905</v>
      </c>
      <c r="AJ3559">
        <v>107.372885521927</v>
      </c>
      <c r="AK3559">
        <v>12.085485557994501</v>
      </c>
    </row>
    <row r="3560" spans="1:37" x14ac:dyDescent="0.2">
      <c r="A3560" t="str">
        <f>"20200111154136664"</f>
        <v>20200111154136664</v>
      </c>
      <c r="B3560" t="str">
        <f>"1578728496659894"</f>
        <v>1578728496659894</v>
      </c>
      <c r="C3560" t="s">
        <v>37</v>
      </c>
      <c r="D3560">
        <v>5.246702</v>
      </c>
      <c r="E3560">
        <v>0.45890760000000003</v>
      </c>
      <c r="F3560" t="s">
        <v>39</v>
      </c>
      <c r="G3560">
        <v>-421.69389999999999</v>
      </c>
      <c r="H3560" s="1">
        <v>-3.2108400000000001E-6</v>
      </c>
      <c r="I3560">
        <v>105.4306</v>
      </c>
      <c r="J3560">
        <v>-422.47640000000001</v>
      </c>
      <c r="K3560">
        <v>1.1277250000000001</v>
      </c>
      <c r="L3560">
        <v>118.00109999999999</v>
      </c>
      <c r="M3560">
        <v>-0.22869009999999901</v>
      </c>
      <c r="N3560">
        <v>0</v>
      </c>
      <c r="O3560">
        <v>-0.97335530000000003</v>
      </c>
      <c r="P3560">
        <v>-4.6514529999999998E-2</v>
      </c>
      <c r="Q3560">
        <v>5.763952E-2</v>
      </c>
      <c r="R3560">
        <v>-0.99725379999999997</v>
      </c>
      <c r="S3560">
        <v>0.16049189999999999</v>
      </c>
      <c r="T3560">
        <v>-0.26388059999999902</v>
      </c>
      <c r="U3560">
        <v>-3.0349270000000002</v>
      </c>
      <c r="V3560">
        <v>-0.185895799999999</v>
      </c>
      <c r="W3560">
        <v>6.5955239999999998E-2</v>
      </c>
      <c r="X3560">
        <v>0.98035339999999904</v>
      </c>
      <c r="Y3560">
        <v>-0.27961390000000003</v>
      </c>
      <c r="Z3560">
        <v>8.1389149999999993E-2</v>
      </c>
      <c r="AA3560">
        <v>0.95665659999999897</v>
      </c>
      <c r="AB3560">
        <v>42</v>
      </c>
      <c r="AC3560">
        <v>0.78250000000002695</v>
      </c>
      <c r="AD3560">
        <v>-1.12772821084</v>
      </c>
      <c r="AE3560">
        <v>-12.5704999999999</v>
      </c>
      <c r="AF3560">
        <v>-3.60798314972679</v>
      </c>
      <c r="AG3560">
        <v>-1.12772821084</v>
      </c>
      <c r="AH3560">
        <v>11.9623976172411</v>
      </c>
      <c r="AI3560">
        <v>95.157360867706998</v>
      </c>
      <c r="AJ3560">
        <v>106.783855570546</v>
      </c>
      <c r="AK3560">
        <v>12.545448181679699</v>
      </c>
    </row>
    <row r="3561" spans="1:37" x14ac:dyDescent="0.2">
      <c r="A3561" t="str">
        <f>"20200111154136687"</f>
        <v>20200111154136687</v>
      </c>
      <c r="B3561" t="str">
        <f>"1578728496679414"</f>
        <v>1578728496679414</v>
      </c>
      <c r="C3561" t="s">
        <v>37</v>
      </c>
      <c r="D3561">
        <v>5.2561559999999998</v>
      </c>
      <c r="E3561">
        <v>0.46025929999999998</v>
      </c>
      <c r="F3561" t="s">
        <v>39</v>
      </c>
      <c r="G3561">
        <v>-421.6696</v>
      </c>
      <c r="H3561" s="1">
        <v>-2.7228590000000001E-6</v>
      </c>
      <c r="I3561">
        <v>104.41200000000001</v>
      </c>
      <c r="J3561">
        <v>-422.56799999999998</v>
      </c>
      <c r="K3561">
        <v>1.127651</v>
      </c>
      <c r="L3561">
        <v>117.5915</v>
      </c>
      <c r="M3561">
        <v>-0.21315220000000001</v>
      </c>
      <c r="N3561">
        <v>0</v>
      </c>
      <c r="O3561">
        <v>-0.97687610000000002</v>
      </c>
      <c r="P3561">
        <v>-3.390017E-2</v>
      </c>
      <c r="Q3561">
        <v>5.591604E-2</v>
      </c>
      <c r="R3561">
        <v>-0.99786010000000003</v>
      </c>
      <c r="S3561">
        <v>0.17996219999999999</v>
      </c>
      <c r="T3561">
        <v>-0.2515502</v>
      </c>
      <c r="U3561">
        <v>-3.0311889999999999</v>
      </c>
      <c r="V3561">
        <v>-0.1826043</v>
      </c>
      <c r="W3561">
        <v>6.4388829999999994E-2</v>
      </c>
      <c r="X3561">
        <v>0.98107579999999905</v>
      </c>
      <c r="Y3561">
        <v>-0.270511</v>
      </c>
      <c r="Z3561">
        <v>7.8237470000000003E-2</v>
      </c>
      <c r="AA3561">
        <v>0.95953259999999996</v>
      </c>
      <c r="AB3561">
        <v>42</v>
      </c>
      <c r="AC3561">
        <v>0.89840000000003695</v>
      </c>
      <c r="AD3561">
        <v>-1.127653722859</v>
      </c>
      <c r="AE3561">
        <v>-13.1794999999999</v>
      </c>
      <c r="AF3561">
        <v>-3.66070471319826</v>
      </c>
      <c r="AG3561">
        <v>-1.127653722859</v>
      </c>
      <c r="AH3561">
        <v>12.5932485206778</v>
      </c>
      <c r="AI3561">
        <v>94.914496759647704</v>
      </c>
      <c r="AJ3561">
        <v>106.20850746824</v>
      </c>
      <c r="AK3561">
        <v>13.1629126799301</v>
      </c>
    </row>
    <row r="3562" spans="1:37" x14ac:dyDescent="0.2">
      <c r="A3562" t="str">
        <f>"20200111154136709"</f>
        <v>20200111154136709</v>
      </c>
      <c r="B3562" t="str">
        <f>"1578728496699913"</f>
        <v>1578728496699913</v>
      </c>
      <c r="C3562" t="s">
        <v>37</v>
      </c>
      <c r="D3562">
        <v>5.2858739999999997</v>
      </c>
      <c r="E3562">
        <v>0.46150590000000002</v>
      </c>
      <c r="F3562" t="s">
        <v>39</v>
      </c>
      <c r="G3562">
        <v>-421.64389999999997</v>
      </c>
      <c r="H3562" s="1">
        <v>-2.5636470000000001E-6</v>
      </c>
      <c r="I3562">
        <v>104.0896</v>
      </c>
      <c r="J3562">
        <v>-422.65109999999999</v>
      </c>
      <c r="K3562">
        <v>1.1275709999999901</v>
      </c>
      <c r="L3562">
        <v>117.19</v>
      </c>
      <c r="M3562">
        <v>-0.1979726</v>
      </c>
      <c r="N3562">
        <v>0</v>
      </c>
      <c r="O3562">
        <v>-0.98006559999999898</v>
      </c>
      <c r="P3562">
        <v>-2.290882E-2</v>
      </c>
      <c r="Q3562">
        <v>5.250291E-2</v>
      </c>
      <c r="R3562">
        <v>-0.99835819999999997</v>
      </c>
      <c r="S3562">
        <v>0.20721439999999899</v>
      </c>
      <c r="T3562">
        <v>-0.25286439999999999</v>
      </c>
      <c r="U3562">
        <v>-3.0276489999999998</v>
      </c>
      <c r="V3562">
        <v>-0.1780621</v>
      </c>
      <c r="W3562">
        <v>6.1188899999999997E-2</v>
      </c>
      <c r="X3562">
        <v>0.98211499999999996</v>
      </c>
      <c r="Y3562">
        <v>-0.26423629999999998</v>
      </c>
      <c r="Z3562">
        <v>7.9182199999999994E-2</v>
      </c>
      <c r="AA3562">
        <v>0.961202</v>
      </c>
      <c r="AB3562">
        <v>42</v>
      </c>
      <c r="AC3562">
        <v>1.0072000000000101</v>
      </c>
      <c r="AD3562">
        <v>-1.1275735636469999</v>
      </c>
      <c r="AE3562">
        <v>-13.100399999999899</v>
      </c>
      <c r="AF3562">
        <v>-3.5549590463530398</v>
      </c>
      <c r="AG3562">
        <v>-1.1275735636469999</v>
      </c>
      <c r="AH3562">
        <v>12.5491900886803</v>
      </c>
      <c r="AI3562">
        <v>94.940961984946597</v>
      </c>
      <c r="AJ3562">
        <v>105.816468671275</v>
      </c>
      <c r="AK3562">
        <v>13.0916510740439</v>
      </c>
    </row>
    <row r="3563" spans="1:37" x14ac:dyDescent="0.2">
      <c r="A3563" t="str">
        <f>"20200111154136731"</f>
        <v>20200111154136731</v>
      </c>
      <c r="B3563" t="str">
        <f>"1578728496719430"</f>
        <v>1578728496719430</v>
      </c>
      <c r="C3563" t="s">
        <v>37</v>
      </c>
      <c r="D3563">
        <v>5.280233</v>
      </c>
      <c r="E3563">
        <v>0.46244109999999999</v>
      </c>
      <c r="F3563" t="s">
        <v>39</v>
      </c>
      <c r="G3563">
        <v>-421.64260000000002</v>
      </c>
      <c r="H3563" s="1">
        <v>-2.5249140000000001E-6</v>
      </c>
      <c r="I3563">
        <v>104.00839999999999</v>
      </c>
      <c r="J3563">
        <v>-422.7251</v>
      </c>
      <c r="K3563">
        <v>1.127491</v>
      </c>
      <c r="L3563">
        <v>116.8031</v>
      </c>
      <c r="M3563">
        <v>-0.1834045</v>
      </c>
      <c r="N3563">
        <v>0</v>
      </c>
      <c r="O3563">
        <v>-0.9828964</v>
      </c>
      <c r="P3563">
        <v>-1.3803279999999999E-2</v>
      </c>
      <c r="Q3563">
        <v>5.0539399999999998E-2</v>
      </c>
      <c r="R3563">
        <v>-0.99862709999999999</v>
      </c>
      <c r="S3563">
        <v>0.2313538</v>
      </c>
      <c r="T3563">
        <v>-0.25866509999999998</v>
      </c>
      <c r="U3563">
        <v>-3.0238489999999998</v>
      </c>
      <c r="V3563">
        <v>-0.1723587</v>
      </c>
      <c r="W3563">
        <v>5.9491120000000001E-2</v>
      </c>
      <c r="X3563">
        <v>0.98323609999999995</v>
      </c>
      <c r="Y3563">
        <v>-0.25761830000000002</v>
      </c>
      <c r="Z3563">
        <v>8.1501030000000002E-2</v>
      </c>
      <c r="AA3563">
        <v>0.96280339999999998</v>
      </c>
      <c r="AB3563">
        <v>42</v>
      </c>
      <c r="AC3563">
        <v>1.08249999999998</v>
      </c>
      <c r="AD3563">
        <v>-1.1274935249139999</v>
      </c>
      <c r="AE3563">
        <v>-12.794700000000001</v>
      </c>
      <c r="AF3563">
        <v>-3.38496511682047</v>
      </c>
      <c r="AG3563">
        <v>-1.1274935249139999</v>
      </c>
      <c r="AH3563">
        <v>12.2843309825451</v>
      </c>
      <c r="AI3563">
        <v>95.056660836125999</v>
      </c>
      <c r="AJ3563">
        <v>105.40562100625699</v>
      </c>
      <c r="AK3563">
        <v>12.7919513046108</v>
      </c>
    </row>
    <row r="3564" spans="1:37" x14ac:dyDescent="0.2">
      <c r="A3564" t="str">
        <f>"20200111154136753"</f>
        <v>20200111154136753</v>
      </c>
      <c r="B3564" t="str">
        <f>"1578728496749689"</f>
        <v>1578728496749689</v>
      </c>
      <c r="C3564" t="s">
        <v>37</v>
      </c>
      <c r="D3564">
        <v>5.2815009999999996</v>
      </c>
      <c r="E3564">
        <v>0.47632069999999999</v>
      </c>
      <c r="F3564" t="s">
        <v>39</v>
      </c>
      <c r="G3564">
        <v>-421.63560000000001</v>
      </c>
      <c r="H3564" s="1">
        <v>-2.41575899999999E-6</v>
      </c>
      <c r="I3564">
        <v>103.7814</v>
      </c>
      <c r="J3564">
        <v>-422.79520000000002</v>
      </c>
      <c r="K3564">
        <v>1.127399</v>
      </c>
      <c r="L3564">
        <v>116.4034</v>
      </c>
      <c r="M3564">
        <v>-0.1684389</v>
      </c>
      <c r="N3564">
        <v>0</v>
      </c>
      <c r="O3564">
        <v>-0.98557209999999995</v>
      </c>
      <c r="P3564">
        <v>-3.4045400000000002E-3</v>
      </c>
      <c r="Q3564">
        <v>5.1395839999999998E-2</v>
      </c>
      <c r="R3564">
        <v>-0.99867280000000003</v>
      </c>
      <c r="S3564">
        <v>0.25274659999999999</v>
      </c>
      <c r="T3564">
        <v>-0.26156560000000001</v>
      </c>
      <c r="U3564">
        <v>-3.0208740000000001</v>
      </c>
      <c r="V3564">
        <v>-0.1676598</v>
      </c>
      <c r="W3564">
        <v>6.0567320000000001E-2</v>
      </c>
      <c r="X3564">
        <v>0.98398259999999904</v>
      </c>
      <c r="Y3564">
        <v>-0.24975829999999999</v>
      </c>
      <c r="Z3564">
        <v>8.2900150000000006E-2</v>
      </c>
      <c r="AA3564">
        <v>0.96475299999999997</v>
      </c>
      <c r="AB3564">
        <v>42</v>
      </c>
      <c r="AC3564">
        <v>1.15960000000001</v>
      </c>
      <c r="AD3564">
        <v>-1.127401415759</v>
      </c>
      <c r="AE3564">
        <v>-12.622</v>
      </c>
      <c r="AF3564">
        <v>-3.2436943597677801</v>
      </c>
      <c r="AG3564">
        <v>-1.127401415759</v>
      </c>
      <c r="AH3564">
        <v>12.150135260259299</v>
      </c>
      <c r="AI3564">
        <v>95.122840288728298</v>
      </c>
      <c r="AJ3564">
        <v>104.947521876813</v>
      </c>
      <c r="AK3564">
        <v>12.6260989182899</v>
      </c>
    </row>
    <row r="3565" spans="1:37" x14ac:dyDescent="0.2">
      <c r="A3565" t="str">
        <f>"20200111154136776"</f>
        <v>20200111154136776</v>
      </c>
      <c r="B3565" t="str">
        <f>"1578728496770185"</f>
        <v>1578728496770185</v>
      </c>
      <c r="C3565" t="s">
        <v>37</v>
      </c>
      <c r="D3565">
        <v>5.2537519999999898</v>
      </c>
      <c r="E3565">
        <v>0.47793849999999999</v>
      </c>
      <c r="F3565" t="s">
        <v>39</v>
      </c>
      <c r="G3565">
        <v>-421.90839999999997</v>
      </c>
      <c r="H3565" s="1">
        <v>-1.19388E-6</v>
      </c>
      <c r="I3565">
        <v>101.0431</v>
      </c>
      <c r="J3565">
        <v>-422.86130000000003</v>
      </c>
      <c r="K3565">
        <v>1.1272879999999901</v>
      </c>
      <c r="L3565">
        <v>115.9893</v>
      </c>
      <c r="M3565">
        <v>-0.15304970000000001</v>
      </c>
      <c r="N3565">
        <v>0</v>
      </c>
      <c r="O3565">
        <v>-0.98807959999999995</v>
      </c>
      <c r="P3565">
        <v>8.2017289999999996E-3</v>
      </c>
      <c r="Q3565">
        <v>5.1975720000000003E-2</v>
      </c>
      <c r="R3565">
        <v>-0.99861509999999998</v>
      </c>
      <c r="S3565">
        <v>0.17413329999999999</v>
      </c>
      <c r="T3565">
        <v>-0.22136210000000001</v>
      </c>
      <c r="U3565">
        <v>-3.0159609999999999</v>
      </c>
      <c r="V3565">
        <v>-0.16375229999999999</v>
      </c>
      <c r="W3565">
        <v>6.1330740000000002E-2</v>
      </c>
      <c r="X3565">
        <v>0.98459319999999895</v>
      </c>
      <c r="Y3565">
        <v>-0.20962629999999999</v>
      </c>
      <c r="Z3565">
        <v>7.1032799999999993E-2</v>
      </c>
      <c r="AA3565">
        <v>0.97519800000000001</v>
      </c>
      <c r="AB3565">
        <v>41</v>
      </c>
      <c r="AC3565">
        <v>0.95290000000005604</v>
      </c>
      <c r="AD3565">
        <v>-1.12728919387999</v>
      </c>
      <c r="AE3565">
        <v>-14.946199999999999</v>
      </c>
      <c r="AF3565">
        <v>-3.2113017318359098</v>
      </c>
      <c r="AG3565">
        <v>-1.12728919387999</v>
      </c>
      <c r="AH3565">
        <v>14.5418131417685</v>
      </c>
      <c r="AI3565">
        <v>94.328849443954795</v>
      </c>
      <c r="AJ3565">
        <v>102.452895174978</v>
      </c>
      <c r="AK3565">
        <v>14.934777172413501</v>
      </c>
    </row>
    <row r="3566" spans="1:37" x14ac:dyDescent="0.2">
      <c r="A3566" t="str">
        <f>"20200111154136799"</f>
        <v>20200111154136799</v>
      </c>
      <c r="B3566" t="str">
        <f>"1578728496789702"</f>
        <v>1578728496789702</v>
      </c>
      <c r="C3566" t="s">
        <v>37</v>
      </c>
      <c r="D3566">
        <v>5.2690489999999999</v>
      </c>
      <c r="E3566">
        <v>0.47840959999999899</v>
      </c>
      <c r="F3566" t="s">
        <v>39</v>
      </c>
      <c r="G3566">
        <v>-421.84449999999998</v>
      </c>
      <c r="H3566" s="1">
        <v>-8.6130380000000004E-7</v>
      </c>
      <c r="I3566">
        <v>100.3755</v>
      </c>
      <c r="J3566">
        <v>-422.92020000000002</v>
      </c>
      <c r="K3566">
        <v>1.127151</v>
      </c>
      <c r="L3566">
        <v>115.5789</v>
      </c>
      <c r="M3566">
        <v>-0.1379406</v>
      </c>
      <c r="N3566">
        <v>0</v>
      </c>
      <c r="O3566">
        <v>-0.99030249999999997</v>
      </c>
      <c r="P3566">
        <v>1.9577649999999999E-2</v>
      </c>
      <c r="Q3566">
        <v>5.0649079999999999E-2</v>
      </c>
      <c r="R3566">
        <v>-0.99852479999999999</v>
      </c>
      <c r="S3566">
        <v>0.1962585</v>
      </c>
      <c r="T3566">
        <v>-0.21759580000000001</v>
      </c>
      <c r="U3566">
        <v>-3.0138849999999899</v>
      </c>
      <c r="V3566">
        <v>-0.15986069999999999</v>
      </c>
      <c r="W3566">
        <v>6.0187009999999999E-2</v>
      </c>
      <c r="X3566">
        <v>0.98530300000000004</v>
      </c>
      <c r="Y3566">
        <v>-0.2018616</v>
      </c>
      <c r="Z3566">
        <v>7.0161299999999996E-2</v>
      </c>
      <c r="AA3566">
        <v>0.97689780000000004</v>
      </c>
      <c r="AB3566">
        <v>41</v>
      </c>
      <c r="AC3566">
        <v>1.0757000000000401</v>
      </c>
      <c r="AD3566">
        <v>-1.1271518613038001</v>
      </c>
      <c r="AE3566">
        <v>-15.2034</v>
      </c>
      <c r="AF3566">
        <v>-3.1456629309825201</v>
      </c>
      <c r="AG3566">
        <v>-1.1271518613038001</v>
      </c>
      <c r="AH3566">
        <v>14.8285217778229</v>
      </c>
      <c r="AI3566">
        <v>94.252557643559797</v>
      </c>
      <c r="AJ3566">
        <v>101.976941893367</v>
      </c>
      <c r="AK3566">
        <v>15.2003527823918</v>
      </c>
    </row>
    <row r="3567" spans="1:37" x14ac:dyDescent="0.2">
      <c r="A3567" t="str">
        <f>"20200111154136819"</f>
        <v>20200111154136819</v>
      </c>
      <c r="B3567" t="str">
        <f>"1578728496810198"</f>
        <v>1578728496810198</v>
      </c>
      <c r="C3567" t="s">
        <v>37</v>
      </c>
      <c r="D3567">
        <v>5.6269679999999997</v>
      </c>
      <c r="E3567">
        <v>0.47886030000000002</v>
      </c>
      <c r="F3567" t="s">
        <v>39</v>
      </c>
      <c r="G3567">
        <v>-421.76960000000003</v>
      </c>
      <c r="H3567" s="1">
        <v>-7.8820070000000003E-7</v>
      </c>
      <c r="I3567">
        <v>100.262999999999</v>
      </c>
      <c r="J3567">
        <v>-422.96980000000002</v>
      </c>
      <c r="K3567">
        <v>1.127008</v>
      </c>
      <c r="L3567">
        <v>115.19199999999999</v>
      </c>
      <c r="M3567">
        <v>-0.1238667</v>
      </c>
      <c r="N3567">
        <v>0</v>
      </c>
      <c r="O3567">
        <v>-0.99216190000000004</v>
      </c>
      <c r="P3567">
        <v>2.895344E-2</v>
      </c>
      <c r="Q3567">
        <v>4.8318729999999997E-2</v>
      </c>
      <c r="R3567">
        <v>-0.99841229999999903</v>
      </c>
      <c r="S3567">
        <v>0.22622680000000001</v>
      </c>
      <c r="T3567">
        <v>-0.2216071</v>
      </c>
      <c r="U3567">
        <v>-3.0112299999999999</v>
      </c>
      <c r="V3567">
        <v>-0.1550145</v>
      </c>
      <c r="W3567">
        <v>5.8081180000000003E-2</v>
      </c>
      <c r="X3567">
        <v>0.98620339999999995</v>
      </c>
      <c r="Y3567">
        <v>-0.19767709999999999</v>
      </c>
      <c r="Z3567">
        <v>7.1721300000000002E-2</v>
      </c>
      <c r="AA3567">
        <v>0.97763989999999901</v>
      </c>
      <c r="AB3567">
        <v>41</v>
      </c>
      <c r="AC3567">
        <v>1.2001999999999899</v>
      </c>
      <c r="AD3567">
        <v>-1.1270087882007001</v>
      </c>
      <c r="AE3567">
        <v>-14.929</v>
      </c>
      <c r="AF3567">
        <v>-3.0232930172123602</v>
      </c>
      <c r="AG3567">
        <v>-1.1270087882007001</v>
      </c>
      <c r="AH3567">
        <v>14.582741066621701</v>
      </c>
      <c r="AI3567">
        <v>94.3275838397266</v>
      </c>
      <c r="AJ3567">
        <v>101.71262985297101</v>
      </c>
      <c r="AK3567">
        <v>14.935420532838799</v>
      </c>
    </row>
    <row r="3568" spans="1:37" x14ac:dyDescent="0.2">
      <c r="A3568" t="str">
        <f>"20200111154136843"</f>
        <v>20200111154136843</v>
      </c>
      <c r="B3568" t="str">
        <f>"1578728496839478"</f>
        <v>1578728496839478</v>
      </c>
      <c r="C3568" t="s">
        <v>37</v>
      </c>
      <c r="D3568">
        <v>5.3065519999999999</v>
      </c>
      <c r="E3568">
        <v>0.48566209999999999</v>
      </c>
      <c r="F3568" t="s">
        <v>39</v>
      </c>
      <c r="G3568">
        <v>-421.72280000000001</v>
      </c>
      <c r="H3568" s="1">
        <v>-7.8859449999999896E-7</v>
      </c>
      <c r="I3568">
        <v>100.2902</v>
      </c>
      <c r="J3568">
        <v>-423.0163</v>
      </c>
      <c r="K3568">
        <v>1.1268260000000001</v>
      </c>
      <c r="L3568">
        <v>114.78230000000001</v>
      </c>
      <c r="M3568">
        <v>-0.1091799</v>
      </c>
      <c r="N3568">
        <v>0</v>
      </c>
      <c r="O3568">
        <v>-0.99388650000000001</v>
      </c>
      <c r="P3568">
        <v>3.9103619999999999E-2</v>
      </c>
      <c r="Q3568">
        <v>4.6601089999999998E-2</v>
      </c>
      <c r="R3568">
        <v>-0.99814829999999999</v>
      </c>
      <c r="S3568">
        <v>0.25176999999999999</v>
      </c>
      <c r="T3568">
        <v>-0.22752990000000001</v>
      </c>
      <c r="U3568">
        <v>-3.008499</v>
      </c>
      <c r="V3568">
        <v>-0.15036359999999999</v>
      </c>
      <c r="W3568">
        <v>5.6580180000000001E-2</v>
      </c>
      <c r="X3568">
        <v>0.98701039999999995</v>
      </c>
      <c r="Y3568">
        <v>-0.19147800000000001</v>
      </c>
      <c r="Z3568">
        <v>7.3910240000000002E-2</v>
      </c>
      <c r="AA3568">
        <v>0.97871010000000003</v>
      </c>
      <c r="AB3568">
        <v>41</v>
      </c>
      <c r="AC3568">
        <v>1.2934999999999901</v>
      </c>
      <c r="AD3568">
        <v>-1.1268267885945</v>
      </c>
      <c r="AE3568">
        <v>-14.492100000000001</v>
      </c>
      <c r="AF3568">
        <v>-2.8511235522454599</v>
      </c>
      <c r="AG3568">
        <v>-1.1268267885945</v>
      </c>
      <c r="AH3568">
        <v>14.1791532961789</v>
      </c>
      <c r="AI3568">
        <v>94.454983332378404</v>
      </c>
      <c r="AJ3568">
        <v>101.369339583364</v>
      </c>
      <c r="AK3568">
        <v>14.5067926268423</v>
      </c>
    </row>
    <row r="3569" spans="1:37" x14ac:dyDescent="0.2">
      <c r="A3569" t="str">
        <f>"20200111154136866"</f>
        <v>20200111154136866</v>
      </c>
      <c r="B3569" t="str">
        <f>"1578728496859974"</f>
        <v>1578728496859974</v>
      </c>
      <c r="C3569" t="s">
        <v>37</v>
      </c>
      <c r="D3569">
        <v>5.4490160000000003</v>
      </c>
      <c r="E3569">
        <v>0.48483619999999999</v>
      </c>
      <c r="F3569" t="s">
        <v>39</v>
      </c>
      <c r="G3569">
        <v>-421.77800000000002</v>
      </c>
      <c r="H3569" s="1">
        <v>-4.2156699999999997E-6</v>
      </c>
      <c r="I3569">
        <v>98.447919999999996</v>
      </c>
      <c r="J3569">
        <v>-423.05680000000001</v>
      </c>
      <c r="K3569">
        <v>1.1265989999999999</v>
      </c>
      <c r="L3569">
        <v>114.3646</v>
      </c>
      <c r="M3569">
        <v>-9.4521560000000004E-2</v>
      </c>
      <c r="N3569">
        <v>0</v>
      </c>
      <c r="O3569">
        <v>-0.99538839999999995</v>
      </c>
      <c r="P3569">
        <v>5.0560679999999997E-2</v>
      </c>
      <c r="Q3569">
        <v>4.625025E-2</v>
      </c>
      <c r="R3569">
        <v>-0.99764969999999997</v>
      </c>
      <c r="S3569">
        <v>0.22790529999999901</v>
      </c>
      <c r="T3569">
        <v>-0.20739150000000001</v>
      </c>
      <c r="U3569">
        <v>-3.0063169999999899</v>
      </c>
      <c r="V3569">
        <v>-0.14710239999999999</v>
      </c>
      <c r="W3569">
        <v>5.6384040000000003E-2</v>
      </c>
      <c r="X3569">
        <v>0.98751290000000003</v>
      </c>
      <c r="Y3569">
        <v>-0.16934099999999999</v>
      </c>
      <c r="Z3569">
        <v>6.7765149999999996E-2</v>
      </c>
      <c r="AA3569">
        <v>0.98322500000000002</v>
      </c>
      <c r="AB3569">
        <v>41</v>
      </c>
      <c r="AC3569">
        <v>1.27879999999998</v>
      </c>
      <c r="AD3569">
        <v>-1.1266032156700001</v>
      </c>
      <c r="AE3569">
        <v>-15.916679999999999</v>
      </c>
      <c r="AF3569">
        <v>-2.7639850786454399</v>
      </c>
      <c r="AG3569">
        <v>-1.1266032156700001</v>
      </c>
      <c r="AH3569">
        <v>15.6466219270905</v>
      </c>
      <c r="AI3569">
        <v>94.055778266454197</v>
      </c>
      <c r="AJ3569">
        <v>100.017981655189</v>
      </c>
      <c r="AK3569">
        <v>15.9287672482789</v>
      </c>
    </row>
    <row r="3570" spans="1:37" x14ac:dyDescent="0.2">
      <c r="A3570" t="str">
        <f>"20200111154136889"</f>
        <v>20200111154136889</v>
      </c>
      <c r="B3570" t="str">
        <f>"1578728496879494"</f>
        <v>1578728496879494</v>
      </c>
      <c r="C3570" t="s">
        <v>37</v>
      </c>
      <c r="D3570">
        <v>5.300611</v>
      </c>
      <c r="E3570">
        <v>0.4855932</v>
      </c>
      <c r="F3570" t="s">
        <v>39</v>
      </c>
      <c r="G3570">
        <v>-421.6447</v>
      </c>
      <c r="H3570" s="1">
        <v>-4.2435189999999996E-6</v>
      </c>
      <c r="I3570">
        <v>98.599269999999905</v>
      </c>
      <c r="J3570">
        <v>-423.09050000000002</v>
      </c>
      <c r="K3570">
        <v>1.1263510000000001</v>
      </c>
      <c r="L3570">
        <v>113.95569999999999</v>
      </c>
      <c r="M3570">
        <v>-8.0485370000000001E-2</v>
      </c>
      <c r="N3570">
        <v>0</v>
      </c>
      <c r="O3570">
        <v>-0.99662280000000003</v>
      </c>
      <c r="P3570">
        <v>6.1838940000000002E-2</v>
      </c>
      <c r="Q3570">
        <v>4.6191699999999898E-2</v>
      </c>
      <c r="R3570">
        <v>-0.99701689999999998</v>
      </c>
      <c r="S3570">
        <v>0.26901249999999999</v>
      </c>
      <c r="T3570">
        <v>-0.21462419999999999</v>
      </c>
      <c r="U3570">
        <v>-3.003387</v>
      </c>
      <c r="V3570">
        <v>-0.1443131</v>
      </c>
      <c r="W3570">
        <v>5.6459740000000001E-2</v>
      </c>
      <c r="X3570">
        <v>0.98792000000000002</v>
      </c>
      <c r="Y3570">
        <v>-0.16887539999999901</v>
      </c>
      <c r="Z3570">
        <v>7.0279700000000001E-2</v>
      </c>
      <c r="AA3570">
        <v>0.98312860000000002</v>
      </c>
      <c r="AB3570">
        <v>41</v>
      </c>
      <c r="AC3570">
        <v>1.44580000000001</v>
      </c>
      <c r="AD3570">
        <v>-1.1263552435190001</v>
      </c>
      <c r="AE3570">
        <v>-15.35643</v>
      </c>
      <c r="AF3570">
        <v>-2.6630392104039999</v>
      </c>
      <c r="AG3570">
        <v>-1.1263552435190001</v>
      </c>
      <c r="AH3570">
        <v>15.1096426988967</v>
      </c>
      <c r="AI3570">
        <v>94.1987765426788</v>
      </c>
      <c r="AJ3570">
        <v>99.995592390975204</v>
      </c>
      <c r="AK3570">
        <v>15.3838147563949</v>
      </c>
    </row>
    <row r="3571" spans="1:37" x14ac:dyDescent="0.2">
      <c r="A3571" t="str">
        <f>"20200111154136910"</f>
        <v>20200111154136910</v>
      </c>
      <c r="B3571" t="str">
        <f>"1578728496899990"</f>
        <v>1578728496899990</v>
      </c>
      <c r="C3571" t="s">
        <v>37</v>
      </c>
      <c r="D3571">
        <v>5.4419820000000003</v>
      </c>
      <c r="E3571">
        <v>0.48609799999999997</v>
      </c>
      <c r="F3571" t="s">
        <v>39</v>
      </c>
      <c r="G3571">
        <v>-421.55880000000002</v>
      </c>
      <c r="H3571" s="1">
        <v>-4.1824E-6</v>
      </c>
      <c r="I3571">
        <v>98.464449999999999</v>
      </c>
      <c r="J3571">
        <v>-423.11750000000001</v>
      </c>
      <c r="K3571">
        <v>1.1260920000000001</v>
      </c>
      <c r="L3571">
        <v>113.55929999999999</v>
      </c>
      <c r="M3571">
        <v>-6.7188750000000005E-2</v>
      </c>
      <c r="N3571">
        <v>0</v>
      </c>
      <c r="O3571">
        <v>-0.99760879999999996</v>
      </c>
      <c r="P3571">
        <v>7.2008320000000001E-2</v>
      </c>
      <c r="Q3571">
        <v>4.5655370000000001E-2</v>
      </c>
      <c r="R3571">
        <v>-0.99635879999999999</v>
      </c>
      <c r="S3571">
        <v>0.29669190000000001</v>
      </c>
      <c r="T3571">
        <v>-0.21817729999999899</v>
      </c>
      <c r="U3571">
        <v>-3.0006870000000001</v>
      </c>
      <c r="V3571">
        <v>-0.1411588</v>
      </c>
      <c r="W3571">
        <v>5.6072199999999899E-2</v>
      </c>
      <c r="X3571">
        <v>0.98839779999999999</v>
      </c>
      <c r="Y3571">
        <v>-0.16478960000000001</v>
      </c>
      <c r="Z3571">
        <v>7.1602109999999997E-2</v>
      </c>
      <c r="AA3571">
        <v>0.98372630000000005</v>
      </c>
      <c r="AB3571">
        <v>41</v>
      </c>
      <c r="AC3571">
        <v>1.55869999999998</v>
      </c>
      <c r="AD3571">
        <v>-1.1260961824</v>
      </c>
      <c r="AE3571">
        <v>-15.0948499999999</v>
      </c>
      <c r="AF3571">
        <v>-2.5554421087042001</v>
      </c>
      <c r="AG3571">
        <v>-1.1260961824</v>
      </c>
      <c r="AH3571">
        <v>14.8740837925886</v>
      </c>
      <c r="AI3571">
        <v>94.267240374543405</v>
      </c>
      <c r="AJ3571">
        <v>99.748529806252293</v>
      </c>
      <c r="AK3571">
        <v>15.1339600122341</v>
      </c>
    </row>
    <row r="3572" spans="1:37" x14ac:dyDescent="0.2">
      <c r="A3572" t="str">
        <f>"20200111154136933"</f>
        <v>20200111154136933</v>
      </c>
      <c r="B3572" t="str">
        <f>"1578728496919510"</f>
        <v>1578728496919510</v>
      </c>
      <c r="C3572" t="s">
        <v>37</v>
      </c>
      <c r="D3572">
        <v>5.3176199999999998</v>
      </c>
      <c r="E3572">
        <v>0.4869194</v>
      </c>
      <c r="F3572" t="s">
        <v>39</v>
      </c>
      <c r="G3572">
        <v>-421.43549999999999</v>
      </c>
      <c r="H3572" s="1">
        <v>-3.9751639999999902E-6</v>
      </c>
      <c r="I3572">
        <v>97.964939999999999</v>
      </c>
      <c r="J3572">
        <v>-423.13929999999999</v>
      </c>
      <c r="K3572">
        <v>1.1258079999999999</v>
      </c>
      <c r="L3572">
        <v>113.1626</v>
      </c>
      <c r="M3572">
        <v>-5.4235909999999998E-2</v>
      </c>
      <c r="N3572">
        <v>0</v>
      </c>
      <c r="O3572">
        <v>-0.99839800000000001</v>
      </c>
      <c r="P3572">
        <v>8.1118789999999996E-2</v>
      </c>
      <c r="Q3572">
        <v>4.4547610000000001E-2</v>
      </c>
      <c r="R3572">
        <v>-0.99570859999999894</v>
      </c>
      <c r="S3572">
        <v>0.32330320000000001</v>
      </c>
      <c r="T3572">
        <v>-0.2164555</v>
      </c>
      <c r="U3572">
        <v>-2.9975130000000001</v>
      </c>
      <c r="V3572">
        <v>-0.1372864</v>
      </c>
      <c r="W3572">
        <v>5.514666E-2</v>
      </c>
      <c r="X3572">
        <v>0.98899509999999902</v>
      </c>
      <c r="Y3572">
        <v>-0.16073409999999999</v>
      </c>
      <c r="Z3572">
        <v>7.1191190000000001E-2</v>
      </c>
      <c r="AA3572">
        <v>0.98442689999999999</v>
      </c>
      <c r="AB3572">
        <v>41</v>
      </c>
      <c r="AC3572">
        <v>1.7038</v>
      </c>
      <c r="AD3572">
        <v>-1.1258119751639999</v>
      </c>
      <c r="AE3572">
        <v>-15.197660000000001</v>
      </c>
      <c r="AF3572">
        <v>-2.5120438090311099</v>
      </c>
      <c r="AG3572">
        <v>-1.1258119751639999</v>
      </c>
      <c r="AH3572">
        <v>15.0015663627078</v>
      </c>
      <c r="AI3572">
        <v>94.233071900885605</v>
      </c>
      <c r="AJ3572">
        <v>99.506102435752993</v>
      </c>
      <c r="AK3572">
        <v>15.2520428151982</v>
      </c>
    </row>
    <row r="3573" spans="1:37" x14ac:dyDescent="0.2">
      <c r="A3573" t="str">
        <f>"20200111154136956"</f>
        <v>20200111154136956</v>
      </c>
      <c r="B3573" t="str">
        <f>"1578728496949767"</f>
        <v>1578728496949767</v>
      </c>
      <c r="C3573" t="s">
        <v>37</v>
      </c>
      <c r="D3573">
        <v>5.5605630000000001</v>
      </c>
      <c r="E3573">
        <v>0.48830099999999999</v>
      </c>
      <c r="F3573" t="s">
        <v>39</v>
      </c>
      <c r="G3573">
        <v>-421.38440000000003</v>
      </c>
      <c r="H3573" s="1">
        <v>-3.938123E-6</v>
      </c>
      <c r="I3573">
        <v>97.910330000000002</v>
      </c>
      <c r="J3573">
        <v>-423.15679999999998</v>
      </c>
      <c r="K3573">
        <v>1.125467</v>
      </c>
      <c r="L3573">
        <v>112.7435</v>
      </c>
      <c r="M3573">
        <v>-4.0997619999999999E-2</v>
      </c>
      <c r="N3573">
        <v>0</v>
      </c>
      <c r="O3573">
        <v>-0.99903050000000004</v>
      </c>
      <c r="P3573">
        <v>9.0829660000000007E-2</v>
      </c>
      <c r="Q3573">
        <v>4.3515449999999997E-2</v>
      </c>
      <c r="R3573">
        <v>-0.99491540000000001</v>
      </c>
      <c r="S3573">
        <v>0.34457399999999999</v>
      </c>
      <c r="T3573">
        <v>-0.2210501</v>
      </c>
      <c r="U3573">
        <v>-2.9947509999999999</v>
      </c>
      <c r="V3573">
        <v>-0.13373650000000001</v>
      </c>
      <c r="W3573">
        <v>5.4290599999999897E-2</v>
      </c>
      <c r="X3573">
        <v>0.98952870000000004</v>
      </c>
      <c r="Y3573">
        <v>-0.15463869999999999</v>
      </c>
      <c r="Z3573">
        <v>7.2837490000000005E-2</v>
      </c>
      <c r="AA3573">
        <v>0.98528249999999995</v>
      </c>
      <c r="AB3573">
        <v>41</v>
      </c>
      <c r="AC3573">
        <v>1.77239999999994</v>
      </c>
      <c r="AD3573">
        <v>-1.1254709381229999</v>
      </c>
      <c r="AE3573">
        <v>-14.8331699999999</v>
      </c>
      <c r="AF3573">
        <v>-2.3656846949791901</v>
      </c>
      <c r="AG3573">
        <v>-1.1254709381229999</v>
      </c>
      <c r="AH3573">
        <v>14.664784599872499</v>
      </c>
      <c r="AI3573">
        <v>94.332849815360703</v>
      </c>
      <c r="AJ3573">
        <v>99.163858255786295</v>
      </c>
      <c r="AK3573">
        <v>14.8969478843579</v>
      </c>
    </row>
    <row r="3574" spans="1:37" x14ac:dyDescent="0.2">
      <c r="A3574" t="str">
        <f>"20200111154136978"</f>
        <v>20200111154136978</v>
      </c>
      <c r="B3574" t="str">
        <f>"1578728496969289"</f>
        <v>1578728496969289</v>
      </c>
      <c r="C3574" t="s">
        <v>37</v>
      </c>
      <c r="D3574">
        <v>5.5599699999999999</v>
      </c>
      <c r="E3574">
        <v>0.4890195</v>
      </c>
      <c r="F3574" t="s">
        <v>39</v>
      </c>
      <c r="G3574">
        <v>-421.35520000000002</v>
      </c>
      <c r="H3574" s="1">
        <v>-3.9160409999999999E-6</v>
      </c>
      <c r="I3574">
        <v>97.876990000000006</v>
      </c>
      <c r="J3574">
        <v>-423.16829999999999</v>
      </c>
      <c r="K3574">
        <v>1.125084</v>
      </c>
      <c r="L3574">
        <v>112.34269999999999</v>
      </c>
      <c r="M3574">
        <v>-2.8836759999999999E-2</v>
      </c>
      <c r="N3574">
        <v>0</v>
      </c>
      <c r="O3574">
        <v>-0.99945689999999998</v>
      </c>
      <c r="P3574">
        <v>9.9916110000000002E-2</v>
      </c>
      <c r="Q3574">
        <v>4.3171519999999998E-2</v>
      </c>
      <c r="R3574">
        <v>-0.99405909999999997</v>
      </c>
      <c r="S3574">
        <v>0.36260989999999999</v>
      </c>
      <c r="T3574">
        <v>-0.22651929999999901</v>
      </c>
      <c r="U3574">
        <v>-2.9921259999999998</v>
      </c>
      <c r="V3574">
        <v>-0.13066639999999999</v>
      </c>
      <c r="W3574">
        <v>5.4107759999999998E-2</v>
      </c>
      <c r="X3574">
        <v>0.98994879999999996</v>
      </c>
      <c r="Y3574">
        <v>-0.1485515</v>
      </c>
      <c r="Z3574">
        <v>7.4751150000000002E-2</v>
      </c>
      <c r="AA3574">
        <v>0.98607540000000005</v>
      </c>
      <c r="AB3574">
        <v>41</v>
      </c>
      <c r="AC3574">
        <v>1.81309999999996</v>
      </c>
      <c r="AD3574">
        <v>-1.1250879160409999</v>
      </c>
      <c r="AE3574">
        <v>-14.4657099999999</v>
      </c>
      <c r="AF3574">
        <v>-2.2163434639527</v>
      </c>
      <c r="AG3574">
        <v>-1.1250879160409999</v>
      </c>
      <c r="AH3574">
        <v>14.3221056860214</v>
      </c>
      <c r="AI3574">
        <v>94.439082160865297</v>
      </c>
      <c r="AJ3574">
        <v>98.796735229647894</v>
      </c>
      <c r="AK3574">
        <v>14.536186310397699</v>
      </c>
    </row>
    <row r="3575" spans="1:37" x14ac:dyDescent="0.2">
      <c r="A3575" t="str">
        <f>"20200111154137000"</f>
        <v>20200111154137000</v>
      </c>
      <c r="B3575" t="str">
        <f>"1578728496989782"</f>
        <v>1578728496989782</v>
      </c>
      <c r="C3575" t="s">
        <v>37</v>
      </c>
      <c r="D3575">
        <v>5.635453</v>
      </c>
      <c r="E3575">
        <v>0.48973119999999998</v>
      </c>
      <c r="F3575" t="s">
        <v>39</v>
      </c>
      <c r="G3575">
        <v>-421.26729999999998</v>
      </c>
      <c r="H3575" s="1">
        <v>-3.7562140000000001E-6</v>
      </c>
      <c r="I3575">
        <v>97.558920000000001</v>
      </c>
      <c r="J3575">
        <v>-423.17500000000001</v>
      </c>
      <c r="K3575">
        <v>1.124638</v>
      </c>
      <c r="L3575">
        <v>111.9387</v>
      </c>
      <c r="M3575">
        <v>-1.7150289999999999E-2</v>
      </c>
      <c r="N3575">
        <v>0</v>
      </c>
      <c r="O3575">
        <v>-0.99972729999999999</v>
      </c>
      <c r="P3575">
        <v>0.109447</v>
      </c>
      <c r="Q3575">
        <v>4.3435330000000001E-2</v>
      </c>
      <c r="R3575">
        <v>-0.99304349999999997</v>
      </c>
      <c r="S3575">
        <v>0.38436890000000001</v>
      </c>
      <c r="T3575">
        <v>-0.227484299999999</v>
      </c>
      <c r="U3575">
        <v>-2.989166</v>
      </c>
      <c r="V3575">
        <v>-0.12853299999999901</v>
      </c>
      <c r="W3575">
        <v>5.4503900000000001E-2</v>
      </c>
      <c r="X3575">
        <v>0.99020640000000004</v>
      </c>
      <c r="Y3575">
        <v>-0.14416979999999999</v>
      </c>
      <c r="Z3575">
        <v>7.5162619999999999E-2</v>
      </c>
      <c r="AA3575">
        <v>0.98669430000000002</v>
      </c>
      <c r="AB3575">
        <v>41</v>
      </c>
      <c r="AC3575">
        <v>1.9077000000000299</v>
      </c>
      <c r="AD3575">
        <v>-1.1246417562140001</v>
      </c>
      <c r="AE3575">
        <v>-14.379779999999901</v>
      </c>
      <c r="AF3575">
        <v>-2.1411969914114999</v>
      </c>
      <c r="AG3575">
        <v>-1.1246417562140001</v>
      </c>
      <c r="AH3575">
        <v>14.259230570718501</v>
      </c>
      <c r="AI3575">
        <v>94.459851396748405</v>
      </c>
      <c r="AJ3575">
        <v>98.539852534861694</v>
      </c>
      <c r="AK3575">
        <v>14.4628904477895</v>
      </c>
    </row>
    <row r="3576" spans="1:37" x14ac:dyDescent="0.2">
      <c r="A3576" t="str">
        <f>"20200111154137021"</f>
        <v>20200111154137021</v>
      </c>
      <c r="B3576" t="str">
        <f>"1578728497009302"</f>
        <v>1578728497009302</v>
      </c>
      <c r="C3576" t="s">
        <v>37</v>
      </c>
      <c r="D3576">
        <v>5.4350259999999997</v>
      </c>
      <c r="E3576">
        <v>0.49037740000000002</v>
      </c>
      <c r="F3576" t="s">
        <v>39</v>
      </c>
      <c r="G3576">
        <v>-421.14319999999998</v>
      </c>
      <c r="H3576" s="1">
        <v>-3.4969540000000001E-6</v>
      </c>
      <c r="I3576">
        <v>97.03152</v>
      </c>
      <c r="J3576">
        <v>-423.176999999999</v>
      </c>
      <c r="K3576">
        <v>1.12415</v>
      </c>
      <c r="L3576">
        <v>111.55200000000001</v>
      </c>
      <c r="M3576">
        <v>-6.5821789999999996E-3</v>
      </c>
      <c r="N3576">
        <v>0</v>
      </c>
      <c r="O3576">
        <v>-0.99985440000000003</v>
      </c>
      <c r="P3576">
        <v>0.1179875</v>
      </c>
      <c r="Q3576">
        <v>4.2878140000000002E-2</v>
      </c>
      <c r="R3576">
        <v>-0.99208949999999996</v>
      </c>
      <c r="S3576">
        <v>0.40698240000000002</v>
      </c>
      <c r="T3576">
        <v>-0.22527349999999999</v>
      </c>
      <c r="U3576">
        <v>-2.986008</v>
      </c>
      <c r="V3576">
        <v>-0.12649489999999999</v>
      </c>
      <c r="W3576">
        <v>5.4084430000000003E-2</v>
      </c>
      <c r="X3576">
        <v>0.99049169999999997</v>
      </c>
      <c r="Y3576">
        <v>-0.14119219999999999</v>
      </c>
      <c r="Z3576">
        <v>7.4507450000000003E-2</v>
      </c>
      <c r="AA3576">
        <v>0.98717449999999995</v>
      </c>
      <c r="AB3576">
        <v>41</v>
      </c>
      <c r="AC3576">
        <v>2.0337999999999798</v>
      </c>
      <c r="AD3576">
        <v>-1.1241534969539999</v>
      </c>
      <c r="AE3576">
        <v>-14.520479999999999</v>
      </c>
      <c r="AF3576">
        <v>-2.1169003995155302</v>
      </c>
      <c r="AG3576">
        <v>-1.1241534969539999</v>
      </c>
      <c r="AH3576">
        <v>14.4220000208998</v>
      </c>
      <c r="AI3576">
        <v>94.409965333385202</v>
      </c>
      <c r="AJ3576">
        <v>98.350400852017302</v>
      </c>
      <c r="AK3576">
        <v>14.6198178165467</v>
      </c>
    </row>
    <row r="3577" spans="1:37" x14ac:dyDescent="0.2">
      <c r="A3577" t="str">
        <f>"20200111154137044"</f>
        <v>20200111154137044</v>
      </c>
      <c r="B3577" t="str">
        <f>"1578728497039559"</f>
        <v>1578728497039559</v>
      </c>
      <c r="C3577" t="s">
        <v>37</v>
      </c>
      <c r="D3577">
        <v>5.4426449999999997</v>
      </c>
      <c r="E3577">
        <v>0.49897459999999999</v>
      </c>
      <c r="F3577" t="s">
        <v>39</v>
      </c>
      <c r="G3577">
        <v>-421.05889999999999</v>
      </c>
      <c r="H3577" s="1">
        <v>-3.3565199999999899E-6</v>
      </c>
      <c r="I3577">
        <v>96.756479999999996</v>
      </c>
      <c r="J3577">
        <v>-423.17469999999997</v>
      </c>
      <c r="K3577">
        <v>1.123553</v>
      </c>
      <c r="L3577">
        <v>111.1412</v>
      </c>
      <c r="M3577">
        <v>3.9017779999999998E-3</v>
      </c>
      <c r="N3577">
        <v>0</v>
      </c>
      <c r="O3577">
        <v>-0.99986989999999998</v>
      </c>
      <c r="P3577">
        <v>0.12642419999999999</v>
      </c>
      <c r="Q3577">
        <v>4.2181879999999998E-2</v>
      </c>
      <c r="R3577">
        <v>-0.9910793</v>
      </c>
      <c r="S3577">
        <v>0.42703249999999998</v>
      </c>
      <c r="T3577">
        <v>-0.22664239999999999</v>
      </c>
      <c r="U3577">
        <v>-2.9829409999999998</v>
      </c>
      <c r="V3577">
        <v>-0.124427199999999</v>
      </c>
      <c r="W3577">
        <v>5.3543529999999999E-2</v>
      </c>
      <c r="X3577">
        <v>0.99078299999999997</v>
      </c>
      <c r="Y3577">
        <v>-0.13745019999999999</v>
      </c>
      <c r="Z3577">
        <v>7.502056E-2</v>
      </c>
      <c r="AA3577">
        <v>0.98766359999999997</v>
      </c>
      <c r="AB3577">
        <v>41</v>
      </c>
      <c r="AC3577">
        <v>2.1157999999999699</v>
      </c>
      <c r="AD3577">
        <v>-1.12355635652</v>
      </c>
      <c r="AE3577">
        <v>-14.3847199999999</v>
      </c>
      <c r="AF3577">
        <v>-2.0474246120528501</v>
      </c>
      <c r="AG3577">
        <v>-1.12355635652</v>
      </c>
      <c r="AH3577">
        <v>14.307428503089101</v>
      </c>
      <c r="AI3577">
        <v>94.445099456887803</v>
      </c>
      <c r="AJ3577">
        <v>98.143862265873395</v>
      </c>
      <c r="AK3577">
        <v>14.496787119886999</v>
      </c>
    </row>
    <row r="3578" spans="1:37" x14ac:dyDescent="0.2">
      <c r="A3578" t="str">
        <f>"20200111154137066"</f>
        <v>20200111154137066</v>
      </c>
      <c r="B3578" t="str">
        <f>"1578728497060057"</f>
        <v>1578728497060057</v>
      </c>
      <c r="C3578" t="s">
        <v>37</v>
      </c>
      <c r="D3578">
        <v>5.5276329999999998</v>
      </c>
      <c r="E3578">
        <v>0.49991599999999897</v>
      </c>
      <c r="F3578" t="s">
        <v>39</v>
      </c>
      <c r="G3578">
        <v>-421.11110000000002</v>
      </c>
      <c r="H3578" s="1">
        <v>-2.6600590000000001E-6</v>
      </c>
      <c r="I3578">
        <v>95.100669999999994</v>
      </c>
      <c r="J3578">
        <v>-423.16820000000001</v>
      </c>
      <c r="K3578">
        <v>1.1228940000000001</v>
      </c>
      <c r="L3578">
        <v>110.7316</v>
      </c>
      <c r="M3578">
        <v>1.354343E-2</v>
      </c>
      <c r="N3578">
        <v>0</v>
      </c>
      <c r="O3578">
        <v>-0.9997876</v>
      </c>
      <c r="P3578">
        <v>0.133957299999999</v>
      </c>
      <c r="Q3578">
        <v>4.2330220000000002E-2</v>
      </c>
      <c r="R3578">
        <v>-0.99008289999999999</v>
      </c>
      <c r="S3578">
        <v>0.38427729999999999</v>
      </c>
      <c r="T3578">
        <v>-0.20921579999999901</v>
      </c>
      <c r="U3578">
        <v>-2.9868929999999998</v>
      </c>
      <c r="V3578">
        <v>-0.1223182</v>
      </c>
      <c r="W3578">
        <v>5.3860169999999999E-2</v>
      </c>
      <c r="X3578">
        <v>0.99102839999999903</v>
      </c>
      <c r="Y3578">
        <v>-0.1138496</v>
      </c>
      <c r="Z3578">
        <v>6.9352319999999995E-2</v>
      </c>
      <c r="AA3578">
        <v>0.99107440000000002</v>
      </c>
      <c r="AB3578">
        <v>41</v>
      </c>
      <c r="AC3578">
        <v>2.0570999999999899</v>
      </c>
      <c r="AD3578">
        <v>-1.122896660059</v>
      </c>
      <c r="AE3578">
        <v>-15.630929999999999</v>
      </c>
      <c r="AF3578">
        <v>-1.83587619492826</v>
      </c>
      <c r="AG3578">
        <v>-1.122896660059</v>
      </c>
      <c r="AH3578">
        <v>15.5783329635507</v>
      </c>
      <c r="AI3578">
        <v>94.094550346499403</v>
      </c>
      <c r="AJ3578">
        <v>96.7211953939713</v>
      </c>
      <c r="AK3578">
        <v>15.726277252914199</v>
      </c>
    </row>
    <row r="3579" spans="1:37" x14ac:dyDescent="0.2">
      <c r="A3579" t="str">
        <f>"20200111154137090"</f>
        <v>20200111154137090</v>
      </c>
      <c r="B3579" t="str">
        <f>"1578728497079574"</f>
        <v>1578728497079574</v>
      </c>
      <c r="C3579" t="s">
        <v>37</v>
      </c>
      <c r="D3579">
        <v>5.485411</v>
      </c>
      <c r="E3579">
        <v>0.50054500000000002</v>
      </c>
      <c r="F3579" t="s">
        <v>39</v>
      </c>
      <c r="G3579">
        <v>-421.06310000000002</v>
      </c>
      <c r="H3579" s="1">
        <v>-2.5963769999999998E-6</v>
      </c>
      <c r="I3579">
        <v>94.981960000000001</v>
      </c>
      <c r="J3579">
        <v>-423.15789999999998</v>
      </c>
      <c r="K3579">
        <v>1.122234</v>
      </c>
      <c r="L3579">
        <v>110.3249</v>
      </c>
      <c r="M3579">
        <v>2.24185999999999E-2</v>
      </c>
      <c r="N3579">
        <v>0</v>
      </c>
      <c r="O3579">
        <v>-0.99962969999999896</v>
      </c>
      <c r="P3579">
        <v>0.1415505</v>
      </c>
      <c r="Q3579">
        <v>4.2447770000000003E-2</v>
      </c>
      <c r="R3579">
        <v>-0.98902099999999904</v>
      </c>
      <c r="S3579">
        <v>0.39898679999999997</v>
      </c>
      <c r="T3579">
        <v>-0.21283170000000001</v>
      </c>
      <c r="U3579">
        <v>-2.9851529999999999</v>
      </c>
      <c r="V3579">
        <v>-0.1210339</v>
      </c>
      <c r="W3579">
        <v>5.4119189999999998E-2</v>
      </c>
      <c r="X3579">
        <v>0.99117199999999905</v>
      </c>
      <c r="Y3579">
        <v>-0.109891899999999</v>
      </c>
      <c r="Z3579">
        <v>7.0562059999999996E-2</v>
      </c>
      <c r="AA3579">
        <v>0.99143570000000003</v>
      </c>
      <c r="AB3579">
        <v>41</v>
      </c>
      <c r="AC3579">
        <v>2.0947999999999598</v>
      </c>
      <c r="AD3579">
        <v>-1.122236596377</v>
      </c>
      <c r="AE3579">
        <v>-15.342939999999899</v>
      </c>
      <c r="AF3579">
        <v>-1.7411207513785101</v>
      </c>
      <c r="AG3579">
        <v>-1.122236596377</v>
      </c>
      <c r="AH3579">
        <v>15.305664605357499</v>
      </c>
      <c r="AI3579">
        <v>94.166739244649506</v>
      </c>
      <c r="AJ3579">
        <v>96.489876235055902</v>
      </c>
      <c r="AK3579">
        <v>15.4452026681692</v>
      </c>
    </row>
    <row r="3580" spans="1:37" x14ac:dyDescent="0.2">
      <c r="A3580" t="str">
        <f>"20200111154137111"</f>
        <v>20200111154137111</v>
      </c>
      <c r="B3580" t="str">
        <f>"1578728497100070"</f>
        <v>1578728497100070</v>
      </c>
      <c r="C3580" t="s">
        <v>37</v>
      </c>
      <c r="D3580">
        <v>5.4714970000000003</v>
      </c>
      <c r="E3580">
        <v>0.50291600000000003</v>
      </c>
      <c r="F3580" t="s">
        <v>39</v>
      </c>
      <c r="G3580">
        <v>-420.9486</v>
      </c>
      <c r="H3580" s="1">
        <v>-2.3615179999999998E-6</v>
      </c>
      <c r="I3580">
        <v>94.505519999999905</v>
      </c>
      <c r="J3580">
        <v>-423.1447</v>
      </c>
      <c r="K3580">
        <v>1.121588</v>
      </c>
      <c r="L3580">
        <v>109.93259999999999</v>
      </c>
      <c r="M3580">
        <v>3.0306179999999999E-2</v>
      </c>
      <c r="N3580">
        <v>0</v>
      </c>
      <c r="O3580">
        <v>-0.99942279999999994</v>
      </c>
      <c r="P3580">
        <v>0.1482144</v>
      </c>
      <c r="Q3580">
        <v>4.1635199999999997E-2</v>
      </c>
      <c r="R3580">
        <v>-0.98807839999999902</v>
      </c>
      <c r="S3580">
        <v>0.41656490000000002</v>
      </c>
      <c r="T3580">
        <v>-0.21160010000000001</v>
      </c>
      <c r="U3580">
        <v>-2.9827729999999999</v>
      </c>
      <c r="V3580">
        <v>-0.1197781</v>
      </c>
      <c r="W3580">
        <v>5.3452109999999997E-2</v>
      </c>
      <c r="X3580">
        <v>0.99136069999999998</v>
      </c>
      <c r="Y3580">
        <v>-0.1078918</v>
      </c>
      <c r="Z3580">
        <v>7.0169049999999997E-2</v>
      </c>
      <c r="AA3580">
        <v>0.99168319999999999</v>
      </c>
      <c r="AB3580">
        <v>41</v>
      </c>
      <c r="AC3580">
        <v>2.1960999999999999</v>
      </c>
      <c r="AD3580">
        <v>-1.1215903615180001</v>
      </c>
      <c r="AE3580">
        <v>-15.42708</v>
      </c>
      <c r="AF3580">
        <v>-1.7185965315021501</v>
      </c>
      <c r="AG3580">
        <v>-1.1215903615180001</v>
      </c>
      <c r="AH3580">
        <v>15.406737676927101</v>
      </c>
      <c r="AI3580">
        <v>94.138136887103997</v>
      </c>
      <c r="AJ3580">
        <v>96.364938328148298</v>
      </c>
      <c r="AK3580">
        <v>15.5428152154874</v>
      </c>
    </row>
    <row r="3581" spans="1:37" x14ac:dyDescent="0.2">
      <c r="A3581" t="str">
        <f>"20200111154137133"</f>
        <v>20200111154137133</v>
      </c>
      <c r="B3581" t="str">
        <f>"1578728497129351"</f>
        <v>1578728497129351</v>
      </c>
      <c r="C3581" t="s">
        <v>37</v>
      </c>
      <c r="D3581">
        <v>5.5058150000000001</v>
      </c>
      <c r="E3581">
        <v>0.50509119999999996</v>
      </c>
      <c r="F3581" t="s">
        <v>39</v>
      </c>
      <c r="G3581">
        <v>-420.89870000000002</v>
      </c>
      <c r="H3581" s="1">
        <v>-2.0891480000000001E-6</v>
      </c>
      <c r="I3581">
        <v>93.901539999999997</v>
      </c>
      <c r="J3581">
        <v>-423.12810000000002</v>
      </c>
      <c r="K3581">
        <v>1.1209069999999901</v>
      </c>
      <c r="L3581">
        <v>109.5305</v>
      </c>
      <c r="M3581">
        <v>3.7678419999999997E-2</v>
      </c>
      <c r="N3581">
        <v>0</v>
      </c>
      <c r="O3581">
        <v>-0.99917330000000004</v>
      </c>
      <c r="P3581">
        <v>0.15331989999999901</v>
      </c>
      <c r="Q3581">
        <v>3.9971079999999999E-2</v>
      </c>
      <c r="R3581">
        <v>-0.98736800000000002</v>
      </c>
      <c r="S3581">
        <v>0.41781620000000003</v>
      </c>
      <c r="T3581">
        <v>-0.20865320000000001</v>
      </c>
      <c r="U3581">
        <v>-2.9823149999999998</v>
      </c>
      <c r="V3581">
        <v>-0.1174451</v>
      </c>
      <c r="W3581">
        <v>5.197454E-2</v>
      </c>
      <c r="X3581">
        <v>0.9917184</v>
      </c>
      <c r="Y3581">
        <v>-0.1009934</v>
      </c>
      <c r="Z3581">
        <v>6.9204160000000001E-2</v>
      </c>
      <c r="AA3581">
        <v>0.99247719999999995</v>
      </c>
      <c r="AB3581">
        <v>41</v>
      </c>
      <c r="AC3581">
        <v>2.2293999999999898</v>
      </c>
      <c r="AD3581">
        <v>-1.12090908914799</v>
      </c>
      <c r="AE3581">
        <v>-15.628959999999999</v>
      </c>
      <c r="AF3581">
        <v>-1.6306530000702</v>
      </c>
      <c r="AG3581">
        <v>-1.12090908914799</v>
      </c>
      <c r="AH3581">
        <v>15.6231106482761</v>
      </c>
      <c r="AI3581">
        <v>94.081663148295107</v>
      </c>
      <c r="AJ3581">
        <v>95.958638009372507</v>
      </c>
      <c r="AK3581">
        <v>15.747922171545399</v>
      </c>
    </row>
    <row r="3582" spans="1:37" x14ac:dyDescent="0.2">
      <c r="A3582" t="str">
        <f>"20200111154137167"</f>
        <v>20200111154137167</v>
      </c>
      <c r="B3582" t="str">
        <f>"1578728497159606"</f>
        <v>1578728497159606</v>
      </c>
      <c r="C3582" t="s">
        <v>37</v>
      </c>
      <c r="D3582">
        <v>5.4728190000000003</v>
      </c>
      <c r="E3582">
        <v>0.51751049999999998</v>
      </c>
      <c r="F3582" t="s">
        <v>39</v>
      </c>
      <c r="G3582">
        <v>-420.97629999999998</v>
      </c>
      <c r="H3582" s="1">
        <v>-2.18778799999999E-6</v>
      </c>
      <c r="I3582">
        <v>94.083330000000004</v>
      </c>
      <c r="J3582">
        <v>-423.09739999999999</v>
      </c>
      <c r="K3582">
        <v>1.1198219999999901</v>
      </c>
      <c r="L3582">
        <v>108.91630000000001</v>
      </c>
      <c r="M3582">
        <v>4.7568760000000002E-2</v>
      </c>
      <c r="N3582">
        <v>0</v>
      </c>
      <c r="O3582">
        <v>-0.99875340000000001</v>
      </c>
      <c r="P3582">
        <v>0.15963279999999999</v>
      </c>
      <c r="Q3582">
        <v>3.8708399999999997E-2</v>
      </c>
      <c r="R3582">
        <v>-0.98641759999999901</v>
      </c>
      <c r="S3582">
        <v>0.41546629999999901</v>
      </c>
      <c r="T3582">
        <v>-0.2164336</v>
      </c>
      <c r="U3582">
        <v>-2.9826509999999899</v>
      </c>
      <c r="V3582">
        <v>-0.1137875</v>
      </c>
      <c r="W3582">
        <v>5.100499E-2</v>
      </c>
      <c r="X3582">
        <v>0.99219500000000005</v>
      </c>
      <c r="Y3582">
        <v>-9.0331010000000003E-2</v>
      </c>
      <c r="Z3582">
        <v>7.175898E-2</v>
      </c>
      <c r="AA3582">
        <v>0.99332319999999996</v>
      </c>
      <c r="AB3582">
        <v>41</v>
      </c>
      <c r="AC3582">
        <v>2.12110000000001</v>
      </c>
      <c r="AD3582">
        <v>-1.119824187788</v>
      </c>
      <c r="AE3582">
        <v>-14.83297</v>
      </c>
      <c r="AF3582">
        <v>-1.4051830753480401</v>
      </c>
      <c r="AG3582">
        <v>-1.119824187788</v>
      </c>
      <c r="AH3582">
        <v>14.8342296469117</v>
      </c>
      <c r="AI3582">
        <v>94.297858224121597</v>
      </c>
      <c r="AJ3582">
        <v>95.411237537526503</v>
      </c>
      <c r="AK3582">
        <v>14.9426542121577</v>
      </c>
    </row>
    <row r="3583" spans="1:37" x14ac:dyDescent="0.2">
      <c r="A3583" t="str">
        <f>"20200111154137188"</f>
        <v>20200111154137188</v>
      </c>
      <c r="B3583" t="str">
        <f>"1578728497180105"</f>
        <v>1578728497180105</v>
      </c>
      <c r="C3583" t="s">
        <v>37</v>
      </c>
      <c r="D3583">
        <v>5.481878</v>
      </c>
      <c r="E3583">
        <v>0.5183101</v>
      </c>
      <c r="F3583" t="s">
        <v>39</v>
      </c>
      <c r="G3583">
        <v>-421.60820000000001</v>
      </c>
      <c r="H3583" s="1">
        <v>-3.0390699999999999E-6</v>
      </c>
      <c r="I3583">
        <v>95.675839999999994</v>
      </c>
      <c r="J3583">
        <v>-423.07479999999998</v>
      </c>
      <c r="K3583">
        <v>1.1191120000000001</v>
      </c>
      <c r="L3583">
        <v>108.5248</v>
      </c>
      <c r="M3583">
        <v>5.30276999999999E-2</v>
      </c>
      <c r="N3583">
        <v>0</v>
      </c>
      <c r="O3583">
        <v>-0.99847949999999996</v>
      </c>
      <c r="P3583">
        <v>0.16251779999999999</v>
      </c>
      <c r="Q3583">
        <v>3.991894E-2</v>
      </c>
      <c r="R3583">
        <v>-0.98589780000000005</v>
      </c>
      <c r="S3583">
        <v>0.3370667</v>
      </c>
      <c r="T3583">
        <v>-0.25345000000000001</v>
      </c>
      <c r="U3583">
        <v>-2.9967039999999998</v>
      </c>
      <c r="V3583">
        <v>-0.1111982</v>
      </c>
      <c r="W3583">
        <v>5.2409299999999999E-2</v>
      </c>
      <c r="X3583">
        <v>0.99241539999999995</v>
      </c>
      <c r="Y3583">
        <v>-5.8522390000000001E-2</v>
      </c>
      <c r="Z3583">
        <v>8.3763859999999996E-2</v>
      </c>
      <c r="AA3583">
        <v>0.99476569999999997</v>
      </c>
      <c r="AB3583">
        <v>41</v>
      </c>
      <c r="AC3583">
        <v>1.4665999999999699</v>
      </c>
      <c r="AD3583">
        <v>-1.11911503907</v>
      </c>
      <c r="AE3583">
        <v>-12.8489599999999</v>
      </c>
      <c r="AF3583">
        <v>-0.77728735135988203</v>
      </c>
      <c r="AG3583">
        <v>-1.11911503907</v>
      </c>
      <c r="AH3583">
        <v>12.8127098528134</v>
      </c>
      <c r="AI3583">
        <v>94.9826676845842</v>
      </c>
      <c r="AJ3583">
        <v>93.471613061353693</v>
      </c>
      <c r="AK3583">
        <v>12.8849574259925</v>
      </c>
    </row>
    <row r="3584" spans="1:37" x14ac:dyDescent="0.2">
      <c r="A3584" t="str">
        <f>"20200111154137211"</f>
        <v>20200111154137211</v>
      </c>
      <c r="B3584" t="str">
        <f>"1578728497199622"</f>
        <v>1578728497199622</v>
      </c>
      <c r="C3584" t="s">
        <v>37</v>
      </c>
      <c r="D3584">
        <v>5.5108220000000001</v>
      </c>
      <c r="E3584">
        <v>0.51938930000000005</v>
      </c>
      <c r="F3584" t="s">
        <v>39</v>
      </c>
      <c r="G3584">
        <v>-421.55680000000001</v>
      </c>
      <c r="H3584" s="1">
        <v>-2.7908099999999901E-6</v>
      </c>
      <c r="I3584">
        <v>95.128999999999905</v>
      </c>
      <c r="J3584">
        <v>-423.05</v>
      </c>
      <c r="K3584">
        <v>1.1184049999999901</v>
      </c>
      <c r="L3584">
        <v>108.13030000000001</v>
      </c>
      <c r="M3584">
        <v>5.7982260000000001E-2</v>
      </c>
      <c r="N3584">
        <v>0</v>
      </c>
      <c r="O3584">
        <v>-0.99820520000000001</v>
      </c>
      <c r="P3584">
        <v>0.1648609</v>
      </c>
      <c r="Q3584">
        <v>4.147203E-2</v>
      </c>
      <c r="R3584">
        <v>-0.98544469999999995</v>
      </c>
      <c r="S3584">
        <v>0.33963009999999999</v>
      </c>
      <c r="T3584">
        <v>-0.25038119999999903</v>
      </c>
      <c r="U3584">
        <v>-2.9970699999999999</v>
      </c>
      <c r="V3584">
        <v>-0.108568899999999</v>
      </c>
      <c r="W3584">
        <v>5.4152039999999999E-2</v>
      </c>
      <c r="X3584">
        <v>0.99261290000000002</v>
      </c>
      <c r="Y3584">
        <v>-5.4404180000000003E-2</v>
      </c>
      <c r="Z3584">
        <v>8.2718230000000004E-2</v>
      </c>
      <c r="AA3584">
        <v>0.99508680000000005</v>
      </c>
      <c r="AB3584">
        <v>41</v>
      </c>
      <c r="AC3584">
        <v>1.4932000000000001</v>
      </c>
      <c r="AD3584">
        <v>-1.1184077908100001</v>
      </c>
      <c r="AE3584">
        <v>-13.001300000000001</v>
      </c>
      <c r="AF3584">
        <v>-0.73141597613718601</v>
      </c>
      <c r="AG3584">
        <v>-1.1184077908100001</v>
      </c>
      <c r="AH3584">
        <v>12.971273988620799</v>
      </c>
      <c r="AI3584">
        <v>94.9201855244348</v>
      </c>
      <c r="AJ3584">
        <v>93.227340514165405</v>
      </c>
      <c r="AK3584">
        <v>13.039929225443</v>
      </c>
    </row>
    <row r="3585" spans="1:37" x14ac:dyDescent="0.2">
      <c r="A3585" t="str">
        <f>"20200111154137233"</f>
        <v>20200111154137233</v>
      </c>
      <c r="B3585" t="str">
        <f>"1578728497229878"</f>
        <v>1578728497229878</v>
      </c>
      <c r="C3585" t="s">
        <v>37</v>
      </c>
      <c r="D3585">
        <v>5.5102320000000002</v>
      </c>
      <c r="E3585">
        <v>0.52114939999999998</v>
      </c>
      <c r="F3585" t="s">
        <v>39</v>
      </c>
      <c r="G3585">
        <v>-421.53300000000002</v>
      </c>
      <c r="H3585" s="1">
        <v>-2.5776369999999899E-6</v>
      </c>
      <c r="I3585">
        <v>94.646839999999997</v>
      </c>
      <c r="J3585">
        <v>-423.02269999999999</v>
      </c>
      <c r="K3585">
        <v>1.1176740000000001</v>
      </c>
      <c r="L3585">
        <v>107.7242</v>
      </c>
      <c r="M3585">
        <v>6.2503699999999995E-2</v>
      </c>
      <c r="N3585">
        <v>0</v>
      </c>
      <c r="O3585">
        <v>-0.99793310000000002</v>
      </c>
      <c r="P3585">
        <v>0.1672669</v>
      </c>
      <c r="Q3585">
        <v>4.2438650000000001E-2</v>
      </c>
      <c r="R3585">
        <v>-0.98499809999999999</v>
      </c>
      <c r="S3585">
        <v>0.33734130000000001</v>
      </c>
      <c r="T3585">
        <v>-0.24870149999999999</v>
      </c>
      <c r="U3585">
        <v>-2.9983369999999998</v>
      </c>
      <c r="V3585">
        <v>-0.1064121</v>
      </c>
      <c r="W3585">
        <v>5.5298069999999998E-2</v>
      </c>
      <c r="X3585">
        <v>0.99278319999999998</v>
      </c>
      <c r="Y3585">
        <v>-4.90885E-2</v>
      </c>
      <c r="Z3585">
        <v>8.2114060000000003E-2</v>
      </c>
      <c r="AA3585">
        <v>0.99541329999999995</v>
      </c>
      <c r="AB3585">
        <v>41</v>
      </c>
      <c r="AC3585">
        <v>1.48969999999997</v>
      </c>
      <c r="AD3585">
        <v>-1.1176765776369999</v>
      </c>
      <c r="AE3585">
        <v>-13.077360000000001</v>
      </c>
      <c r="AF3585">
        <v>-0.66452029770603505</v>
      </c>
      <c r="AG3585">
        <v>-1.1176765776369999</v>
      </c>
      <c r="AH3585">
        <v>13.0507979779838</v>
      </c>
      <c r="AI3585">
        <v>94.888592072653296</v>
      </c>
      <c r="AJ3585">
        <v>92.914868145550898</v>
      </c>
      <c r="AK3585">
        <v>13.1154152057953</v>
      </c>
    </row>
    <row r="3586" spans="1:37" x14ac:dyDescent="0.2">
      <c r="A3586" t="str">
        <f>"20200111154137257"</f>
        <v>20200111154137257</v>
      </c>
      <c r="B3586" t="str">
        <f>"1578728497249398"</f>
        <v>1578728497249398</v>
      </c>
      <c r="C3586" t="s">
        <v>37</v>
      </c>
      <c r="D3586">
        <v>5.5871649999999997</v>
      </c>
      <c r="E3586">
        <v>0.52190800000000004</v>
      </c>
      <c r="F3586" t="s">
        <v>39</v>
      </c>
      <c r="G3586">
        <v>-421.5179</v>
      </c>
      <c r="H3586" s="1">
        <v>-2.309889E-6</v>
      </c>
      <c r="I3586">
        <v>94.032110000000003</v>
      </c>
      <c r="J3586">
        <v>-422.99239999999998</v>
      </c>
      <c r="K3586">
        <v>1.116903</v>
      </c>
      <c r="L3586">
        <v>107.2996</v>
      </c>
      <c r="M3586">
        <v>6.6610219999999998E-2</v>
      </c>
      <c r="N3586">
        <v>0</v>
      </c>
      <c r="O3586">
        <v>-0.99766829999999995</v>
      </c>
      <c r="P3586">
        <v>0.170014</v>
      </c>
      <c r="Q3586">
        <v>4.2402479999999999E-2</v>
      </c>
      <c r="R3586">
        <v>-0.98452879999999998</v>
      </c>
      <c r="S3586">
        <v>0.32974239999999999</v>
      </c>
      <c r="T3586">
        <v>-0.24490709999999999</v>
      </c>
      <c r="U3586">
        <v>-3.0002439999999999</v>
      </c>
      <c r="V3586">
        <v>-0.10498339999999901</v>
      </c>
      <c r="W3586">
        <v>5.5431849999999998E-2</v>
      </c>
      <c r="X3586">
        <v>0.99292789999999997</v>
      </c>
      <c r="Y3586">
        <v>-4.2427859999999998E-2</v>
      </c>
      <c r="Z3586">
        <v>8.0810170000000001E-2</v>
      </c>
      <c r="AA3586">
        <v>0.99582610000000005</v>
      </c>
      <c r="AB3586">
        <v>41</v>
      </c>
      <c r="AC3586">
        <v>1.4744999999999699</v>
      </c>
      <c r="AD3586">
        <v>-1.1169053098890001</v>
      </c>
      <c r="AE3586">
        <v>-13.267489999999899</v>
      </c>
      <c r="AF3586">
        <v>-0.58329310633015796</v>
      </c>
      <c r="AG3586">
        <v>-1.1169053098890001</v>
      </c>
      <c r="AH3586">
        <v>13.243534707016799</v>
      </c>
      <c r="AI3586">
        <v>94.816036238996205</v>
      </c>
      <c r="AJ3586">
        <v>92.521883251104995</v>
      </c>
      <c r="AK3586">
        <v>13.3033424317015</v>
      </c>
    </row>
    <row r="3587" spans="1:37" x14ac:dyDescent="0.2">
      <c r="A3587" t="str">
        <f>"20200111154137279"</f>
        <v>20200111154137279</v>
      </c>
      <c r="B3587" t="str">
        <f>"1578728497269897"</f>
        <v>1578728497269897</v>
      </c>
      <c r="C3587" t="s">
        <v>37</v>
      </c>
      <c r="D3587">
        <v>5.5880660000000004</v>
      </c>
      <c r="E3587">
        <v>0.5223158</v>
      </c>
      <c r="F3587" t="s">
        <v>39</v>
      </c>
      <c r="G3587">
        <v>-421.47469999999998</v>
      </c>
      <c r="H3587" s="1">
        <v>-2.0863099999999899E-6</v>
      </c>
      <c r="I3587">
        <v>93.537679999999995</v>
      </c>
      <c r="J3587">
        <v>-422.9631</v>
      </c>
      <c r="K3587">
        <v>1.1161719999999999</v>
      </c>
      <c r="L3587">
        <v>106.90389999999999</v>
      </c>
      <c r="M3587">
        <v>6.9847619999999999E-2</v>
      </c>
      <c r="N3587">
        <v>0</v>
      </c>
      <c r="O3587">
        <v>-0.99744809999999995</v>
      </c>
      <c r="P3587">
        <v>0.1720535</v>
      </c>
      <c r="Q3587">
        <v>4.3125199999999898E-2</v>
      </c>
      <c r="R3587">
        <v>-0.98414360000000001</v>
      </c>
      <c r="S3587">
        <v>0.33090209999999998</v>
      </c>
      <c r="T3587">
        <v>-0.2435156</v>
      </c>
      <c r="U3587">
        <v>-3.0004729999999999</v>
      </c>
      <c r="V3587">
        <v>-0.1037255</v>
      </c>
      <c r="W3587">
        <v>5.6312620000000001E-2</v>
      </c>
      <c r="X3587">
        <v>0.99301049999999902</v>
      </c>
      <c r="Y3587">
        <v>-3.9561659999999998E-2</v>
      </c>
      <c r="Z3587">
        <v>8.0324309999999996E-2</v>
      </c>
      <c r="AA3587">
        <v>0.99598339999999996</v>
      </c>
      <c r="AB3587">
        <v>41</v>
      </c>
      <c r="AC3587">
        <v>1.4884000000000099</v>
      </c>
      <c r="AD3587">
        <v>-1.11617408631</v>
      </c>
      <c r="AE3587">
        <v>-13.366219999999901</v>
      </c>
      <c r="AF3587">
        <v>-0.54729356051850397</v>
      </c>
      <c r="AG3587">
        <v>-1.11617408631</v>
      </c>
      <c r="AH3587">
        <v>13.345615835284301</v>
      </c>
      <c r="AI3587">
        <v>94.776867391770793</v>
      </c>
      <c r="AJ3587">
        <v>92.348340506763293</v>
      </c>
      <c r="AK3587">
        <v>13.4033890063419</v>
      </c>
    </row>
    <row r="3588" spans="1:37" x14ac:dyDescent="0.2">
      <c r="A3588" t="str">
        <f>"20200111154137301"</f>
        <v>20200111154137301</v>
      </c>
      <c r="B3588" t="str">
        <f>"1578728497289416"</f>
        <v>1578728497289416</v>
      </c>
      <c r="C3588" t="s">
        <v>37</v>
      </c>
      <c r="D3588">
        <v>5.572838</v>
      </c>
      <c r="E3588">
        <v>0.52881869999999997</v>
      </c>
      <c r="F3588" t="s">
        <v>39</v>
      </c>
      <c r="G3588">
        <v>-421.4162</v>
      </c>
      <c r="H3588" s="1">
        <v>-1.820079E-6</v>
      </c>
      <c r="I3588">
        <v>92.953409999999906</v>
      </c>
      <c r="J3588">
        <v>-422.93360000000001</v>
      </c>
      <c r="K3588">
        <v>1.1154409999999999</v>
      </c>
      <c r="L3588">
        <v>106.518999999999</v>
      </c>
      <c r="M3588">
        <v>7.2438420000000003E-2</v>
      </c>
      <c r="N3588">
        <v>0</v>
      </c>
      <c r="O3588">
        <v>-0.99726389999999998</v>
      </c>
      <c r="P3588">
        <v>0.17402429999999999</v>
      </c>
      <c r="Q3588">
        <v>4.341656E-2</v>
      </c>
      <c r="R3588">
        <v>-0.98378379999999999</v>
      </c>
      <c r="S3588">
        <v>0.33273320000000001</v>
      </c>
      <c r="T3588">
        <v>-0.24008309999999999</v>
      </c>
      <c r="U3588">
        <v>-3.0006870000000001</v>
      </c>
      <c r="V3588">
        <v>-0.1030335</v>
      </c>
      <c r="W3588">
        <v>5.6752520000000001E-2</v>
      </c>
      <c r="X3588">
        <v>0.99305750000000004</v>
      </c>
      <c r="Y3588">
        <v>-3.7568839999999999E-2</v>
      </c>
      <c r="Z3588">
        <v>7.9172190000000003E-2</v>
      </c>
      <c r="AA3588">
        <v>0.99615279999999995</v>
      </c>
      <c r="AB3588">
        <v>41</v>
      </c>
      <c r="AC3588">
        <v>1.5174000000000001</v>
      </c>
      <c r="AD3588">
        <v>-1.1154428200790001</v>
      </c>
      <c r="AE3588">
        <v>-13.56559</v>
      </c>
      <c r="AF3588">
        <v>-0.52711617189544602</v>
      </c>
      <c r="AG3588">
        <v>-1.1154428200790001</v>
      </c>
      <c r="AH3588">
        <v>13.5493971370237</v>
      </c>
      <c r="AI3588">
        <v>94.702673304214201</v>
      </c>
      <c r="AJ3588">
        <v>92.227871037016101</v>
      </c>
      <c r="AK3588">
        <v>13.605448427755899</v>
      </c>
    </row>
    <row r="3589" spans="1:37" x14ac:dyDescent="0.2">
      <c r="A3589" t="str">
        <f>"20200111154137324"</f>
        <v>20200111154137324</v>
      </c>
      <c r="B3589" t="str">
        <f>"1578728497319670"</f>
        <v>1578728497319670</v>
      </c>
      <c r="C3589" t="s">
        <v>37</v>
      </c>
      <c r="D3589">
        <v>5.5675359999999996</v>
      </c>
      <c r="E3589">
        <v>0.52901909999999996</v>
      </c>
      <c r="F3589" t="s">
        <v>39</v>
      </c>
      <c r="G3589">
        <v>-421.65440000000001</v>
      </c>
      <c r="H3589" s="1">
        <v>-1.9281560000000001E-6</v>
      </c>
      <c r="I3589">
        <v>93.057559999999995</v>
      </c>
      <c r="J3589">
        <v>-422.90179999999998</v>
      </c>
      <c r="K3589">
        <v>1.114668</v>
      </c>
      <c r="L3589">
        <v>106.1122</v>
      </c>
      <c r="M3589">
        <v>7.4585449999999998E-2</v>
      </c>
      <c r="N3589">
        <v>0</v>
      </c>
      <c r="O3589">
        <v>-0.99710639999999995</v>
      </c>
      <c r="P3589">
        <v>0.1755563</v>
      </c>
      <c r="Q3589">
        <v>4.3048620000000003E-2</v>
      </c>
      <c r="R3589">
        <v>-0.98352779999999995</v>
      </c>
      <c r="S3589">
        <v>0.28601070000000001</v>
      </c>
      <c r="T3589">
        <v>-0.24940409999999999</v>
      </c>
      <c r="U3589">
        <v>-3.0098569999999998</v>
      </c>
      <c r="V3589">
        <v>-0.1023244</v>
      </c>
      <c r="W3589">
        <v>5.6543049999999997E-2</v>
      </c>
      <c r="X3589">
        <v>0.99314279999999999</v>
      </c>
      <c r="Y3589">
        <v>-1.9756220000000001E-2</v>
      </c>
      <c r="Z3589">
        <v>8.2044010000000001E-2</v>
      </c>
      <c r="AA3589">
        <v>0.99643289999999995</v>
      </c>
      <c r="AB3589">
        <v>40</v>
      </c>
      <c r="AC3589">
        <v>1.2473999999999701</v>
      </c>
      <c r="AD3589">
        <v>-1.114669928156</v>
      </c>
      <c r="AE3589">
        <v>-13.054639999999999</v>
      </c>
      <c r="AF3589">
        <v>-0.26819586281960001</v>
      </c>
      <c r="AG3589">
        <v>-1.114669928156</v>
      </c>
      <c r="AH3589">
        <v>13.017273049801499</v>
      </c>
      <c r="AI3589">
        <v>94.893268671842904</v>
      </c>
      <c r="AJ3589">
        <v>91.180302297320296</v>
      </c>
      <c r="AK3589">
        <v>13.067662978614701</v>
      </c>
    </row>
    <row r="3590" spans="1:37" x14ac:dyDescent="0.2">
      <c r="A3590" t="str">
        <f>"20200111154137346"</f>
        <v>20200111154137346</v>
      </c>
      <c r="B3590" t="str">
        <f>"1578728497340166"</f>
        <v>1578728497340166</v>
      </c>
      <c r="C3590" t="s">
        <v>37</v>
      </c>
      <c r="D3590">
        <v>5.540953</v>
      </c>
      <c r="E3590">
        <v>0.52944519999999995</v>
      </c>
      <c r="F3590" t="s">
        <v>38</v>
      </c>
      <c r="G3590">
        <v>-422.79939999999999</v>
      </c>
      <c r="H3590">
        <v>1.0242500000000001</v>
      </c>
      <c r="I3590">
        <v>105.0397</v>
      </c>
      <c r="J3590">
        <v>-422.86970000000002</v>
      </c>
      <c r="K3590">
        <v>1.113923</v>
      </c>
      <c r="L3590">
        <v>105.7047</v>
      </c>
      <c r="M3590">
        <v>7.6083440000000002E-2</v>
      </c>
      <c r="N3590">
        <v>0</v>
      </c>
      <c r="O3590">
        <v>-0.99699380000000004</v>
      </c>
      <c r="P3590">
        <v>0.17632410000000001</v>
      </c>
      <c r="Q3590">
        <v>4.2488819999999997E-2</v>
      </c>
      <c r="R3590">
        <v>-0.98341489999999998</v>
      </c>
      <c r="S3590">
        <v>0.2881165</v>
      </c>
      <c r="T3590">
        <v>-0.253776</v>
      </c>
      <c r="U3590">
        <v>-3.0099179999999999</v>
      </c>
      <c r="V3590">
        <v>-0.101491199999999</v>
      </c>
      <c r="W3590">
        <v>5.6140759999999998E-2</v>
      </c>
      <c r="X3590">
        <v>0.99325110000000005</v>
      </c>
      <c r="Y3590">
        <v>-1.893183E-2</v>
      </c>
      <c r="Z3590">
        <v>8.3454269999999997E-2</v>
      </c>
      <c r="AA3590">
        <v>0.99633179999999999</v>
      </c>
      <c r="AB3590">
        <v>40</v>
      </c>
      <c r="AC3590">
        <v>7.0300000000031504E-2</v>
      </c>
      <c r="AD3590">
        <v>-8.9672999999999795E-2</v>
      </c>
      <c r="AE3590">
        <v>-0.66500000000000603</v>
      </c>
      <c r="AF3590">
        <v>-1.9150885632308198E-2</v>
      </c>
      <c r="AG3590">
        <v>-8.9672999999999795E-2</v>
      </c>
      <c r="AH3590">
        <v>0.65661364277373602</v>
      </c>
      <c r="AI3590">
        <v>97.773446340547295</v>
      </c>
      <c r="AJ3590">
        <v>91.670623138817703</v>
      </c>
      <c r="AK3590">
        <v>0.662985278287608</v>
      </c>
    </row>
    <row r="3591" spans="1:37" x14ac:dyDescent="0.2">
      <c r="A3591" t="str">
        <f>"20200111154137368"</f>
        <v>20200111154137368</v>
      </c>
      <c r="B3591" t="str">
        <f>"1578728497359686"</f>
        <v>1578728497359686</v>
      </c>
      <c r="C3591" t="s">
        <v>37</v>
      </c>
      <c r="D3591">
        <v>5.5801800000000004</v>
      </c>
      <c r="E3591">
        <v>0.52977929999999995</v>
      </c>
      <c r="F3591" t="s">
        <v>38</v>
      </c>
      <c r="G3591">
        <v>-422.77260000000001</v>
      </c>
      <c r="H3591">
        <v>1.0255259999999999</v>
      </c>
      <c r="I3591">
        <v>104.6793</v>
      </c>
      <c r="J3591">
        <v>-422.83730000000003</v>
      </c>
      <c r="K3591">
        <v>1.1132379999999999</v>
      </c>
      <c r="L3591">
        <v>105.29649999999999</v>
      </c>
      <c r="M3591">
        <v>7.7084490000000006E-2</v>
      </c>
      <c r="N3591">
        <v>0</v>
      </c>
      <c r="O3591">
        <v>-0.99691770000000002</v>
      </c>
      <c r="P3591">
        <v>0.17705309999999999</v>
      </c>
      <c r="Q3591">
        <v>4.3574750000000002E-2</v>
      </c>
      <c r="R3591">
        <v>-0.98323649999999996</v>
      </c>
      <c r="S3591">
        <v>0.2861938</v>
      </c>
      <c r="T3591">
        <v>-0.25954319999999997</v>
      </c>
      <c r="U3591">
        <v>-3.0104980000000001</v>
      </c>
      <c r="V3591">
        <v>-0.1011432</v>
      </c>
      <c r="W3591">
        <v>5.7363310000000001E-2</v>
      </c>
      <c r="X3591">
        <v>0.99321680000000001</v>
      </c>
      <c r="Y3591">
        <v>-1.7264209999999999E-2</v>
      </c>
      <c r="Z3591">
        <v>8.5314870000000001E-2</v>
      </c>
      <c r="AA3591">
        <v>0.99620439999999999</v>
      </c>
      <c r="AB3591">
        <v>40</v>
      </c>
      <c r="AC3591">
        <v>6.4700000000016106E-2</v>
      </c>
      <c r="AD3591">
        <v>-8.7711999999999998E-2</v>
      </c>
      <c r="AE3591">
        <v>-0.61719999999999597</v>
      </c>
      <c r="AF3591">
        <v>-1.65943343342436E-2</v>
      </c>
      <c r="AG3591">
        <v>-8.7711999999999998E-2</v>
      </c>
      <c r="AH3591">
        <v>0.60820132260691095</v>
      </c>
      <c r="AI3591">
        <v>98.203342764069603</v>
      </c>
      <c r="AJ3591">
        <v>91.562886267336296</v>
      </c>
      <c r="AK3591">
        <v>0.614717508858169</v>
      </c>
    </row>
    <row r="3592" spans="1:37" x14ac:dyDescent="0.2">
      <c r="A3592" t="str">
        <f>"20200111154137390"</f>
        <v>20200111154137390</v>
      </c>
      <c r="B3592" t="str">
        <f>"1578728497380183"</f>
        <v>1578728497380183</v>
      </c>
      <c r="C3592" t="s">
        <v>37</v>
      </c>
      <c r="D3592">
        <v>5.5790699999999998</v>
      </c>
      <c r="E3592">
        <v>0.52994249999999998</v>
      </c>
      <c r="F3592" t="s">
        <v>38</v>
      </c>
      <c r="G3592">
        <v>-422.74450000000002</v>
      </c>
      <c r="H3592">
        <v>1.0285309999999901</v>
      </c>
      <c r="I3592">
        <v>104.31740000000001</v>
      </c>
      <c r="J3592">
        <v>-422.80560000000003</v>
      </c>
      <c r="K3592">
        <v>1.1126419999999999</v>
      </c>
      <c r="L3592">
        <v>104.8969</v>
      </c>
      <c r="M3592">
        <v>7.7618439999999997E-2</v>
      </c>
      <c r="N3592">
        <v>0</v>
      </c>
      <c r="O3592">
        <v>-0.99687669999999995</v>
      </c>
      <c r="P3592">
        <v>0.17754339999999999</v>
      </c>
      <c r="Q3592">
        <v>4.4444749999999998E-2</v>
      </c>
      <c r="R3592">
        <v>-0.98310919999999902</v>
      </c>
      <c r="S3592">
        <v>0.28533940000000002</v>
      </c>
      <c r="T3592">
        <v>-0.26051210000000002</v>
      </c>
      <c r="U3592">
        <v>-3.0112919999999899</v>
      </c>
      <c r="V3592">
        <v>-0.10102559999999999</v>
      </c>
      <c r="W3592">
        <v>5.8349169999999999E-2</v>
      </c>
      <c r="X3592">
        <v>0.99317129999999998</v>
      </c>
      <c r="Y3592">
        <v>-1.6421439999999999E-2</v>
      </c>
      <c r="Z3592">
        <v>8.5605109999999998E-2</v>
      </c>
      <c r="AA3592">
        <v>0.99619380000000002</v>
      </c>
      <c r="AB3592">
        <v>40</v>
      </c>
      <c r="AC3592">
        <v>6.1100000000010299E-2</v>
      </c>
      <c r="AD3592">
        <v>-8.4111000000000005E-2</v>
      </c>
      <c r="AE3592">
        <v>-0.57949999999999502</v>
      </c>
      <c r="AF3592">
        <v>-1.5605820721756401E-2</v>
      </c>
      <c r="AG3592">
        <v>-8.4111000000000005E-2</v>
      </c>
      <c r="AH3592">
        <v>0.57060567023696596</v>
      </c>
      <c r="AI3592">
        <v>98.382295526732406</v>
      </c>
      <c r="AJ3592">
        <v>91.566624499689297</v>
      </c>
      <c r="AK3592">
        <v>0.57698269719981798</v>
      </c>
    </row>
    <row r="3593" spans="1:37" x14ac:dyDescent="0.2">
      <c r="A3593" t="str">
        <f>"20200111154137413"</f>
        <v>20200111154137413</v>
      </c>
      <c r="B3593" t="str">
        <f>"1578728497409462"</f>
        <v>1578728497409462</v>
      </c>
      <c r="C3593" t="s">
        <v>37</v>
      </c>
      <c r="D3593">
        <v>5.5663210000000003</v>
      </c>
      <c r="E3593">
        <v>0.53060169999999995</v>
      </c>
      <c r="F3593" t="s">
        <v>38</v>
      </c>
      <c r="G3593">
        <v>-422.7167</v>
      </c>
      <c r="H3593">
        <v>1.031042</v>
      </c>
      <c r="I3593">
        <v>103.956</v>
      </c>
      <c r="J3593">
        <v>-422.77449999999999</v>
      </c>
      <c r="K3593">
        <v>1.112098</v>
      </c>
      <c r="L3593">
        <v>104.50409999999999</v>
      </c>
      <c r="M3593">
        <v>7.7722009999999994E-2</v>
      </c>
      <c r="N3593">
        <v>0</v>
      </c>
      <c r="O3593">
        <v>-0.99686909999999895</v>
      </c>
      <c r="P3593">
        <v>0.1772639</v>
      </c>
      <c r="Q3593">
        <v>4.5068619999999997E-2</v>
      </c>
      <c r="R3593">
        <v>-0.98313099999999998</v>
      </c>
      <c r="S3593">
        <v>0.28558349999999999</v>
      </c>
      <c r="T3593">
        <v>-0.26120290000000002</v>
      </c>
      <c r="U3593">
        <v>-3.0117799999999999</v>
      </c>
      <c r="V3593">
        <v>-0.1005643</v>
      </c>
      <c r="W3593">
        <v>5.9078440000000003E-2</v>
      </c>
      <c r="X3593">
        <v>0.99317500000000003</v>
      </c>
      <c r="Y3593">
        <v>-1.6380749999999999E-2</v>
      </c>
      <c r="Z3593">
        <v>8.5815349999999999E-2</v>
      </c>
      <c r="AA3593">
        <v>0.99617639999999996</v>
      </c>
      <c r="AB3593">
        <v>40</v>
      </c>
      <c r="AC3593">
        <v>5.7799999999986001E-2</v>
      </c>
      <c r="AD3593">
        <v>-8.1056000000000003E-2</v>
      </c>
      <c r="AE3593">
        <v>-0.54809999999999004</v>
      </c>
      <c r="AF3593">
        <v>-1.47031642948388E-2</v>
      </c>
      <c r="AG3593">
        <v>-8.1056000000000003E-2</v>
      </c>
      <c r="AH3593">
        <v>0.53927031187961005</v>
      </c>
      <c r="AI3593">
        <v>98.544828379669895</v>
      </c>
      <c r="AJ3593">
        <v>91.561778178448606</v>
      </c>
      <c r="AK3593">
        <v>0.545526101530452</v>
      </c>
    </row>
    <row r="3594" spans="1:37" x14ac:dyDescent="0.2">
      <c r="A3594" t="str">
        <f>"20200111154137435"</f>
        <v>20200111154137435</v>
      </c>
      <c r="B3594" t="str">
        <f>"1578728497429958"</f>
        <v>1578728497429958</v>
      </c>
      <c r="C3594" t="s">
        <v>37</v>
      </c>
      <c r="D3594">
        <v>5.6048609999999996</v>
      </c>
      <c r="E3594">
        <v>0.53097649999999996</v>
      </c>
      <c r="F3594" t="s">
        <v>38</v>
      </c>
      <c r="G3594">
        <v>-422.69029999999998</v>
      </c>
      <c r="H3594">
        <v>1.0333330000000001</v>
      </c>
      <c r="I3594">
        <v>103.595</v>
      </c>
      <c r="J3594">
        <v>-422.741999999999</v>
      </c>
      <c r="K3594">
        <v>1.1115469999999901</v>
      </c>
      <c r="L3594">
        <v>104.0902</v>
      </c>
      <c r="M3594">
        <v>7.7420180000000005E-2</v>
      </c>
      <c r="N3594">
        <v>0</v>
      </c>
      <c r="O3594">
        <v>-0.99689319999999904</v>
      </c>
      <c r="P3594">
        <v>0.17548440000000001</v>
      </c>
      <c r="Q3594">
        <v>4.5357700000000001E-2</v>
      </c>
      <c r="R3594">
        <v>-0.98343689999999995</v>
      </c>
      <c r="S3594">
        <v>0.2793274</v>
      </c>
      <c r="T3594">
        <v>-0.26103119999999902</v>
      </c>
      <c r="U3594">
        <v>-3.0130919999999999</v>
      </c>
      <c r="V3594">
        <v>-9.8987660000000005E-2</v>
      </c>
      <c r="W3594">
        <v>5.9475889999999997E-2</v>
      </c>
      <c r="X3594">
        <v>0.99330969999999996</v>
      </c>
      <c r="Y3594">
        <v>-1.459302E-2</v>
      </c>
      <c r="Z3594">
        <v>8.5734870000000005E-2</v>
      </c>
      <c r="AA3594">
        <v>0.99621109999999902</v>
      </c>
      <c r="AB3594">
        <v>40</v>
      </c>
      <c r="AC3594">
        <v>5.1699999999982503E-2</v>
      </c>
      <c r="AD3594">
        <v>-7.82139999999997E-2</v>
      </c>
      <c r="AE3594">
        <v>-0.49519999999999698</v>
      </c>
      <c r="AF3594">
        <v>-1.28843398836262E-2</v>
      </c>
      <c r="AG3594">
        <v>-7.82139999999997E-2</v>
      </c>
      <c r="AH3594">
        <v>0.485729859260849</v>
      </c>
      <c r="AI3594">
        <v>99.144293110936104</v>
      </c>
      <c r="AJ3594">
        <v>91.519456166384302</v>
      </c>
      <c r="AK3594">
        <v>0.492155394349997</v>
      </c>
    </row>
    <row r="3595" spans="1:37" x14ac:dyDescent="0.2">
      <c r="A3595" t="str">
        <f>"20200111154137458"</f>
        <v>20200111154137458</v>
      </c>
      <c r="B3595" t="str">
        <f>"1578728497449478"</f>
        <v>1578728497449478</v>
      </c>
      <c r="C3595" t="s">
        <v>37</v>
      </c>
      <c r="D3595">
        <v>5.6042059999999996</v>
      </c>
      <c r="E3595">
        <v>0.53145039999999999</v>
      </c>
      <c r="F3595" t="s">
        <v>38</v>
      </c>
      <c r="G3595">
        <v>-422.6651</v>
      </c>
      <c r="H3595">
        <v>1.0368059999999999</v>
      </c>
      <c r="I3595">
        <v>103.232</v>
      </c>
      <c r="J3595">
        <v>-422.71129999999999</v>
      </c>
      <c r="K3595">
        <v>1.111048</v>
      </c>
      <c r="L3595">
        <v>103.69289999999999</v>
      </c>
      <c r="M3595">
        <v>7.6791380000000006E-2</v>
      </c>
      <c r="N3595">
        <v>0</v>
      </c>
      <c r="O3595">
        <v>-0.99694249999999995</v>
      </c>
      <c r="P3595">
        <v>0.1733452</v>
      </c>
      <c r="Q3595">
        <v>4.4028650000000003E-2</v>
      </c>
      <c r="R3595">
        <v>-0.9838768</v>
      </c>
      <c r="S3595">
        <v>0.27127079999999998</v>
      </c>
      <c r="T3595">
        <v>-0.26249990000000001</v>
      </c>
      <c r="U3595">
        <v>-3.0142519999999999</v>
      </c>
      <c r="V3595">
        <v>-9.7372379999999994E-2</v>
      </c>
      <c r="W3595">
        <v>5.8243980000000001E-2</v>
      </c>
      <c r="X3595">
        <v>0.99354229999999999</v>
      </c>
      <c r="Y3595">
        <v>-1.25442E-2</v>
      </c>
      <c r="Z3595">
        <v>8.6198750000000005E-2</v>
      </c>
      <c r="AA3595">
        <v>0.99619899999999995</v>
      </c>
      <c r="AB3595">
        <v>40</v>
      </c>
      <c r="AC3595">
        <v>4.6199999999998902E-2</v>
      </c>
      <c r="AD3595">
        <v>-7.42420000000001E-2</v>
      </c>
      <c r="AE3595">
        <v>-0.46089999999998099</v>
      </c>
      <c r="AF3595">
        <v>-1.0399557520104101E-2</v>
      </c>
      <c r="AG3595">
        <v>-7.42420000000001E-2</v>
      </c>
      <c r="AH3595">
        <v>0.45148868680441301</v>
      </c>
      <c r="AI3595">
        <v>99.335615604550796</v>
      </c>
      <c r="AJ3595">
        <v>91.319513483063503</v>
      </c>
      <c r="AK3595">
        <v>0.457670252117162</v>
      </c>
    </row>
    <row r="3596" spans="1:37" x14ac:dyDescent="0.2">
      <c r="A3596" t="str">
        <f>"20200111154137479"</f>
        <v>20200111154137479</v>
      </c>
      <c r="B3596" t="str">
        <f>"1578728497469977"</f>
        <v>1578728497469977</v>
      </c>
      <c r="C3596" t="s">
        <v>37</v>
      </c>
      <c r="D3596">
        <v>5.5757879999999904</v>
      </c>
      <c r="E3596">
        <v>0.53174919999999903</v>
      </c>
      <c r="F3596" t="s">
        <v>38</v>
      </c>
      <c r="G3596">
        <v>-422.64010000000002</v>
      </c>
      <c r="H3596">
        <v>1.03794599999999</v>
      </c>
      <c r="I3596">
        <v>102.86709999999999</v>
      </c>
      <c r="J3596">
        <v>-422.68169999999998</v>
      </c>
      <c r="K3596">
        <v>1.1105909999999899</v>
      </c>
      <c r="L3596">
        <v>103.3031</v>
      </c>
      <c r="M3596">
        <v>7.5905929999999996E-2</v>
      </c>
      <c r="N3596">
        <v>0</v>
      </c>
      <c r="O3596">
        <v>-0.99701059999999997</v>
      </c>
      <c r="P3596">
        <v>0.1711114</v>
      </c>
      <c r="Q3596">
        <v>4.1264870000000002E-2</v>
      </c>
      <c r="R3596">
        <v>-0.98438760000000003</v>
      </c>
      <c r="S3596">
        <v>0.2608337</v>
      </c>
      <c r="T3596">
        <v>-0.2668798</v>
      </c>
      <c r="U3596">
        <v>-3.0151669999999999</v>
      </c>
      <c r="V3596">
        <v>-9.5923010000000003E-2</v>
      </c>
      <c r="W3596">
        <v>5.5566119999999997E-2</v>
      </c>
      <c r="X3596">
        <v>0.99383659999999996</v>
      </c>
      <c r="Y3596">
        <v>-9.9728279999999996E-3</v>
      </c>
      <c r="Z3596">
        <v>8.7623039999999999E-2</v>
      </c>
      <c r="AA3596">
        <v>0.99610379999999998</v>
      </c>
      <c r="AB3596">
        <v>40</v>
      </c>
      <c r="AC3596">
        <v>4.1599999999959801E-2</v>
      </c>
      <c r="AD3596">
        <v>-7.2645000000000001E-2</v>
      </c>
      <c r="AE3596">
        <v>-0.43600000000000699</v>
      </c>
      <c r="AF3596">
        <v>-8.1571192303571405E-3</v>
      </c>
      <c r="AG3596">
        <v>-7.2645000000000001E-2</v>
      </c>
      <c r="AH3596">
        <v>0.426175471211242</v>
      </c>
      <c r="AI3596">
        <v>99.671807358143298</v>
      </c>
      <c r="AJ3596">
        <v>91.096523557645099</v>
      </c>
      <c r="AK3596">
        <v>0.432399545422127</v>
      </c>
    </row>
    <row r="3597" spans="1:37" x14ac:dyDescent="0.2">
      <c r="A3597" t="str">
        <f>"20200111154137502"</f>
        <v>20200111154137502</v>
      </c>
      <c r="B3597" t="str">
        <f>"1578728497489494"</f>
        <v>1578728497489494</v>
      </c>
      <c r="C3597" t="s">
        <v>37</v>
      </c>
      <c r="D3597">
        <v>5.6351500000000003</v>
      </c>
      <c r="E3597">
        <v>0.53209719999999905</v>
      </c>
      <c r="F3597" t="s">
        <v>38</v>
      </c>
      <c r="G3597">
        <v>-422.61630000000002</v>
      </c>
      <c r="H3597">
        <v>1.038222</v>
      </c>
      <c r="I3597">
        <v>102.5124</v>
      </c>
      <c r="J3597">
        <v>-422.65249999999997</v>
      </c>
      <c r="K3597">
        <v>1.110174</v>
      </c>
      <c r="L3597">
        <v>102.91070000000001</v>
      </c>
      <c r="M3597">
        <v>7.4794050000000001E-2</v>
      </c>
      <c r="N3597">
        <v>0</v>
      </c>
      <c r="O3597">
        <v>-0.99709490000000001</v>
      </c>
      <c r="P3597">
        <v>0.16915139999999901</v>
      </c>
      <c r="Q3597">
        <v>3.8490440000000001E-2</v>
      </c>
      <c r="R3597">
        <v>-0.98483860000000001</v>
      </c>
      <c r="S3597">
        <v>0.25057979999999902</v>
      </c>
      <c r="T3597">
        <v>-0.27594950000000001</v>
      </c>
      <c r="U3597">
        <v>-3.015625</v>
      </c>
      <c r="V3597">
        <v>-9.4990069999999996E-2</v>
      </c>
      <c r="W3597">
        <v>5.2865950000000002E-2</v>
      </c>
      <c r="X3597">
        <v>0.99407350000000005</v>
      </c>
      <c r="Y3597">
        <v>-7.6901230000000001E-3</v>
      </c>
      <c r="Z3597">
        <v>9.0588279999999993E-2</v>
      </c>
      <c r="AA3597">
        <v>0.99585869999999999</v>
      </c>
      <c r="AB3597">
        <v>40</v>
      </c>
      <c r="AC3597">
        <v>3.6199999999951098E-2</v>
      </c>
      <c r="AD3597">
        <v>-7.1952000000000002E-2</v>
      </c>
      <c r="AE3597">
        <v>-0.39830000000000598</v>
      </c>
      <c r="AF3597">
        <v>-6.1073478148463397E-3</v>
      </c>
      <c r="AG3597">
        <v>-7.1952000000000002E-2</v>
      </c>
      <c r="AH3597">
        <v>0.38735473412492699</v>
      </c>
      <c r="AI3597">
        <v>100.521606548037</v>
      </c>
      <c r="AJ3597">
        <v>90.903296722806999</v>
      </c>
      <c r="AK3597">
        <v>0.394028019372131</v>
      </c>
    </row>
    <row r="3598" spans="1:37" x14ac:dyDescent="0.2">
      <c r="A3598" t="str">
        <f>"20200111154137525"</f>
        <v>20200111154137525</v>
      </c>
      <c r="B3598" t="str">
        <f>"1578728497519751"</f>
        <v>1578728497519751</v>
      </c>
      <c r="C3598" t="s">
        <v>37</v>
      </c>
      <c r="D3598">
        <v>5.6071070000000001</v>
      </c>
      <c r="E3598">
        <v>0.53257019999999899</v>
      </c>
      <c r="F3598" t="s">
        <v>38</v>
      </c>
      <c r="G3598">
        <v>-422.5917</v>
      </c>
      <c r="H3598">
        <v>1.038478</v>
      </c>
      <c r="I3598">
        <v>102.1529</v>
      </c>
      <c r="J3598">
        <v>-422.62240000000003</v>
      </c>
      <c r="K3598">
        <v>1.1098079999999999</v>
      </c>
      <c r="L3598">
        <v>102.4975</v>
      </c>
      <c r="M3598">
        <v>7.3418430000000007E-2</v>
      </c>
      <c r="N3598">
        <v>0</v>
      </c>
      <c r="O3598">
        <v>-0.99719760000000002</v>
      </c>
      <c r="P3598">
        <v>0.16699639999999999</v>
      </c>
      <c r="Q3598">
        <v>3.6785129999999999E-2</v>
      </c>
      <c r="R3598">
        <v>-0.98527119999999901</v>
      </c>
      <c r="S3598">
        <v>0.24121090000000001</v>
      </c>
      <c r="T3598">
        <v>-0.28535500000000003</v>
      </c>
      <c r="U3598">
        <v>-3.01593</v>
      </c>
      <c r="V3598">
        <v>-9.4136339999999999E-2</v>
      </c>
      <c r="W3598">
        <v>5.1223089999999999E-2</v>
      </c>
      <c r="X3598">
        <v>0.99424069999999998</v>
      </c>
      <c r="Y3598">
        <v>-5.965415E-3</v>
      </c>
      <c r="Z3598">
        <v>9.3666319999999997E-2</v>
      </c>
      <c r="AA3598">
        <v>0.99558579999999997</v>
      </c>
      <c r="AB3598">
        <v>40</v>
      </c>
      <c r="AC3598">
        <v>3.0700000000024302E-2</v>
      </c>
      <c r="AD3598">
        <v>-7.1329999999999893E-2</v>
      </c>
      <c r="AE3598">
        <v>-0.34459999999999902</v>
      </c>
      <c r="AF3598">
        <v>-5.0978214309353202E-3</v>
      </c>
      <c r="AG3598">
        <v>-7.1329999999999893E-2</v>
      </c>
      <c r="AH3598">
        <v>0.33181871626686898</v>
      </c>
      <c r="AI3598">
        <v>102.130671613129</v>
      </c>
      <c r="AJ3598">
        <v>90.880181440820905</v>
      </c>
      <c r="AK3598">
        <v>0.33943720648793702</v>
      </c>
    </row>
    <row r="3599" spans="1:37" x14ac:dyDescent="0.2">
      <c r="A3599" t="str">
        <f>"20200111154137546"</f>
        <v>20200111154137546</v>
      </c>
      <c r="B3599" t="str">
        <f>"1578728497539804"</f>
        <v>1578728497539804</v>
      </c>
      <c r="C3599" t="s">
        <v>37</v>
      </c>
      <c r="D3599">
        <v>5.6480559999999898</v>
      </c>
      <c r="E3599">
        <v>0.53274339999999998</v>
      </c>
      <c r="F3599" t="s">
        <v>38</v>
      </c>
      <c r="G3599">
        <v>-422.54300000000001</v>
      </c>
      <c r="H3599">
        <v>1.0097479999999901</v>
      </c>
      <c r="I3599">
        <v>101.4572</v>
      </c>
      <c r="J3599">
        <v>-422.59429999999998</v>
      </c>
      <c r="K3599">
        <v>1.1095250000000001</v>
      </c>
      <c r="L3599">
        <v>102.1019</v>
      </c>
      <c r="M3599">
        <v>7.1949520000000003E-2</v>
      </c>
      <c r="N3599">
        <v>0</v>
      </c>
      <c r="O3599">
        <v>-0.99730490000000005</v>
      </c>
      <c r="P3599">
        <v>0.16427620000000001</v>
      </c>
      <c r="Q3599">
        <v>3.6139900000000003E-2</v>
      </c>
      <c r="R3599">
        <v>-0.98575219999999897</v>
      </c>
      <c r="S3599">
        <v>0.2303772</v>
      </c>
      <c r="T3599">
        <v>-0.29013670000000003</v>
      </c>
      <c r="U3599">
        <v>-3.016632</v>
      </c>
      <c r="V3599">
        <v>-9.2818739999999997E-2</v>
      </c>
      <c r="W3599">
        <v>5.0624479999999999E-2</v>
      </c>
      <c r="X3599">
        <v>0.99439519999999904</v>
      </c>
      <c r="Y3599">
        <v>-3.8549109999999999E-3</v>
      </c>
      <c r="Z3599">
        <v>9.5228759999999996E-2</v>
      </c>
      <c r="AA3599">
        <v>0.99544789999999905</v>
      </c>
      <c r="AB3599">
        <v>40</v>
      </c>
      <c r="AC3599">
        <v>5.1299999999969197E-2</v>
      </c>
      <c r="AD3599">
        <v>-9.9777000000000199E-2</v>
      </c>
      <c r="AE3599">
        <v>-0.64470000000000005</v>
      </c>
      <c r="AF3599">
        <v>-4.6653362841728501E-3</v>
      </c>
      <c r="AG3599">
        <v>-9.9777000000000199E-2</v>
      </c>
      <c r="AH3599">
        <v>0.631685105275129</v>
      </c>
      <c r="AI3599">
        <v>98.9756819775114</v>
      </c>
      <c r="AJ3599">
        <v>90.423152638675703</v>
      </c>
      <c r="AK3599">
        <v>0.639533648307964</v>
      </c>
    </row>
    <row r="3600" spans="1:37" x14ac:dyDescent="0.2">
      <c r="A3600" t="str">
        <f>"20200111154137569"</f>
        <v>20200111154137569</v>
      </c>
      <c r="B3600" t="str">
        <f>"1578728497560303"</f>
        <v>1578728497560303</v>
      </c>
      <c r="C3600" t="s">
        <v>37</v>
      </c>
      <c r="D3600">
        <v>5.7312120000000002</v>
      </c>
      <c r="E3600">
        <v>0.53440449999999995</v>
      </c>
      <c r="F3600" t="s">
        <v>38</v>
      </c>
      <c r="G3600">
        <v>-422.52089999999998</v>
      </c>
      <c r="H3600">
        <v>1.012391</v>
      </c>
      <c r="I3600">
        <v>101.09780000000001</v>
      </c>
      <c r="J3600">
        <v>-422.56689999999998</v>
      </c>
      <c r="K3600">
        <v>1.109291</v>
      </c>
      <c r="L3600">
        <v>101.7043</v>
      </c>
      <c r="M3600">
        <v>7.0368130000000001E-2</v>
      </c>
      <c r="N3600">
        <v>0</v>
      </c>
      <c r="O3600">
        <v>-0.99741789999999997</v>
      </c>
      <c r="P3600">
        <v>0.16241269999999999</v>
      </c>
      <c r="Q3600">
        <v>3.655427E-2</v>
      </c>
      <c r="R3600">
        <v>-0.98604570000000002</v>
      </c>
      <c r="S3600">
        <v>0.220977799999999</v>
      </c>
      <c r="T3600">
        <v>-0.29188789999999998</v>
      </c>
      <c r="U3600">
        <v>-3.017242</v>
      </c>
      <c r="V3600">
        <v>-9.2486609999999997E-2</v>
      </c>
      <c r="W3600">
        <v>5.1073559999999997E-2</v>
      </c>
      <c r="X3600">
        <v>0.99440319999999904</v>
      </c>
      <c r="Y3600">
        <v>-2.337371E-3</v>
      </c>
      <c r="Z3600">
        <v>9.5806500000000003E-2</v>
      </c>
      <c r="AA3600">
        <v>0.99539719999999998</v>
      </c>
      <c r="AB3600">
        <v>40</v>
      </c>
      <c r="AC3600">
        <v>4.59999999999922E-2</v>
      </c>
      <c r="AD3600">
        <v>-9.69E-2</v>
      </c>
      <c r="AE3600">
        <v>-0.60649999999999604</v>
      </c>
      <c r="AF3600">
        <v>-3.1239947106720101E-3</v>
      </c>
      <c r="AG3600">
        <v>-9.69E-2</v>
      </c>
      <c r="AH3600">
        <v>0.593178516370514</v>
      </c>
      <c r="AI3600">
        <v>99.277605444238702</v>
      </c>
      <c r="AJ3600">
        <v>90.301747370091505</v>
      </c>
      <c r="AK3600">
        <v>0.60104918403278496</v>
      </c>
    </row>
    <row r="3601" spans="1:37" x14ac:dyDescent="0.2">
      <c r="A3601" t="str">
        <f>"20200111154137591"</f>
        <v>20200111154137591</v>
      </c>
      <c r="B3601" t="str">
        <f>"1578728497579820"</f>
        <v>1578728497579820</v>
      </c>
      <c r="C3601" t="s">
        <v>37</v>
      </c>
      <c r="D3601">
        <v>5.6434800000000003</v>
      </c>
      <c r="E3601">
        <v>0.53578169999999903</v>
      </c>
      <c r="F3601" t="s">
        <v>38</v>
      </c>
      <c r="G3601">
        <v>-422.5025</v>
      </c>
      <c r="H3601">
        <v>1.0167820000000001</v>
      </c>
      <c r="I3601">
        <v>100.7377</v>
      </c>
      <c r="J3601">
        <v>-422.54050000000001</v>
      </c>
      <c r="K3601">
        <v>1.10911</v>
      </c>
      <c r="L3601">
        <v>101.3125</v>
      </c>
      <c r="M3601">
        <v>6.8738199999999999E-2</v>
      </c>
      <c r="N3601">
        <v>0</v>
      </c>
      <c r="O3601">
        <v>-0.99753179999999997</v>
      </c>
      <c r="P3601">
        <v>0.159710299999999</v>
      </c>
      <c r="Q3601">
        <v>3.6639409999999997E-2</v>
      </c>
      <c r="R3601">
        <v>-0.98648409999999997</v>
      </c>
      <c r="S3601">
        <v>0.20166020000000001</v>
      </c>
      <c r="T3601">
        <v>-0.28899789999999997</v>
      </c>
      <c r="U3601">
        <v>-3.0199579999999999</v>
      </c>
      <c r="V3601">
        <v>-9.1363219999999995E-2</v>
      </c>
      <c r="W3601">
        <v>5.1182610000000003E-2</v>
      </c>
      <c r="X3601">
        <v>0.99450139999999998</v>
      </c>
      <c r="Y3601">
        <v>2.4236039999999898E-3</v>
      </c>
      <c r="Z3601">
        <v>9.4819260000000002E-2</v>
      </c>
      <c r="AA3601">
        <v>0.99549159999999903</v>
      </c>
      <c r="AB3601">
        <v>40</v>
      </c>
      <c r="AC3601">
        <v>3.80000000000109E-2</v>
      </c>
      <c r="AD3601">
        <v>-9.2327999999999896E-2</v>
      </c>
      <c r="AE3601">
        <v>-0.57479999999999598</v>
      </c>
      <c r="AF3601">
        <v>1.56448442598617E-3</v>
      </c>
      <c r="AG3601">
        <v>-9.2327999999999896E-2</v>
      </c>
      <c r="AH3601">
        <v>0.56162515579760397</v>
      </c>
      <c r="AI3601">
        <v>99.335564501145896</v>
      </c>
      <c r="AJ3601">
        <v>89.840395107055301</v>
      </c>
      <c r="AK3601">
        <v>0.56916581311617898</v>
      </c>
    </row>
    <row r="3602" spans="1:37" x14ac:dyDescent="0.2">
      <c r="A3602" t="str">
        <f>"20200111154137613"</f>
        <v>20200111154137613</v>
      </c>
      <c r="B3602" t="str">
        <f>"1578728497610076"</f>
        <v>1578728497610076</v>
      </c>
      <c r="C3602" t="s">
        <v>37</v>
      </c>
      <c r="D3602">
        <v>5.8128330000000004</v>
      </c>
      <c r="E3602">
        <v>0.53760359999999996</v>
      </c>
      <c r="F3602" t="s">
        <v>38</v>
      </c>
      <c r="G3602">
        <v>-422.48439999999999</v>
      </c>
      <c r="H3602">
        <v>1.0215989999999999</v>
      </c>
      <c r="I3602">
        <v>100.3777</v>
      </c>
      <c r="J3602">
        <v>-422.51459999999997</v>
      </c>
      <c r="K3602">
        <v>1.10897</v>
      </c>
      <c r="L3602">
        <v>100.9169</v>
      </c>
      <c r="M3602">
        <v>6.7045090000000002E-2</v>
      </c>
      <c r="N3602">
        <v>0</v>
      </c>
      <c r="O3602">
        <v>-0.99764730000000001</v>
      </c>
      <c r="P3602">
        <v>0.15709429999999999</v>
      </c>
      <c r="Q3602">
        <v>3.6423079999999997E-2</v>
      </c>
      <c r="R3602">
        <v>-0.98691200000000001</v>
      </c>
      <c r="S3602">
        <v>0.1829529</v>
      </c>
      <c r="T3602">
        <v>-0.28279650000000001</v>
      </c>
      <c r="U3602">
        <v>-3.02200299999999</v>
      </c>
      <c r="V3602">
        <v>-9.039527E-2</v>
      </c>
      <c r="W3602">
        <v>5.0983550000000002E-2</v>
      </c>
      <c r="X3602">
        <v>0.99460009999999999</v>
      </c>
      <c r="Y3602">
        <v>6.8969909999999999E-3</v>
      </c>
      <c r="Z3602">
        <v>9.2773339999999996E-2</v>
      </c>
      <c r="AA3602">
        <v>0.99566330000000003</v>
      </c>
      <c r="AB3602">
        <v>40</v>
      </c>
      <c r="AC3602">
        <v>3.0199999999979299E-2</v>
      </c>
      <c r="AD3602">
        <v>-8.7371000000000004E-2</v>
      </c>
      <c r="AE3602">
        <v>-0.53919999999999302</v>
      </c>
      <c r="AF3602">
        <v>5.8687700743181399E-3</v>
      </c>
      <c r="AG3602">
        <v>-8.7371000000000004E-2</v>
      </c>
      <c r="AH3602">
        <v>0.52623760567982103</v>
      </c>
      <c r="AI3602">
        <v>99.426226149167604</v>
      </c>
      <c r="AJ3602">
        <v>89.3610456320786</v>
      </c>
      <c r="AK3602">
        <v>0.53347366545577102</v>
      </c>
    </row>
    <row r="3603" spans="1:37" x14ac:dyDescent="0.2">
      <c r="A3603" t="str">
        <f>"20200111154137636"</f>
        <v>20200111154137636</v>
      </c>
      <c r="B3603" t="str">
        <f>"1578728497630196"</f>
        <v>1578728497630196</v>
      </c>
      <c r="C3603" t="s">
        <v>37</v>
      </c>
      <c r="D3603">
        <v>5.6643439999999998</v>
      </c>
      <c r="E3603">
        <v>0.53850880000000001</v>
      </c>
      <c r="F3603" t="s">
        <v>38</v>
      </c>
      <c r="G3603">
        <v>-422.46699999999998</v>
      </c>
      <c r="H3603">
        <v>1.0272920000000001</v>
      </c>
      <c r="I3603">
        <v>100.01739999999999</v>
      </c>
      <c r="J3603">
        <v>-422.48869999999999</v>
      </c>
      <c r="K3603">
        <v>1.108859</v>
      </c>
      <c r="L3603">
        <v>100.5108</v>
      </c>
      <c r="M3603">
        <v>6.5279809999999994E-2</v>
      </c>
      <c r="N3603">
        <v>0</v>
      </c>
      <c r="O3603">
        <v>-0.99776430000000005</v>
      </c>
      <c r="P3603">
        <v>0.15493129999999999</v>
      </c>
      <c r="Q3603">
        <v>3.7031349999999998E-2</v>
      </c>
      <c r="R3603">
        <v>-0.98723139999999998</v>
      </c>
      <c r="S3603">
        <v>0.1604004</v>
      </c>
      <c r="T3603">
        <v>-0.27460909999999999</v>
      </c>
      <c r="U3603">
        <v>-3.024384</v>
      </c>
      <c r="V3603">
        <v>-8.9959880000000006E-2</v>
      </c>
      <c r="W3603">
        <v>5.1603099999999902E-2</v>
      </c>
      <c r="X3603">
        <v>0.99460759999999904</v>
      </c>
      <c r="Y3603">
        <v>1.256229E-2</v>
      </c>
      <c r="Z3603">
        <v>9.0071540000000005E-2</v>
      </c>
      <c r="AA3603">
        <v>0.99585599999999996</v>
      </c>
      <c r="AB3603">
        <v>40</v>
      </c>
      <c r="AC3603">
        <v>2.1700000000009802E-2</v>
      </c>
      <c r="AD3603">
        <v>-8.1566999999999903E-2</v>
      </c>
      <c r="AE3603">
        <v>-0.493400000000008</v>
      </c>
      <c r="AF3603">
        <v>1.02782972019855E-2</v>
      </c>
      <c r="AG3603">
        <v>-8.1566999999999903E-2</v>
      </c>
      <c r="AH3603">
        <v>0.48065344954385603</v>
      </c>
      <c r="AI3603">
        <v>99.629191141088498</v>
      </c>
      <c r="AJ3603">
        <v>88.774973295771105</v>
      </c>
      <c r="AK3603">
        <v>0.48763363034226898</v>
      </c>
    </row>
    <row r="3604" spans="1:37" x14ac:dyDescent="0.2">
      <c r="A3604" t="str">
        <f>"20200111154137658"</f>
        <v>20200111154137658</v>
      </c>
      <c r="B3604" t="str">
        <f>"1578728497649713"</f>
        <v>1578728497649713</v>
      </c>
      <c r="C3604" t="s">
        <v>37</v>
      </c>
      <c r="D3604">
        <v>5.7075050000000003</v>
      </c>
      <c r="E3604">
        <v>0.53939169999999903</v>
      </c>
      <c r="F3604" t="s">
        <v>38</v>
      </c>
      <c r="G3604">
        <v>-422.4477</v>
      </c>
      <c r="H3604">
        <v>1.0333540000000001</v>
      </c>
      <c r="I3604">
        <v>99.65737</v>
      </c>
      <c r="J3604">
        <v>-422.46370000000002</v>
      </c>
      <c r="K3604">
        <v>1.1087750000000001</v>
      </c>
      <c r="L3604">
        <v>100.1062</v>
      </c>
      <c r="M3604">
        <v>6.3508319999999993E-2</v>
      </c>
      <c r="N3604">
        <v>0</v>
      </c>
      <c r="O3604">
        <v>-0.99787899999999996</v>
      </c>
      <c r="P3604">
        <v>0.15351110000000001</v>
      </c>
      <c r="Q3604">
        <v>3.7403199999999998E-2</v>
      </c>
      <c r="R3604">
        <v>-0.98743919999999996</v>
      </c>
      <c r="S3604">
        <v>0.1469116</v>
      </c>
      <c r="T3604">
        <v>-0.26762590000000003</v>
      </c>
      <c r="U3604">
        <v>-3.0257869999999998</v>
      </c>
      <c r="V3604">
        <v>-9.0282959999999995E-2</v>
      </c>
      <c r="W3604">
        <v>5.1985009999999998E-2</v>
      </c>
      <c r="X3604">
        <v>0.99455849999999901</v>
      </c>
      <c r="Y3604">
        <v>1.522951E-2</v>
      </c>
      <c r="Z3604">
        <v>8.7781880000000007E-2</v>
      </c>
      <c r="AA3604">
        <v>0.99602329999999994</v>
      </c>
      <c r="AB3604">
        <v>40</v>
      </c>
      <c r="AC3604">
        <v>1.6000000000019499E-2</v>
      </c>
      <c r="AD3604">
        <v>-7.5420999999999905E-2</v>
      </c>
      <c r="AE3604">
        <v>-0.44883000000000001</v>
      </c>
      <c r="AF3604">
        <v>1.21957203186279E-2</v>
      </c>
      <c r="AG3604">
        <v>-7.5420999999999905E-2</v>
      </c>
      <c r="AH3604">
        <v>0.43662656199578098</v>
      </c>
      <c r="AI3604">
        <v>99.796571464268894</v>
      </c>
      <c r="AJ3604">
        <v>88.400047711470194</v>
      </c>
      <c r="AK3604">
        <v>0.44326043978156399</v>
      </c>
    </row>
    <row r="3605" spans="1:37" x14ac:dyDescent="0.2">
      <c r="A3605" t="str">
        <f>"20200111154137680"</f>
        <v>20200111154137680</v>
      </c>
      <c r="B3605" t="str">
        <f>"1578728497670210"</f>
        <v>1578728497670210</v>
      </c>
      <c r="C3605" t="s">
        <v>37</v>
      </c>
      <c r="D3605">
        <v>5.6636350000000002</v>
      </c>
      <c r="E3605">
        <v>0.54014709999999999</v>
      </c>
      <c r="F3605" t="s">
        <v>38</v>
      </c>
      <c r="G3605">
        <v>-422.42750000000001</v>
      </c>
      <c r="H3605">
        <v>1.03854</v>
      </c>
      <c r="I3605">
        <v>99.296559999999999</v>
      </c>
      <c r="J3605">
        <v>-422.44029999999998</v>
      </c>
      <c r="K3605">
        <v>1.108706</v>
      </c>
      <c r="L3605">
        <v>99.716059999999999</v>
      </c>
      <c r="M3605">
        <v>6.1794710000000003E-2</v>
      </c>
      <c r="N3605">
        <v>0</v>
      </c>
      <c r="O3605">
        <v>-0.9979867</v>
      </c>
      <c r="P3605">
        <v>0.15194859999999999</v>
      </c>
      <c r="Q3605">
        <v>3.7746370000000001E-2</v>
      </c>
      <c r="R3605">
        <v>-0.98766759999999998</v>
      </c>
      <c r="S3605">
        <v>0.13555909999999999</v>
      </c>
      <c r="T3605">
        <v>-0.26256839999999998</v>
      </c>
      <c r="U3605">
        <v>-3.0270389999999998</v>
      </c>
      <c r="V3605">
        <v>-9.040745E-2</v>
      </c>
      <c r="W3605">
        <v>5.2334539999999999E-2</v>
      </c>
      <c r="X3605">
        <v>0.99452879999999999</v>
      </c>
      <c r="Y3605">
        <v>1.7253259999999999E-2</v>
      </c>
      <c r="Z3605">
        <v>8.612011E-2</v>
      </c>
      <c r="AA3605">
        <v>0.996135399999999</v>
      </c>
      <c r="AB3605">
        <v>40</v>
      </c>
      <c r="AC3605">
        <v>1.2799999999970099E-2</v>
      </c>
      <c r="AD3605">
        <v>-7.0165999999999895E-2</v>
      </c>
      <c r="AE3605">
        <v>-0.41949999999999898</v>
      </c>
      <c r="AF3605">
        <v>1.2792440556492601E-2</v>
      </c>
      <c r="AG3605">
        <v>-7.0165999999999895E-2</v>
      </c>
      <c r="AH3605">
        <v>0.40808315724520999</v>
      </c>
      <c r="AI3605">
        <v>99.7513690770827</v>
      </c>
      <c r="AJ3605">
        <v>88.204500976258501</v>
      </c>
      <c r="AK3605">
        <v>0.41426896736131502</v>
      </c>
    </row>
    <row r="3606" spans="1:37" x14ac:dyDescent="0.2">
      <c r="A3606" t="str">
        <f>"20200111154137703"</f>
        <v>20200111154137703</v>
      </c>
      <c r="B3606" t="str">
        <f>"1578728497699490"</f>
        <v>1578728497699490</v>
      </c>
      <c r="C3606" t="s">
        <v>37</v>
      </c>
      <c r="D3606">
        <v>5.6684019999999897</v>
      </c>
      <c r="E3606">
        <v>0.54106969999999899</v>
      </c>
      <c r="F3606" t="s">
        <v>38</v>
      </c>
      <c r="G3606">
        <v>-422.4083</v>
      </c>
      <c r="H3606">
        <v>1.0425329999999999</v>
      </c>
      <c r="I3606">
        <v>98.936610000000002</v>
      </c>
      <c r="J3606">
        <v>-422.41699999999997</v>
      </c>
      <c r="K3606">
        <v>1.108654</v>
      </c>
      <c r="L3606">
        <v>99.316559999999996</v>
      </c>
      <c r="M3606">
        <v>6.0039679999999998E-2</v>
      </c>
      <c r="N3606">
        <v>0</v>
      </c>
      <c r="O3606">
        <v>-0.99809400000000004</v>
      </c>
      <c r="P3606">
        <v>0.1503004</v>
      </c>
      <c r="Q3606">
        <v>3.7387770000000001E-2</v>
      </c>
      <c r="R3606">
        <v>-0.98793319999999996</v>
      </c>
      <c r="S3606">
        <v>0.12533569999999999</v>
      </c>
      <c r="T3606">
        <v>-0.25704149999999998</v>
      </c>
      <c r="U3606">
        <v>-3.0280149999999999</v>
      </c>
      <c r="V3606">
        <v>-9.0490680000000004E-2</v>
      </c>
      <c r="W3606">
        <v>5.1980720000000001E-2</v>
      </c>
      <c r="X3606">
        <v>0.99453979999999997</v>
      </c>
      <c r="Y3606">
        <v>1.8859919999999999E-2</v>
      </c>
      <c r="Z3606">
        <v>8.4311830000000004E-2</v>
      </c>
      <c r="AA3606">
        <v>0.9962609</v>
      </c>
      <c r="AB3606">
        <v>40</v>
      </c>
      <c r="AC3606">
        <v>8.6999999999761695E-3</v>
      </c>
      <c r="AD3606">
        <v>-6.6121000000000096E-2</v>
      </c>
      <c r="AE3606">
        <v>-0.37994999999999302</v>
      </c>
      <c r="AF3606">
        <v>1.37149588693699E-2</v>
      </c>
      <c r="AG3606">
        <v>-6.6121000000000096E-2</v>
      </c>
      <c r="AH3606">
        <v>0.36862879511357299</v>
      </c>
      <c r="AI3606">
        <v>100.16213005406399</v>
      </c>
      <c r="AJ3606">
        <v>87.869273945668198</v>
      </c>
      <c r="AK3606">
        <v>0.37476295884822097</v>
      </c>
    </row>
    <row r="3607" spans="1:37" x14ac:dyDescent="0.2">
      <c r="A3607" t="str">
        <f>"20200111154137726"</f>
        <v>20200111154137726</v>
      </c>
      <c r="B3607" t="str">
        <f>"1578728497719985"</f>
        <v>1578728497719985</v>
      </c>
      <c r="C3607" t="s">
        <v>37</v>
      </c>
      <c r="D3607">
        <v>6.0902229999999999</v>
      </c>
      <c r="E3607">
        <v>0.5416474</v>
      </c>
      <c r="F3607" t="s">
        <v>39</v>
      </c>
      <c r="G3607">
        <v>-421.92180000000002</v>
      </c>
      <c r="H3607" s="1">
        <v>-3.2873880000000002E-6</v>
      </c>
      <c r="I3607">
        <v>86.060140000000004</v>
      </c>
      <c r="J3607">
        <v>-422.39420000000001</v>
      </c>
      <c r="K3607">
        <v>1.108611</v>
      </c>
      <c r="L3607">
        <v>98.910309999999996</v>
      </c>
      <c r="M3607">
        <v>5.825429E-2</v>
      </c>
      <c r="N3607">
        <v>0</v>
      </c>
      <c r="O3607">
        <v>-0.99819979999999997</v>
      </c>
      <c r="P3607">
        <v>0.14858209999999999</v>
      </c>
      <c r="Q3607">
        <v>3.6785289999999998E-2</v>
      </c>
      <c r="R3607">
        <v>-0.98821589999999904</v>
      </c>
      <c r="S3607">
        <v>0.113159199999999</v>
      </c>
      <c r="T3607">
        <v>-0.25332250000000001</v>
      </c>
      <c r="U3607">
        <v>-3.0290219999999999</v>
      </c>
      <c r="V3607">
        <v>-9.0535699999999997E-2</v>
      </c>
      <c r="W3607">
        <v>5.138119E-2</v>
      </c>
      <c r="X3607">
        <v>0.99456690000000003</v>
      </c>
      <c r="Y3607">
        <v>2.1080040000000001E-2</v>
      </c>
      <c r="Z3607">
        <v>8.3090919999999999E-2</v>
      </c>
      <c r="AA3607">
        <v>0.99631899999999995</v>
      </c>
      <c r="AB3607">
        <v>40</v>
      </c>
      <c r="AC3607">
        <v>0.47239999999999299</v>
      </c>
      <c r="AD3607">
        <v>-1.1086142873880001</v>
      </c>
      <c r="AE3607">
        <v>-12.850169999999901</v>
      </c>
      <c r="AF3607">
        <v>0.27501202035626299</v>
      </c>
      <c r="AG3607">
        <v>-1.1086142873880001</v>
      </c>
      <c r="AH3607">
        <v>12.7610142375446</v>
      </c>
      <c r="AI3607">
        <v>94.963963289961796</v>
      </c>
      <c r="AJ3607">
        <v>88.765412446753203</v>
      </c>
      <c r="AK3607">
        <v>12.812031127825099</v>
      </c>
    </row>
    <row r="3608" spans="1:37" x14ac:dyDescent="0.2">
      <c r="A3608" t="str">
        <f>"20200111154137747"</f>
        <v>20200111154137747</v>
      </c>
      <c r="B3608" t="str">
        <f>"1578728497740055"</f>
        <v>1578728497740055</v>
      </c>
      <c r="C3608" t="s">
        <v>37</v>
      </c>
      <c r="D3608">
        <v>5.6523729999999999</v>
      </c>
      <c r="E3608">
        <v>0.54207380000000005</v>
      </c>
      <c r="F3608" t="s">
        <v>38</v>
      </c>
      <c r="G3608">
        <v>-422.35899999999998</v>
      </c>
      <c r="H3608">
        <v>1.023442</v>
      </c>
      <c r="I3608">
        <v>97.880650000000003</v>
      </c>
      <c r="J3608">
        <v>-422.37240000000003</v>
      </c>
      <c r="K3608">
        <v>1.1085799999999999</v>
      </c>
      <c r="L3608">
        <v>98.510130000000004</v>
      </c>
      <c r="M3608">
        <v>5.6494059999999999E-2</v>
      </c>
      <c r="N3608">
        <v>0</v>
      </c>
      <c r="O3608">
        <v>-0.99830090000000005</v>
      </c>
      <c r="P3608">
        <v>0.14648729999999999</v>
      </c>
      <c r="Q3608">
        <v>3.6067689999999999E-2</v>
      </c>
      <c r="R3608">
        <v>-0.98855490000000001</v>
      </c>
      <c r="S3608">
        <v>0.1037598</v>
      </c>
      <c r="T3608">
        <v>-0.2505714</v>
      </c>
      <c r="U3608">
        <v>-3.02948</v>
      </c>
      <c r="V3608">
        <v>-9.0179060000000005E-2</v>
      </c>
      <c r="W3608">
        <v>5.0663529999999998E-2</v>
      </c>
      <c r="X3608">
        <v>0.99463609999999902</v>
      </c>
      <c r="Y3608">
        <v>2.2407420000000001E-2</v>
      </c>
      <c r="Z3608">
        <v>8.2198170000000001E-2</v>
      </c>
      <c r="AA3608">
        <v>0.99636409999999997</v>
      </c>
      <c r="AB3608">
        <v>40</v>
      </c>
      <c r="AC3608">
        <v>1.339999999999E-2</v>
      </c>
      <c r="AD3608">
        <v>-8.5137999999999894E-2</v>
      </c>
      <c r="AE3608">
        <v>-0.62948000000000004</v>
      </c>
      <c r="AF3608">
        <v>2.1788514068090601E-2</v>
      </c>
      <c r="AG3608">
        <v>-8.5137999999999894E-2</v>
      </c>
      <c r="AH3608">
        <v>0.61793289573605703</v>
      </c>
      <c r="AI3608">
        <v>97.839937265379206</v>
      </c>
      <c r="AJ3608">
        <v>87.980568890624696</v>
      </c>
      <c r="AK3608">
        <v>0.62415084877138804</v>
      </c>
    </row>
    <row r="3609" spans="1:37" x14ac:dyDescent="0.2">
      <c r="A3609" t="str">
        <f>"20200111154137769"</f>
        <v>20200111154137769</v>
      </c>
      <c r="B3609" t="str">
        <f>"1578728497759573"</f>
        <v>1578728497759573</v>
      </c>
      <c r="C3609" t="s">
        <v>37</v>
      </c>
      <c r="D3609">
        <v>5.6469519999999997</v>
      </c>
      <c r="E3609">
        <v>0.54248549999999995</v>
      </c>
      <c r="F3609" t="s">
        <v>38</v>
      </c>
      <c r="G3609">
        <v>-422.34199999999998</v>
      </c>
      <c r="H3609">
        <v>1.027633</v>
      </c>
      <c r="I3609">
        <v>97.523060000000001</v>
      </c>
      <c r="J3609">
        <v>-422.35219999999998</v>
      </c>
      <c r="K3609">
        <v>1.108554</v>
      </c>
      <c r="L3609">
        <v>98.127809999999997</v>
      </c>
      <c r="M3609">
        <v>5.4811239999999997E-2</v>
      </c>
      <c r="N3609">
        <v>0</v>
      </c>
      <c r="O3609">
        <v>-0.99839480000000003</v>
      </c>
      <c r="P3609">
        <v>0.14464299999999999</v>
      </c>
      <c r="Q3609">
        <v>3.4757379999999997E-2</v>
      </c>
      <c r="R3609">
        <v>-0.98887349999999996</v>
      </c>
      <c r="S3609">
        <v>9.4329830000000003E-2</v>
      </c>
      <c r="T3609">
        <v>-0.24842069999999999</v>
      </c>
      <c r="U3609">
        <v>-3.0298159999999998</v>
      </c>
      <c r="V3609">
        <v>-9.0000469999999999E-2</v>
      </c>
      <c r="W3609">
        <v>4.9353389999999997E-2</v>
      </c>
      <c r="X3609">
        <v>0.99471810000000005</v>
      </c>
      <c r="Y3609">
        <v>2.3821950000000001E-2</v>
      </c>
      <c r="Z3609">
        <v>8.1502679999999994E-2</v>
      </c>
      <c r="AA3609">
        <v>0.99638839999999995</v>
      </c>
      <c r="AB3609">
        <v>40</v>
      </c>
      <c r="AC3609">
        <v>1.0199999999997499E-2</v>
      </c>
      <c r="AD3609">
        <v>-8.0921000000000007E-2</v>
      </c>
      <c r="AE3609">
        <v>-0.60474999999999501</v>
      </c>
      <c r="AF3609">
        <v>2.25619543499848E-2</v>
      </c>
      <c r="AG3609">
        <v>-8.0921000000000007E-2</v>
      </c>
      <c r="AH3609">
        <v>0.59377147952420595</v>
      </c>
      <c r="AI3609">
        <v>97.755105800587302</v>
      </c>
      <c r="AJ3609">
        <v>87.823938673373803</v>
      </c>
      <c r="AK3609">
        <v>0.59968476712474095</v>
      </c>
    </row>
    <row r="3610" spans="1:37" x14ac:dyDescent="0.2">
      <c r="A3610" t="str">
        <f>"20200111154137791"</f>
        <v>20200111154137791</v>
      </c>
      <c r="B3610" t="str">
        <f>"1578728497780068"</f>
        <v>1578728497780068</v>
      </c>
      <c r="C3610" t="s">
        <v>37</v>
      </c>
      <c r="D3610">
        <v>5.6324040000000002</v>
      </c>
      <c r="E3610">
        <v>0.54299189999999997</v>
      </c>
      <c r="F3610" t="s">
        <v>38</v>
      </c>
      <c r="G3610">
        <v>-422.32510000000002</v>
      </c>
      <c r="H3610">
        <v>1.0294270000000001</v>
      </c>
      <c r="I3610">
        <v>97.166919999999905</v>
      </c>
      <c r="J3610">
        <v>-422.33210000000003</v>
      </c>
      <c r="K3610">
        <v>1.1085339999999999</v>
      </c>
      <c r="L3610">
        <v>97.730869999999996</v>
      </c>
      <c r="M3610">
        <v>5.306247E-2</v>
      </c>
      <c r="N3610">
        <v>0</v>
      </c>
      <c r="O3610">
        <v>-0.99848950000000003</v>
      </c>
      <c r="P3610">
        <v>0.14265269999999999</v>
      </c>
      <c r="Q3610">
        <v>3.4131950000000001E-2</v>
      </c>
      <c r="R3610">
        <v>-0.98918419999999896</v>
      </c>
      <c r="S3610">
        <v>8.5571289999999994E-2</v>
      </c>
      <c r="T3610">
        <v>-0.24951289999999901</v>
      </c>
      <c r="U3610">
        <v>-3.0300289999999999</v>
      </c>
      <c r="V3610">
        <v>-8.9739990000000006E-2</v>
      </c>
      <c r="W3610">
        <v>4.8726159999999998E-2</v>
      </c>
      <c r="X3610">
        <v>0.99477260000000001</v>
      </c>
      <c r="Y3610">
        <v>2.495153E-2</v>
      </c>
      <c r="Z3610">
        <v>8.1866789999999995E-2</v>
      </c>
      <c r="AA3610">
        <v>0.99633090000000002</v>
      </c>
      <c r="AB3610">
        <v>40</v>
      </c>
      <c r="AC3610">
        <v>7.0000000000049996E-3</v>
      </c>
      <c r="AD3610">
        <v>-7.9106999999999802E-2</v>
      </c>
      <c r="AE3610">
        <v>-0.56395000000000495</v>
      </c>
      <c r="AF3610">
        <v>2.24949287180203E-2</v>
      </c>
      <c r="AG3610">
        <v>-7.9106999999999802E-2</v>
      </c>
      <c r="AH3610">
        <v>0.55265417361164304</v>
      </c>
      <c r="AI3610">
        <v>98.139343102064203</v>
      </c>
      <c r="AJ3610">
        <v>87.669151053162096</v>
      </c>
      <c r="AK3610">
        <v>0.55874016758901202</v>
      </c>
    </row>
    <row r="3611" spans="1:37" x14ac:dyDescent="0.2">
      <c r="A3611" t="str">
        <f>"20200111154137814"</f>
        <v>20200111154137814</v>
      </c>
      <c r="B3611" t="str">
        <f>"1578728497810325"</f>
        <v>1578728497810325</v>
      </c>
      <c r="C3611" t="s">
        <v>37</v>
      </c>
      <c r="D3611">
        <v>5.7419000000000002</v>
      </c>
      <c r="E3611">
        <v>0.54364469999999898</v>
      </c>
      <c r="F3611" t="s">
        <v>38</v>
      </c>
      <c r="G3611">
        <v>-422.30970000000002</v>
      </c>
      <c r="H3611">
        <v>1.032114</v>
      </c>
      <c r="I3611">
        <v>96.810550000000006</v>
      </c>
      <c r="J3611">
        <v>-422.31270000000001</v>
      </c>
      <c r="K3611">
        <v>1.1085199999999999</v>
      </c>
      <c r="L3611">
        <v>97.339019999999906</v>
      </c>
      <c r="M3611">
        <v>5.1333240000000002E-2</v>
      </c>
      <c r="N3611">
        <v>0</v>
      </c>
      <c r="O3611">
        <v>-0.99857999999999902</v>
      </c>
      <c r="P3611">
        <v>0.14075670000000001</v>
      </c>
      <c r="Q3611">
        <v>3.4042240000000001E-2</v>
      </c>
      <c r="R3611">
        <v>-0.98945899999999998</v>
      </c>
      <c r="S3611">
        <v>7.5378420000000002E-2</v>
      </c>
      <c r="T3611">
        <v>-0.25156719999999999</v>
      </c>
      <c r="U3611">
        <v>-3.0306090000000001</v>
      </c>
      <c r="V3611">
        <v>-8.9554919999999996E-2</v>
      </c>
      <c r="W3611">
        <v>4.8634709999999998E-2</v>
      </c>
      <c r="X3611">
        <v>0.9947937</v>
      </c>
      <c r="Y3611">
        <v>2.6575599999999901E-2</v>
      </c>
      <c r="Z3611">
        <v>8.2533690000000007E-2</v>
      </c>
      <c r="AA3611">
        <v>0.99623390000000001</v>
      </c>
      <c r="AB3611">
        <v>40</v>
      </c>
      <c r="AC3611">
        <v>2.9999999999858998E-3</v>
      </c>
      <c r="AD3611">
        <v>-7.6406000000000196E-2</v>
      </c>
      <c r="AE3611">
        <v>-0.52846999999998401</v>
      </c>
      <c r="AF3611">
        <v>2.3640635047595199E-2</v>
      </c>
      <c r="AG3611">
        <v>-7.6406000000000196E-2</v>
      </c>
      <c r="AH3611">
        <v>0.51711801874854402</v>
      </c>
      <c r="AI3611">
        <v>98.396197907624</v>
      </c>
      <c r="AJ3611">
        <v>87.382481134567996</v>
      </c>
      <c r="AK3611">
        <v>0.52326647300956797</v>
      </c>
    </row>
    <row r="3612" spans="1:37" x14ac:dyDescent="0.2">
      <c r="A3612" t="str">
        <f>"20200111154137837"</f>
        <v>20200111154137837</v>
      </c>
      <c r="B3612" t="str">
        <f>"1578728497829441"</f>
        <v>1578728497829441</v>
      </c>
      <c r="C3612" t="s">
        <v>37</v>
      </c>
      <c r="D3612">
        <v>5.6287699999999896</v>
      </c>
      <c r="E3612">
        <v>0.54399940000000002</v>
      </c>
      <c r="F3612" t="s">
        <v>38</v>
      </c>
      <c r="G3612">
        <v>-422.29410000000001</v>
      </c>
      <c r="H3612">
        <v>1.036084</v>
      </c>
      <c r="I3612">
        <v>96.453829999999996</v>
      </c>
      <c r="J3612">
        <v>-422.29320000000001</v>
      </c>
      <c r="K3612">
        <v>1.108514</v>
      </c>
      <c r="L3612">
        <v>96.925839999999994</v>
      </c>
      <c r="M3612">
        <v>4.9505889999999997E-2</v>
      </c>
      <c r="N3612">
        <v>0</v>
      </c>
      <c r="O3612">
        <v>-0.99867229999999996</v>
      </c>
      <c r="P3612">
        <v>0.13796749999999999</v>
      </c>
      <c r="Q3612">
        <v>3.4641209999999999E-2</v>
      </c>
      <c r="R3612">
        <v>-0.98983109999999996</v>
      </c>
      <c r="S3612">
        <v>6.4605709999999997E-2</v>
      </c>
      <c r="T3612">
        <v>-0.2480281</v>
      </c>
      <c r="U3612">
        <v>-3.0312809999999999</v>
      </c>
      <c r="V3612">
        <v>-8.8567999999999994E-2</v>
      </c>
      <c r="W3612">
        <v>4.9228620000000001E-2</v>
      </c>
      <c r="X3612">
        <v>0.99485290000000004</v>
      </c>
      <c r="Y3612">
        <v>2.828835E-2</v>
      </c>
      <c r="Z3612">
        <v>8.1375080000000002E-2</v>
      </c>
      <c r="AA3612">
        <v>0.996282</v>
      </c>
      <c r="AB3612">
        <v>40</v>
      </c>
      <c r="AC3612">
        <v>-9.0000000000145497E-4</v>
      </c>
      <c r="AD3612">
        <v>-7.2429999999999994E-2</v>
      </c>
      <c r="AE3612">
        <v>-0.47200999999999699</v>
      </c>
      <c r="AF3612">
        <v>2.37102395345728E-2</v>
      </c>
      <c r="AG3612">
        <v>-7.2429999999999994E-2</v>
      </c>
      <c r="AH3612">
        <v>0.46054223569325903</v>
      </c>
      <c r="AI3612">
        <v>98.926131659864794</v>
      </c>
      <c r="AJ3612">
        <v>87.052825537953893</v>
      </c>
      <c r="AK3612">
        <v>0.466805560395473</v>
      </c>
    </row>
    <row r="3613" spans="1:37" x14ac:dyDescent="0.2">
      <c r="A3613" t="str">
        <f>"20200111154137854"</f>
        <v>20200111154137854</v>
      </c>
      <c r="B3613" t="str">
        <f>"1578728497849938"</f>
        <v>1578728497849938</v>
      </c>
      <c r="C3613" t="s">
        <v>37</v>
      </c>
      <c r="D3613">
        <v>5.6262739999999898</v>
      </c>
      <c r="E3613">
        <v>0.54425299999999999</v>
      </c>
      <c r="F3613" t="s">
        <v>38</v>
      </c>
      <c r="G3613">
        <v>-422.27870000000001</v>
      </c>
      <c r="H3613">
        <v>1.0418240000000001</v>
      </c>
      <c r="I3613">
        <v>96.094569999999905</v>
      </c>
      <c r="J3613">
        <v>-422.27969999999999</v>
      </c>
      <c r="K3613">
        <v>1.1085119999999999</v>
      </c>
      <c r="L3613">
        <v>96.630579999999995</v>
      </c>
      <c r="M3613">
        <v>4.8197009999999998E-2</v>
      </c>
      <c r="N3613">
        <v>0</v>
      </c>
      <c r="O3613">
        <v>-0.99873630000000002</v>
      </c>
      <c r="P3613">
        <v>0.1361057</v>
      </c>
      <c r="Q3613">
        <v>3.4867099999999998E-2</v>
      </c>
      <c r="R3613">
        <v>-0.99008069999999904</v>
      </c>
      <c r="S3613">
        <v>5.3619380000000001E-2</v>
      </c>
      <c r="T3613">
        <v>-0.24317520000000001</v>
      </c>
      <c r="U3613">
        <v>-3.03186</v>
      </c>
      <c r="V3613">
        <v>-8.7999190000000005E-2</v>
      </c>
      <c r="W3613">
        <v>4.9450550000000003E-2</v>
      </c>
      <c r="X3613">
        <v>0.99489240000000001</v>
      </c>
      <c r="Y3613">
        <v>3.0588779999999999E-2</v>
      </c>
      <c r="Z3613">
        <v>7.9785770000000006E-2</v>
      </c>
      <c r="AA3613">
        <v>0.99634259999999997</v>
      </c>
      <c r="AB3613">
        <v>40</v>
      </c>
      <c r="AC3613">
        <v>9.9999999997635292E-4</v>
      </c>
      <c r="AD3613">
        <v>-6.6687999999999997E-2</v>
      </c>
      <c r="AE3613">
        <v>-0.53601000000001797</v>
      </c>
      <c r="AF3613">
        <v>2.44592530517709E-2</v>
      </c>
      <c r="AG3613">
        <v>-6.6687999999999997E-2</v>
      </c>
      <c r="AH3613">
        <v>0.52727338847049399</v>
      </c>
      <c r="AI3613">
        <v>97.200667886235294</v>
      </c>
      <c r="AJ3613">
        <v>87.344057028594506</v>
      </c>
      <c r="AK3613">
        <v>0.53203643727944705</v>
      </c>
    </row>
    <row r="3614" spans="1:37" x14ac:dyDescent="0.2">
      <c r="A3614" t="str">
        <f>"20200111154137870"</f>
        <v>20200111154137870</v>
      </c>
      <c r="B3614" t="str">
        <f>"1578728497859698"</f>
        <v>1578728497859698</v>
      </c>
      <c r="C3614" t="s">
        <v>37</v>
      </c>
      <c r="D3614">
        <v>5.6283269999999996</v>
      </c>
      <c r="E3614">
        <v>0.54426049999999904</v>
      </c>
      <c r="F3614" t="s">
        <v>38</v>
      </c>
      <c r="G3614">
        <v>-422.26609999999999</v>
      </c>
      <c r="H3614">
        <v>1.0380549999999999</v>
      </c>
      <c r="I3614">
        <v>95.743799999999993</v>
      </c>
      <c r="J3614">
        <v>-422.26679999999999</v>
      </c>
      <c r="K3614">
        <v>1.1085119999999999</v>
      </c>
      <c r="L3614">
        <v>96.339479999999995</v>
      </c>
      <c r="M3614">
        <v>4.6904580000000001E-2</v>
      </c>
      <c r="N3614">
        <v>0</v>
      </c>
      <c r="O3614">
        <v>-0.99879799999999996</v>
      </c>
      <c r="P3614">
        <v>0.1346175</v>
      </c>
      <c r="Q3614">
        <v>3.5637040000000002E-2</v>
      </c>
      <c r="R3614">
        <v>-0.99025680000000005</v>
      </c>
      <c r="S3614">
        <v>4.6203609999999999E-2</v>
      </c>
      <c r="T3614">
        <v>-0.24091199999999999</v>
      </c>
      <c r="U3614">
        <v>-3.0321959999999999</v>
      </c>
      <c r="V3614">
        <v>-8.7788039999999998E-2</v>
      </c>
      <c r="W3614">
        <v>5.0217789999999998E-2</v>
      </c>
      <c r="X3614">
        <v>0.9948726</v>
      </c>
      <c r="Y3614">
        <v>3.1732440000000001E-2</v>
      </c>
      <c r="Z3614">
        <v>7.9046619999999998E-2</v>
      </c>
      <c r="AA3614">
        <v>0.99636569999999902</v>
      </c>
      <c r="AB3614">
        <v>40</v>
      </c>
      <c r="AC3614">
        <v>6.9999999999481501E-4</v>
      </c>
      <c r="AD3614">
        <v>-7.04570000000002E-2</v>
      </c>
      <c r="AE3614">
        <v>-0.59568000000001498</v>
      </c>
      <c r="AF3614">
        <v>2.68678359554347E-2</v>
      </c>
      <c r="AG3614">
        <v>-7.04570000000002E-2</v>
      </c>
      <c r="AH3614">
        <v>0.58684701873303302</v>
      </c>
      <c r="AI3614">
        <v>96.839080430699795</v>
      </c>
      <c r="AJ3614">
        <v>87.378636494042595</v>
      </c>
      <c r="AK3614">
        <v>0.59167177797642001</v>
      </c>
    </row>
    <row r="3615" spans="1:37" x14ac:dyDescent="0.2">
      <c r="A3615" t="str">
        <f>"20200111154137893"</f>
        <v>20200111154137893</v>
      </c>
      <c r="B3615" t="str">
        <f>"1578728497889954"</f>
        <v>1578728497889954</v>
      </c>
      <c r="C3615" t="s">
        <v>37</v>
      </c>
      <c r="D3615">
        <v>5.5252270000000001</v>
      </c>
      <c r="E3615">
        <v>0.49460609999999999</v>
      </c>
      <c r="F3615" t="s">
        <v>38</v>
      </c>
      <c r="G3615">
        <v>-422.25409999999999</v>
      </c>
      <c r="H3615">
        <v>1.034322</v>
      </c>
      <c r="I3615">
        <v>95.391779999999997</v>
      </c>
      <c r="J3615">
        <v>-422.24939999999998</v>
      </c>
      <c r="K3615">
        <v>1.108514</v>
      </c>
      <c r="L3615">
        <v>95.933869999999999</v>
      </c>
      <c r="M3615">
        <v>4.5101450000000001E-2</v>
      </c>
      <c r="N3615">
        <v>0</v>
      </c>
      <c r="O3615">
        <v>-0.99888089999999996</v>
      </c>
      <c r="P3615">
        <v>0.1322989</v>
      </c>
      <c r="Q3615">
        <v>3.7360740000000003E-2</v>
      </c>
      <c r="R3615">
        <v>-0.99050559999999999</v>
      </c>
      <c r="S3615">
        <v>4.1564940000000002E-2</v>
      </c>
      <c r="T3615">
        <v>-0.2373381</v>
      </c>
      <c r="U3615">
        <v>-3.03241</v>
      </c>
      <c r="V3615">
        <v>-8.7249030000000005E-2</v>
      </c>
      <c r="W3615">
        <v>5.193644E-2</v>
      </c>
      <c r="X3615">
        <v>0.99483169999999899</v>
      </c>
      <c r="Y3615">
        <v>3.1451769999999997E-2</v>
      </c>
      <c r="Z3615">
        <v>7.7886629999999998E-2</v>
      </c>
      <c r="AA3615">
        <v>0.99646599999999996</v>
      </c>
      <c r="AB3615">
        <v>40</v>
      </c>
      <c r="AC3615">
        <v>-4.7000000000139101E-3</v>
      </c>
      <c r="AD3615">
        <v>-7.4191999999999994E-2</v>
      </c>
      <c r="AE3615">
        <v>-0.54208999999998697</v>
      </c>
      <c r="AF3615">
        <v>2.8610858447462799E-2</v>
      </c>
      <c r="AG3615">
        <v>-7.4191999999999994E-2</v>
      </c>
      <c r="AH3615">
        <v>0.53137361594983201</v>
      </c>
      <c r="AI3615">
        <v>97.937076315400304</v>
      </c>
      <c r="AJ3615">
        <v>86.917987652910696</v>
      </c>
      <c r="AK3615">
        <v>0.53729038127692197</v>
      </c>
    </row>
    <row r="3616" spans="1:37" x14ac:dyDescent="0.2">
      <c r="A3616" t="str">
        <f>"20200111154137916"</f>
        <v>20200111154137916</v>
      </c>
      <c r="B3616" t="str">
        <f>"1578728497909474"</f>
        <v>1578728497909474</v>
      </c>
      <c r="C3616" t="s">
        <v>37</v>
      </c>
      <c r="D3616">
        <v>5.497007</v>
      </c>
      <c r="E3616">
        <v>0.48490230000000001</v>
      </c>
      <c r="F3616" t="s">
        <v>39</v>
      </c>
      <c r="G3616">
        <v>-419.53800000000001</v>
      </c>
      <c r="H3616" s="1">
        <v>-3.2919129999999999E-6</v>
      </c>
      <c r="I3616">
        <v>77.115259999999907</v>
      </c>
      <c r="J3616">
        <v>-422.23309999999998</v>
      </c>
      <c r="K3616">
        <v>1.1085179999999999</v>
      </c>
      <c r="L3616">
        <v>95.539059999999907</v>
      </c>
      <c r="M3616">
        <v>4.3343939999999997E-2</v>
      </c>
      <c r="N3616">
        <v>0</v>
      </c>
      <c r="O3616">
        <v>-0.99895879999999904</v>
      </c>
      <c r="P3616">
        <v>0.13009599999999999</v>
      </c>
      <c r="Q3616">
        <v>3.7886860000000001E-2</v>
      </c>
      <c r="R3616">
        <v>-0.99077729999999997</v>
      </c>
      <c r="S3616">
        <v>0.42907709999999999</v>
      </c>
      <c r="T3616">
        <v>-0.17542360000000001</v>
      </c>
      <c r="U3616">
        <v>-2.9780579999999999</v>
      </c>
      <c r="V3616">
        <v>-8.6785080000000001E-2</v>
      </c>
      <c r="W3616">
        <v>5.2458339999999999E-2</v>
      </c>
      <c r="X3616">
        <v>0.99484499999999998</v>
      </c>
      <c r="Y3616">
        <v>-9.9325220000000006E-2</v>
      </c>
      <c r="Z3616">
        <v>5.8275590000000002E-2</v>
      </c>
      <c r="AA3616">
        <v>0.99334709999999904</v>
      </c>
      <c r="AB3616">
        <v>40</v>
      </c>
      <c r="AC3616">
        <v>2.6950999999999601</v>
      </c>
      <c r="AD3616">
        <v>-1.1085212919130001</v>
      </c>
      <c r="AE3616">
        <v>-18.4238</v>
      </c>
      <c r="AF3616">
        <v>-1.8872366708244499</v>
      </c>
      <c r="AG3616">
        <v>-1.1085212919130001</v>
      </c>
      <c r="AH3616">
        <v>18.4578892033466</v>
      </c>
      <c r="AI3616">
        <v>93.419088881832593</v>
      </c>
      <c r="AJ3616">
        <v>95.837950168974402</v>
      </c>
      <c r="AK3616">
        <v>18.587204081016299</v>
      </c>
    </row>
    <row r="3617" spans="1:37" x14ac:dyDescent="0.2">
      <c r="A3617" t="str">
        <f>"20200111154137939"</f>
        <v>20200111154137939</v>
      </c>
      <c r="B3617" t="str">
        <f>"1578728497929989"</f>
        <v>1578728497929989</v>
      </c>
      <c r="C3617" t="s">
        <v>37</v>
      </c>
      <c r="D3617">
        <v>5.4087339999999999</v>
      </c>
      <c r="E3617">
        <v>0.48158400000000001</v>
      </c>
      <c r="F3617" t="s">
        <v>39</v>
      </c>
      <c r="G3617">
        <v>-419.53579999999999</v>
      </c>
      <c r="H3617" s="1">
        <v>-4.3003449999999999E-6</v>
      </c>
      <c r="I3617">
        <v>79.465029999999999</v>
      </c>
      <c r="J3617">
        <v>-422.21690000000001</v>
      </c>
      <c r="K3617">
        <v>1.1085179999999999</v>
      </c>
      <c r="L3617">
        <v>95.125119999999995</v>
      </c>
      <c r="M3617">
        <v>4.1498840000000002E-2</v>
      </c>
      <c r="N3617">
        <v>0</v>
      </c>
      <c r="O3617">
        <v>-0.99903719999999996</v>
      </c>
      <c r="P3617">
        <v>0.12913139999999901</v>
      </c>
      <c r="Q3617">
        <v>3.7700280000000003E-2</v>
      </c>
      <c r="R3617">
        <v>-0.99091079999999998</v>
      </c>
      <c r="S3617">
        <v>0.49844359999999999</v>
      </c>
      <c r="T3617">
        <v>-0.2048451</v>
      </c>
      <c r="U3617">
        <v>-2.9703369999999998</v>
      </c>
      <c r="V3617">
        <v>-8.7654960000000004E-2</v>
      </c>
      <c r="W3617">
        <v>5.2272140000000002E-2</v>
      </c>
      <c r="X3617">
        <v>0.99477850000000001</v>
      </c>
      <c r="Y3617">
        <v>-0.1240371</v>
      </c>
      <c r="Z3617">
        <v>6.7973080000000005E-2</v>
      </c>
      <c r="AA3617">
        <v>0.98994669999999896</v>
      </c>
      <c r="AB3617">
        <v>40</v>
      </c>
      <c r="AC3617">
        <v>2.68110000000001</v>
      </c>
      <c r="AD3617">
        <v>-1.108522300345</v>
      </c>
      <c r="AE3617">
        <v>-15.660089999999901</v>
      </c>
      <c r="AF3617">
        <v>-2.0190198623415001</v>
      </c>
      <c r="AG3617">
        <v>-1.108522300345</v>
      </c>
      <c r="AH3617">
        <v>15.6815324981796</v>
      </c>
      <c r="AI3617">
        <v>94.010498443715093</v>
      </c>
      <c r="AJ3617">
        <v>97.336552500360298</v>
      </c>
      <c r="AK3617">
        <v>15.849786256803499</v>
      </c>
    </row>
    <row r="3618" spans="1:37" x14ac:dyDescent="0.2">
      <c r="A3618" t="str">
        <f>"20200111154137960"</f>
        <v>20200111154137960</v>
      </c>
      <c r="B3618" t="str">
        <f>"1578728497949506"</f>
        <v>1578728497949506</v>
      </c>
      <c r="C3618" t="s">
        <v>37</v>
      </c>
      <c r="D3618">
        <v>5.347766</v>
      </c>
      <c r="E3618">
        <v>0.48157539999999999</v>
      </c>
      <c r="F3618" t="s">
        <v>39</v>
      </c>
      <c r="G3618">
        <v>-419.548</v>
      </c>
      <c r="H3618" s="1">
        <v>-2.1873719999999999E-7</v>
      </c>
      <c r="I3618">
        <v>79.937439999999995</v>
      </c>
      <c r="J3618">
        <v>-422.20310000000001</v>
      </c>
      <c r="K3618">
        <v>1.1085240000000001</v>
      </c>
      <c r="L3618">
        <v>94.759369999999905</v>
      </c>
      <c r="M3618">
        <v>3.9866640000000002E-2</v>
      </c>
      <c r="N3618">
        <v>0</v>
      </c>
      <c r="O3618">
        <v>-0.99910390000000004</v>
      </c>
      <c r="P3618">
        <v>0.128721</v>
      </c>
      <c r="Q3618">
        <v>3.7992680000000001E-2</v>
      </c>
      <c r="R3618">
        <v>-0.99095299999999997</v>
      </c>
      <c r="S3618">
        <v>0.5215149</v>
      </c>
      <c r="T3618">
        <v>-0.216614</v>
      </c>
      <c r="U3618">
        <v>-2.9678040000000001</v>
      </c>
      <c r="V3618">
        <v>-8.8867860000000007E-2</v>
      </c>
      <c r="W3618">
        <v>5.2565489999999999E-2</v>
      </c>
      <c r="X3618">
        <v>0.99465539999999997</v>
      </c>
      <c r="Y3618">
        <v>-0.1332187</v>
      </c>
      <c r="Z3618">
        <v>7.1836159999999996E-2</v>
      </c>
      <c r="AA3618">
        <v>0.98847980000000002</v>
      </c>
      <c r="AB3618">
        <v>39</v>
      </c>
      <c r="AC3618">
        <v>2.6551</v>
      </c>
      <c r="AD3618">
        <v>-1.1085242187372</v>
      </c>
      <c r="AE3618">
        <v>-14.821929999999901</v>
      </c>
      <c r="AF3618">
        <v>-2.0509134987412501</v>
      </c>
      <c r="AG3618">
        <v>-1.1085242187372</v>
      </c>
      <c r="AH3618">
        <v>14.8356025340558</v>
      </c>
      <c r="AI3618">
        <v>94.233120818952997</v>
      </c>
      <c r="AJ3618">
        <v>97.870835338697404</v>
      </c>
      <c r="AK3618">
        <v>15.017662090729299</v>
      </c>
    </row>
    <row r="3619" spans="1:37" x14ac:dyDescent="0.2">
      <c r="A3619" t="str">
        <f>"20200111154137981"</f>
        <v>20200111154137981</v>
      </c>
      <c r="B3619" t="str">
        <f>"1578728497970003"</f>
        <v>1578728497970003</v>
      </c>
      <c r="C3619" t="s">
        <v>37</v>
      </c>
      <c r="D3619">
        <v>5.3951449999999896</v>
      </c>
      <c r="E3619">
        <v>0.48167149999999997</v>
      </c>
      <c r="F3619" t="s">
        <v>39</v>
      </c>
      <c r="G3619">
        <v>-419.51580000000001</v>
      </c>
      <c r="H3619" s="1">
        <v>-4.2867820000000001E-6</v>
      </c>
      <c r="I3619">
        <v>79.425159999999906</v>
      </c>
      <c r="J3619">
        <v>-422.1893</v>
      </c>
      <c r="K3619">
        <v>1.1085389999999999</v>
      </c>
      <c r="L3619">
        <v>94.374939999999995</v>
      </c>
      <c r="M3619">
        <v>3.8150360000000001E-2</v>
      </c>
      <c r="N3619">
        <v>0</v>
      </c>
      <c r="O3619">
        <v>-0.99917080000000003</v>
      </c>
      <c r="P3619">
        <v>0.12760879999999999</v>
      </c>
      <c r="Q3619">
        <v>3.8757420000000001E-2</v>
      </c>
      <c r="R3619">
        <v>-0.99106709999999998</v>
      </c>
      <c r="S3619">
        <v>0.52014159999999998</v>
      </c>
      <c r="T3619">
        <v>-0.21456359999999999</v>
      </c>
      <c r="U3619">
        <v>-2.968048</v>
      </c>
      <c r="V3619">
        <v>-8.9458029999999994E-2</v>
      </c>
      <c r="W3619">
        <v>5.3329260000000003E-2</v>
      </c>
      <c r="X3619">
        <v>0.9945619</v>
      </c>
      <c r="Y3619">
        <v>-0.134471799999999</v>
      </c>
      <c r="Z3619">
        <v>7.1157860000000003E-2</v>
      </c>
      <c r="AA3619">
        <v>0.98835919999999899</v>
      </c>
      <c r="AB3619">
        <v>39</v>
      </c>
      <c r="AC3619">
        <v>2.67349999999999</v>
      </c>
      <c r="AD3619">
        <v>-1.108543286782</v>
      </c>
      <c r="AE3619">
        <v>-14.949780000000001</v>
      </c>
      <c r="AF3619">
        <v>-2.0900205231214399</v>
      </c>
      <c r="AG3619">
        <v>-1.108543286782</v>
      </c>
      <c r="AH3619">
        <v>14.961186640138999</v>
      </c>
      <c r="AI3619">
        <v>94.196958732539997</v>
      </c>
      <c r="AJ3619">
        <v>97.952536338085906</v>
      </c>
      <c r="AK3619">
        <v>15.1470841975217</v>
      </c>
    </row>
    <row r="3620" spans="1:37" x14ac:dyDescent="0.2">
      <c r="A3620" t="str">
        <f>"20200111154138005"</f>
        <v>20200111154138005</v>
      </c>
      <c r="B3620" t="str">
        <f>"1578728498000259"</f>
        <v>1578728498000259</v>
      </c>
      <c r="C3620" t="s">
        <v>37</v>
      </c>
      <c r="D3620">
        <v>5.3571140000000002</v>
      </c>
      <c r="E3620">
        <v>0.48173369999999999</v>
      </c>
      <c r="F3620" t="s">
        <v>39</v>
      </c>
      <c r="G3620">
        <v>-419.45150000000001</v>
      </c>
      <c r="H3620" s="1">
        <v>-3.9601099999999901E-6</v>
      </c>
      <c r="I3620">
        <v>78.637100000000004</v>
      </c>
      <c r="J3620">
        <v>-422.17570000000001</v>
      </c>
      <c r="K3620">
        <v>1.10854599999999</v>
      </c>
      <c r="L3620">
        <v>93.975769999999997</v>
      </c>
      <c r="M3620">
        <v>3.6367610000000002E-2</v>
      </c>
      <c r="N3620">
        <v>0</v>
      </c>
      <c r="O3620">
        <v>-0.99923729999999999</v>
      </c>
      <c r="P3620">
        <v>0.12569179999999999</v>
      </c>
      <c r="Q3620">
        <v>3.9945139999999997E-2</v>
      </c>
      <c r="R3620">
        <v>-0.99126489999999901</v>
      </c>
      <c r="S3620">
        <v>0.51644899999999905</v>
      </c>
      <c r="T3620">
        <v>-0.20911089999999999</v>
      </c>
      <c r="U3620">
        <v>-2.9687189999999899</v>
      </c>
      <c r="V3620">
        <v>-8.9305300000000004E-2</v>
      </c>
      <c r="W3620">
        <v>5.4512480000000002E-2</v>
      </c>
      <c r="X3620">
        <v>0.99451139999999905</v>
      </c>
      <c r="Y3620">
        <v>-0.13503039999999999</v>
      </c>
      <c r="Z3620">
        <v>6.935463E-2</v>
      </c>
      <c r="AA3620">
        <v>0.98841119999999905</v>
      </c>
      <c r="AB3620">
        <v>39</v>
      </c>
      <c r="AC3620">
        <v>2.72419999999999</v>
      </c>
      <c r="AD3620">
        <v>-1.10854996010999</v>
      </c>
      <c r="AE3620">
        <v>-15.338669999999899</v>
      </c>
      <c r="AF3620">
        <v>-2.15360563701819</v>
      </c>
      <c r="AG3620">
        <v>-1.10854996010999</v>
      </c>
      <c r="AH3620">
        <v>15.3498801859945</v>
      </c>
      <c r="AI3620">
        <v>94.090733677136299</v>
      </c>
      <c r="AJ3620">
        <v>97.986531876540894</v>
      </c>
      <c r="AK3620">
        <v>15.5398108733099</v>
      </c>
    </row>
    <row r="3621" spans="1:37" x14ac:dyDescent="0.2">
      <c r="A3621" t="str">
        <f>"20200111154138027"</f>
        <v>20200111154138027</v>
      </c>
      <c r="B3621" t="str">
        <f>"1578728498019779"</f>
        <v>1578728498019779</v>
      </c>
      <c r="C3621" t="s">
        <v>37</v>
      </c>
      <c r="D3621">
        <v>5.3712919999999897</v>
      </c>
      <c r="E3621">
        <v>0.48174799999999901</v>
      </c>
      <c r="F3621" t="s">
        <v>39</v>
      </c>
      <c r="G3621">
        <v>-419.4282</v>
      </c>
      <c r="H3621" s="1">
        <v>-3.68366699999999E-6</v>
      </c>
      <c r="I3621">
        <v>77.983059999999995</v>
      </c>
      <c r="J3621">
        <v>-422.1628</v>
      </c>
      <c r="K3621">
        <v>1.1085469999999999</v>
      </c>
      <c r="L3621">
        <v>93.576169999999905</v>
      </c>
      <c r="M3621">
        <v>3.4582660000000001E-2</v>
      </c>
      <c r="N3621">
        <v>0</v>
      </c>
      <c r="O3621">
        <v>-0.99930059999999998</v>
      </c>
      <c r="P3621">
        <v>0.1242046</v>
      </c>
      <c r="Q3621">
        <v>3.9744000000000002E-2</v>
      </c>
      <c r="R3621">
        <v>-0.99146060000000003</v>
      </c>
      <c r="S3621">
        <v>0.51025390000000004</v>
      </c>
      <c r="T3621">
        <v>-0.20587259999999999</v>
      </c>
      <c r="U3621">
        <v>-2.970062</v>
      </c>
      <c r="V3621">
        <v>-8.9591290000000004E-2</v>
      </c>
      <c r="W3621">
        <v>5.4309169999999997E-2</v>
      </c>
      <c r="X3621">
        <v>0.99449679999999996</v>
      </c>
      <c r="Y3621">
        <v>-0.13473550000000001</v>
      </c>
      <c r="Z3621">
        <v>6.8275279999999994E-2</v>
      </c>
      <c r="AA3621">
        <v>0.98852659999999903</v>
      </c>
      <c r="AB3621">
        <v>39</v>
      </c>
      <c r="AC3621">
        <v>2.7345999999999999</v>
      </c>
      <c r="AD3621">
        <v>-1.1085506836669901</v>
      </c>
      <c r="AE3621">
        <v>-15.5931099999999</v>
      </c>
      <c r="AF3621">
        <v>-2.1829544365329299</v>
      </c>
      <c r="AG3621">
        <v>-1.1085506836669901</v>
      </c>
      <c r="AH3621">
        <v>15.6018593986342</v>
      </c>
      <c r="AI3621">
        <v>94.025099593086097</v>
      </c>
      <c r="AJ3621">
        <v>97.964906858391998</v>
      </c>
      <c r="AK3621">
        <v>15.7927892211917</v>
      </c>
    </row>
    <row r="3622" spans="1:37" x14ac:dyDescent="0.2">
      <c r="A3622" t="str">
        <f>"20200111154138050"</f>
        <v>20200111154138050</v>
      </c>
      <c r="B3622" t="str">
        <f>"1578728498039298"</f>
        <v>1578728498039298</v>
      </c>
      <c r="C3622" t="s">
        <v>37</v>
      </c>
      <c r="D3622">
        <v>5.4129300000000002</v>
      </c>
      <c r="E3622">
        <v>0.48156059999999901</v>
      </c>
      <c r="F3622" t="s">
        <v>39</v>
      </c>
      <c r="G3622">
        <v>-419.45670000000001</v>
      </c>
      <c r="H3622" s="1">
        <v>-3.5505309999999902E-6</v>
      </c>
      <c r="I3622">
        <v>77.684479999999994</v>
      </c>
      <c r="J3622">
        <v>-422.1506</v>
      </c>
      <c r="K3622">
        <v>1.1085469999999999</v>
      </c>
      <c r="L3622">
        <v>93.177000000000007</v>
      </c>
      <c r="M3622">
        <v>3.2799340000000003E-2</v>
      </c>
      <c r="N3622">
        <v>0</v>
      </c>
      <c r="O3622">
        <v>-0.99936069999999999</v>
      </c>
      <c r="P3622">
        <v>0.12319479999999999</v>
      </c>
      <c r="Q3622">
        <v>3.8380089999999999E-2</v>
      </c>
      <c r="R3622">
        <v>-0.99164019999999997</v>
      </c>
      <c r="S3622">
        <v>0.5058899</v>
      </c>
      <c r="T3622">
        <v>-0.20723049999999901</v>
      </c>
      <c r="U3622">
        <v>-2.970764</v>
      </c>
      <c r="V3622">
        <v>-9.0358060000000004E-2</v>
      </c>
      <c r="W3622">
        <v>5.2945470000000001E-2</v>
      </c>
      <c r="X3622">
        <v>0.99450099999999997</v>
      </c>
      <c r="Y3622">
        <v>-0.13504869999999999</v>
      </c>
      <c r="Z3622">
        <v>6.8720710000000004E-2</v>
      </c>
      <c r="AA3622">
        <v>0.98845300000000003</v>
      </c>
      <c r="AB3622">
        <v>39</v>
      </c>
      <c r="AC3622">
        <v>2.6938999999999802</v>
      </c>
      <c r="AD3622">
        <v>-1.108550550531</v>
      </c>
      <c r="AE3622">
        <v>-15.492520000000001</v>
      </c>
      <c r="AF3622">
        <v>-2.1734529977560699</v>
      </c>
      <c r="AG3622">
        <v>-1.108550550531</v>
      </c>
      <c r="AH3622">
        <v>15.4955415359406</v>
      </c>
      <c r="AI3622">
        <v>94.052431913333606</v>
      </c>
      <c r="AJ3622">
        <v>97.984395707315699</v>
      </c>
      <c r="AK3622">
        <v>15.6864460522006</v>
      </c>
    </row>
    <row r="3623" spans="1:37" x14ac:dyDescent="0.2">
      <c r="A3623" t="str">
        <f>"20200111154138071"</f>
        <v>20200111154138071</v>
      </c>
      <c r="B3623" t="str">
        <f>"1578728498059794"</f>
        <v>1578728498059794</v>
      </c>
      <c r="C3623" t="s">
        <v>37</v>
      </c>
      <c r="D3623">
        <v>5.396763</v>
      </c>
      <c r="E3623">
        <v>0.48148400000000002</v>
      </c>
      <c r="F3623" t="s">
        <v>39</v>
      </c>
      <c r="G3623">
        <v>-419.50170000000003</v>
      </c>
      <c r="H3623" s="1">
        <v>-3.4948969999999999E-6</v>
      </c>
      <c r="I3623">
        <v>77.573440000000005</v>
      </c>
      <c r="J3623">
        <v>-422.13979999999998</v>
      </c>
      <c r="K3623">
        <v>1.1085389999999999</v>
      </c>
      <c r="L3623">
        <v>92.79813</v>
      </c>
      <c r="M3623">
        <v>3.110636E-2</v>
      </c>
      <c r="N3623">
        <v>0</v>
      </c>
      <c r="O3623">
        <v>-0.99941499999999905</v>
      </c>
      <c r="P3623">
        <v>0.1222872</v>
      </c>
      <c r="Q3623">
        <v>3.7160529999999997E-2</v>
      </c>
      <c r="R3623">
        <v>-0.99179919999999999</v>
      </c>
      <c r="S3623">
        <v>0.50433349999999999</v>
      </c>
      <c r="T3623">
        <v>-0.21106140000000001</v>
      </c>
      <c r="U3623">
        <v>-2.970825</v>
      </c>
      <c r="V3623">
        <v>-9.1137780000000002E-2</v>
      </c>
      <c r="W3623">
        <v>5.1726920000000003E-2</v>
      </c>
      <c r="X3623">
        <v>0.99449399999999999</v>
      </c>
      <c r="Y3623">
        <v>-0.13620560000000001</v>
      </c>
      <c r="Z3623">
        <v>6.9986590000000001E-2</v>
      </c>
      <c r="AA3623">
        <v>0.98820540000000001</v>
      </c>
      <c r="AB3623">
        <v>39</v>
      </c>
      <c r="AC3623">
        <v>2.6380999999999499</v>
      </c>
      <c r="AD3623">
        <v>-1.108542494897</v>
      </c>
      <c r="AE3623">
        <v>-15.224689999999899</v>
      </c>
      <c r="AF3623">
        <v>-2.1521134979127199</v>
      </c>
      <c r="AG3623">
        <v>-1.108542494897</v>
      </c>
      <c r="AH3623">
        <v>15.2210471900533</v>
      </c>
      <c r="AI3623">
        <v>94.124592962262696</v>
      </c>
      <c r="AJ3623">
        <v>98.047741175173698</v>
      </c>
      <c r="AK3623">
        <v>15.4123566183994</v>
      </c>
    </row>
    <row r="3624" spans="1:37" x14ac:dyDescent="0.2">
      <c r="A3624" t="str">
        <f>"20200111154138093"</f>
        <v>20200111154138093</v>
      </c>
      <c r="B3624" t="str">
        <f>"1578728498090050"</f>
        <v>1578728498090050</v>
      </c>
      <c r="C3624" t="s">
        <v>37</v>
      </c>
      <c r="D3624">
        <v>5.3788169999999997</v>
      </c>
      <c r="E3624">
        <v>0.48086009999999901</v>
      </c>
      <c r="F3624" t="s">
        <v>39</v>
      </c>
      <c r="G3624">
        <v>-419.53960000000001</v>
      </c>
      <c r="H3624" s="1">
        <v>-3.42057799999999E-6</v>
      </c>
      <c r="I3624">
        <v>77.415859999999995</v>
      </c>
      <c r="J3624">
        <v>-422.12920000000003</v>
      </c>
      <c r="K3624">
        <v>1.108541</v>
      </c>
      <c r="L3624">
        <v>92.40607</v>
      </c>
      <c r="M3624">
        <v>2.935426E-2</v>
      </c>
      <c r="N3624">
        <v>0</v>
      </c>
      <c r="O3624">
        <v>-0.99946809999999997</v>
      </c>
      <c r="P3624">
        <v>0.12117799999999999</v>
      </c>
      <c r="Q3624">
        <v>3.7228209999999998E-2</v>
      </c>
      <c r="R3624">
        <v>-0.991932699999999</v>
      </c>
      <c r="S3624">
        <v>0.50219729999999996</v>
      </c>
      <c r="T3624">
        <v>-0.21410270000000001</v>
      </c>
      <c r="U3624">
        <v>-2.970917</v>
      </c>
      <c r="V3624">
        <v>-9.1769089999999998E-2</v>
      </c>
      <c r="W3624">
        <v>5.1793579999999999E-2</v>
      </c>
      <c r="X3624">
        <v>0.99443239999999999</v>
      </c>
      <c r="Y3624">
        <v>-0.13723460000000001</v>
      </c>
      <c r="Z3624">
        <v>7.0992630000000001E-2</v>
      </c>
      <c r="AA3624">
        <v>0.98799130000000002</v>
      </c>
      <c r="AB3624">
        <v>39</v>
      </c>
      <c r="AC3624">
        <v>2.5896000000000101</v>
      </c>
      <c r="AD3624">
        <v>-1.108544420578</v>
      </c>
      <c r="AE3624">
        <v>-14.990209999999999</v>
      </c>
      <c r="AF3624">
        <v>-2.13706443794048</v>
      </c>
      <c r="AG3624">
        <v>-1.108544420578</v>
      </c>
      <c r="AH3624">
        <v>14.980222877725</v>
      </c>
      <c r="AI3624">
        <v>94.189936112808894</v>
      </c>
      <c r="AJ3624">
        <v>98.118979434041293</v>
      </c>
      <c r="AK3624">
        <v>15.172441880284801</v>
      </c>
    </row>
    <row r="3625" spans="1:37" x14ac:dyDescent="0.2">
      <c r="A3625" t="str">
        <f>"20200111154138117"</f>
        <v>20200111154138117</v>
      </c>
      <c r="B3625" t="str">
        <f>"1578728498109570"</f>
        <v>1578728498109570</v>
      </c>
      <c r="C3625" t="s">
        <v>37</v>
      </c>
      <c r="D3625">
        <v>5.3790399999999998</v>
      </c>
      <c r="E3625">
        <v>0.4798018</v>
      </c>
      <c r="F3625" t="s">
        <v>39</v>
      </c>
      <c r="G3625">
        <v>-419.51229999999998</v>
      </c>
      <c r="H3625" s="1">
        <v>-3.2321499999999899E-6</v>
      </c>
      <c r="I3625">
        <v>76.965329999999994</v>
      </c>
      <c r="J3625">
        <v>-422.1189</v>
      </c>
      <c r="K3625">
        <v>1.1085389999999999</v>
      </c>
      <c r="L3625">
        <v>92.00009</v>
      </c>
      <c r="M3625">
        <v>2.7539319999999999E-2</v>
      </c>
      <c r="N3625">
        <v>0</v>
      </c>
      <c r="O3625">
        <v>-0.99951979999999996</v>
      </c>
      <c r="P3625">
        <v>0.119478399999999</v>
      </c>
      <c r="Q3625">
        <v>3.8385809999999999E-2</v>
      </c>
      <c r="R3625">
        <v>-0.9920947</v>
      </c>
      <c r="S3625">
        <v>0.50350950000000005</v>
      </c>
      <c r="T3625">
        <v>-0.21329029999999999</v>
      </c>
      <c r="U3625">
        <v>-2.9708860000000001</v>
      </c>
      <c r="V3625">
        <v>-9.1867359999999995E-2</v>
      </c>
      <c r="W3625">
        <v>5.2947859999999999E-2</v>
      </c>
      <c r="X3625">
        <v>0.99436259999999999</v>
      </c>
      <c r="Y3625">
        <v>-0.139462</v>
      </c>
      <c r="Z3625">
        <v>7.0717169999999996E-2</v>
      </c>
      <c r="AA3625">
        <v>0.98769910000000005</v>
      </c>
      <c r="AB3625">
        <v>39</v>
      </c>
      <c r="AC3625">
        <v>2.60660000000001</v>
      </c>
      <c r="AD3625">
        <v>-1.10854223215</v>
      </c>
      <c r="AE3625">
        <v>-15.034759999999901</v>
      </c>
      <c r="AF3625">
        <v>-2.1800167177971401</v>
      </c>
      <c r="AG3625">
        <v>-1.10854223215</v>
      </c>
      <c r="AH3625">
        <v>15.0215674327281</v>
      </c>
      <c r="AI3625">
        <v>94.176989013745796</v>
      </c>
      <c r="AJ3625">
        <v>98.257445467937899</v>
      </c>
      <c r="AK3625">
        <v>15.219356980711501</v>
      </c>
    </row>
    <row r="3626" spans="1:37" x14ac:dyDescent="0.2">
      <c r="A3626" t="str">
        <f>"20200111154138139"</f>
        <v>20200111154138139</v>
      </c>
      <c r="B3626" t="str">
        <f>"1578728498129751"</f>
        <v>1578728498129751</v>
      </c>
      <c r="C3626" t="s">
        <v>37</v>
      </c>
      <c r="D3626">
        <v>5.4118870000000001</v>
      </c>
      <c r="E3626">
        <v>0.46380519999999997</v>
      </c>
      <c r="F3626" t="s">
        <v>39</v>
      </c>
      <c r="G3626">
        <v>-419.4171</v>
      </c>
      <c r="H3626" s="1">
        <v>-2.913517E-6</v>
      </c>
      <c r="I3626">
        <v>76.183239999999998</v>
      </c>
      <c r="J3626">
        <v>-422.10989999999998</v>
      </c>
      <c r="K3626">
        <v>1.1085469999999999</v>
      </c>
      <c r="L3626">
        <v>91.614350000000002</v>
      </c>
      <c r="M3626">
        <v>2.5814170000000001E-2</v>
      </c>
      <c r="N3626">
        <v>0</v>
      </c>
      <c r="O3626">
        <v>-0.999565699999999</v>
      </c>
      <c r="P3626">
        <v>0.1181767</v>
      </c>
      <c r="Q3626">
        <v>3.8518490000000002E-2</v>
      </c>
      <c r="R3626">
        <v>-0.9922453</v>
      </c>
      <c r="S3626">
        <v>0.50747679999999995</v>
      </c>
      <c r="T3626">
        <v>-0.2082157</v>
      </c>
      <c r="U3626">
        <v>-2.9708559999999999</v>
      </c>
      <c r="V3626">
        <v>-9.2278760000000001E-2</v>
      </c>
      <c r="W3626">
        <v>5.3078319999999998E-2</v>
      </c>
      <c r="X3626">
        <v>0.99431749999999997</v>
      </c>
      <c r="Y3626">
        <v>-0.14247379999999901</v>
      </c>
      <c r="Z3626">
        <v>6.9025810000000007E-2</v>
      </c>
      <c r="AA3626">
        <v>0.98738879999999996</v>
      </c>
      <c r="AB3626">
        <v>39</v>
      </c>
      <c r="AC3626">
        <v>2.6927999999999699</v>
      </c>
      <c r="AD3626">
        <v>-1.1085499135169901</v>
      </c>
      <c r="AE3626">
        <v>-15.43111</v>
      </c>
      <c r="AF3626">
        <v>-2.2820915734095299</v>
      </c>
      <c r="AG3626">
        <v>-1.1085499135169901</v>
      </c>
      <c r="AH3626">
        <v>15.4182671249416</v>
      </c>
      <c r="AI3626">
        <v>94.068232826621497</v>
      </c>
      <c r="AJ3626">
        <v>98.419346669687798</v>
      </c>
      <c r="AK3626">
        <v>15.6256131398496</v>
      </c>
    </row>
    <row r="3627" spans="1:37" x14ac:dyDescent="0.2">
      <c r="A3627" t="str">
        <f>"20200111154138160"</f>
        <v>20200111154138160</v>
      </c>
      <c r="B3627" t="str">
        <f>"1578728498150247"</f>
        <v>1578728498150247</v>
      </c>
      <c r="C3627" t="s">
        <v>37</v>
      </c>
      <c r="D3627">
        <v>5.4115839999999897</v>
      </c>
      <c r="E3627">
        <v>0.4638988</v>
      </c>
      <c r="F3627" t="s">
        <v>39</v>
      </c>
      <c r="G3627">
        <v>-419.22620000000001</v>
      </c>
      <c r="H3627" s="1">
        <v>-3.748163E-6</v>
      </c>
      <c r="I3627">
        <v>78.049890000000005</v>
      </c>
      <c r="J3627">
        <v>-422.10160000000002</v>
      </c>
      <c r="K3627">
        <v>1.108549</v>
      </c>
      <c r="L3627">
        <v>91.232849999999999</v>
      </c>
      <c r="M3627">
        <v>2.410762E-2</v>
      </c>
      <c r="N3627">
        <v>0</v>
      </c>
      <c r="O3627">
        <v>-0.99960849999999901</v>
      </c>
      <c r="P3627">
        <v>0.1177163</v>
      </c>
      <c r="Q3627">
        <v>3.7858450000000002E-2</v>
      </c>
      <c r="R3627">
        <v>-0.99232580000000004</v>
      </c>
      <c r="S3627">
        <v>0.62881469999999995</v>
      </c>
      <c r="T3627">
        <v>-0.2417348</v>
      </c>
      <c r="U3627">
        <v>-2.957916</v>
      </c>
      <c r="V3627">
        <v>-9.3518459999999998E-2</v>
      </c>
      <c r="W3627">
        <v>5.2420250000000002E-2</v>
      </c>
      <c r="X3627">
        <v>0.99423660000000003</v>
      </c>
      <c r="Y3627">
        <v>-0.183633399999999</v>
      </c>
      <c r="Z3627">
        <v>7.983925E-2</v>
      </c>
      <c r="AA3627">
        <v>0.97974709999999998</v>
      </c>
      <c r="AB3627">
        <v>39</v>
      </c>
      <c r="AC3627">
        <v>2.8754000000000102</v>
      </c>
      <c r="AD3627">
        <v>-1.108552748163</v>
      </c>
      <c r="AE3627">
        <v>-13.1829599999999</v>
      </c>
      <c r="AF3627">
        <v>-2.5395802096361102</v>
      </c>
      <c r="AG3627">
        <v>-1.108552748163</v>
      </c>
      <c r="AH3627">
        <v>13.1596267542461</v>
      </c>
      <c r="AI3627">
        <v>94.728330648442906</v>
      </c>
      <c r="AJ3627">
        <v>100.92281780251</v>
      </c>
      <c r="AK3627">
        <v>13.448201855553201</v>
      </c>
    </row>
    <row r="3628" spans="1:37" x14ac:dyDescent="0.2">
      <c r="A3628" t="str">
        <f>"20200111154138194"</f>
        <v>20200111154138194</v>
      </c>
      <c r="B3628" t="str">
        <f>"1578728498190264"</f>
        <v>1578728498190264</v>
      </c>
      <c r="C3628" t="s">
        <v>37</v>
      </c>
      <c r="D3628">
        <v>5.4641080000000004</v>
      </c>
      <c r="E3628">
        <v>0.46733930000000001</v>
      </c>
      <c r="F3628" t="s">
        <v>39</v>
      </c>
      <c r="G3628">
        <v>-419.16180000000003</v>
      </c>
      <c r="H3628" s="1">
        <v>-3.4630059999999999E-6</v>
      </c>
      <c r="I3628">
        <v>77.358530000000002</v>
      </c>
      <c r="J3628">
        <v>-422.09019999999998</v>
      </c>
      <c r="K3628">
        <v>1.108554</v>
      </c>
      <c r="L3628">
        <v>90.653350000000003</v>
      </c>
      <c r="M3628">
        <v>2.151436E-2</v>
      </c>
      <c r="N3628">
        <v>0</v>
      </c>
      <c r="O3628">
        <v>-0.99966749999999904</v>
      </c>
      <c r="P3628">
        <v>0.115936999999999</v>
      </c>
      <c r="Q3628">
        <v>3.7904710000000001E-2</v>
      </c>
      <c r="R3628">
        <v>-0.99253279999999999</v>
      </c>
      <c r="S3628">
        <v>0.6267395</v>
      </c>
      <c r="T3628">
        <v>-0.23633370000000001</v>
      </c>
      <c r="U3628">
        <v>-2.9578859999999998</v>
      </c>
      <c r="V3628">
        <v>-9.4316570000000002E-2</v>
      </c>
      <c r="W3628">
        <v>5.2464530000000002E-2</v>
      </c>
      <c r="X3628">
        <v>0.99415889999999996</v>
      </c>
      <c r="Y3628">
        <v>-0.1855562</v>
      </c>
      <c r="Z3628">
        <v>7.8065679999999998E-2</v>
      </c>
      <c r="AA3628">
        <v>0.97952779999999995</v>
      </c>
      <c r="AB3628">
        <v>39</v>
      </c>
      <c r="AC3628">
        <v>2.9283999999999502</v>
      </c>
      <c r="AD3628">
        <v>-1.108557463006</v>
      </c>
      <c r="AE3628">
        <v>-13.29482</v>
      </c>
      <c r="AF3628">
        <v>-2.6242622547074701</v>
      </c>
      <c r="AG3628">
        <v>-1.108557463006</v>
      </c>
      <c r="AH3628">
        <v>13.2667797780957</v>
      </c>
      <c r="AI3628">
        <v>94.686094013843402</v>
      </c>
      <c r="AJ3628">
        <v>101.189066156509</v>
      </c>
      <c r="AK3628">
        <v>13.5691966494247</v>
      </c>
    </row>
    <row r="3629" spans="1:37" x14ac:dyDescent="0.2">
      <c r="A3629" t="str">
        <f>"20200111154138216"</f>
        <v>20200111154138216</v>
      </c>
      <c r="B3629" t="str">
        <f>"1578728498209783"</f>
        <v>1578728498209783</v>
      </c>
      <c r="C3629" t="s">
        <v>37</v>
      </c>
      <c r="D3629">
        <v>5.4240510000000004</v>
      </c>
      <c r="E3629">
        <v>0.46802050000000001</v>
      </c>
      <c r="F3629" t="s">
        <v>39</v>
      </c>
      <c r="G3629">
        <v>-419.08629999999999</v>
      </c>
      <c r="H3629" s="1">
        <v>-2.7708260000000001E-6</v>
      </c>
      <c r="I3629">
        <v>75.713809999999995</v>
      </c>
      <c r="J3629">
        <v>-422.0831</v>
      </c>
      <c r="K3629">
        <v>1.108563</v>
      </c>
      <c r="L3629">
        <v>90.247129999999999</v>
      </c>
      <c r="M3629">
        <v>1.9695790000000001E-2</v>
      </c>
      <c r="N3629">
        <v>0</v>
      </c>
      <c r="O3629">
        <v>-0.99970509999999901</v>
      </c>
      <c r="P3629">
        <v>0.1143637</v>
      </c>
      <c r="Q3629">
        <v>3.7909770000000002E-2</v>
      </c>
      <c r="R3629">
        <v>-0.99271549999999997</v>
      </c>
      <c r="S3629">
        <v>0.59545899999999996</v>
      </c>
      <c r="T3629">
        <v>-0.2197441</v>
      </c>
      <c r="U3629">
        <v>-2.961395</v>
      </c>
      <c r="V3629">
        <v>-9.4549330000000001E-2</v>
      </c>
      <c r="W3629">
        <v>5.246692E-2</v>
      </c>
      <c r="X3629">
        <v>0.99413660000000004</v>
      </c>
      <c r="Y3629">
        <v>-0.1772579</v>
      </c>
      <c r="Z3629">
        <v>7.2668969999999999E-2</v>
      </c>
      <c r="AA3629">
        <v>0.98147790000000001</v>
      </c>
      <c r="AB3629">
        <v>39</v>
      </c>
      <c r="AC3629">
        <v>2.9967999999999999</v>
      </c>
      <c r="AD3629">
        <v>-1.1085657708259999</v>
      </c>
      <c r="AE3629">
        <v>-14.53332</v>
      </c>
      <c r="AF3629">
        <v>-2.69490429521437</v>
      </c>
      <c r="AG3629">
        <v>-1.1085657708259999</v>
      </c>
      <c r="AH3629">
        <v>14.5085588104801</v>
      </c>
      <c r="AI3629">
        <v>94.296148435366902</v>
      </c>
      <c r="AJ3629">
        <v>100.52253138939101</v>
      </c>
      <c r="AK3629">
        <v>14.798300780352101</v>
      </c>
    </row>
    <row r="3630" spans="1:37" x14ac:dyDescent="0.2">
      <c r="A3630" t="str">
        <f>"20200111154138238"</f>
        <v>20200111154138238</v>
      </c>
      <c r="B3630" t="str">
        <f>"1578728498230148"</f>
        <v>1578728498230148</v>
      </c>
      <c r="C3630" t="s">
        <v>37</v>
      </c>
      <c r="D3630">
        <v>5.4208930000000004</v>
      </c>
      <c r="E3630">
        <v>0.46813859999999902</v>
      </c>
      <c r="F3630" t="s">
        <v>39</v>
      </c>
      <c r="G3630">
        <v>-419.0924</v>
      </c>
      <c r="H3630" s="1">
        <v>-2.5086559999999999E-6</v>
      </c>
      <c r="I3630">
        <v>75.105230000000006</v>
      </c>
      <c r="J3630">
        <v>-422.07709999999997</v>
      </c>
      <c r="K3630">
        <v>1.108565</v>
      </c>
      <c r="L3630">
        <v>89.859800000000007</v>
      </c>
      <c r="M3630">
        <v>1.7961599999999901E-2</v>
      </c>
      <c r="N3630">
        <v>0</v>
      </c>
      <c r="O3630">
        <v>-0.99973789999999996</v>
      </c>
      <c r="P3630">
        <v>0.1132317</v>
      </c>
      <c r="Q3630">
        <v>3.7713299999999998E-2</v>
      </c>
      <c r="R3630">
        <v>-0.99285290000000004</v>
      </c>
      <c r="S3630">
        <v>0.58520509999999903</v>
      </c>
      <c r="T3630">
        <v>-0.2169162</v>
      </c>
      <c r="U3630">
        <v>-2.96286</v>
      </c>
      <c r="V3630">
        <v>-9.5141920000000005E-2</v>
      </c>
      <c r="W3630">
        <v>5.2269299999999998E-2</v>
      </c>
      <c r="X3630">
        <v>0.99409049999999999</v>
      </c>
      <c r="Y3630">
        <v>-0.17561689999999999</v>
      </c>
      <c r="Z3630">
        <v>7.1742150000000005E-2</v>
      </c>
      <c r="AA3630">
        <v>0.98184099999999996</v>
      </c>
      <c r="AB3630">
        <v>39</v>
      </c>
      <c r="AC3630">
        <v>2.9846999999999699</v>
      </c>
      <c r="AD3630">
        <v>-1.1085675086560001</v>
      </c>
      <c r="AE3630">
        <v>-14.754569999999999</v>
      </c>
      <c r="AF3630">
        <v>-2.7045089973002101</v>
      </c>
      <c r="AG3630">
        <v>-1.1085675086560001</v>
      </c>
      <c r="AH3630">
        <v>14.7259433510352</v>
      </c>
      <c r="AI3630">
        <v>94.234541974249694</v>
      </c>
      <c r="AJ3630">
        <v>100.406747362811</v>
      </c>
      <c r="AK3630">
        <v>15.013217457148301</v>
      </c>
    </row>
    <row r="3631" spans="1:37" x14ac:dyDescent="0.2">
      <c r="A3631" t="str">
        <f>"20200111154138261"</f>
        <v>20200111154138261</v>
      </c>
      <c r="B3631" t="str">
        <f>"1578728498249666"</f>
        <v>1578728498249666</v>
      </c>
      <c r="C3631" t="s">
        <v>37</v>
      </c>
      <c r="D3631">
        <v>5.4171610000000001</v>
      </c>
      <c r="E3631">
        <v>0.4683213</v>
      </c>
      <c r="F3631" t="s">
        <v>39</v>
      </c>
      <c r="G3631">
        <v>-419.07380000000001</v>
      </c>
      <c r="H3631" s="1">
        <v>-2.27025E-6</v>
      </c>
      <c r="I3631">
        <v>74.541820000000001</v>
      </c>
      <c r="J3631">
        <v>-422.07170000000002</v>
      </c>
      <c r="K3631">
        <v>1.1085670000000001</v>
      </c>
      <c r="L3631">
        <v>89.476990000000001</v>
      </c>
      <c r="M3631">
        <v>1.6247520000000001E-2</v>
      </c>
      <c r="N3631">
        <v>0</v>
      </c>
      <c r="O3631">
        <v>-0.99976739999999997</v>
      </c>
      <c r="P3631">
        <v>0.112643699999999</v>
      </c>
      <c r="Q3631">
        <v>3.8281750000000003E-2</v>
      </c>
      <c r="R3631">
        <v>-0.99289830000000001</v>
      </c>
      <c r="S3631">
        <v>0.58102419999999899</v>
      </c>
      <c r="T3631">
        <v>-0.21446950000000001</v>
      </c>
      <c r="U3631">
        <v>-2.9635009999999999</v>
      </c>
      <c r="V3631">
        <v>-9.6256209999999995E-2</v>
      </c>
      <c r="W3631">
        <v>5.283881E-2</v>
      </c>
      <c r="X3631">
        <v>0.99395309999999903</v>
      </c>
      <c r="Y3631">
        <v>-0.17594179999999901</v>
      </c>
      <c r="Z3631">
        <v>7.0932670000000003E-2</v>
      </c>
      <c r="AA3631">
        <v>0.98184169999999904</v>
      </c>
      <c r="AB3631">
        <v>39</v>
      </c>
      <c r="AC3631">
        <v>2.9979000000000098</v>
      </c>
      <c r="AD3631">
        <v>-1.1085692702500001</v>
      </c>
      <c r="AE3631">
        <v>-14.935169999999999</v>
      </c>
      <c r="AF3631">
        <v>-2.74030756921035</v>
      </c>
      <c r="AG3631">
        <v>-1.1085692702500001</v>
      </c>
      <c r="AH3631">
        <v>14.9029848828736</v>
      </c>
      <c r="AI3631">
        <v>94.1842603584968</v>
      </c>
      <c r="AJ3631">
        <v>100.418959863045</v>
      </c>
      <c r="AK3631">
        <v>15.1933264896129</v>
      </c>
    </row>
    <row r="3632" spans="1:37" x14ac:dyDescent="0.2">
      <c r="A3632" t="str">
        <f>"20200111154138283"</f>
        <v>20200111154138283</v>
      </c>
      <c r="B3632" t="str">
        <f>"1578728498279922"</f>
        <v>1578728498279922</v>
      </c>
      <c r="C3632" t="s">
        <v>37</v>
      </c>
      <c r="D3632">
        <v>5.4252849999999997</v>
      </c>
      <c r="E3632">
        <v>0.46197949999999999</v>
      </c>
      <c r="F3632" t="s">
        <v>39</v>
      </c>
      <c r="G3632">
        <v>-419.07029999999997</v>
      </c>
      <c r="H3632" s="1">
        <v>-2.0658659999999999E-6</v>
      </c>
      <c r="I3632">
        <v>74.063959999999994</v>
      </c>
      <c r="J3632">
        <v>-422.06699999999898</v>
      </c>
      <c r="K3632">
        <v>1.108562</v>
      </c>
      <c r="L3632">
        <v>89.092619999999997</v>
      </c>
      <c r="M3632">
        <v>1.4531240000000001E-2</v>
      </c>
      <c r="N3632">
        <v>0</v>
      </c>
      <c r="O3632">
        <v>-0.9997935</v>
      </c>
      <c r="P3632">
        <v>0.11208799999999999</v>
      </c>
      <c r="Q3632">
        <v>3.8167720000000002E-2</v>
      </c>
      <c r="R3632">
        <v>-0.99296499999999999</v>
      </c>
      <c r="S3632">
        <v>0.57720950000000004</v>
      </c>
      <c r="T3632">
        <v>-0.21319549999999901</v>
      </c>
      <c r="U3632">
        <v>-2.964172</v>
      </c>
      <c r="V3632">
        <v>-9.7407969999999997E-2</v>
      </c>
      <c r="W3632">
        <v>5.2725000000000001E-2</v>
      </c>
      <c r="X3632">
        <v>0.99384699999999904</v>
      </c>
      <c r="Y3632">
        <v>-0.17637820000000001</v>
      </c>
      <c r="Z3632">
        <v>7.0506479999999996E-2</v>
      </c>
      <c r="AA3632">
        <v>0.981794099999999</v>
      </c>
      <c r="AB3632">
        <v>39</v>
      </c>
      <c r="AC3632">
        <v>2.9966999999999699</v>
      </c>
      <c r="AD3632">
        <v>-1.1085640658660001</v>
      </c>
      <c r="AE3632">
        <v>-15.02866</v>
      </c>
      <c r="AF3632">
        <v>-2.7635150460625502</v>
      </c>
      <c r="AG3632">
        <v>-1.1085640658660001</v>
      </c>
      <c r="AH3632">
        <v>14.9921695283782</v>
      </c>
      <c r="AI3632">
        <v>94.159102239729407</v>
      </c>
      <c r="AJ3632">
        <v>100.444127069084</v>
      </c>
      <c r="AK3632">
        <v>15.284995154254201</v>
      </c>
    </row>
    <row r="3633" spans="1:37" x14ac:dyDescent="0.2">
      <c r="A3633" t="str">
        <f>"20200111154138307"</f>
        <v>20200111154138307</v>
      </c>
      <c r="B3633" t="str">
        <f>"1578728498299441"</f>
        <v>1578728498299441</v>
      </c>
      <c r="C3633" t="s">
        <v>37</v>
      </c>
      <c r="D3633">
        <v>5.403759</v>
      </c>
      <c r="E3633">
        <v>0.46163490000000001</v>
      </c>
      <c r="F3633" t="s">
        <v>39</v>
      </c>
      <c r="G3633">
        <v>-419.35500000000002</v>
      </c>
      <c r="H3633" s="1">
        <v>-2.943644E-6</v>
      </c>
      <c r="I3633">
        <v>76.227800000000002</v>
      </c>
      <c r="J3633">
        <v>-422.06279999999998</v>
      </c>
      <c r="K3633">
        <v>1.1085659999999999</v>
      </c>
      <c r="L3633">
        <v>88.682339999999996</v>
      </c>
      <c r="M3633">
        <v>1.2712070000000001E-2</v>
      </c>
      <c r="N3633">
        <v>0</v>
      </c>
      <c r="O3633">
        <v>-0.9998186</v>
      </c>
      <c r="P3633">
        <v>0.11082599999999999</v>
      </c>
      <c r="Q3633">
        <v>3.736424E-2</v>
      </c>
      <c r="R3633">
        <v>-0.9931373</v>
      </c>
      <c r="S3633">
        <v>0.62411499999999998</v>
      </c>
      <c r="T3633">
        <v>-0.25511849999999903</v>
      </c>
      <c r="U3633">
        <v>-2.9606319999999999</v>
      </c>
      <c r="V3633">
        <v>-9.7958030000000001E-2</v>
      </c>
      <c r="W3633">
        <v>5.1918819999999997E-2</v>
      </c>
      <c r="X3633">
        <v>0.99383529999999998</v>
      </c>
      <c r="Y3633">
        <v>-0.1930839</v>
      </c>
      <c r="Z3633">
        <v>8.4116590000000005E-2</v>
      </c>
      <c r="AA3633">
        <v>0.97756989999999999</v>
      </c>
      <c r="AB3633">
        <v>39</v>
      </c>
      <c r="AC3633">
        <v>2.7077999999999598</v>
      </c>
      <c r="AD3633">
        <v>-1.108568943644</v>
      </c>
      <c r="AE3633">
        <v>-12.4545399999999</v>
      </c>
      <c r="AF3633">
        <v>-2.5301019058277201</v>
      </c>
      <c r="AG3633">
        <v>-1.108568943644</v>
      </c>
      <c r="AH3633">
        <v>12.3941959617182</v>
      </c>
      <c r="AI3633">
        <v>95.0083363142774</v>
      </c>
      <c r="AJ3633">
        <v>101.537612505967</v>
      </c>
      <c r="AK3633">
        <v>12.698284698893699</v>
      </c>
    </row>
    <row r="3634" spans="1:37" x14ac:dyDescent="0.2">
      <c r="A3634" t="str">
        <f>"20200111154138328"</f>
        <v>20200111154138328</v>
      </c>
      <c r="B3634" t="str">
        <f>"1578728498319942"</f>
        <v>1578728498319942</v>
      </c>
      <c r="C3634" t="s">
        <v>37</v>
      </c>
      <c r="D3634">
        <v>5.3980649999999999</v>
      </c>
      <c r="E3634">
        <v>0.46155390000000002</v>
      </c>
      <c r="F3634" t="s">
        <v>39</v>
      </c>
      <c r="G3634">
        <v>-419.33260000000001</v>
      </c>
      <c r="H3634" s="1">
        <v>-2.7244670000000001E-6</v>
      </c>
      <c r="I3634">
        <v>75.707599999999999</v>
      </c>
      <c r="J3634">
        <v>-422.05950000000001</v>
      </c>
      <c r="K3634">
        <v>1.108565</v>
      </c>
      <c r="L3634">
        <v>88.303129999999996</v>
      </c>
      <c r="M3634">
        <v>1.103936E-2</v>
      </c>
      <c r="N3634">
        <v>0</v>
      </c>
      <c r="O3634">
        <v>-0.99983849999999996</v>
      </c>
      <c r="P3634">
        <v>0.108528099999999</v>
      </c>
      <c r="Q3634">
        <v>3.5862999999999999E-2</v>
      </c>
      <c r="R3634">
        <v>-0.99344639999999995</v>
      </c>
      <c r="S3634">
        <v>0.62301640000000003</v>
      </c>
      <c r="T3634">
        <v>-0.25296560000000001</v>
      </c>
      <c r="U3634">
        <v>-2.9607239999999999</v>
      </c>
      <c r="V3634">
        <v>-9.7328629999999999E-2</v>
      </c>
      <c r="W3634">
        <v>5.0411610000000003E-2</v>
      </c>
      <c r="X3634">
        <v>0.99397469999999999</v>
      </c>
      <c r="Y3634">
        <v>-0.1943839</v>
      </c>
      <c r="Z3634">
        <v>8.3404060000000002E-2</v>
      </c>
      <c r="AA3634">
        <v>0.97737339999999995</v>
      </c>
      <c r="AB3634">
        <v>39</v>
      </c>
      <c r="AC3634">
        <v>2.7269000000000001</v>
      </c>
      <c r="AD3634">
        <v>-1.108567724467</v>
      </c>
      <c r="AE3634">
        <v>-12.59553</v>
      </c>
      <c r="AF3634">
        <v>-2.5686665559941702</v>
      </c>
      <c r="AG3634">
        <v>-1.108567724467</v>
      </c>
      <c r="AH3634">
        <v>12.5321378950928</v>
      </c>
      <c r="AI3634">
        <v>94.952676210690498</v>
      </c>
      <c r="AJ3634">
        <v>101.58327593964199</v>
      </c>
      <c r="AK3634">
        <v>12.840617216366001</v>
      </c>
    </row>
    <row r="3635" spans="1:37" x14ac:dyDescent="0.2">
      <c r="A3635" t="str">
        <f>"20200111154138350"</f>
        <v>20200111154138350</v>
      </c>
      <c r="B3635" t="str">
        <f>"1578728498339458"</f>
        <v>1578728498339458</v>
      </c>
      <c r="C3635" t="s">
        <v>37</v>
      </c>
      <c r="D3635">
        <v>5.3962059999999896</v>
      </c>
      <c r="E3635">
        <v>0.46103840000000001</v>
      </c>
      <c r="F3635" t="s">
        <v>39</v>
      </c>
      <c r="G3635">
        <v>-419.41739999999999</v>
      </c>
      <c r="H3635" s="1">
        <v>-2.66776999999999E-6</v>
      </c>
      <c r="I3635">
        <v>75.61054</v>
      </c>
      <c r="J3635">
        <v>-422.05689999999998</v>
      </c>
      <c r="K3635">
        <v>1.1085719999999999</v>
      </c>
      <c r="L3635">
        <v>87.925380000000004</v>
      </c>
      <c r="M3635">
        <v>9.3809519999999997E-3</v>
      </c>
      <c r="N3635">
        <v>0</v>
      </c>
      <c r="O3635">
        <v>-0.99985550000000001</v>
      </c>
      <c r="P3635">
        <v>0.10549549999999901</v>
      </c>
      <c r="Q3635">
        <v>3.4241109999999998E-2</v>
      </c>
      <c r="R3635">
        <v>-0.9938302</v>
      </c>
      <c r="S3635">
        <v>0.61651610000000001</v>
      </c>
      <c r="T3635">
        <v>-0.25868209999999903</v>
      </c>
      <c r="U3635">
        <v>-2.961792</v>
      </c>
      <c r="V3635">
        <v>-9.5950899999999895E-2</v>
      </c>
      <c r="W3635">
        <v>4.878093E-2</v>
      </c>
      <c r="X3635">
        <v>0.99419000000000002</v>
      </c>
      <c r="Y3635">
        <v>-0.19385239999999901</v>
      </c>
      <c r="Z3635">
        <v>8.5270650000000003E-2</v>
      </c>
      <c r="AA3635">
        <v>0.97731789999999996</v>
      </c>
      <c r="AB3635">
        <v>39</v>
      </c>
      <c r="AC3635">
        <v>2.6394999999999902</v>
      </c>
      <c r="AD3635">
        <v>-1.1085746677699999</v>
      </c>
      <c r="AE3635">
        <v>-12.31484</v>
      </c>
      <c r="AF3635">
        <v>-2.5044439314062301</v>
      </c>
      <c r="AG3635">
        <v>-1.1085746677699999</v>
      </c>
      <c r="AH3635">
        <v>12.244198671623799</v>
      </c>
      <c r="AI3635">
        <v>95.068998250399005</v>
      </c>
      <c r="AJ3635">
        <v>101.559900598081</v>
      </c>
      <c r="AK3635">
        <v>12.5467756140681</v>
      </c>
    </row>
    <row r="3636" spans="1:37" x14ac:dyDescent="0.2">
      <c r="A3636" t="str">
        <f>"20200111154138372"</f>
        <v>20200111154138372</v>
      </c>
      <c r="B3636" t="str">
        <f>"1578728498369713"</f>
        <v>1578728498369713</v>
      </c>
      <c r="C3636" t="s">
        <v>37</v>
      </c>
      <c r="D3636">
        <v>5.496092</v>
      </c>
      <c r="E3636">
        <v>0.4614685</v>
      </c>
      <c r="F3636" t="s">
        <v>39</v>
      </c>
      <c r="G3636">
        <v>-419.50279999999998</v>
      </c>
      <c r="H3636" s="1">
        <v>-2.6247620000000001E-6</v>
      </c>
      <c r="I3636">
        <v>75.545590000000004</v>
      </c>
      <c r="J3636">
        <v>-422.0548</v>
      </c>
      <c r="K3636">
        <v>1.108579</v>
      </c>
      <c r="L3636">
        <v>87.535769999999999</v>
      </c>
      <c r="M3636">
        <v>7.6768959999999999E-3</v>
      </c>
      <c r="N3636">
        <v>0</v>
      </c>
      <c r="O3636">
        <v>-0.99987009999999898</v>
      </c>
      <c r="P3636">
        <v>0.1022208</v>
      </c>
      <c r="Q3636">
        <v>3.4750900000000001E-2</v>
      </c>
      <c r="R3636">
        <v>-0.99415489999999995</v>
      </c>
      <c r="S3636">
        <v>0.61126709999999995</v>
      </c>
      <c r="T3636">
        <v>-0.26531549999999998</v>
      </c>
      <c r="U3636">
        <v>-2.96286</v>
      </c>
      <c r="V3636">
        <v>-9.4367930000000003E-2</v>
      </c>
      <c r="W3636">
        <v>4.9280999999999998E-2</v>
      </c>
      <c r="X3636">
        <v>0.99431689999999995</v>
      </c>
      <c r="Y3636">
        <v>-0.19375580000000001</v>
      </c>
      <c r="Z3636">
        <v>8.7427969999999994E-2</v>
      </c>
      <c r="AA3636">
        <v>0.97714639999999997</v>
      </c>
      <c r="AB3636">
        <v>39</v>
      </c>
      <c r="AC3636">
        <v>2.55200000000002</v>
      </c>
      <c r="AD3636">
        <v>-1.108581624762</v>
      </c>
      <c r="AE3636">
        <v>-11.990179999999899</v>
      </c>
      <c r="AF3636">
        <v>-2.4399147623238999</v>
      </c>
      <c r="AG3636">
        <v>-1.108581624762</v>
      </c>
      <c r="AH3636">
        <v>11.9120046731048</v>
      </c>
      <c r="AI3636">
        <v>95.209332163435207</v>
      </c>
      <c r="AJ3636">
        <v>101.575680800565</v>
      </c>
      <c r="AK3636">
        <v>12.209749899086299</v>
      </c>
    </row>
    <row r="3637" spans="1:37" x14ac:dyDescent="0.2">
      <c r="A3637" t="str">
        <f>"20200111154138396"</f>
        <v>20200111154138396</v>
      </c>
      <c r="B3637" t="str">
        <f>"1578728498389232"</f>
        <v>1578728498389232</v>
      </c>
      <c r="C3637" t="s">
        <v>37</v>
      </c>
      <c r="D3637">
        <v>5.6941179999999996</v>
      </c>
      <c r="E3637">
        <v>0.54484480000000002</v>
      </c>
      <c r="F3637" t="s">
        <v>39</v>
      </c>
      <c r="G3637">
        <v>-419.5403</v>
      </c>
      <c r="H3637" s="1">
        <v>-2.410569E-6</v>
      </c>
      <c r="I3637">
        <v>75.061809999999994</v>
      </c>
      <c r="J3637">
        <v>-422.05329999999998</v>
      </c>
      <c r="K3637">
        <v>1.1085940000000001</v>
      </c>
      <c r="L3637">
        <v>87.137119999999996</v>
      </c>
      <c r="M3637">
        <v>5.9390490000000001E-3</v>
      </c>
      <c r="N3637">
        <v>0</v>
      </c>
      <c r="O3637">
        <v>-0.9998821</v>
      </c>
      <c r="P3637">
        <v>0.1001021</v>
      </c>
      <c r="Q3637">
        <v>3.6189789999999999E-2</v>
      </c>
      <c r="R3637">
        <v>-0.99431909999999901</v>
      </c>
      <c r="S3637">
        <v>0.59774780000000005</v>
      </c>
      <c r="T3637">
        <v>-0.26353939999999998</v>
      </c>
      <c r="U3637">
        <v>-2.9653930000000002</v>
      </c>
      <c r="V3637">
        <v>-9.3972379999999994E-2</v>
      </c>
      <c r="W3637">
        <v>5.0713059999999997E-2</v>
      </c>
      <c r="X3637">
        <v>0.99428240000000001</v>
      </c>
      <c r="Y3637">
        <v>-0.191027799999999</v>
      </c>
      <c r="Z3637">
        <v>8.6838879999999993E-2</v>
      </c>
      <c r="AA3637">
        <v>0.97773589999999999</v>
      </c>
      <c r="AB3637">
        <v>39</v>
      </c>
      <c r="AC3637">
        <v>2.5129999999999701</v>
      </c>
      <c r="AD3637">
        <v>-1.108596410569</v>
      </c>
      <c r="AE3637">
        <v>-12.07531</v>
      </c>
      <c r="AF3637">
        <v>-2.4216688885366602</v>
      </c>
      <c r="AG3637">
        <v>-1.108596410569</v>
      </c>
      <c r="AH3637">
        <v>11.9931353815681</v>
      </c>
      <c r="AI3637">
        <v>95.177275307794503</v>
      </c>
      <c r="AJ3637">
        <v>101.415738954096</v>
      </c>
      <c r="AK3637">
        <v>12.285306772232101</v>
      </c>
    </row>
    <row r="3638" spans="1:37" x14ac:dyDescent="0.2">
      <c r="A3638" t="str">
        <f>"20200111154138417"</f>
        <v>20200111154138417</v>
      </c>
      <c r="B3638" t="str">
        <f>"1578728498409728"</f>
        <v>1578728498409728</v>
      </c>
      <c r="C3638" t="s">
        <v>37</v>
      </c>
      <c r="D3638">
        <v>5.764456</v>
      </c>
      <c r="E3638">
        <v>0.56017890000000004</v>
      </c>
      <c r="F3638" t="s">
        <v>39</v>
      </c>
      <c r="G3638">
        <v>-422.42899999999997</v>
      </c>
      <c r="H3638" s="1">
        <v>-1.0596870000000001E-6</v>
      </c>
      <c r="I3638">
        <v>70.552729999999997</v>
      </c>
      <c r="J3638">
        <v>-422.05259999999998</v>
      </c>
      <c r="K3638">
        <v>1.1085989999999999</v>
      </c>
      <c r="L3638">
        <v>86.756379999999993</v>
      </c>
      <c r="M3638">
        <v>4.2832109999999899E-3</v>
      </c>
      <c r="N3638">
        <v>0</v>
      </c>
      <c r="O3638">
        <v>-0.99989030000000001</v>
      </c>
      <c r="P3638">
        <v>9.8622810000000005E-2</v>
      </c>
      <c r="Q3638">
        <v>3.6448010000000003E-2</v>
      </c>
      <c r="R3638">
        <v>-0.99445740000000005</v>
      </c>
      <c r="S3638">
        <v>-6.8664550000000005E-2</v>
      </c>
      <c r="T3638">
        <v>-0.20263829999999999</v>
      </c>
      <c r="U3638">
        <v>-3.0314329999999998</v>
      </c>
      <c r="V3638">
        <v>-9.4139479999999998E-2</v>
      </c>
      <c r="W3638">
        <v>5.096784E-2</v>
      </c>
      <c r="X3638">
        <v>0.99425350000000001</v>
      </c>
      <c r="Y3638">
        <v>2.687699E-2</v>
      </c>
      <c r="Z3638">
        <v>6.6675399999999996E-2</v>
      </c>
      <c r="AA3638">
        <v>0.99741270000000004</v>
      </c>
      <c r="AB3638">
        <v>39</v>
      </c>
      <c r="AC3638">
        <v>-0.37640000000004598</v>
      </c>
      <c r="AD3638">
        <v>-1.10860005968699</v>
      </c>
      <c r="AE3638">
        <v>-16.2036499999999</v>
      </c>
      <c r="AF3638">
        <v>0.44373125983658002</v>
      </c>
      <c r="AG3638">
        <v>-1.10860005968699</v>
      </c>
      <c r="AH3638">
        <v>16.126444325281</v>
      </c>
      <c r="AI3638">
        <v>93.931084254008397</v>
      </c>
      <c r="AJ3638">
        <v>88.423861172753803</v>
      </c>
      <c r="AK3638">
        <v>16.170593622365299</v>
      </c>
    </row>
    <row r="3639" spans="1:37" x14ac:dyDescent="0.2">
      <c r="A3639" t="str">
        <f>"20200111154138440"</f>
        <v>20200111154138440</v>
      </c>
      <c r="B3639" t="str">
        <f>"1578728498429602"</f>
        <v>1578728498429602</v>
      </c>
      <c r="C3639" t="s">
        <v>37</v>
      </c>
      <c r="D3639">
        <v>5.8328519999999999</v>
      </c>
      <c r="E3639">
        <v>0.56237910000000002</v>
      </c>
      <c r="F3639" t="s">
        <v>39</v>
      </c>
      <c r="G3639">
        <v>-423.11630000000002</v>
      </c>
      <c r="H3639" s="1">
        <v>-1.086398E-6</v>
      </c>
      <c r="I3639">
        <v>70.188719999999904</v>
      </c>
      <c r="J3639">
        <v>-422.05250000000001</v>
      </c>
      <c r="K3639">
        <v>1.108603</v>
      </c>
      <c r="L3639">
        <v>86.366299999999995</v>
      </c>
      <c r="M3639">
        <v>2.5888310000000002E-3</v>
      </c>
      <c r="N3639">
        <v>0</v>
      </c>
      <c r="O3639">
        <v>-0.99989619999999901</v>
      </c>
      <c r="P3639">
        <v>9.7639119999999996E-2</v>
      </c>
      <c r="Q3639">
        <v>3.6875690000000003E-2</v>
      </c>
      <c r="R3639">
        <v>-0.99453879999999995</v>
      </c>
      <c r="S3639">
        <v>-0.1954041</v>
      </c>
      <c r="T3639">
        <v>-0.20365659999999999</v>
      </c>
      <c r="U3639">
        <v>-3.0435789999999998</v>
      </c>
      <c r="V3639">
        <v>-9.4840010000000002E-2</v>
      </c>
      <c r="W3639">
        <v>5.1394049999999997E-2</v>
      </c>
      <c r="X3639">
        <v>0.99416499999999997</v>
      </c>
      <c r="Y3639">
        <v>6.6511360000000005E-2</v>
      </c>
      <c r="Z3639">
        <v>6.6621689999999997E-2</v>
      </c>
      <c r="AA3639">
        <v>0.99555899999999997</v>
      </c>
      <c r="AB3639">
        <v>39</v>
      </c>
      <c r="AC3639">
        <v>-1.0638000000000101</v>
      </c>
      <c r="AD3639">
        <v>-1.108604086398</v>
      </c>
      <c r="AE3639">
        <v>-16.177579999999999</v>
      </c>
      <c r="AF3639">
        <v>1.1005358239052201</v>
      </c>
      <c r="AG3639">
        <v>-1.108604086398</v>
      </c>
      <c r="AH3639">
        <v>16.0994941741357</v>
      </c>
      <c r="AI3639">
        <v>93.930001369724096</v>
      </c>
      <c r="AJ3639">
        <v>86.089435229627398</v>
      </c>
      <c r="AK3639">
        <v>16.175101074896101</v>
      </c>
    </row>
    <row r="3640" spans="1:37" x14ac:dyDescent="0.2">
      <c r="A3640" t="str">
        <f>"20200111154138461"</f>
        <v>20200111154138461</v>
      </c>
      <c r="B3640" t="str">
        <f>"1578728498450078"</f>
        <v>1578728498450078</v>
      </c>
      <c r="C3640" t="s">
        <v>37</v>
      </c>
      <c r="D3640">
        <v>5.8651960000000001</v>
      </c>
      <c r="E3640">
        <v>0.5628995</v>
      </c>
      <c r="F3640" t="s">
        <v>39</v>
      </c>
      <c r="G3640">
        <v>-423.20870000000002</v>
      </c>
      <c r="H3640" s="1">
        <v>-1.0629170000000001E-6</v>
      </c>
      <c r="I3640">
        <v>70.076650000000001</v>
      </c>
      <c r="J3640">
        <v>-422.05309999999997</v>
      </c>
      <c r="K3640">
        <v>1.108603</v>
      </c>
      <c r="L3640">
        <v>85.986819999999994</v>
      </c>
      <c r="M3640">
        <v>9.4082520000000002E-4</v>
      </c>
      <c r="N3640">
        <v>0</v>
      </c>
      <c r="O3640">
        <v>-0.99989910000000004</v>
      </c>
      <c r="P3640">
        <v>9.6162979999999995E-2</v>
      </c>
      <c r="Q3640">
        <v>3.6844910000000002E-2</v>
      </c>
      <c r="R3640">
        <v>-0.994683599999999</v>
      </c>
      <c r="S3640">
        <v>-0.21615599999999999</v>
      </c>
      <c r="T3640">
        <v>-0.20725540000000001</v>
      </c>
      <c r="U3640">
        <v>-3.04537999999999</v>
      </c>
      <c r="V3640">
        <v>-9.5004179999999994E-2</v>
      </c>
      <c r="W3640">
        <v>5.1360240000000001E-2</v>
      </c>
      <c r="X3640">
        <v>0.99415109999999995</v>
      </c>
      <c r="Y3640">
        <v>7.1576199999999895E-2</v>
      </c>
      <c r="Z3640">
        <v>6.7726720000000004E-2</v>
      </c>
      <c r="AA3640">
        <v>0.99513309999999999</v>
      </c>
      <c r="AB3640">
        <v>39</v>
      </c>
      <c r="AC3640">
        <v>-1.1556000000000399</v>
      </c>
      <c r="AD3640">
        <v>-1.108604062917</v>
      </c>
      <c r="AE3640">
        <v>-15.9101699999999</v>
      </c>
      <c r="AF3640">
        <v>1.1649433796916799</v>
      </c>
      <c r="AG3640">
        <v>-1.108604062917</v>
      </c>
      <c r="AH3640">
        <v>15.8326092245998</v>
      </c>
      <c r="AI3640">
        <v>93.994567166218104</v>
      </c>
      <c r="AJ3640">
        <v>85.791832115812994</v>
      </c>
      <c r="AK3640">
        <v>15.9140695896771</v>
      </c>
    </row>
    <row r="3641" spans="1:37" x14ac:dyDescent="0.2">
      <c r="A3641" t="str">
        <f>"20200111154138485"</f>
        <v>20200111154138485</v>
      </c>
      <c r="B3641" t="str">
        <f>"1578728498479358"</f>
        <v>1578728498479358</v>
      </c>
      <c r="C3641" t="s">
        <v>37</v>
      </c>
      <c r="D3641">
        <v>5.8003359999999997</v>
      </c>
      <c r="E3641">
        <v>0.5625097</v>
      </c>
      <c r="F3641" t="s">
        <v>39</v>
      </c>
      <c r="G3641">
        <v>-423.24799999999999</v>
      </c>
      <c r="H3641" s="1">
        <v>-9.4494019999999902E-7</v>
      </c>
      <c r="I3641">
        <v>69.777319999999904</v>
      </c>
      <c r="J3641">
        <v>-422.05430000000001</v>
      </c>
      <c r="K3641">
        <v>1.108614</v>
      </c>
      <c r="L3641">
        <v>85.596310000000003</v>
      </c>
      <c r="M3641">
        <v>-7.5598829999999997E-4</v>
      </c>
      <c r="N3641">
        <v>0</v>
      </c>
      <c r="O3641">
        <v>-0.99989950000000005</v>
      </c>
      <c r="P3641">
        <v>9.4458189999999997E-2</v>
      </c>
      <c r="Q3641">
        <v>3.752428E-2</v>
      </c>
      <c r="R3641">
        <v>-0.99482179999999998</v>
      </c>
      <c r="S3641">
        <v>-0.2244873</v>
      </c>
      <c r="T3641">
        <v>-0.20828459999999999</v>
      </c>
      <c r="U3641">
        <v>-3.0454409999999998</v>
      </c>
      <c r="V3641">
        <v>-9.4984739999999998E-2</v>
      </c>
      <c r="W3641">
        <v>5.2035489999999997E-2</v>
      </c>
      <c r="X3641">
        <v>0.99411779999999905</v>
      </c>
      <c r="Y3641">
        <v>7.2588680000000003E-2</v>
      </c>
      <c r="Z3641">
        <v>6.8050940000000004E-2</v>
      </c>
      <c r="AA3641">
        <v>0.99503770000000002</v>
      </c>
      <c r="AB3641">
        <v>39</v>
      </c>
      <c r="AC3641">
        <v>-1.19370000000003</v>
      </c>
      <c r="AD3641">
        <v>-1.1086149449402001</v>
      </c>
      <c r="AE3641">
        <v>-15.818989999999999</v>
      </c>
      <c r="AF3641">
        <v>1.1759964202286299</v>
      </c>
      <c r="AG3641">
        <v>-1.1086149449402001</v>
      </c>
      <c r="AH3641">
        <v>15.7430058167811</v>
      </c>
      <c r="AI3641">
        <v>94.016936938392007</v>
      </c>
      <c r="AJ3641">
        <v>85.727961770272998</v>
      </c>
      <c r="AK3641">
        <v>15.825745695661199</v>
      </c>
    </row>
    <row r="3642" spans="1:37" x14ac:dyDescent="0.2">
      <c r="A3642" t="str">
        <f>"20200111154138507"</f>
        <v>20200111154138507</v>
      </c>
      <c r="B3642" t="str">
        <f>"1578728498499853"</f>
        <v>1578728498499853</v>
      </c>
      <c r="C3642" t="s">
        <v>37</v>
      </c>
      <c r="D3642">
        <v>5.8367440000000004</v>
      </c>
      <c r="E3642">
        <v>0.56204379999999998</v>
      </c>
      <c r="F3642" t="s">
        <v>38</v>
      </c>
      <c r="G3642">
        <v>-422.13260000000002</v>
      </c>
      <c r="H3642">
        <v>1.032456</v>
      </c>
      <c r="I3642">
        <v>84.547600000000003</v>
      </c>
      <c r="J3642">
        <v>-422.05630000000002</v>
      </c>
      <c r="K3642">
        <v>1.10863</v>
      </c>
      <c r="L3642">
        <v>85.19211</v>
      </c>
      <c r="M3642">
        <v>-2.5136220000000001E-3</v>
      </c>
      <c r="N3642">
        <v>0</v>
      </c>
      <c r="O3642">
        <v>-0.99989629999999996</v>
      </c>
      <c r="P3642">
        <v>9.2498860000000002E-2</v>
      </c>
      <c r="Q3642">
        <v>3.8503780000000001E-2</v>
      </c>
      <c r="R3642">
        <v>-0.99496810000000002</v>
      </c>
      <c r="S3642">
        <v>-0.2275085</v>
      </c>
      <c r="T3642">
        <v>-0.22116239999999901</v>
      </c>
      <c r="U3642">
        <v>-3.045563</v>
      </c>
      <c r="V3642">
        <v>-9.4770820000000006E-2</v>
      </c>
      <c r="W3642">
        <v>5.3009750000000001E-2</v>
      </c>
      <c r="X3642">
        <v>0.99408669999999999</v>
      </c>
      <c r="Y3642">
        <v>7.1792369999999994E-2</v>
      </c>
      <c r="Z3642">
        <v>7.2233320000000004E-2</v>
      </c>
      <c r="AA3642">
        <v>0.99480059999999904</v>
      </c>
      <c r="AB3642">
        <v>39</v>
      </c>
      <c r="AC3642">
        <v>-7.6300000000003296E-2</v>
      </c>
      <c r="AD3642">
        <v>-7.6173999999999895E-2</v>
      </c>
      <c r="AE3642">
        <v>-0.64450999999999603</v>
      </c>
      <c r="AF3642">
        <v>7.3664766663853895E-2</v>
      </c>
      <c r="AG3642">
        <v>-7.6173999999999895E-2</v>
      </c>
      <c r="AH3642">
        <v>0.635939339356554</v>
      </c>
      <c r="AI3642">
        <v>96.785507232274497</v>
      </c>
      <c r="AJ3642">
        <v>83.392525368506597</v>
      </c>
      <c r="AK3642">
        <v>0.64470754568632904</v>
      </c>
    </row>
    <row r="3643" spans="1:37" x14ac:dyDescent="0.2">
      <c r="A3643" t="str">
        <f>"20200111154138529"</f>
        <v>20200111154138529</v>
      </c>
      <c r="B3643" t="str">
        <f>"1578728498519373"</f>
        <v>1578728498519373</v>
      </c>
      <c r="C3643" t="s">
        <v>37</v>
      </c>
      <c r="D3643">
        <v>5.8519220000000001</v>
      </c>
      <c r="E3643">
        <v>0.56166839999999996</v>
      </c>
      <c r="F3643" t="s">
        <v>38</v>
      </c>
      <c r="G3643">
        <v>-422.13130000000001</v>
      </c>
      <c r="H3643">
        <v>1.0357240000000001</v>
      </c>
      <c r="I3643">
        <v>84.200450000000004</v>
      </c>
      <c r="J3643">
        <v>-422.05880000000002</v>
      </c>
      <c r="K3643">
        <v>1.1086419999999999</v>
      </c>
      <c r="L3643">
        <v>84.820800000000006</v>
      </c>
      <c r="M3643">
        <v>-4.1288879999999998E-3</v>
      </c>
      <c r="N3643">
        <v>0</v>
      </c>
      <c r="O3643">
        <v>-0.99989119999999998</v>
      </c>
      <c r="P3643">
        <v>9.0457720000000005E-2</v>
      </c>
      <c r="Q3643">
        <v>3.9548970000000003E-2</v>
      </c>
      <c r="R3643">
        <v>-0.99511499999999997</v>
      </c>
      <c r="S3643">
        <v>-0.22937009999999999</v>
      </c>
      <c r="T3643">
        <v>-0.22383249999999999</v>
      </c>
      <c r="U3643">
        <v>-3.045166</v>
      </c>
      <c r="V3643">
        <v>-9.4332769999999996E-2</v>
      </c>
      <c r="W3643">
        <v>5.4049670000000001E-2</v>
      </c>
      <c r="X3643">
        <v>0.99407239999999997</v>
      </c>
      <c r="Y3643">
        <v>7.0790660000000005E-2</v>
      </c>
      <c r="Z3643">
        <v>7.311057E-2</v>
      </c>
      <c r="AA3643">
        <v>0.99480829999999998</v>
      </c>
      <c r="AB3643">
        <v>39</v>
      </c>
      <c r="AC3643">
        <v>-7.2499999999990905E-2</v>
      </c>
      <c r="AD3643">
        <v>-7.2917999999999802E-2</v>
      </c>
      <c r="AE3643">
        <v>-0.62035000000000196</v>
      </c>
      <c r="AF3643">
        <v>6.8997317707458206E-2</v>
      </c>
      <c r="AG3643">
        <v>-7.2917999999999802E-2</v>
      </c>
      <c r="AH3643">
        <v>0.61229829814893499</v>
      </c>
      <c r="AI3643">
        <v>96.748996338815203</v>
      </c>
      <c r="AJ3643">
        <v>83.570701521245496</v>
      </c>
      <c r="AK3643">
        <v>0.62047310214940499</v>
      </c>
    </row>
    <row r="3644" spans="1:37" x14ac:dyDescent="0.2">
      <c r="A3644" t="str">
        <f>"20200111154138552"</f>
        <v>20200111154138552</v>
      </c>
      <c r="B3644" t="str">
        <f>"1578728498539870"</f>
        <v>1578728498539870</v>
      </c>
      <c r="C3644" t="s">
        <v>37</v>
      </c>
      <c r="D3644">
        <v>5.8213470000000003</v>
      </c>
      <c r="E3644">
        <v>0.56131359999999997</v>
      </c>
      <c r="F3644" t="s">
        <v>38</v>
      </c>
      <c r="G3644">
        <v>-422.1327</v>
      </c>
      <c r="H3644">
        <v>1.0373680000000001</v>
      </c>
      <c r="I3644">
        <v>83.85436</v>
      </c>
      <c r="J3644">
        <v>-422.06199999999899</v>
      </c>
      <c r="K3644">
        <v>1.1086530000000001</v>
      </c>
      <c r="L3644">
        <v>84.428159999999906</v>
      </c>
      <c r="M3644">
        <v>-5.8375789999999999E-3</v>
      </c>
      <c r="N3644">
        <v>0</v>
      </c>
      <c r="O3644">
        <v>-0.99988279999999996</v>
      </c>
      <c r="P3644">
        <v>8.7879589999999994E-2</v>
      </c>
      <c r="Q3644">
        <v>4.022527E-2</v>
      </c>
      <c r="R3644">
        <v>-0.99531890000000001</v>
      </c>
      <c r="S3644">
        <v>-0.23266599999999901</v>
      </c>
      <c r="T3644">
        <v>-0.22452949999999999</v>
      </c>
      <c r="U3644">
        <v>-3.0448</v>
      </c>
      <c r="V3644">
        <v>-9.3453820000000007E-2</v>
      </c>
      <c r="W3644">
        <v>5.4720070000000003E-2</v>
      </c>
      <c r="X3644">
        <v>0.99411879999999997</v>
      </c>
      <c r="Y3644">
        <v>7.016443E-2</v>
      </c>
      <c r="Z3644">
        <v>7.3343459999999999E-2</v>
      </c>
      <c r="AA3644">
        <v>0.99483549999999998</v>
      </c>
      <c r="AB3644">
        <v>39</v>
      </c>
      <c r="AC3644">
        <v>-7.0700000000044796E-2</v>
      </c>
      <c r="AD3644">
        <v>-7.1285000000000001E-2</v>
      </c>
      <c r="AE3644">
        <v>-0.57379999999999098</v>
      </c>
      <c r="AF3644">
        <v>6.6340280401672502E-2</v>
      </c>
      <c r="AG3644">
        <v>-7.1285000000000001E-2</v>
      </c>
      <c r="AH3644">
        <v>0.56560405761885602</v>
      </c>
      <c r="AI3644">
        <v>97.134905953449902</v>
      </c>
      <c r="AJ3644">
        <v>83.310284696440306</v>
      </c>
      <c r="AK3644">
        <v>0.57392554745688595</v>
      </c>
    </row>
    <row r="3645" spans="1:37" x14ac:dyDescent="0.2">
      <c r="A3645" t="str">
        <f>"20200111154138574"</f>
        <v>20200111154138574</v>
      </c>
      <c r="B3645" t="str">
        <f>"1578728498570126"</f>
        <v>1578728498570126</v>
      </c>
      <c r="C3645" t="s">
        <v>37</v>
      </c>
      <c r="D3645">
        <v>5.8050730000000001</v>
      </c>
      <c r="E3645">
        <v>0.56117410000000001</v>
      </c>
      <c r="F3645" t="s">
        <v>38</v>
      </c>
      <c r="G3645">
        <v>-422.13400000000001</v>
      </c>
      <c r="H3645">
        <v>1.040303</v>
      </c>
      <c r="I3645">
        <v>83.507909999999995</v>
      </c>
      <c r="J3645">
        <v>-422.06569999999999</v>
      </c>
      <c r="K3645">
        <v>1.108649</v>
      </c>
      <c r="L3645">
        <v>84.055660000000003</v>
      </c>
      <c r="M3645">
        <v>-7.4589319999999997E-3</v>
      </c>
      <c r="N3645">
        <v>0</v>
      </c>
      <c r="O3645">
        <v>-0.99987199999999998</v>
      </c>
      <c r="P3645">
        <v>8.4811769999999995E-2</v>
      </c>
      <c r="Q3645">
        <v>3.9913259999999999E-2</v>
      </c>
      <c r="R3645">
        <v>-0.99559759999999997</v>
      </c>
      <c r="S3645">
        <v>-0.2369995</v>
      </c>
      <c r="T3645">
        <v>-0.22604160000000001</v>
      </c>
      <c r="U3645">
        <v>-3.0441889999999998</v>
      </c>
      <c r="V3645">
        <v>-9.2002890000000004E-2</v>
      </c>
      <c r="W3645">
        <v>5.4400579999999997E-2</v>
      </c>
      <c r="X3645">
        <v>0.99427160000000003</v>
      </c>
      <c r="Y3645">
        <v>6.9966959999999995E-2</v>
      </c>
      <c r="Z3645">
        <v>7.3844679999999996E-2</v>
      </c>
      <c r="AA3645">
        <v>0.99481229999999998</v>
      </c>
      <c r="AB3645">
        <v>39</v>
      </c>
      <c r="AC3645">
        <v>-6.8300000000021996E-2</v>
      </c>
      <c r="AD3645">
        <v>-6.8346000000000004E-2</v>
      </c>
      <c r="AE3645">
        <v>-0.54775000000000695</v>
      </c>
      <c r="AF3645">
        <v>6.3242510661412996E-2</v>
      </c>
      <c r="AG3645">
        <v>-6.8346000000000004E-2</v>
      </c>
      <c r="AH3645">
        <v>0.53996621538904099</v>
      </c>
      <c r="AI3645">
        <v>97.165363304799797</v>
      </c>
      <c r="AJ3645">
        <v>83.319776449200603</v>
      </c>
      <c r="AK3645">
        <v>0.54793640564606005</v>
      </c>
    </row>
    <row r="3646" spans="1:37" x14ac:dyDescent="0.2">
      <c r="A3646" t="str">
        <f>"20200111154138597"</f>
        <v>20200111154138597</v>
      </c>
      <c r="B3646" t="str">
        <f>"1578728498589646"</f>
        <v>1578728498589646</v>
      </c>
      <c r="C3646" t="s">
        <v>37</v>
      </c>
      <c r="D3646">
        <v>5.8074459999999997</v>
      </c>
      <c r="E3646">
        <v>0.56094560000000004</v>
      </c>
      <c r="F3646" t="s">
        <v>38</v>
      </c>
      <c r="G3646">
        <v>-422.1377</v>
      </c>
      <c r="H3646">
        <v>1.040988</v>
      </c>
      <c r="I3646">
        <v>83.162850000000006</v>
      </c>
      <c r="J3646">
        <v>-422.07029999999997</v>
      </c>
      <c r="K3646">
        <v>1.1086450000000001</v>
      </c>
      <c r="L3646">
        <v>83.653530000000003</v>
      </c>
      <c r="M3646">
        <v>-9.2099690000000001E-3</v>
      </c>
      <c r="N3646">
        <v>0</v>
      </c>
      <c r="O3646">
        <v>-0.99985740000000001</v>
      </c>
      <c r="P3646">
        <v>8.2253480000000004E-2</v>
      </c>
      <c r="Q3646">
        <v>3.8819609999999997E-2</v>
      </c>
      <c r="R3646">
        <v>-0.99585519999999905</v>
      </c>
      <c r="S3646">
        <v>-0.244812</v>
      </c>
      <c r="T3646">
        <v>-0.23064309999999999</v>
      </c>
      <c r="U3646">
        <v>-3.0433650000000001</v>
      </c>
      <c r="V3646">
        <v>-9.1194230000000001E-2</v>
      </c>
      <c r="W3646">
        <v>5.3302120000000001E-2</v>
      </c>
      <c r="X3646">
        <v>0.9944056</v>
      </c>
      <c r="Y3646">
        <v>7.0769659999999998E-2</v>
      </c>
      <c r="Z3646">
        <v>7.534834E-2</v>
      </c>
      <c r="AA3646">
        <v>0.99464279999999905</v>
      </c>
      <c r="AB3646">
        <v>39</v>
      </c>
      <c r="AC3646">
        <v>-6.7400000000020499E-2</v>
      </c>
      <c r="AD3646">
        <v>-6.7656999999999995E-2</v>
      </c>
      <c r="AE3646">
        <v>-0.49067999999999701</v>
      </c>
      <c r="AF3646">
        <v>6.1725740115693498E-2</v>
      </c>
      <c r="AG3646">
        <v>-6.7656999999999995E-2</v>
      </c>
      <c r="AH3646">
        <v>0.48228065736404802</v>
      </c>
      <c r="AI3646">
        <v>97.921866147224904</v>
      </c>
      <c r="AJ3646">
        <v>82.706526522909002</v>
      </c>
      <c r="AK3646">
        <v>0.49089934722846001</v>
      </c>
    </row>
    <row r="3647" spans="1:37" x14ac:dyDescent="0.2">
      <c r="A3647" t="str">
        <f>"20200111154138619"</f>
        <v>20200111154138619</v>
      </c>
      <c r="B3647" t="str">
        <f>"1578728498610142"</f>
        <v>1578728498610142</v>
      </c>
      <c r="C3647" t="s">
        <v>37</v>
      </c>
      <c r="D3647">
        <v>5.6782719999999998</v>
      </c>
      <c r="E3647">
        <v>0.56130239999999998</v>
      </c>
      <c r="F3647" t="s">
        <v>38</v>
      </c>
      <c r="G3647">
        <v>-422.1397</v>
      </c>
      <c r="H3647">
        <v>1.0434219999999901</v>
      </c>
      <c r="I3647">
        <v>82.816670000000002</v>
      </c>
      <c r="J3647">
        <v>-422.07549999999998</v>
      </c>
      <c r="K3647">
        <v>1.1086419999999999</v>
      </c>
      <c r="L3647">
        <v>83.266630000000006</v>
      </c>
      <c r="M3647">
        <v>-1.0893130000000001E-2</v>
      </c>
      <c r="N3647">
        <v>0</v>
      </c>
      <c r="O3647">
        <v>-0.99984030000000002</v>
      </c>
      <c r="P3647">
        <v>8.0135659999999997E-2</v>
      </c>
      <c r="Q3647">
        <v>3.7745380000000002E-2</v>
      </c>
      <c r="R3647">
        <v>-0.99606899999999998</v>
      </c>
      <c r="S3647">
        <v>-0.25149539999999998</v>
      </c>
      <c r="T3647">
        <v>-0.2370951</v>
      </c>
      <c r="U3647">
        <v>-3.0425110000000002</v>
      </c>
      <c r="V3647">
        <v>-9.0759350000000003E-2</v>
      </c>
      <c r="W3647">
        <v>5.2224529999999998E-2</v>
      </c>
      <c r="X3647">
        <v>0.99450249999999996</v>
      </c>
      <c r="Y3647">
        <v>7.1269970000000002E-2</v>
      </c>
      <c r="Z3647">
        <v>7.7454980000000007E-2</v>
      </c>
      <c r="AA3647">
        <v>0.99444519999999903</v>
      </c>
      <c r="AB3647">
        <v>38</v>
      </c>
      <c r="AC3647">
        <v>-6.4200000000027999E-2</v>
      </c>
      <c r="AD3647">
        <v>-6.522E-2</v>
      </c>
      <c r="AE3647">
        <v>-0.44996000000000402</v>
      </c>
      <c r="AF3647">
        <v>5.8097974023086502E-2</v>
      </c>
      <c r="AG3647">
        <v>-6.522E-2</v>
      </c>
      <c r="AH3647">
        <v>0.44154126519731102</v>
      </c>
      <c r="AI3647">
        <v>98.331601660260603</v>
      </c>
      <c r="AJ3647">
        <v>82.504086347312906</v>
      </c>
      <c r="AK3647">
        <v>0.45009744706855398</v>
      </c>
    </row>
    <row r="3648" spans="1:37" x14ac:dyDescent="0.2">
      <c r="A3648" t="str">
        <f>"20200111154138641"</f>
        <v>20200111154138641</v>
      </c>
      <c r="B3648" t="str">
        <f>"1578728498629663"</f>
        <v>1578728498629663</v>
      </c>
      <c r="C3648" t="s">
        <v>37</v>
      </c>
      <c r="D3648">
        <v>5.6764559999999999</v>
      </c>
      <c r="E3648">
        <v>0.56167440000000002</v>
      </c>
      <c r="F3648" t="s">
        <v>38</v>
      </c>
      <c r="G3648">
        <v>-422.14389999999997</v>
      </c>
      <c r="H3648">
        <v>1.046217</v>
      </c>
      <c r="I3648">
        <v>82.469920000000002</v>
      </c>
      <c r="J3648">
        <v>-422.08099999999899</v>
      </c>
      <c r="K3648">
        <v>1.1086400000000001</v>
      </c>
      <c r="L3648">
        <v>82.898960000000002</v>
      </c>
      <c r="M3648">
        <v>-1.2486489999999999E-2</v>
      </c>
      <c r="N3648">
        <v>0</v>
      </c>
      <c r="O3648">
        <v>-0.99982179999999998</v>
      </c>
      <c r="P3648">
        <v>7.8452859999999999E-2</v>
      </c>
      <c r="Q3648">
        <v>3.7331360000000001E-2</v>
      </c>
      <c r="R3648">
        <v>-0.99621849999999901</v>
      </c>
      <c r="S3648">
        <v>-0.26110839999999902</v>
      </c>
      <c r="T3648">
        <v>-0.23835210000000001</v>
      </c>
      <c r="U3648">
        <v>-3.04190099999999</v>
      </c>
      <c r="V3648">
        <v>-9.0666499999999997E-2</v>
      </c>
      <c r="W3648">
        <v>5.1806909999999998E-2</v>
      </c>
      <c r="X3648">
        <v>0.99453289999999905</v>
      </c>
      <c r="Y3648">
        <v>7.2814500000000004E-2</v>
      </c>
      <c r="Z3648">
        <v>7.7861819999999998E-2</v>
      </c>
      <c r="AA3648">
        <v>0.99430160000000001</v>
      </c>
      <c r="AB3648">
        <v>38</v>
      </c>
      <c r="AC3648">
        <v>-6.2900000000013195E-2</v>
      </c>
      <c r="AD3648">
        <v>-6.2423000000000103E-2</v>
      </c>
      <c r="AE3648">
        <v>-0.42903999999999998</v>
      </c>
      <c r="AF3648">
        <v>5.6369200940992598E-2</v>
      </c>
      <c r="AG3648">
        <v>-6.2423000000000103E-2</v>
      </c>
      <c r="AH3648">
        <v>0.42106616004944197</v>
      </c>
      <c r="AI3648">
        <v>98.359165890080405</v>
      </c>
      <c r="AJ3648">
        <v>82.375003536658298</v>
      </c>
      <c r="AK3648">
        <v>0.42938424386848201</v>
      </c>
    </row>
    <row r="3649" spans="1:37" x14ac:dyDescent="0.2">
      <c r="A3649" t="str">
        <f>"20200111154138663"</f>
        <v>20200111154138663</v>
      </c>
      <c r="B3649" t="str">
        <f>"1578728498659919"</f>
        <v>1578728498659919</v>
      </c>
      <c r="C3649" t="s">
        <v>37</v>
      </c>
      <c r="D3649">
        <v>5.666925</v>
      </c>
      <c r="E3649">
        <v>0.56203939999999997</v>
      </c>
      <c r="F3649" t="s">
        <v>38</v>
      </c>
      <c r="G3649">
        <v>-422.15010000000001</v>
      </c>
      <c r="H3649">
        <v>1.0479350000000001</v>
      </c>
      <c r="I3649">
        <v>82.124449999999996</v>
      </c>
      <c r="J3649">
        <v>-422.08730000000003</v>
      </c>
      <c r="K3649">
        <v>1.1086549999999999</v>
      </c>
      <c r="L3649">
        <v>82.513549999999995</v>
      </c>
      <c r="M3649">
        <v>-1.414205E-2</v>
      </c>
      <c r="N3649">
        <v>0</v>
      </c>
      <c r="O3649">
        <v>-0.99979969999999996</v>
      </c>
      <c r="P3649">
        <v>7.6849970000000004E-2</v>
      </c>
      <c r="Q3649">
        <v>3.7803699999999898E-2</v>
      </c>
      <c r="R3649">
        <v>-0.99632559999999903</v>
      </c>
      <c r="S3649">
        <v>-0.26885989999999999</v>
      </c>
      <c r="T3649">
        <v>-0.2382494</v>
      </c>
      <c r="U3649">
        <v>-3.0414729999999999</v>
      </c>
      <c r="V3649">
        <v>-9.0712199999999896E-2</v>
      </c>
      <c r="W3649">
        <v>5.2273590000000002E-2</v>
      </c>
      <c r="X3649">
        <v>0.99450430000000001</v>
      </c>
      <c r="Y3649">
        <v>7.3690149999999996E-2</v>
      </c>
      <c r="Z3649">
        <v>7.7825720000000001E-2</v>
      </c>
      <c r="AA3649">
        <v>0.99423989999999995</v>
      </c>
      <c r="AB3649">
        <v>38</v>
      </c>
      <c r="AC3649">
        <v>-6.2799999999981496E-2</v>
      </c>
      <c r="AD3649">
        <v>-6.0719999999999802E-2</v>
      </c>
      <c r="AE3649">
        <v>-0.389099999999999</v>
      </c>
      <c r="AF3649">
        <v>5.5962280441680001E-2</v>
      </c>
      <c r="AG3649">
        <v>-6.0719999999999802E-2</v>
      </c>
      <c r="AH3649">
        <v>0.38090876285907599</v>
      </c>
      <c r="AI3649">
        <v>98.962590416568602</v>
      </c>
      <c r="AJ3649">
        <v>81.642022604933302</v>
      </c>
      <c r="AK3649">
        <v>0.38975656614746801</v>
      </c>
    </row>
    <row r="3650" spans="1:37" x14ac:dyDescent="0.2">
      <c r="A3650" t="str">
        <f>"20200111154138686"</f>
        <v>20200111154138686</v>
      </c>
      <c r="B3650" t="str">
        <f>"1578728498679437"</f>
        <v>1578728498679437</v>
      </c>
      <c r="C3650" t="s">
        <v>37</v>
      </c>
      <c r="D3650">
        <v>5.6848219999999996</v>
      </c>
      <c r="E3650">
        <v>0.56221509999999997</v>
      </c>
      <c r="F3650" t="s">
        <v>38</v>
      </c>
      <c r="G3650">
        <v>-422.18450000000001</v>
      </c>
      <c r="H3650">
        <v>1.0264450000000001</v>
      </c>
      <c r="I3650">
        <v>81.450909999999993</v>
      </c>
      <c r="J3650">
        <v>-422.09449999999998</v>
      </c>
      <c r="K3650">
        <v>1.1086799999999899</v>
      </c>
      <c r="L3650">
        <v>82.120639999999995</v>
      </c>
      <c r="M3650">
        <v>-1.5801570000000001E-2</v>
      </c>
      <c r="N3650">
        <v>0</v>
      </c>
      <c r="O3650">
        <v>-0.99977490000000002</v>
      </c>
      <c r="P3650">
        <v>7.5716909999999998E-2</v>
      </c>
      <c r="Q3650">
        <v>3.8342189999999998E-2</v>
      </c>
      <c r="R3650">
        <v>-0.99639200000000006</v>
      </c>
      <c r="S3650">
        <v>-0.27700809999999998</v>
      </c>
      <c r="T3650">
        <v>-0.23523820000000001</v>
      </c>
      <c r="U3650">
        <v>-3.0413509999999899</v>
      </c>
      <c r="V3650">
        <v>-9.1232690000000005E-2</v>
      </c>
      <c r="W3650">
        <v>5.280547E-2</v>
      </c>
      <c r="X3650">
        <v>0.9944286</v>
      </c>
      <c r="Y3650">
        <v>7.4687669999999998E-2</v>
      </c>
      <c r="Z3650">
        <v>7.6836160000000001E-2</v>
      </c>
      <c r="AA3650">
        <v>0.99424239999999997</v>
      </c>
      <c r="AB3650">
        <v>38</v>
      </c>
      <c r="AC3650">
        <v>-9.0000000000031805E-2</v>
      </c>
      <c r="AD3650">
        <v>-8.2234999999999794E-2</v>
      </c>
      <c r="AE3650">
        <v>-0.66973000000001504</v>
      </c>
      <c r="AF3650">
        <v>7.8246126813752398E-2</v>
      </c>
      <c r="AG3650">
        <v>-8.2234999999999794E-2</v>
      </c>
      <c r="AH3650">
        <v>0.66127547489039795</v>
      </c>
      <c r="AI3650">
        <v>97.040188656974706</v>
      </c>
      <c r="AJ3650">
        <v>83.251792978320907</v>
      </c>
      <c r="AK3650">
        <v>0.67094731930150497</v>
      </c>
    </row>
    <row r="3651" spans="1:37" x14ac:dyDescent="0.2">
      <c r="A3651" t="str">
        <f>"20200111154138708"</f>
        <v>20200111154138708</v>
      </c>
      <c r="B3651" t="str">
        <f>"1578728498699933"</f>
        <v>1578728498699933</v>
      </c>
      <c r="C3651" t="s">
        <v>37</v>
      </c>
      <c r="D3651">
        <v>5.669791</v>
      </c>
      <c r="E3651">
        <v>0.56239240000000001</v>
      </c>
      <c r="F3651" t="s">
        <v>38</v>
      </c>
      <c r="G3651">
        <v>-422.18869999999998</v>
      </c>
      <c r="H3651">
        <v>1.030894</v>
      </c>
      <c r="I3651">
        <v>81.105639999999994</v>
      </c>
      <c r="J3651">
        <v>-422.10219999999998</v>
      </c>
      <c r="K3651">
        <v>1.1087069999999899</v>
      </c>
      <c r="L3651">
        <v>81.728700000000003</v>
      </c>
      <c r="M3651">
        <v>-1.7431729999999999E-2</v>
      </c>
      <c r="N3651">
        <v>0</v>
      </c>
      <c r="O3651">
        <v>-0.99974789999999902</v>
      </c>
      <c r="P3651">
        <v>7.463446E-2</v>
      </c>
      <c r="Q3651">
        <v>3.8804310000000002E-2</v>
      </c>
      <c r="R3651">
        <v>-0.99645589999999995</v>
      </c>
      <c r="S3651">
        <v>-0.28158569999999999</v>
      </c>
      <c r="T3651">
        <v>-0.23304259999999999</v>
      </c>
      <c r="U3651">
        <v>-3.041229</v>
      </c>
      <c r="V3651">
        <v>-9.1775280000000001E-2</v>
      </c>
      <c r="W3651">
        <v>5.3261169999999997E-2</v>
      </c>
      <c r="X3651">
        <v>0.99435429999999903</v>
      </c>
      <c r="Y3651">
        <v>7.4554410000000002E-2</v>
      </c>
      <c r="Z3651">
        <v>7.6118329999999998E-2</v>
      </c>
      <c r="AA3651">
        <v>0.99430759999999996</v>
      </c>
      <c r="AB3651">
        <v>38</v>
      </c>
      <c r="AC3651">
        <v>-8.6500000000000896E-2</v>
      </c>
      <c r="AD3651">
        <v>-7.7812999999999896E-2</v>
      </c>
      <c r="AE3651">
        <v>-0.62305999999999495</v>
      </c>
      <c r="AF3651">
        <v>7.4484969533840303E-2</v>
      </c>
      <c r="AG3651">
        <v>-7.7812999999999896E-2</v>
      </c>
      <c r="AH3651">
        <v>0.61506151753220795</v>
      </c>
      <c r="AI3651">
        <v>97.158576856665405</v>
      </c>
      <c r="AJ3651">
        <v>83.095010397415294</v>
      </c>
      <c r="AK3651">
        <v>0.62442256846183797</v>
      </c>
    </row>
    <row r="3652" spans="1:37" x14ac:dyDescent="0.2">
      <c r="A3652" t="str">
        <f>"20200111154138730"</f>
        <v>20200111154138730</v>
      </c>
      <c r="B3652" t="str">
        <f>"1578728498719454"</f>
        <v>1578728498719454</v>
      </c>
      <c r="C3652" t="s">
        <v>37</v>
      </c>
      <c r="D3652">
        <v>5.711957</v>
      </c>
      <c r="E3652">
        <v>0.56241109999999905</v>
      </c>
      <c r="F3652" t="s">
        <v>38</v>
      </c>
      <c r="G3652">
        <v>-422.19349999999997</v>
      </c>
      <c r="H3652">
        <v>1.03504</v>
      </c>
      <c r="I3652">
        <v>80.76079</v>
      </c>
      <c r="J3652">
        <v>-422.10989999999998</v>
      </c>
      <c r="K3652">
        <v>1.1087370000000001</v>
      </c>
      <c r="L3652">
        <v>81.366969999999995</v>
      </c>
      <c r="M3652">
        <v>-1.8907670000000001E-2</v>
      </c>
      <c r="N3652">
        <v>0</v>
      </c>
      <c r="O3652">
        <v>-0.99972139999999998</v>
      </c>
      <c r="P3652">
        <v>7.3443659999999994E-2</v>
      </c>
      <c r="Q3652">
        <v>3.957973E-2</v>
      </c>
      <c r="R3652">
        <v>-0.99651409999999996</v>
      </c>
      <c r="S3652">
        <v>-0.28567500000000001</v>
      </c>
      <c r="T3652">
        <v>-0.23139189999999901</v>
      </c>
      <c r="U3652">
        <v>-3.041077</v>
      </c>
      <c r="V3652">
        <v>-9.2055010000000007E-2</v>
      </c>
      <c r="W3652">
        <v>5.4027770000000003E-2</v>
      </c>
      <c r="X3652">
        <v>0.99428709999999898</v>
      </c>
      <c r="Y3652">
        <v>7.4416179999999998E-2</v>
      </c>
      <c r="Z3652">
        <v>7.5578690000000004E-2</v>
      </c>
      <c r="AA3652">
        <v>0.99435910000000005</v>
      </c>
      <c r="AB3652">
        <v>38</v>
      </c>
      <c r="AC3652">
        <v>-8.3599999999989905E-2</v>
      </c>
      <c r="AD3652">
        <v>-7.3697000000000096E-2</v>
      </c>
      <c r="AE3652">
        <v>-0.60617999999999395</v>
      </c>
      <c r="AF3652">
        <v>7.1091287024297498E-2</v>
      </c>
      <c r="AG3652">
        <v>-7.3697000000000096E-2</v>
      </c>
      <c r="AH3652">
        <v>0.59896455234614598</v>
      </c>
      <c r="AI3652">
        <v>96.966045923256004</v>
      </c>
      <c r="AJ3652">
        <v>83.2312126155052</v>
      </c>
      <c r="AK3652">
        <v>0.60765430457373604</v>
      </c>
    </row>
    <row r="3653" spans="1:37" x14ac:dyDescent="0.2">
      <c r="A3653" t="str">
        <f>"20200111154138753"</f>
        <v>20200111154138753</v>
      </c>
      <c r="B3653" t="str">
        <f>"1578728498739950"</f>
        <v>1578728498739950</v>
      </c>
      <c r="C3653" t="s">
        <v>37</v>
      </c>
      <c r="D3653">
        <v>5.6669929999999997</v>
      </c>
      <c r="E3653">
        <v>0.56253430000000004</v>
      </c>
      <c r="F3653" t="s">
        <v>38</v>
      </c>
      <c r="G3653">
        <v>-422.20049999999998</v>
      </c>
      <c r="H3653">
        <v>1.037312</v>
      </c>
      <c r="I3653">
        <v>80.417190000000005</v>
      </c>
      <c r="J3653">
        <v>-422.11869999999999</v>
      </c>
      <c r="K3653">
        <v>1.108779</v>
      </c>
      <c r="L3653">
        <v>80.979799999999997</v>
      </c>
      <c r="M3653">
        <v>-2.0447130000000001E-2</v>
      </c>
      <c r="N3653">
        <v>0</v>
      </c>
      <c r="O3653">
        <v>-0.999691</v>
      </c>
      <c r="P3653">
        <v>7.2009500000000004E-2</v>
      </c>
      <c r="Q3653">
        <v>4.030334E-2</v>
      </c>
      <c r="R3653">
        <v>-0.99658969999999902</v>
      </c>
      <c r="S3653">
        <v>-0.28952030000000001</v>
      </c>
      <c r="T3653">
        <v>-0.22866799999999901</v>
      </c>
      <c r="U3653">
        <v>-3.040924</v>
      </c>
      <c r="V3653">
        <v>-9.2156189999999999E-2</v>
      </c>
      <c r="W3653">
        <v>5.474101E-2</v>
      </c>
      <c r="X3653">
        <v>0.99423869999999903</v>
      </c>
      <c r="Y3653">
        <v>7.4137750000000002E-2</v>
      </c>
      <c r="Z3653">
        <v>7.4690699999999999E-2</v>
      </c>
      <c r="AA3653">
        <v>0.99444709999999903</v>
      </c>
      <c r="AB3653">
        <v>38</v>
      </c>
      <c r="AC3653">
        <v>-8.1799999999986994E-2</v>
      </c>
      <c r="AD3653">
        <v>-7.14670000000001E-2</v>
      </c>
      <c r="AE3653">
        <v>-0.56260999999999195</v>
      </c>
      <c r="AF3653">
        <v>6.9184730846630196E-2</v>
      </c>
      <c r="AG3653">
        <v>-7.14670000000001E-2</v>
      </c>
      <c r="AH3653">
        <v>0.55538885977941099</v>
      </c>
      <c r="AI3653">
        <v>97.276848896045905</v>
      </c>
      <c r="AJ3653">
        <v>82.899249121005099</v>
      </c>
      <c r="AK3653">
        <v>0.564225880865452</v>
      </c>
    </row>
    <row r="3654" spans="1:37" x14ac:dyDescent="0.2">
      <c r="A3654" t="str">
        <f>"20200111154138776"</f>
        <v>20200111154138776</v>
      </c>
      <c r="B3654" t="str">
        <f>"1578728498770206"</f>
        <v>1578728498770206</v>
      </c>
      <c r="C3654" t="s">
        <v>37</v>
      </c>
      <c r="D3654">
        <v>5.6570029999999996</v>
      </c>
      <c r="E3654">
        <v>0.56240140000000005</v>
      </c>
      <c r="F3654" t="s">
        <v>38</v>
      </c>
      <c r="G3654">
        <v>-422.20690000000002</v>
      </c>
      <c r="H3654">
        <v>1.0412920000000001</v>
      </c>
      <c r="I3654">
        <v>80.072990000000004</v>
      </c>
      <c r="J3654">
        <v>-422.12810000000002</v>
      </c>
      <c r="K3654">
        <v>1.1088209999999901</v>
      </c>
      <c r="L3654">
        <v>80.587159999999997</v>
      </c>
      <c r="M3654">
        <v>-2.1958620000000002E-2</v>
      </c>
      <c r="N3654">
        <v>0</v>
      </c>
      <c r="O3654">
        <v>-0.99965890000000002</v>
      </c>
      <c r="P3654">
        <v>7.0722030000000005E-2</v>
      </c>
      <c r="Q3654">
        <v>4.0931710000000003E-2</v>
      </c>
      <c r="R3654">
        <v>-0.99665599999999999</v>
      </c>
      <c r="S3654">
        <v>-0.29476929999999901</v>
      </c>
      <c r="T3654">
        <v>-0.2262371</v>
      </c>
      <c r="U3654">
        <v>-3.0407099999999998</v>
      </c>
      <c r="V3654">
        <v>-9.2377769999999998E-2</v>
      </c>
      <c r="W3654">
        <v>5.5357580000000003E-2</v>
      </c>
      <c r="X3654">
        <v>0.99418399999999996</v>
      </c>
      <c r="Y3654">
        <v>7.4343199999999998E-2</v>
      </c>
      <c r="Z3654">
        <v>7.3896009999999998E-2</v>
      </c>
      <c r="AA3654">
        <v>0.99449100000000001</v>
      </c>
      <c r="AB3654">
        <v>38</v>
      </c>
      <c r="AC3654">
        <v>-7.8800000000000994E-2</v>
      </c>
      <c r="AD3654">
        <v>-6.75289999999997E-2</v>
      </c>
      <c r="AE3654">
        <v>-0.51416999999999202</v>
      </c>
      <c r="AF3654">
        <v>6.6370837004245703E-2</v>
      </c>
      <c r="AG3654">
        <v>-6.75289999999997E-2</v>
      </c>
      <c r="AH3654">
        <v>0.50722805183598596</v>
      </c>
      <c r="AI3654">
        <v>97.520026550027296</v>
      </c>
      <c r="AJ3654">
        <v>82.5451958936126</v>
      </c>
      <c r="AK3654">
        <v>0.51598987433376398</v>
      </c>
    </row>
    <row r="3655" spans="1:37" x14ac:dyDescent="0.2">
      <c r="A3655" t="str">
        <f>"20200111154138797"</f>
        <v>20200111154138797</v>
      </c>
      <c r="B3655" t="str">
        <f>"1578728498789733"</f>
        <v>1578728498789733</v>
      </c>
      <c r="C3655" t="s">
        <v>37</v>
      </c>
      <c r="D3655">
        <v>5.3817779999999997</v>
      </c>
      <c r="E3655">
        <v>0.51077899999999998</v>
      </c>
      <c r="F3655" t="s">
        <v>38</v>
      </c>
      <c r="G3655">
        <v>-422.21230000000003</v>
      </c>
      <c r="H3655">
        <v>1.046378</v>
      </c>
      <c r="I3655">
        <v>79.726819999999904</v>
      </c>
      <c r="J3655">
        <v>-422.13780000000003</v>
      </c>
      <c r="K3655">
        <v>1.108867</v>
      </c>
      <c r="L3655">
        <v>80.203980000000001</v>
      </c>
      <c r="M3655">
        <v>-2.337914E-2</v>
      </c>
      <c r="N3655">
        <v>0</v>
      </c>
      <c r="O3655">
        <v>-0.99962700000000004</v>
      </c>
      <c r="P3655">
        <v>6.9623370000000004E-2</v>
      </c>
      <c r="Q3655">
        <v>4.1524440000000003E-2</v>
      </c>
      <c r="R3655">
        <v>-0.99670919999999896</v>
      </c>
      <c r="S3655">
        <v>-0.29757689999999998</v>
      </c>
      <c r="T3655">
        <v>-0.22065370000000001</v>
      </c>
      <c r="U3655">
        <v>-3.040222</v>
      </c>
      <c r="V3655">
        <v>-9.269761E-2</v>
      </c>
      <c r="W3655">
        <v>5.5937470000000003E-2</v>
      </c>
      <c r="X3655">
        <v>0.99412180000000006</v>
      </c>
      <c r="Y3655">
        <v>7.3864139999999995E-2</v>
      </c>
      <c r="Z3655">
        <v>7.2087979999999996E-2</v>
      </c>
      <c r="AA3655">
        <v>0.99465939999999997</v>
      </c>
      <c r="AB3655">
        <v>38</v>
      </c>
      <c r="AC3655">
        <v>-7.4500000000000399E-2</v>
      </c>
      <c r="AD3655">
        <v>-6.2489000000000003E-2</v>
      </c>
      <c r="AE3655">
        <v>-0.47716000000001202</v>
      </c>
      <c r="AF3655">
        <v>6.2280207126613897E-2</v>
      </c>
      <c r="AG3655">
        <v>-6.2489000000000003E-2</v>
      </c>
      <c r="AH3655">
        <v>0.47088765569280799</v>
      </c>
      <c r="AI3655">
        <v>97.494733850181802</v>
      </c>
      <c r="AJ3655">
        <v>82.465715942486696</v>
      </c>
      <c r="AK3655">
        <v>0.47908129122791099</v>
      </c>
    </row>
    <row r="3656" spans="1:37" x14ac:dyDescent="0.2">
      <c r="A3656" t="str">
        <f>"20200111154138819"</f>
        <v>20200111154138819</v>
      </c>
      <c r="B3656" t="str">
        <f>"1578728498810222"</f>
        <v>1578728498810222</v>
      </c>
      <c r="C3656" t="s">
        <v>37</v>
      </c>
      <c r="D3656">
        <v>5.5494139999999996</v>
      </c>
      <c r="E3656">
        <v>0.50113069999999904</v>
      </c>
      <c r="F3656" t="s">
        <v>39</v>
      </c>
      <c r="G3656">
        <v>-421.25790000000001</v>
      </c>
      <c r="H3656" s="1">
        <v>-3.3546879999999999E-6</v>
      </c>
      <c r="I3656">
        <v>56.628799999999998</v>
      </c>
      <c r="J3656">
        <v>-422.14769999999999</v>
      </c>
      <c r="K3656">
        <v>1.108919</v>
      </c>
      <c r="L3656">
        <v>79.836269999999999</v>
      </c>
      <c r="M3656">
        <v>-2.4685530000000001E-2</v>
      </c>
      <c r="N3656">
        <v>0</v>
      </c>
      <c r="O3656">
        <v>-0.99959549999999997</v>
      </c>
      <c r="P3656">
        <v>6.8603730000000002E-2</v>
      </c>
      <c r="Q3656">
        <v>4.1498590000000002E-2</v>
      </c>
      <c r="R3656">
        <v>-0.99678099999999903</v>
      </c>
      <c r="S3656">
        <v>0.11227419999999901</v>
      </c>
      <c r="T3656">
        <v>-0.14147970000000001</v>
      </c>
      <c r="U3656">
        <v>-3.0079349999999998</v>
      </c>
      <c r="V3656">
        <v>-9.2986979999999997E-2</v>
      </c>
      <c r="W3656">
        <v>5.5897959999999997E-2</v>
      </c>
      <c r="X3656">
        <v>0.99409699999999901</v>
      </c>
      <c r="Y3656">
        <v>-6.1918380000000002E-2</v>
      </c>
      <c r="Z3656">
        <v>4.6900699999999997E-2</v>
      </c>
      <c r="AA3656">
        <v>0.99697860000000005</v>
      </c>
      <c r="AB3656">
        <v>38</v>
      </c>
      <c r="AC3656">
        <v>0.88979999999997905</v>
      </c>
      <c r="AD3656">
        <v>-1.108922354688</v>
      </c>
      <c r="AE3656">
        <v>-23.207470000000001</v>
      </c>
      <c r="AF3656">
        <v>-1.45914797615187</v>
      </c>
      <c r="AG3656">
        <v>-1.108922354688</v>
      </c>
      <c r="AH3656">
        <v>23.125705668258401</v>
      </c>
      <c r="AI3656">
        <v>92.739900396942502</v>
      </c>
      <c r="AJ3656">
        <v>93.610369376550096</v>
      </c>
      <c r="AK3656">
        <v>23.198212954017599</v>
      </c>
    </row>
    <row r="3657" spans="1:37" x14ac:dyDescent="0.2">
      <c r="A3657" t="str">
        <f>"20200111154138842"</f>
        <v>20200111154138842</v>
      </c>
      <c r="B3657" t="str">
        <f>"1578728498829742"</f>
        <v>1578728498829742</v>
      </c>
      <c r="C3657" t="s">
        <v>37</v>
      </c>
      <c r="D3657">
        <v>5.3541470000000002</v>
      </c>
      <c r="E3657">
        <v>0.4984249</v>
      </c>
      <c r="F3657" t="s">
        <v>39</v>
      </c>
      <c r="G3657">
        <v>-421.05669999999998</v>
      </c>
      <c r="H3657" s="1">
        <v>-1.3285569999999999E-6</v>
      </c>
      <c r="I3657">
        <v>62.030630000000002</v>
      </c>
      <c r="J3657">
        <v>-422.15859999999998</v>
      </c>
      <c r="K3657">
        <v>1.1089789999999999</v>
      </c>
      <c r="L3657">
        <v>79.445189999999997</v>
      </c>
      <c r="M3657">
        <v>-2.6007760000000001E-2</v>
      </c>
      <c r="N3657">
        <v>0</v>
      </c>
      <c r="O3657">
        <v>-0.99956179999999994</v>
      </c>
      <c r="P3657">
        <v>6.7079130000000001E-2</v>
      </c>
      <c r="Q3657">
        <v>4.0793980000000001E-2</v>
      </c>
      <c r="R3657">
        <v>-0.9969133</v>
      </c>
      <c r="S3657">
        <v>0.18411250000000001</v>
      </c>
      <c r="T3657">
        <v>-0.18713579999999999</v>
      </c>
      <c r="U3657">
        <v>-3.004791</v>
      </c>
      <c r="V3657">
        <v>-9.2793029999999999E-2</v>
      </c>
      <c r="W3657">
        <v>5.5176660000000002E-2</v>
      </c>
      <c r="X3657">
        <v>0.99415540000000002</v>
      </c>
      <c r="Y3657">
        <v>-8.6981680000000006E-2</v>
      </c>
      <c r="Z3657">
        <v>6.1951480000000003E-2</v>
      </c>
      <c r="AA3657">
        <v>0.99428179999999999</v>
      </c>
      <c r="AB3657">
        <v>38</v>
      </c>
      <c r="AC3657">
        <v>1.1019000000000001</v>
      </c>
      <c r="AD3657">
        <v>-1.1089803285569999</v>
      </c>
      <c r="AE3657">
        <v>-17.414559999999899</v>
      </c>
      <c r="AF3657">
        <v>-1.5482326424984401</v>
      </c>
      <c r="AG3657">
        <v>-1.1089803285569999</v>
      </c>
      <c r="AH3657">
        <v>17.3100897484548</v>
      </c>
      <c r="AI3657">
        <v>93.651140409335497</v>
      </c>
      <c r="AJ3657">
        <v>95.110994952575695</v>
      </c>
      <c r="AK3657">
        <v>17.41453613462</v>
      </c>
    </row>
    <row r="3658" spans="1:37" x14ac:dyDescent="0.2">
      <c r="A3658" t="str">
        <f>"20200111154138865"</f>
        <v>20200111154138865</v>
      </c>
      <c r="B3658" t="str">
        <f>"1578728498859999"</f>
        <v>1578728498859999</v>
      </c>
      <c r="C3658" t="s">
        <v>37</v>
      </c>
      <c r="D3658">
        <v>5.6815100000000003</v>
      </c>
      <c r="E3658">
        <v>0.49831639999999999</v>
      </c>
      <c r="F3658" t="s">
        <v>39</v>
      </c>
      <c r="G3658">
        <v>-421.0856</v>
      </c>
      <c r="H3658" s="1">
        <v>-1.8967819999999999E-6</v>
      </c>
      <c r="I3658">
        <v>63.337249999999997</v>
      </c>
      <c r="J3658">
        <v>-422.16980000000001</v>
      </c>
      <c r="K3658">
        <v>1.1090439999999999</v>
      </c>
      <c r="L3658">
        <v>79.061040000000006</v>
      </c>
      <c r="M3658">
        <v>-2.7224729999999999E-2</v>
      </c>
      <c r="N3658">
        <v>0</v>
      </c>
      <c r="O3658">
        <v>-0.99952960000000002</v>
      </c>
      <c r="P3658">
        <v>6.6221279999999993E-2</v>
      </c>
      <c r="Q3658">
        <v>4.03313E-2</v>
      </c>
      <c r="R3658">
        <v>-0.99698969999999898</v>
      </c>
      <c r="S3658">
        <v>0.20013429999999999</v>
      </c>
      <c r="T3658">
        <v>-0.20683470000000001</v>
      </c>
      <c r="U3658">
        <v>-3.0042719999999998</v>
      </c>
      <c r="V3658">
        <v>-9.3159560000000002E-2</v>
      </c>
      <c r="W3658">
        <v>5.4696259999999997E-2</v>
      </c>
      <c r="X3658">
        <v>0.99414769999999897</v>
      </c>
      <c r="Y3658">
        <v>-9.3455849999999993E-2</v>
      </c>
      <c r="Z3658">
        <v>6.8420250000000002E-2</v>
      </c>
      <c r="AA3658">
        <v>0.99326970000000003</v>
      </c>
      <c r="AB3658">
        <v>38</v>
      </c>
      <c r="AC3658">
        <v>1.0842000000000001</v>
      </c>
      <c r="AD3658">
        <v>-1.1090458967820001</v>
      </c>
      <c r="AE3658">
        <v>-15.723789999999999</v>
      </c>
      <c r="AF3658">
        <v>-1.50446750772749</v>
      </c>
      <c r="AG3658">
        <v>-1.1090458967820001</v>
      </c>
      <c r="AH3658">
        <v>15.61114422176</v>
      </c>
      <c r="AI3658">
        <v>94.044898666534394</v>
      </c>
      <c r="AJ3658">
        <v>95.504673877711497</v>
      </c>
      <c r="AK3658">
        <v>15.722634295676</v>
      </c>
    </row>
    <row r="3659" spans="1:37" x14ac:dyDescent="0.2">
      <c r="A3659" t="str">
        <f>"20200111154138889"</f>
        <v>20200111154138889</v>
      </c>
      <c r="B3659" t="str">
        <f>"1578728498879518"</f>
        <v>1578728498879518</v>
      </c>
      <c r="C3659" t="s">
        <v>37</v>
      </c>
      <c r="D3659">
        <v>5.3707769999999897</v>
      </c>
      <c r="E3659">
        <v>0.49774579999999902</v>
      </c>
      <c r="F3659" t="s">
        <v>39</v>
      </c>
      <c r="G3659">
        <v>-421.13130000000001</v>
      </c>
      <c r="H3659" s="1">
        <v>-1.915756E-6</v>
      </c>
      <c r="I3659">
        <v>63.353110000000001</v>
      </c>
      <c r="J3659">
        <v>-422.18180000000001</v>
      </c>
      <c r="K3659">
        <v>1.1091169999999999</v>
      </c>
      <c r="L3659">
        <v>78.665619999999905</v>
      </c>
      <c r="M3659">
        <v>-2.839119E-2</v>
      </c>
      <c r="N3659">
        <v>0</v>
      </c>
      <c r="O3659">
        <v>-0.99949709999999903</v>
      </c>
      <c r="P3659">
        <v>6.4932420000000005E-2</v>
      </c>
      <c r="Q3659">
        <v>4.0429279999999998E-2</v>
      </c>
      <c r="R3659">
        <v>-0.99707060000000003</v>
      </c>
      <c r="S3659">
        <v>0.19863889999999901</v>
      </c>
      <c r="T3659">
        <v>-0.21212739999999999</v>
      </c>
      <c r="U3659">
        <v>-3.0044559999999998</v>
      </c>
      <c r="V3659">
        <v>-9.3043970000000004E-2</v>
      </c>
      <c r="W3659">
        <v>5.4773380000000003E-2</v>
      </c>
      <c r="X3659">
        <v>0.99415429999999905</v>
      </c>
      <c r="Y3659">
        <v>-9.4113559999999999E-2</v>
      </c>
      <c r="Z3659">
        <v>7.0153779999999999E-2</v>
      </c>
      <c r="AA3659">
        <v>0.99308660000000004</v>
      </c>
      <c r="AB3659">
        <v>38</v>
      </c>
      <c r="AC3659">
        <v>1.05049999999999</v>
      </c>
      <c r="AD3659">
        <v>-1.109118915756</v>
      </c>
      <c r="AE3659">
        <v>-15.3125099999999</v>
      </c>
      <c r="AF3659">
        <v>-1.4771467611584199</v>
      </c>
      <c r="AG3659">
        <v>-1.109118915756</v>
      </c>
      <c r="AH3659">
        <v>15.197150990972901</v>
      </c>
      <c r="AI3659">
        <v>94.154651068078806</v>
      </c>
      <c r="AJ3659">
        <v>95.551648777791797</v>
      </c>
      <c r="AK3659">
        <v>15.309000802329299</v>
      </c>
    </row>
    <row r="3660" spans="1:37" x14ac:dyDescent="0.2">
      <c r="A3660" t="str">
        <f>"20200111154138911"</f>
        <v>20200111154138911</v>
      </c>
      <c r="B3660" t="str">
        <f>"1578728498900014"</f>
        <v>1578728498900014</v>
      </c>
      <c r="C3660" t="s">
        <v>37</v>
      </c>
      <c r="D3660">
        <v>5.1132390000000001</v>
      </c>
      <c r="E3660">
        <v>0.49637299999999901</v>
      </c>
      <c r="F3660" t="s">
        <v>39</v>
      </c>
      <c r="G3660">
        <v>-421.1619</v>
      </c>
      <c r="H3660" s="1">
        <v>-1.879968E-6</v>
      </c>
      <c r="I3660">
        <v>63.250719999999902</v>
      </c>
      <c r="J3660">
        <v>-422.19369999999998</v>
      </c>
      <c r="K3660">
        <v>1.109192</v>
      </c>
      <c r="L3660">
        <v>78.283169999999998</v>
      </c>
      <c r="M3660">
        <v>-2.9447569999999999E-2</v>
      </c>
      <c r="N3660">
        <v>0</v>
      </c>
      <c r="O3660">
        <v>-0.99946650000000004</v>
      </c>
      <c r="P3660">
        <v>6.356879E-2</v>
      </c>
      <c r="Q3660">
        <v>4.0625229999999998E-2</v>
      </c>
      <c r="R3660">
        <v>-0.99715039999999999</v>
      </c>
      <c r="S3660">
        <v>0.19879150000000001</v>
      </c>
      <c r="T3660">
        <v>-0.21618699999999999</v>
      </c>
      <c r="U3660">
        <v>-3.0046390000000001</v>
      </c>
      <c r="V3660">
        <v>-9.2743469999999995E-2</v>
      </c>
      <c r="W3660">
        <v>5.4949560000000001E-2</v>
      </c>
      <c r="X3660">
        <v>0.99417259999999996</v>
      </c>
      <c r="Y3660">
        <v>-9.5205730000000002E-2</v>
      </c>
      <c r="Z3660">
        <v>7.1478079999999999E-2</v>
      </c>
      <c r="AA3660">
        <v>0.99288809999999905</v>
      </c>
      <c r="AB3660">
        <v>38</v>
      </c>
      <c r="AC3660">
        <v>1.0317999999999701</v>
      </c>
      <c r="AD3660">
        <v>-1.1091938799679999</v>
      </c>
      <c r="AE3660">
        <v>-15.032450000000001</v>
      </c>
      <c r="AF3660">
        <v>-1.4661209272001099</v>
      </c>
      <c r="AG3660">
        <v>-1.1091938799679999</v>
      </c>
      <c r="AH3660">
        <v>14.9147205451535</v>
      </c>
      <c r="AI3660">
        <v>94.232876991579104</v>
      </c>
      <c r="AJ3660">
        <v>95.6141533825148</v>
      </c>
      <c r="AK3660">
        <v>15.027598297018599</v>
      </c>
    </row>
    <row r="3661" spans="1:37" x14ac:dyDescent="0.2">
      <c r="A3661" t="str">
        <f>"20200111154138932"</f>
        <v>20200111154138932</v>
      </c>
      <c r="B3661" t="str">
        <f>"1578728498919535"</f>
        <v>1578728498919535</v>
      </c>
      <c r="C3661" t="s">
        <v>37</v>
      </c>
      <c r="D3661">
        <v>5.3652150000000001</v>
      </c>
      <c r="E3661">
        <v>0.49632589999999999</v>
      </c>
      <c r="F3661" t="s">
        <v>39</v>
      </c>
      <c r="G3661">
        <v>-421.17329999999998</v>
      </c>
      <c r="H3661" s="1">
        <v>-1.9223869999999999E-6</v>
      </c>
      <c r="I3661">
        <v>63.34254</v>
      </c>
      <c r="J3661">
        <v>-422.20510000000002</v>
      </c>
      <c r="K3661">
        <v>1.1092660000000001</v>
      </c>
      <c r="L3661">
        <v>77.924899999999994</v>
      </c>
      <c r="M3661">
        <v>-3.036411E-2</v>
      </c>
      <c r="N3661">
        <v>0</v>
      </c>
      <c r="O3661">
        <v>-0.99943930000000003</v>
      </c>
      <c r="P3661">
        <v>6.3066330000000004E-2</v>
      </c>
      <c r="Q3661">
        <v>4.0530160000000003E-2</v>
      </c>
      <c r="R3661">
        <v>-0.99718619999999902</v>
      </c>
      <c r="S3661">
        <v>0.2052002</v>
      </c>
      <c r="T3661">
        <v>-0.223057899999999</v>
      </c>
      <c r="U3661">
        <v>-3.0045470000000001</v>
      </c>
      <c r="V3661">
        <v>-9.3164529999999995E-2</v>
      </c>
      <c r="W3661">
        <v>5.4836240000000001E-2</v>
      </c>
      <c r="X3661">
        <v>0.99413949999999995</v>
      </c>
      <c r="Y3661">
        <v>-9.8217280000000004E-2</v>
      </c>
      <c r="Z3661">
        <v>7.3720690000000005E-2</v>
      </c>
      <c r="AA3661">
        <v>0.992430699999999</v>
      </c>
      <c r="AB3661">
        <v>38</v>
      </c>
      <c r="AC3661">
        <v>1.03180000000003</v>
      </c>
      <c r="AD3661">
        <v>-1.1092679223869999</v>
      </c>
      <c r="AE3661">
        <v>-14.5823599999999</v>
      </c>
      <c r="AF3661">
        <v>-1.46570951299964</v>
      </c>
      <c r="AG3661">
        <v>-1.1092679223869999</v>
      </c>
      <c r="AH3661">
        <v>14.461039778607701</v>
      </c>
      <c r="AI3661">
        <v>94.364145069939397</v>
      </c>
      <c r="AJ3661">
        <v>95.787492348796206</v>
      </c>
      <c r="AK3661">
        <v>14.5773952124036</v>
      </c>
    </row>
    <row r="3662" spans="1:37" x14ac:dyDescent="0.2">
      <c r="A3662" t="str">
        <f>"20200111154138954"</f>
        <v>20200111154138954</v>
      </c>
      <c r="B3662" t="str">
        <f>"1578728498949789"</f>
        <v>1578728498949789</v>
      </c>
      <c r="C3662" t="s">
        <v>37</v>
      </c>
      <c r="D3662">
        <v>5.4021839999999903</v>
      </c>
      <c r="E3662">
        <v>0.4964789</v>
      </c>
      <c r="F3662" t="s">
        <v>39</v>
      </c>
      <c r="G3662">
        <v>-421.20499999999998</v>
      </c>
      <c r="H3662" s="1">
        <v>-1.854054E-6</v>
      </c>
      <c r="I3662">
        <v>63.163589999999999</v>
      </c>
      <c r="J3662">
        <v>-422.2174</v>
      </c>
      <c r="K3662">
        <v>1.1093469999999901</v>
      </c>
      <c r="L3662">
        <v>77.549800000000005</v>
      </c>
      <c r="M3662">
        <v>-3.1236E-2</v>
      </c>
      <c r="N3662">
        <v>0</v>
      </c>
      <c r="O3662">
        <v>-0.99941239999999998</v>
      </c>
      <c r="P3662">
        <v>6.235715E-2</v>
      </c>
      <c r="Q3662">
        <v>4.02473E-2</v>
      </c>
      <c r="R3662">
        <v>-0.99724199999999996</v>
      </c>
      <c r="S3662">
        <v>0.20358280000000001</v>
      </c>
      <c r="T3662">
        <v>-0.22579869999999999</v>
      </c>
      <c r="U3662">
        <v>-3.0047609999999998</v>
      </c>
      <c r="V3662">
        <v>-9.3336749999999996E-2</v>
      </c>
      <c r="W3662">
        <v>5.4531990000000002E-2</v>
      </c>
      <c r="X3662">
        <v>0.99414009999999997</v>
      </c>
      <c r="Y3662">
        <v>-9.8544350000000003E-2</v>
      </c>
      <c r="Z3662">
        <v>7.4613349999999995E-2</v>
      </c>
      <c r="AA3662">
        <v>0.99233150000000003</v>
      </c>
      <c r="AB3662">
        <v>38</v>
      </c>
      <c r="AC3662">
        <v>1.01240000000001</v>
      </c>
      <c r="AD3662">
        <v>-1.109348854054</v>
      </c>
      <c r="AE3662">
        <v>-14.38621</v>
      </c>
      <c r="AF3662">
        <v>-1.4527226104167399</v>
      </c>
      <c r="AG3662">
        <v>-1.109348854054</v>
      </c>
      <c r="AH3662">
        <v>14.2631677155034</v>
      </c>
      <c r="AI3662">
        <v>94.424551708077203</v>
      </c>
      <c r="AJ3662">
        <v>95.815596970683004</v>
      </c>
      <c r="AK3662">
        <v>14.3798126254617</v>
      </c>
    </row>
    <row r="3663" spans="1:37" x14ac:dyDescent="0.2">
      <c r="A3663" t="str">
        <f>"20200111154138977"</f>
        <v>20200111154138977</v>
      </c>
      <c r="B3663" t="str">
        <f>"1578728498970285"</f>
        <v>1578728498970285</v>
      </c>
      <c r="C3663" t="s">
        <v>37</v>
      </c>
      <c r="D3663">
        <v>5.4185739999999996</v>
      </c>
      <c r="E3663">
        <v>0.496772099999999</v>
      </c>
      <c r="F3663" t="s">
        <v>39</v>
      </c>
      <c r="G3663">
        <v>-421.24439999999998</v>
      </c>
      <c r="H3663" s="1">
        <v>-1.772578E-6</v>
      </c>
      <c r="I3663">
        <v>62.94923</v>
      </c>
      <c r="J3663">
        <v>-422.23039999999997</v>
      </c>
      <c r="K3663">
        <v>1.1094379999999999</v>
      </c>
      <c r="L3663">
        <v>77.16019</v>
      </c>
      <c r="M3663">
        <v>-3.2041939999999998E-2</v>
      </c>
      <c r="N3663">
        <v>0</v>
      </c>
      <c r="O3663">
        <v>-0.99938700000000003</v>
      </c>
      <c r="P3663">
        <v>6.2279840000000003E-2</v>
      </c>
      <c r="Q3663">
        <v>3.9191379999999998E-2</v>
      </c>
      <c r="R3663">
        <v>-0.99728909999999904</v>
      </c>
      <c r="S3663">
        <v>0.2002563</v>
      </c>
      <c r="T3663">
        <v>-0.22831959999999901</v>
      </c>
      <c r="U3663">
        <v>-3.0050050000000001</v>
      </c>
      <c r="V3663">
        <v>-9.4077450000000007E-2</v>
      </c>
      <c r="W3663">
        <v>5.3453529999999999E-2</v>
      </c>
      <c r="X3663">
        <v>0.99412880000000003</v>
      </c>
      <c r="Y3663">
        <v>-9.8243739999999996E-2</v>
      </c>
      <c r="Z3663">
        <v>7.5436550000000005E-2</v>
      </c>
      <c r="AA3663">
        <v>0.99229909999999999</v>
      </c>
      <c r="AB3663">
        <v>38</v>
      </c>
      <c r="AC3663">
        <v>0.98599999999999</v>
      </c>
      <c r="AD3663">
        <v>-1.1094397725780001</v>
      </c>
      <c r="AE3663">
        <v>-14.210959999999901</v>
      </c>
      <c r="AF3663">
        <v>-1.4321984738240301</v>
      </c>
      <c r="AG3663">
        <v>-1.1094397725780001</v>
      </c>
      <c r="AH3663">
        <v>14.086621041605801</v>
      </c>
      <c r="AI3663">
        <v>94.480226755357094</v>
      </c>
      <c r="AJ3663">
        <v>95.805361127355596</v>
      </c>
      <c r="AK3663">
        <v>14.202638538215799</v>
      </c>
    </row>
    <row r="3664" spans="1:37" x14ac:dyDescent="0.2">
      <c r="A3664" t="str">
        <f>"20200111154138998"</f>
        <v>20200111154138998</v>
      </c>
      <c r="B3664" t="str">
        <f>"1578728498989806"</f>
        <v>1578728498989806</v>
      </c>
      <c r="C3664" t="s">
        <v>37</v>
      </c>
      <c r="D3664">
        <v>5.3893949999999897</v>
      </c>
      <c r="E3664">
        <v>0.49660949999999998</v>
      </c>
      <c r="F3664" t="s">
        <v>39</v>
      </c>
      <c r="G3664">
        <v>-421.2765</v>
      </c>
      <c r="H3664" s="1">
        <v>-1.642986E-6</v>
      </c>
      <c r="I3664">
        <v>62.62724</v>
      </c>
      <c r="J3664">
        <v>-422.24299999999999</v>
      </c>
      <c r="K3664">
        <v>1.109524</v>
      </c>
      <c r="L3664">
        <v>76.788390000000007</v>
      </c>
      <c r="M3664">
        <v>-3.2717320000000001E-2</v>
      </c>
      <c r="N3664">
        <v>0</v>
      </c>
      <c r="O3664">
        <v>-0.99936510000000001</v>
      </c>
      <c r="P3664">
        <v>6.2569009999999994E-2</v>
      </c>
      <c r="Q3664">
        <v>3.818208E-2</v>
      </c>
      <c r="R3664">
        <v>-0.99731019999999904</v>
      </c>
      <c r="S3664">
        <v>0.1972351</v>
      </c>
      <c r="T3664">
        <v>-0.22938929999999999</v>
      </c>
      <c r="U3664">
        <v>-3.0048520000000001</v>
      </c>
      <c r="V3664">
        <v>-9.5053929999999995E-2</v>
      </c>
      <c r="W3664">
        <v>5.2421669999999997E-2</v>
      </c>
      <c r="X3664">
        <v>0.9940909</v>
      </c>
      <c r="Y3664">
        <v>-9.7924449999999996E-2</v>
      </c>
      <c r="Z3664">
        <v>7.579292E-2</v>
      </c>
      <c r="AA3664">
        <v>0.9923035</v>
      </c>
      <c r="AB3664">
        <v>38</v>
      </c>
      <c r="AC3664">
        <v>0.96650000000005298</v>
      </c>
      <c r="AD3664">
        <v>-1.1095256429860001</v>
      </c>
      <c r="AE3664">
        <v>-14.161149999999999</v>
      </c>
      <c r="AF3664">
        <v>-1.4206628405870201</v>
      </c>
      <c r="AG3664">
        <v>-1.1095256429860001</v>
      </c>
      <c r="AH3664">
        <v>14.036178181638901</v>
      </c>
      <c r="AI3664">
        <v>94.496813614542106</v>
      </c>
      <c r="AJ3664">
        <v>95.779473835559699</v>
      </c>
      <c r="AK3664">
        <v>14.1514532118007</v>
      </c>
    </row>
    <row r="3665" spans="1:37" x14ac:dyDescent="0.2">
      <c r="A3665" t="str">
        <f>"20200111154139021"</f>
        <v>20200111154139021</v>
      </c>
      <c r="B3665" t="str">
        <f>"1578728499010302"</f>
        <v>1578728499010302</v>
      </c>
      <c r="C3665" t="s">
        <v>37</v>
      </c>
      <c r="D3665">
        <v>5.3504069999999997</v>
      </c>
      <c r="E3665">
        <v>0.49656679999999997</v>
      </c>
      <c r="F3665" t="s">
        <v>39</v>
      </c>
      <c r="G3665">
        <v>-421.2987</v>
      </c>
      <c r="H3665" s="1">
        <v>-1.5926560000000001E-6</v>
      </c>
      <c r="I3665">
        <v>62.496119999999998</v>
      </c>
      <c r="J3665">
        <v>-422.25569999999999</v>
      </c>
      <c r="K3665">
        <v>1.1096090000000001</v>
      </c>
      <c r="L3665">
        <v>76.419219999999996</v>
      </c>
      <c r="M3665">
        <v>-3.3306589999999997E-2</v>
      </c>
      <c r="N3665">
        <v>0</v>
      </c>
      <c r="O3665">
        <v>-0.99934579999999995</v>
      </c>
      <c r="P3665">
        <v>6.3554340000000001E-2</v>
      </c>
      <c r="Q3665">
        <v>3.7670160000000001E-2</v>
      </c>
      <c r="R3665">
        <v>-0.99726749999999997</v>
      </c>
      <c r="S3665">
        <v>0.19851679999999999</v>
      </c>
      <c r="T3665">
        <v>-0.23324879999999901</v>
      </c>
      <c r="U3665">
        <v>-3.004578</v>
      </c>
      <c r="V3665">
        <v>-9.663592E-2</v>
      </c>
      <c r="W3665">
        <v>5.1886920000000003E-2</v>
      </c>
      <c r="X3665">
        <v>0.99396640000000003</v>
      </c>
      <c r="Y3665">
        <v>-9.8932160000000005E-2</v>
      </c>
      <c r="Z3665">
        <v>7.7060409999999996E-2</v>
      </c>
      <c r="AA3665">
        <v>0.99210589999999999</v>
      </c>
      <c r="AB3665">
        <v>38</v>
      </c>
      <c r="AC3665">
        <v>0.95699999999999297</v>
      </c>
      <c r="AD3665">
        <v>-1.109610592656</v>
      </c>
      <c r="AE3665">
        <v>-13.9230999999999</v>
      </c>
      <c r="AF3665">
        <v>-1.4113242506882899</v>
      </c>
      <c r="AG3665">
        <v>-1.109610592656</v>
      </c>
      <c r="AH3665">
        <v>13.796282461416199</v>
      </c>
      <c r="AI3665">
        <v>94.574528952947006</v>
      </c>
      <c r="AJ3665">
        <v>95.84089306557</v>
      </c>
      <c r="AK3665">
        <v>13.9126015382852</v>
      </c>
    </row>
    <row r="3666" spans="1:37" x14ac:dyDescent="0.2">
      <c r="A3666" t="str">
        <f>"20200111154139042"</f>
        <v>20200111154139042</v>
      </c>
      <c r="B3666" t="str">
        <f>"1578728499039582"</f>
        <v>1578728499039582</v>
      </c>
      <c r="C3666" t="s">
        <v>37</v>
      </c>
      <c r="D3666">
        <v>6.8996839999999997</v>
      </c>
      <c r="E3666">
        <v>0.49641439999999998</v>
      </c>
      <c r="F3666" t="s">
        <v>39</v>
      </c>
      <c r="G3666">
        <v>-421.32499999999999</v>
      </c>
      <c r="H3666" s="1">
        <v>-1.6136760000000001E-6</v>
      </c>
      <c r="I3666">
        <v>62.528849999999998</v>
      </c>
      <c r="J3666">
        <v>-422.26870000000002</v>
      </c>
      <c r="K3666">
        <v>1.1096889999999999</v>
      </c>
      <c r="L3666">
        <v>76.045529999999999</v>
      </c>
      <c r="M3666">
        <v>-3.3836619999999998E-2</v>
      </c>
      <c r="N3666">
        <v>0</v>
      </c>
      <c r="O3666">
        <v>-0.99932790000000005</v>
      </c>
      <c r="P3666">
        <v>6.419996E-2</v>
      </c>
      <c r="Q3666">
        <v>3.7751310000000003E-2</v>
      </c>
      <c r="R3666">
        <v>-0.99722299999999997</v>
      </c>
      <c r="S3666">
        <v>0.20132449999999999</v>
      </c>
      <c r="T3666">
        <v>-0.2400061</v>
      </c>
      <c r="U3666">
        <v>-3.0044559999999998</v>
      </c>
      <c r="V3666">
        <v>-9.7817139999999997E-2</v>
      </c>
      <c r="W3666">
        <v>5.1945959999999999E-2</v>
      </c>
      <c r="X3666">
        <v>0.99384779999999995</v>
      </c>
      <c r="Y3666">
        <v>-0.100373899999999</v>
      </c>
      <c r="Z3666">
        <v>7.9271839999999996E-2</v>
      </c>
      <c r="AA3666">
        <v>0.99178679999999997</v>
      </c>
      <c r="AB3666">
        <v>38</v>
      </c>
      <c r="AC3666">
        <v>0.94370000000003496</v>
      </c>
      <c r="AD3666">
        <v>-1.1096906136759901</v>
      </c>
      <c r="AE3666">
        <v>-13.516679999999999</v>
      </c>
      <c r="AF3666">
        <v>-1.3912322464226301</v>
      </c>
      <c r="AG3666">
        <v>-1.1096906136759901</v>
      </c>
      <c r="AH3666">
        <v>13.387210803291699</v>
      </c>
      <c r="AI3666">
        <v>94.713252191768106</v>
      </c>
      <c r="AJ3666">
        <v>95.933022442720599</v>
      </c>
      <c r="AK3666">
        <v>13.504975139308399</v>
      </c>
    </row>
    <row r="3667" spans="1:37" x14ac:dyDescent="0.2">
      <c r="A3667" t="str">
        <f>"20200111154139065"</f>
        <v>20200111154139065</v>
      </c>
      <c r="B3667" t="str">
        <f>"1578728499060078"</f>
        <v>1578728499060078</v>
      </c>
      <c r="C3667" t="s">
        <v>37</v>
      </c>
      <c r="D3667">
        <v>5.4118180000000002</v>
      </c>
      <c r="E3667">
        <v>0.49633919999999998</v>
      </c>
      <c r="F3667" t="s">
        <v>39</v>
      </c>
      <c r="G3667">
        <v>-421.32040000000001</v>
      </c>
      <c r="H3667" s="1">
        <v>-1.4412150000000001E-6</v>
      </c>
      <c r="I3667">
        <v>62.129689999999997</v>
      </c>
      <c r="J3667">
        <v>-422.28230000000002</v>
      </c>
      <c r="K3667">
        <v>1.109753</v>
      </c>
      <c r="L3667">
        <v>75.661829999999995</v>
      </c>
      <c r="M3667">
        <v>-3.432603E-2</v>
      </c>
      <c r="N3667">
        <v>0</v>
      </c>
      <c r="O3667">
        <v>-0.99931139999999996</v>
      </c>
      <c r="P3667">
        <v>6.4896309999999999E-2</v>
      </c>
      <c r="Q3667">
        <v>3.7802950000000002E-2</v>
      </c>
      <c r="R3667">
        <v>-0.9971759</v>
      </c>
      <c r="S3667">
        <v>0.20474239999999999</v>
      </c>
      <c r="T3667">
        <v>-0.23956720000000001</v>
      </c>
      <c r="U3667">
        <v>-3.0042419999999899</v>
      </c>
      <c r="V3667">
        <v>-9.9006860000000002E-2</v>
      </c>
      <c r="W3667">
        <v>5.1979770000000002E-2</v>
      </c>
      <c r="X3667">
        <v>0.99372819999999995</v>
      </c>
      <c r="Y3667">
        <v>-0.101989699999999</v>
      </c>
      <c r="Z3667">
        <v>7.9121810000000001E-2</v>
      </c>
      <c r="AA3667">
        <v>0.99163389999999996</v>
      </c>
      <c r="AB3667">
        <v>38</v>
      </c>
      <c r="AC3667">
        <v>0.96190000000001397</v>
      </c>
      <c r="AD3667">
        <v>-1.109754441215</v>
      </c>
      <c r="AE3667">
        <v>-13.53214</v>
      </c>
      <c r="AF3667">
        <v>-1.4164057052855199</v>
      </c>
      <c r="AG3667">
        <v>-1.109754441215</v>
      </c>
      <c r="AH3667">
        <v>13.401464629093001</v>
      </c>
      <c r="AI3667">
        <v>94.707672326240797</v>
      </c>
      <c r="AJ3667">
        <v>96.033213872901996</v>
      </c>
      <c r="AK3667">
        <v>13.521723789761101</v>
      </c>
    </row>
    <row r="3668" spans="1:37" x14ac:dyDescent="0.2">
      <c r="A3668" t="str">
        <f>"20200111154139088"</f>
        <v>20200111154139088</v>
      </c>
      <c r="B3668" t="str">
        <f>"1578728499079597"</f>
        <v>1578728499079597</v>
      </c>
      <c r="C3668" t="s">
        <v>37</v>
      </c>
      <c r="D3668">
        <v>5.4331290000000001</v>
      </c>
      <c r="E3668">
        <v>0.49630390000000002</v>
      </c>
      <c r="F3668" t="s">
        <v>39</v>
      </c>
      <c r="G3668">
        <v>-421.31790000000001</v>
      </c>
      <c r="H3668" s="1">
        <v>-1.2384529999999901E-6</v>
      </c>
      <c r="I3668">
        <v>61.658549999999998</v>
      </c>
      <c r="J3668">
        <v>-422.29610000000002</v>
      </c>
      <c r="K3668">
        <v>1.1097950000000001</v>
      </c>
      <c r="L3668">
        <v>75.273589999999999</v>
      </c>
      <c r="M3668">
        <v>-3.4786949999999997E-2</v>
      </c>
      <c r="N3668">
        <v>0</v>
      </c>
      <c r="O3668">
        <v>-0.99929570000000001</v>
      </c>
      <c r="P3668">
        <v>6.6141850000000002E-2</v>
      </c>
      <c r="Q3668">
        <v>3.7559960000000003E-2</v>
      </c>
      <c r="R3668">
        <v>-0.99710359999999998</v>
      </c>
      <c r="S3668">
        <v>0.2068787</v>
      </c>
      <c r="T3668">
        <v>-0.23807049999999999</v>
      </c>
      <c r="U3668">
        <v>-3.0040589999999998</v>
      </c>
      <c r="V3668">
        <v>-0.1007144</v>
      </c>
      <c r="W3668">
        <v>5.1721679999999999E-2</v>
      </c>
      <c r="X3668">
        <v>0.99357009999999901</v>
      </c>
      <c r="Y3668">
        <v>-0.1031571</v>
      </c>
      <c r="Z3668">
        <v>7.8626810000000005E-2</v>
      </c>
      <c r="AA3668">
        <v>0.99155249999999995</v>
      </c>
      <c r="AB3668">
        <v>38</v>
      </c>
      <c r="AC3668">
        <v>0.97820000000001495</v>
      </c>
      <c r="AD3668">
        <v>-1.109796238453</v>
      </c>
      <c r="AE3668">
        <v>-13.61504</v>
      </c>
      <c r="AF3668">
        <v>-1.44175021977392</v>
      </c>
      <c r="AG3668">
        <v>-1.109796238453</v>
      </c>
      <c r="AH3668">
        <v>13.4836367892373</v>
      </c>
      <c r="AI3668">
        <v>94.6786809796439</v>
      </c>
      <c r="AJ3668">
        <v>96.103214563243597</v>
      </c>
      <c r="AK3668">
        <v>13.6058352353384</v>
      </c>
    </row>
    <row r="3669" spans="1:37" x14ac:dyDescent="0.2">
      <c r="A3669" t="str">
        <f>"20200111154139109"</f>
        <v>20200111154139109</v>
      </c>
      <c r="B3669" t="str">
        <f>"1578728499100094"</f>
        <v>1578728499100094</v>
      </c>
      <c r="C3669" t="s">
        <v>37</v>
      </c>
      <c r="D3669">
        <v>5.6526550000000002</v>
      </c>
      <c r="E3669">
        <v>0.4961778</v>
      </c>
      <c r="F3669" t="s">
        <v>39</v>
      </c>
      <c r="G3669">
        <v>-421.31119999999999</v>
      </c>
      <c r="H3669" s="1">
        <v>-1.056194E-6</v>
      </c>
      <c r="I3669">
        <v>61.237839999999998</v>
      </c>
      <c r="J3669">
        <v>-422.3091</v>
      </c>
      <c r="K3669">
        <v>1.1098239999999999</v>
      </c>
      <c r="L3669">
        <v>74.911799999999999</v>
      </c>
      <c r="M3669">
        <v>-3.5199550000000003E-2</v>
      </c>
      <c r="N3669">
        <v>0</v>
      </c>
      <c r="O3669">
        <v>-0.99928099999999997</v>
      </c>
      <c r="P3669">
        <v>6.8023600000000004E-2</v>
      </c>
      <c r="Q3669">
        <v>3.6018300000000003E-2</v>
      </c>
      <c r="R3669">
        <v>-0.99703349999999902</v>
      </c>
      <c r="S3669">
        <v>0.21075439999999901</v>
      </c>
      <c r="T3669">
        <v>-0.23749970000000001</v>
      </c>
      <c r="U3669">
        <v>-3.0036930000000002</v>
      </c>
      <c r="V3669">
        <v>-0.1030097</v>
      </c>
      <c r="W3669">
        <v>5.0169690000000003E-2</v>
      </c>
      <c r="X3669">
        <v>0.99341429999999997</v>
      </c>
      <c r="Y3669">
        <v>-0.10485029999999999</v>
      </c>
      <c r="Z3669">
        <v>7.8436790000000006E-2</v>
      </c>
      <c r="AA3669">
        <v>0.99138999999999999</v>
      </c>
      <c r="AB3669">
        <v>38</v>
      </c>
      <c r="AC3669">
        <v>0.997900000000015</v>
      </c>
      <c r="AD3669">
        <v>-1.109825056194</v>
      </c>
      <c r="AE3669">
        <v>-13.6739599999999</v>
      </c>
      <c r="AF3669">
        <v>-1.4690205896198101</v>
      </c>
      <c r="AG3669">
        <v>-1.109825056194</v>
      </c>
      <c r="AH3669">
        <v>13.5416226724938</v>
      </c>
      <c r="AI3669">
        <v>94.658087125753696</v>
      </c>
      <c r="AJ3669">
        <v>96.191341998594694</v>
      </c>
      <c r="AK3669">
        <v>13.666209341009001</v>
      </c>
    </row>
    <row r="3670" spans="1:37" x14ac:dyDescent="0.2">
      <c r="A3670" t="str">
        <f>"20200111154139133"</f>
        <v>20200111154139133</v>
      </c>
      <c r="B3670" t="str">
        <f>"1578728499119614"</f>
        <v>1578728499119614</v>
      </c>
      <c r="C3670" t="s">
        <v>37</v>
      </c>
      <c r="D3670">
        <v>5.3945869999999996</v>
      </c>
      <c r="E3670">
        <v>0.49605539999999998</v>
      </c>
      <c r="F3670" t="s">
        <v>39</v>
      </c>
      <c r="G3670">
        <v>-421.31</v>
      </c>
      <c r="H3670" s="1">
        <v>-9.8898609999999995E-7</v>
      </c>
      <c r="I3670">
        <v>61.081989999999998</v>
      </c>
      <c r="J3670">
        <v>-422.3229</v>
      </c>
      <c r="K3670">
        <v>1.1098589999999999</v>
      </c>
      <c r="L3670">
        <v>74.534669999999906</v>
      </c>
      <c r="M3670">
        <v>-3.5620909999999999E-2</v>
      </c>
      <c r="N3670">
        <v>0</v>
      </c>
      <c r="O3670">
        <v>-0.99926610000000005</v>
      </c>
      <c r="P3670">
        <v>6.9372110000000001E-2</v>
      </c>
      <c r="Q3670">
        <v>3.6138959999999998E-2</v>
      </c>
      <c r="R3670">
        <v>-0.99693619999999905</v>
      </c>
      <c r="S3670">
        <v>0.21694949999999999</v>
      </c>
      <c r="T3670">
        <v>-0.2409714</v>
      </c>
      <c r="U3670">
        <v>-3.0028079999999999</v>
      </c>
      <c r="V3670">
        <v>-0.1047768</v>
      </c>
      <c r="W3670">
        <v>5.0279699999999997E-2</v>
      </c>
      <c r="X3670">
        <v>0.99322389999999905</v>
      </c>
      <c r="Y3670">
        <v>-0.1073181</v>
      </c>
      <c r="Z3670">
        <v>7.9581239999999998E-2</v>
      </c>
      <c r="AA3670">
        <v>0.99103459999999999</v>
      </c>
      <c r="AB3670">
        <v>38</v>
      </c>
      <c r="AC3670">
        <v>1.0128999999999999</v>
      </c>
      <c r="AD3670">
        <v>-1.1098599889860901</v>
      </c>
      <c r="AE3670">
        <v>-13.4526799999999</v>
      </c>
      <c r="AF3670">
        <v>-1.48147461313809</v>
      </c>
      <c r="AG3670">
        <v>-1.1098599889860901</v>
      </c>
      <c r="AH3670">
        <v>13.3179205136853</v>
      </c>
      <c r="AI3670">
        <v>94.734713892549806</v>
      </c>
      <c r="AJ3670">
        <v>96.347440202869905</v>
      </c>
      <c r="AK3670">
        <v>13.445949688785999</v>
      </c>
    </row>
    <row r="3671" spans="1:37" x14ac:dyDescent="0.2">
      <c r="A3671" t="str">
        <f>"20200111154139156"</f>
        <v>20200111154139156</v>
      </c>
      <c r="B3671" t="str">
        <f>"1578728499149869"</f>
        <v>1578728499149869</v>
      </c>
      <c r="C3671" t="s">
        <v>37</v>
      </c>
      <c r="D3671">
        <v>5.5303339999999999</v>
      </c>
      <c r="E3671">
        <v>0.49585390000000001</v>
      </c>
      <c r="F3671" t="s">
        <v>39</v>
      </c>
      <c r="G3671">
        <v>-421.29660000000001</v>
      </c>
      <c r="H3671" s="1">
        <v>-7.9229530000000002E-7</v>
      </c>
      <c r="I3671">
        <v>60.631790000000002</v>
      </c>
      <c r="J3671">
        <v>-422.3374</v>
      </c>
      <c r="K3671">
        <v>1.109896</v>
      </c>
      <c r="L3671">
        <v>74.140869999999893</v>
      </c>
      <c r="M3671">
        <v>-3.6054559999999999E-2</v>
      </c>
      <c r="N3671">
        <v>0</v>
      </c>
      <c r="O3671">
        <v>-0.99925079999999999</v>
      </c>
      <c r="P3671">
        <v>7.0471190000000003E-2</v>
      </c>
      <c r="Q3671">
        <v>3.7042430000000001E-2</v>
      </c>
      <c r="R3671">
        <v>-0.996826199999999</v>
      </c>
      <c r="S3671">
        <v>0.22164919999999999</v>
      </c>
      <c r="T3671">
        <v>-0.23968819999999999</v>
      </c>
      <c r="U3671">
        <v>-3.0025019999999998</v>
      </c>
      <c r="V3671">
        <v>-0.10630439999999999</v>
      </c>
      <c r="W3671">
        <v>5.1171660000000001E-2</v>
      </c>
      <c r="X3671">
        <v>0.99301600000000001</v>
      </c>
      <c r="Y3671">
        <v>-0.1093021</v>
      </c>
      <c r="Z3671">
        <v>7.9153189999999998E-2</v>
      </c>
      <c r="AA3671">
        <v>0.99085210000000001</v>
      </c>
      <c r="AB3671">
        <v>38</v>
      </c>
      <c r="AC3671">
        <v>1.04079999999999</v>
      </c>
      <c r="AD3671">
        <v>-1.1098967922953</v>
      </c>
      <c r="AE3671">
        <v>-13.5090799999999</v>
      </c>
      <c r="AF3671">
        <v>-1.51705537112012</v>
      </c>
      <c r="AG3671">
        <v>-1.1098967922953</v>
      </c>
      <c r="AH3671">
        <v>13.373028341724</v>
      </c>
      <c r="AI3671">
        <v>94.714300078753794</v>
      </c>
      <c r="AJ3671">
        <v>96.472046595045896</v>
      </c>
      <c r="AK3671">
        <v>13.504488695139299</v>
      </c>
    </row>
    <row r="3672" spans="1:37" x14ac:dyDescent="0.2">
      <c r="A3672" t="str">
        <f>"20200111154139177"</f>
        <v>20200111154139177</v>
      </c>
      <c r="B3672" t="str">
        <f>"1578728499170366"</f>
        <v>1578728499170366</v>
      </c>
      <c r="C3672" t="s">
        <v>37</v>
      </c>
      <c r="D3672">
        <v>5.3834589999999896</v>
      </c>
      <c r="E3672">
        <v>0.49582109999999902</v>
      </c>
      <c r="F3672" t="s">
        <v>39</v>
      </c>
      <c r="G3672">
        <v>-421.27980000000002</v>
      </c>
      <c r="H3672" s="1">
        <v>-5.5846039999999995E-7</v>
      </c>
      <c r="I3672">
        <v>60.09713</v>
      </c>
      <c r="J3672">
        <v>-422.35109999999997</v>
      </c>
      <c r="K3672">
        <v>1.109931</v>
      </c>
      <c r="L3672">
        <v>73.773009999999999</v>
      </c>
      <c r="M3672">
        <v>-3.6450259999999998E-2</v>
      </c>
      <c r="N3672">
        <v>0</v>
      </c>
      <c r="O3672">
        <v>-0.99923639999999903</v>
      </c>
      <c r="P3672">
        <v>7.1661409999999995E-2</v>
      </c>
      <c r="Q3672">
        <v>3.8406709999999997E-2</v>
      </c>
      <c r="R3672">
        <v>-0.99668959999999995</v>
      </c>
      <c r="S3672">
        <v>0.22610469999999999</v>
      </c>
      <c r="T3672">
        <v>-0.237282299999999</v>
      </c>
      <c r="U3672">
        <v>-3.00238</v>
      </c>
      <c r="V3672">
        <v>-0.10788389999999901</v>
      </c>
      <c r="W3672">
        <v>5.2525009999999997E-2</v>
      </c>
      <c r="X3672">
        <v>0.99277499999999996</v>
      </c>
      <c r="Y3672">
        <v>-0.1111655</v>
      </c>
      <c r="Z3672">
        <v>7.8352649999999996E-2</v>
      </c>
      <c r="AA3672">
        <v>0.99070840000000004</v>
      </c>
      <c r="AB3672">
        <v>38</v>
      </c>
      <c r="AC3672">
        <v>1.07129999999995</v>
      </c>
      <c r="AD3672">
        <v>-1.1099315584603999</v>
      </c>
      <c r="AE3672">
        <v>-13.6758799999999</v>
      </c>
      <c r="AF3672">
        <v>-1.55892083779626</v>
      </c>
      <c r="AG3672">
        <v>-1.1099315584603999</v>
      </c>
      <c r="AH3672">
        <v>13.5391001692456</v>
      </c>
      <c r="AI3672">
        <v>94.655985654899098</v>
      </c>
      <c r="AJ3672">
        <v>96.568233453766993</v>
      </c>
      <c r="AK3672">
        <v>13.6736760103437</v>
      </c>
    </row>
    <row r="3673" spans="1:37" x14ac:dyDescent="0.2">
      <c r="A3673" t="str">
        <f>"20200111154139199"</f>
        <v>20200111154139199</v>
      </c>
      <c r="B3673" t="str">
        <f>"1578728499189887"</f>
        <v>1578728499189887</v>
      </c>
      <c r="C3673" t="s">
        <v>37</v>
      </c>
      <c r="D3673">
        <v>5.4294010000000004</v>
      </c>
      <c r="E3673">
        <v>0.49582039999999999</v>
      </c>
      <c r="F3673" t="s">
        <v>39</v>
      </c>
      <c r="G3673">
        <v>-421.25420000000003</v>
      </c>
      <c r="H3673" s="1">
        <v>-4.4698509999999901E-6</v>
      </c>
      <c r="I3673">
        <v>59.467889999999997</v>
      </c>
      <c r="J3673">
        <v>-422.36500000000001</v>
      </c>
      <c r="K3673">
        <v>1.109966</v>
      </c>
      <c r="L3673">
        <v>73.402100000000004</v>
      </c>
      <c r="M3673">
        <v>-3.6830050000000003E-2</v>
      </c>
      <c r="N3673">
        <v>0</v>
      </c>
      <c r="O3673">
        <v>-0.99922230000000001</v>
      </c>
      <c r="P3673">
        <v>7.3182380000000005E-2</v>
      </c>
      <c r="Q3673">
        <v>3.9279660000000001E-2</v>
      </c>
      <c r="R3673">
        <v>-0.99654469999999995</v>
      </c>
      <c r="S3673">
        <v>0.2302246</v>
      </c>
      <c r="T3673">
        <v>-0.232955</v>
      </c>
      <c r="U3673">
        <v>-3.00238</v>
      </c>
      <c r="V3673">
        <v>-0.1097793</v>
      </c>
      <c r="W3673">
        <v>5.3385920000000003E-2</v>
      </c>
      <c r="X3673">
        <v>0.99252129999999905</v>
      </c>
      <c r="Y3673">
        <v>-0.1129032</v>
      </c>
      <c r="Z3673">
        <v>7.6919210000000002E-2</v>
      </c>
      <c r="AA3673">
        <v>0.99062419999999995</v>
      </c>
      <c r="AB3673">
        <v>38</v>
      </c>
      <c r="AC3673">
        <v>1.11079999999998</v>
      </c>
      <c r="AD3673">
        <v>-1.109970469851</v>
      </c>
      <c r="AE3673">
        <v>-13.93421</v>
      </c>
      <c r="AF3673">
        <v>-1.61312351739976</v>
      </c>
      <c r="AG3673">
        <v>-1.109970469851</v>
      </c>
      <c r="AH3673">
        <v>13.796845991205499</v>
      </c>
      <c r="AI3673">
        <v>94.568610233642701</v>
      </c>
      <c r="AJ3673">
        <v>96.6687294242885</v>
      </c>
      <c r="AK3673">
        <v>13.9351053541541</v>
      </c>
    </row>
    <row r="3674" spans="1:37" x14ac:dyDescent="0.2">
      <c r="A3674" t="str">
        <f>"20200111154139232"</f>
        <v>20200111154139232</v>
      </c>
      <c r="B3674" t="str">
        <f>"1578728499229902"</f>
        <v>1578728499229902</v>
      </c>
      <c r="C3674" t="s">
        <v>37</v>
      </c>
      <c r="D3674">
        <v>5.4016589999999898</v>
      </c>
      <c r="E3674">
        <v>0.49573089999999997</v>
      </c>
      <c r="F3674" t="s">
        <v>39</v>
      </c>
      <c r="G3674">
        <v>-421.23329999999999</v>
      </c>
      <c r="H3674" s="1">
        <v>-4.2825009999999902E-6</v>
      </c>
      <c r="I3674">
        <v>58.928229999999999</v>
      </c>
      <c r="J3674">
        <v>-422.3861</v>
      </c>
      <c r="K3674">
        <v>1.1100099999999999</v>
      </c>
      <c r="L3674">
        <v>72.847470000000001</v>
      </c>
      <c r="M3674">
        <v>-3.7337750000000003E-2</v>
      </c>
      <c r="N3674">
        <v>0</v>
      </c>
      <c r="O3674">
        <v>-0.99920390000000003</v>
      </c>
      <c r="P3674">
        <v>7.3361229999999999E-2</v>
      </c>
      <c r="Q3674">
        <v>3.7611550000000001E-2</v>
      </c>
      <c r="R3674">
        <v>-0.99659619999999904</v>
      </c>
      <c r="S3674">
        <v>0.23474120000000001</v>
      </c>
      <c r="T3674">
        <v>-0.23023679999999999</v>
      </c>
      <c r="U3674">
        <v>-3.0022579999999999</v>
      </c>
      <c r="V3674">
        <v>-0.110473</v>
      </c>
      <c r="W3674">
        <v>5.1700240000000001E-2</v>
      </c>
      <c r="X3674">
        <v>0.99253349999999996</v>
      </c>
      <c r="Y3674">
        <v>-0.11489769999999901</v>
      </c>
      <c r="Z3674">
        <v>7.6014709999999999E-2</v>
      </c>
      <c r="AA3674">
        <v>0.99046469999999898</v>
      </c>
      <c r="AB3674">
        <v>38</v>
      </c>
      <c r="AC3674">
        <v>1.15280000000001</v>
      </c>
      <c r="AD3674">
        <v>-1.110014282501</v>
      </c>
      <c r="AE3674">
        <v>-13.919239999999901</v>
      </c>
      <c r="AF3674">
        <v>-1.6612674864708199</v>
      </c>
      <c r="AG3674">
        <v>-1.110014282501</v>
      </c>
      <c r="AH3674">
        <v>13.779450972693301</v>
      </c>
      <c r="AI3674">
        <v>94.572591124245506</v>
      </c>
      <c r="AJ3674">
        <v>96.874470647401097</v>
      </c>
      <c r="AK3674">
        <v>13.9235487745696</v>
      </c>
    </row>
    <row r="3675" spans="1:37" x14ac:dyDescent="0.2">
      <c r="A3675" t="str">
        <f>"20200111154139256"</f>
        <v>20200111154139256</v>
      </c>
      <c r="B3675" t="str">
        <f>"1578728499249421"</f>
        <v>1578728499249421</v>
      </c>
      <c r="C3675" t="s">
        <v>37</v>
      </c>
      <c r="D3675">
        <v>5.4042309999999896</v>
      </c>
      <c r="E3675">
        <v>0.49561049999999901</v>
      </c>
      <c r="F3675" t="s">
        <v>39</v>
      </c>
      <c r="G3675">
        <v>-421.27510000000001</v>
      </c>
      <c r="H3675" s="1">
        <v>-4.217023E-6</v>
      </c>
      <c r="I3675">
        <v>58.71405</v>
      </c>
      <c r="J3675">
        <v>-422.4008</v>
      </c>
      <c r="K3675">
        <v>1.1100479999999999</v>
      </c>
      <c r="L3675">
        <v>72.464200000000005</v>
      </c>
      <c r="M3675">
        <v>-3.7640109999999997E-2</v>
      </c>
      <c r="N3675">
        <v>0</v>
      </c>
      <c r="O3675">
        <v>-0.99919230000000003</v>
      </c>
      <c r="P3675">
        <v>7.3904479999999995E-2</v>
      </c>
      <c r="Q3675">
        <v>3.7496849999999998E-2</v>
      </c>
      <c r="R3675">
        <v>-0.99656049999999996</v>
      </c>
      <c r="S3675">
        <v>0.2359619</v>
      </c>
      <c r="T3675">
        <v>-0.23575370000000001</v>
      </c>
      <c r="U3675">
        <v>-3.00177</v>
      </c>
      <c r="V3675">
        <v>-0.111319899999999</v>
      </c>
      <c r="W3675">
        <v>5.1572149999999997E-2</v>
      </c>
      <c r="X3675">
        <v>0.99244560000000004</v>
      </c>
      <c r="Y3675">
        <v>-0.1156001</v>
      </c>
      <c r="Z3675">
        <v>7.783197E-2</v>
      </c>
      <c r="AA3675">
        <v>0.99024179999999995</v>
      </c>
      <c r="AB3675">
        <v>38</v>
      </c>
      <c r="AC3675">
        <v>1.1256999999999899</v>
      </c>
      <c r="AD3675">
        <v>-1.1100522170229901</v>
      </c>
      <c r="AE3675">
        <v>-13.75015</v>
      </c>
      <c r="AF3675">
        <v>-1.6319453532631101</v>
      </c>
      <c r="AG3675">
        <v>-1.1100522170229901</v>
      </c>
      <c r="AH3675">
        <v>13.6099182621229</v>
      </c>
      <c r="AI3675">
        <v>94.629817910160099</v>
      </c>
      <c r="AJ3675">
        <v>96.837607161934002</v>
      </c>
      <c r="AK3675">
        <v>13.7522847797092</v>
      </c>
    </row>
    <row r="3676" spans="1:37" x14ac:dyDescent="0.2">
      <c r="A3676" t="str">
        <f>"20200111154139278"</f>
        <v>20200111154139278</v>
      </c>
      <c r="B3676" t="str">
        <f>"1578728499269917"</f>
        <v>1578728499269917</v>
      </c>
      <c r="C3676" t="s">
        <v>37</v>
      </c>
      <c r="D3676">
        <v>5.3317649999999999</v>
      </c>
      <c r="E3676">
        <v>0.49551319999999999</v>
      </c>
      <c r="F3676" t="s">
        <v>39</v>
      </c>
      <c r="G3676">
        <v>-421.28980000000001</v>
      </c>
      <c r="H3676" s="1">
        <v>-4.1368400000000002E-6</v>
      </c>
      <c r="I3676">
        <v>58.470790000000001</v>
      </c>
      <c r="J3676">
        <v>-422.41520000000003</v>
      </c>
      <c r="K3676">
        <v>1.11008</v>
      </c>
      <c r="L3676">
        <v>72.085909999999998</v>
      </c>
      <c r="M3676">
        <v>-3.7893639999999999E-2</v>
      </c>
      <c r="N3676">
        <v>0</v>
      </c>
      <c r="O3676">
        <v>-0.99918269999999998</v>
      </c>
      <c r="P3676">
        <v>7.6171500000000003E-2</v>
      </c>
      <c r="Q3676">
        <v>3.790002E-2</v>
      </c>
      <c r="R3676">
        <v>-0.99637419999999999</v>
      </c>
      <c r="S3676">
        <v>0.23831179999999999</v>
      </c>
      <c r="T3676">
        <v>-0.23811089999999999</v>
      </c>
      <c r="U3676">
        <v>-3.0016479999999999</v>
      </c>
      <c r="V3676">
        <v>-0.1138353</v>
      </c>
      <c r="W3676">
        <v>5.19593E-2</v>
      </c>
      <c r="X3676">
        <v>0.99213999999999902</v>
      </c>
      <c r="Y3676">
        <v>-0.1166208</v>
      </c>
      <c r="Z3676">
        <v>7.860027E-2</v>
      </c>
      <c r="AA3676">
        <v>0.99006139999999998</v>
      </c>
      <c r="AB3676">
        <v>38</v>
      </c>
      <c r="AC3676">
        <v>1.1254000000000099</v>
      </c>
      <c r="AD3676">
        <v>-1.1100841368399901</v>
      </c>
      <c r="AE3676">
        <v>-13.6151199999999</v>
      </c>
      <c r="AF3676">
        <v>-1.62980820444101</v>
      </c>
      <c r="AG3676">
        <v>-1.1100841368399901</v>
      </c>
      <c r="AH3676">
        <v>13.4737286967536</v>
      </c>
      <c r="AI3676">
        <v>94.675960290629206</v>
      </c>
      <c r="AJ3676">
        <v>96.897099264261499</v>
      </c>
      <c r="AK3676">
        <v>13.617265752266499</v>
      </c>
    </row>
    <row r="3677" spans="1:37" x14ac:dyDescent="0.2">
      <c r="A3677" t="str">
        <f>"20200111154139300"</f>
        <v>20200111154139300</v>
      </c>
      <c r="B3677" t="str">
        <f>"1578728499289438"</f>
        <v>1578728499289438</v>
      </c>
      <c r="C3677" t="s">
        <v>37</v>
      </c>
      <c r="D3677">
        <v>5.4169749999999999</v>
      </c>
      <c r="E3677">
        <v>0.49547639999999998</v>
      </c>
      <c r="F3677" t="s">
        <v>39</v>
      </c>
      <c r="G3677">
        <v>-421.27190000000002</v>
      </c>
      <c r="H3677" s="1">
        <v>-3.9928339999999998E-6</v>
      </c>
      <c r="I3677">
        <v>58.10765</v>
      </c>
      <c r="J3677">
        <v>-422.42919999999998</v>
      </c>
      <c r="K3677">
        <v>1.110117</v>
      </c>
      <c r="L3677">
        <v>71.724429999999998</v>
      </c>
      <c r="M3677">
        <v>-3.808251E-2</v>
      </c>
      <c r="N3677">
        <v>0</v>
      </c>
      <c r="O3677">
        <v>-0.999175499999999</v>
      </c>
      <c r="P3677">
        <v>7.8107090000000004E-2</v>
      </c>
      <c r="Q3677">
        <v>3.7113350000000003E-2</v>
      </c>
      <c r="R3677">
        <v>-0.99625399999999997</v>
      </c>
      <c r="S3677">
        <v>0.24548339999999999</v>
      </c>
      <c r="T3677">
        <v>-0.2383421</v>
      </c>
      <c r="U3677">
        <v>-3.0012209999999899</v>
      </c>
      <c r="V3677">
        <v>-0.115958399999999</v>
      </c>
      <c r="W3677">
        <v>5.1156420000000001E-2</v>
      </c>
      <c r="X3677">
        <v>0.99193580000000003</v>
      </c>
      <c r="Y3677">
        <v>-0.11916939999999999</v>
      </c>
      <c r="Z3677">
        <v>7.8666899999999998E-2</v>
      </c>
      <c r="AA3677">
        <v>0.98975259999999998</v>
      </c>
      <c r="AB3677">
        <v>37</v>
      </c>
      <c r="AC3677">
        <v>1.15729999999996</v>
      </c>
      <c r="AD3677">
        <v>-1.1101209928339999</v>
      </c>
      <c r="AE3677">
        <v>-13.616779999999901</v>
      </c>
      <c r="AF3677">
        <v>-1.66409180832199</v>
      </c>
      <c r="AG3677">
        <v>-1.1101209928339999</v>
      </c>
      <c r="AH3677">
        <v>13.473911299206801</v>
      </c>
      <c r="AI3677">
        <v>94.674626332278905</v>
      </c>
      <c r="AJ3677">
        <v>97.040646394638102</v>
      </c>
      <c r="AK3677">
        <v>13.621595202623899</v>
      </c>
    </row>
    <row r="3678" spans="1:37" x14ac:dyDescent="0.2">
      <c r="A3678" t="str">
        <f>"20200111154139322"</f>
        <v>20200111154139322</v>
      </c>
      <c r="B3678" t="str">
        <f>"1578728499309934"</f>
        <v>1578728499309934</v>
      </c>
      <c r="C3678" t="s">
        <v>37</v>
      </c>
      <c r="D3678">
        <v>5.3850930000000004</v>
      </c>
      <c r="E3678">
        <v>0.49538729999999997</v>
      </c>
      <c r="F3678" t="s">
        <v>39</v>
      </c>
      <c r="G3678">
        <v>-421.27099999999899</v>
      </c>
      <c r="H3678" s="1">
        <v>-3.9004090000000004E-6</v>
      </c>
      <c r="I3678">
        <v>57.892749999999999</v>
      </c>
      <c r="J3678">
        <v>-422.44349999999997</v>
      </c>
      <c r="K3678">
        <v>1.110163</v>
      </c>
      <c r="L3678">
        <v>71.352450000000005</v>
      </c>
      <c r="M3678">
        <v>-3.8218130000000003E-2</v>
      </c>
      <c r="N3678">
        <v>0</v>
      </c>
      <c r="O3678">
        <v>-0.99917069999999997</v>
      </c>
      <c r="P3678">
        <v>7.9872239999999997E-2</v>
      </c>
      <c r="Q3678">
        <v>3.6379830000000002E-2</v>
      </c>
      <c r="R3678">
        <v>-0.99614130000000001</v>
      </c>
      <c r="S3678">
        <v>0.25125120000000001</v>
      </c>
      <c r="T3678">
        <v>-0.24082199999999901</v>
      </c>
      <c r="U3678">
        <v>-3.0005489999999999</v>
      </c>
      <c r="V3678">
        <v>-0.1178594</v>
      </c>
      <c r="W3678">
        <v>5.040447E-2</v>
      </c>
      <c r="X3678">
        <v>0.99175020000000003</v>
      </c>
      <c r="Y3678">
        <v>-0.1212061</v>
      </c>
      <c r="Z3678">
        <v>7.9481079999999996E-2</v>
      </c>
      <c r="AA3678">
        <v>0.98944009999999905</v>
      </c>
      <c r="AB3678">
        <v>37</v>
      </c>
      <c r="AC3678">
        <v>1.1725000000000101</v>
      </c>
      <c r="AD3678">
        <v>-1.110166900409</v>
      </c>
      <c r="AE3678">
        <v>-13.4597</v>
      </c>
      <c r="AF3678">
        <v>-1.6747906107900401</v>
      </c>
      <c r="AG3678">
        <v>-1.110166900409</v>
      </c>
      <c r="AH3678">
        <v>13.315147658029201</v>
      </c>
      <c r="AI3678">
        <v>94.728992408684405</v>
      </c>
      <c r="AJ3678">
        <v>97.169063304728795</v>
      </c>
      <c r="AK3678">
        <v>13.4659032854047</v>
      </c>
    </row>
    <row r="3679" spans="1:37" x14ac:dyDescent="0.2">
      <c r="A3679" t="str">
        <f>"20200111154139345"</f>
        <v>20200111154139345</v>
      </c>
      <c r="B3679" t="str">
        <f>"1578728499340190"</f>
        <v>1578728499340190</v>
      </c>
      <c r="C3679" t="s">
        <v>37</v>
      </c>
      <c r="D3679">
        <v>5.3967869999999998</v>
      </c>
      <c r="E3679">
        <v>0.49529629999999902</v>
      </c>
      <c r="F3679" t="s">
        <v>39</v>
      </c>
      <c r="G3679">
        <v>-421.2681</v>
      </c>
      <c r="H3679" s="1">
        <v>-3.7899759999999999E-6</v>
      </c>
      <c r="I3679">
        <v>57.63711</v>
      </c>
      <c r="J3679">
        <v>-422.45819999999998</v>
      </c>
      <c r="K3679">
        <v>1.110209</v>
      </c>
      <c r="L3679">
        <v>70.971220000000002</v>
      </c>
      <c r="M3679">
        <v>-3.8304110000000002E-2</v>
      </c>
      <c r="N3679">
        <v>0</v>
      </c>
      <c r="O3679">
        <v>-0.99916709999999997</v>
      </c>
      <c r="P3679">
        <v>8.0892439999999996E-2</v>
      </c>
      <c r="Q3679">
        <v>3.5687419999999997E-2</v>
      </c>
      <c r="R3679">
        <v>-0.99608399999999997</v>
      </c>
      <c r="S3679">
        <v>0.25708009999999998</v>
      </c>
      <c r="T3679">
        <v>-0.24282049999999999</v>
      </c>
      <c r="U3679">
        <v>-2.9998779999999998</v>
      </c>
      <c r="V3679">
        <v>-0.1189687</v>
      </c>
      <c r="W3679">
        <v>4.9693920000000003E-2</v>
      </c>
      <c r="X3679">
        <v>0.99165360000000002</v>
      </c>
      <c r="Y3679">
        <v>-0.123214</v>
      </c>
      <c r="Z3679">
        <v>8.0137310000000003E-2</v>
      </c>
      <c r="AA3679">
        <v>0.9891392</v>
      </c>
      <c r="AB3679">
        <v>37</v>
      </c>
      <c r="AC3679">
        <v>1.19009999999997</v>
      </c>
      <c r="AD3679">
        <v>-1.1102127899759999</v>
      </c>
      <c r="AE3679">
        <v>-13.334110000000001</v>
      </c>
      <c r="AF3679">
        <v>-1.68841591713934</v>
      </c>
      <c r="AG3679">
        <v>-1.1102127899759999</v>
      </c>
      <c r="AH3679">
        <v>13.1880299744272</v>
      </c>
      <c r="AI3679">
        <v>94.773228617303701</v>
      </c>
      <c r="AJ3679">
        <v>97.295684171830899</v>
      </c>
      <c r="AK3679">
        <v>13.341943462429599</v>
      </c>
    </row>
    <row r="3680" spans="1:37" x14ac:dyDescent="0.2">
      <c r="A3680" t="str">
        <f>"20200111154139368"</f>
        <v>20200111154139368</v>
      </c>
      <c r="B3680" t="str">
        <f>"1578728499359711"</f>
        <v>1578728499359711</v>
      </c>
      <c r="C3680" t="s">
        <v>37</v>
      </c>
      <c r="D3680">
        <v>5.4019659999999998</v>
      </c>
      <c r="E3680">
        <v>0.49526300000000001</v>
      </c>
      <c r="F3680" t="s">
        <v>39</v>
      </c>
      <c r="G3680">
        <v>-421.2808</v>
      </c>
      <c r="H3680" s="1">
        <v>-3.7047319999999999E-6</v>
      </c>
      <c r="I3680">
        <v>57.430529999999997</v>
      </c>
      <c r="J3680">
        <v>-422.47300000000001</v>
      </c>
      <c r="K3680">
        <v>1.110249</v>
      </c>
      <c r="L3680">
        <v>70.587369999999893</v>
      </c>
      <c r="M3680">
        <v>-3.8351610000000001E-2</v>
      </c>
      <c r="N3680">
        <v>0</v>
      </c>
      <c r="O3680">
        <v>-0.99916539999999998</v>
      </c>
      <c r="P3680">
        <v>8.1422040000000001E-2</v>
      </c>
      <c r="Q3680">
        <v>3.4764690000000001E-2</v>
      </c>
      <c r="R3680">
        <v>-0.99607330000000005</v>
      </c>
      <c r="S3680">
        <v>0.26080320000000001</v>
      </c>
      <c r="T3680">
        <v>-0.24592519999999901</v>
      </c>
      <c r="U3680">
        <v>-2.9994200000000002</v>
      </c>
      <c r="V3680">
        <v>-0.1195502</v>
      </c>
      <c r="W3680">
        <v>4.8755199999999999E-2</v>
      </c>
      <c r="X3680">
        <v>0.99163029999999996</v>
      </c>
      <c r="Y3680">
        <v>-0.1244854</v>
      </c>
      <c r="Z3680">
        <v>8.1156430000000002E-2</v>
      </c>
      <c r="AA3680">
        <v>0.98889680000000002</v>
      </c>
      <c r="AB3680">
        <v>37</v>
      </c>
      <c r="AC3680">
        <v>1.1922000000000099</v>
      </c>
      <c r="AD3680">
        <v>-1.1102527047320001</v>
      </c>
      <c r="AE3680">
        <v>-13.1568399999999</v>
      </c>
      <c r="AF3680">
        <v>-1.6840640633608901</v>
      </c>
      <c r="AG3680">
        <v>-1.1102527047320001</v>
      </c>
      <c r="AH3680">
        <v>13.0095449862813</v>
      </c>
      <c r="AI3680">
        <v>94.837712365100103</v>
      </c>
      <c r="AJ3680">
        <v>97.375827706840198</v>
      </c>
      <c r="AK3680">
        <v>13.164991211085001</v>
      </c>
    </row>
    <row r="3681" spans="1:37" x14ac:dyDescent="0.2">
      <c r="A3681" t="str">
        <f>"20200111154139389"</f>
        <v>20200111154139389</v>
      </c>
      <c r="B3681" t="str">
        <f>"1578728499380206"</f>
        <v>1578728499380206</v>
      </c>
      <c r="C3681" t="s">
        <v>37</v>
      </c>
      <c r="D3681">
        <v>5.3270879999999998</v>
      </c>
      <c r="E3681">
        <v>0.49526949999999997</v>
      </c>
      <c r="F3681" t="s">
        <v>39</v>
      </c>
      <c r="G3681">
        <v>-421.30220000000003</v>
      </c>
      <c r="H3681" s="1">
        <v>-3.6284699999999899E-6</v>
      </c>
      <c r="I3681">
        <v>57.2395</v>
      </c>
      <c r="J3681">
        <v>-422.48680000000002</v>
      </c>
      <c r="K3681">
        <v>1.1102809999999901</v>
      </c>
      <c r="L3681">
        <v>70.229429999999994</v>
      </c>
      <c r="M3681">
        <v>-3.836912E-2</v>
      </c>
      <c r="N3681">
        <v>0</v>
      </c>
      <c r="O3681">
        <v>-0.99916469999999902</v>
      </c>
      <c r="P3681">
        <v>8.1612180000000006E-2</v>
      </c>
      <c r="Q3681">
        <v>3.4001249999999997E-2</v>
      </c>
      <c r="R3681">
        <v>-0.99608399999999997</v>
      </c>
      <c r="S3681">
        <v>0.2630615</v>
      </c>
      <c r="T3681">
        <v>-0.24945349999999999</v>
      </c>
      <c r="U3681">
        <v>-2.99902299999999</v>
      </c>
      <c r="V3681">
        <v>-0.1197623</v>
      </c>
      <c r="W3681">
        <v>4.7980299999999997E-2</v>
      </c>
      <c r="X3681">
        <v>0.99164249999999998</v>
      </c>
      <c r="Y3681">
        <v>-0.12524469999999999</v>
      </c>
      <c r="Z3681">
        <v>8.2316940000000005E-2</v>
      </c>
      <c r="AA3681">
        <v>0.98870499999999995</v>
      </c>
      <c r="AB3681">
        <v>37</v>
      </c>
      <c r="AC3681">
        <v>1.1845999999999799</v>
      </c>
      <c r="AD3681">
        <v>-1.1102846284700001</v>
      </c>
      <c r="AE3681">
        <v>-12.989929999999999</v>
      </c>
      <c r="AF3681">
        <v>-1.6700886445416401</v>
      </c>
      <c r="AG3681">
        <v>-1.1102846284700001</v>
      </c>
      <c r="AH3681">
        <v>12.841862664813799</v>
      </c>
      <c r="AI3681">
        <v>94.900340642146205</v>
      </c>
      <c r="AJ3681">
        <v>97.409748615721199</v>
      </c>
      <c r="AK3681">
        <v>12.9975137906748</v>
      </c>
    </row>
    <row r="3682" spans="1:37" x14ac:dyDescent="0.2">
      <c r="A3682" t="str">
        <f>"20200111154139411"</f>
        <v>20200111154139411</v>
      </c>
      <c r="B3682" t="str">
        <f>"1578728499399726"</f>
        <v>1578728499399726</v>
      </c>
      <c r="C3682" t="s">
        <v>37</v>
      </c>
      <c r="D3682">
        <v>5.3308790000000004</v>
      </c>
      <c r="E3682">
        <v>0.495328299999999</v>
      </c>
      <c r="F3682" t="s">
        <v>39</v>
      </c>
      <c r="G3682">
        <v>-421.33109999999999</v>
      </c>
      <c r="H3682" s="1">
        <v>-3.5582780000000001E-6</v>
      </c>
      <c r="I3682">
        <v>57.057959999999902</v>
      </c>
      <c r="J3682">
        <v>-422.50069999999999</v>
      </c>
      <c r="K3682">
        <v>1.1103179999999999</v>
      </c>
      <c r="L3682">
        <v>69.865809999999996</v>
      </c>
      <c r="M3682">
        <v>-3.8358169999999997E-2</v>
      </c>
      <c r="N3682">
        <v>0</v>
      </c>
      <c r="O3682">
        <v>-0.99916519999999998</v>
      </c>
      <c r="P3682">
        <v>8.2114259999999994E-2</v>
      </c>
      <c r="Q3682">
        <v>3.4072480000000002E-2</v>
      </c>
      <c r="R3682">
        <v>-0.99604059999999905</v>
      </c>
      <c r="S3682">
        <v>0.26312259999999998</v>
      </c>
      <c r="T3682">
        <v>-0.25278889999999998</v>
      </c>
      <c r="U3682">
        <v>-2.9988709999999998</v>
      </c>
      <c r="V3682">
        <v>-0.1202546</v>
      </c>
      <c r="W3682">
        <v>4.803984E-2</v>
      </c>
      <c r="X3682">
        <v>0.99158009999999996</v>
      </c>
      <c r="Y3682">
        <v>-0.12525020000000001</v>
      </c>
      <c r="Z3682">
        <v>8.3414039999999995E-2</v>
      </c>
      <c r="AA3682">
        <v>0.98861239999999995</v>
      </c>
      <c r="AB3682">
        <v>37</v>
      </c>
      <c r="AC3682">
        <v>1.1696</v>
      </c>
      <c r="AD3682">
        <v>-1.1103215582779999</v>
      </c>
      <c r="AE3682">
        <v>-12.80785</v>
      </c>
      <c r="AF3682">
        <v>-1.6477920890673701</v>
      </c>
      <c r="AG3682">
        <v>-1.1103215582779999</v>
      </c>
      <c r="AH3682">
        <v>12.6592034758543</v>
      </c>
      <c r="AI3682">
        <v>94.970787340495093</v>
      </c>
      <c r="AJ3682">
        <v>97.4162391914968</v>
      </c>
      <c r="AK3682">
        <v>12.814190000723899</v>
      </c>
    </row>
    <row r="3683" spans="1:37" x14ac:dyDescent="0.2">
      <c r="A3683" t="str">
        <f>"20200111154139433"</f>
        <v>20200111154139433</v>
      </c>
      <c r="B3683" t="str">
        <f>"1578728499429982"</f>
        <v>1578728499429982</v>
      </c>
      <c r="C3683" t="s">
        <v>37</v>
      </c>
      <c r="D3683">
        <v>5.2688990000000002</v>
      </c>
      <c r="E3683">
        <v>0.49541610000000003</v>
      </c>
      <c r="F3683" t="s">
        <v>39</v>
      </c>
      <c r="G3683">
        <v>-421.34280000000001</v>
      </c>
      <c r="H3683" s="1">
        <v>-3.413491E-6</v>
      </c>
      <c r="I3683">
        <v>56.713189999999997</v>
      </c>
      <c r="J3683">
        <v>-422.51519999999999</v>
      </c>
      <c r="K3683">
        <v>1.110365</v>
      </c>
      <c r="L3683">
        <v>69.489069999999998</v>
      </c>
      <c r="M3683">
        <v>-3.8318339999999999E-2</v>
      </c>
      <c r="N3683">
        <v>0</v>
      </c>
      <c r="O3683">
        <v>-0.99916680000000002</v>
      </c>
      <c r="P3683">
        <v>8.2901160000000002E-2</v>
      </c>
      <c r="Q3683">
        <v>3.444995E-2</v>
      </c>
      <c r="R3683">
        <v>-0.99596229999999997</v>
      </c>
      <c r="S3683">
        <v>0.26400759999999901</v>
      </c>
      <c r="T3683">
        <v>-0.2531542</v>
      </c>
      <c r="U3683">
        <v>-2.99880999999999</v>
      </c>
      <c r="V3683">
        <v>-0.1210019</v>
      </c>
      <c r="W3683">
        <v>4.8404669999999997E-2</v>
      </c>
      <c r="X3683">
        <v>0.9914714</v>
      </c>
      <c r="Y3683">
        <v>-0.125501</v>
      </c>
      <c r="Z3683">
        <v>8.3533209999999997E-2</v>
      </c>
      <c r="AA3683">
        <v>0.98857050000000002</v>
      </c>
      <c r="AB3683">
        <v>37</v>
      </c>
      <c r="AC3683">
        <v>1.1723999999999799</v>
      </c>
      <c r="AD3683">
        <v>-1.1103684134909999</v>
      </c>
      <c r="AE3683">
        <v>-12.7758799999999</v>
      </c>
      <c r="AF3683">
        <v>-1.6487874045478901</v>
      </c>
      <c r="AG3683">
        <v>-1.1103684134909999</v>
      </c>
      <c r="AH3683">
        <v>12.626984080542501</v>
      </c>
      <c r="AI3683">
        <v>94.983355184683703</v>
      </c>
      <c r="AJ3683">
        <v>97.439391880402297</v>
      </c>
      <c r="AK3683">
        <v>12.7824936882185</v>
      </c>
    </row>
    <row r="3684" spans="1:37" x14ac:dyDescent="0.2">
      <c r="A3684" t="str">
        <f>"20200111154139457"</f>
        <v>20200111154139457</v>
      </c>
      <c r="B3684" t="str">
        <f>"1578728499449502"</f>
        <v>1578728499449502</v>
      </c>
      <c r="C3684" t="s">
        <v>37</v>
      </c>
      <c r="D3684">
        <v>5.2620829999999996</v>
      </c>
      <c r="E3684">
        <v>0.495488599999999</v>
      </c>
      <c r="F3684" t="s">
        <v>39</v>
      </c>
      <c r="G3684">
        <v>-421.34190000000001</v>
      </c>
      <c r="H3684" s="1">
        <v>-3.214948E-6</v>
      </c>
      <c r="I3684">
        <v>56.25094</v>
      </c>
      <c r="J3684">
        <v>-422.52980000000002</v>
      </c>
      <c r="K3684">
        <v>1.1104049999999901</v>
      </c>
      <c r="L3684">
        <v>69.108090000000004</v>
      </c>
      <c r="M3684">
        <v>-3.8255959999999999E-2</v>
      </c>
      <c r="N3684">
        <v>0</v>
      </c>
      <c r="O3684">
        <v>-0.99916919999999898</v>
      </c>
      <c r="P3684">
        <v>8.4111240000000004E-2</v>
      </c>
      <c r="Q3684">
        <v>3.5392279999999998E-2</v>
      </c>
      <c r="R3684">
        <v>-0.99582760000000003</v>
      </c>
      <c r="S3684">
        <v>0.2657776</v>
      </c>
      <c r="T3684">
        <v>-0.25152459999999999</v>
      </c>
      <c r="U3684">
        <v>-2.9987490000000001</v>
      </c>
      <c r="V3684">
        <v>-0.122147399999999</v>
      </c>
      <c r="W3684">
        <v>4.9333870000000002E-2</v>
      </c>
      <c r="X3684">
        <v>0.99128510000000003</v>
      </c>
      <c r="Y3684">
        <v>-0.12602379999999999</v>
      </c>
      <c r="Z3684">
        <v>8.2996299999999995E-2</v>
      </c>
      <c r="AA3684">
        <v>0.98854920000000002</v>
      </c>
      <c r="AB3684">
        <v>37</v>
      </c>
      <c r="AC3684">
        <v>1.1879000000000099</v>
      </c>
      <c r="AD3684">
        <v>-1.1104082149479999</v>
      </c>
      <c r="AE3684">
        <v>-12.857150000000001</v>
      </c>
      <c r="AF3684">
        <v>-1.6666154887023401</v>
      </c>
      <c r="AG3684">
        <v>-1.1104082149479999</v>
      </c>
      <c r="AH3684">
        <v>12.7082997445016</v>
      </c>
      <c r="AI3684">
        <v>94.951444559724493</v>
      </c>
      <c r="AJ3684">
        <v>97.471351865180495</v>
      </c>
      <c r="AK3684">
        <v>12.8651271267371</v>
      </c>
    </row>
    <row r="3685" spans="1:37" x14ac:dyDescent="0.2">
      <c r="A3685" t="str">
        <f>"20200111154139478"</f>
        <v>20200111154139478</v>
      </c>
      <c r="B3685" t="str">
        <f>"1578728499469998"</f>
        <v>1578728499469998</v>
      </c>
      <c r="C3685" t="s">
        <v>37</v>
      </c>
      <c r="D3685">
        <v>5.2756160000000003</v>
      </c>
      <c r="E3685">
        <v>0.49565569999999998</v>
      </c>
      <c r="F3685" t="s">
        <v>39</v>
      </c>
      <c r="G3685">
        <v>-421.32549999999998</v>
      </c>
      <c r="H3685" s="1">
        <v>-2.963388E-6</v>
      </c>
      <c r="I3685">
        <v>55.674709999999997</v>
      </c>
      <c r="J3685">
        <v>-422.54390000000001</v>
      </c>
      <c r="K3685">
        <v>1.110433</v>
      </c>
      <c r="L3685">
        <v>68.738770000000002</v>
      </c>
      <c r="M3685">
        <v>-3.8180520000000003E-2</v>
      </c>
      <c r="N3685">
        <v>0</v>
      </c>
      <c r="O3685">
        <v>-0.99917219999999995</v>
      </c>
      <c r="P3685">
        <v>8.5516149999999999E-2</v>
      </c>
      <c r="Q3685">
        <v>3.5630620000000002E-2</v>
      </c>
      <c r="R3685">
        <v>-0.99569959999999902</v>
      </c>
      <c r="S3685">
        <v>0.26882929999999999</v>
      </c>
      <c r="T3685">
        <v>-0.24787239999999999</v>
      </c>
      <c r="U3685">
        <v>-2.998688</v>
      </c>
      <c r="V3685">
        <v>-0.1234751</v>
      </c>
      <c r="W3685">
        <v>4.9559140000000002E-2</v>
      </c>
      <c r="X3685">
        <v>0.99110940000000003</v>
      </c>
      <c r="Y3685">
        <v>-0.1269576</v>
      </c>
      <c r="Z3685">
        <v>8.1792829999999997E-2</v>
      </c>
      <c r="AA3685">
        <v>0.98852999999999902</v>
      </c>
      <c r="AB3685">
        <v>37</v>
      </c>
      <c r="AC3685">
        <v>1.2184000000000299</v>
      </c>
      <c r="AD3685">
        <v>-1.1104359633880001</v>
      </c>
      <c r="AE3685">
        <v>-13.06406</v>
      </c>
      <c r="AF3685">
        <v>-1.70414713045743</v>
      </c>
      <c r="AG3685">
        <v>-1.1104359633880001</v>
      </c>
      <c r="AH3685">
        <v>12.915500524505401</v>
      </c>
      <c r="AI3685">
        <v>94.872013349585004</v>
      </c>
      <c r="AJ3685">
        <v>97.516522769869894</v>
      </c>
      <c r="AK3685">
        <v>13.074683142223</v>
      </c>
    </row>
    <row r="3686" spans="1:37" x14ac:dyDescent="0.2">
      <c r="A3686" t="str">
        <f>"20200111154139501"</f>
        <v>20200111154139501</v>
      </c>
      <c r="B3686" t="str">
        <f>"1578728499489519"</f>
        <v>1578728499489519</v>
      </c>
      <c r="C3686" t="s">
        <v>37</v>
      </c>
      <c r="D3686">
        <v>5.2366140000000003</v>
      </c>
      <c r="E3686">
        <v>0.49584719999999999</v>
      </c>
      <c r="F3686" t="s">
        <v>39</v>
      </c>
      <c r="G3686">
        <v>-421.32310000000001</v>
      </c>
      <c r="H3686" s="1">
        <v>-2.7719469999999999E-6</v>
      </c>
      <c r="I3686">
        <v>55.229939999999999</v>
      </c>
      <c r="J3686">
        <v>-422.55759999999998</v>
      </c>
      <c r="K3686">
        <v>1.1104590000000001</v>
      </c>
      <c r="L3686">
        <v>68.376739999999998</v>
      </c>
      <c r="M3686">
        <v>-3.8095650000000002E-2</v>
      </c>
      <c r="N3686">
        <v>0</v>
      </c>
      <c r="O3686">
        <v>-0.9991757</v>
      </c>
      <c r="P3686">
        <v>8.6920960000000005E-2</v>
      </c>
      <c r="Q3686">
        <v>3.5586819999999998E-2</v>
      </c>
      <c r="R3686">
        <v>-0.99557980000000001</v>
      </c>
      <c r="S3686">
        <v>0.27096559999999997</v>
      </c>
      <c r="T3686">
        <v>-0.24647929999999901</v>
      </c>
      <c r="U3686">
        <v>-2.99850499999999</v>
      </c>
      <c r="V3686">
        <v>-0.1247925</v>
      </c>
      <c r="W3686">
        <v>4.9504369999999999E-2</v>
      </c>
      <c r="X3686">
        <v>0.99094709999999997</v>
      </c>
      <c r="Y3686">
        <v>-0.12758069999999999</v>
      </c>
      <c r="Z3686">
        <v>8.1335690000000002E-2</v>
      </c>
      <c r="AA3686">
        <v>0.98848749999999996</v>
      </c>
      <c r="AB3686">
        <v>37</v>
      </c>
      <c r="AC3686">
        <v>1.23449999999996</v>
      </c>
      <c r="AD3686">
        <v>-1.110461771947</v>
      </c>
      <c r="AE3686">
        <v>-13.146800000000001</v>
      </c>
      <c r="AF3686">
        <v>-1.72230832912433</v>
      </c>
      <c r="AG3686">
        <v>-1.110461771947</v>
      </c>
      <c r="AH3686">
        <v>12.9982945804948</v>
      </c>
      <c r="AI3686">
        <v>94.840891874164896</v>
      </c>
      <c r="AJ3686">
        <v>97.547874345668305</v>
      </c>
      <c r="AK3686">
        <v>13.1588424007907</v>
      </c>
    </row>
    <row r="3687" spans="1:37" x14ac:dyDescent="0.2">
      <c r="A3687" t="str">
        <f>"20200111154139522"</f>
        <v>20200111154139522</v>
      </c>
      <c r="B3687" t="str">
        <f>"1578728499519774"</f>
        <v>1578728499519774</v>
      </c>
      <c r="C3687" t="s">
        <v>37</v>
      </c>
      <c r="D3687">
        <v>5.2679799999999997</v>
      </c>
      <c r="E3687">
        <v>0.49609890000000001</v>
      </c>
      <c r="F3687" t="s">
        <v>39</v>
      </c>
      <c r="G3687">
        <v>-421.32170000000002</v>
      </c>
      <c r="H3687" s="1">
        <v>-2.6057790000000002E-6</v>
      </c>
      <c r="I3687">
        <v>54.843469999999897</v>
      </c>
      <c r="J3687">
        <v>-422.57150000000001</v>
      </c>
      <c r="K3687">
        <v>1.110466</v>
      </c>
      <c r="L3687">
        <v>68.012019999999893</v>
      </c>
      <c r="M3687">
        <v>-3.8001409999999999E-2</v>
      </c>
      <c r="N3687">
        <v>0</v>
      </c>
      <c r="O3687">
        <v>-0.99917909999999899</v>
      </c>
      <c r="P3687">
        <v>8.8084510000000005E-2</v>
      </c>
      <c r="Q3687">
        <v>3.514304E-2</v>
      </c>
      <c r="R3687">
        <v>-0.99549290000000001</v>
      </c>
      <c r="S3687">
        <v>0.27380369999999998</v>
      </c>
      <c r="T3687">
        <v>-0.24601489999999901</v>
      </c>
      <c r="U3687">
        <v>-2.9981990000000001</v>
      </c>
      <c r="V3687">
        <v>-0.12586019999999901</v>
      </c>
      <c r="W3687">
        <v>4.9052400000000003E-2</v>
      </c>
      <c r="X3687">
        <v>0.99083449999999995</v>
      </c>
      <c r="Y3687">
        <v>-0.12842529999999999</v>
      </c>
      <c r="Z3687">
        <v>8.118417E-2</v>
      </c>
      <c r="AA3687">
        <v>0.98839059999999901</v>
      </c>
      <c r="AB3687">
        <v>37</v>
      </c>
      <c r="AC3687">
        <v>1.24979999999999</v>
      </c>
      <c r="AD3687">
        <v>-1.1104686057790001</v>
      </c>
      <c r="AE3687">
        <v>-13.1685499999999</v>
      </c>
      <c r="AF3687">
        <v>-1.7371272385241701</v>
      </c>
      <c r="AG3687">
        <v>-1.1104686057790001</v>
      </c>
      <c r="AH3687">
        <v>13.019779041905499</v>
      </c>
      <c r="AI3687">
        <v>94.832393345049795</v>
      </c>
      <c r="AJ3687">
        <v>97.599644653379698</v>
      </c>
      <c r="AK3687">
        <v>13.182010387922</v>
      </c>
    </row>
    <row r="3688" spans="1:37" x14ac:dyDescent="0.2">
      <c r="A3688" t="str">
        <f>"20200111154139547"</f>
        <v>20200111154139547</v>
      </c>
      <c r="B3688" t="str">
        <f>"1578728499540269"</f>
        <v>1578728499540269</v>
      </c>
      <c r="C3688" t="s">
        <v>37</v>
      </c>
      <c r="D3688">
        <v>5.2427460000000004</v>
      </c>
      <c r="E3688">
        <v>0.49623539999999999</v>
      </c>
      <c r="F3688" t="s">
        <v>39</v>
      </c>
      <c r="G3688">
        <v>-421.3329</v>
      </c>
      <c r="H3688" s="1">
        <v>-2.4803440000000002E-6</v>
      </c>
      <c r="I3688">
        <v>54.5441199999999</v>
      </c>
      <c r="J3688">
        <v>-422.58589999999998</v>
      </c>
      <c r="K3688">
        <v>1.110479</v>
      </c>
      <c r="L3688">
        <v>67.629490000000004</v>
      </c>
      <c r="M3688">
        <v>-3.7895599999999897E-2</v>
      </c>
      <c r="N3688">
        <v>0</v>
      </c>
      <c r="O3688">
        <v>-0.99918309999999999</v>
      </c>
      <c r="P3688">
        <v>8.8823009999999994E-2</v>
      </c>
      <c r="Q3688">
        <v>3.399742E-2</v>
      </c>
      <c r="R3688">
        <v>-0.995467199999999</v>
      </c>
      <c r="S3688">
        <v>0.27569579999999999</v>
      </c>
      <c r="T3688">
        <v>-0.24718779999999901</v>
      </c>
      <c r="U3688">
        <v>-2.997925</v>
      </c>
      <c r="V3688">
        <v>-0.1264933</v>
      </c>
      <c r="W3688">
        <v>4.7900289999999998E-2</v>
      </c>
      <c r="X3688">
        <v>0.99081030000000003</v>
      </c>
      <c r="Y3688">
        <v>-0.12894420000000001</v>
      </c>
      <c r="Z3688">
        <v>8.1571439999999995E-2</v>
      </c>
      <c r="AA3688">
        <v>0.98829120000000004</v>
      </c>
      <c r="AB3688">
        <v>37</v>
      </c>
      <c r="AC3688">
        <v>1.2529999999999799</v>
      </c>
      <c r="AD3688">
        <v>-1.110481480344</v>
      </c>
      <c r="AE3688">
        <v>-13.085369999999999</v>
      </c>
      <c r="AF3688">
        <v>-1.7356401744001999</v>
      </c>
      <c r="AG3688">
        <v>-1.110481480344</v>
      </c>
      <c r="AH3688">
        <v>12.9361618962007</v>
      </c>
      <c r="AI3688">
        <v>94.863060358642699</v>
      </c>
      <c r="AJ3688">
        <v>97.641718023112603</v>
      </c>
      <c r="AK3688">
        <v>13.099232822493599</v>
      </c>
    </row>
    <row r="3689" spans="1:37" x14ac:dyDescent="0.2">
      <c r="A3689" t="str">
        <f>"20200111154139568"</f>
        <v>20200111154139568</v>
      </c>
      <c r="B3689" t="str">
        <f>"1578728499559791"</f>
        <v>1578728499559791</v>
      </c>
      <c r="C3689" t="s">
        <v>37</v>
      </c>
      <c r="D3689">
        <v>5.2219939999999996</v>
      </c>
      <c r="E3689">
        <v>0.49636910000000001</v>
      </c>
      <c r="F3689" t="s">
        <v>39</v>
      </c>
      <c r="G3689">
        <v>-421.35489999999999</v>
      </c>
      <c r="H3689" s="1">
        <v>-2.38050099999999E-6</v>
      </c>
      <c r="I3689">
        <v>54.297789999999999</v>
      </c>
      <c r="J3689">
        <v>-422.60019999999997</v>
      </c>
      <c r="K3689">
        <v>1.1104810000000001</v>
      </c>
      <c r="L3689">
        <v>67.251769999999993</v>
      </c>
      <c r="M3689">
        <v>-3.7788290000000002E-2</v>
      </c>
      <c r="N3689">
        <v>0</v>
      </c>
      <c r="O3689">
        <v>-0.99918739999999995</v>
      </c>
      <c r="P3689">
        <v>9.05503E-2</v>
      </c>
      <c r="Q3689">
        <v>3.4383520000000001E-2</v>
      </c>
      <c r="R3689">
        <v>-0.99529869999999898</v>
      </c>
      <c r="S3689">
        <v>0.2767944</v>
      </c>
      <c r="T3689">
        <v>-0.24967800000000001</v>
      </c>
      <c r="U3689">
        <v>-2.9974669999999999</v>
      </c>
      <c r="V3689">
        <v>-0.12810759999999999</v>
      </c>
      <c r="W3689">
        <v>4.8278469999999997E-2</v>
      </c>
      <c r="X3689">
        <v>0.99058449999999998</v>
      </c>
      <c r="Y3689">
        <v>-0.12920429999999999</v>
      </c>
      <c r="Z3689">
        <v>8.2397750000000006E-2</v>
      </c>
      <c r="AA3689">
        <v>0.98818869999999903</v>
      </c>
      <c r="AB3689">
        <v>37</v>
      </c>
      <c r="AC3689">
        <v>1.2452999999999801</v>
      </c>
      <c r="AD3689">
        <v>-1.1104833805009999</v>
      </c>
      <c r="AE3689">
        <v>-12.9539799999999</v>
      </c>
      <c r="AF3689">
        <v>-1.72143260468325</v>
      </c>
      <c r="AG3689">
        <v>-1.1104833805009999</v>
      </c>
      <c r="AH3689">
        <v>12.804427829038101</v>
      </c>
      <c r="AI3689">
        <v>94.912682420059795</v>
      </c>
      <c r="AJ3689">
        <v>97.656957505969402</v>
      </c>
      <c r="AK3689">
        <v>12.967261683944001</v>
      </c>
    </row>
    <row r="3690" spans="1:37" x14ac:dyDescent="0.2">
      <c r="A3690" t="str">
        <f>"20200111154139590"</f>
        <v>20200111154139590</v>
      </c>
      <c r="B3690" t="str">
        <f>"1578728499580286"</f>
        <v>1578728499580286</v>
      </c>
      <c r="C3690" t="s">
        <v>37</v>
      </c>
      <c r="D3690">
        <v>5.1654910000000003</v>
      </c>
      <c r="E3690">
        <v>0.49648729999999902</v>
      </c>
      <c r="F3690" t="s">
        <v>39</v>
      </c>
      <c r="G3690">
        <v>-421.34379999999999</v>
      </c>
      <c r="H3690" s="1">
        <v>-2.168505E-6</v>
      </c>
      <c r="I3690">
        <v>53.810479999999998</v>
      </c>
      <c r="J3690">
        <v>-422.61329999999998</v>
      </c>
      <c r="K3690">
        <v>1.110498</v>
      </c>
      <c r="L3690">
        <v>66.901119999999906</v>
      </c>
      <c r="M3690">
        <v>-3.7688720000000002E-2</v>
      </c>
      <c r="N3690">
        <v>0</v>
      </c>
      <c r="O3690">
        <v>-0.99919099999999905</v>
      </c>
      <c r="P3690">
        <v>9.2487749999999994E-2</v>
      </c>
      <c r="Q3690">
        <v>3.9332220000000001E-2</v>
      </c>
      <c r="R3690">
        <v>-0.99493670000000001</v>
      </c>
      <c r="S3690">
        <v>0.28015139999999999</v>
      </c>
      <c r="T3690">
        <v>-0.24762500000000001</v>
      </c>
      <c r="U3690">
        <v>-2.99725299999999</v>
      </c>
      <c r="V3690">
        <v>-0.129932399999999</v>
      </c>
      <c r="W3690">
        <v>5.3216409999999999E-2</v>
      </c>
      <c r="X3690">
        <v>0.99009369999999997</v>
      </c>
      <c r="Y3690">
        <v>-0.13021440000000001</v>
      </c>
      <c r="Z3690">
        <v>8.1721409999999994E-2</v>
      </c>
      <c r="AA3690">
        <v>0.98811229999999906</v>
      </c>
      <c r="AB3690">
        <v>37</v>
      </c>
      <c r="AC3690">
        <v>1.2694999999999901</v>
      </c>
      <c r="AD3690">
        <v>-1.110500168505</v>
      </c>
      <c r="AE3690">
        <v>-13.090639999999899</v>
      </c>
      <c r="AF3690">
        <v>-1.7495428139996501</v>
      </c>
      <c r="AG3690">
        <v>-1.110500168505</v>
      </c>
      <c r="AH3690">
        <v>12.941224518155</v>
      </c>
      <c r="AI3690">
        <v>94.860594578435993</v>
      </c>
      <c r="AJ3690">
        <v>97.699220030453603</v>
      </c>
      <c r="AK3690">
        <v>13.1060826607939</v>
      </c>
    </row>
    <row r="3691" spans="1:37" x14ac:dyDescent="0.2">
      <c r="A3691" t="str">
        <f>"20200111154139612"</f>
        <v>20200111154139612</v>
      </c>
      <c r="B3691" t="str">
        <f>"1578728499599806"</f>
        <v>1578728499599806</v>
      </c>
      <c r="C3691" t="s">
        <v>37</v>
      </c>
      <c r="D3691">
        <v>5.2610710000000003</v>
      </c>
      <c r="E3691">
        <v>0.49660539999999997</v>
      </c>
      <c r="F3691" t="s">
        <v>39</v>
      </c>
      <c r="G3691">
        <v>-421.25909999999999</v>
      </c>
      <c r="H3691" s="1">
        <v>-1.607177E-6</v>
      </c>
      <c r="I3691">
        <v>52.55453</v>
      </c>
      <c r="J3691">
        <v>-422.62729999999999</v>
      </c>
      <c r="K3691">
        <v>1.1105119999999999</v>
      </c>
      <c r="L3691">
        <v>66.527500000000003</v>
      </c>
      <c r="M3691">
        <v>-3.7583760000000001E-2</v>
      </c>
      <c r="N3691">
        <v>0</v>
      </c>
      <c r="O3691">
        <v>-0.9991949</v>
      </c>
      <c r="P3691">
        <v>9.4986730000000005E-2</v>
      </c>
      <c r="Q3691">
        <v>4.4235620000000003E-2</v>
      </c>
      <c r="R3691">
        <v>-0.99449529999999997</v>
      </c>
      <c r="S3691">
        <v>0.2829895</v>
      </c>
      <c r="T3691">
        <v>-0.23207120000000001</v>
      </c>
      <c r="U3691">
        <v>-2.998138</v>
      </c>
      <c r="V3691">
        <v>-0.13231080000000001</v>
      </c>
      <c r="W3691">
        <v>5.8107850000000003E-2</v>
      </c>
      <c r="X3691">
        <v>0.98950360000000004</v>
      </c>
      <c r="Y3691">
        <v>-0.13104879999999999</v>
      </c>
      <c r="Z3691">
        <v>7.65903E-2</v>
      </c>
      <c r="AA3691">
        <v>0.98841290000000004</v>
      </c>
      <c r="AB3691">
        <v>37</v>
      </c>
      <c r="AC3691">
        <v>1.3682000000000001</v>
      </c>
      <c r="AD3691">
        <v>-1.1105136071770001</v>
      </c>
      <c r="AE3691">
        <v>-13.972969999999901</v>
      </c>
      <c r="AF3691">
        <v>-1.8806753370273299</v>
      </c>
      <c r="AG3691">
        <v>-1.1105136071770001</v>
      </c>
      <c r="AH3691">
        <v>13.825172571430301</v>
      </c>
      <c r="AI3691">
        <v>94.550716967615998</v>
      </c>
      <c r="AJ3691">
        <v>97.746549207889601</v>
      </c>
      <c r="AK3691">
        <v>13.996627337500099</v>
      </c>
    </row>
    <row r="3692" spans="1:37" x14ac:dyDescent="0.2">
      <c r="A3692" t="str">
        <f>"20200111154139635"</f>
        <v>20200111154139635</v>
      </c>
      <c r="B3692" t="str">
        <f>"1578728499630061"</f>
        <v>1578728499630061</v>
      </c>
      <c r="C3692" t="s">
        <v>37</v>
      </c>
      <c r="D3692">
        <v>5.1292260000000001</v>
      </c>
      <c r="E3692">
        <v>0.49674099999999999</v>
      </c>
      <c r="F3692" t="s">
        <v>39</v>
      </c>
      <c r="G3692">
        <v>-421.15300000000002</v>
      </c>
      <c r="H3692" s="1">
        <v>-9.7680359999999899E-7</v>
      </c>
      <c r="I3692">
        <v>51.150909999999897</v>
      </c>
      <c r="J3692">
        <v>-422.64139999999998</v>
      </c>
      <c r="K3692">
        <v>1.110503</v>
      </c>
      <c r="L3692">
        <v>66.149319999999904</v>
      </c>
      <c r="M3692">
        <v>-3.7478850000000001E-2</v>
      </c>
      <c r="N3692">
        <v>0</v>
      </c>
      <c r="O3692">
        <v>-0.9991989</v>
      </c>
      <c r="P3692">
        <v>9.8618709999999998E-2</v>
      </c>
      <c r="Q3692">
        <v>4.4196720000000002E-2</v>
      </c>
      <c r="R3692">
        <v>-0.99414349999999996</v>
      </c>
      <c r="S3692">
        <v>0.28750609999999999</v>
      </c>
      <c r="T3692">
        <v>-0.21657489999999999</v>
      </c>
      <c r="U3692">
        <v>-2.9987789999999999</v>
      </c>
      <c r="V3692">
        <v>-0.13582359999999999</v>
      </c>
      <c r="W3692">
        <v>5.8058329999999998E-2</v>
      </c>
      <c r="X3692">
        <v>0.98903039999999998</v>
      </c>
      <c r="Y3692">
        <v>-0.13243640000000001</v>
      </c>
      <c r="Z3692">
        <v>7.147705E-2</v>
      </c>
      <c r="AA3692">
        <v>0.98861100000000002</v>
      </c>
      <c r="AB3692">
        <v>37</v>
      </c>
      <c r="AC3692">
        <v>1.48839999999995</v>
      </c>
      <c r="AD3692">
        <v>-1.1105039768036</v>
      </c>
      <c r="AE3692">
        <v>-14.9984099999999</v>
      </c>
      <c r="AF3692">
        <v>-2.0384664117529199</v>
      </c>
      <c r="AG3692">
        <v>-1.1105039768036</v>
      </c>
      <c r="AH3692">
        <v>14.851457620406499</v>
      </c>
      <c r="AI3692">
        <v>94.236705076033005</v>
      </c>
      <c r="AJ3692">
        <v>97.815411128195905</v>
      </c>
      <c r="AK3692">
        <v>15.031778266228899</v>
      </c>
    </row>
    <row r="3693" spans="1:37" x14ac:dyDescent="0.2">
      <c r="A3693" t="str">
        <f>"20200111154139658"</f>
        <v>20200111154139658</v>
      </c>
      <c r="B3693" t="str">
        <f>"1578728499649583"</f>
        <v>1578728499649583</v>
      </c>
      <c r="C3693" t="s">
        <v>37</v>
      </c>
      <c r="D3693">
        <v>5.1554549999999999</v>
      </c>
      <c r="E3693">
        <v>0.49683270000000002</v>
      </c>
      <c r="F3693" t="s">
        <v>39</v>
      </c>
      <c r="G3693">
        <v>-421.12549999999999</v>
      </c>
      <c r="H3693" s="1">
        <v>-8.021333E-7</v>
      </c>
      <c r="I3693">
        <v>50.760829999999999</v>
      </c>
      <c r="J3693">
        <v>-422.65539999999999</v>
      </c>
      <c r="K3693">
        <v>1.1104780000000001</v>
      </c>
      <c r="L3693">
        <v>65.770629999999997</v>
      </c>
      <c r="M3693">
        <v>-3.7372429999999998E-2</v>
      </c>
      <c r="N3693">
        <v>0</v>
      </c>
      <c r="O3693">
        <v>-0.99920319999999996</v>
      </c>
      <c r="P3693">
        <v>0.103682</v>
      </c>
      <c r="Q3693">
        <v>3.9964689999999997E-2</v>
      </c>
      <c r="R3693">
        <v>-0.99380769999999996</v>
      </c>
      <c r="S3693">
        <v>0.29531859999999999</v>
      </c>
      <c r="T3693">
        <v>-0.2163484</v>
      </c>
      <c r="U3693">
        <v>-2.997986</v>
      </c>
      <c r="V3693">
        <v>-0.14076529999999901</v>
      </c>
      <c r="W3693">
        <v>5.3814929999999997E-2</v>
      </c>
      <c r="X3693">
        <v>0.98857929999999905</v>
      </c>
      <c r="Y3693">
        <v>-0.134908</v>
      </c>
      <c r="Z3693">
        <v>7.1400899999999906E-2</v>
      </c>
      <c r="AA3693">
        <v>0.9882822</v>
      </c>
      <c r="AB3693">
        <v>37</v>
      </c>
      <c r="AC3693">
        <v>1.52989999999999</v>
      </c>
      <c r="AD3693">
        <v>-1.1104788021333001</v>
      </c>
      <c r="AE3693">
        <v>-15.0098</v>
      </c>
      <c r="AF3693">
        <v>-2.0785785054014201</v>
      </c>
      <c r="AG3693">
        <v>-1.1104788021333001</v>
      </c>
      <c r="AH3693">
        <v>14.861620790825</v>
      </c>
      <c r="AI3693">
        <v>94.232228948459607</v>
      </c>
      <c r="AJ3693">
        <v>97.961864871453699</v>
      </c>
      <c r="AK3693">
        <v>15.0473062141828</v>
      </c>
    </row>
    <row r="3694" spans="1:37" x14ac:dyDescent="0.2">
      <c r="A3694" t="str">
        <f>"20200111154139679"</f>
        <v>20200111154139679</v>
      </c>
      <c r="B3694" t="str">
        <f>"1578728499670078"</f>
        <v>1578728499670078</v>
      </c>
      <c r="C3694" t="s">
        <v>37</v>
      </c>
      <c r="D3694">
        <v>5.1951089999999898</v>
      </c>
      <c r="E3694">
        <v>0.49691579999999902</v>
      </c>
      <c r="F3694" t="s">
        <v>39</v>
      </c>
      <c r="G3694">
        <v>-421.1635</v>
      </c>
      <c r="H3694" s="1">
        <v>-1.0174279999999999E-6</v>
      </c>
      <c r="I3694">
        <v>51.239150000000002</v>
      </c>
      <c r="J3694">
        <v>-422.66829999999999</v>
      </c>
      <c r="K3694">
        <v>1.1104590000000001</v>
      </c>
      <c r="L3694">
        <v>65.421229999999994</v>
      </c>
      <c r="M3694">
        <v>-3.726339E-2</v>
      </c>
      <c r="N3694">
        <v>0</v>
      </c>
      <c r="O3694">
        <v>-0.99920730000000002</v>
      </c>
      <c r="P3694">
        <v>0.10857409999999899</v>
      </c>
      <c r="Q3694">
        <v>3.56741E-2</v>
      </c>
      <c r="R3694">
        <v>-0.99344840000000001</v>
      </c>
      <c r="S3694">
        <v>0.30758669999999999</v>
      </c>
      <c r="T3694">
        <v>-0.2289371</v>
      </c>
      <c r="U3694">
        <v>-2.995819</v>
      </c>
      <c r="V3694">
        <v>-0.1455322</v>
      </c>
      <c r="W3694">
        <v>4.9512470000000003E-2</v>
      </c>
      <c r="X3694">
        <v>0.98811380000000004</v>
      </c>
      <c r="Y3694">
        <v>-0.13884369999999999</v>
      </c>
      <c r="Z3694">
        <v>7.5550709999999993E-2</v>
      </c>
      <c r="AA3694">
        <v>0.98742819999999998</v>
      </c>
      <c r="AB3694">
        <v>37</v>
      </c>
      <c r="AC3694">
        <v>1.5047999999999799</v>
      </c>
      <c r="AD3694">
        <v>-1.1104600174279999</v>
      </c>
      <c r="AE3694">
        <v>-14.182079999999999</v>
      </c>
      <c r="AF3694">
        <v>-2.0200321254506002</v>
      </c>
      <c r="AG3694">
        <v>-1.1104600174279999</v>
      </c>
      <c r="AH3694">
        <v>14.0310830502934</v>
      </c>
      <c r="AI3694">
        <v>94.479129337717396</v>
      </c>
      <c r="AJ3694">
        <v>98.192487754372394</v>
      </c>
      <c r="AK3694">
        <v>14.219175180100599</v>
      </c>
    </row>
    <row r="3695" spans="1:37" x14ac:dyDescent="0.2">
      <c r="A3695" t="str">
        <f>"20200111154139702"</f>
        <v>20200111154139702</v>
      </c>
      <c r="B3695" t="str">
        <f>"1578728499689598"</f>
        <v>1578728499689598</v>
      </c>
      <c r="C3695" t="s">
        <v>37</v>
      </c>
      <c r="D3695">
        <v>5.1507230000000002</v>
      </c>
      <c r="E3695">
        <v>0.49698559999999897</v>
      </c>
      <c r="F3695" t="s">
        <v>39</v>
      </c>
      <c r="G3695">
        <v>-421.19450000000001</v>
      </c>
      <c r="H3695" s="1">
        <v>-1.213381E-6</v>
      </c>
      <c r="I3695">
        <v>51.676670000000001</v>
      </c>
      <c r="J3695">
        <v>-422.68180000000001</v>
      </c>
      <c r="K3695">
        <v>1.1104559999999899</v>
      </c>
      <c r="L3695">
        <v>65.05829</v>
      </c>
      <c r="M3695">
        <v>-3.7126729999999997E-2</v>
      </c>
      <c r="N3695">
        <v>0</v>
      </c>
      <c r="O3695">
        <v>-0.99921229999999905</v>
      </c>
      <c r="P3695">
        <v>0.1138065</v>
      </c>
      <c r="Q3695">
        <v>3.3284540000000001E-2</v>
      </c>
      <c r="R3695">
        <v>-0.99294509999999903</v>
      </c>
      <c r="S3695">
        <v>0.32098389999999999</v>
      </c>
      <c r="T3695">
        <v>-0.24184310000000001</v>
      </c>
      <c r="U3695">
        <v>-2.9933779999999999</v>
      </c>
      <c r="V3695">
        <v>-0.1506082</v>
      </c>
      <c r="W3695">
        <v>4.7104390000000003E-2</v>
      </c>
      <c r="X3695">
        <v>0.98747070000000003</v>
      </c>
      <c r="Y3695">
        <v>-0.14312439999999901</v>
      </c>
      <c r="Z3695">
        <v>7.9804990000000006E-2</v>
      </c>
      <c r="AA3695">
        <v>0.98648189999999902</v>
      </c>
      <c r="AB3695">
        <v>37</v>
      </c>
      <c r="AC3695">
        <v>1.4873000000000001</v>
      </c>
      <c r="AD3695">
        <v>-1.11045721338099</v>
      </c>
      <c r="AE3695">
        <v>-13.3816199999999</v>
      </c>
      <c r="AF3695">
        <v>-1.9697402701342099</v>
      </c>
      <c r="AG3695">
        <v>-1.11045721338099</v>
      </c>
      <c r="AH3695">
        <v>13.227193413581499</v>
      </c>
      <c r="AI3695">
        <v>94.746775835812898</v>
      </c>
      <c r="AJ3695">
        <v>98.470012073025401</v>
      </c>
      <c r="AK3695">
        <v>13.4190773734573</v>
      </c>
    </row>
    <row r="3696" spans="1:37" x14ac:dyDescent="0.2">
      <c r="A3696" t="str">
        <f>"20200111154139724"</f>
        <v>20200111154139724</v>
      </c>
      <c r="B3696" t="str">
        <f>"1578728499719854"</f>
        <v>1578728499719854</v>
      </c>
      <c r="C3696" t="s">
        <v>37</v>
      </c>
      <c r="D3696">
        <v>5.1917429999999998</v>
      </c>
      <c r="E3696">
        <v>0.46393640000000003</v>
      </c>
      <c r="F3696" t="s">
        <v>39</v>
      </c>
      <c r="G3696">
        <v>-421.18950000000001</v>
      </c>
      <c r="H3696" s="1">
        <v>-1.257921E-6</v>
      </c>
      <c r="I3696">
        <v>51.783580000000001</v>
      </c>
      <c r="J3696">
        <v>-422.69549999999998</v>
      </c>
      <c r="K3696">
        <v>1.1104860000000001</v>
      </c>
      <c r="L3696">
        <v>64.683959999999999</v>
      </c>
      <c r="M3696">
        <v>-3.6942870000000003E-2</v>
      </c>
      <c r="N3696">
        <v>0</v>
      </c>
      <c r="O3696">
        <v>-0.99921919999999897</v>
      </c>
      <c r="P3696">
        <v>0.11711189999999901</v>
      </c>
      <c r="Q3696">
        <v>3.2188000000000001E-2</v>
      </c>
      <c r="R3696">
        <v>-0.99259730000000002</v>
      </c>
      <c r="S3696">
        <v>0.33624270000000001</v>
      </c>
      <c r="T3696">
        <v>-0.25021589999999999</v>
      </c>
      <c r="U3696">
        <v>-2.9911500000000002</v>
      </c>
      <c r="V3696">
        <v>-0.15371979999999999</v>
      </c>
      <c r="W3696">
        <v>4.5988370000000001E-2</v>
      </c>
      <c r="X3696">
        <v>0.98704369999999997</v>
      </c>
      <c r="Y3696">
        <v>-0.1479656</v>
      </c>
      <c r="Z3696">
        <v>8.2558290000000006E-2</v>
      </c>
      <c r="AA3696">
        <v>0.98554059999999899</v>
      </c>
      <c r="AB3696">
        <v>37</v>
      </c>
      <c r="AC3696">
        <v>1.50599999999997</v>
      </c>
      <c r="AD3696">
        <v>-1.1104872579209999</v>
      </c>
      <c r="AE3696">
        <v>-12.900379999999901</v>
      </c>
      <c r="AF3696">
        <v>-1.96721439679248</v>
      </c>
      <c r="AG3696">
        <v>-1.1104872579209999</v>
      </c>
      <c r="AH3696">
        <v>12.7427755152349</v>
      </c>
      <c r="AI3696">
        <v>94.922517507478602</v>
      </c>
      <c r="AJ3696">
        <v>98.775972640827703</v>
      </c>
      <c r="AK3696">
        <v>12.9414621378198</v>
      </c>
    </row>
    <row r="3697" spans="1:37" x14ac:dyDescent="0.2">
      <c r="A3697" t="str">
        <f>"20200111154139747"</f>
        <v>20200111154139747</v>
      </c>
      <c r="B3697" t="str">
        <f>"1578728499740349"</f>
        <v>1578728499740349</v>
      </c>
      <c r="C3697" t="s">
        <v>37</v>
      </c>
      <c r="D3697">
        <v>5.2372259999999997</v>
      </c>
      <c r="E3697">
        <v>0.44786159999999903</v>
      </c>
      <c r="F3697" t="s">
        <v>39</v>
      </c>
      <c r="G3697">
        <v>-420.56099999999998</v>
      </c>
      <c r="H3697" s="1">
        <v>-2.1387890000000001E-6</v>
      </c>
      <c r="I3697">
        <v>54.226719999999901</v>
      </c>
      <c r="J3697">
        <v>-422.709</v>
      </c>
      <c r="K3697">
        <v>1.110514</v>
      </c>
      <c r="L3697">
        <v>64.311040000000006</v>
      </c>
      <c r="M3697">
        <v>-3.6700129999999997E-2</v>
      </c>
      <c r="N3697">
        <v>0</v>
      </c>
      <c r="O3697">
        <v>-0.99922809999999995</v>
      </c>
      <c r="P3697">
        <v>0.121588899999999</v>
      </c>
      <c r="Q3697">
        <v>3.0904729999999998E-2</v>
      </c>
      <c r="R3697">
        <v>-0.99209950000000002</v>
      </c>
      <c r="S3697">
        <v>0.60443119999999995</v>
      </c>
      <c r="T3697">
        <v>-0.3144671</v>
      </c>
      <c r="U3697">
        <v>-2.9612729999999998</v>
      </c>
      <c r="V3697">
        <v>-0.15793969999999999</v>
      </c>
      <c r="W3697">
        <v>4.467604E-2</v>
      </c>
      <c r="X3697">
        <v>0.98643760000000003</v>
      </c>
      <c r="Y3697">
        <v>-0.2347496</v>
      </c>
      <c r="Z3697">
        <v>0.1029665</v>
      </c>
      <c r="AA3697">
        <v>0.96658709999999903</v>
      </c>
      <c r="AB3697">
        <v>37</v>
      </c>
      <c r="AC3697">
        <v>2.1480000000000201</v>
      </c>
      <c r="AD3697">
        <v>-1.1105161387889999</v>
      </c>
      <c r="AE3697">
        <v>-10.08432</v>
      </c>
      <c r="AF3697">
        <v>-2.4878242091345402</v>
      </c>
      <c r="AG3697">
        <v>-1.1105161387889999</v>
      </c>
      <c r="AH3697">
        <v>9.8840233586958597</v>
      </c>
      <c r="AI3697">
        <v>96.218205637181399</v>
      </c>
      <c r="AJ3697">
        <v>104.127964641891</v>
      </c>
      <c r="AK3697">
        <v>10.2526305475869</v>
      </c>
    </row>
    <row r="3698" spans="1:37" x14ac:dyDescent="0.2">
      <c r="A3698" t="str">
        <f>"20200111154139769"</f>
        <v>20200111154139769</v>
      </c>
      <c r="B3698" t="str">
        <f>"1578728499759869"</f>
        <v>1578728499759869</v>
      </c>
      <c r="C3698" t="s">
        <v>37</v>
      </c>
      <c r="D3698">
        <v>5.1143980000000004</v>
      </c>
      <c r="E3698">
        <v>0.4432952</v>
      </c>
      <c r="F3698" t="s">
        <v>39</v>
      </c>
      <c r="G3698">
        <v>-419.89659999999998</v>
      </c>
      <c r="H3698" s="1">
        <v>-1.5728020000000001E-6</v>
      </c>
      <c r="I3698">
        <v>53.256269999999901</v>
      </c>
      <c r="J3698">
        <v>-422.72190000000001</v>
      </c>
      <c r="K3698">
        <v>1.110555</v>
      </c>
      <c r="L3698">
        <v>63.951050000000002</v>
      </c>
      <c r="M3698">
        <v>-3.641382E-2</v>
      </c>
      <c r="N3698">
        <v>0</v>
      </c>
      <c r="O3698">
        <v>-0.99923839999999997</v>
      </c>
      <c r="P3698">
        <v>0.12505169999999999</v>
      </c>
      <c r="Q3698">
        <v>2.9686810000000001E-2</v>
      </c>
      <c r="R3698">
        <v>-0.99170609999999904</v>
      </c>
      <c r="S3698">
        <v>0.74829100000000004</v>
      </c>
      <c r="T3698">
        <v>-0.29547829999999897</v>
      </c>
      <c r="U3698">
        <v>-2.941376</v>
      </c>
      <c r="V3698">
        <v>-0.16110769999999999</v>
      </c>
      <c r="W3698">
        <v>4.3430320000000001E-2</v>
      </c>
      <c r="X3698">
        <v>0.98598079999999999</v>
      </c>
      <c r="Y3698">
        <v>-0.28052739999999998</v>
      </c>
      <c r="Z3698">
        <v>9.6326369999999994E-2</v>
      </c>
      <c r="AA3698">
        <v>0.95500030000000002</v>
      </c>
      <c r="AB3698">
        <v>37</v>
      </c>
      <c r="AC3698">
        <v>2.8253000000000199</v>
      </c>
      <c r="AD3698">
        <v>-1.1105565728019999</v>
      </c>
      <c r="AE3698">
        <v>-10.69478</v>
      </c>
      <c r="AF3698">
        <v>-3.1808406443749</v>
      </c>
      <c r="AG3698">
        <v>-1.1105565728019999</v>
      </c>
      <c r="AH3698">
        <v>10.4791707516542</v>
      </c>
      <c r="AI3698">
        <v>95.790497572061497</v>
      </c>
      <c r="AJ3698">
        <v>106.88510805819099</v>
      </c>
      <c r="AK3698">
        <v>11.007456688473701</v>
      </c>
    </row>
    <row r="3699" spans="1:37" x14ac:dyDescent="0.2">
      <c r="A3699" t="str">
        <f>"20200111154139791"</f>
        <v>20200111154139791</v>
      </c>
      <c r="B3699" t="str">
        <f>"1578728499779390"</f>
        <v>1578728499779390</v>
      </c>
      <c r="C3699" t="s">
        <v>37</v>
      </c>
      <c r="D3699">
        <v>5.0863529999999999</v>
      </c>
      <c r="E3699">
        <v>0.44223899999999999</v>
      </c>
      <c r="F3699" t="s">
        <v>39</v>
      </c>
      <c r="G3699">
        <v>-419.66849999999999</v>
      </c>
      <c r="H3699" s="1">
        <v>-1.369601E-6</v>
      </c>
      <c r="I3699">
        <v>52.688269999999903</v>
      </c>
      <c r="J3699">
        <v>-422.73489999999998</v>
      </c>
      <c r="K3699">
        <v>1.1105959999999999</v>
      </c>
      <c r="L3699">
        <v>63.584869999999903</v>
      </c>
      <c r="M3699">
        <v>-3.6053370000000001E-2</v>
      </c>
      <c r="N3699">
        <v>0</v>
      </c>
      <c r="O3699">
        <v>-0.99925169999999996</v>
      </c>
      <c r="P3699">
        <v>0.12840699999999999</v>
      </c>
      <c r="Q3699">
        <v>2.7646879999999999E-2</v>
      </c>
      <c r="R3699">
        <v>-0.99133640000000001</v>
      </c>
      <c r="S3699">
        <v>0.79528809999999905</v>
      </c>
      <c r="T3699">
        <v>-0.28925240000000002</v>
      </c>
      <c r="U3699">
        <v>-2.9334720000000001</v>
      </c>
      <c r="V3699">
        <v>-0.16409609999999999</v>
      </c>
      <c r="W3699">
        <v>4.1359369999999999E-2</v>
      </c>
      <c r="X3699">
        <v>0.98557689999999998</v>
      </c>
      <c r="Y3699">
        <v>-0.29512620000000001</v>
      </c>
      <c r="Z3699">
        <v>9.416252E-2</v>
      </c>
      <c r="AA3699">
        <v>0.95080699999999996</v>
      </c>
      <c r="AB3699">
        <v>37</v>
      </c>
      <c r="AC3699">
        <v>3.0663999999999798</v>
      </c>
      <c r="AD3699">
        <v>-1.1105973696009901</v>
      </c>
      <c r="AE3699">
        <v>-10.896599999999999</v>
      </c>
      <c r="AF3699">
        <v>-3.4243419955573402</v>
      </c>
      <c r="AG3699">
        <v>-1.1105973696009901</v>
      </c>
      <c r="AH3699">
        <v>10.676183565505299</v>
      </c>
      <c r="AI3699">
        <v>95.656985968413807</v>
      </c>
      <c r="AJ3699">
        <v>107.78342985273601</v>
      </c>
      <c r="AK3699">
        <v>11.2667848184061</v>
      </c>
    </row>
    <row r="3700" spans="1:37" x14ac:dyDescent="0.2">
      <c r="A3700" t="str">
        <f>"20200111154139814"</f>
        <v>20200111154139814</v>
      </c>
      <c r="B3700" t="str">
        <f>"1578728499809646"</f>
        <v>1578728499809646</v>
      </c>
      <c r="C3700" t="s">
        <v>37</v>
      </c>
      <c r="D3700">
        <v>5.126665</v>
      </c>
      <c r="E3700">
        <v>0.44235559999999902</v>
      </c>
      <c r="F3700" t="s">
        <v>39</v>
      </c>
      <c r="G3700">
        <v>-419.54790000000003</v>
      </c>
      <c r="H3700" s="1">
        <v>-1.150896E-6</v>
      </c>
      <c r="I3700">
        <v>52.128570000000003</v>
      </c>
      <c r="J3700">
        <v>-422.74790000000002</v>
      </c>
      <c r="K3700">
        <v>1.1106479999999901</v>
      </c>
      <c r="L3700">
        <v>63.214569999999902</v>
      </c>
      <c r="M3700">
        <v>-3.560137E-2</v>
      </c>
      <c r="N3700">
        <v>0</v>
      </c>
      <c r="O3700">
        <v>-0.99926780000000004</v>
      </c>
      <c r="P3700">
        <v>0.13189509999999999</v>
      </c>
      <c r="Q3700">
        <v>2.567465E-2</v>
      </c>
      <c r="R3700">
        <v>-0.99093120000000001</v>
      </c>
      <c r="S3700">
        <v>0.8147278</v>
      </c>
      <c r="T3700">
        <v>-0.28390650000000001</v>
      </c>
      <c r="U3700">
        <v>-2.9286189999999999</v>
      </c>
      <c r="V3700">
        <v>-0.167126</v>
      </c>
      <c r="W3700">
        <v>3.9351619999999997E-2</v>
      </c>
      <c r="X3700">
        <v>0.98514990000000002</v>
      </c>
      <c r="Y3700">
        <v>-0.30099809999999999</v>
      </c>
      <c r="Z3700">
        <v>9.2420699999999995E-2</v>
      </c>
      <c r="AA3700">
        <v>0.94913570000000003</v>
      </c>
      <c r="AB3700">
        <v>37</v>
      </c>
      <c r="AC3700">
        <v>3.1999999999999802</v>
      </c>
      <c r="AD3700">
        <v>-1.1106491508959999</v>
      </c>
      <c r="AE3700">
        <v>-11.085999999999901</v>
      </c>
      <c r="AF3700">
        <v>-3.5597057698427998</v>
      </c>
      <c r="AG3700">
        <v>-1.1106491508959999</v>
      </c>
      <c r="AH3700">
        <v>10.8643764424937</v>
      </c>
      <c r="AI3700">
        <v>95.548694244467498</v>
      </c>
      <c r="AJ3700">
        <v>108.14134879129099</v>
      </c>
      <c r="AK3700">
        <v>11.486501738495001</v>
      </c>
    </row>
    <row r="3701" spans="1:37" x14ac:dyDescent="0.2">
      <c r="A3701" t="str">
        <f>"20200111154139836"</f>
        <v>20200111154139836</v>
      </c>
      <c r="B3701" t="str">
        <f>"1578728499830145"</f>
        <v>1578728499830145</v>
      </c>
      <c r="C3701" t="s">
        <v>37</v>
      </c>
      <c r="D3701">
        <v>5.1365360000000004</v>
      </c>
      <c r="E3701">
        <v>0.4427198</v>
      </c>
      <c r="F3701" t="s">
        <v>39</v>
      </c>
      <c r="G3701">
        <v>-419.5018</v>
      </c>
      <c r="H3701" s="1">
        <v>-9.7163600000000009E-7</v>
      </c>
      <c r="I3701">
        <v>51.691690000000001</v>
      </c>
      <c r="J3701">
        <v>-422.7604</v>
      </c>
      <c r="K3701">
        <v>1.110708</v>
      </c>
      <c r="L3701">
        <v>62.847869999999901</v>
      </c>
      <c r="M3701">
        <v>-3.505776E-2</v>
      </c>
      <c r="N3701">
        <v>0</v>
      </c>
      <c r="O3701">
        <v>-0.99928709999999898</v>
      </c>
      <c r="P3701">
        <v>0.13468729999999901</v>
      </c>
      <c r="Q3701">
        <v>2.3535799999999999E-2</v>
      </c>
      <c r="R3701">
        <v>-0.99060879999999996</v>
      </c>
      <c r="S3701">
        <v>0.82400509999999905</v>
      </c>
      <c r="T3701">
        <v>-0.28193790000000002</v>
      </c>
      <c r="U3701">
        <v>-2.9250790000000002</v>
      </c>
      <c r="V3701">
        <v>-0.16937430000000001</v>
      </c>
      <c r="W3701">
        <v>3.7173589999999999E-2</v>
      </c>
      <c r="X3701">
        <v>0.98485049999999996</v>
      </c>
      <c r="Y3701">
        <v>-0.3035815</v>
      </c>
      <c r="Z3701">
        <v>9.1817579999999996E-2</v>
      </c>
      <c r="AA3701">
        <v>0.94837109999999902</v>
      </c>
      <c r="AB3701">
        <v>37</v>
      </c>
      <c r="AC3701">
        <v>3.2585999999999999</v>
      </c>
      <c r="AD3701">
        <v>-1.1107089716359999</v>
      </c>
      <c r="AE3701">
        <v>-11.1561799999999</v>
      </c>
      <c r="AF3701">
        <v>-3.6147322328128699</v>
      </c>
      <c r="AG3701">
        <v>-1.1107089716359999</v>
      </c>
      <c r="AH3701">
        <v>10.935199251354099</v>
      </c>
      <c r="AI3701">
        <v>95.508542172391401</v>
      </c>
      <c r="AJ3701">
        <v>108.291785612764</v>
      </c>
      <c r="AK3701">
        <v>11.5705897084559</v>
      </c>
    </row>
    <row r="3702" spans="1:37" x14ac:dyDescent="0.2">
      <c r="A3702" t="str">
        <f>"20200111154139859"</f>
        <v>20200111154139859</v>
      </c>
      <c r="B3702" t="str">
        <f>"1578728499849662"</f>
        <v>1578728499849662</v>
      </c>
      <c r="C3702" t="s">
        <v>37</v>
      </c>
      <c r="D3702">
        <v>5.1184240000000001</v>
      </c>
      <c r="E3702">
        <v>0.4430655</v>
      </c>
      <c r="F3702" t="s">
        <v>39</v>
      </c>
      <c r="G3702">
        <v>-419.52120000000002</v>
      </c>
      <c r="H3702" s="1">
        <v>-8.5980219999999899E-7</v>
      </c>
      <c r="I3702">
        <v>51.439029999999903</v>
      </c>
      <c r="J3702">
        <v>-422.77300000000002</v>
      </c>
      <c r="K3702">
        <v>1.110787</v>
      </c>
      <c r="L3702">
        <v>62.47</v>
      </c>
      <c r="M3702">
        <v>-3.4391749999999999E-2</v>
      </c>
      <c r="N3702">
        <v>0</v>
      </c>
      <c r="O3702">
        <v>-0.99931029999999998</v>
      </c>
      <c r="P3702">
        <v>0.136235299999999</v>
      </c>
      <c r="Q3702">
        <v>2.1329259999999999E-2</v>
      </c>
      <c r="R3702">
        <v>-0.99044719999999997</v>
      </c>
      <c r="S3702">
        <v>0.82971189999999995</v>
      </c>
      <c r="T3702">
        <v>-0.28450979999999998</v>
      </c>
      <c r="U3702">
        <v>-2.9223939999999899</v>
      </c>
      <c r="V3702">
        <v>-0.17026440000000001</v>
      </c>
      <c r="W3702">
        <v>3.4926760000000001E-2</v>
      </c>
      <c r="X3702">
        <v>0.98477919999999997</v>
      </c>
      <c r="Y3702">
        <v>-0.30486659999999999</v>
      </c>
      <c r="Z3702">
        <v>9.2688679999999996E-2</v>
      </c>
      <c r="AA3702">
        <v>0.94787399999999999</v>
      </c>
      <c r="AB3702">
        <v>37</v>
      </c>
      <c r="AC3702">
        <v>3.2517999999999998</v>
      </c>
      <c r="AD3702">
        <v>-1.1107878598022001</v>
      </c>
      <c r="AE3702">
        <v>-11.03097</v>
      </c>
      <c r="AF3702">
        <v>-3.59574206332907</v>
      </c>
      <c r="AG3702">
        <v>-1.1107878598022001</v>
      </c>
      <c r="AH3702">
        <v>10.8117320544068</v>
      </c>
      <c r="AI3702">
        <v>95.568110687316604</v>
      </c>
      <c r="AJ3702">
        <v>108.395980023962</v>
      </c>
      <c r="AK3702">
        <v>11.448002475181699</v>
      </c>
    </row>
    <row r="3703" spans="1:37" x14ac:dyDescent="0.2">
      <c r="A3703" t="str">
        <f>"20200111154139880"</f>
        <v>20200111154139880</v>
      </c>
      <c r="B3703" t="str">
        <f>"1578728499870159"</f>
        <v>1578728499870159</v>
      </c>
      <c r="C3703" t="s">
        <v>37</v>
      </c>
      <c r="D3703">
        <v>5.155017</v>
      </c>
      <c r="E3703">
        <v>0.4434534</v>
      </c>
      <c r="F3703" t="s">
        <v>39</v>
      </c>
      <c r="G3703">
        <v>-419.57429999999999</v>
      </c>
      <c r="H3703" s="1">
        <v>-7.6191829999999996E-7</v>
      </c>
      <c r="I3703">
        <v>51.232790000000001</v>
      </c>
      <c r="J3703">
        <v>-422.78449999999998</v>
      </c>
      <c r="K3703">
        <v>1.110868</v>
      </c>
      <c r="L3703">
        <v>62.115229999999997</v>
      </c>
      <c r="M3703">
        <v>-3.3664079999999999E-2</v>
      </c>
      <c r="N3703">
        <v>0</v>
      </c>
      <c r="O3703">
        <v>-0.99933510000000003</v>
      </c>
      <c r="P3703">
        <v>0.1382621</v>
      </c>
      <c r="Q3703">
        <v>1.975758E-2</v>
      </c>
      <c r="R3703">
        <v>-0.99019869999999899</v>
      </c>
      <c r="S3703">
        <v>0.83142090000000002</v>
      </c>
      <c r="T3703">
        <v>-0.288719</v>
      </c>
      <c r="U3703">
        <v>-2.9208069999999999</v>
      </c>
      <c r="V3703">
        <v>-0.17156930000000001</v>
      </c>
      <c r="W3703">
        <v>3.3312179999999997E-2</v>
      </c>
      <c r="X3703">
        <v>0.9846087</v>
      </c>
      <c r="Y3703">
        <v>-0.30478569999999999</v>
      </c>
      <c r="Z3703">
        <v>9.4093510000000005E-2</v>
      </c>
      <c r="AA3703">
        <v>0.94776170000000004</v>
      </c>
      <c r="AB3703">
        <v>37</v>
      </c>
      <c r="AC3703">
        <v>3.21019999999998</v>
      </c>
      <c r="AD3703">
        <v>-1.1108687619183</v>
      </c>
      <c r="AE3703">
        <v>-10.882440000000001</v>
      </c>
      <c r="AF3703">
        <v>-3.5408211683389799</v>
      </c>
      <c r="AG3703">
        <v>-1.1108687619183</v>
      </c>
      <c r="AH3703">
        <v>10.6659481963126</v>
      </c>
      <c r="AI3703">
        <v>95.645149556467103</v>
      </c>
      <c r="AJ3703">
        <v>108.364842419426</v>
      </c>
      <c r="AK3703">
        <v>11.2930905813593</v>
      </c>
    </row>
    <row r="3704" spans="1:37" x14ac:dyDescent="0.2">
      <c r="A3704" t="str">
        <f>"20200111154139904"</f>
        <v>20200111154139904</v>
      </c>
      <c r="B3704" t="str">
        <f>"1578728499899438"</f>
        <v>1578728499899438</v>
      </c>
      <c r="C3704" t="s">
        <v>37</v>
      </c>
      <c r="D3704">
        <v>5.1955939999999998</v>
      </c>
      <c r="E3704">
        <v>0.44376689999999902</v>
      </c>
      <c r="F3704" t="s">
        <v>39</v>
      </c>
      <c r="G3704">
        <v>-419.59730000000002</v>
      </c>
      <c r="H3704" s="1">
        <v>-6.4247800000000002E-7</v>
      </c>
      <c r="I3704">
        <v>50.963900000000002</v>
      </c>
      <c r="J3704">
        <v>-422.79590000000002</v>
      </c>
      <c r="K3704">
        <v>1.1109549999999999</v>
      </c>
      <c r="L3704">
        <v>61.753659999999897</v>
      </c>
      <c r="M3704">
        <v>-3.2823209999999998E-2</v>
      </c>
      <c r="N3704">
        <v>0</v>
      </c>
      <c r="O3704">
        <v>-0.99936329999999995</v>
      </c>
      <c r="P3704">
        <v>0.1404675</v>
      </c>
      <c r="Q3704">
        <v>1.9241999999999999E-2</v>
      </c>
      <c r="R3704">
        <v>-0.98989869999999902</v>
      </c>
      <c r="S3704">
        <v>0.83428959999999996</v>
      </c>
      <c r="T3704">
        <v>-0.29078409999999999</v>
      </c>
      <c r="U3704">
        <v>-2.919006</v>
      </c>
      <c r="V3704">
        <v>-0.17294179999999901</v>
      </c>
      <c r="W3704">
        <v>3.275173E-2</v>
      </c>
      <c r="X3704">
        <v>0.98438729999999997</v>
      </c>
      <c r="Y3704">
        <v>-0.30498130000000001</v>
      </c>
      <c r="Z3704">
        <v>9.48045E-2</v>
      </c>
      <c r="AA3704">
        <v>0.94762780000000002</v>
      </c>
      <c r="AB3704">
        <v>37</v>
      </c>
      <c r="AC3704">
        <v>3.1985999999999901</v>
      </c>
      <c r="AD3704">
        <v>-1.1109556424779901</v>
      </c>
      <c r="AE3704">
        <v>-10.7897599999999</v>
      </c>
      <c r="AF3704">
        <v>-3.5167937069992399</v>
      </c>
      <c r="AG3704">
        <v>-1.1109556424779901</v>
      </c>
      <c r="AH3704">
        <v>10.575882932196199</v>
      </c>
      <c r="AI3704">
        <v>95.692412500702503</v>
      </c>
      <c r="AJ3704">
        <v>108.393491339335</v>
      </c>
      <c r="AK3704">
        <v>11.2005071408693</v>
      </c>
    </row>
    <row r="3705" spans="1:37" x14ac:dyDescent="0.2">
      <c r="A3705" t="str">
        <f>"20200111154139926"</f>
        <v>20200111154139926</v>
      </c>
      <c r="B3705" t="str">
        <f>"1578728499919938"</f>
        <v>1578728499919938</v>
      </c>
      <c r="C3705" t="s">
        <v>37</v>
      </c>
      <c r="D3705">
        <v>5.1864699999999999</v>
      </c>
      <c r="E3705">
        <v>0.44373760000000001</v>
      </c>
      <c r="F3705" t="s">
        <v>39</v>
      </c>
      <c r="G3705">
        <v>-419.55619999999999</v>
      </c>
      <c r="H3705" s="1">
        <v>-4.4233649999999999E-7</v>
      </c>
      <c r="I3705">
        <v>50.480350000000001</v>
      </c>
      <c r="J3705">
        <v>-422.80709999999999</v>
      </c>
      <c r="K3705">
        <v>1.1110420000000001</v>
      </c>
      <c r="L3705">
        <v>61.383969999999998</v>
      </c>
      <c r="M3705">
        <v>-3.186373E-2</v>
      </c>
      <c r="N3705">
        <v>0</v>
      </c>
      <c r="O3705">
        <v>-0.999394</v>
      </c>
      <c r="P3705">
        <v>0.14250639999999901</v>
      </c>
      <c r="Q3705">
        <v>1.9179649999999999E-2</v>
      </c>
      <c r="R3705">
        <v>-0.98960820000000005</v>
      </c>
      <c r="S3705">
        <v>0.83834839999999999</v>
      </c>
      <c r="T3705">
        <v>-0.28748609999999902</v>
      </c>
      <c r="U3705">
        <v>-2.9172359999999999</v>
      </c>
      <c r="V3705">
        <v>-0.1740313</v>
      </c>
      <c r="W3705">
        <v>3.264736E-2</v>
      </c>
      <c r="X3705">
        <v>0.98419880000000004</v>
      </c>
      <c r="Y3705">
        <v>-0.30546469999999998</v>
      </c>
      <c r="Z3705">
        <v>9.3773049999999997E-2</v>
      </c>
      <c r="AA3705">
        <v>0.94757469999999999</v>
      </c>
      <c r="AB3705">
        <v>37</v>
      </c>
      <c r="AC3705">
        <v>3.2509000000000001</v>
      </c>
      <c r="AD3705">
        <v>-1.1110424423365</v>
      </c>
      <c r="AE3705">
        <v>-10.903619999999901</v>
      </c>
      <c r="AF3705">
        <v>-3.5627412145309498</v>
      </c>
      <c r="AG3705">
        <v>-1.1110424423365</v>
      </c>
      <c r="AH3705">
        <v>10.692529741896999</v>
      </c>
      <c r="AI3705">
        <v>95.630028825343103</v>
      </c>
      <c r="AJ3705">
        <v>108.42802629289</v>
      </c>
      <c r="AK3705">
        <v>11.3250930482598</v>
      </c>
    </row>
    <row r="3706" spans="1:37" x14ac:dyDescent="0.2">
      <c r="A3706" t="str">
        <f>"20200111154139949"</f>
        <v>20200111154139949</v>
      </c>
      <c r="B3706" t="str">
        <f>"1578728499940433"</f>
        <v>1578728499940433</v>
      </c>
      <c r="C3706" t="s">
        <v>37</v>
      </c>
      <c r="D3706">
        <v>5.2187700000000001</v>
      </c>
      <c r="E3706">
        <v>0.44358370000000003</v>
      </c>
      <c r="F3706" t="s">
        <v>39</v>
      </c>
      <c r="G3706">
        <v>-419.51240000000001</v>
      </c>
      <c r="H3706" s="1">
        <v>-2.53634299999999E-7</v>
      </c>
      <c r="I3706">
        <v>50.012169999999998</v>
      </c>
      <c r="J3706">
        <v>-422.81799999999998</v>
      </c>
      <c r="K3706">
        <v>1.1111229999999901</v>
      </c>
      <c r="L3706">
        <v>61.009059999999998</v>
      </c>
      <c r="M3706">
        <v>-3.0816630000000001E-2</v>
      </c>
      <c r="N3706">
        <v>0</v>
      </c>
      <c r="O3706">
        <v>-0.99942699999999995</v>
      </c>
      <c r="P3706">
        <v>0.1444405</v>
      </c>
      <c r="Q3706">
        <v>1.934816E-2</v>
      </c>
      <c r="R3706">
        <v>-0.989324599999999</v>
      </c>
      <c r="S3706">
        <v>0.84466549999999996</v>
      </c>
      <c r="T3706">
        <v>-0.28483940000000002</v>
      </c>
      <c r="U3706">
        <v>-2.9154049999999998</v>
      </c>
      <c r="V3706">
        <v>-0.17493059999999999</v>
      </c>
      <c r="W3706">
        <v>3.2778889999999998E-2</v>
      </c>
      <c r="X3706">
        <v>0.98403499999999999</v>
      </c>
      <c r="Y3706">
        <v>-0.3065427</v>
      </c>
      <c r="Z3706">
        <v>9.2934269999999999E-2</v>
      </c>
      <c r="AA3706">
        <v>0.94730930000000002</v>
      </c>
      <c r="AB3706">
        <v>37</v>
      </c>
      <c r="AC3706">
        <v>3.3056000000000201</v>
      </c>
      <c r="AD3706">
        <v>-1.1111232536343001</v>
      </c>
      <c r="AE3706">
        <v>-10.996889999999899</v>
      </c>
      <c r="AF3706">
        <v>-3.6091573982292</v>
      </c>
      <c r="AG3706">
        <v>-1.1111232536343001</v>
      </c>
      <c r="AH3706">
        <v>10.788773092374599</v>
      </c>
      <c r="AI3706">
        <v>95.578311969390001</v>
      </c>
      <c r="AJ3706">
        <v>108.496582318379</v>
      </c>
      <c r="AK3706">
        <v>11.430583399315401</v>
      </c>
    </row>
    <row r="3707" spans="1:37" x14ac:dyDescent="0.2">
      <c r="A3707" t="str">
        <f>"20200111154139970"</f>
        <v>20200111154139970</v>
      </c>
      <c r="B3707" t="str">
        <f>"1578728499959954"</f>
        <v>1578728499959954</v>
      </c>
      <c r="C3707" t="s">
        <v>37</v>
      </c>
      <c r="D3707">
        <v>5.2050869999999998</v>
      </c>
      <c r="E3707">
        <v>0.44366689999999998</v>
      </c>
      <c r="F3707" t="s">
        <v>39</v>
      </c>
      <c r="G3707">
        <v>-419.46120000000002</v>
      </c>
      <c r="H3707" s="1">
        <v>-4.3405549999999998E-6</v>
      </c>
      <c r="I3707">
        <v>49.527940000000001</v>
      </c>
      <c r="J3707">
        <v>-422.82769999999999</v>
      </c>
      <c r="K3707">
        <v>1.1111850000000001</v>
      </c>
      <c r="L3707">
        <v>60.663819999999902</v>
      </c>
      <c r="M3707">
        <v>-2.9799280000000001E-2</v>
      </c>
      <c r="N3707">
        <v>0</v>
      </c>
      <c r="O3707">
        <v>-0.99945790000000001</v>
      </c>
      <c r="P3707">
        <v>0.146642299999999</v>
      </c>
      <c r="Q3707">
        <v>1.924091E-2</v>
      </c>
      <c r="R3707">
        <v>-0.98900259999999995</v>
      </c>
      <c r="S3707">
        <v>0.85183719999999996</v>
      </c>
      <c r="T3707">
        <v>-0.28196569999999999</v>
      </c>
      <c r="U3707">
        <v>-2.913513</v>
      </c>
      <c r="V3707">
        <v>-0.176124</v>
      </c>
      <c r="W3707">
        <v>3.2640210000000003E-2</v>
      </c>
      <c r="X3707">
        <v>0.98382669999999905</v>
      </c>
      <c r="Y3707">
        <v>-0.30791199999999902</v>
      </c>
      <c r="Z3707">
        <v>9.2014760000000001E-2</v>
      </c>
      <c r="AA3707">
        <v>0.94695479999999999</v>
      </c>
      <c r="AB3707">
        <v>37</v>
      </c>
      <c r="AC3707">
        <v>3.3664999999999701</v>
      </c>
      <c r="AD3707">
        <v>-1.111189340555</v>
      </c>
      <c r="AE3707">
        <v>-11.135879999999901</v>
      </c>
      <c r="AF3707">
        <v>-3.6634559985181001</v>
      </c>
      <c r="AG3707">
        <v>-1.111189340555</v>
      </c>
      <c r="AH3707">
        <v>10.9308801174523</v>
      </c>
      <c r="AI3707">
        <v>95.505546276306703</v>
      </c>
      <c r="AJ3707">
        <v>108.528442138538</v>
      </c>
      <c r="AK3707">
        <v>11.581873412611399</v>
      </c>
    </row>
    <row r="3708" spans="1:37" x14ac:dyDescent="0.2">
      <c r="A3708" t="str">
        <f>"20200111154139992"</f>
        <v>20200111154139992</v>
      </c>
      <c r="B3708" t="str">
        <f>"1578728499980450"</f>
        <v>1578728499980450</v>
      </c>
      <c r="C3708" t="s">
        <v>37</v>
      </c>
      <c r="D3708">
        <v>5.2311509999999997</v>
      </c>
      <c r="E3708">
        <v>0.44361440000000002</v>
      </c>
      <c r="F3708" t="s">
        <v>39</v>
      </c>
      <c r="G3708">
        <v>-419.40609999999998</v>
      </c>
      <c r="H3708" s="1">
        <v>-4.1456489999999996E-6</v>
      </c>
      <c r="I3708">
        <v>49.050820000000002</v>
      </c>
      <c r="J3708">
        <v>-422.83730000000003</v>
      </c>
      <c r="K3708">
        <v>1.1112389999999901</v>
      </c>
      <c r="L3708">
        <v>60.30865</v>
      </c>
      <c r="M3708">
        <v>-2.8712519999999998E-2</v>
      </c>
      <c r="N3708">
        <v>0</v>
      </c>
      <c r="O3708">
        <v>-0.99948979999999998</v>
      </c>
      <c r="P3708">
        <v>0.1491769</v>
      </c>
      <c r="Q3708">
        <v>1.9793709999999999E-2</v>
      </c>
      <c r="R3708">
        <v>-0.98861259999999995</v>
      </c>
      <c r="S3708">
        <v>0.85784910000000003</v>
      </c>
      <c r="T3708">
        <v>-0.27859259999999902</v>
      </c>
      <c r="U3708">
        <v>-2.9115599999999899</v>
      </c>
      <c r="V3708">
        <v>-0.17758119999999999</v>
      </c>
      <c r="W3708">
        <v>3.3163489999999997E-2</v>
      </c>
      <c r="X3708">
        <v>0.98354719999999995</v>
      </c>
      <c r="Y3708">
        <v>-0.30887700000000001</v>
      </c>
      <c r="Z3708">
        <v>9.0945869999999998E-2</v>
      </c>
      <c r="AA3708">
        <v>0.94674380000000002</v>
      </c>
      <c r="AB3708">
        <v>36</v>
      </c>
      <c r="AC3708">
        <v>3.43120000000004</v>
      </c>
      <c r="AD3708">
        <v>-1.111243145649</v>
      </c>
      <c r="AE3708">
        <v>-11.257829999999901</v>
      </c>
      <c r="AF3708">
        <v>-3.7198937781285202</v>
      </c>
      <c r="AG3708">
        <v>-1.111243145649</v>
      </c>
      <c r="AH3708">
        <v>11.05609226733</v>
      </c>
      <c r="AI3708">
        <v>95.441696459045204</v>
      </c>
      <c r="AJ3708">
        <v>108.59584595203199</v>
      </c>
      <c r="AK3708">
        <v>11.717919920917099</v>
      </c>
    </row>
    <row r="3709" spans="1:37" x14ac:dyDescent="0.2">
      <c r="A3709" t="str">
        <f>"20200111154140014"</f>
        <v>20200111154140014</v>
      </c>
      <c r="B3709" t="str">
        <f>"1578728500009729"</f>
        <v>1578728500009729</v>
      </c>
      <c r="C3709" t="s">
        <v>37</v>
      </c>
      <c r="D3709">
        <v>5.2105509999999997</v>
      </c>
      <c r="E3709">
        <v>0.44346849999999999</v>
      </c>
      <c r="F3709" t="s">
        <v>39</v>
      </c>
      <c r="G3709">
        <v>-419.32580000000002</v>
      </c>
      <c r="H3709" s="1">
        <v>-3.9304289999999998E-6</v>
      </c>
      <c r="I3709">
        <v>48.515920000000001</v>
      </c>
      <c r="J3709">
        <v>-422.84660000000002</v>
      </c>
      <c r="K3709">
        <v>1.1112899999999999</v>
      </c>
      <c r="L3709">
        <v>59.945619999999998</v>
      </c>
      <c r="M3709">
        <v>-2.7575390000000002E-2</v>
      </c>
      <c r="N3709">
        <v>0</v>
      </c>
      <c r="O3709">
        <v>-0.99952180000000002</v>
      </c>
      <c r="P3709">
        <v>0.1522607</v>
      </c>
      <c r="Q3709">
        <v>2.0677839999999999E-2</v>
      </c>
      <c r="R3709">
        <v>-0.98812429999999996</v>
      </c>
      <c r="S3709">
        <v>0.86630249999999998</v>
      </c>
      <c r="T3709">
        <v>-0.2741499</v>
      </c>
      <c r="U3709">
        <v>-2.909332</v>
      </c>
      <c r="V3709">
        <v>-0.179536</v>
      </c>
      <c r="W3709">
        <v>3.4018449999999999E-2</v>
      </c>
      <c r="X3709">
        <v>0.98316309999999996</v>
      </c>
      <c r="Y3709">
        <v>-0.31055749999999999</v>
      </c>
      <c r="Z3709">
        <v>8.9516520000000002E-2</v>
      </c>
      <c r="AA3709">
        <v>0.94633020000000001</v>
      </c>
      <c r="AB3709">
        <v>36</v>
      </c>
      <c r="AC3709">
        <v>3.5207999999999999</v>
      </c>
      <c r="AD3709">
        <v>-1.1112939304289999</v>
      </c>
      <c r="AE3709">
        <v>-11.429699999999899</v>
      </c>
      <c r="AF3709">
        <v>-3.8018445577197202</v>
      </c>
      <c r="AG3709">
        <v>-1.1112939304289999</v>
      </c>
      <c r="AH3709">
        <v>11.2312834854669</v>
      </c>
      <c r="AI3709">
        <v>95.354250631744506</v>
      </c>
      <c r="AJ3709">
        <v>108.701212148872</v>
      </c>
      <c r="AK3709">
        <v>11.9092705474262</v>
      </c>
    </row>
    <row r="3710" spans="1:37" x14ac:dyDescent="0.2">
      <c r="A3710" t="str">
        <f>"20200111154140037"</f>
        <v>20200111154140037</v>
      </c>
      <c r="B3710" t="str">
        <f>"1578728500030228"</f>
        <v>1578728500030228</v>
      </c>
      <c r="C3710" t="s">
        <v>37</v>
      </c>
      <c r="D3710">
        <v>5.240183</v>
      </c>
      <c r="E3710">
        <v>0.44343359999999898</v>
      </c>
      <c r="F3710" t="s">
        <v>39</v>
      </c>
      <c r="G3710">
        <v>-419.23129999999998</v>
      </c>
      <c r="H3710" s="1">
        <v>-3.7074400000000001E-6</v>
      </c>
      <c r="I3710">
        <v>47.957070000000002</v>
      </c>
      <c r="J3710">
        <v>-422.85590000000002</v>
      </c>
      <c r="K3710">
        <v>1.1113309999999901</v>
      </c>
      <c r="L3710">
        <v>59.566409999999998</v>
      </c>
      <c r="M3710">
        <v>-2.6372329999999999E-2</v>
      </c>
      <c r="N3710">
        <v>0</v>
      </c>
      <c r="O3710">
        <v>-0.99955419999999995</v>
      </c>
      <c r="P3710">
        <v>0.15570010000000001</v>
      </c>
      <c r="Q3710">
        <v>2.123071E-2</v>
      </c>
      <c r="R3710">
        <v>-0.98757649999999997</v>
      </c>
      <c r="S3710">
        <v>0.87652589999999997</v>
      </c>
      <c r="T3710">
        <v>-0.26943249999999902</v>
      </c>
      <c r="U3710">
        <v>-2.9066160000000001</v>
      </c>
      <c r="V3710">
        <v>-0.18177979999999899</v>
      </c>
      <c r="W3710">
        <v>3.4544099999999897E-2</v>
      </c>
      <c r="X3710">
        <v>0.9827323</v>
      </c>
      <c r="Y3710">
        <v>-0.31274819999999998</v>
      </c>
      <c r="Z3710">
        <v>8.7995840000000006E-2</v>
      </c>
      <c r="AA3710">
        <v>0.94575119999999901</v>
      </c>
      <c r="AB3710">
        <v>36</v>
      </c>
      <c r="AC3710">
        <v>3.62460000000004</v>
      </c>
      <c r="AD3710">
        <v>-1.11133470743999</v>
      </c>
      <c r="AE3710">
        <v>-11.6093399999999</v>
      </c>
      <c r="AF3710">
        <v>-3.8969950694564801</v>
      </c>
      <c r="AG3710">
        <v>-1.11133470743999</v>
      </c>
      <c r="AH3710">
        <v>11.41439429519</v>
      </c>
      <c r="AI3710">
        <v>95.264399482877195</v>
      </c>
      <c r="AJ3710">
        <v>108.85044804248901</v>
      </c>
      <c r="AK3710">
        <v>12.112391693195701</v>
      </c>
    </row>
    <row r="3711" spans="1:37" x14ac:dyDescent="0.2">
      <c r="A3711" t="str">
        <f>"20200111154140059"</f>
        <v>20200111154140059</v>
      </c>
      <c r="B3711" t="str">
        <f>"1578728500049615"</f>
        <v>1578728500049615</v>
      </c>
      <c r="C3711" t="s">
        <v>37</v>
      </c>
      <c r="D3711">
        <v>5.2549390000000002</v>
      </c>
      <c r="E3711">
        <v>0.46090349999999902</v>
      </c>
      <c r="F3711" t="s">
        <v>39</v>
      </c>
      <c r="G3711">
        <v>-419.15649999999999</v>
      </c>
      <c r="H3711" s="1">
        <v>-3.5070009999999999E-6</v>
      </c>
      <c r="I3711">
        <v>47.458909999999896</v>
      </c>
      <c r="J3711">
        <v>-422.86419999999998</v>
      </c>
      <c r="K3711">
        <v>1.111364</v>
      </c>
      <c r="L3711">
        <v>59.213169999999998</v>
      </c>
      <c r="M3711">
        <v>-2.5244550000000001E-2</v>
      </c>
      <c r="N3711">
        <v>0</v>
      </c>
      <c r="O3711">
        <v>-0.99958340000000001</v>
      </c>
      <c r="P3711">
        <v>0.15882079999999901</v>
      </c>
      <c r="Q3711">
        <v>2.137733E-2</v>
      </c>
      <c r="R3711">
        <v>-0.98707610000000001</v>
      </c>
      <c r="S3711">
        <v>0.88717649999999904</v>
      </c>
      <c r="T3711">
        <v>-0.26651809999999998</v>
      </c>
      <c r="U3711">
        <v>-2.9035950000000001</v>
      </c>
      <c r="V3711">
        <v>-0.18378050000000001</v>
      </c>
      <c r="W3711">
        <v>3.4667999999999997E-2</v>
      </c>
      <c r="X3711">
        <v>0.9823558</v>
      </c>
      <c r="Y3711">
        <v>-0.31514819999999999</v>
      </c>
      <c r="Z3711">
        <v>8.7061079999999999E-2</v>
      </c>
      <c r="AA3711">
        <v>0.94504069999999996</v>
      </c>
      <c r="AB3711">
        <v>36</v>
      </c>
      <c r="AC3711">
        <v>3.70769999999998</v>
      </c>
      <c r="AD3711">
        <v>-1.1113675070010001</v>
      </c>
      <c r="AE3711">
        <v>-11.75426</v>
      </c>
      <c r="AF3711">
        <v>-3.9709911056871601</v>
      </c>
      <c r="AG3711">
        <v>-1.1113675070010001</v>
      </c>
      <c r="AH3711">
        <v>11.562890037643999</v>
      </c>
      <c r="AI3711">
        <v>95.194125952873605</v>
      </c>
      <c r="AJ3711">
        <v>108.95377763588201</v>
      </c>
      <c r="AK3711">
        <v>12.2761693585463</v>
      </c>
    </row>
    <row r="3712" spans="1:37" x14ac:dyDescent="0.2">
      <c r="A3712" t="str">
        <f>"20200111154140080"</f>
        <v>20200111154140080</v>
      </c>
      <c r="B3712" t="str">
        <f>"1578728500070111"</f>
        <v>1578728500070111</v>
      </c>
      <c r="C3712" t="s">
        <v>37</v>
      </c>
      <c r="D3712">
        <v>5.1836199999999897</v>
      </c>
      <c r="E3712">
        <v>0.461792699999999</v>
      </c>
      <c r="F3712" t="s">
        <v>39</v>
      </c>
      <c r="G3712">
        <v>-420.03339999999997</v>
      </c>
      <c r="H3712" s="1">
        <v>-3.72825499999999E-6</v>
      </c>
      <c r="I3712">
        <v>48.259070000000001</v>
      </c>
      <c r="J3712">
        <v>-422.87199999999899</v>
      </c>
      <c r="K3712">
        <v>1.1113879999999901</v>
      </c>
      <c r="L3712">
        <v>58.859769999999997</v>
      </c>
      <c r="M3712">
        <v>-2.411404E-2</v>
      </c>
      <c r="N3712">
        <v>0</v>
      </c>
      <c r="O3712">
        <v>-0.99961139999999904</v>
      </c>
      <c r="P3712">
        <v>0.1620132</v>
      </c>
      <c r="Q3712">
        <v>2.2127939999999999E-2</v>
      </c>
      <c r="R3712">
        <v>-0.98654069999999905</v>
      </c>
      <c r="S3712">
        <v>0.75567629999999997</v>
      </c>
      <c r="T3712">
        <v>-0.29667329999999997</v>
      </c>
      <c r="U3712">
        <v>-2.9241329999999999</v>
      </c>
      <c r="V3712">
        <v>-0.1858504</v>
      </c>
      <c r="W3712">
        <v>3.539759E-2</v>
      </c>
      <c r="X3712">
        <v>0.98194020000000004</v>
      </c>
      <c r="Y3712">
        <v>-0.27229169999999903</v>
      </c>
      <c r="Z3712">
        <v>9.7402939999999993E-2</v>
      </c>
      <c r="AA3712">
        <v>0.95727209999999996</v>
      </c>
      <c r="AB3712">
        <v>36</v>
      </c>
      <c r="AC3712">
        <v>2.83859999999998</v>
      </c>
      <c r="AD3712">
        <v>-1.1113917282549901</v>
      </c>
      <c r="AE3712">
        <v>-10.6006999999999</v>
      </c>
      <c r="AF3712">
        <v>-3.06202012448672</v>
      </c>
      <c r="AG3712">
        <v>-1.1113917282549901</v>
      </c>
      <c r="AH3712">
        <v>10.4222661832807</v>
      </c>
      <c r="AI3712">
        <v>95.841723431523704</v>
      </c>
      <c r="AJ3712">
        <v>106.372577162216</v>
      </c>
      <c r="AK3712">
        <v>10.9194684491302</v>
      </c>
    </row>
    <row r="3713" spans="1:37" x14ac:dyDescent="0.2">
      <c r="A3713" t="str">
        <f>"20200111154140104"</f>
        <v>20200111154140104</v>
      </c>
      <c r="B3713" t="str">
        <f>"1578728500100367"</f>
        <v>1578728500100367</v>
      </c>
      <c r="C3713" t="s">
        <v>37</v>
      </c>
      <c r="D3713">
        <v>5.2309479999999997</v>
      </c>
      <c r="E3713">
        <v>0.45910010000000001</v>
      </c>
      <c r="F3713" t="s">
        <v>39</v>
      </c>
      <c r="G3713">
        <v>-420.04590000000002</v>
      </c>
      <c r="H3713" s="1">
        <v>-3.608474E-6</v>
      </c>
      <c r="I3713">
        <v>47.972059999999999</v>
      </c>
      <c r="J3713">
        <v>-422.87979999999999</v>
      </c>
      <c r="K3713">
        <v>1.111413</v>
      </c>
      <c r="L3713">
        <v>58.492219999999897</v>
      </c>
      <c r="M3713">
        <v>-2.2937889999999999E-2</v>
      </c>
      <c r="N3713">
        <v>0</v>
      </c>
      <c r="O3713">
        <v>-0.9996389</v>
      </c>
      <c r="P3713">
        <v>0.16581670000000001</v>
      </c>
      <c r="Q3713">
        <v>2.2930880000000001E-2</v>
      </c>
      <c r="R3713">
        <v>-0.98588989999999999</v>
      </c>
      <c r="S3713">
        <v>0.75872799999999996</v>
      </c>
      <c r="T3713">
        <v>-0.29837649999999999</v>
      </c>
      <c r="U3713">
        <v>-2.923035</v>
      </c>
      <c r="V3713">
        <v>-0.18848519999999999</v>
      </c>
      <c r="W3713">
        <v>3.6178620000000002E-2</v>
      </c>
      <c r="X3713">
        <v>0.98140939999999999</v>
      </c>
      <c r="Y3713">
        <v>-0.27216950000000001</v>
      </c>
      <c r="Z3713">
        <v>9.7985260000000005E-2</v>
      </c>
      <c r="AA3713">
        <v>0.95724739999999997</v>
      </c>
      <c r="AB3713">
        <v>36</v>
      </c>
      <c r="AC3713">
        <v>2.8338999999999701</v>
      </c>
      <c r="AD3713">
        <v>-1.111416608474</v>
      </c>
      <c r="AE3713">
        <v>-10.520159999999899</v>
      </c>
      <c r="AF3713">
        <v>-3.0428243839145201</v>
      </c>
      <c r="AG3713">
        <v>-1.111416608474</v>
      </c>
      <c r="AH3713">
        <v>10.3447337125366</v>
      </c>
      <c r="AI3713">
        <v>95.8847833809848</v>
      </c>
      <c r="AJ3713">
        <v>106.390843518203</v>
      </c>
      <c r="AK3713">
        <v>10.840089607204799</v>
      </c>
    </row>
    <row r="3714" spans="1:37" x14ac:dyDescent="0.2">
      <c r="A3714" t="str">
        <f>"20200111154140127"</f>
        <v>20200111154140127</v>
      </c>
      <c r="B3714" t="str">
        <f>"1578728500119888"</f>
        <v>1578728500119888</v>
      </c>
      <c r="C3714" t="s">
        <v>37</v>
      </c>
      <c r="D3714">
        <v>5.2223959999999998</v>
      </c>
      <c r="E3714">
        <v>0.45767940000000001</v>
      </c>
      <c r="F3714" t="s">
        <v>39</v>
      </c>
      <c r="G3714">
        <v>-419.87180000000001</v>
      </c>
      <c r="H3714" s="1">
        <v>-3.3615419999999998E-6</v>
      </c>
      <c r="I3714">
        <v>47.415610000000001</v>
      </c>
      <c r="J3714">
        <v>-422.88720000000001</v>
      </c>
      <c r="K3714">
        <v>1.111437</v>
      </c>
      <c r="L3714">
        <v>58.1143199999999</v>
      </c>
      <c r="M3714">
        <v>-2.1729310000000002E-2</v>
      </c>
      <c r="N3714">
        <v>0</v>
      </c>
      <c r="O3714">
        <v>-0.9996661</v>
      </c>
      <c r="P3714">
        <v>0.169366299999999</v>
      </c>
      <c r="Q3714">
        <v>2.3784400000000001E-2</v>
      </c>
      <c r="R3714">
        <v>-0.98526630000000004</v>
      </c>
      <c r="S3714">
        <v>0.79202269999999997</v>
      </c>
      <c r="T3714">
        <v>-0.29264209999999902</v>
      </c>
      <c r="U3714">
        <v>-2.916534</v>
      </c>
      <c r="V3714">
        <v>-0.19083610000000001</v>
      </c>
      <c r="W3714">
        <v>3.7013490000000003E-2</v>
      </c>
      <c r="X3714">
        <v>0.98092380000000001</v>
      </c>
      <c r="Y3714">
        <v>-0.2817672</v>
      </c>
      <c r="Z3714">
        <v>9.6056610000000001E-2</v>
      </c>
      <c r="AA3714">
        <v>0.95466240000000002</v>
      </c>
      <c r="AB3714">
        <v>36</v>
      </c>
      <c r="AC3714">
        <v>3.0154000000000001</v>
      </c>
      <c r="AD3714">
        <v>-1.1114403615420001</v>
      </c>
      <c r="AE3714">
        <v>-10.698709999999901</v>
      </c>
      <c r="AF3714">
        <v>-3.2150423127574399</v>
      </c>
      <c r="AG3714">
        <v>-1.1114403615420001</v>
      </c>
      <c r="AH3714">
        <v>10.525421609094201</v>
      </c>
      <c r="AI3714">
        <v>95.766723410264504</v>
      </c>
      <c r="AJ3714">
        <v>106.98555199432001</v>
      </c>
      <c r="AK3714">
        <v>11.061478056718901</v>
      </c>
    </row>
    <row r="3715" spans="1:37" x14ac:dyDescent="0.2">
      <c r="A3715" t="str">
        <f>"20200111154140149"</f>
        <v>20200111154140149</v>
      </c>
      <c r="B3715" t="str">
        <f>"1578728500139406"</f>
        <v>1578728500139406</v>
      </c>
      <c r="C3715" t="s">
        <v>37</v>
      </c>
      <c r="D3715">
        <v>5.2037469999999999</v>
      </c>
      <c r="E3715">
        <v>0.45698139999999998</v>
      </c>
      <c r="F3715" t="s">
        <v>39</v>
      </c>
      <c r="G3715">
        <v>-419.79719999999998</v>
      </c>
      <c r="H3715" s="1">
        <v>-3.2248579999999999E-6</v>
      </c>
      <c r="I3715">
        <v>47.066139999999997</v>
      </c>
      <c r="J3715">
        <v>-422.89370000000002</v>
      </c>
      <c r="K3715">
        <v>1.111462</v>
      </c>
      <c r="L3715">
        <v>57.765079999999998</v>
      </c>
      <c r="M3715">
        <v>-2.0613200000000002E-2</v>
      </c>
      <c r="N3715">
        <v>0</v>
      </c>
      <c r="O3715">
        <v>-0.99968969999999902</v>
      </c>
      <c r="P3715">
        <v>0.17332510000000001</v>
      </c>
      <c r="Q3715">
        <v>2.54284E-2</v>
      </c>
      <c r="R3715">
        <v>-0.98453659999999998</v>
      </c>
      <c r="S3715">
        <v>0.8144226</v>
      </c>
      <c r="T3715">
        <v>-0.29293789999999997</v>
      </c>
      <c r="U3715">
        <v>-2.9119259999999998</v>
      </c>
      <c r="V3715">
        <v>-0.19368869999999999</v>
      </c>
      <c r="W3715">
        <v>3.8635950000000002E-2</v>
      </c>
      <c r="X3715">
        <v>0.98030200000000001</v>
      </c>
      <c r="Y3715">
        <v>-0.28789549999999903</v>
      </c>
      <c r="Z3715">
        <v>9.6116530000000006E-2</v>
      </c>
      <c r="AA3715">
        <v>0.95282619999999896</v>
      </c>
      <c r="AB3715">
        <v>36</v>
      </c>
      <c r="AC3715">
        <v>3.0965000000000402</v>
      </c>
      <c r="AD3715">
        <v>-1.1114652248579999</v>
      </c>
      <c r="AE3715">
        <v>-10.69894</v>
      </c>
      <c r="AF3715">
        <v>-3.2837035477683698</v>
      </c>
      <c r="AG3715">
        <v>-1.1114652248579999</v>
      </c>
      <c r="AH3715">
        <v>10.527992770435899</v>
      </c>
      <c r="AI3715">
        <v>95.755056850056405</v>
      </c>
      <c r="AJ3715">
        <v>107.322812417774</v>
      </c>
      <c r="AK3715">
        <v>11.0840739671858</v>
      </c>
    </row>
    <row r="3716" spans="1:37" x14ac:dyDescent="0.2">
      <c r="A3716" t="str">
        <f>"20200111154140171"</f>
        <v>20200111154140171</v>
      </c>
      <c r="B3716" t="str">
        <f>"1578728500159902"</f>
        <v>1578728500159902</v>
      </c>
      <c r="C3716" t="s">
        <v>37</v>
      </c>
      <c r="D3716">
        <v>5.2085839999999903</v>
      </c>
      <c r="E3716">
        <v>0.45665659999999902</v>
      </c>
      <c r="F3716" t="s">
        <v>39</v>
      </c>
      <c r="G3716">
        <v>-419.7115</v>
      </c>
      <c r="H3716" s="1">
        <v>-3.05534E-6</v>
      </c>
      <c r="I3716">
        <v>46.635550000000002</v>
      </c>
      <c r="J3716">
        <v>-422.90010000000001</v>
      </c>
      <c r="K3716">
        <v>1.1114820000000001</v>
      </c>
      <c r="L3716">
        <v>57.404169999999901</v>
      </c>
      <c r="M3716">
        <v>-1.9460350000000001E-2</v>
      </c>
      <c r="N3716">
        <v>0</v>
      </c>
      <c r="O3716">
        <v>-0.99971279999999996</v>
      </c>
      <c r="P3716">
        <v>0.17760879999999901</v>
      </c>
      <c r="Q3716">
        <v>2.808064E-2</v>
      </c>
      <c r="R3716">
        <v>-0.98370079999999904</v>
      </c>
      <c r="S3716">
        <v>0.83154300000000003</v>
      </c>
      <c r="T3716">
        <v>-0.29043469999999999</v>
      </c>
      <c r="U3716">
        <v>-2.9082340000000002</v>
      </c>
      <c r="V3716">
        <v>-0.1968316</v>
      </c>
      <c r="W3716">
        <v>4.1266459999999998E-2</v>
      </c>
      <c r="X3716">
        <v>0.97956849999999995</v>
      </c>
      <c r="Y3716">
        <v>-0.29231770000000001</v>
      </c>
      <c r="Z3716">
        <v>9.5282279999999997E-2</v>
      </c>
      <c r="AA3716">
        <v>0.95156269999999998</v>
      </c>
      <c r="AB3716">
        <v>36</v>
      </c>
      <c r="AC3716">
        <v>3.1886000000000001</v>
      </c>
      <c r="AD3716">
        <v>-1.11148505534</v>
      </c>
      <c r="AE3716">
        <v>-10.768619999999901</v>
      </c>
      <c r="AF3716">
        <v>-3.36462246438755</v>
      </c>
      <c r="AG3716">
        <v>-1.11148505534</v>
      </c>
      <c r="AH3716">
        <v>10.600693220020201</v>
      </c>
      <c r="AI3716">
        <v>95.707026765367502</v>
      </c>
      <c r="AJ3716">
        <v>107.609253810987</v>
      </c>
      <c r="AK3716">
        <v>11.1772438508376</v>
      </c>
    </row>
    <row r="3717" spans="1:37" x14ac:dyDescent="0.2">
      <c r="A3717" t="str">
        <f>"20200111154140194"</f>
        <v>20200111154140194</v>
      </c>
      <c r="B3717" t="str">
        <f>"1578728500190158"</f>
        <v>1578728500190158</v>
      </c>
      <c r="C3717" t="s">
        <v>37</v>
      </c>
      <c r="D3717">
        <v>5.3146040000000001</v>
      </c>
      <c r="E3717">
        <v>0.45603139999999998</v>
      </c>
      <c r="F3717" t="s">
        <v>39</v>
      </c>
      <c r="G3717">
        <v>-419.58659999999998</v>
      </c>
      <c r="H3717" s="1">
        <v>-2.8227589999999998E-6</v>
      </c>
      <c r="I3717">
        <v>46.04177</v>
      </c>
      <c r="J3717">
        <v>-422.90589999999997</v>
      </c>
      <c r="K3717">
        <v>1.111499</v>
      </c>
      <c r="L3717">
        <v>57.047640000000001</v>
      </c>
      <c r="M3717">
        <v>-1.832112E-2</v>
      </c>
      <c r="N3717">
        <v>0</v>
      </c>
      <c r="O3717">
        <v>-0.99973429999999996</v>
      </c>
      <c r="P3717">
        <v>0.1810705</v>
      </c>
      <c r="Q3717">
        <v>3.0158170000000002E-2</v>
      </c>
      <c r="R3717">
        <v>-0.98300769999999904</v>
      </c>
      <c r="S3717">
        <v>0.8471069</v>
      </c>
      <c r="T3717">
        <v>-0.28415859999999998</v>
      </c>
      <c r="U3717">
        <v>-2.9048769999999999</v>
      </c>
      <c r="V3717">
        <v>-0.1991687</v>
      </c>
      <c r="W3717">
        <v>4.3326469999999999E-2</v>
      </c>
      <c r="X3717">
        <v>0.97900689999999901</v>
      </c>
      <c r="Y3717">
        <v>-0.29627690000000001</v>
      </c>
      <c r="Z3717">
        <v>9.3222449999999998E-2</v>
      </c>
      <c r="AA3717">
        <v>0.95054169999999905</v>
      </c>
      <c r="AB3717">
        <v>36</v>
      </c>
      <c r="AC3717">
        <v>3.3192999999999899</v>
      </c>
      <c r="AD3717">
        <v>-1.1115018227589999</v>
      </c>
      <c r="AE3717">
        <v>-11.00587</v>
      </c>
      <c r="AF3717">
        <v>-3.4877950992537601</v>
      </c>
      <c r="AG3717">
        <v>-1.1115018227589999</v>
      </c>
      <c r="AH3717">
        <v>10.841843150003101</v>
      </c>
      <c r="AI3717">
        <v>95.574070413760396</v>
      </c>
      <c r="AJ3717">
        <v>107.83285946426599</v>
      </c>
      <c r="AK3717">
        <v>11.4431513948581</v>
      </c>
    </row>
    <row r="3718" spans="1:37" x14ac:dyDescent="0.2">
      <c r="A3718" t="str">
        <f>"20200111154140216"</f>
        <v>20200111154140216</v>
      </c>
      <c r="B3718" t="str">
        <f>"1578728500209678"</f>
        <v>1578728500209678</v>
      </c>
      <c r="C3718" t="s">
        <v>37</v>
      </c>
      <c r="D3718">
        <v>5.2497939999999996</v>
      </c>
      <c r="E3718">
        <v>0.455771599999999</v>
      </c>
      <c r="F3718" t="s">
        <v>39</v>
      </c>
      <c r="G3718">
        <v>-419.51609999999999</v>
      </c>
      <c r="H3718" s="1">
        <v>-2.661538E-6</v>
      </c>
      <c r="I3718">
        <v>45.636769999999999</v>
      </c>
      <c r="J3718">
        <v>-422.91149999999999</v>
      </c>
      <c r="K3718">
        <v>1.1115139999999999</v>
      </c>
      <c r="L3718">
        <v>56.6813</v>
      </c>
      <c r="M3718">
        <v>-1.7149669999999999E-2</v>
      </c>
      <c r="N3718">
        <v>0</v>
      </c>
      <c r="O3718">
        <v>-0.99975499999999995</v>
      </c>
      <c r="P3718">
        <v>0.18399460000000001</v>
      </c>
      <c r="Q3718">
        <v>3.1918839999999997E-2</v>
      </c>
      <c r="R3718">
        <v>-0.98240879999999997</v>
      </c>
      <c r="S3718">
        <v>0.86202999999999996</v>
      </c>
      <c r="T3718">
        <v>-0.28264990000000001</v>
      </c>
      <c r="U3718">
        <v>-2.9017330000000001</v>
      </c>
      <c r="V3718">
        <v>-0.20093929999999999</v>
      </c>
      <c r="W3718">
        <v>4.507332E-2</v>
      </c>
      <c r="X3718">
        <v>0.97856620000000005</v>
      </c>
      <c r="Y3718">
        <v>-0.29994460000000001</v>
      </c>
      <c r="Z3718">
        <v>9.2710730000000005E-2</v>
      </c>
      <c r="AA3718">
        <v>0.94944079999999997</v>
      </c>
      <c r="AB3718">
        <v>36</v>
      </c>
      <c r="AC3718">
        <v>3.3953999999999902</v>
      </c>
      <c r="AD3718">
        <v>-1.1115166615379899</v>
      </c>
      <c r="AE3718">
        <v>-11.04453</v>
      </c>
      <c r="AF3718">
        <v>-3.5514648432041001</v>
      </c>
      <c r="AG3718">
        <v>-1.1115166615379899</v>
      </c>
      <c r="AH3718">
        <v>10.8839525327722</v>
      </c>
      <c r="AI3718">
        <v>95.545267100304201</v>
      </c>
      <c r="AJ3718">
        <v>108.07165265062601</v>
      </c>
      <c r="AK3718">
        <v>11.502556001038601</v>
      </c>
    </row>
    <row r="3719" spans="1:37" x14ac:dyDescent="0.2">
      <c r="A3719" t="str">
        <f>"20200111154140237"</f>
        <v>20200111154140237</v>
      </c>
      <c r="B3719" t="str">
        <f>"1578728500230177"</f>
        <v>1578728500230177</v>
      </c>
      <c r="C3719" t="s">
        <v>37</v>
      </c>
      <c r="D3719">
        <v>5.2249049999999997</v>
      </c>
      <c r="E3719">
        <v>0.45568769999999997</v>
      </c>
      <c r="F3719" t="s">
        <v>39</v>
      </c>
      <c r="G3719">
        <v>-419.4332</v>
      </c>
      <c r="H3719" s="1">
        <v>-2.4614540000000001E-6</v>
      </c>
      <c r="I3719">
        <v>45.136119999999998</v>
      </c>
      <c r="J3719">
        <v>-422.91660000000002</v>
      </c>
      <c r="K3719">
        <v>1.111526</v>
      </c>
      <c r="L3719">
        <v>56.319029999999998</v>
      </c>
      <c r="M3719">
        <v>-1.5990239999999999E-2</v>
      </c>
      <c r="N3719">
        <v>0</v>
      </c>
      <c r="O3719">
        <v>-0.9997743</v>
      </c>
      <c r="P3719">
        <v>0.18782760000000001</v>
      </c>
      <c r="Q3719">
        <v>3.3674519999999999E-2</v>
      </c>
      <c r="R3719">
        <v>-0.98162490000000002</v>
      </c>
      <c r="S3719">
        <v>0.87344359999999999</v>
      </c>
      <c r="T3719">
        <v>-0.27911849999999999</v>
      </c>
      <c r="U3719">
        <v>-2.8991699999999998</v>
      </c>
      <c r="V3719">
        <v>-0.2036287</v>
      </c>
      <c r="W3719">
        <v>4.681051E-2</v>
      </c>
      <c r="X3719">
        <v>0.97792849999999998</v>
      </c>
      <c r="Y3719">
        <v>-0.30252839999999998</v>
      </c>
      <c r="Z3719">
        <v>9.1553899999999994E-2</v>
      </c>
      <c r="AA3719">
        <v>0.9487331</v>
      </c>
      <c r="AB3719">
        <v>36</v>
      </c>
      <c r="AC3719">
        <v>3.4834000000000098</v>
      </c>
      <c r="AD3719">
        <v>-1.111528461454</v>
      </c>
      <c r="AE3719">
        <v>-11.18291</v>
      </c>
      <c r="AF3719">
        <v>-3.6291070904916798</v>
      </c>
      <c r="AG3719">
        <v>-1.111528461454</v>
      </c>
      <c r="AH3719">
        <v>11.026473833428099</v>
      </c>
      <c r="AI3719">
        <v>95.469543519905301</v>
      </c>
      <c r="AJ3719">
        <v>108.217756344075</v>
      </c>
      <c r="AK3719">
        <v>11.661433830972699</v>
      </c>
    </row>
    <row r="3720" spans="1:37" x14ac:dyDescent="0.2">
      <c r="A3720" t="str">
        <f>"20200111154140271"</f>
        <v>20200111154140271</v>
      </c>
      <c r="B3720" t="str">
        <f>"1578728500259454"</f>
        <v>1578728500259454</v>
      </c>
      <c r="C3720" t="s">
        <v>37</v>
      </c>
      <c r="D3720">
        <v>5.2600910000000001</v>
      </c>
      <c r="E3720">
        <v>0.45535579999999998</v>
      </c>
      <c r="F3720" t="s">
        <v>39</v>
      </c>
      <c r="G3720">
        <v>-419.3458</v>
      </c>
      <c r="H3720" s="1">
        <v>-2.2671139999999998E-6</v>
      </c>
      <c r="I3720">
        <v>44.64696</v>
      </c>
      <c r="J3720">
        <v>-422.92309999999998</v>
      </c>
      <c r="K3720">
        <v>1.111534</v>
      </c>
      <c r="L3720">
        <v>55.7956199999999</v>
      </c>
      <c r="M3720">
        <v>-1.431346E-2</v>
      </c>
      <c r="N3720">
        <v>0</v>
      </c>
      <c r="O3720">
        <v>-0.99980009999999997</v>
      </c>
      <c r="P3720">
        <v>0.19203399999999901</v>
      </c>
      <c r="Q3720">
        <v>3.4678519999999997E-2</v>
      </c>
      <c r="R3720">
        <v>-0.98077569999999903</v>
      </c>
      <c r="S3720">
        <v>0.8859863</v>
      </c>
      <c r="T3720">
        <v>-0.27579379999999998</v>
      </c>
      <c r="U3720">
        <v>-2.8960880000000002</v>
      </c>
      <c r="V3720">
        <v>-0.20618349999999999</v>
      </c>
      <c r="W3720">
        <v>4.7796930000000001E-2</v>
      </c>
      <c r="X3720">
        <v>0.97734529999999997</v>
      </c>
      <c r="Y3720">
        <v>-0.30499920000000003</v>
      </c>
      <c r="Z3720">
        <v>9.0475979999999998E-2</v>
      </c>
      <c r="AA3720">
        <v>0.94804509999999897</v>
      </c>
      <c r="AB3720">
        <v>36</v>
      </c>
      <c r="AC3720">
        <v>3.5772999999999699</v>
      </c>
      <c r="AD3720">
        <v>-1.1115362671140001</v>
      </c>
      <c r="AE3720">
        <v>-11.1486599999999</v>
      </c>
      <c r="AF3720">
        <v>-3.7031504830578501</v>
      </c>
      <c r="AG3720">
        <v>-1.1115362671140001</v>
      </c>
      <c r="AH3720">
        <v>10.9971975458367</v>
      </c>
      <c r="AI3720">
        <v>95.471637666562899</v>
      </c>
      <c r="AJ3720">
        <v>108.610223379578</v>
      </c>
      <c r="AK3720">
        <v>11.6570661075349</v>
      </c>
    </row>
    <row r="3721" spans="1:37" x14ac:dyDescent="0.2">
      <c r="A3721" t="str">
        <f>"20200111154140293"</f>
        <v>20200111154140293</v>
      </c>
      <c r="B3721" t="str">
        <f>"1578728500289710"</f>
        <v>1578728500289710</v>
      </c>
      <c r="C3721" t="s">
        <v>37</v>
      </c>
      <c r="D3721">
        <v>5.2746719999999998</v>
      </c>
      <c r="E3721">
        <v>0.455121099999999</v>
      </c>
      <c r="F3721" t="s">
        <v>39</v>
      </c>
      <c r="G3721">
        <v>-419.31610000000001</v>
      </c>
      <c r="H3721" s="1">
        <v>-2.08870399999999E-6</v>
      </c>
      <c r="I3721">
        <v>44.218809999999998</v>
      </c>
      <c r="J3721">
        <v>-422.92720000000003</v>
      </c>
      <c r="K3721">
        <v>1.11154</v>
      </c>
      <c r="L3721">
        <v>55.428919999999998</v>
      </c>
      <c r="M3721">
        <v>-1.3137589999999999E-2</v>
      </c>
      <c r="N3721">
        <v>0</v>
      </c>
      <c r="O3721">
        <v>-0.99981600000000004</v>
      </c>
      <c r="P3721">
        <v>0.19436120000000001</v>
      </c>
      <c r="Q3721">
        <v>3.5616670000000003E-2</v>
      </c>
      <c r="R3721">
        <v>-0.98028320000000002</v>
      </c>
      <c r="S3721">
        <v>0.90112300000000001</v>
      </c>
      <c r="T3721">
        <v>-0.27768989999999999</v>
      </c>
      <c r="U3721">
        <v>-2.8921809999999999</v>
      </c>
      <c r="V3721">
        <v>-0.2073564</v>
      </c>
      <c r="W3721">
        <v>4.872568E-2</v>
      </c>
      <c r="X3721">
        <v>0.97705129999999996</v>
      </c>
      <c r="Y3721">
        <v>-0.30874819999999997</v>
      </c>
      <c r="Z3721">
        <v>9.1086819999999999E-2</v>
      </c>
      <c r="AA3721">
        <v>0.94677230000000001</v>
      </c>
      <c r="AB3721">
        <v>36</v>
      </c>
      <c r="AC3721">
        <v>3.61110000000002</v>
      </c>
      <c r="AD3721">
        <v>-1.111542088704</v>
      </c>
      <c r="AE3721">
        <v>-11.21011</v>
      </c>
      <c r="AF3721">
        <v>-3.72489708013843</v>
      </c>
      <c r="AG3721">
        <v>-1.111542088704</v>
      </c>
      <c r="AH3721">
        <v>11.063151810520299</v>
      </c>
      <c r="AI3721">
        <v>95.4393107568186</v>
      </c>
      <c r="AJ3721">
        <v>108.60807170599</v>
      </c>
      <c r="AK3721">
        <v>11.726197681056</v>
      </c>
    </row>
    <row r="3722" spans="1:37" x14ac:dyDescent="0.2">
      <c r="A3722" t="str">
        <f>"20200111154140317"</f>
        <v>20200111154140317</v>
      </c>
      <c r="B3722" t="str">
        <f>"1578728500310209"</f>
        <v>1578728500310209</v>
      </c>
      <c r="C3722" t="s">
        <v>37</v>
      </c>
      <c r="D3722">
        <v>5.2938179999999999</v>
      </c>
      <c r="E3722">
        <v>0.454854599999999</v>
      </c>
      <c r="F3722" t="s">
        <v>39</v>
      </c>
      <c r="G3722">
        <v>-419.30590000000001</v>
      </c>
      <c r="H3722" s="1">
        <v>-1.9648339999999999E-6</v>
      </c>
      <c r="I3722">
        <v>43.925840000000001</v>
      </c>
      <c r="J3722">
        <v>-422.93090000000001</v>
      </c>
      <c r="K3722">
        <v>1.111551</v>
      </c>
      <c r="L3722">
        <v>55.062040000000003</v>
      </c>
      <c r="M3722">
        <v>-1.1960510000000001E-2</v>
      </c>
      <c r="N3722">
        <v>0</v>
      </c>
      <c r="O3722">
        <v>-0.99983099999999903</v>
      </c>
      <c r="P3722">
        <v>0.19662349999999901</v>
      </c>
      <c r="Q3722">
        <v>3.7404029999999998E-2</v>
      </c>
      <c r="R3722">
        <v>-0.97976569999999996</v>
      </c>
      <c r="S3722">
        <v>0.90985110000000002</v>
      </c>
      <c r="T3722">
        <v>-0.27927089999999999</v>
      </c>
      <c r="U3722">
        <v>-2.8901059999999998</v>
      </c>
      <c r="V3722">
        <v>-0.20846579999999901</v>
      </c>
      <c r="W3722">
        <v>5.0504E-2</v>
      </c>
      <c r="X3722">
        <v>0.97672479999999995</v>
      </c>
      <c r="Y3722">
        <v>-0.3104111</v>
      </c>
      <c r="Z3722">
        <v>9.1599739999999999E-2</v>
      </c>
      <c r="AA3722">
        <v>0.94617890000000004</v>
      </c>
      <c r="AB3722">
        <v>36</v>
      </c>
      <c r="AC3722">
        <v>3.625</v>
      </c>
      <c r="AD3722">
        <v>-1.1115529648339999</v>
      </c>
      <c r="AE3722">
        <v>-11.136200000000001</v>
      </c>
      <c r="AF3722">
        <v>-3.72439746959131</v>
      </c>
      <c r="AG3722">
        <v>-1.1115529648339999</v>
      </c>
      <c r="AH3722">
        <v>10.993012929516899</v>
      </c>
      <c r="AI3722">
        <v>95.470391186702102</v>
      </c>
      <c r="AJ3722">
        <v>108.71621515222</v>
      </c>
      <c r="AK3722">
        <v>11.659889355120599</v>
      </c>
    </row>
    <row r="3723" spans="1:37" x14ac:dyDescent="0.2">
      <c r="A3723" t="str">
        <f>"20200111154140338"</f>
        <v>20200111154140338</v>
      </c>
      <c r="B3723" t="str">
        <f>"1578728500329727"</f>
        <v>1578728500329727</v>
      </c>
      <c r="C3723" t="s">
        <v>37</v>
      </c>
      <c r="D3723">
        <v>5.335064</v>
      </c>
      <c r="E3723">
        <v>0.45497109999999902</v>
      </c>
      <c r="F3723" t="s">
        <v>39</v>
      </c>
      <c r="G3723">
        <v>-419.23050000000001</v>
      </c>
      <c r="H3723" s="1">
        <v>-1.766885E-6</v>
      </c>
      <c r="I3723">
        <v>43.433259999999997</v>
      </c>
      <c r="J3723">
        <v>-422.9341</v>
      </c>
      <c r="K3723">
        <v>1.111564</v>
      </c>
      <c r="L3723">
        <v>54.708039999999997</v>
      </c>
      <c r="M3723">
        <v>-1.0824830000000001E-2</v>
      </c>
      <c r="N3723">
        <v>0</v>
      </c>
      <c r="O3723">
        <v>-0.99984379999999995</v>
      </c>
      <c r="P3723">
        <v>0.19931879999999999</v>
      </c>
      <c r="Q3723">
        <v>3.8505289999999998E-2</v>
      </c>
      <c r="R3723">
        <v>-0.979178199999999</v>
      </c>
      <c r="S3723">
        <v>0.91900630000000005</v>
      </c>
      <c r="T3723">
        <v>-0.2760592</v>
      </c>
      <c r="U3723">
        <v>-2.8880619999999899</v>
      </c>
      <c r="V3723">
        <v>-0.2100475</v>
      </c>
      <c r="W3723">
        <v>5.159453E-2</v>
      </c>
      <c r="X3723">
        <v>0.9763288</v>
      </c>
      <c r="Y3723">
        <v>-0.31227859999999902</v>
      </c>
      <c r="Z3723">
        <v>9.0547559999999999E-2</v>
      </c>
      <c r="AA3723">
        <v>0.94566550000000005</v>
      </c>
      <c r="AB3723">
        <v>36</v>
      </c>
      <c r="AC3723">
        <v>3.70359999999999</v>
      </c>
      <c r="AD3723">
        <v>-1.1115657668850001</v>
      </c>
      <c r="AE3723">
        <v>-11.27478</v>
      </c>
      <c r="AF3723">
        <v>-3.79217337507913</v>
      </c>
      <c r="AG3723">
        <v>-1.1115657668850001</v>
      </c>
      <c r="AH3723">
        <v>11.136324548469901</v>
      </c>
      <c r="AI3723">
        <v>95.397653086568894</v>
      </c>
      <c r="AJ3723">
        <v>108.804883695131</v>
      </c>
      <c r="AK3723">
        <v>11.816678120759001</v>
      </c>
    </row>
    <row r="3724" spans="1:37" x14ac:dyDescent="0.2">
      <c r="A3724" t="str">
        <f>"20200111154140360"</f>
        <v>20200111154140360</v>
      </c>
      <c r="B3724" t="str">
        <f>"1578728500350118"</f>
        <v>1578728500350118</v>
      </c>
      <c r="C3724" t="s">
        <v>37</v>
      </c>
      <c r="D3724">
        <v>5.403575</v>
      </c>
      <c r="E3724">
        <v>0.48759639999999999</v>
      </c>
      <c r="F3724" t="s">
        <v>39</v>
      </c>
      <c r="G3724">
        <v>-419.18259999999998</v>
      </c>
      <c r="H3724" s="1">
        <v>-1.5984719999999899E-6</v>
      </c>
      <c r="I3724">
        <v>43.020850000000003</v>
      </c>
      <c r="J3724">
        <v>-422.93680000000001</v>
      </c>
      <c r="K3724">
        <v>1.1115759999999999</v>
      </c>
      <c r="L3724">
        <v>54.353149999999999</v>
      </c>
      <c r="M3724">
        <v>-9.6861869999999902E-3</v>
      </c>
      <c r="N3724">
        <v>0</v>
      </c>
      <c r="O3724">
        <v>-0.99985550000000001</v>
      </c>
      <c r="P3724">
        <v>0.20196919999999999</v>
      </c>
      <c r="Q3724">
        <v>4.0358610000000003E-2</v>
      </c>
      <c r="R3724">
        <v>-0.97856019999999899</v>
      </c>
      <c r="S3724">
        <v>0.92639159999999898</v>
      </c>
      <c r="T3724">
        <v>-0.27448840000000002</v>
      </c>
      <c r="U3724">
        <v>-2.8860169999999998</v>
      </c>
      <c r="V3724">
        <v>-0.21158350000000001</v>
      </c>
      <c r="W3724">
        <v>5.3435910000000003E-2</v>
      </c>
      <c r="X3724">
        <v>0.97589809999999999</v>
      </c>
      <c r="Y3724">
        <v>-0.31359999999999999</v>
      </c>
      <c r="Z3724">
        <v>9.0044600000000002E-2</v>
      </c>
      <c r="AA3724">
        <v>0.94527609999999995</v>
      </c>
      <c r="AB3724">
        <v>36</v>
      </c>
      <c r="AC3724">
        <v>3.75420000000002</v>
      </c>
      <c r="AD3724">
        <v>-1.111577598472</v>
      </c>
      <c r="AE3724">
        <v>-11.332299999999901</v>
      </c>
      <c r="AF3724">
        <v>-3.8305901380893599</v>
      </c>
      <c r="AG3724">
        <v>-1.111577598472</v>
      </c>
      <c r="AH3724">
        <v>11.198311530808599</v>
      </c>
      <c r="AI3724">
        <v>95.365485877901406</v>
      </c>
      <c r="AJ3724">
        <v>108.884204004323</v>
      </c>
      <c r="AK3724">
        <v>11.887439030526799</v>
      </c>
    </row>
    <row r="3725" spans="1:37" x14ac:dyDescent="0.2">
      <c r="A3725" t="str">
        <f>"20200111154140383"</f>
        <v>20200111154140383</v>
      </c>
      <c r="B3725" t="str">
        <f>"1578728500369639"</f>
        <v>1578728500369639</v>
      </c>
      <c r="C3725" t="s">
        <v>37</v>
      </c>
      <c r="D3725">
        <v>5.3561610000000002</v>
      </c>
      <c r="E3725">
        <v>0.49238090000000001</v>
      </c>
      <c r="F3725" t="s">
        <v>39</v>
      </c>
      <c r="G3725">
        <v>-420.44420000000002</v>
      </c>
      <c r="H3725" s="1">
        <v>-1.8086429999999901E-6</v>
      </c>
      <c r="I3725">
        <v>43.529620000000001</v>
      </c>
      <c r="J3725">
        <v>-422.9391</v>
      </c>
      <c r="K3725">
        <v>1.1115950000000001</v>
      </c>
      <c r="L3725">
        <v>54.001010000000001</v>
      </c>
      <c r="M3725">
        <v>-8.5522689999999995E-3</v>
      </c>
      <c r="N3725">
        <v>0</v>
      </c>
      <c r="O3725">
        <v>-0.99986569999999997</v>
      </c>
      <c r="P3725">
        <v>0.20334759999999999</v>
      </c>
      <c r="Q3725">
        <v>4.2192229999999997E-2</v>
      </c>
      <c r="R3725">
        <v>-0.97819719999999999</v>
      </c>
      <c r="S3725">
        <v>0.67672730000000003</v>
      </c>
      <c r="T3725">
        <v>-0.30178509999999997</v>
      </c>
      <c r="U3725">
        <v>-2.938507</v>
      </c>
      <c r="V3725">
        <v>-0.21185599999999999</v>
      </c>
      <c r="W3725">
        <v>5.526474E-2</v>
      </c>
      <c r="X3725">
        <v>0.97573709999999902</v>
      </c>
      <c r="Y3725">
        <v>-0.2316348</v>
      </c>
      <c r="Z3725">
        <v>9.9479100000000001E-2</v>
      </c>
      <c r="AA3725">
        <v>0.96770299999999998</v>
      </c>
      <c r="AB3725">
        <v>36</v>
      </c>
      <c r="AC3725">
        <v>2.4948999999999701</v>
      </c>
      <c r="AD3725">
        <v>-1.1115968086429999</v>
      </c>
      <c r="AE3725">
        <v>-10.47139</v>
      </c>
      <c r="AF3725">
        <v>-2.5571035360807701</v>
      </c>
      <c r="AG3725">
        <v>-1.1115968086429999</v>
      </c>
      <c r="AH3725">
        <v>10.339411785690499</v>
      </c>
      <c r="AI3725">
        <v>95.958173505384707</v>
      </c>
      <c r="AJ3725">
        <v>103.891424637242</v>
      </c>
      <c r="AK3725">
        <v>10.708775001525501</v>
      </c>
    </row>
    <row r="3726" spans="1:37" x14ac:dyDescent="0.2">
      <c r="A3726" t="str">
        <f>"20200111154140406"</f>
        <v>20200111154140406</v>
      </c>
      <c r="B3726" t="str">
        <f>"1578728500399894"</f>
        <v>1578728500399894</v>
      </c>
      <c r="C3726" t="s">
        <v>37</v>
      </c>
      <c r="D3726">
        <v>5.3972230000000003</v>
      </c>
      <c r="E3726">
        <v>0.49265730000000002</v>
      </c>
      <c r="F3726" t="s">
        <v>39</v>
      </c>
      <c r="G3726">
        <v>-420.5659</v>
      </c>
      <c r="H3726" s="1">
        <v>-1.6716E-6</v>
      </c>
      <c r="I3726">
        <v>43.134659999999997</v>
      </c>
      <c r="J3726">
        <v>-422.94110000000001</v>
      </c>
      <c r="K3726">
        <v>1.1116200000000001</v>
      </c>
      <c r="L3726">
        <v>53.626309999999997</v>
      </c>
      <c r="M3726">
        <v>-7.3209159999999898E-3</v>
      </c>
      <c r="N3726">
        <v>0</v>
      </c>
      <c r="O3726">
        <v>-0.99987579999999998</v>
      </c>
      <c r="P3726">
        <v>0.20430760000000001</v>
      </c>
      <c r="Q3726">
        <v>4.4564899999999998E-2</v>
      </c>
      <c r="R3726">
        <v>-0.97789219999999899</v>
      </c>
      <c r="S3726">
        <v>0.64343260000000002</v>
      </c>
      <c r="T3726">
        <v>-0.30137829999999999</v>
      </c>
      <c r="U3726">
        <v>-2.9461059999999999</v>
      </c>
      <c r="V3726">
        <v>-0.2116188</v>
      </c>
      <c r="W3726">
        <v>5.763037E-2</v>
      </c>
      <c r="X3726">
        <v>0.97565170000000001</v>
      </c>
      <c r="Y3726">
        <v>-0.2194625</v>
      </c>
      <c r="Z3726">
        <v>9.9362240000000004E-2</v>
      </c>
      <c r="AA3726">
        <v>0.97054799999999997</v>
      </c>
      <c r="AB3726">
        <v>36</v>
      </c>
      <c r="AC3726">
        <v>2.3752</v>
      </c>
      <c r="AD3726">
        <v>-1.1116216716</v>
      </c>
      <c r="AE3726">
        <v>-10.49165</v>
      </c>
      <c r="AF3726">
        <v>-2.42604523139484</v>
      </c>
      <c r="AG3726">
        <v>-1.1116216716</v>
      </c>
      <c r="AH3726">
        <v>10.363311477883499</v>
      </c>
      <c r="AI3726">
        <v>95.962437232398798</v>
      </c>
      <c r="AJ3726">
        <v>103.175642540133</v>
      </c>
      <c r="AK3726">
        <v>10.701384162489299</v>
      </c>
    </row>
    <row r="3727" spans="1:37" x14ac:dyDescent="0.2">
      <c r="A3727" t="str">
        <f>"20200111154140429"</f>
        <v>20200111154140429</v>
      </c>
      <c r="B3727" t="str">
        <f>"1578728500419414"</f>
        <v>1578728500419414</v>
      </c>
      <c r="C3727" t="s">
        <v>37</v>
      </c>
      <c r="D3727">
        <v>5.5600480000000001</v>
      </c>
      <c r="E3727">
        <v>0.49233979999999999</v>
      </c>
      <c r="F3727" t="s">
        <v>39</v>
      </c>
      <c r="G3727">
        <v>-420.58550000000002</v>
      </c>
      <c r="H3727" s="1">
        <v>-1.5585369999999999E-6</v>
      </c>
      <c r="I3727">
        <v>42.858939999999997</v>
      </c>
      <c r="J3727">
        <v>-422.9425</v>
      </c>
      <c r="K3727">
        <v>1.111659</v>
      </c>
      <c r="L3727">
        <v>53.264339999999997</v>
      </c>
      <c r="M3727">
        <v>-6.0890349999999996E-3</v>
      </c>
      <c r="N3727">
        <v>0</v>
      </c>
      <c r="O3727">
        <v>-0.99988379999999999</v>
      </c>
      <c r="P3727">
        <v>0.20527049999999999</v>
      </c>
      <c r="Q3727">
        <v>4.7488299999999997E-2</v>
      </c>
      <c r="R3727">
        <v>-0.97755239999999999</v>
      </c>
      <c r="S3727">
        <v>0.64471440000000002</v>
      </c>
      <c r="T3727">
        <v>-0.30424669999999998</v>
      </c>
      <c r="U3727">
        <v>-2.9469910000000001</v>
      </c>
      <c r="V3727">
        <v>-0.211388299999999</v>
      </c>
      <c r="W3727">
        <v>6.0538750000000002E-2</v>
      </c>
      <c r="X3727">
        <v>0.97552549999999905</v>
      </c>
      <c r="Y3727">
        <v>-0.21858320000000001</v>
      </c>
      <c r="Z3727">
        <v>0.1002758</v>
      </c>
      <c r="AA3727">
        <v>0.97065239999999997</v>
      </c>
      <c r="AB3727">
        <v>36</v>
      </c>
      <c r="AC3727">
        <v>2.35699999999997</v>
      </c>
      <c r="AD3727">
        <v>-1.1116605585370001</v>
      </c>
      <c r="AE3727">
        <v>-10.4054</v>
      </c>
      <c r="AF3727">
        <v>-2.3943269466422201</v>
      </c>
      <c r="AG3727">
        <v>-1.1116605585370001</v>
      </c>
      <c r="AH3727">
        <v>10.279255470165999</v>
      </c>
      <c r="AI3727">
        <v>96.012594733667299</v>
      </c>
      <c r="AJ3727">
        <v>103.111998362661</v>
      </c>
      <c r="AK3727">
        <v>10.6128075336248</v>
      </c>
    </row>
    <row r="3728" spans="1:37" x14ac:dyDescent="0.2">
      <c r="A3728" t="str">
        <f>"20200111154140450"</f>
        <v>20200111154140450</v>
      </c>
      <c r="B3728" t="str">
        <f>"1578728500439722"</f>
        <v>1578728500439722</v>
      </c>
      <c r="C3728" t="s">
        <v>37</v>
      </c>
      <c r="D3728">
        <v>5.3541829999999999</v>
      </c>
      <c r="E3728">
        <v>0.4925292</v>
      </c>
      <c r="F3728" t="s">
        <v>39</v>
      </c>
      <c r="G3728">
        <v>-420.41230000000002</v>
      </c>
      <c r="H3728" s="1">
        <v>-1.069756E-6</v>
      </c>
      <c r="I3728">
        <v>41.827039999999997</v>
      </c>
      <c r="J3728">
        <v>-422.9434</v>
      </c>
      <c r="K3728">
        <v>1.1117030000000001</v>
      </c>
      <c r="L3728">
        <v>52.918089999999999</v>
      </c>
      <c r="M3728">
        <v>-4.8669009999999999E-3</v>
      </c>
      <c r="N3728">
        <v>0</v>
      </c>
      <c r="O3728">
        <v>-0.99989069999999902</v>
      </c>
      <c r="P3728">
        <v>0.20681959999999999</v>
      </c>
      <c r="Q3728">
        <v>4.8704900000000002E-2</v>
      </c>
      <c r="R3728">
        <v>-0.97716619999999998</v>
      </c>
      <c r="S3728">
        <v>0.65173340000000002</v>
      </c>
      <c r="T3728">
        <v>-0.2863348</v>
      </c>
      <c r="U3728">
        <v>-2.9459529999999998</v>
      </c>
      <c r="V3728">
        <v>-0.21174999999999999</v>
      </c>
      <c r="W3728">
        <v>6.173385E-2</v>
      </c>
      <c r="X3728">
        <v>0.97537220000000002</v>
      </c>
      <c r="Y3728">
        <v>-0.21979169999999901</v>
      </c>
      <c r="Z3728">
        <v>9.4424449999999993E-2</v>
      </c>
      <c r="AA3728">
        <v>0.97096629999999995</v>
      </c>
      <c r="AB3728">
        <v>36</v>
      </c>
      <c r="AC3728">
        <v>2.5310999999999799</v>
      </c>
      <c r="AD3728">
        <v>-1.1117040697559999</v>
      </c>
      <c r="AE3728">
        <v>-11.0910499999999</v>
      </c>
      <c r="AF3728">
        <v>-2.5606016550989201</v>
      </c>
      <c r="AG3728">
        <v>-1.1117040697559999</v>
      </c>
      <c r="AH3728">
        <v>10.973803609674601</v>
      </c>
      <c r="AI3728">
        <v>95.634291492036894</v>
      </c>
      <c r="AJ3728">
        <v>103.134257403642</v>
      </c>
      <c r="AK3728">
        <v>11.3232915902804</v>
      </c>
    </row>
    <row r="3729" spans="1:37" x14ac:dyDescent="0.2">
      <c r="A3729" t="str">
        <f>"20200111154140472"</f>
        <v>20200111154140472</v>
      </c>
      <c r="B3729" t="str">
        <f>"1578728500460209"</f>
        <v>1578728500460209</v>
      </c>
      <c r="C3729" t="s">
        <v>37</v>
      </c>
      <c r="D3729">
        <v>5.3676839999999997</v>
      </c>
      <c r="E3729">
        <v>0.49192669999999999</v>
      </c>
      <c r="F3729" t="s">
        <v>39</v>
      </c>
      <c r="G3729">
        <v>-420.46089999999998</v>
      </c>
      <c r="H3729" s="1">
        <v>-1.0464319999999899E-6</v>
      </c>
      <c r="I3729">
        <v>41.74248</v>
      </c>
      <c r="J3729">
        <v>-422.94380000000001</v>
      </c>
      <c r="K3729">
        <v>1.1117509999999999</v>
      </c>
      <c r="L3729">
        <v>52.569459999999999</v>
      </c>
      <c r="M3729">
        <v>-3.570265E-3</v>
      </c>
      <c r="N3729">
        <v>0</v>
      </c>
      <c r="O3729">
        <v>-0.99989619999999901</v>
      </c>
      <c r="P3729">
        <v>0.20808370000000001</v>
      </c>
      <c r="Q3729">
        <v>4.8272580000000002E-2</v>
      </c>
      <c r="R3729">
        <v>-0.97691949999999905</v>
      </c>
      <c r="S3729">
        <v>0.65444950000000002</v>
      </c>
      <c r="T3729">
        <v>-0.29307569999999999</v>
      </c>
      <c r="U3729">
        <v>-2.9461979999999999</v>
      </c>
      <c r="V3729">
        <v>-0.21175369999999999</v>
      </c>
      <c r="W3729">
        <v>6.1275999999999997E-2</v>
      </c>
      <c r="X3729">
        <v>0.9754003</v>
      </c>
      <c r="Y3729">
        <v>-0.2193176</v>
      </c>
      <c r="Z3729">
        <v>9.6615229999999996E-2</v>
      </c>
      <c r="AA3729">
        <v>0.970858</v>
      </c>
      <c r="AB3729">
        <v>36</v>
      </c>
      <c r="AC3729">
        <v>2.4829000000000199</v>
      </c>
      <c r="AD3729">
        <v>-1.1117520464319901</v>
      </c>
      <c r="AE3729">
        <v>-10.826980000000001</v>
      </c>
      <c r="AF3729">
        <v>-2.4965350891097602</v>
      </c>
      <c r="AG3729">
        <v>-1.1117520464319901</v>
      </c>
      <c r="AH3729">
        <v>10.71075482312</v>
      </c>
      <c r="AI3729">
        <v>95.7723082477726</v>
      </c>
      <c r="AJ3729">
        <v>103.120623166887</v>
      </c>
      <c r="AK3729">
        <v>11.0539110248314</v>
      </c>
    </row>
    <row r="3730" spans="1:37" x14ac:dyDescent="0.2">
      <c r="A3730" t="str">
        <f>"20200111154140495"</f>
        <v>20200111154140495</v>
      </c>
      <c r="B3730" t="str">
        <f>"1578728500489488"</f>
        <v>1578728500489488</v>
      </c>
      <c r="C3730" t="s">
        <v>37</v>
      </c>
      <c r="D3730">
        <v>5.351572</v>
      </c>
      <c r="E3730">
        <v>0.49187199999999998</v>
      </c>
      <c r="F3730" t="s">
        <v>39</v>
      </c>
      <c r="G3730">
        <v>-420.37540000000001</v>
      </c>
      <c r="H3730" s="1">
        <v>-7.7424269999999897E-7</v>
      </c>
      <c r="I3730">
        <v>41.161059999999999</v>
      </c>
      <c r="J3730">
        <v>-422.94369999999998</v>
      </c>
      <c r="K3730">
        <v>1.111809</v>
      </c>
      <c r="L3730">
        <v>52.213619999999999</v>
      </c>
      <c r="M3730">
        <v>-2.1506030000000001E-3</v>
      </c>
      <c r="N3730">
        <v>0</v>
      </c>
      <c r="O3730">
        <v>-0.99990029999999996</v>
      </c>
      <c r="P3730">
        <v>0.20913280000000001</v>
      </c>
      <c r="Q3730">
        <v>4.686179E-2</v>
      </c>
      <c r="R3730">
        <v>-0.97676399999999997</v>
      </c>
      <c r="S3730">
        <v>0.66278079999999995</v>
      </c>
      <c r="T3730">
        <v>-0.28688190000000002</v>
      </c>
      <c r="U3730">
        <v>-2.94387799999999</v>
      </c>
      <c r="V3730">
        <v>-0.21142150000000001</v>
      </c>
      <c r="W3730">
        <v>5.9833829999999998E-2</v>
      </c>
      <c r="X3730">
        <v>0.97556180000000003</v>
      </c>
      <c r="Y3730">
        <v>-0.22075320000000001</v>
      </c>
      <c r="Z3730">
        <v>9.4620899999999994E-2</v>
      </c>
      <c r="AA3730">
        <v>0.97072909999999901</v>
      </c>
      <c r="AB3730">
        <v>36</v>
      </c>
      <c r="AC3730">
        <v>2.5682999999999598</v>
      </c>
      <c r="AD3730">
        <v>-1.1118097742427</v>
      </c>
      <c r="AE3730">
        <v>-11.05256</v>
      </c>
      <c r="AF3730">
        <v>-2.5674174282350801</v>
      </c>
      <c r="AG3730">
        <v>-1.1118097742427</v>
      </c>
      <c r="AH3730">
        <v>10.9419616720742</v>
      </c>
      <c r="AI3730">
        <v>95.649494166428894</v>
      </c>
      <c r="AJ3730">
        <v>103.204980500106</v>
      </c>
      <c r="AK3730">
        <v>11.2939930254117</v>
      </c>
    </row>
    <row r="3731" spans="1:37" x14ac:dyDescent="0.2">
      <c r="A3731" t="str">
        <f>"20200111154140517"</f>
        <v>20200111154140517</v>
      </c>
      <c r="B3731" t="str">
        <f>"1578728500509987"</f>
        <v>1578728500509987</v>
      </c>
      <c r="C3731" t="s">
        <v>37</v>
      </c>
      <c r="D3731">
        <v>5.3728099999999896</v>
      </c>
      <c r="E3731">
        <v>0.49168499999999998</v>
      </c>
      <c r="F3731" t="s">
        <v>39</v>
      </c>
      <c r="G3731">
        <v>-420.4239</v>
      </c>
      <c r="H3731" s="1">
        <v>-7.5279639999999998E-7</v>
      </c>
      <c r="I3731">
        <v>41.081000000000003</v>
      </c>
      <c r="J3731">
        <v>-422.94299999999998</v>
      </c>
      <c r="K3731">
        <v>1.1118889999999999</v>
      </c>
      <c r="L3731">
        <v>51.850070000000002</v>
      </c>
      <c r="M3731">
        <v>-5.7369379999999996E-4</v>
      </c>
      <c r="N3731">
        <v>0</v>
      </c>
      <c r="O3731">
        <v>-0.99990239999999997</v>
      </c>
      <c r="P3731">
        <v>0.21014959999999999</v>
      </c>
      <c r="Q3731">
        <v>4.5723819999999998E-2</v>
      </c>
      <c r="R3731">
        <v>-0.97659959999999901</v>
      </c>
      <c r="S3731">
        <v>0.66610719999999901</v>
      </c>
      <c r="T3731">
        <v>-0.29390300000000003</v>
      </c>
      <c r="U3731">
        <v>-2.9428709999999998</v>
      </c>
      <c r="V3731">
        <v>-0.21090729999999999</v>
      </c>
      <c r="W3731">
        <v>5.8653829999999997E-2</v>
      </c>
      <c r="X3731">
        <v>0.97574470000000002</v>
      </c>
      <c r="Y3731">
        <v>-0.22028139999999999</v>
      </c>
      <c r="Z3731">
        <v>9.6940419999999999E-2</v>
      </c>
      <c r="AA3731">
        <v>0.97060740000000001</v>
      </c>
      <c r="AB3731">
        <v>36</v>
      </c>
      <c r="AC3731">
        <v>2.5191000000000301</v>
      </c>
      <c r="AD3731">
        <v>-1.11188975279639</v>
      </c>
      <c r="AE3731">
        <v>-10.769069999999999</v>
      </c>
      <c r="AF3731">
        <v>-2.5000102545315999</v>
      </c>
      <c r="AG3731">
        <v>-1.11188975279639</v>
      </c>
      <c r="AH3731">
        <v>10.6598814351252</v>
      </c>
      <c r="AI3731">
        <v>95.7985455437734</v>
      </c>
      <c r="AJ3731">
        <v>103.198765240491</v>
      </c>
      <c r="AK3731">
        <v>11.0054269479227</v>
      </c>
    </row>
    <row r="3732" spans="1:37" x14ac:dyDescent="0.2">
      <c r="A3732" t="str">
        <f>"20200111154140540"</f>
        <v>20200111154140540</v>
      </c>
      <c r="B3732" t="str">
        <f>"1578728500529504"</f>
        <v>1578728500529504</v>
      </c>
      <c r="C3732" t="s">
        <v>37</v>
      </c>
      <c r="D3732">
        <v>5.3195790000000001</v>
      </c>
      <c r="E3732">
        <v>0.49118309999999998</v>
      </c>
      <c r="F3732" t="s">
        <v>39</v>
      </c>
      <c r="G3732">
        <v>-420.46039999999999</v>
      </c>
      <c r="H3732" s="1">
        <v>-7.0653929999999997E-7</v>
      </c>
      <c r="I3732">
        <v>40.950530000000001</v>
      </c>
      <c r="J3732">
        <v>-422.94159999999999</v>
      </c>
      <c r="K3732">
        <v>1.1119840000000001</v>
      </c>
      <c r="L3732">
        <v>51.496279999999999</v>
      </c>
      <c r="M3732">
        <v>1.107706E-3</v>
      </c>
      <c r="N3732">
        <v>0</v>
      </c>
      <c r="O3732">
        <v>-0.99990210000000002</v>
      </c>
      <c r="P3732">
        <v>0.21118729999999999</v>
      </c>
      <c r="Q3732">
        <v>4.5338349999999999E-2</v>
      </c>
      <c r="R3732">
        <v>-0.97639379999999998</v>
      </c>
      <c r="S3732">
        <v>0.67004390000000003</v>
      </c>
      <c r="T3732">
        <v>-0.30009469999999999</v>
      </c>
      <c r="U3732">
        <v>-2.9417419999999899</v>
      </c>
      <c r="V3732">
        <v>-0.21031710000000001</v>
      </c>
      <c r="W3732">
        <v>5.8217320000000003E-2</v>
      </c>
      <c r="X3732">
        <v>0.9758983</v>
      </c>
      <c r="Y3732">
        <v>-0.2199122</v>
      </c>
      <c r="Z3732">
        <v>9.8988909999999999E-2</v>
      </c>
      <c r="AA3732">
        <v>0.97048429999999997</v>
      </c>
      <c r="AB3732">
        <v>36</v>
      </c>
      <c r="AC3732">
        <v>2.4811999999999999</v>
      </c>
      <c r="AD3732">
        <v>-1.1119847065393</v>
      </c>
      <c r="AE3732">
        <v>-10.5457499999999</v>
      </c>
      <c r="AF3732">
        <v>-2.4437701013418698</v>
      </c>
      <c r="AG3732">
        <v>-1.1119847065393</v>
      </c>
      <c r="AH3732">
        <v>10.438520158404099</v>
      </c>
      <c r="AI3732">
        <v>95.921689261121799</v>
      </c>
      <c r="AJ3732">
        <v>103.176259496287</v>
      </c>
      <c r="AK3732">
        <v>10.778275622436</v>
      </c>
    </row>
    <row r="3733" spans="1:37" x14ac:dyDescent="0.2">
      <c r="A3733" t="str">
        <f>"20200111154140561"</f>
        <v>20200111154140561</v>
      </c>
      <c r="B3733" t="str">
        <f>"1578728500550000"</f>
        <v>1578728500550000</v>
      </c>
      <c r="C3733" t="s">
        <v>37</v>
      </c>
      <c r="D3733">
        <v>5.4088820000000002</v>
      </c>
      <c r="E3733">
        <v>0.49045270000000002</v>
      </c>
      <c r="F3733" t="s">
        <v>39</v>
      </c>
      <c r="G3733">
        <v>-420.44170000000003</v>
      </c>
      <c r="H3733" s="1">
        <v>-5.7162500000000001E-7</v>
      </c>
      <c r="I3733">
        <v>40.64761</v>
      </c>
      <c r="J3733">
        <v>-422.93950000000001</v>
      </c>
      <c r="K3733">
        <v>1.112112</v>
      </c>
      <c r="L3733">
        <v>51.148589999999999</v>
      </c>
      <c r="M3733">
        <v>2.9248679999999902E-3</v>
      </c>
      <c r="N3733">
        <v>0</v>
      </c>
      <c r="O3733">
        <v>-0.99989810000000001</v>
      </c>
      <c r="P3733">
        <v>0.21354490000000001</v>
      </c>
      <c r="Q3733">
        <v>4.5125819999999997E-2</v>
      </c>
      <c r="R3733">
        <v>-0.97589059999999905</v>
      </c>
      <c r="S3733">
        <v>0.6774597</v>
      </c>
      <c r="T3733">
        <v>-0.30134610000000001</v>
      </c>
      <c r="U3733">
        <v>-2.939972</v>
      </c>
      <c r="V3733">
        <v>-0.2109181</v>
      </c>
      <c r="W3733">
        <v>5.7936939999999999E-2</v>
      </c>
      <c r="X3733">
        <v>0.97578529999999997</v>
      </c>
      <c r="Y3733">
        <v>-0.22058249999999999</v>
      </c>
      <c r="Z3733">
        <v>9.9419770000000005E-2</v>
      </c>
      <c r="AA3733">
        <v>0.97028819999999905</v>
      </c>
      <c r="AB3733">
        <v>36</v>
      </c>
      <c r="AC3733">
        <v>2.4977999999999798</v>
      </c>
      <c r="AD3733">
        <v>-1.112112571625</v>
      </c>
      <c r="AE3733">
        <v>-10.50098</v>
      </c>
      <c r="AF3733">
        <v>-2.4411584919686602</v>
      </c>
      <c r="AG3733">
        <v>-1.112112571625</v>
      </c>
      <c r="AH3733">
        <v>10.3978641677793</v>
      </c>
      <c r="AI3733">
        <v>95.944485214073495</v>
      </c>
      <c r="AJ3733">
        <v>103.21233335141601</v>
      </c>
      <c r="AK3733">
        <v>10.7383252142253</v>
      </c>
    </row>
    <row r="3734" spans="1:37" x14ac:dyDescent="0.2">
      <c r="A3734" t="str">
        <f>"20200111154140584"</f>
        <v>20200111154140584</v>
      </c>
      <c r="B3734" t="str">
        <f>"1578728500580257"</f>
        <v>1578728500580257</v>
      </c>
      <c r="C3734" t="s">
        <v>37</v>
      </c>
      <c r="D3734">
        <v>5.6264570000000003</v>
      </c>
      <c r="E3734">
        <v>0.49008770000000001</v>
      </c>
      <c r="F3734" t="s">
        <v>39</v>
      </c>
      <c r="G3734">
        <v>-420.41669999999999</v>
      </c>
      <c r="H3734" s="1">
        <v>-4.6118089999999999E-7</v>
      </c>
      <c r="I3734">
        <v>40.40569</v>
      </c>
      <c r="J3734">
        <v>-422.93650000000002</v>
      </c>
      <c r="K3734">
        <v>1.112266</v>
      </c>
      <c r="L3734">
        <v>50.796419999999998</v>
      </c>
      <c r="M3734">
        <v>4.953173E-3</v>
      </c>
      <c r="N3734">
        <v>0</v>
      </c>
      <c r="O3734">
        <v>-0.99988999999999995</v>
      </c>
      <c r="P3734">
        <v>0.21661910000000001</v>
      </c>
      <c r="Q3734">
        <v>4.6062640000000002E-2</v>
      </c>
      <c r="R3734">
        <v>-0.97516849999999999</v>
      </c>
      <c r="S3734">
        <v>0.68975830000000005</v>
      </c>
      <c r="T3734">
        <v>-0.30406669999999902</v>
      </c>
      <c r="U3734">
        <v>-2.9372560000000001</v>
      </c>
      <c r="V3734">
        <v>-0.2120389</v>
      </c>
      <c r="W3734">
        <v>5.8792360000000002E-2</v>
      </c>
      <c r="X3734">
        <v>0.9754912</v>
      </c>
      <c r="Y3734">
        <v>-0.22263359999999999</v>
      </c>
      <c r="Z3734">
        <v>0.10032619999999901</v>
      </c>
      <c r="AA3734">
        <v>0.96972619999999898</v>
      </c>
      <c r="AB3734">
        <v>36</v>
      </c>
      <c r="AC3734">
        <v>2.5198000000000298</v>
      </c>
      <c r="AD3734">
        <v>-1.1122664611808999</v>
      </c>
      <c r="AE3734">
        <v>-10.3907299999999</v>
      </c>
      <c r="AF3734">
        <v>-2.4418710040288598</v>
      </c>
      <c r="AG3734">
        <v>-1.1122664611808999</v>
      </c>
      <c r="AH3734">
        <v>10.291707717056299</v>
      </c>
      <c r="AI3734">
        <v>96.002860879732907</v>
      </c>
      <c r="AJ3734">
        <v>103.347519483212</v>
      </c>
      <c r="AK3734">
        <v>10.635747195862701</v>
      </c>
    </row>
    <row r="3735" spans="1:37" x14ac:dyDescent="0.2">
      <c r="A3735" t="str">
        <f>"20200111154140607"</f>
        <v>20200111154140607</v>
      </c>
      <c r="B3735" t="str">
        <f>"1578728500599776"</f>
        <v>1578728500599776</v>
      </c>
      <c r="C3735" t="s">
        <v>37</v>
      </c>
      <c r="D3735">
        <v>5.1612419999999997</v>
      </c>
      <c r="E3735">
        <v>0.48939629999999901</v>
      </c>
      <c r="F3735" t="s">
        <v>39</v>
      </c>
      <c r="G3735">
        <v>-420.375</v>
      </c>
      <c r="H3735" s="1">
        <v>-3.0838750000000001E-7</v>
      </c>
      <c r="I3735">
        <v>40.075369999999999</v>
      </c>
      <c r="J3735">
        <v>-422.9323</v>
      </c>
      <c r="K3735">
        <v>1.1124350000000001</v>
      </c>
      <c r="L3735">
        <v>50.427489999999999</v>
      </c>
      <c r="M3735">
        <v>7.2957209999999998E-3</v>
      </c>
      <c r="N3735">
        <v>0</v>
      </c>
      <c r="O3735">
        <v>-0.99987599999999999</v>
      </c>
      <c r="P3735">
        <v>0.22102179999999999</v>
      </c>
      <c r="Q3735">
        <v>4.7226839999999999E-2</v>
      </c>
      <c r="R3735">
        <v>-0.97412500000000002</v>
      </c>
      <c r="S3735">
        <v>0.70123290000000005</v>
      </c>
      <c r="T3735">
        <v>-0.3044944</v>
      </c>
      <c r="U3735">
        <v>-2.93499799999999</v>
      </c>
      <c r="V3735">
        <v>-0.21418960000000001</v>
      </c>
      <c r="W3735">
        <v>5.9857630000000002E-2</v>
      </c>
      <c r="X3735">
        <v>0.9749563</v>
      </c>
      <c r="Y3735">
        <v>-0.22410229999999901</v>
      </c>
      <c r="Z3735">
        <v>0.10047689999999999</v>
      </c>
      <c r="AA3735">
        <v>0.96937229999999996</v>
      </c>
      <c r="AB3735">
        <v>36</v>
      </c>
      <c r="AC3735">
        <v>2.5572999999999899</v>
      </c>
      <c r="AD3735">
        <v>-1.1124353083875</v>
      </c>
      <c r="AE3735">
        <v>-10.352119999999999</v>
      </c>
      <c r="AF3735">
        <v>-2.4549798088154402</v>
      </c>
      <c r="AG3735">
        <v>-1.1124353083875</v>
      </c>
      <c r="AH3735">
        <v>10.25885217489</v>
      </c>
      <c r="AI3735">
        <v>96.020106047710399</v>
      </c>
      <c r="AJ3735">
        <v>103.45799728663999</v>
      </c>
      <c r="AK3735">
        <v>10.6070017499425</v>
      </c>
    </row>
    <row r="3736" spans="1:37" x14ac:dyDescent="0.2">
      <c r="A3736" t="str">
        <f>"20200111154140629"</f>
        <v>20200111154140629</v>
      </c>
      <c r="B3736" t="str">
        <f>"1578728500620276"</f>
        <v>1578728500620276</v>
      </c>
      <c r="C3736" t="s">
        <v>37</v>
      </c>
      <c r="D3736">
        <v>5.0235019999999997</v>
      </c>
      <c r="E3736">
        <v>0.43083519999999997</v>
      </c>
      <c r="F3736" t="s">
        <v>47</v>
      </c>
      <c r="G3736">
        <v>-420.25729999999999</v>
      </c>
      <c r="H3736" s="1">
        <v>-1.0822870000000001E-7</v>
      </c>
      <c r="I3736">
        <v>39.537489999999998</v>
      </c>
      <c r="J3736">
        <v>-422.92750000000001</v>
      </c>
      <c r="K3736">
        <v>1.1125909999999899</v>
      </c>
      <c r="L3736">
        <v>50.076349999999998</v>
      </c>
      <c r="M3736">
        <v>9.6874479999999995E-3</v>
      </c>
      <c r="N3736">
        <v>0</v>
      </c>
      <c r="O3736">
        <v>-0.99985559999999996</v>
      </c>
      <c r="P3736">
        <v>0.22571630000000001</v>
      </c>
      <c r="Q3736">
        <v>4.8377839999999998E-2</v>
      </c>
      <c r="R3736">
        <v>-0.97299150000000001</v>
      </c>
      <c r="S3736">
        <v>0.71994019999999903</v>
      </c>
      <c r="T3736">
        <v>-0.29939179999999999</v>
      </c>
      <c r="U3736">
        <v>-2.930847</v>
      </c>
      <c r="V3736">
        <v>-0.216587799999999</v>
      </c>
      <c r="W3736">
        <v>6.0914749999999997E-2</v>
      </c>
      <c r="X3736">
        <v>0.97436089999999997</v>
      </c>
      <c r="Y3736">
        <v>-0.22796369999999999</v>
      </c>
      <c r="Z3736">
        <v>9.8824430000000005E-2</v>
      </c>
      <c r="AA3736">
        <v>0.96864150000000004</v>
      </c>
      <c r="AB3736">
        <v>36</v>
      </c>
      <c r="AC3736">
        <v>2.6702000000000199</v>
      </c>
      <c r="AD3736">
        <v>-1.1125911082287001</v>
      </c>
      <c r="AE3736">
        <v>-10.5388599999999</v>
      </c>
      <c r="AF3736">
        <v>-2.54135496954826</v>
      </c>
      <c r="AG3736">
        <v>-1.1125911082287001</v>
      </c>
      <c r="AH3736">
        <v>10.4547448846052</v>
      </c>
      <c r="AI3736">
        <v>95.903882975014994</v>
      </c>
      <c r="AJ3736">
        <v>103.66255677440201</v>
      </c>
      <c r="AK3736">
        <v>10.816562978022899</v>
      </c>
    </row>
    <row r="3737" spans="1:37" x14ac:dyDescent="0.2">
      <c r="A3737" t="str">
        <f>"20200111154140651"</f>
        <v>20200111154140651</v>
      </c>
      <c r="B3737" t="str">
        <f>"1578728500639793"</f>
        <v>1578728500639793</v>
      </c>
      <c r="C3737" t="s">
        <v>37</v>
      </c>
      <c r="D3737">
        <v>5.1469699999999996</v>
      </c>
      <c r="E3737">
        <v>0.40018579999999998</v>
      </c>
      <c r="F3737" t="s">
        <v>47</v>
      </c>
      <c r="G3737">
        <v>-417.6825</v>
      </c>
      <c r="H3737" s="1">
        <v>-1.831702E-6</v>
      </c>
      <c r="I3737">
        <v>37.684539999999998</v>
      </c>
      <c r="J3737">
        <v>-422.92180000000002</v>
      </c>
      <c r="K3737">
        <v>1.112744</v>
      </c>
      <c r="L3737">
        <v>49.732729999999997</v>
      </c>
      <c r="M3737">
        <v>1.218414E-2</v>
      </c>
      <c r="N3737">
        <v>0</v>
      </c>
      <c r="O3737">
        <v>-0.99982819999999994</v>
      </c>
      <c r="P3737">
        <v>0.23144509999999999</v>
      </c>
      <c r="Q3737">
        <v>5.0090540000000003E-2</v>
      </c>
      <c r="R3737">
        <v>-0.97155789999999997</v>
      </c>
      <c r="S3737">
        <v>1.1932069999999999</v>
      </c>
      <c r="T3737">
        <v>-0.253108</v>
      </c>
      <c r="U3737">
        <v>-2.819061</v>
      </c>
      <c r="V3737">
        <v>-0.2199274</v>
      </c>
      <c r="W3737">
        <v>6.2528159999999999E-2</v>
      </c>
      <c r="X3737">
        <v>0.97351019999999899</v>
      </c>
      <c r="Y3737">
        <v>-0.37720520000000002</v>
      </c>
      <c r="Z3737">
        <v>8.2592780000000005E-2</v>
      </c>
      <c r="AA3737">
        <v>0.92243949999999997</v>
      </c>
      <c r="AB3737">
        <v>36</v>
      </c>
      <c r="AC3737">
        <v>5.2393000000000098</v>
      </c>
      <c r="AD3737">
        <v>-1.112745831702</v>
      </c>
      <c r="AE3737">
        <v>-12.0481899999999</v>
      </c>
      <c r="AF3737">
        <v>-5.0558320923228797</v>
      </c>
      <c r="AG3737">
        <v>-1.112745831702</v>
      </c>
      <c r="AH3737">
        <v>12.024878212389099</v>
      </c>
      <c r="AI3737">
        <v>94.875743678357793</v>
      </c>
      <c r="AJ3737">
        <v>112.804205981556</v>
      </c>
      <c r="AK3737">
        <v>13.0918805927385</v>
      </c>
    </row>
    <row r="3738" spans="1:37" x14ac:dyDescent="0.2">
      <c r="A3738" t="str">
        <f>"20200111154140673"</f>
        <v>20200111154140673</v>
      </c>
      <c r="B3738" t="str">
        <f>"1578728500669580"</f>
        <v>1578728500669580</v>
      </c>
      <c r="C3738" t="s">
        <v>37</v>
      </c>
      <c r="D3738">
        <v>5.0019970000000002</v>
      </c>
      <c r="E3738">
        <v>0.3782972</v>
      </c>
      <c r="F3738" t="s">
        <v>38</v>
      </c>
      <c r="G3738">
        <v>-422.44470000000001</v>
      </c>
      <c r="H3738">
        <v>1.0278229999999999</v>
      </c>
      <c r="I3738">
        <v>48.824539999999999</v>
      </c>
      <c r="J3738">
        <v>-422.91489999999999</v>
      </c>
      <c r="K3738">
        <v>1.1128899999999999</v>
      </c>
      <c r="L3738">
        <v>49.37988</v>
      </c>
      <c r="M3738">
        <v>1.4911850000000001E-2</v>
      </c>
      <c r="N3738">
        <v>0</v>
      </c>
      <c r="O3738">
        <v>-0.99979099999999999</v>
      </c>
      <c r="P3738">
        <v>0.23749899999999999</v>
      </c>
      <c r="Q3738">
        <v>5.0810750000000002E-2</v>
      </c>
      <c r="R3738">
        <v>-0.97005810000000003</v>
      </c>
      <c r="S3738">
        <v>1.447632</v>
      </c>
      <c r="T3738">
        <v>-0.25772879999999998</v>
      </c>
      <c r="U3738">
        <v>-2.756256</v>
      </c>
      <c r="V3738">
        <v>-0.22336919999999999</v>
      </c>
      <c r="W3738">
        <v>6.3145380000000001E-2</v>
      </c>
      <c r="X3738">
        <v>0.97268639999999995</v>
      </c>
      <c r="Y3738">
        <v>-0.45013589999999998</v>
      </c>
      <c r="Z3738">
        <v>8.2785189999999995E-2</v>
      </c>
      <c r="AA3738">
        <v>0.88911430000000002</v>
      </c>
      <c r="AB3738">
        <v>36</v>
      </c>
      <c r="AC3738">
        <v>0.47019999999997703</v>
      </c>
      <c r="AD3738">
        <v>-8.5066999999999907E-2</v>
      </c>
      <c r="AE3738">
        <v>-0.55533999999999994</v>
      </c>
      <c r="AF3738">
        <v>-0.45563867039044498</v>
      </c>
      <c r="AG3738">
        <v>-8.5066999999999907E-2</v>
      </c>
      <c r="AH3738">
        <v>0.55470942505976095</v>
      </c>
      <c r="AI3738">
        <v>96.758171111024296</v>
      </c>
      <c r="AJ3738">
        <v>129.39970467750601</v>
      </c>
      <c r="AK3738">
        <v>0.72287311382724995</v>
      </c>
    </row>
    <row r="3739" spans="1:37" x14ac:dyDescent="0.2">
      <c r="A3739" t="str">
        <f>"20200111154140696"</f>
        <v>20200111154140696</v>
      </c>
      <c r="B3739" t="str">
        <f>"1578728500690076"</f>
        <v>1578728500690076</v>
      </c>
      <c r="C3739" t="s">
        <v>37</v>
      </c>
      <c r="D3739">
        <v>4.9840919999999898</v>
      </c>
      <c r="E3739">
        <v>0.3748013</v>
      </c>
      <c r="F3739" t="s">
        <v>38</v>
      </c>
      <c r="G3739">
        <v>-422.39499999999998</v>
      </c>
      <c r="H3739">
        <v>1.034451</v>
      </c>
      <c r="I3739">
        <v>48.519170000000003</v>
      </c>
      <c r="J3739">
        <v>-422.90649999999999</v>
      </c>
      <c r="K3739">
        <v>1.113046</v>
      </c>
      <c r="L3739">
        <v>49.008029999999998</v>
      </c>
      <c r="M3739">
        <v>1.7958749999999999E-2</v>
      </c>
      <c r="N3739">
        <v>0</v>
      </c>
      <c r="O3739">
        <v>-0.99974110000000005</v>
      </c>
      <c r="P3739">
        <v>0.24328069999999999</v>
      </c>
      <c r="Q3739">
        <v>5.0795069999999998E-2</v>
      </c>
      <c r="R3739">
        <v>-0.96862539999999997</v>
      </c>
      <c r="S3739">
        <v>1.6351009999999999</v>
      </c>
      <c r="T3739">
        <v>-0.246531799999999</v>
      </c>
      <c r="U3739">
        <v>-2.7052</v>
      </c>
      <c r="V3739">
        <v>-0.22623080000000001</v>
      </c>
      <c r="W3739">
        <v>6.3024999999999998E-2</v>
      </c>
      <c r="X3739">
        <v>0.97203269999999997</v>
      </c>
      <c r="Y3739">
        <v>-0.50024809999999997</v>
      </c>
      <c r="Z3739">
        <v>7.8119229999999998E-2</v>
      </c>
      <c r="AA3739">
        <v>0.86235099999999998</v>
      </c>
      <c r="AB3739">
        <v>35</v>
      </c>
      <c r="AC3739">
        <v>0.51150000000001195</v>
      </c>
      <c r="AD3739">
        <v>-7.8594999999999901E-2</v>
      </c>
      <c r="AE3739">
        <v>-0.48885999999999502</v>
      </c>
      <c r="AF3739">
        <v>-0.49651080684305599</v>
      </c>
      <c r="AG3739">
        <v>-7.8594999999999901E-2</v>
      </c>
      <c r="AH3739">
        <v>0.49189834154146</v>
      </c>
      <c r="AI3739">
        <v>96.416089160275604</v>
      </c>
      <c r="AJ3739">
        <v>135.26737194515201</v>
      </c>
      <c r="AK3739">
        <v>0.70332363371934303</v>
      </c>
    </row>
    <row r="3740" spans="1:37" x14ac:dyDescent="0.2">
      <c r="A3740" t="str">
        <f>"20200111154140718"</f>
        <v>20200111154140718</v>
      </c>
      <c r="B3740" t="str">
        <f>"1578728500709596"</f>
        <v>1578728500709596</v>
      </c>
      <c r="C3740" t="s">
        <v>37</v>
      </c>
      <c r="D3740">
        <v>5.0127839999999999</v>
      </c>
      <c r="E3740">
        <v>0.37229440000000003</v>
      </c>
      <c r="F3740" t="s">
        <v>38</v>
      </c>
      <c r="G3740">
        <v>-422.40320000000003</v>
      </c>
      <c r="H3740">
        <v>1.032886</v>
      </c>
      <c r="I3740">
        <v>48.200829999999897</v>
      </c>
      <c r="J3740">
        <v>-422.89749999999998</v>
      </c>
      <c r="K3740">
        <v>1.113192</v>
      </c>
      <c r="L3740">
        <v>48.66348</v>
      </c>
      <c r="M3740">
        <v>2.093472E-2</v>
      </c>
      <c r="N3740">
        <v>0</v>
      </c>
      <c r="O3740">
        <v>-0.99968319999999999</v>
      </c>
      <c r="P3740">
        <v>0.24894240000000001</v>
      </c>
      <c r="Q3740">
        <v>5.1580479999999998E-2</v>
      </c>
      <c r="R3740">
        <v>-0.96714429999999996</v>
      </c>
      <c r="S3740">
        <v>1.67746</v>
      </c>
      <c r="T3740">
        <v>-0.2671288</v>
      </c>
      <c r="U3740">
        <v>-2.68988</v>
      </c>
      <c r="V3740">
        <v>-0.2290518</v>
      </c>
      <c r="W3740">
        <v>6.3708829999999994E-2</v>
      </c>
      <c r="X3740">
        <v>0.97132719999999995</v>
      </c>
      <c r="Y3740">
        <v>-0.50938950000000005</v>
      </c>
      <c r="Z3740">
        <v>8.4432460000000001E-2</v>
      </c>
      <c r="AA3740">
        <v>0.85638400000000003</v>
      </c>
      <c r="AB3740">
        <v>35</v>
      </c>
      <c r="AC3740">
        <v>0.494299999999952</v>
      </c>
      <c r="AD3740">
        <v>-8.0305999999999905E-2</v>
      </c>
      <c r="AE3740">
        <v>-0.462650000000003</v>
      </c>
      <c r="AF3740">
        <v>-0.47778317867227399</v>
      </c>
      <c r="AG3740">
        <v>-8.0305999999999905E-2</v>
      </c>
      <c r="AH3740">
        <v>0.46633659797142502</v>
      </c>
      <c r="AI3740">
        <v>96.858753168170296</v>
      </c>
      <c r="AJ3740">
        <v>135.69462439867499</v>
      </c>
      <c r="AK3740">
        <v>0.67245493682903801</v>
      </c>
    </row>
    <row r="3741" spans="1:37" x14ac:dyDescent="0.2">
      <c r="A3741" t="str">
        <f>"20200111154140740"</f>
        <v>20200111154140740</v>
      </c>
      <c r="B3741" t="str">
        <f>"1578728500730091"</f>
        <v>1578728500730091</v>
      </c>
      <c r="C3741" t="s">
        <v>37</v>
      </c>
      <c r="D3741">
        <v>5.2341610000000003</v>
      </c>
      <c r="E3741">
        <v>0.37190099999999998</v>
      </c>
      <c r="F3741" t="s">
        <v>38</v>
      </c>
      <c r="G3741">
        <v>-422.3997</v>
      </c>
      <c r="H3741">
        <v>1.032994</v>
      </c>
      <c r="I3741">
        <v>47.885269999999998</v>
      </c>
      <c r="J3741">
        <v>-422.88740000000001</v>
      </c>
      <c r="K3741">
        <v>1.1133309999999901</v>
      </c>
      <c r="L3741">
        <v>48.320129999999999</v>
      </c>
      <c r="M3741">
        <v>2.4042350000000001E-2</v>
      </c>
      <c r="N3741">
        <v>0</v>
      </c>
      <c r="O3741">
        <v>-0.99961299999999997</v>
      </c>
      <c r="P3741">
        <v>0.2550345</v>
      </c>
      <c r="Q3741">
        <v>5.154939E-2</v>
      </c>
      <c r="R3741">
        <v>-0.96555709999999995</v>
      </c>
      <c r="S3741">
        <v>1.71228</v>
      </c>
      <c r="T3741">
        <v>-0.27576069999999903</v>
      </c>
      <c r="U3741">
        <v>-2.6758730000000002</v>
      </c>
      <c r="V3741">
        <v>-0.23217849999999901</v>
      </c>
      <c r="W3741">
        <v>6.3570829999999995E-2</v>
      </c>
      <c r="X3741">
        <v>0.97059359999999995</v>
      </c>
      <c r="Y3741">
        <v>-0.51654279999999997</v>
      </c>
      <c r="Z3741">
        <v>8.7033860000000005E-2</v>
      </c>
      <c r="AA3741">
        <v>0.85182669999999905</v>
      </c>
      <c r="AB3741">
        <v>35</v>
      </c>
      <c r="AC3741">
        <v>0.48770000000001801</v>
      </c>
      <c r="AD3741">
        <v>-8.0336999999999797E-2</v>
      </c>
      <c r="AE3741">
        <v>-0.43486000000000002</v>
      </c>
      <c r="AF3741">
        <v>-0.46999821684971099</v>
      </c>
      <c r="AG3741">
        <v>-8.0336999999999797E-2</v>
      </c>
      <c r="AH3741">
        <v>0.43981247712176802</v>
      </c>
      <c r="AI3741">
        <v>97.114156112754998</v>
      </c>
      <c r="AJ3741">
        <v>136.90026486969401</v>
      </c>
      <c r="AK3741">
        <v>0.64868125642945396</v>
      </c>
    </row>
    <row r="3742" spans="1:37" x14ac:dyDescent="0.2">
      <c r="A3742" t="str">
        <f>"20200111154140762"</f>
        <v>20200111154140762</v>
      </c>
      <c r="B3742" t="str">
        <f>"1578728500759880"</f>
        <v>1578728500759880</v>
      </c>
      <c r="C3742" t="s">
        <v>37</v>
      </c>
      <c r="D3742">
        <v>4.8734149999999996</v>
      </c>
      <c r="E3742">
        <v>0.37106529999999999</v>
      </c>
      <c r="F3742" t="s">
        <v>38</v>
      </c>
      <c r="G3742">
        <v>-422.39920000000001</v>
      </c>
      <c r="H3742">
        <v>1.0344260000000001</v>
      </c>
      <c r="I3742">
        <v>47.569090000000003</v>
      </c>
      <c r="J3742">
        <v>-422.8759</v>
      </c>
      <c r="K3742">
        <v>1.113461</v>
      </c>
      <c r="L3742">
        <v>47.969450000000002</v>
      </c>
      <c r="M3742">
        <v>2.7355089999999999E-2</v>
      </c>
      <c r="N3742">
        <v>0</v>
      </c>
      <c r="O3742">
        <v>-0.99952790000000002</v>
      </c>
      <c r="P3742">
        <v>0.26061839999999997</v>
      </c>
      <c r="Q3742">
        <v>4.9503100000000001E-2</v>
      </c>
      <c r="R3742">
        <v>-0.96417209999999998</v>
      </c>
      <c r="S3742">
        <v>1.7319639999999901</v>
      </c>
      <c r="T3742">
        <v>-0.27993590000000002</v>
      </c>
      <c r="U3742">
        <v>-2.6644899999999998</v>
      </c>
      <c r="V3742">
        <v>-0.2345846</v>
      </c>
      <c r="W3742">
        <v>6.1426389999999997E-2</v>
      </c>
      <c r="X3742">
        <v>0.97015300000000004</v>
      </c>
      <c r="Y3742">
        <v>-0.51973000000000003</v>
      </c>
      <c r="Z3742">
        <v>8.8389679999999998E-2</v>
      </c>
      <c r="AA3742">
        <v>0.8497458</v>
      </c>
      <c r="AB3742">
        <v>35</v>
      </c>
      <c r="AC3742">
        <v>0.47669999999999302</v>
      </c>
      <c r="AD3742">
        <v>-7.9034999999999897E-2</v>
      </c>
      <c r="AE3742">
        <v>-0.40035999999999899</v>
      </c>
      <c r="AF3742">
        <v>-0.45818325881829203</v>
      </c>
      <c r="AG3742">
        <v>-7.9034999999999897E-2</v>
      </c>
      <c r="AH3742">
        <v>0.40669614530375697</v>
      </c>
      <c r="AI3742">
        <v>97.350912827091705</v>
      </c>
      <c r="AJ3742">
        <v>138.40685281263501</v>
      </c>
      <c r="AK3742">
        <v>0.61772176948144297</v>
      </c>
    </row>
    <row r="3743" spans="1:37" x14ac:dyDescent="0.2">
      <c r="A3743" t="str">
        <f>"20200111154140785"</f>
        <v>20200111154140785</v>
      </c>
      <c r="B3743" t="str">
        <f>"1578728500779399"</f>
        <v>1578728500779399</v>
      </c>
      <c r="C3743" t="s">
        <v>37</v>
      </c>
      <c r="D3743">
        <v>4.8967029999999996</v>
      </c>
      <c r="E3743">
        <v>0.37080679999999999</v>
      </c>
      <c r="F3743" t="s">
        <v>38</v>
      </c>
      <c r="G3743">
        <v>-422.40179999999998</v>
      </c>
      <c r="H3743">
        <v>1.0381670000000001</v>
      </c>
      <c r="I3743">
        <v>47.252209999999998</v>
      </c>
      <c r="J3743">
        <v>-422.86290000000002</v>
      </c>
      <c r="K3743">
        <v>1.1135790000000001</v>
      </c>
      <c r="L3743">
        <v>47.616880000000002</v>
      </c>
      <c r="M3743">
        <v>3.08253E-2</v>
      </c>
      <c r="N3743">
        <v>0</v>
      </c>
      <c r="O3743">
        <v>-0.9994267</v>
      </c>
      <c r="P3743">
        <v>0.2672833</v>
      </c>
      <c r="Q3743">
        <v>4.719814E-2</v>
      </c>
      <c r="R3743">
        <v>-0.96246149999999997</v>
      </c>
      <c r="S3743">
        <v>1.7539979999999999</v>
      </c>
      <c r="T3743">
        <v>-0.2783738</v>
      </c>
      <c r="U3743">
        <v>-2.651672</v>
      </c>
      <c r="V3743">
        <v>-0.23792919999999901</v>
      </c>
      <c r="W3743">
        <v>5.9016560000000003E-2</v>
      </c>
      <c r="X3743">
        <v>0.96948789999999996</v>
      </c>
      <c r="Y3743">
        <v>-0.52359</v>
      </c>
      <c r="Z3743">
        <v>8.794565E-2</v>
      </c>
      <c r="AA3743">
        <v>0.84741909999999898</v>
      </c>
      <c r="AB3743">
        <v>35</v>
      </c>
      <c r="AC3743">
        <v>0.46110000000004397</v>
      </c>
      <c r="AD3743">
        <v>-7.5412000000000007E-2</v>
      </c>
      <c r="AE3743">
        <v>-0.36467000000000299</v>
      </c>
      <c r="AF3743">
        <v>-0.44235943746593898</v>
      </c>
      <c r="AG3743">
        <v>-7.5412000000000007E-2</v>
      </c>
      <c r="AH3743">
        <v>0.37258061863258402</v>
      </c>
      <c r="AI3743">
        <v>97.428872981137005</v>
      </c>
      <c r="AJ3743">
        <v>139.89398447508799</v>
      </c>
      <c r="AK3743">
        <v>0.58325394044088597</v>
      </c>
    </row>
    <row r="3744" spans="1:37" x14ac:dyDescent="0.2">
      <c r="A3744" t="str">
        <f>"20200111154140808"</f>
        <v>20200111154140808</v>
      </c>
      <c r="B3744" t="str">
        <f>"1578728500799895"</f>
        <v>1578728500799895</v>
      </c>
      <c r="C3744" t="s">
        <v>37</v>
      </c>
      <c r="D3744">
        <v>4.9259250000000003</v>
      </c>
      <c r="E3744">
        <v>0.3704847</v>
      </c>
      <c r="F3744" t="s">
        <v>38</v>
      </c>
      <c r="G3744">
        <v>-422.22239999999999</v>
      </c>
      <c r="H3744">
        <v>1.011042</v>
      </c>
      <c r="I3744">
        <v>46.66375</v>
      </c>
      <c r="J3744">
        <v>-422.84800000000001</v>
      </c>
      <c r="K3744">
        <v>1.113691</v>
      </c>
      <c r="L3744">
        <v>47.250309999999999</v>
      </c>
      <c r="M3744">
        <v>3.4552270000000003E-2</v>
      </c>
      <c r="N3744">
        <v>0</v>
      </c>
      <c r="O3744">
        <v>-0.99930479999999999</v>
      </c>
      <c r="P3744">
        <v>0.27410630000000002</v>
      </c>
      <c r="Q3744">
        <v>4.602916E-2</v>
      </c>
      <c r="R3744">
        <v>-0.96059749999999999</v>
      </c>
      <c r="S3744">
        <v>1.773987</v>
      </c>
      <c r="T3744">
        <v>-0.28383009999999997</v>
      </c>
      <c r="U3744">
        <v>-2.6382750000000001</v>
      </c>
      <c r="V3744">
        <v>-0.24120029999999901</v>
      </c>
      <c r="W3744">
        <v>5.7747479999999997E-2</v>
      </c>
      <c r="X3744">
        <v>0.968755699999999</v>
      </c>
      <c r="Y3744">
        <v>-0.52673930000000002</v>
      </c>
      <c r="Z3744">
        <v>8.9746889999999996E-2</v>
      </c>
      <c r="AA3744">
        <v>0.84527580000000002</v>
      </c>
      <c r="AB3744">
        <v>35</v>
      </c>
      <c r="AC3744">
        <v>0.62560000000001903</v>
      </c>
      <c r="AD3744">
        <v>-0.102649</v>
      </c>
      <c r="AE3744">
        <v>-0.58655999999999797</v>
      </c>
      <c r="AF3744">
        <v>-0.59641233395205495</v>
      </c>
      <c r="AG3744">
        <v>-0.102649</v>
      </c>
      <c r="AH3744">
        <v>0.59924209229159997</v>
      </c>
      <c r="AI3744">
        <v>96.922532419043606</v>
      </c>
      <c r="AJ3744">
        <v>134.86439818761801</v>
      </c>
      <c r="AK3744">
        <v>0.85166635161027304</v>
      </c>
    </row>
    <row r="3745" spans="1:37" x14ac:dyDescent="0.2">
      <c r="A3745" t="str">
        <f>"20200111154140830"</f>
        <v>20200111154140830</v>
      </c>
      <c r="B3745" t="str">
        <f>"1578728500819415"</f>
        <v>1578728500819415</v>
      </c>
      <c r="C3745" t="s">
        <v>37</v>
      </c>
      <c r="D3745">
        <v>4.9453269999999998</v>
      </c>
      <c r="E3745">
        <v>0.37020349999999902</v>
      </c>
      <c r="F3745" t="s">
        <v>38</v>
      </c>
      <c r="G3745">
        <v>-422.23009999999999</v>
      </c>
      <c r="H3745">
        <v>1.015414</v>
      </c>
      <c r="I3745">
        <v>46.34722</v>
      </c>
      <c r="J3745">
        <v>-422.8331</v>
      </c>
      <c r="K3745">
        <v>1.1137790000000001</v>
      </c>
      <c r="L3745">
        <v>46.917180000000002</v>
      </c>
      <c r="M3745">
        <v>3.8015899999999998E-2</v>
      </c>
      <c r="N3745">
        <v>0</v>
      </c>
      <c r="O3745">
        <v>-0.99917919999999905</v>
      </c>
      <c r="P3745">
        <v>0.28094159999999901</v>
      </c>
      <c r="Q3745">
        <v>4.6171299999999998E-2</v>
      </c>
      <c r="R3745">
        <v>-0.95861399999999997</v>
      </c>
      <c r="S3745">
        <v>1.7952269999999999</v>
      </c>
      <c r="T3745">
        <v>-0.28559200000000001</v>
      </c>
      <c r="U3745">
        <v>-2.6244509999999899</v>
      </c>
      <c r="V3745">
        <v>-0.24475709999999901</v>
      </c>
      <c r="W3745">
        <v>5.7798879999999997E-2</v>
      </c>
      <c r="X3745">
        <v>0.96786019999999995</v>
      </c>
      <c r="Y3745">
        <v>-0.53049780000000002</v>
      </c>
      <c r="Z3745">
        <v>9.0371460000000001E-2</v>
      </c>
      <c r="AA3745">
        <v>0.84285529999999997</v>
      </c>
      <c r="AB3745">
        <v>35</v>
      </c>
      <c r="AC3745">
        <v>0.60300000000000797</v>
      </c>
      <c r="AD3745">
        <v>-9.8364999999999994E-2</v>
      </c>
      <c r="AE3745">
        <v>-0.56996000000000102</v>
      </c>
      <c r="AF3745">
        <v>-0.572843612386433</v>
      </c>
      <c r="AG3745">
        <v>-9.8364999999999994E-2</v>
      </c>
      <c r="AH3745">
        <v>0.58426251350395597</v>
      </c>
      <c r="AI3745">
        <v>96.854957383884297</v>
      </c>
      <c r="AJ3745">
        <v>134.43459498777699</v>
      </c>
      <c r="AK3745">
        <v>0.82412872912118496</v>
      </c>
    </row>
    <row r="3746" spans="1:37" x14ac:dyDescent="0.2">
      <c r="A3746" t="str">
        <f>"20200111154140852"</f>
        <v>20200111154140852</v>
      </c>
      <c r="B3746" t="str">
        <f>"1578728500839912"</f>
        <v>1578728500839912</v>
      </c>
      <c r="C3746" t="s">
        <v>37</v>
      </c>
      <c r="D3746">
        <v>4.9498139999999999</v>
      </c>
      <c r="E3746">
        <v>0.36991859999999999</v>
      </c>
      <c r="F3746" t="s">
        <v>38</v>
      </c>
      <c r="G3746">
        <v>-422.21940000000001</v>
      </c>
      <c r="H3746">
        <v>1.01867</v>
      </c>
      <c r="I3746">
        <v>46.034289999999999</v>
      </c>
      <c r="J3746">
        <v>-422.81630000000001</v>
      </c>
      <c r="K3746">
        <v>1.113853</v>
      </c>
      <c r="L3746">
        <v>46.568600000000004</v>
      </c>
      <c r="M3746">
        <v>4.1702799999999998E-2</v>
      </c>
      <c r="N3746">
        <v>0</v>
      </c>
      <c r="O3746">
        <v>-0.99903180000000003</v>
      </c>
      <c r="P3746">
        <v>0.28820429999999903</v>
      </c>
      <c r="Q3746">
        <v>4.7122740000000003E-2</v>
      </c>
      <c r="R3746">
        <v>-0.9564087</v>
      </c>
      <c r="S3746">
        <v>1.81588699999999</v>
      </c>
      <c r="T3746">
        <v>-0.28126220000000002</v>
      </c>
      <c r="U3746">
        <v>-2.6109009999999899</v>
      </c>
      <c r="V3746">
        <v>-0.24854789999999999</v>
      </c>
      <c r="W3746">
        <v>5.8662880000000001E-2</v>
      </c>
      <c r="X3746">
        <v>0.96684159999999997</v>
      </c>
      <c r="Y3746">
        <v>-0.53398440000000003</v>
      </c>
      <c r="Z3746">
        <v>8.9084800000000006E-2</v>
      </c>
      <c r="AA3746">
        <v>0.84078809999999904</v>
      </c>
      <c r="AB3746">
        <v>35</v>
      </c>
      <c r="AC3746">
        <v>0.59690000000000498</v>
      </c>
      <c r="AD3746">
        <v>-9.5183000000000004E-2</v>
      </c>
      <c r="AE3746">
        <v>-0.53430999999999695</v>
      </c>
      <c r="AF3746">
        <v>-0.56610466098132295</v>
      </c>
      <c r="AG3746">
        <v>-9.5183000000000004E-2</v>
      </c>
      <c r="AH3746">
        <v>0.55096214061320103</v>
      </c>
      <c r="AI3746">
        <v>96.8705161862773</v>
      </c>
      <c r="AJ3746">
        <v>135.77663159530101</v>
      </c>
      <c r="AK3746">
        <v>0.79567177344861195</v>
      </c>
    </row>
    <row r="3747" spans="1:37" x14ac:dyDescent="0.2">
      <c r="A3747" t="str">
        <f>"20200111154140876"</f>
        <v>20200111154140876</v>
      </c>
      <c r="B3747" t="str">
        <f>"1578728500870167"</f>
        <v>1578728500870167</v>
      </c>
      <c r="C3747" t="s">
        <v>37</v>
      </c>
      <c r="D3747">
        <v>4.9270399999999999</v>
      </c>
      <c r="E3747">
        <v>0.36942550000000002</v>
      </c>
      <c r="F3747" t="s">
        <v>38</v>
      </c>
      <c r="G3747">
        <v>-422.21519999999998</v>
      </c>
      <c r="H3747">
        <v>1.024003</v>
      </c>
      <c r="I3747">
        <v>45.719679999999997</v>
      </c>
      <c r="J3747">
        <v>-422.7971</v>
      </c>
      <c r="K3747">
        <v>1.113912</v>
      </c>
      <c r="L3747">
        <v>46.200409999999998</v>
      </c>
      <c r="M3747">
        <v>4.5651690000000002E-2</v>
      </c>
      <c r="N3747">
        <v>0</v>
      </c>
      <c r="O3747">
        <v>-0.99885930000000001</v>
      </c>
      <c r="P3747">
        <v>0.29570770000000002</v>
      </c>
      <c r="Q3747">
        <v>4.6824749999999998E-2</v>
      </c>
      <c r="R3747">
        <v>-0.95413019999999904</v>
      </c>
      <c r="S3747">
        <v>1.8382259999999999</v>
      </c>
      <c r="T3747">
        <v>-0.2747946</v>
      </c>
      <c r="U3747">
        <v>-2.59634399999999</v>
      </c>
      <c r="V3747">
        <v>-0.25232739999999998</v>
      </c>
      <c r="W3747">
        <v>5.828349E-2</v>
      </c>
      <c r="X3747">
        <v>0.96588499999999999</v>
      </c>
      <c r="Y3747">
        <v>-0.53778749999999997</v>
      </c>
      <c r="Z3747">
        <v>8.7120089999999997E-2</v>
      </c>
      <c r="AA3747">
        <v>0.83856710000000001</v>
      </c>
      <c r="AB3747">
        <v>35</v>
      </c>
      <c r="AC3747">
        <v>0.58190000000001796</v>
      </c>
      <c r="AD3747">
        <v>-8.9909000000000003E-2</v>
      </c>
      <c r="AE3747">
        <v>-0.48073000000000099</v>
      </c>
      <c r="AF3747">
        <v>-0.55151937872058499</v>
      </c>
      <c r="AG3747">
        <v>-8.9909000000000003E-2</v>
      </c>
      <c r="AH3747">
        <v>0.49970567525562998</v>
      </c>
      <c r="AI3747">
        <v>96.888404825243796</v>
      </c>
      <c r="AJ3747">
        <v>137.821761110349</v>
      </c>
      <c r="AK3747">
        <v>0.74964192470006996</v>
      </c>
    </row>
    <row r="3748" spans="1:37" x14ac:dyDescent="0.2">
      <c r="A3748" t="str">
        <f>"20200111154140898"</f>
        <v>20200111154140898</v>
      </c>
      <c r="B3748" t="str">
        <f>"1578728500889687"</f>
        <v>1578728500889687</v>
      </c>
      <c r="C3748" t="s">
        <v>37</v>
      </c>
      <c r="D3748">
        <v>4.9205030000000001</v>
      </c>
      <c r="E3748">
        <v>0.36914629999999998</v>
      </c>
      <c r="F3748" t="s">
        <v>38</v>
      </c>
      <c r="G3748">
        <v>-422.22129999999999</v>
      </c>
      <c r="H3748">
        <v>1.0299689999999999</v>
      </c>
      <c r="I3748">
        <v>45.402320000000003</v>
      </c>
      <c r="J3748">
        <v>-422.77760000000001</v>
      </c>
      <c r="K3748">
        <v>1.11396299999999</v>
      </c>
      <c r="L3748">
        <v>45.851170000000003</v>
      </c>
      <c r="M3748">
        <v>4.94461E-2</v>
      </c>
      <c r="N3748">
        <v>0</v>
      </c>
      <c r="O3748">
        <v>-0.99867859999999997</v>
      </c>
      <c r="P3748">
        <v>0.303156799999999</v>
      </c>
      <c r="Q3748">
        <v>4.5779460000000001E-2</v>
      </c>
      <c r="R3748">
        <v>-0.95184069999999898</v>
      </c>
      <c r="S3748">
        <v>1.8621220000000001</v>
      </c>
      <c r="T3748">
        <v>-0.2714164</v>
      </c>
      <c r="U3748">
        <v>-2.580444</v>
      </c>
      <c r="V3748">
        <v>-0.25620529999999903</v>
      </c>
      <c r="W3748">
        <v>5.7160030000000001E-2</v>
      </c>
      <c r="X3748">
        <v>0.96493090000000004</v>
      </c>
      <c r="Y3748">
        <v>-0.54219419999999996</v>
      </c>
      <c r="Z3748">
        <v>8.6122039999999997E-2</v>
      </c>
      <c r="AA3748">
        <v>0.83582789999999996</v>
      </c>
      <c r="AB3748">
        <v>35</v>
      </c>
      <c r="AC3748">
        <v>0.556300000000021</v>
      </c>
      <c r="AD3748">
        <v>-8.3993999999999597E-2</v>
      </c>
      <c r="AE3748">
        <v>-0.44885000000000003</v>
      </c>
      <c r="AF3748">
        <v>-0.52615815875150795</v>
      </c>
      <c r="AG3748">
        <v>-8.3993999999999597E-2</v>
      </c>
      <c r="AH3748">
        <v>0.46932992319873501</v>
      </c>
      <c r="AI3748">
        <v>96.793621963745494</v>
      </c>
      <c r="AJ3748">
        <v>138.26722953407599</v>
      </c>
      <c r="AK3748">
        <v>0.71004786941903297</v>
      </c>
    </row>
    <row r="3749" spans="1:37" x14ac:dyDescent="0.2">
      <c r="A3749" t="str">
        <f>"20200111154140919"</f>
        <v>20200111154140919</v>
      </c>
      <c r="B3749" t="str">
        <f>"1578728500910183"</f>
        <v>1578728500910183</v>
      </c>
      <c r="C3749" t="s">
        <v>37</v>
      </c>
      <c r="D3749">
        <v>4.9006160000000003</v>
      </c>
      <c r="E3749">
        <v>0.3689789</v>
      </c>
      <c r="F3749" t="s">
        <v>38</v>
      </c>
      <c r="G3749">
        <v>-422.21690000000001</v>
      </c>
      <c r="H3749">
        <v>1.03308</v>
      </c>
      <c r="I3749">
        <v>45.087690000000002</v>
      </c>
      <c r="J3749">
        <v>-422.75729999999999</v>
      </c>
      <c r="K3749">
        <v>1.11402</v>
      </c>
      <c r="L3749">
        <v>45.513399999999997</v>
      </c>
      <c r="M3749">
        <v>5.3170929999999998E-2</v>
      </c>
      <c r="N3749">
        <v>0</v>
      </c>
      <c r="O3749">
        <v>-0.99848719999999902</v>
      </c>
      <c r="P3749">
        <v>0.31020979999999998</v>
      </c>
      <c r="Q3749">
        <v>4.5580540000000003E-2</v>
      </c>
      <c r="R3749">
        <v>-0.9495749</v>
      </c>
      <c r="S3749">
        <v>1.883972</v>
      </c>
      <c r="T3749">
        <v>-0.27171240000000002</v>
      </c>
      <c r="U3749">
        <v>-2.56478899999999</v>
      </c>
      <c r="V3749">
        <v>-0.25977080000000002</v>
      </c>
      <c r="W3749">
        <v>5.6882479999999999E-2</v>
      </c>
      <c r="X3749">
        <v>0.96399349999999995</v>
      </c>
      <c r="Y3749">
        <v>-0.54611089999999995</v>
      </c>
      <c r="Z3749">
        <v>8.6298699999999895E-2</v>
      </c>
      <c r="AA3749">
        <v>0.83325590000000005</v>
      </c>
      <c r="AB3749">
        <v>35</v>
      </c>
      <c r="AC3749">
        <v>0.54039999999997601</v>
      </c>
      <c r="AD3749">
        <v>-8.0939999999999998E-2</v>
      </c>
      <c r="AE3749">
        <v>-0.42570999999999498</v>
      </c>
      <c r="AF3749">
        <v>-0.50993879034008305</v>
      </c>
      <c r="AG3749">
        <v>-8.0939999999999998E-2</v>
      </c>
      <c r="AH3749">
        <v>0.44764735702484199</v>
      </c>
      <c r="AI3749">
        <v>96.802347426287596</v>
      </c>
      <c r="AJ3749">
        <v>138.72187377562699</v>
      </c>
      <c r="AK3749">
        <v>0.68335716118647205</v>
      </c>
    </row>
    <row r="3750" spans="1:37" x14ac:dyDescent="0.2">
      <c r="A3750" t="str">
        <f>"20200111154140941"</f>
        <v>20200111154140941</v>
      </c>
      <c r="B3750" t="str">
        <f>"1578728500929704"</f>
        <v>1578728500929704</v>
      </c>
      <c r="C3750" t="s">
        <v>37</v>
      </c>
      <c r="D3750">
        <v>4.913564</v>
      </c>
      <c r="E3750">
        <v>0.36881520000000001</v>
      </c>
      <c r="F3750" t="s">
        <v>38</v>
      </c>
      <c r="G3750">
        <v>-422.20599999999899</v>
      </c>
      <c r="H3750">
        <v>1.035914</v>
      </c>
      <c r="I3750">
        <v>44.774799999999999</v>
      </c>
      <c r="J3750">
        <v>-422.73570000000001</v>
      </c>
      <c r="K3750">
        <v>1.1140920000000001</v>
      </c>
      <c r="L3750">
        <v>45.173949999999998</v>
      </c>
      <c r="M3750">
        <v>5.6992939999999999E-2</v>
      </c>
      <c r="N3750">
        <v>0</v>
      </c>
      <c r="O3750">
        <v>-0.99827619999999895</v>
      </c>
      <c r="P3750">
        <v>0.31622139999999999</v>
      </c>
      <c r="Q3750">
        <v>4.5096999999999998E-2</v>
      </c>
      <c r="R3750">
        <v>-0.94761319999999905</v>
      </c>
      <c r="S3750">
        <v>1.90448</v>
      </c>
      <c r="T3750">
        <v>-0.269673</v>
      </c>
      <c r="U3750">
        <v>-2.5500790000000002</v>
      </c>
      <c r="V3750">
        <v>-0.26219509999999902</v>
      </c>
      <c r="W3750">
        <v>5.6326429999999997E-2</v>
      </c>
      <c r="X3750">
        <v>0.96336959999999905</v>
      </c>
      <c r="Y3750">
        <v>-0.54954179999999997</v>
      </c>
      <c r="Z3750">
        <v>8.573443E-2</v>
      </c>
      <c r="AA3750">
        <v>0.83105560000000001</v>
      </c>
      <c r="AB3750">
        <v>35</v>
      </c>
      <c r="AC3750">
        <v>0.52970000000004802</v>
      </c>
      <c r="AD3750">
        <v>-7.8177999999999997E-2</v>
      </c>
      <c r="AE3750">
        <v>-0.39914999999999801</v>
      </c>
      <c r="AF3750">
        <v>-0.49915288788965201</v>
      </c>
      <c r="AG3750">
        <v>-7.8177999999999997E-2</v>
      </c>
      <c r="AH3750">
        <v>0.42281877027135301</v>
      </c>
      <c r="AI3750">
        <v>96.815006637647102</v>
      </c>
      <c r="AJ3750">
        <v>139.732976365268</v>
      </c>
      <c r="AK3750">
        <v>0.65881797005421705</v>
      </c>
    </row>
    <row r="3751" spans="1:37" x14ac:dyDescent="0.2">
      <c r="A3751" t="str">
        <f>"20200111154140963"</f>
        <v>20200111154140963</v>
      </c>
      <c r="B3751" t="str">
        <f>"1578728500959959"</f>
        <v>1578728500959959</v>
      </c>
      <c r="C3751" t="s">
        <v>37</v>
      </c>
      <c r="D3751">
        <v>4.9060629999999996</v>
      </c>
      <c r="E3751">
        <v>0.36865559999999897</v>
      </c>
      <c r="F3751" t="s">
        <v>38</v>
      </c>
      <c r="G3751">
        <v>-422.1961</v>
      </c>
      <c r="H3751">
        <v>1.0388709999999901</v>
      </c>
      <c r="I3751">
        <v>44.461590000000001</v>
      </c>
      <c r="J3751">
        <v>-422.71199999999999</v>
      </c>
      <c r="K3751">
        <v>1.1141909999999999</v>
      </c>
      <c r="L3751">
        <v>44.826259999999998</v>
      </c>
      <c r="M3751">
        <v>6.1020919999999999E-2</v>
      </c>
      <c r="N3751">
        <v>0</v>
      </c>
      <c r="O3751">
        <v>-0.99803799999999898</v>
      </c>
      <c r="P3751">
        <v>0.32205479999999997</v>
      </c>
      <c r="Q3751">
        <v>4.5672589999999999E-2</v>
      </c>
      <c r="R3751">
        <v>-0.94561890000000004</v>
      </c>
      <c r="S3751">
        <v>1.922455</v>
      </c>
      <c r="T3751">
        <v>-0.26790530000000001</v>
      </c>
      <c r="U3751">
        <v>-2.5370789999999999</v>
      </c>
      <c r="V3751">
        <v>-0.26426539999999998</v>
      </c>
      <c r="W3751">
        <v>5.6817739999999999E-2</v>
      </c>
      <c r="X3751">
        <v>0.96277489999999999</v>
      </c>
      <c r="Y3751">
        <v>-0.55199030000000004</v>
      </c>
      <c r="Z3751">
        <v>8.5254999999999997E-2</v>
      </c>
      <c r="AA3751">
        <v>0.82948069999999896</v>
      </c>
      <c r="AB3751">
        <v>35</v>
      </c>
      <c r="AC3751">
        <v>0.51589999999998704</v>
      </c>
      <c r="AD3751">
        <v>-7.5319999999999998E-2</v>
      </c>
      <c r="AE3751">
        <v>-0.364669999999996</v>
      </c>
      <c r="AF3751">
        <v>-0.48577915444286301</v>
      </c>
      <c r="AG3751">
        <v>-7.5319999999999998E-2</v>
      </c>
      <c r="AH3751">
        <v>0.38993182162432299</v>
      </c>
      <c r="AI3751">
        <v>96.894425327096101</v>
      </c>
      <c r="AJ3751">
        <v>141.246210253334</v>
      </c>
      <c r="AK3751">
        <v>0.627456225410574</v>
      </c>
    </row>
    <row r="3752" spans="1:37" x14ac:dyDescent="0.2">
      <c r="A3752" t="str">
        <f>"20200111154140987"</f>
        <v>20200111154140987</v>
      </c>
      <c r="B3752" t="str">
        <f>"1578728500979478"</f>
        <v>1578728500979478</v>
      </c>
      <c r="C3752" t="s">
        <v>37</v>
      </c>
      <c r="D3752">
        <v>4.8833330000000004</v>
      </c>
      <c r="E3752">
        <v>0.36852679999999999</v>
      </c>
      <c r="F3752" t="s">
        <v>47</v>
      </c>
      <c r="G3752">
        <v>-414.4803</v>
      </c>
      <c r="H3752" s="1">
        <v>-4.6480000000000002E-6</v>
      </c>
      <c r="I3752">
        <v>34.112070000000003</v>
      </c>
      <c r="J3752">
        <v>-422.68549999999999</v>
      </c>
      <c r="K3752">
        <v>1.114323</v>
      </c>
      <c r="L3752">
        <v>44.463529999999999</v>
      </c>
      <c r="M3752">
        <v>6.5390489999999996E-2</v>
      </c>
      <c r="N3752">
        <v>0</v>
      </c>
      <c r="O3752">
        <v>-0.99776129999999996</v>
      </c>
      <c r="P3752">
        <v>0.32816580000000001</v>
      </c>
      <c r="Q3752">
        <v>4.7166069999999997E-2</v>
      </c>
      <c r="R3752">
        <v>-0.94344209999999995</v>
      </c>
      <c r="S3752">
        <v>1.9396359999999999</v>
      </c>
      <c r="T3752">
        <v>-0.26253929999999998</v>
      </c>
      <c r="U3752">
        <v>-2.524597</v>
      </c>
      <c r="V3752">
        <v>-0.26631479999999902</v>
      </c>
      <c r="W3752">
        <v>5.8208280000000001E-2</v>
      </c>
      <c r="X3752">
        <v>0.96212690000000001</v>
      </c>
      <c r="Y3752">
        <v>-0.55395950000000005</v>
      </c>
      <c r="Z3752">
        <v>8.3638519999999994E-2</v>
      </c>
      <c r="AA3752">
        <v>0.828331699999999</v>
      </c>
      <c r="AB3752">
        <v>35</v>
      </c>
      <c r="AC3752">
        <v>8.2051999999999907</v>
      </c>
      <c r="AD3752">
        <v>-1.1143276479999999</v>
      </c>
      <c r="AE3752">
        <v>-10.3514599999999</v>
      </c>
      <c r="AF3752">
        <v>-7.4576074953174096</v>
      </c>
      <c r="AG3752">
        <v>-1.1143276479999999</v>
      </c>
      <c r="AH3752">
        <v>10.789111706772299</v>
      </c>
      <c r="AI3752">
        <v>94.856275090459107</v>
      </c>
      <c r="AJ3752">
        <v>124.652851638855</v>
      </c>
      <c r="AK3752">
        <v>13.162923956421</v>
      </c>
    </row>
    <row r="3753" spans="1:37" x14ac:dyDescent="0.2">
      <c r="A3753" t="str">
        <f>"20200111154141010"</f>
        <v>20200111154141010</v>
      </c>
      <c r="B3753" t="str">
        <f>"1578728500999978"</f>
        <v>1578728500999978</v>
      </c>
      <c r="C3753" t="s">
        <v>37</v>
      </c>
      <c r="D3753">
        <v>4.8962959999999898</v>
      </c>
      <c r="E3753">
        <v>0.36831779999999997</v>
      </c>
      <c r="F3753" t="s">
        <v>47</v>
      </c>
      <c r="G3753">
        <v>-414.17770000000002</v>
      </c>
      <c r="H3753" s="1">
        <v>-5.0044949999999998E-6</v>
      </c>
      <c r="I3753">
        <v>33.544119999999999</v>
      </c>
      <c r="J3753">
        <v>-422.6583</v>
      </c>
      <c r="K3753">
        <v>1.114455</v>
      </c>
      <c r="L3753">
        <v>44.111629999999998</v>
      </c>
      <c r="M3753">
        <v>6.9776450000000004E-2</v>
      </c>
      <c r="N3753">
        <v>0</v>
      </c>
      <c r="O3753">
        <v>-0.99746389999999996</v>
      </c>
      <c r="P3753">
        <v>0.33388979999999902</v>
      </c>
      <c r="Q3753">
        <v>4.7281719999999999E-2</v>
      </c>
      <c r="R3753">
        <v>-0.94142549999999903</v>
      </c>
      <c r="S3753">
        <v>1.9571529999999999</v>
      </c>
      <c r="T3753">
        <v>-0.25634000000000001</v>
      </c>
      <c r="U3753">
        <v>-2.5119020000000001</v>
      </c>
      <c r="V3753">
        <v>-0.2679493</v>
      </c>
      <c r="W3753">
        <v>5.8225890000000002E-2</v>
      </c>
      <c r="X3753">
        <v>0.96167190000000002</v>
      </c>
      <c r="Y3753">
        <v>-0.55602569999999996</v>
      </c>
      <c r="Z3753">
        <v>8.1749470000000005E-2</v>
      </c>
      <c r="AA3753">
        <v>0.82713499999999995</v>
      </c>
      <c r="AB3753">
        <v>35</v>
      </c>
      <c r="AC3753">
        <v>8.4805999999999795</v>
      </c>
      <c r="AD3753">
        <v>-1.1144600044949999</v>
      </c>
      <c r="AE3753">
        <v>-10.56751</v>
      </c>
      <c r="AF3753">
        <v>-7.6705975382379297</v>
      </c>
      <c r="AG3753">
        <v>-1.1144600044949999</v>
      </c>
      <c r="AH3753">
        <v>11.0587393871266</v>
      </c>
      <c r="AI3753">
        <v>94.733666808071504</v>
      </c>
      <c r="AJ3753">
        <v>124.74607202147099</v>
      </c>
      <c r="AK3753">
        <v>13.504658623142801</v>
      </c>
    </row>
    <row r="3754" spans="1:37" x14ac:dyDescent="0.2">
      <c r="A3754" t="str">
        <f>"20200111154141031"</f>
        <v>20200111154141031</v>
      </c>
      <c r="B3754" t="str">
        <f>"1578728501019495"</f>
        <v>1578728501019495</v>
      </c>
      <c r="C3754" t="s">
        <v>37</v>
      </c>
      <c r="D3754">
        <v>4.9212610000000003</v>
      </c>
      <c r="E3754">
        <v>0.3682433</v>
      </c>
      <c r="F3754" t="s">
        <v>47</v>
      </c>
      <c r="G3754">
        <v>-413.950999999999</v>
      </c>
      <c r="H3754" s="1">
        <v>-5.2857010000000003E-6</v>
      </c>
      <c r="I3754">
        <v>33.090890000000002</v>
      </c>
      <c r="J3754">
        <v>-422.63139999999999</v>
      </c>
      <c r="K3754">
        <v>1.114582</v>
      </c>
      <c r="L3754">
        <v>43.78586</v>
      </c>
      <c r="M3754">
        <v>7.3998240000000007E-2</v>
      </c>
      <c r="N3754">
        <v>0</v>
      </c>
      <c r="O3754">
        <v>-0.99715959999999904</v>
      </c>
      <c r="P3754">
        <v>0.3395011</v>
      </c>
      <c r="Q3754">
        <v>4.7639880000000003E-2</v>
      </c>
      <c r="R3754">
        <v>-0.93939850000000003</v>
      </c>
      <c r="S3754">
        <v>1.9744569999999999</v>
      </c>
      <c r="T3754">
        <v>-0.25271389999999999</v>
      </c>
      <c r="U3754">
        <v>-2.4990540000000001</v>
      </c>
      <c r="V3754">
        <v>-0.26964009999999999</v>
      </c>
      <c r="W3754">
        <v>5.8484370000000001E-2</v>
      </c>
      <c r="X3754">
        <v>0.96118349999999897</v>
      </c>
      <c r="Y3754">
        <v>-0.55816169999999998</v>
      </c>
      <c r="Z3754">
        <v>8.0671740000000006E-2</v>
      </c>
      <c r="AA3754">
        <v>0.82580119999999901</v>
      </c>
      <c r="AB3754">
        <v>35</v>
      </c>
      <c r="AC3754">
        <v>8.6804000000000094</v>
      </c>
      <c r="AD3754">
        <v>-1.114587285701</v>
      </c>
      <c r="AE3754">
        <v>-10.6949699999999</v>
      </c>
      <c r="AF3754">
        <v>-7.8139466454307804</v>
      </c>
      <c r="AG3754">
        <v>-1.114587285701</v>
      </c>
      <c r="AH3754">
        <v>11.2344802738178</v>
      </c>
      <c r="AI3754">
        <v>94.656327454494502</v>
      </c>
      <c r="AJ3754">
        <v>124.81986989310801</v>
      </c>
      <c r="AK3754">
        <v>13.730026002083401</v>
      </c>
    </row>
    <row r="3755" spans="1:37" x14ac:dyDescent="0.2">
      <c r="A3755" t="str">
        <f>"20200111154141053"</f>
        <v>20200111154141053</v>
      </c>
      <c r="B3755" t="str">
        <f>"1578728501049752"</f>
        <v>1578728501049752</v>
      </c>
      <c r="C3755" t="s">
        <v>37</v>
      </c>
      <c r="D3755">
        <v>4.9097289999999996</v>
      </c>
      <c r="E3755">
        <v>0.36809559999999902</v>
      </c>
      <c r="F3755" t="s">
        <v>38</v>
      </c>
      <c r="G3755">
        <v>-421.96260000000001</v>
      </c>
      <c r="H3755">
        <v>1.0310509999999999</v>
      </c>
      <c r="I3755">
        <v>42.949860000000001</v>
      </c>
      <c r="J3755">
        <v>-422.60109999999997</v>
      </c>
      <c r="K3755">
        <v>1.11473</v>
      </c>
      <c r="L3755">
        <v>43.438999999999901</v>
      </c>
      <c r="M3755">
        <v>7.8708760000000003E-2</v>
      </c>
      <c r="N3755">
        <v>0</v>
      </c>
      <c r="O3755">
        <v>-0.99679859999999898</v>
      </c>
      <c r="P3755">
        <v>0.34534690000000001</v>
      </c>
      <c r="Q3755">
        <v>4.7452139999999997E-2</v>
      </c>
      <c r="R3755">
        <v>-0.93727479999999996</v>
      </c>
      <c r="S3755">
        <v>1.990631</v>
      </c>
      <c r="T3755">
        <v>-0.248477799999999</v>
      </c>
      <c r="U3755">
        <v>-2.4867249999999999</v>
      </c>
      <c r="V3755">
        <v>-0.27110699999999999</v>
      </c>
      <c r="W3755">
        <v>5.8181620000000003E-2</v>
      </c>
      <c r="X3755">
        <v>0.96078920000000001</v>
      </c>
      <c r="Y3755">
        <v>-0.55958240000000004</v>
      </c>
      <c r="Z3755">
        <v>7.9407039999999998E-2</v>
      </c>
      <c r="AA3755">
        <v>0.82496179999999997</v>
      </c>
      <c r="AB3755">
        <v>35</v>
      </c>
      <c r="AC3755">
        <v>0.63849999999996498</v>
      </c>
      <c r="AD3755">
        <v>-8.3679000000000003E-2</v>
      </c>
      <c r="AE3755">
        <v>-0.48913999999999103</v>
      </c>
      <c r="AF3755">
        <v>-0.59161202569609805</v>
      </c>
      <c r="AG3755">
        <v>-8.3679000000000003E-2</v>
      </c>
      <c r="AH3755">
        <v>0.53212327323131903</v>
      </c>
      <c r="AI3755">
        <v>96.003286127000294</v>
      </c>
      <c r="AJ3755">
        <v>138.030318399348</v>
      </c>
      <c r="AK3755">
        <v>0.80010133227213998</v>
      </c>
    </row>
    <row r="3756" spans="1:37" x14ac:dyDescent="0.2">
      <c r="A3756" t="str">
        <f>"20200111154141077"</f>
        <v>20200111154141077</v>
      </c>
      <c r="B3756" t="str">
        <f>"1578728501070248"</f>
        <v>1578728501070248</v>
      </c>
      <c r="C3756" t="s">
        <v>37</v>
      </c>
      <c r="D3756">
        <v>4.9512489999999998</v>
      </c>
      <c r="E3756">
        <v>0.36797279999999999</v>
      </c>
      <c r="F3756" t="s">
        <v>38</v>
      </c>
      <c r="G3756">
        <v>-421.950999999999</v>
      </c>
      <c r="H3756">
        <v>1.0347660000000001</v>
      </c>
      <c r="I3756">
        <v>42.637809999999902</v>
      </c>
      <c r="J3756">
        <v>-422.56699999999898</v>
      </c>
      <c r="K3756">
        <v>1.114927</v>
      </c>
      <c r="L3756">
        <v>43.071080000000002</v>
      </c>
      <c r="M3756">
        <v>8.3983089999999996E-2</v>
      </c>
      <c r="N3756">
        <v>0</v>
      </c>
      <c r="O3756">
        <v>-0.99636800000000003</v>
      </c>
      <c r="P3756">
        <v>0.3519774</v>
      </c>
      <c r="Q3756">
        <v>4.692259E-2</v>
      </c>
      <c r="R3756">
        <v>-0.93483189999999905</v>
      </c>
      <c r="S3756">
        <v>2.00766</v>
      </c>
      <c r="T3756">
        <v>-0.2468767</v>
      </c>
      <c r="U3756">
        <v>-2.4735109999999998</v>
      </c>
      <c r="V3756">
        <v>-0.27284849999999999</v>
      </c>
      <c r="W3756">
        <v>5.7508499999999997E-2</v>
      </c>
      <c r="X3756">
        <v>0.96033659999999998</v>
      </c>
      <c r="Y3756">
        <v>-0.56080509999999995</v>
      </c>
      <c r="Z3756">
        <v>7.8985620000000006E-2</v>
      </c>
      <c r="AA3756">
        <v>0.82417169999999895</v>
      </c>
      <c r="AB3756">
        <v>35</v>
      </c>
      <c r="AC3756">
        <v>0.615999999999985</v>
      </c>
      <c r="AD3756">
        <v>-8.0160999999999899E-2</v>
      </c>
      <c r="AE3756">
        <v>-0.43327000000000698</v>
      </c>
      <c r="AF3756">
        <v>-0.57096373608074402</v>
      </c>
      <c r="AG3756">
        <v>-8.0160999999999899E-2</v>
      </c>
      <c r="AH3756">
        <v>0.47806158666534398</v>
      </c>
      <c r="AI3756">
        <v>96.143972282309804</v>
      </c>
      <c r="AJ3756">
        <v>140.06093639546199</v>
      </c>
      <c r="AK3756">
        <v>0.74897814019186704</v>
      </c>
    </row>
    <row r="3757" spans="1:37" x14ac:dyDescent="0.2">
      <c r="A3757" t="str">
        <f>"20200111154141098"</f>
        <v>20200111154141098</v>
      </c>
      <c r="B3757" t="str">
        <f>"1578728501089767"</f>
        <v>1578728501089767</v>
      </c>
      <c r="C3757" t="s">
        <v>37</v>
      </c>
      <c r="D3757">
        <v>4.9578110000000004</v>
      </c>
      <c r="E3757">
        <v>0.3678343</v>
      </c>
      <c r="F3757" t="s">
        <v>38</v>
      </c>
      <c r="G3757">
        <v>-421.9502</v>
      </c>
      <c r="H3757">
        <v>1.039874</v>
      </c>
      <c r="I3757">
        <v>42.322450000000003</v>
      </c>
      <c r="J3757">
        <v>-422.53390000000002</v>
      </c>
      <c r="K3757">
        <v>1.115132</v>
      </c>
      <c r="L3757">
        <v>42.735439999999997</v>
      </c>
      <c r="M3757">
        <v>8.9072209999999999E-2</v>
      </c>
      <c r="N3757">
        <v>0</v>
      </c>
      <c r="O3757">
        <v>-0.99592559999999997</v>
      </c>
      <c r="P3757">
        <v>0.35872090000000001</v>
      </c>
      <c r="Q3757">
        <v>4.6405050000000003E-2</v>
      </c>
      <c r="R3757">
        <v>-0.93229089999999903</v>
      </c>
      <c r="S3757">
        <v>2.0262449999999999</v>
      </c>
      <c r="T3757">
        <v>-0.24648339999999999</v>
      </c>
      <c r="U3757">
        <v>-2.458618</v>
      </c>
      <c r="V3757">
        <v>-0.27490140000000002</v>
      </c>
      <c r="W3757">
        <v>5.6834870000000003E-2</v>
      </c>
      <c r="X3757">
        <v>0.95979110000000001</v>
      </c>
      <c r="Y3757">
        <v>-0.56274360000000001</v>
      </c>
      <c r="Z3757">
        <v>7.895025E-2</v>
      </c>
      <c r="AA3757">
        <v>0.82285259999999905</v>
      </c>
      <c r="AB3757">
        <v>35</v>
      </c>
      <c r="AC3757">
        <v>0.58370000000002098</v>
      </c>
      <c r="AD3757">
        <v>-7.5258000000000005E-2</v>
      </c>
      <c r="AE3757">
        <v>-0.41299000000000002</v>
      </c>
      <c r="AF3757">
        <v>-0.53862302987017596</v>
      </c>
      <c r="AG3757">
        <v>-7.5258000000000005E-2</v>
      </c>
      <c r="AH3757">
        <v>0.458268059780644</v>
      </c>
      <c r="AI3757">
        <v>96.074420605896904</v>
      </c>
      <c r="AJ3757">
        <v>139.608395302915</v>
      </c>
      <c r="AK3757">
        <v>0.71118784402269197</v>
      </c>
    </row>
    <row r="3758" spans="1:37" x14ac:dyDescent="0.2">
      <c r="A3758" t="str">
        <f>"20200111154141121"</f>
        <v>20200111154141121</v>
      </c>
      <c r="B3758" t="str">
        <f>"1578728501110263"</f>
        <v>1578728501110263</v>
      </c>
      <c r="C3758" t="s">
        <v>37</v>
      </c>
      <c r="D3758">
        <v>4.9347560000000001</v>
      </c>
      <c r="E3758">
        <v>0.36763950000000001</v>
      </c>
      <c r="F3758" t="s">
        <v>38</v>
      </c>
      <c r="G3758">
        <v>-421.92950000000002</v>
      </c>
      <c r="H3758">
        <v>1.041947</v>
      </c>
      <c r="I3758">
        <v>42.013089999999998</v>
      </c>
      <c r="J3758">
        <v>-422.4982</v>
      </c>
      <c r="K3758">
        <v>1.1153690000000001</v>
      </c>
      <c r="L3758">
        <v>42.394069999999999</v>
      </c>
      <c r="M3758">
        <v>9.4545699999999996E-2</v>
      </c>
      <c r="N3758">
        <v>0</v>
      </c>
      <c r="O3758">
        <v>-0.99542070000000005</v>
      </c>
      <c r="P3758">
        <v>0.36642940000000002</v>
      </c>
      <c r="Q3758">
        <v>4.6628500000000003E-2</v>
      </c>
      <c r="R3758">
        <v>-0.92927660000000001</v>
      </c>
      <c r="S3758">
        <v>2.045013</v>
      </c>
      <c r="T3758">
        <v>-0.247544299999999</v>
      </c>
      <c r="U3758">
        <v>-2.4433289999999999</v>
      </c>
      <c r="V3758">
        <v>-0.27761180000000002</v>
      </c>
      <c r="W3758">
        <v>5.6871530000000003E-2</v>
      </c>
      <c r="X3758">
        <v>0.95900849999999904</v>
      </c>
      <c r="Y3758">
        <v>-0.56443589999999999</v>
      </c>
      <c r="Z3758">
        <v>7.9382579999999994E-2</v>
      </c>
      <c r="AA3758">
        <v>0.82165109999999997</v>
      </c>
      <c r="AB3758">
        <v>35</v>
      </c>
      <c r="AC3758">
        <v>0.568699999999978</v>
      </c>
      <c r="AD3758">
        <v>-7.3422000000000098E-2</v>
      </c>
      <c r="AE3758">
        <v>-0.38097999999999299</v>
      </c>
      <c r="AF3758">
        <v>-0.52409871917447404</v>
      </c>
      <c r="AG3758">
        <v>-7.3422000000000098E-2</v>
      </c>
      <c r="AH3758">
        <v>0.42812106971693997</v>
      </c>
      <c r="AI3758">
        <v>96.192076010820401</v>
      </c>
      <c r="AJ3758">
        <v>140.755608665849</v>
      </c>
      <c r="AK3758">
        <v>0.68070397961221096</v>
      </c>
    </row>
    <row r="3759" spans="1:37" x14ac:dyDescent="0.2">
      <c r="A3759" t="str">
        <f>"20200111154141143"</f>
        <v>20200111154141143</v>
      </c>
      <c r="B3759" t="str">
        <f>"1578728501139543"</f>
        <v>1578728501139543</v>
      </c>
      <c r="C3759" t="s">
        <v>37</v>
      </c>
      <c r="D3759">
        <v>4.9714999999999998</v>
      </c>
      <c r="E3759">
        <v>0.36754300000000001</v>
      </c>
      <c r="F3759" t="s">
        <v>38</v>
      </c>
      <c r="G3759">
        <v>-421.91</v>
      </c>
      <c r="H3759">
        <v>1.045274</v>
      </c>
      <c r="I3759">
        <v>41.70335</v>
      </c>
      <c r="J3759">
        <v>-422.46109999999999</v>
      </c>
      <c r="K3759">
        <v>1.1156219999999999</v>
      </c>
      <c r="L3759">
        <v>42.059139999999999</v>
      </c>
      <c r="M3759">
        <v>0.10023029999999999</v>
      </c>
      <c r="N3759">
        <v>0</v>
      </c>
      <c r="O3759">
        <v>-0.99486419999999998</v>
      </c>
      <c r="P3759">
        <v>0.3744652</v>
      </c>
      <c r="Q3759">
        <v>4.7532449999999997E-2</v>
      </c>
      <c r="R3759">
        <v>-0.92602199999999901</v>
      </c>
      <c r="S3759">
        <v>2.0665589999999998</v>
      </c>
      <c r="T3759">
        <v>-0.24617459999999999</v>
      </c>
      <c r="U3759">
        <v>-2.4258120000000001</v>
      </c>
      <c r="V3759">
        <v>-0.28049249999999998</v>
      </c>
      <c r="W3759">
        <v>5.7574670000000001E-2</v>
      </c>
      <c r="X3759">
        <v>0.95812790000000003</v>
      </c>
      <c r="Y3759">
        <v>-0.56690299999999905</v>
      </c>
      <c r="Z3759">
        <v>7.9038869999999997E-2</v>
      </c>
      <c r="AA3759">
        <v>0.81998409999999999</v>
      </c>
      <c r="AB3759">
        <v>35</v>
      </c>
      <c r="AC3759">
        <v>0.55109999999996195</v>
      </c>
      <c r="AD3759">
        <v>-7.03479999999998E-2</v>
      </c>
      <c r="AE3759">
        <v>-0.355789999999998</v>
      </c>
      <c r="AF3759">
        <v>-0.506830718083363</v>
      </c>
      <c r="AG3759">
        <v>-7.03479999999998E-2</v>
      </c>
      <c r="AH3759">
        <v>0.40458725049341498</v>
      </c>
      <c r="AI3759">
        <v>96.1910075284718</v>
      </c>
      <c r="AJ3759">
        <v>141.40071782761299</v>
      </c>
      <c r="AK3759">
        <v>0.65231668778187701</v>
      </c>
    </row>
    <row r="3760" spans="1:37" x14ac:dyDescent="0.2">
      <c r="A3760" t="str">
        <f>"20200111154141165"</f>
        <v>20200111154141165</v>
      </c>
      <c r="B3760" t="str">
        <f>"1578728501160039"</f>
        <v>1578728501160039</v>
      </c>
      <c r="C3760" t="s">
        <v>37</v>
      </c>
      <c r="D3760">
        <v>5.0412280000000003</v>
      </c>
      <c r="E3760">
        <v>0.36756739999999999</v>
      </c>
      <c r="F3760" t="s">
        <v>38</v>
      </c>
      <c r="G3760">
        <v>-421.8852</v>
      </c>
      <c r="H3760">
        <v>1.0485450000000001</v>
      </c>
      <c r="I3760">
        <v>41.395249999999997</v>
      </c>
      <c r="J3760">
        <v>-422.4196</v>
      </c>
      <c r="K3760">
        <v>1.1159110000000001</v>
      </c>
      <c r="L3760">
        <v>41.707639999999998</v>
      </c>
      <c r="M3760">
        <v>0.1065678</v>
      </c>
      <c r="N3760">
        <v>0</v>
      </c>
      <c r="O3760">
        <v>-0.99420489999999995</v>
      </c>
      <c r="P3760">
        <v>0.38316319999999998</v>
      </c>
      <c r="Q3760">
        <v>4.8969169999999999E-2</v>
      </c>
      <c r="R3760">
        <v>-0.92238199999999904</v>
      </c>
      <c r="S3760">
        <v>2.0881349999999999</v>
      </c>
      <c r="T3760">
        <v>-0.2432627</v>
      </c>
      <c r="U3760">
        <v>-2.4077449999999998</v>
      </c>
      <c r="V3760">
        <v>-0.28347080000000002</v>
      </c>
      <c r="W3760">
        <v>5.8790910000000002E-2</v>
      </c>
      <c r="X3760">
        <v>0.95717699999999994</v>
      </c>
      <c r="Y3760">
        <v>-0.56894359999999999</v>
      </c>
      <c r="Z3760">
        <v>7.8211760000000005E-2</v>
      </c>
      <c r="AA3760">
        <v>0.81864899999999996</v>
      </c>
      <c r="AB3760">
        <v>35</v>
      </c>
      <c r="AC3760">
        <v>0.53440000000000498</v>
      </c>
      <c r="AD3760">
        <v>-6.7365999999999995E-2</v>
      </c>
      <c r="AE3760">
        <v>-0.312390000000007</v>
      </c>
      <c r="AF3760">
        <v>-0.49223229886258901</v>
      </c>
      <c r="AG3760">
        <v>-6.7365999999999995E-2</v>
      </c>
      <c r="AH3760">
        <v>0.363263840779118</v>
      </c>
      <c r="AI3760">
        <v>96.283973501963899</v>
      </c>
      <c r="AJ3760">
        <v>143.57294537280899</v>
      </c>
      <c r="AK3760">
        <v>0.61546034154699603</v>
      </c>
    </row>
    <row r="3761" spans="1:37" x14ac:dyDescent="0.2">
      <c r="A3761" t="str">
        <f>"20200111154141188"</f>
        <v>20200111154141188</v>
      </c>
      <c r="B3761" t="str">
        <f>"1578728501180535"</f>
        <v>1578728501180535</v>
      </c>
      <c r="C3761" t="s">
        <v>37</v>
      </c>
      <c r="D3761">
        <v>5.0289830000000002</v>
      </c>
      <c r="E3761">
        <v>0.36755120000000002</v>
      </c>
      <c r="F3761" t="s">
        <v>47</v>
      </c>
      <c r="G3761">
        <v>-412.5582</v>
      </c>
      <c r="H3761" s="1">
        <v>-6.5268519999999997E-6</v>
      </c>
      <c r="I3761">
        <v>30.54935</v>
      </c>
      <c r="J3761">
        <v>-422.3759</v>
      </c>
      <c r="K3761">
        <v>1.116193</v>
      </c>
      <c r="L3761">
        <v>41.35962</v>
      </c>
      <c r="M3761">
        <v>0.1131853</v>
      </c>
      <c r="N3761">
        <v>0</v>
      </c>
      <c r="O3761">
        <v>-0.99347299999999905</v>
      </c>
      <c r="P3761">
        <v>0.39187149999999998</v>
      </c>
      <c r="Q3761">
        <v>5.0193960000000003E-2</v>
      </c>
      <c r="R3761">
        <v>-0.91864990000000002</v>
      </c>
      <c r="S3761">
        <v>2.1107480000000001</v>
      </c>
      <c r="T3761">
        <v>-0.2388527</v>
      </c>
      <c r="U3761">
        <v>-2.3883359999999998</v>
      </c>
      <c r="V3761">
        <v>-0.286217</v>
      </c>
      <c r="W3761">
        <v>5.9799079999999998E-2</v>
      </c>
      <c r="X3761">
        <v>0.95629699999999995</v>
      </c>
      <c r="Y3761">
        <v>-0.57119609999999998</v>
      </c>
      <c r="Z3761">
        <v>7.6907669999999997E-2</v>
      </c>
      <c r="AA3761">
        <v>0.8172026</v>
      </c>
      <c r="AB3761">
        <v>35</v>
      </c>
      <c r="AC3761">
        <v>9.8177000000000003</v>
      </c>
      <c r="AD3761">
        <v>-1.116199526852</v>
      </c>
      <c r="AE3761">
        <v>-10.810269999999999</v>
      </c>
      <c r="AF3761">
        <v>-8.4813593588962597</v>
      </c>
      <c r="AG3761">
        <v>-1.116199526852</v>
      </c>
      <c r="AH3761">
        <v>11.7832754341681</v>
      </c>
      <c r="AI3761">
        <v>94.396400486330805</v>
      </c>
      <c r="AJ3761">
        <v>125.745563593665</v>
      </c>
      <c r="AK3761">
        <v>14.5610761249281</v>
      </c>
    </row>
    <row r="3762" spans="1:37" x14ac:dyDescent="0.2">
      <c r="A3762" t="str">
        <f>"20200111154141210"</f>
        <v>20200111154141210</v>
      </c>
      <c r="B3762" t="str">
        <f>"1578728501200055"</f>
        <v>1578728501200055</v>
      </c>
      <c r="C3762" t="s">
        <v>37</v>
      </c>
      <c r="D3762">
        <v>5.0461150000000004</v>
      </c>
      <c r="E3762">
        <v>0.36761159999999998</v>
      </c>
      <c r="F3762" t="s">
        <v>47</v>
      </c>
      <c r="G3762">
        <v>-412.2124</v>
      </c>
      <c r="H3762" s="1">
        <v>-6.7581489999999996E-6</v>
      </c>
      <c r="I3762">
        <v>30.080909999999999</v>
      </c>
      <c r="J3762">
        <v>-422.33159999999998</v>
      </c>
      <c r="K3762">
        <v>1.116444</v>
      </c>
      <c r="L3762">
        <v>41.025970000000001</v>
      </c>
      <c r="M3762">
        <v>0.119806</v>
      </c>
      <c r="N3762">
        <v>0</v>
      </c>
      <c r="O3762">
        <v>-0.99269599999999902</v>
      </c>
      <c r="P3762">
        <v>0.40044059999999998</v>
      </c>
      <c r="Q3762">
        <v>5.1102210000000002E-2</v>
      </c>
      <c r="R3762">
        <v>-0.91489690000000001</v>
      </c>
      <c r="S3762">
        <v>2.1340029999999999</v>
      </c>
      <c r="T3762">
        <v>-0.23436579999999901</v>
      </c>
      <c r="U3762">
        <v>-2.3681640000000002</v>
      </c>
      <c r="V3762">
        <v>-0.28883599999999998</v>
      </c>
      <c r="W3762">
        <v>6.0508279999999998E-2</v>
      </c>
      <c r="X3762">
        <v>0.95546450000000005</v>
      </c>
      <c r="Y3762">
        <v>-0.57369029999999999</v>
      </c>
      <c r="Z3762">
        <v>7.5570869999999998E-2</v>
      </c>
      <c r="AA3762">
        <v>0.81557860000000004</v>
      </c>
      <c r="AB3762">
        <v>35</v>
      </c>
      <c r="AC3762">
        <v>10.1191999999999</v>
      </c>
      <c r="AD3762">
        <v>-1.116450758149</v>
      </c>
      <c r="AE3762">
        <v>-10.94506</v>
      </c>
      <c r="AF3762">
        <v>-8.6861563090748994</v>
      </c>
      <c r="AG3762">
        <v>-1.116450758149</v>
      </c>
      <c r="AH3762">
        <v>12.0112918762796</v>
      </c>
      <c r="AI3762">
        <v>94.307325976161906</v>
      </c>
      <c r="AJ3762">
        <v>125.87316984562599</v>
      </c>
      <c r="AK3762">
        <v>14.864955642659501</v>
      </c>
    </row>
    <row r="3763" spans="1:37" x14ac:dyDescent="0.2">
      <c r="A3763" t="str">
        <f>"20200111154141232"</f>
        <v>20200111154141232</v>
      </c>
      <c r="B3763" t="str">
        <f>"1578728501230312"</f>
        <v>1578728501230312</v>
      </c>
      <c r="C3763" t="s">
        <v>37</v>
      </c>
      <c r="D3763">
        <v>5.0617099999999997</v>
      </c>
      <c r="E3763">
        <v>0.36773020000000001</v>
      </c>
      <c r="F3763" t="s">
        <v>47</v>
      </c>
      <c r="G3763">
        <v>-411.87259999999998</v>
      </c>
      <c r="H3763" s="1">
        <v>-6.9789350000000001E-6</v>
      </c>
      <c r="I3763">
        <v>29.63777</v>
      </c>
      <c r="J3763">
        <v>-422.28500000000003</v>
      </c>
      <c r="K3763">
        <v>1.1166849999999999</v>
      </c>
      <c r="L3763">
        <v>40.693269999999998</v>
      </c>
      <c r="M3763">
        <v>0.12668270000000001</v>
      </c>
      <c r="N3763">
        <v>0</v>
      </c>
      <c r="O3763">
        <v>-0.99184169999999905</v>
      </c>
      <c r="P3763">
        <v>0.40907859999999902</v>
      </c>
      <c r="Q3763">
        <v>5.1686049999999997E-2</v>
      </c>
      <c r="R3763">
        <v>-0.91103400000000001</v>
      </c>
      <c r="S3763">
        <v>2.1564640000000002</v>
      </c>
      <c r="T3763">
        <v>-0.23019329999999999</v>
      </c>
      <c r="U3763">
        <v>-2.34805299999999</v>
      </c>
      <c r="V3763">
        <v>-0.29130289999999998</v>
      </c>
      <c r="W3763">
        <v>6.0899519999999999E-2</v>
      </c>
      <c r="X3763">
        <v>0.9546905</v>
      </c>
      <c r="Y3763">
        <v>-0.5757968</v>
      </c>
      <c r="Z3763">
        <v>7.4334880000000006E-2</v>
      </c>
      <c r="AA3763">
        <v>0.81420669999999995</v>
      </c>
      <c r="AB3763">
        <v>35</v>
      </c>
      <c r="AC3763">
        <v>10.4124</v>
      </c>
      <c r="AD3763">
        <v>-1.1166919789349901</v>
      </c>
      <c r="AE3763">
        <v>-11.0555</v>
      </c>
      <c r="AF3763">
        <v>-8.87980164561246</v>
      </c>
      <c r="AG3763">
        <v>-1.1166919789349901</v>
      </c>
      <c r="AH3763">
        <v>12.219548119714601</v>
      </c>
      <c r="AI3763">
        <v>94.228040392295696</v>
      </c>
      <c r="AJ3763">
        <v>126.005463073047</v>
      </c>
      <c r="AK3763">
        <v>15.146459470492101</v>
      </c>
    </row>
    <row r="3764" spans="1:37" x14ac:dyDescent="0.2">
      <c r="A3764" t="str">
        <f>"20200111154141254"</f>
        <v>20200111154141254</v>
      </c>
      <c r="B3764" t="str">
        <f>"1578728501249831"</f>
        <v>1578728501249831</v>
      </c>
      <c r="C3764" t="s">
        <v>37</v>
      </c>
      <c r="D3764">
        <v>5.1132650000000002</v>
      </c>
      <c r="E3764">
        <v>0.36780180000000001</v>
      </c>
      <c r="F3764" t="s">
        <v>47</v>
      </c>
      <c r="G3764">
        <v>-411.6497</v>
      </c>
      <c r="H3764" s="1">
        <v>-1.017045E-5</v>
      </c>
      <c r="I3764">
        <v>29.325669999999999</v>
      </c>
      <c r="J3764">
        <v>-422.23570000000001</v>
      </c>
      <c r="K3764">
        <v>1.116924</v>
      </c>
      <c r="L3764">
        <v>40.35989</v>
      </c>
      <c r="M3764">
        <v>0.1338531</v>
      </c>
      <c r="N3764">
        <v>0</v>
      </c>
      <c r="O3764">
        <v>-0.99089910000000003</v>
      </c>
      <c r="P3764">
        <v>0.41829640000000001</v>
      </c>
      <c r="Q3764">
        <v>5.2396419999999999E-2</v>
      </c>
      <c r="R3764">
        <v>-0.9067984</v>
      </c>
      <c r="S3764">
        <v>2.1780089999999999</v>
      </c>
      <c r="T3764">
        <v>-0.22868820000000001</v>
      </c>
      <c r="U3764">
        <v>-2.3279719999999999</v>
      </c>
      <c r="V3764">
        <v>-0.2941318</v>
      </c>
      <c r="W3764">
        <v>6.1407370000000003E-2</v>
      </c>
      <c r="X3764">
        <v>0.95379009999999997</v>
      </c>
      <c r="Y3764">
        <v>-0.57743259999999996</v>
      </c>
      <c r="Z3764">
        <v>7.3959360000000002E-2</v>
      </c>
      <c r="AA3764">
        <v>0.81308159999999996</v>
      </c>
      <c r="AB3764">
        <v>35</v>
      </c>
      <c r="AC3764">
        <v>10.586</v>
      </c>
      <c r="AD3764">
        <v>-1.11693417045</v>
      </c>
      <c r="AE3764">
        <v>-11.0342199999999</v>
      </c>
      <c r="AF3764">
        <v>-8.9657679809948299</v>
      </c>
      <c r="AG3764">
        <v>-1.11693417045</v>
      </c>
      <c r="AH3764">
        <v>12.286462283561001</v>
      </c>
      <c r="AI3764">
        <v>94.199948652839794</v>
      </c>
      <c r="AJ3764">
        <v>126.119253150188</v>
      </c>
      <c r="AK3764">
        <v>15.2508915436285</v>
      </c>
    </row>
    <row r="3765" spans="1:37" x14ac:dyDescent="0.2">
      <c r="A3765" t="str">
        <f>"20200111154141277"</f>
        <v>20200111154141277</v>
      </c>
      <c r="B3765" t="str">
        <f>"1578728501270327"</f>
        <v>1578728501270327</v>
      </c>
      <c r="C3765" t="s">
        <v>37</v>
      </c>
      <c r="D3765">
        <v>5.0993440000000003</v>
      </c>
      <c r="E3765">
        <v>0.3679074</v>
      </c>
      <c r="F3765" t="s">
        <v>38</v>
      </c>
      <c r="G3765">
        <v>-421.529</v>
      </c>
      <c r="H3765">
        <v>1.0442469999999999</v>
      </c>
      <c r="I3765">
        <v>39.619529999999997</v>
      </c>
      <c r="J3765">
        <v>-422.18110000000001</v>
      </c>
      <c r="K3765">
        <v>1.117183</v>
      </c>
      <c r="L3765">
        <v>40.010800000000003</v>
      </c>
      <c r="M3765">
        <v>0.14166419999999999</v>
      </c>
      <c r="N3765">
        <v>0</v>
      </c>
      <c r="O3765">
        <v>-0.98981229999999998</v>
      </c>
      <c r="P3765">
        <v>0.42887969999999997</v>
      </c>
      <c r="Q3765">
        <v>5.3354239999999997E-2</v>
      </c>
      <c r="R3765">
        <v>-0.90178499999999995</v>
      </c>
      <c r="S3765">
        <v>2.2012330000000002</v>
      </c>
      <c r="T3765">
        <v>-0.22636909999999999</v>
      </c>
      <c r="U3765">
        <v>-2.306</v>
      </c>
      <c r="V3765">
        <v>-0.29783409999999999</v>
      </c>
      <c r="W3765">
        <v>6.213076E-2</v>
      </c>
      <c r="X3765">
        <v>0.95259359999999904</v>
      </c>
      <c r="Y3765">
        <v>-0.57918859999999905</v>
      </c>
      <c r="Z3765">
        <v>7.3324840000000002E-2</v>
      </c>
      <c r="AA3765">
        <v>0.81188919999999998</v>
      </c>
      <c r="AB3765">
        <v>35</v>
      </c>
      <c r="AC3765">
        <v>0.652100000000018</v>
      </c>
      <c r="AD3765">
        <v>-7.2936000000000098E-2</v>
      </c>
      <c r="AE3765">
        <v>-0.391270000000005</v>
      </c>
      <c r="AF3765">
        <v>-0.58470913763975296</v>
      </c>
      <c r="AG3765">
        <v>-7.2936000000000098E-2</v>
      </c>
      <c r="AH3765">
        <v>0.47533939843505202</v>
      </c>
      <c r="AI3765">
        <v>95.528455077608996</v>
      </c>
      <c r="AJ3765">
        <v>140.89060781285701</v>
      </c>
      <c r="AK3765">
        <v>0.75706801506867405</v>
      </c>
    </row>
    <row r="3766" spans="1:37" x14ac:dyDescent="0.2">
      <c r="A3766" t="str">
        <f>"20200111154141310"</f>
        <v>20200111154141310</v>
      </c>
      <c r="B3766" t="str">
        <f>"1578728501299607"</f>
        <v>1578728501299607</v>
      </c>
      <c r="C3766" t="s">
        <v>37</v>
      </c>
      <c r="D3766">
        <v>5.115958</v>
      </c>
      <c r="E3766">
        <v>0.3680776</v>
      </c>
      <c r="F3766" t="s">
        <v>38</v>
      </c>
      <c r="G3766">
        <v>-421.5</v>
      </c>
      <c r="H3766">
        <v>1.048867</v>
      </c>
      <c r="I3766">
        <v>39.313179999999903</v>
      </c>
      <c r="J3766">
        <v>-422.09879999999998</v>
      </c>
      <c r="K3766">
        <v>1.117564</v>
      </c>
      <c r="L3766">
        <v>39.51849</v>
      </c>
      <c r="M3766">
        <v>0.1532464</v>
      </c>
      <c r="N3766">
        <v>0</v>
      </c>
      <c r="O3766">
        <v>-0.98808459999999998</v>
      </c>
      <c r="P3766">
        <v>0.44323499999999999</v>
      </c>
      <c r="Q3766">
        <v>5.4530229999999999E-2</v>
      </c>
      <c r="R3766">
        <v>-0.89474540000000002</v>
      </c>
      <c r="S3766">
        <v>2.227722</v>
      </c>
      <c r="T3766">
        <v>-0.2233262</v>
      </c>
      <c r="U3766">
        <v>-2.2804570000000002</v>
      </c>
      <c r="V3766">
        <v>-0.30199009999999998</v>
      </c>
      <c r="W3766">
        <v>6.2978359999999997E-2</v>
      </c>
      <c r="X3766">
        <v>0.95122859999999998</v>
      </c>
      <c r="Y3766">
        <v>-0.5790708</v>
      </c>
      <c r="Z3766">
        <v>7.2480810000000007E-2</v>
      </c>
      <c r="AA3766">
        <v>0.81204900000000002</v>
      </c>
      <c r="AB3766">
        <v>35</v>
      </c>
      <c r="AC3766">
        <v>0.59879999999998201</v>
      </c>
      <c r="AD3766">
        <v>-6.8696999999999994E-2</v>
      </c>
      <c r="AE3766">
        <v>-0.20531000000000399</v>
      </c>
      <c r="AF3766">
        <v>-0.55373781985330495</v>
      </c>
      <c r="AG3766">
        <v>-6.8696999999999994E-2</v>
      </c>
      <c r="AH3766">
        <v>0.29122786002499301</v>
      </c>
      <c r="AI3766">
        <v>96.266022634761299</v>
      </c>
      <c r="AJ3766">
        <v>152.258728612037</v>
      </c>
      <c r="AK3766">
        <v>0.62941124664215198</v>
      </c>
    </row>
    <row r="3767" spans="1:37" x14ac:dyDescent="0.2">
      <c r="A3767" t="str">
        <f>"20200111154141332"</f>
        <v>20200111154141332</v>
      </c>
      <c r="B3767" t="str">
        <f>"1578728501329864"</f>
        <v>1578728501329864</v>
      </c>
      <c r="C3767" t="s">
        <v>37</v>
      </c>
      <c r="D3767">
        <v>5.0918359999999998</v>
      </c>
      <c r="E3767">
        <v>0.36818229999999902</v>
      </c>
      <c r="F3767" t="s">
        <v>47</v>
      </c>
      <c r="G3767">
        <v>-410.5677</v>
      </c>
      <c r="H3767" s="1">
        <v>-1.042191E-5</v>
      </c>
      <c r="I3767">
        <v>28.0814599999999</v>
      </c>
      <c r="J3767">
        <v>-422.03879999999998</v>
      </c>
      <c r="K3767">
        <v>1.1178330000000001</v>
      </c>
      <c r="L3767">
        <v>39.181849999999997</v>
      </c>
      <c r="M3767">
        <v>0.16154540000000001</v>
      </c>
      <c r="N3767">
        <v>0</v>
      </c>
      <c r="O3767">
        <v>-0.98676140000000001</v>
      </c>
      <c r="P3767">
        <v>0.4525093</v>
      </c>
      <c r="Q3767">
        <v>5.43984E-2</v>
      </c>
      <c r="R3767">
        <v>-0.89009930000000004</v>
      </c>
      <c r="S3767">
        <v>2.263458</v>
      </c>
      <c r="T3767">
        <v>-0.2193707</v>
      </c>
      <c r="U3767">
        <v>-2.2449949999999999</v>
      </c>
      <c r="V3767">
        <v>-0.30392009999999903</v>
      </c>
      <c r="W3767">
        <v>6.2634750000000003E-2</v>
      </c>
      <c r="X3767">
        <v>0.95063629999999999</v>
      </c>
      <c r="Y3767">
        <v>-0.58509609999999901</v>
      </c>
      <c r="Z3767">
        <v>7.133979E-2</v>
      </c>
      <c r="AA3767">
        <v>0.80782010000000004</v>
      </c>
      <c r="AB3767">
        <v>35</v>
      </c>
      <c r="AC3767">
        <v>11.4710999999999</v>
      </c>
      <c r="AD3767">
        <v>-1.11784342191</v>
      </c>
      <c r="AE3767">
        <v>-11.100390000000001</v>
      </c>
      <c r="AF3767">
        <v>-9.4805056141973605</v>
      </c>
      <c r="AG3767">
        <v>-1.11784342191</v>
      </c>
      <c r="AH3767">
        <v>12.7453490831415</v>
      </c>
      <c r="AI3767">
        <v>94.025399845700505</v>
      </c>
      <c r="AJ3767">
        <v>126.643360985256</v>
      </c>
      <c r="AK3767">
        <v>15.923990827298001</v>
      </c>
    </row>
    <row r="3768" spans="1:37" x14ac:dyDescent="0.2">
      <c r="A3768" t="str">
        <f>"20200111154141355"</f>
        <v>20200111154141355</v>
      </c>
      <c r="B3768" t="str">
        <f>"1578728501350358"</f>
        <v>1578728501350358</v>
      </c>
      <c r="C3768" t="s">
        <v>37</v>
      </c>
      <c r="D3768">
        <v>5.0904730000000002</v>
      </c>
      <c r="E3768">
        <v>0.36833090000000002</v>
      </c>
      <c r="F3768" t="s">
        <v>47</v>
      </c>
      <c r="G3768">
        <v>-410.34190000000001</v>
      </c>
      <c r="H3768" s="1">
        <v>-1.0478009999999999E-5</v>
      </c>
      <c r="I3768">
        <v>27.821249999999999</v>
      </c>
      <c r="J3768">
        <v>-421.97489999999999</v>
      </c>
      <c r="K3768">
        <v>1.118101</v>
      </c>
      <c r="L3768">
        <v>38.842039999999997</v>
      </c>
      <c r="M3768">
        <v>0.1702274</v>
      </c>
      <c r="N3768">
        <v>0</v>
      </c>
      <c r="O3768">
        <v>-0.98530030000000002</v>
      </c>
      <c r="P3768">
        <v>0.4619356</v>
      </c>
      <c r="Q3768">
        <v>5.4924939999999998E-2</v>
      </c>
      <c r="R3768">
        <v>-0.88521149999999904</v>
      </c>
      <c r="S3768">
        <v>2.286896</v>
      </c>
      <c r="T3768">
        <v>-0.21855429999999901</v>
      </c>
      <c r="U3768">
        <v>-2.2211609999999999</v>
      </c>
      <c r="V3768">
        <v>-0.30570259999999999</v>
      </c>
      <c r="W3768">
        <v>6.2951229999999997E-2</v>
      </c>
      <c r="X3768">
        <v>0.95004369999999905</v>
      </c>
      <c r="Y3768">
        <v>-0.58644419999999897</v>
      </c>
      <c r="Z3768">
        <v>7.1178130000000006E-2</v>
      </c>
      <c r="AA3768">
        <v>0.80685620000000002</v>
      </c>
      <c r="AB3768">
        <v>34</v>
      </c>
      <c r="AC3768">
        <v>11.6329999999999</v>
      </c>
      <c r="AD3768">
        <v>-1.1181114780100001</v>
      </c>
      <c r="AE3768">
        <v>-11.02079</v>
      </c>
      <c r="AF3768">
        <v>-9.5404966598235799</v>
      </c>
      <c r="AG3768">
        <v>-1.1181114780100001</v>
      </c>
      <c r="AH3768">
        <v>12.7781540140613</v>
      </c>
      <c r="AI3768">
        <v>94.010720811297006</v>
      </c>
      <c r="AJ3768">
        <v>126.74595950025601</v>
      </c>
      <c r="AK3768">
        <v>15.986008563754501</v>
      </c>
    </row>
    <row r="3769" spans="1:37" x14ac:dyDescent="0.2">
      <c r="A3769" t="str">
        <f>"20200111154141377"</f>
        <v>20200111154141377</v>
      </c>
      <c r="B3769" t="str">
        <f>"1578728501369879"</f>
        <v>1578728501369879</v>
      </c>
      <c r="C3769" t="s">
        <v>37</v>
      </c>
      <c r="D3769">
        <v>5.0801860000000003</v>
      </c>
      <c r="E3769">
        <v>0.35418670000000002</v>
      </c>
      <c r="F3769" t="s">
        <v>38</v>
      </c>
      <c r="G3769">
        <v>-421.2398</v>
      </c>
      <c r="H3769">
        <v>1.048824</v>
      </c>
      <c r="I3769">
        <v>38.142490000000002</v>
      </c>
      <c r="J3769">
        <v>-421.90629999999999</v>
      </c>
      <c r="K3769">
        <v>1.118377</v>
      </c>
      <c r="L3769">
        <v>38.495359999999998</v>
      </c>
      <c r="M3769">
        <v>0.17944470000000001</v>
      </c>
      <c r="N3769">
        <v>0</v>
      </c>
      <c r="O3769">
        <v>-0.98366279999999995</v>
      </c>
      <c r="P3769">
        <v>0.47120649999999997</v>
      </c>
      <c r="Q3769">
        <v>5.5448869999999997E-2</v>
      </c>
      <c r="R3769">
        <v>-0.88027860000000002</v>
      </c>
      <c r="S3769">
        <v>2.3098749999999999</v>
      </c>
      <c r="T3769">
        <v>-0.21758249999999901</v>
      </c>
      <c r="U3769">
        <v>-2.1971129999999999</v>
      </c>
      <c r="V3769">
        <v>-0.30684640000000002</v>
      </c>
      <c r="W3769">
        <v>6.3266729999999993E-2</v>
      </c>
      <c r="X3769">
        <v>0.94965390000000005</v>
      </c>
      <c r="Y3769">
        <v>-0.58730109999999902</v>
      </c>
      <c r="Z3769">
        <v>7.0964920000000001E-2</v>
      </c>
      <c r="AA3769">
        <v>0.80625139999999995</v>
      </c>
      <c r="AB3769">
        <v>34</v>
      </c>
      <c r="AC3769">
        <v>0.66649999999998499</v>
      </c>
      <c r="AD3769">
        <v>-6.9552999999999907E-2</v>
      </c>
      <c r="AE3769">
        <v>-0.35286999999999502</v>
      </c>
      <c r="AF3769">
        <v>-0.58735597570841003</v>
      </c>
      <c r="AG3769">
        <v>-6.9552999999999907E-2</v>
      </c>
      <c r="AH3769">
        <v>0.46281666370202301</v>
      </c>
      <c r="AI3769">
        <v>95.313889505189906</v>
      </c>
      <c r="AJ3769">
        <v>141.763084368888</v>
      </c>
      <c r="AK3769">
        <v>0.75101526363293702</v>
      </c>
    </row>
    <row r="3770" spans="1:37" x14ac:dyDescent="0.2">
      <c r="A3770" t="str">
        <f>"20200111154141399"</f>
        <v>20200111154141399</v>
      </c>
      <c r="B3770" t="str">
        <f>"1578728501390375"</f>
        <v>1578728501390375</v>
      </c>
      <c r="C3770" t="s">
        <v>37</v>
      </c>
      <c r="D3770">
        <v>5.05558</v>
      </c>
      <c r="E3770">
        <v>0.3534157</v>
      </c>
      <c r="F3770" t="s">
        <v>38</v>
      </c>
      <c r="G3770">
        <v>-421.17009999999999</v>
      </c>
      <c r="H3770">
        <v>1.020419</v>
      </c>
      <c r="I3770">
        <v>37.851379999999999</v>
      </c>
      <c r="J3770">
        <v>-421.84010000000001</v>
      </c>
      <c r="K3770">
        <v>1.118657</v>
      </c>
      <c r="L3770">
        <v>38.177639999999997</v>
      </c>
      <c r="M3770">
        <v>0.18824279999999999</v>
      </c>
      <c r="N3770">
        <v>0</v>
      </c>
      <c r="O3770">
        <v>-0.98201640000000001</v>
      </c>
      <c r="P3770">
        <v>0.47990169999999999</v>
      </c>
      <c r="Q3770">
        <v>5.5074169999999999E-2</v>
      </c>
      <c r="R3770">
        <v>-0.87559219999999904</v>
      </c>
      <c r="S3770">
        <v>2.4311829999999999</v>
      </c>
      <c r="T3770">
        <v>-0.32352979999999998</v>
      </c>
      <c r="U3770">
        <v>-2.1269840000000002</v>
      </c>
      <c r="V3770">
        <v>-0.30778339999999998</v>
      </c>
      <c r="W3770">
        <v>6.2696630000000003E-2</v>
      </c>
      <c r="X3770">
        <v>0.94938849999999997</v>
      </c>
      <c r="Y3770">
        <v>-0.61111179999999998</v>
      </c>
      <c r="Z3770">
        <v>0.1043108</v>
      </c>
      <c r="AA3770">
        <v>0.78464109999999998</v>
      </c>
      <c r="AB3770">
        <v>34</v>
      </c>
      <c r="AC3770">
        <v>0.67000000000001503</v>
      </c>
      <c r="AD3770">
        <v>-9.8238000000000006E-2</v>
      </c>
      <c r="AE3770">
        <v>-0.32626000000000399</v>
      </c>
      <c r="AF3770">
        <v>-0.58640659444326904</v>
      </c>
      <c r="AG3770">
        <v>-9.8238000000000006E-2</v>
      </c>
      <c r="AH3770">
        <v>0.438934163422391</v>
      </c>
      <c r="AI3770">
        <v>97.638690868229602</v>
      </c>
      <c r="AJ3770">
        <v>143.18459312377999</v>
      </c>
      <c r="AK3770">
        <v>0.73904438193512201</v>
      </c>
    </row>
    <row r="3771" spans="1:37" x14ac:dyDescent="0.2">
      <c r="A3771" t="str">
        <f>"20200111154141422"</f>
        <v>20200111154141422</v>
      </c>
      <c r="B3771" t="str">
        <f>"1578728501419656"</f>
        <v>1578728501419656</v>
      </c>
      <c r="C3771" t="s">
        <v>37</v>
      </c>
      <c r="D3771">
        <v>5.0562940000000003</v>
      </c>
      <c r="E3771">
        <v>0.35443609999999998</v>
      </c>
      <c r="F3771" t="s">
        <v>38</v>
      </c>
      <c r="G3771">
        <v>-421.11329999999998</v>
      </c>
      <c r="H3771">
        <v>1.0240049999999901</v>
      </c>
      <c r="I3771">
        <v>37.556759999999997</v>
      </c>
      <c r="J3771">
        <v>-421.76679999999999</v>
      </c>
      <c r="K3771">
        <v>1.1189750000000001</v>
      </c>
      <c r="L3771">
        <v>37.84225</v>
      </c>
      <c r="M3771">
        <v>0.19790739999999901</v>
      </c>
      <c r="N3771">
        <v>0</v>
      </c>
      <c r="O3771">
        <v>-0.98011380000000003</v>
      </c>
      <c r="P3771">
        <v>0.48956709999999898</v>
      </c>
      <c r="Q3771">
        <v>5.5537320000000001E-2</v>
      </c>
      <c r="R3771">
        <v>-0.8701953</v>
      </c>
      <c r="S3771">
        <v>2.4583439999999999</v>
      </c>
      <c r="T3771">
        <v>-0.32000699999999999</v>
      </c>
      <c r="U3771">
        <v>-2.0989990000000001</v>
      </c>
      <c r="V3771">
        <v>-0.309008</v>
      </c>
      <c r="W3771">
        <v>6.2936469999999994E-2</v>
      </c>
      <c r="X3771">
        <v>0.94897469999999995</v>
      </c>
      <c r="Y3771">
        <v>-0.61287729999999996</v>
      </c>
      <c r="Z3771">
        <v>0.1032786</v>
      </c>
      <c r="AA3771">
        <v>0.78339959999999997</v>
      </c>
      <c r="AB3771">
        <v>34</v>
      </c>
      <c r="AC3771">
        <v>0.65350000000000796</v>
      </c>
      <c r="AD3771">
        <v>-9.4970000000000193E-2</v>
      </c>
      <c r="AE3771">
        <v>-0.28549000000000202</v>
      </c>
      <c r="AF3771">
        <v>-0.57388725540460095</v>
      </c>
      <c r="AG3771">
        <v>-9.4970000000000193E-2</v>
      </c>
      <c r="AH3771">
        <v>0.40205767070479098</v>
      </c>
      <c r="AI3771">
        <v>97.718472603426505</v>
      </c>
      <c r="AJ3771">
        <v>144.985432540056</v>
      </c>
      <c r="AK3771">
        <v>0.70711827397429605</v>
      </c>
    </row>
    <row r="3772" spans="1:37" x14ac:dyDescent="0.2">
      <c r="A3772" t="str">
        <f>"20200111154141446"</f>
        <v>20200111154141446</v>
      </c>
      <c r="B3772" t="str">
        <f>"1578728501440151"</f>
        <v>1578728501440151</v>
      </c>
      <c r="C3772" t="s">
        <v>37</v>
      </c>
      <c r="D3772">
        <v>5.0651219999999997</v>
      </c>
      <c r="E3772">
        <v>0.35517379999999998</v>
      </c>
      <c r="F3772" t="s">
        <v>38</v>
      </c>
      <c r="G3772">
        <v>-421.06790000000001</v>
      </c>
      <c r="H3772">
        <v>1.028805</v>
      </c>
      <c r="I3772">
        <v>37.255949999999999</v>
      </c>
      <c r="J3772">
        <v>-421.6893</v>
      </c>
      <c r="K3772">
        <v>1.119305</v>
      </c>
      <c r="L3772">
        <v>37.50629</v>
      </c>
      <c r="M3772">
        <v>0.208033</v>
      </c>
      <c r="N3772">
        <v>0</v>
      </c>
      <c r="O3772">
        <v>-0.97801380000000004</v>
      </c>
      <c r="P3772">
        <v>0.49901259999999997</v>
      </c>
      <c r="Q3772">
        <v>5.6565209999999998E-2</v>
      </c>
      <c r="R3772">
        <v>-0.86474699999999904</v>
      </c>
      <c r="S3772">
        <v>2.4744869999999999</v>
      </c>
      <c r="T3772">
        <v>-0.31924019999999997</v>
      </c>
      <c r="U3772">
        <v>-2.0757750000000001</v>
      </c>
      <c r="V3772">
        <v>-0.30961470000000002</v>
      </c>
      <c r="W3772">
        <v>6.3746419999999998E-2</v>
      </c>
      <c r="X3772">
        <v>0.94872289999999904</v>
      </c>
      <c r="Y3772">
        <v>-0.61156299999999997</v>
      </c>
      <c r="Z3772">
        <v>0.1032361</v>
      </c>
      <c r="AA3772">
        <v>0.78443169999999995</v>
      </c>
      <c r="AB3772">
        <v>34</v>
      </c>
      <c r="AC3772">
        <v>0.62139999999999396</v>
      </c>
      <c r="AD3772">
        <v>-9.0499999999999997E-2</v>
      </c>
      <c r="AE3772">
        <v>-0.25034000000000101</v>
      </c>
      <c r="AF3772">
        <v>-0.54575802351310299</v>
      </c>
      <c r="AG3772">
        <v>-9.0499999999999997E-2</v>
      </c>
      <c r="AH3772">
        <v>0.36744180182622399</v>
      </c>
      <c r="AI3772">
        <v>97.832094704347</v>
      </c>
      <c r="AJ3772">
        <v>146.048851038013</v>
      </c>
      <c r="AK3772">
        <v>0.66412013066781095</v>
      </c>
    </row>
    <row r="3773" spans="1:37" x14ac:dyDescent="0.2">
      <c r="A3773" t="str">
        <f>"20200111154141467"</f>
        <v>20200111154141467</v>
      </c>
      <c r="B3773" t="str">
        <f>"1578728501459673"</f>
        <v>1578728501459673</v>
      </c>
      <c r="C3773" t="s">
        <v>37</v>
      </c>
      <c r="D3773">
        <v>5.0716679999999998</v>
      </c>
      <c r="E3773">
        <v>0.3558037</v>
      </c>
      <c r="F3773" t="s">
        <v>47</v>
      </c>
      <c r="G3773">
        <v>-412.90940000000001</v>
      </c>
      <c r="H3773" s="1">
        <v>-6.5749229999999999E-6</v>
      </c>
      <c r="I3773">
        <v>30.2774</v>
      </c>
      <c r="J3773">
        <v>-421.60890000000001</v>
      </c>
      <c r="K3773">
        <v>1.1196520000000001</v>
      </c>
      <c r="L3773">
        <v>37.175259999999902</v>
      </c>
      <c r="M3773">
        <v>0.2184297</v>
      </c>
      <c r="N3773">
        <v>0</v>
      </c>
      <c r="O3773">
        <v>-0.97574369999999999</v>
      </c>
      <c r="P3773">
        <v>0.50853720000000002</v>
      </c>
      <c r="Q3773">
        <v>5.7650449999999999E-2</v>
      </c>
      <c r="R3773">
        <v>-0.85910819999999999</v>
      </c>
      <c r="S3773">
        <v>2.4921570000000002</v>
      </c>
      <c r="T3773">
        <v>-0.31771500000000003</v>
      </c>
      <c r="U3773">
        <v>-2.0519099999999999</v>
      </c>
      <c r="V3773">
        <v>-0.31009389999999998</v>
      </c>
      <c r="W3773">
        <v>6.4618179999999997E-2</v>
      </c>
      <c r="X3773">
        <v>0.9485074</v>
      </c>
      <c r="Y3773">
        <v>-0.61039960000000004</v>
      </c>
      <c r="Z3773">
        <v>0.10291019999999899</v>
      </c>
      <c r="AA3773">
        <v>0.78538009999999903</v>
      </c>
      <c r="AB3773">
        <v>34</v>
      </c>
      <c r="AC3773">
        <v>8.6995000000000005</v>
      </c>
      <c r="AD3773">
        <v>-1.1196585749229999</v>
      </c>
      <c r="AE3773">
        <v>-6.8978599999999899</v>
      </c>
      <c r="AF3773">
        <v>-6.9122265698321197</v>
      </c>
      <c r="AG3773">
        <v>-1.1196585749229999</v>
      </c>
      <c r="AH3773">
        <v>8.5447857890675198</v>
      </c>
      <c r="AI3773">
        <v>95.816918856589993</v>
      </c>
      <c r="AJ3773">
        <v>128.97081152971001</v>
      </c>
      <c r="AK3773">
        <v>11.047437515466701</v>
      </c>
    </row>
    <row r="3774" spans="1:37" x14ac:dyDescent="0.2">
      <c r="A3774" t="str">
        <f>"20200111154141489"</f>
        <v>20200111154141489</v>
      </c>
      <c r="B3774" t="str">
        <f>"1578728501480166"</f>
        <v>1578728501480166</v>
      </c>
      <c r="C3774" t="s">
        <v>37</v>
      </c>
      <c r="D3774">
        <v>5.0502399999999996</v>
      </c>
      <c r="E3774">
        <v>0.35610570000000002</v>
      </c>
      <c r="F3774" t="s">
        <v>47</v>
      </c>
      <c r="G3774">
        <v>-412.68610000000001</v>
      </c>
      <c r="H3774" s="1">
        <v>-6.7260399999999897E-6</v>
      </c>
      <c r="I3774">
        <v>29.97025</v>
      </c>
      <c r="J3774">
        <v>-421.52690000000001</v>
      </c>
      <c r="K3774">
        <v>1.1199669999999999</v>
      </c>
      <c r="L3774">
        <v>36.853670000000001</v>
      </c>
      <c r="M3774">
        <v>0.228882</v>
      </c>
      <c r="N3774">
        <v>0</v>
      </c>
      <c r="O3774">
        <v>-0.97334409999999905</v>
      </c>
      <c r="P3774">
        <v>0.51780219999999999</v>
      </c>
      <c r="Q3774">
        <v>5.934826E-2</v>
      </c>
      <c r="R3774">
        <v>-0.85343919999999995</v>
      </c>
      <c r="S3774">
        <v>2.5104060000000001</v>
      </c>
      <c r="T3774">
        <v>-0.31501570000000001</v>
      </c>
      <c r="U3774">
        <v>-2.0271300000000001</v>
      </c>
      <c r="V3774">
        <v>-0.3102993</v>
      </c>
      <c r="W3774">
        <v>6.6127480000000002E-2</v>
      </c>
      <c r="X3774">
        <v>0.94833619999999996</v>
      </c>
      <c r="Y3774">
        <v>-0.60947019999999996</v>
      </c>
      <c r="Z3774">
        <v>0.10219199999999901</v>
      </c>
      <c r="AA3774">
        <v>0.78619519999999998</v>
      </c>
      <c r="AB3774">
        <v>34</v>
      </c>
      <c r="AC3774">
        <v>8.8407999999999998</v>
      </c>
      <c r="AD3774">
        <v>-1.11997372604</v>
      </c>
      <c r="AE3774">
        <v>-6.8834200000000001</v>
      </c>
      <c r="AF3774">
        <v>-6.9608537529296504</v>
      </c>
      <c r="AG3774">
        <v>-1.11997372604</v>
      </c>
      <c r="AH3774">
        <v>8.6380641179049196</v>
      </c>
      <c r="AI3774">
        <v>95.764823597312798</v>
      </c>
      <c r="AJ3774">
        <v>128.86308040461199</v>
      </c>
      <c r="AK3774">
        <v>11.150066269835801</v>
      </c>
    </row>
    <row r="3775" spans="1:37" x14ac:dyDescent="0.2">
      <c r="A3775" t="str">
        <f>"20200111154141511"</f>
        <v>20200111154141511</v>
      </c>
      <c r="B3775" t="str">
        <f>"1578728501499689"</f>
        <v>1578728501499689</v>
      </c>
      <c r="C3775" t="s">
        <v>37</v>
      </c>
      <c r="D3775">
        <v>5.0617299999999998</v>
      </c>
      <c r="E3775">
        <v>0.35640820000000001</v>
      </c>
      <c r="F3775" t="s">
        <v>47</v>
      </c>
      <c r="G3775">
        <v>-412.37779999999998</v>
      </c>
      <c r="H3775" s="1">
        <v>-6.9071770000000001E-6</v>
      </c>
      <c r="I3775">
        <v>29.618870000000001</v>
      </c>
      <c r="J3775">
        <v>-421.44130000000001</v>
      </c>
      <c r="K3775">
        <v>1.1202639999999999</v>
      </c>
      <c r="L3775">
        <v>36.533329999999999</v>
      </c>
      <c r="M3775">
        <v>0.23965059999999999</v>
      </c>
      <c r="N3775">
        <v>0</v>
      </c>
      <c r="O3775">
        <v>-0.97074799999999895</v>
      </c>
      <c r="P3775">
        <v>0.52732219999999996</v>
      </c>
      <c r="Q3775">
        <v>6.0321699999999999E-2</v>
      </c>
      <c r="R3775">
        <v>-0.84752139999999998</v>
      </c>
      <c r="S3775">
        <v>2.53076199999999</v>
      </c>
      <c r="T3775">
        <v>-0.3098014</v>
      </c>
      <c r="U3775">
        <v>-2.0012509999999999</v>
      </c>
      <c r="V3775">
        <v>-0.31049709999999903</v>
      </c>
      <c r="W3775">
        <v>6.692012E-2</v>
      </c>
      <c r="X3775">
        <v>0.94821580000000005</v>
      </c>
      <c r="Y3775">
        <v>-0.608865199999999</v>
      </c>
      <c r="Z3775">
        <v>0.10061730000000001</v>
      </c>
      <c r="AA3775">
        <v>0.78686679999999998</v>
      </c>
      <c r="AB3775">
        <v>34</v>
      </c>
      <c r="AC3775">
        <v>9.0635000000000296</v>
      </c>
      <c r="AD3775">
        <v>-1.1202709071769901</v>
      </c>
      <c r="AE3775">
        <v>-6.9144599999999903</v>
      </c>
      <c r="AF3775">
        <v>-7.0737788233459904</v>
      </c>
      <c r="AG3775">
        <v>-1.1202709071769901</v>
      </c>
      <c r="AH3775">
        <v>8.8002457536894205</v>
      </c>
      <c r="AI3775">
        <v>95.666318896203904</v>
      </c>
      <c r="AJ3775">
        <v>128.792879715764</v>
      </c>
      <c r="AK3775">
        <v>11.3462627799824</v>
      </c>
    </row>
    <row r="3776" spans="1:37" x14ac:dyDescent="0.2">
      <c r="A3776" t="str">
        <f>"20200111154141533"</f>
        <v>20200111154141533</v>
      </c>
      <c r="B3776" t="str">
        <f>"1578728501529943"</f>
        <v>1578728501529943</v>
      </c>
      <c r="C3776" t="s">
        <v>37</v>
      </c>
      <c r="D3776">
        <v>5.011946</v>
      </c>
      <c r="E3776">
        <v>0.35657129999999998</v>
      </c>
      <c r="F3776" t="s">
        <v>47</v>
      </c>
      <c r="G3776">
        <v>-412.1003</v>
      </c>
      <c r="H3776" s="1">
        <v>-1.000996E-5</v>
      </c>
      <c r="I3776">
        <v>29.305199999999999</v>
      </c>
      <c r="J3776">
        <v>-421.35160000000002</v>
      </c>
      <c r="K3776">
        <v>1.120547</v>
      </c>
      <c r="L3776">
        <v>36.213320000000003</v>
      </c>
      <c r="M3776">
        <v>0.25077470000000002</v>
      </c>
      <c r="N3776">
        <v>0</v>
      </c>
      <c r="O3776">
        <v>-0.96793309999999999</v>
      </c>
      <c r="P3776">
        <v>0.53755459999999899</v>
      </c>
      <c r="Q3776">
        <v>5.9660879999999999E-2</v>
      </c>
      <c r="R3776">
        <v>-0.84111610000000003</v>
      </c>
      <c r="S3776">
        <v>2.5512389999999998</v>
      </c>
      <c r="T3776">
        <v>-0.3059751</v>
      </c>
      <c r="U3776">
        <v>-1.9741819999999899</v>
      </c>
      <c r="V3776">
        <v>-0.31112970000000001</v>
      </c>
      <c r="W3776">
        <v>6.6068009999999996E-2</v>
      </c>
      <c r="X3776">
        <v>0.94806819999999903</v>
      </c>
      <c r="Y3776">
        <v>-0.60815859999999899</v>
      </c>
      <c r="Z3776">
        <v>9.9483340000000003E-2</v>
      </c>
      <c r="AA3776">
        <v>0.78755710000000001</v>
      </c>
      <c r="AB3776">
        <v>34</v>
      </c>
      <c r="AC3776">
        <v>9.2513000000000094</v>
      </c>
      <c r="AD3776">
        <v>-1.12055700996</v>
      </c>
      <c r="AE3776">
        <v>-6.9081200000000003</v>
      </c>
      <c r="AF3776">
        <v>-7.1556438066114199</v>
      </c>
      <c r="AG3776">
        <v>-1.12055700996</v>
      </c>
      <c r="AH3776">
        <v>8.9235183716302107</v>
      </c>
      <c r="AI3776">
        <v>95.595195766379305</v>
      </c>
      <c r="AJ3776">
        <v>128.72563528250799</v>
      </c>
      <c r="AK3776">
        <v>11.4929572534004</v>
      </c>
    </row>
    <row r="3777" spans="1:37" x14ac:dyDescent="0.2">
      <c r="A3777" t="str">
        <f>"20200111154141557"</f>
        <v>20200111154141557</v>
      </c>
      <c r="B3777" t="str">
        <f>"1578728501550439"</f>
        <v>1578728501550439</v>
      </c>
      <c r="C3777" t="s">
        <v>37</v>
      </c>
      <c r="D3777">
        <v>5.0057549999999997</v>
      </c>
      <c r="E3777">
        <v>0.3566127</v>
      </c>
      <c r="F3777" t="s">
        <v>47</v>
      </c>
      <c r="G3777">
        <v>-411.97730000000001</v>
      </c>
      <c r="H3777" s="1">
        <v>-1.0034119999999901E-5</v>
      </c>
      <c r="I3777">
        <v>29.13617</v>
      </c>
      <c r="J3777">
        <v>-421.2525</v>
      </c>
      <c r="K3777">
        <v>1.120851</v>
      </c>
      <c r="L3777">
        <v>35.875639999999997</v>
      </c>
      <c r="M3777">
        <v>0.26291189999999998</v>
      </c>
      <c r="N3777">
        <v>0</v>
      </c>
      <c r="O3777">
        <v>-0.96470610000000001</v>
      </c>
      <c r="P3777">
        <v>0.54842179999999996</v>
      </c>
      <c r="Q3777">
        <v>5.8251810000000001E-2</v>
      </c>
      <c r="R3777">
        <v>-0.83417030000000003</v>
      </c>
      <c r="S3777">
        <v>2.5741879999999999</v>
      </c>
      <c r="T3777">
        <v>-0.30770559999999902</v>
      </c>
      <c r="U3777">
        <v>-1.94339</v>
      </c>
      <c r="V3777">
        <v>-0.31151319999999999</v>
      </c>
      <c r="W3777">
        <v>6.4467330000000003E-2</v>
      </c>
      <c r="X3777">
        <v>0.94805249999999996</v>
      </c>
      <c r="Y3777">
        <v>-0.60754219999999903</v>
      </c>
      <c r="Z3777">
        <v>0.1001325</v>
      </c>
      <c r="AA3777">
        <v>0.7879505</v>
      </c>
      <c r="AB3777">
        <v>34</v>
      </c>
      <c r="AC3777">
        <v>9.2751999999999803</v>
      </c>
      <c r="AD3777">
        <v>-1.12086103412</v>
      </c>
      <c r="AE3777">
        <v>-6.7394699999999998</v>
      </c>
      <c r="AF3777">
        <v>-7.1088004945773697</v>
      </c>
      <c r="AG3777">
        <v>-1.12086103412</v>
      </c>
      <c r="AH3777">
        <v>8.8565035971605095</v>
      </c>
      <c r="AI3777">
        <v>95.636652522938306</v>
      </c>
      <c r="AJ3777">
        <v>128.752773398362</v>
      </c>
      <c r="AK3777">
        <v>11.4117934565969</v>
      </c>
    </row>
    <row r="3778" spans="1:37" x14ac:dyDescent="0.2">
      <c r="A3778" t="str">
        <f>"20200111154141578"</f>
        <v>20200111154141578</v>
      </c>
      <c r="B3778" t="str">
        <f>"1578728501569959"</f>
        <v>1578728501569959</v>
      </c>
      <c r="C3778" t="s">
        <v>37</v>
      </c>
      <c r="D3778">
        <v>4.9797529999999997</v>
      </c>
      <c r="E3778">
        <v>0.3565934</v>
      </c>
      <c r="F3778" t="s">
        <v>47</v>
      </c>
      <c r="G3778">
        <v>-411.89830000000001</v>
      </c>
      <c r="H3778" s="1">
        <v>-1.004665E-5</v>
      </c>
      <c r="I3778">
        <v>29.000809999999898</v>
      </c>
      <c r="J3778">
        <v>-421.15660000000003</v>
      </c>
      <c r="K3778">
        <v>1.1211359999999999</v>
      </c>
      <c r="L3778">
        <v>35.564059999999998</v>
      </c>
      <c r="M3778">
        <v>0.27448400000000001</v>
      </c>
      <c r="N3778">
        <v>0</v>
      </c>
      <c r="O3778">
        <v>-0.96147660000000001</v>
      </c>
      <c r="P3778">
        <v>0.55835249999999903</v>
      </c>
      <c r="Q3778">
        <v>5.7278709999999997E-2</v>
      </c>
      <c r="R3778">
        <v>-0.82762420000000003</v>
      </c>
      <c r="S3778">
        <v>2.5985109999999998</v>
      </c>
      <c r="T3778">
        <v>-0.31136419999999998</v>
      </c>
      <c r="U3778">
        <v>-1.9097599999999999</v>
      </c>
      <c r="V3778">
        <v>-0.31145729999999999</v>
      </c>
      <c r="W3778">
        <v>6.3329070000000001E-2</v>
      </c>
      <c r="X3778">
        <v>0.94814750000000003</v>
      </c>
      <c r="Y3778">
        <v>-0.60806199999999999</v>
      </c>
      <c r="Z3778">
        <v>0.1014108</v>
      </c>
      <c r="AA3778">
        <v>0.78738580000000002</v>
      </c>
      <c r="AB3778">
        <v>34</v>
      </c>
      <c r="AC3778">
        <v>9.2583000000000197</v>
      </c>
      <c r="AD3778">
        <v>-1.1211460466500001</v>
      </c>
      <c r="AE3778">
        <v>-6.56325</v>
      </c>
      <c r="AF3778">
        <v>-7.0322847483479203</v>
      </c>
      <c r="AG3778">
        <v>-1.1211460466500001</v>
      </c>
      <c r="AH3778">
        <v>8.7670823731555192</v>
      </c>
      <c r="AI3778">
        <v>95.696700348071005</v>
      </c>
      <c r="AJ3778">
        <v>128.73392675455099</v>
      </c>
      <c r="AK3778">
        <v>11.294765627380601</v>
      </c>
    </row>
    <row r="3779" spans="1:37" x14ac:dyDescent="0.2">
      <c r="A3779" t="str">
        <f>"20200111154141600"</f>
        <v>20200111154141600</v>
      </c>
      <c r="B3779" t="str">
        <f>"1578728501590455"</f>
        <v>1578728501590455</v>
      </c>
      <c r="C3779" t="s">
        <v>37</v>
      </c>
      <c r="D3779">
        <v>4.9410290000000003</v>
      </c>
      <c r="E3779">
        <v>0.35666569999999997</v>
      </c>
      <c r="F3779" t="s">
        <v>38</v>
      </c>
      <c r="G3779">
        <v>-420.37090000000001</v>
      </c>
      <c r="H3779">
        <v>1.0272859999999999</v>
      </c>
      <c r="I3779">
        <v>35.001269999999998</v>
      </c>
      <c r="J3779">
        <v>-421.05699999999899</v>
      </c>
      <c r="K3779">
        <v>1.1214230000000001</v>
      </c>
      <c r="L3779">
        <v>35.254459999999902</v>
      </c>
      <c r="M3779">
        <v>0.2863367</v>
      </c>
      <c r="N3779">
        <v>0</v>
      </c>
      <c r="O3779">
        <v>-0.95801259999999999</v>
      </c>
      <c r="P3779">
        <v>0.5679303</v>
      </c>
      <c r="Q3779">
        <v>5.5900230000000002E-2</v>
      </c>
      <c r="R3779">
        <v>-0.82117640000000003</v>
      </c>
      <c r="S3779">
        <v>2.621429</v>
      </c>
      <c r="T3779">
        <v>-0.31317009999999901</v>
      </c>
      <c r="U3779">
        <v>-1.877991</v>
      </c>
      <c r="V3779">
        <v>-0.31074770000000002</v>
      </c>
      <c r="W3779">
        <v>6.1808090000000003E-2</v>
      </c>
      <c r="X3779">
        <v>0.94848069999999896</v>
      </c>
      <c r="Y3779">
        <v>-0.6077996</v>
      </c>
      <c r="Z3779">
        <v>0.1020495</v>
      </c>
      <c r="AA3779">
        <v>0.78750589999999998</v>
      </c>
      <c r="AB3779">
        <v>34</v>
      </c>
      <c r="AC3779">
        <v>0.68609999999995297</v>
      </c>
      <c r="AD3779">
        <v>-9.4136999999999901E-2</v>
      </c>
      <c r="AE3779">
        <v>-0.25318999999999597</v>
      </c>
      <c r="AF3779">
        <v>-0.57532747459990996</v>
      </c>
      <c r="AG3779">
        <v>-9.4136999999999901E-2</v>
      </c>
      <c r="AH3779">
        <v>0.43190750609365902</v>
      </c>
      <c r="AI3779">
        <v>97.455006591744507</v>
      </c>
      <c r="AJ3779">
        <v>143.10385834472501</v>
      </c>
      <c r="AK3779">
        <v>0.72553950383046295</v>
      </c>
    </row>
    <row r="3780" spans="1:37" x14ac:dyDescent="0.2">
      <c r="A3780" t="str">
        <f>"20200111154141623"</f>
        <v>20200111154141623</v>
      </c>
      <c r="B3780" t="str">
        <f>"1578728501619735"</f>
        <v>1578728501619735</v>
      </c>
      <c r="C3780" t="s">
        <v>37</v>
      </c>
      <c r="D3780">
        <v>4.8947989999999999</v>
      </c>
      <c r="E3780">
        <v>0.35653679999999999</v>
      </c>
      <c r="F3780" t="s">
        <v>38</v>
      </c>
      <c r="G3780">
        <v>-420.28820000000002</v>
      </c>
      <c r="H3780">
        <v>1.029658</v>
      </c>
      <c r="I3780">
        <v>34.717019999999998</v>
      </c>
      <c r="J3780">
        <v>-420.94909999999999</v>
      </c>
      <c r="K3780">
        <v>1.1217239999999999</v>
      </c>
      <c r="L3780">
        <v>34.93365</v>
      </c>
      <c r="M3780">
        <v>0.29898439999999998</v>
      </c>
      <c r="N3780">
        <v>0</v>
      </c>
      <c r="O3780">
        <v>-0.95413999999999999</v>
      </c>
      <c r="P3780">
        <v>0.57806769999999996</v>
      </c>
      <c r="Q3780">
        <v>5.5578839999999997E-2</v>
      </c>
      <c r="R3780">
        <v>-0.81409390000000004</v>
      </c>
      <c r="S3780">
        <v>2.6430359999999999</v>
      </c>
      <c r="T3780">
        <v>-0.31536750000000002</v>
      </c>
      <c r="U3780">
        <v>-1.8468020000000001</v>
      </c>
      <c r="V3780">
        <v>-0.30999309999999902</v>
      </c>
      <c r="W3780">
        <v>6.1341680000000003E-2</v>
      </c>
      <c r="X3780">
        <v>0.94875789999999904</v>
      </c>
      <c r="Y3780">
        <v>-0.6065294</v>
      </c>
      <c r="Z3780">
        <v>0.1027894</v>
      </c>
      <c r="AA3780">
        <v>0.78838859999999999</v>
      </c>
      <c r="AB3780">
        <v>34</v>
      </c>
      <c r="AC3780">
        <v>0.66089999999996896</v>
      </c>
      <c r="AD3780">
        <v>-9.2065999999999898E-2</v>
      </c>
      <c r="AE3780">
        <v>-0.21663000000000199</v>
      </c>
      <c r="AF3780">
        <v>-0.55614063795429503</v>
      </c>
      <c r="AG3780">
        <v>-9.2065999999999898E-2</v>
      </c>
      <c r="AH3780">
        <v>0.39737646486278799</v>
      </c>
      <c r="AI3780">
        <v>97.671217756955301</v>
      </c>
      <c r="AJ3780">
        <v>144.45323980016599</v>
      </c>
      <c r="AK3780">
        <v>0.68969312912849701</v>
      </c>
    </row>
    <row r="3781" spans="1:37" x14ac:dyDescent="0.2">
      <c r="A3781" t="str">
        <f>"20200111154141646"</f>
        <v>20200111154141646</v>
      </c>
      <c r="B3781" t="str">
        <f>"1578728501640231"</f>
        <v>1578728501640231</v>
      </c>
      <c r="C3781" t="s">
        <v>37</v>
      </c>
      <c r="D3781">
        <v>5.2978309999999897</v>
      </c>
      <c r="E3781">
        <v>0.3570045</v>
      </c>
      <c r="F3781" t="s">
        <v>47</v>
      </c>
      <c r="G3781">
        <v>-411.44990000000001</v>
      </c>
      <c r="H3781" s="1">
        <v>-1.014516E-5</v>
      </c>
      <c r="I3781">
        <v>28.477499999999999</v>
      </c>
      <c r="J3781">
        <v>-420.83819999999997</v>
      </c>
      <c r="K3781">
        <v>1.122017</v>
      </c>
      <c r="L3781">
        <v>34.619750000000003</v>
      </c>
      <c r="M3781">
        <v>0.31175510000000001</v>
      </c>
      <c r="N3781">
        <v>0</v>
      </c>
      <c r="O3781">
        <v>-0.95004279999999997</v>
      </c>
      <c r="P3781">
        <v>0.58818959999999998</v>
      </c>
      <c r="Q3781">
        <v>5.603441E-2</v>
      </c>
      <c r="R3781">
        <v>-0.80677969999999999</v>
      </c>
      <c r="S3781">
        <v>2.66711399999999</v>
      </c>
      <c r="T3781">
        <v>-0.31495269999999997</v>
      </c>
      <c r="U3781">
        <v>-1.8127139999999999</v>
      </c>
      <c r="V3781">
        <v>-0.30918519999999999</v>
      </c>
      <c r="W3781">
        <v>6.1664860000000002E-2</v>
      </c>
      <c r="X3781">
        <v>0.94900049999999903</v>
      </c>
      <c r="Y3781">
        <v>-0.60611309999999996</v>
      </c>
      <c r="Z3781">
        <v>0.1026565</v>
      </c>
      <c r="AA3781">
        <v>0.78872600000000004</v>
      </c>
      <c r="AB3781">
        <v>34</v>
      </c>
      <c r="AC3781">
        <v>9.3882999999999495</v>
      </c>
      <c r="AD3781">
        <v>-1.1220271451599999</v>
      </c>
      <c r="AE3781">
        <v>-6.1422499999999998</v>
      </c>
      <c r="AF3781">
        <v>-6.93583247214002</v>
      </c>
      <c r="AG3781">
        <v>-1.1220271451599999</v>
      </c>
      <c r="AH3781">
        <v>8.6764640807400895</v>
      </c>
      <c r="AI3781">
        <v>95.767944383914497</v>
      </c>
      <c r="AJ3781">
        <v>128.63830474167301</v>
      </c>
      <c r="AK3781">
        <v>11.1644859236975</v>
      </c>
    </row>
    <row r="3782" spans="1:37" x14ac:dyDescent="0.2">
      <c r="A3782" t="str">
        <f>"20200111154141668"</f>
        <v>20200111154141668</v>
      </c>
      <c r="B3782" t="str">
        <f>"1578728501659756"</f>
        <v>1578728501659756</v>
      </c>
      <c r="C3782" t="s">
        <v>37</v>
      </c>
      <c r="D3782">
        <v>5.2550379999999999</v>
      </c>
      <c r="E3782">
        <v>0.428581499999999</v>
      </c>
      <c r="F3782" t="s">
        <v>47</v>
      </c>
      <c r="G3782">
        <v>-411.01949999999999</v>
      </c>
      <c r="H3782" s="1">
        <v>-1.026073E-5</v>
      </c>
      <c r="I3782">
        <v>28.112490000000001</v>
      </c>
      <c r="J3782">
        <v>-420.72019999999998</v>
      </c>
      <c r="K3782">
        <v>1.122296</v>
      </c>
      <c r="L3782">
        <v>34.300229999999999</v>
      </c>
      <c r="M3782">
        <v>0.3250883</v>
      </c>
      <c r="N3782">
        <v>0</v>
      </c>
      <c r="O3782">
        <v>-0.94556209999999996</v>
      </c>
      <c r="P3782">
        <v>0.59819449999999996</v>
      </c>
      <c r="Q3782">
        <v>5.7105870000000003E-2</v>
      </c>
      <c r="R3782">
        <v>-0.79931350000000001</v>
      </c>
      <c r="S3782">
        <v>2.6870419999999999</v>
      </c>
      <c r="T3782">
        <v>-0.30706169999999999</v>
      </c>
      <c r="U3782">
        <v>-1.780823</v>
      </c>
      <c r="V3782">
        <v>-0.30775740000000001</v>
      </c>
      <c r="W3782">
        <v>6.2638070000000004E-2</v>
      </c>
      <c r="X3782">
        <v>0.94940079999999905</v>
      </c>
      <c r="Y3782">
        <v>-0.60437169999999996</v>
      </c>
      <c r="Z3782">
        <v>0.10011050000000001</v>
      </c>
      <c r="AA3782">
        <v>0.79038769999999903</v>
      </c>
      <c r="AB3782">
        <v>34</v>
      </c>
      <c r="AC3782">
        <v>9.7006999999999799</v>
      </c>
      <c r="AD3782">
        <v>-1.1223062607300001</v>
      </c>
      <c r="AE3782">
        <v>-6.18773999999999</v>
      </c>
      <c r="AF3782">
        <v>-7.0943799834768599</v>
      </c>
      <c r="AG3782">
        <v>-1.1223062607300001</v>
      </c>
      <c r="AH3782">
        <v>8.9206410458913492</v>
      </c>
      <c r="AI3782">
        <v>95.623648978456998</v>
      </c>
      <c r="AJ3782">
        <v>128.49442020408901</v>
      </c>
      <c r="AK3782">
        <v>11.452843985773599</v>
      </c>
    </row>
    <row r="3783" spans="1:37" x14ac:dyDescent="0.2">
      <c r="A3783" t="str">
        <f>"20200111154141690"</f>
        <v>20200111154141690</v>
      </c>
      <c r="B3783" t="str">
        <f>"1578728501680247"</f>
        <v>1578728501680247</v>
      </c>
      <c r="C3783" t="s">
        <v>37</v>
      </c>
      <c r="D3783">
        <v>5.1615190000000002</v>
      </c>
      <c r="E3783">
        <v>0.43486649999999999</v>
      </c>
      <c r="F3783" t="s">
        <v>38</v>
      </c>
      <c r="G3783">
        <v>-419.94490000000002</v>
      </c>
      <c r="H3783">
        <v>1.035558</v>
      </c>
      <c r="I3783">
        <v>33.581629999999997</v>
      </c>
      <c r="J3783">
        <v>-420.60559999999998</v>
      </c>
      <c r="K3783">
        <v>1.1225459999999901</v>
      </c>
      <c r="L3783">
        <v>34.002899999999997</v>
      </c>
      <c r="M3783">
        <v>0.33778449999999999</v>
      </c>
      <c r="N3783">
        <v>0</v>
      </c>
      <c r="O3783">
        <v>-0.94110020000000005</v>
      </c>
      <c r="P3783">
        <v>0.60729029999999995</v>
      </c>
      <c r="Q3783">
        <v>5.6752190000000001E-2</v>
      </c>
      <c r="R3783">
        <v>-0.7924504</v>
      </c>
      <c r="S3783">
        <v>2.251862</v>
      </c>
      <c r="T3783">
        <v>-0.25179370000000001</v>
      </c>
      <c r="U3783">
        <v>-2.0859380000000001</v>
      </c>
      <c r="V3783">
        <v>-0.3058498</v>
      </c>
      <c r="W3783">
        <v>6.2223090000000002E-2</v>
      </c>
      <c r="X3783">
        <v>0.95004429999999995</v>
      </c>
      <c r="Y3783">
        <v>-0.45824480000000001</v>
      </c>
      <c r="Z3783">
        <v>8.3681580000000005E-2</v>
      </c>
      <c r="AA3783">
        <v>0.88487800000000005</v>
      </c>
      <c r="AB3783">
        <v>34</v>
      </c>
      <c r="AC3783">
        <v>0.66069999999996298</v>
      </c>
      <c r="AD3783">
        <v>-8.6987999999999802E-2</v>
      </c>
      <c r="AE3783">
        <v>-0.42126999999999898</v>
      </c>
      <c r="AF3783">
        <v>-0.47370408848958101</v>
      </c>
      <c r="AG3783">
        <v>-8.6987999999999802E-2</v>
      </c>
      <c r="AH3783">
        <v>0.61215909208126695</v>
      </c>
      <c r="AI3783">
        <v>96.412117429006798</v>
      </c>
      <c r="AJ3783">
        <v>127.73360484104001</v>
      </c>
      <c r="AK3783">
        <v>0.77891028341748503</v>
      </c>
    </row>
    <row r="3784" spans="1:37" x14ac:dyDescent="0.2">
      <c r="A3784" t="str">
        <f>"20200111154141712"</f>
        <v>20200111154141712</v>
      </c>
      <c r="B3784" t="str">
        <f>"1578728501709528"</f>
        <v>1578728501709528</v>
      </c>
      <c r="C3784" t="s">
        <v>37</v>
      </c>
      <c r="D3784">
        <v>5.1249949999999904</v>
      </c>
      <c r="E3784">
        <v>0.43596170000000001</v>
      </c>
      <c r="F3784" t="s">
        <v>38</v>
      </c>
      <c r="G3784">
        <v>-419.85309999999998</v>
      </c>
      <c r="H3784">
        <v>1.0353760000000001</v>
      </c>
      <c r="I3784">
        <v>33.299399999999999</v>
      </c>
      <c r="J3784">
        <v>-420.48099999999999</v>
      </c>
      <c r="K3784">
        <v>1.122787</v>
      </c>
      <c r="L3784">
        <v>33.693080000000002</v>
      </c>
      <c r="M3784">
        <v>0.35132179999999902</v>
      </c>
      <c r="N3784">
        <v>0</v>
      </c>
      <c r="O3784">
        <v>-0.93612999999999902</v>
      </c>
      <c r="P3784">
        <v>0.61739809999999995</v>
      </c>
      <c r="Q3784">
        <v>5.7053760000000002E-2</v>
      </c>
      <c r="R3784">
        <v>-0.78457959999999904</v>
      </c>
      <c r="S3784">
        <v>2.235992</v>
      </c>
      <c r="T3784">
        <v>-0.25905070000000002</v>
      </c>
      <c r="U3784">
        <v>-2.0907290000000001</v>
      </c>
      <c r="V3784">
        <v>-0.30438179999999998</v>
      </c>
      <c r="W3784">
        <v>6.2450099999999897E-2</v>
      </c>
      <c r="X3784">
        <v>0.95050069999999998</v>
      </c>
      <c r="Y3784">
        <v>-0.4410713</v>
      </c>
      <c r="Z3784">
        <v>8.586974E-2</v>
      </c>
      <c r="AA3784">
        <v>0.89335469999999895</v>
      </c>
      <c r="AB3784">
        <v>34</v>
      </c>
      <c r="AC3784">
        <v>0.627900000000011</v>
      </c>
      <c r="AD3784">
        <v>-8.7410999999999905E-2</v>
      </c>
      <c r="AE3784">
        <v>-0.39368000000000303</v>
      </c>
      <c r="AF3784">
        <v>-0.44337228260077499</v>
      </c>
      <c r="AG3784">
        <v>-8.7410999999999905E-2</v>
      </c>
      <c r="AH3784">
        <v>0.58111536541373299</v>
      </c>
      <c r="AI3784">
        <v>96.819446236373906</v>
      </c>
      <c r="AJ3784">
        <v>127.342463652231</v>
      </c>
      <c r="AK3784">
        <v>0.73614857998882099</v>
      </c>
    </row>
    <row r="3785" spans="1:37" x14ac:dyDescent="0.2">
      <c r="A3785" t="str">
        <f>"20200111154141734"</f>
        <v>20200111154141734</v>
      </c>
      <c r="B3785" t="str">
        <f>"1578728501730022"</f>
        <v>1578728501730022</v>
      </c>
      <c r="C3785" t="s">
        <v>37</v>
      </c>
      <c r="D3785">
        <v>5.1023870000000002</v>
      </c>
      <c r="E3785">
        <v>0.43610719999999997</v>
      </c>
      <c r="F3785" t="s">
        <v>38</v>
      </c>
      <c r="G3785">
        <v>-419.75020000000001</v>
      </c>
      <c r="H3785">
        <v>1.0411170000000001</v>
      </c>
      <c r="I3785">
        <v>33.023400000000002</v>
      </c>
      <c r="J3785">
        <v>-420.35059999999999</v>
      </c>
      <c r="K3785">
        <v>1.1230309999999999</v>
      </c>
      <c r="L3785">
        <v>33.382199999999997</v>
      </c>
      <c r="M3785">
        <v>0.36521490000000001</v>
      </c>
      <c r="N3785">
        <v>0</v>
      </c>
      <c r="O3785">
        <v>-0.93079659999999997</v>
      </c>
      <c r="P3785">
        <v>0.62804910000000003</v>
      </c>
      <c r="Q3785">
        <v>5.7361330000000002E-2</v>
      </c>
      <c r="R3785">
        <v>-0.77605679999999999</v>
      </c>
      <c r="S3785">
        <v>2.2560419999999999</v>
      </c>
      <c r="T3785">
        <v>-0.25205639999999901</v>
      </c>
      <c r="U3785">
        <v>-2.0667110000000002</v>
      </c>
      <c r="V3785">
        <v>-0.30326649999999999</v>
      </c>
      <c r="W3785">
        <v>6.2677120000000003E-2</v>
      </c>
      <c r="X3785">
        <v>0.95084230000000003</v>
      </c>
      <c r="Y3785">
        <v>-0.43700090000000003</v>
      </c>
      <c r="Z3785">
        <v>8.3366120000000002E-2</v>
      </c>
      <c r="AA3785">
        <v>0.89558939999999998</v>
      </c>
      <c r="AB3785">
        <v>34</v>
      </c>
      <c r="AC3785">
        <v>0.60039999999997895</v>
      </c>
      <c r="AD3785">
        <v>-8.1913999999999806E-2</v>
      </c>
      <c r="AE3785">
        <v>-0.35879999999999501</v>
      </c>
      <c r="AF3785">
        <v>-0.42207264184215998</v>
      </c>
      <c r="AG3785">
        <v>-8.1913999999999806E-2</v>
      </c>
      <c r="AH3785">
        <v>0.545823785709453</v>
      </c>
      <c r="AI3785">
        <v>96.770454656257797</v>
      </c>
      <c r="AJ3785">
        <v>127.71393434922</v>
      </c>
      <c r="AK3785">
        <v>0.69482287198524095</v>
      </c>
    </row>
    <row r="3786" spans="1:37" x14ac:dyDescent="0.2">
      <c r="A3786" t="str">
        <f>"20200111154141758"</f>
        <v>20200111154141758</v>
      </c>
      <c r="B3786" t="str">
        <f>"1578728501749542"</f>
        <v>1578728501749542</v>
      </c>
      <c r="C3786" t="s">
        <v>37</v>
      </c>
      <c r="D3786">
        <v>5.0941239999999999</v>
      </c>
      <c r="E3786">
        <v>0.43625940000000002</v>
      </c>
      <c r="F3786" t="s">
        <v>38</v>
      </c>
      <c r="G3786">
        <v>-419.6388</v>
      </c>
      <c r="H3786">
        <v>1.0454490000000001</v>
      </c>
      <c r="I3786">
        <v>32.747439999999997</v>
      </c>
      <c r="J3786">
        <v>-420.21589999999998</v>
      </c>
      <c r="K3786">
        <v>1.1232739999999899</v>
      </c>
      <c r="L3786">
        <v>33.074370000000002</v>
      </c>
      <c r="M3786">
        <v>0.37927870000000002</v>
      </c>
      <c r="N3786">
        <v>0</v>
      </c>
      <c r="O3786">
        <v>-0.92515369999999997</v>
      </c>
      <c r="P3786">
        <v>0.63856359999999901</v>
      </c>
      <c r="Q3786">
        <v>5.6858949999999998E-2</v>
      </c>
      <c r="R3786">
        <v>-0.76746579999999998</v>
      </c>
      <c r="S3786">
        <v>2.28353899999999</v>
      </c>
      <c r="T3786">
        <v>-0.24886420000000001</v>
      </c>
      <c r="U3786">
        <v>-2.036041</v>
      </c>
      <c r="V3786">
        <v>-0.30181959999999902</v>
      </c>
      <c r="W3786">
        <v>6.2112199999999902E-2</v>
      </c>
      <c r="X3786">
        <v>0.95133959999999995</v>
      </c>
      <c r="Y3786">
        <v>-0.43551509999999999</v>
      </c>
      <c r="Z3786">
        <v>8.2100919999999994E-2</v>
      </c>
      <c r="AA3786">
        <v>0.89642960000000005</v>
      </c>
      <c r="AB3786">
        <v>34</v>
      </c>
      <c r="AC3786">
        <v>0.57709999999997297</v>
      </c>
      <c r="AD3786">
        <v>-7.7824999999999797E-2</v>
      </c>
      <c r="AE3786">
        <v>-0.326929999999997</v>
      </c>
      <c r="AF3786">
        <v>-0.40438999997498198</v>
      </c>
      <c r="AG3786">
        <v>-7.7824999999999797E-2</v>
      </c>
      <c r="AH3786">
        <v>0.51432338701550995</v>
      </c>
      <c r="AI3786">
        <v>96.783497446293097</v>
      </c>
      <c r="AJ3786">
        <v>128.17642258436899</v>
      </c>
      <c r="AK3786">
        <v>0.65887521514765801</v>
      </c>
    </row>
    <row r="3787" spans="1:37" x14ac:dyDescent="0.2">
      <c r="A3787" t="str">
        <f>"20200111154141779"</f>
        <v>20200111154141779</v>
      </c>
      <c r="B3787" t="str">
        <f>"1578728501770039"</f>
        <v>1578728501770039</v>
      </c>
      <c r="C3787" t="s">
        <v>37</v>
      </c>
      <c r="D3787">
        <v>5.0852559999999896</v>
      </c>
      <c r="E3787">
        <v>0.43656840000000002</v>
      </c>
      <c r="F3787" t="s">
        <v>38</v>
      </c>
      <c r="G3787">
        <v>-419.47300000000001</v>
      </c>
      <c r="H3787">
        <v>1.043474</v>
      </c>
      <c r="I3787">
        <v>32.429729999999999</v>
      </c>
      <c r="J3787">
        <v>-420.0838</v>
      </c>
      <c r="K3787">
        <v>1.1234919999999999</v>
      </c>
      <c r="L3787">
        <v>32.784729999999897</v>
      </c>
      <c r="M3787">
        <v>0.39279540000000002</v>
      </c>
      <c r="N3787">
        <v>0</v>
      </c>
      <c r="O3787">
        <v>-0.91949530000000002</v>
      </c>
      <c r="P3787">
        <v>0.64928350000000001</v>
      </c>
      <c r="Q3787">
        <v>5.7257759999999998E-2</v>
      </c>
      <c r="R3787">
        <v>-0.75838809999999901</v>
      </c>
      <c r="S3787">
        <v>2.3108219999999999</v>
      </c>
      <c r="T3787">
        <v>-0.24816859999999999</v>
      </c>
      <c r="U3787">
        <v>-2.0046390000000001</v>
      </c>
      <c r="V3787">
        <v>-0.30130600000000002</v>
      </c>
      <c r="W3787">
        <v>6.2425359999999999E-2</v>
      </c>
      <c r="X3787">
        <v>0.95148189999999999</v>
      </c>
      <c r="Y3787">
        <v>-0.4345464</v>
      </c>
      <c r="Z3787">
        <v>8.1656370000000006E-2</v>
      </c>
      <c r="AA3787">
        <v>0.89694019999999997</v>
      </c>
      <c r="AB3787">
        <v>34</v>
      </c>
      <c r="AC3787">
        <v>0.61079999999998302</v>
      </c>
      <c r="AD3787">
        <v>-8.0017999999999895E-2</v>
      </c>
      <c r="AE3787">
        <v>-0.35499999999999599</v>
      </c>
      <c r="AF3787">
        <v>-0.41688789312248598</v>
      </c>
      <c r="AG3787">
        <v>-8.0017999999999895E-2</v>
      </c>
      <c r="AH3787">
        <v>0.55923397554073595</v>
      </c>
      <c r="AI3787">
        <v>96.5442146203211</v>
      </c>
      <c r="AJ3787">
        <v>126.703143752031</v>
      </c>
      <c r="AK3787">
        <v>0.70209759660263904</v>
      </c>
    </row>
    <row r="3788" spans="1:37" x14ac:dyDescent="0.2">
      <c r="A3788" t="str">
        <f>"20200111154141802"</f>
        <v>20200111154141802</v>
      </c>
      <c r="B3788" t="str">
        <f>"1578728501789559"</f>
        <v>1578728501789559</v>
      </c>
      <c r="C3788" t="s">
        <v>37</v>
      </c>
      <c r="D3788">
        <v>5.1155809999999997</v>
      </c>
      <c r="E3788">
        <v>0.43651419999999902</v>
      </c>
      <c r="F3788" t="s">
        <v>47</v>
      </c>
      <c r="G3788">
        <v>-409.39069999999998</v>
      </c>
      <c r="H3788" s="1">
        <v>-2.1298610000000001E-6</v>
      </c>
      <c r="I3788">
        <v>23.758310000000002</v>
      </c>
      <c r="J3788">
        <v>-419.94310000000002</v>
      </c>
      <c r="K3788">
        <v>1.1237189999999999</v>
      </c>
      <c r="L3788">
        <v>32.488370000000003</v>
      </c>
      <c r="M3788">
        <v>0.40690270000000001</v>
      </c>
      <c r="N3788">
        <v>0</v>
      </c>
      <c r="O3788">
        <v>-0.91333869999999895</v>
      </c>
      <c r="P3788">
        <v>0.66142089999999998</v>
      </c>
      <c r="Q3788">
        <v>5.7686050000000003E-2</v>
      </c>
      <c r="R3788">
        <v>-0.74779319999999905</v>
      </c>
      <c r="S3788">
        <v>2.3374630000000001</v>
      </c>
      <c r="T3788">
        <v>-0.24559210000000001</v>
      </c>
      <c r="U3788">
        <v>-1.9731449999999999</v>
      </c>
      <c r="V3788">
        <v>-0.3020584</v>
      </c>
      <c r="W3788">
        <v>6.2721360000000004E-2</v>
      </c>
      <c r="X3788">
        <v>0.95122379999999995</v>
      </c>
      <c r="Y3788">
        <v>-0.43285379999999901</v>
      </c>
      <c r="Z3788">
        <v>8.0554619999999993E-2</v>
      </c>
      <c r="AA3788">
        <v>0.89785780000000004</v>
      </c>
      <c r="AB3788">
        <v>34</v>
      </c>
      <c r="AC3788">
        <v>10.5524</v>
      </c>
      <c r="AD3788">
        <v>-1.1237211298609999</v>
      </c>
      <c r="AE3788">
        <v>-8.7300599999999999</v>
      </c>
      <c r="AF3788">
        <v>-6.0456677038091797</v>
      </c>
      <c r="AG3788">
        <v>-1.1237211298609999</v>
      </c>
      <c r="AH3788">
        <v>12.186745810458101</v>
      </c>
      <c r="AI3788">
        <v>94.722065275656902</v>
      </c>
      <c r="AJ3788">
        <v>116.38534221735</v>
      </c>
      <c r="AK3788">
        <v>13.650260825760601</v>
      </c>
    </row>
    <row r="3789" spans="1:37" x14ac:dyDescent="0.2">
      <c r="A3789" t="str">
        <f>"20200111154141824"</f>
        <v>20200111154141824</v>
      </c>
      <c r="B3789" t="str">
        <f>"1578728501819815"</f>
        <v>1578728501819815</v>
      </c>
      <c r="C3789" t="s">
        <v>37</v>
      </c>
      <c r="D3789">
        <v>5.086087</v>
      </c>
      <c r="E3789">
        <v>0.43641049999999998</v>
      </c>
      <c r="F3789" t="s">
        <v>47</v>
      </c>
      <c r="G3789">
        <v>-409.08370000000002</v>
      </c>
      <c r="H3789" s="1">
        <v>-2.2809549999999899E-6</v>
      </c>
      <c r="I3789">
        <v>23.620629999999998</v>
      </c>
      <c r="J3789">
        <v>-419.79500000000002</v>
      </c>
      <c r="K3789">
        <v>1.1239399999999999</v>
      </c>
      <c r="L3789">
        <v>32.189360000000001</v>
      </c>
      <c r="M3789">
        <v>0.42144340000000002</v>
      </c>
      <c r="N3789">
        <v>0</v>
      </c>
      <c r="O3789">
        <v>-0.90671970000000002</v>
      </c>
      <c r="P3789">
        <v>0.67355209999999999</v>
      </c>
      <c r="Q3789">
        <v>5.7032979999999997E-2</v>
      </c>
      <c r="R3789">
        <v>-0.73693629999999999</v>
      </c>
      <c r="S3789">
        <v>2.3694759999999899</v>
      </c>
      <c r="T3789">
        <v>-0.2451913</v>
      </c>
      <c r="U3789">
        <v>-1.934906</v>
      </c>
      <c r="V3789">
        <v>-0.30239899999999997</v>
      </c>
      <c r="W3789">
        <v>6.195515E-2</v>
      </c>
      <c r="X3789">
        <v>0.95116579999999995</v>
      </c>
      <c r="Y3789">
        <v>-0.43311809999999901</v>
      </c>
      <c r="Z3789">
        <v>8.0161499999999997E-2</v>
      </c>
      <c r="AA3789">
        <v>0.89776549999999999</v>
      </c>
      <c r="AB3789">
        <v>34</v>
      </c>
      <c r="AC3789">
        <v>10.7112999999999</v>
      </c>
      <c r="AD3789">
        <v>-1.1239422809549999</v>
      </c>
      <c r="AE3789">
        <v>-8.5687300000000004</v>
      </c>
      <c r="AF3789">
        <v>-6.0609665865524702</v>
      </c>
      <c r="AG3789">
        <v>-1.1239422809549999</v>
      </c>
      <c r="AH3789">
        <v>12.2032164173678</v>
      </c>
      <c r="AI3789">
        <v>94.715552445074906</v>
      </c>
      <c r="AJ3789">
        <v>116.412193503609</v>
      </c>
      <c r="AK3789">
        <v>13.671761157339599</v>
      </c>
    </row>
    <row r="3790" spans="1:37" x14ac:dyDescent="0.2">
      <c r="A3790" t="str">
        <f>"20200111154141838"</f>
        <v>20200111154141838</v>
      </c>
      <c r="B3790" t="str">
        <f>"1578728501829579"</f>
        <v>1578728501829579</v>
      </c>
      <c r="C3790" t="s">
        <v>37</v>
      </c>
      <c r="D3790">
        <v>5.0998989999999997</v>
      </c>
      <c r="E3790">
        <v>0.43652360000000001</v>
      </c>
      <c r="F3790" t="s">
        <v>38</v>
      </c>
      <c r="G3790">
        <v>-418.92759999999998</v>
      </c>
      <c r="H3790">
        <v>1.0349820000000001</v>
      </c>
      <c r="I3790">
        <v>31.504549999999998</v>
      </c>
      <c r="J3790">
        <v>-419.69779999999997</v>
      </c>
      <c r="K3790">
        <v>1.1240779999999999</v>
      </c>
      <c r="L3790">
        <v>31.999970000000001</v>
      </c>
      <c r="M3790">
        <v>0.4308149</v>
      </c>
      <c r="N3790">
        <v>0</v>
      </c>
      <c r="O3790">
        <v>-0.90230359999999998</v>
      </c>
      <c r="P3790">
        <v>0.68100530000000004</v>
      </c>
      <c r="Q3790">
        <v>5.6730669999999997E-2</v>
      </c>
      <c r="R3790">
        <v>-0.73007769999999905</v>
      </c>
      <c r="S3790">
        <v>2.4018549999999999</v>
      </c>
      <c r="T3790">
        <v>-0.2461614</v>
      </c>
      <c r="U3790">
        <v>-1.894714</v>
      </c>
      <c r="V3790">
        <v>-0.3022125</v>
      </c>
      <c r="W3790">
        <v>6.1598689999999998E-2</v>
      </c>
      <c r="X3790">
        <v>0.95124819999999999</v>
      </c>
      <c r="Y3790">
        <v>-0.43890410000000002</v>
      </c>
      <c r="Z3790">
        <v>8.0410300000000004E-2</v>
      </c>
      <c r="AA3790">
        <v>0.89492870000000002</v>
      </c>
      <c r="AB3790">
        <v>33</v>
      </c>
      <c r="AC3790">
        <v>0.77019999999998801</v>
      </c>
      <c r="AD3790">
        <v>-8.9095999999999995E-2</v>
      </c>
      <c r="AE3790">
        <v>-0.49542000000000203</v>
      </c>
      <c r="AF3790">
        <v>-0.47706375975725301</v>
      </c>
      <c r="AG3790">
        <v>-8.9095999999999995E-2</v>
      </c>
      <c r="AH3790">
        <v>0.77162529114654299</v>
      </c>
      <c r="AI3790">
        <v>95.609079827421695</v>
      </c>
      <c r="AJ3790">
        <v>121.726774358276</v>
      </c>
      <c r="AK3790">
        <v>0.91155554851402998</v>
      </c>
    </row>
    <row r="3791" spans="1:37" x14ac:dyDescent="0.2">
      <c r="A3791" t="str">
        <f>"20200111154141852"</f>
        <v>20200111154141852</v>
      </c>
      <c r="B3791" t="str">
        <f>"1578728501840313"</f>
        <v>1578728501840313</v>
      </c>
      <c r="C3791" t="s">
        <v>37</v>
      </c>
      <c r="D3791">
        <v>5.1042239999999897</v>
      </c>
      <c r="E3791">
        <v>0.43668620000000002</v>
      </c>
      <c r="F3791" t="s">
        <v>38</v>
      </c>
      <c r="G3791">
        <v>-418.91149999999999</v>
      </c>
      <c r="H3791">
        <v>1.0438479999999899</v>
      </c>
      <c r="I3791">
        <v>31.392009999999999</v>
      </c>
      <c r="J3791">
        <v>-419.60930000000002</v>
      </c>
      <c r="K3791">
        <v>1.1241969999999999</v>
      </c>
      <c r="L3791">
        <v>31.831909999999901</v>
      </c>
      <c r="M3791">
        <v>0.4392218</v>
      </c>
      <c r="N3791">
        <v>0</v>
      </c>
      <c r="O3791">
        <v>-0.89824079999999995</v>
      </c>
      <c r="P3791">
        <v>0.68762760000000001</v>
      </c>
      <c r="Q3791">
        <v>5.6245860000000002E-2</v>
      </c>
      <c r="R3791">
        <v>-0.72388200000000003</v>
      </c>
      <c r="S3791">
        <v>2.4208069999999999</v>
      </c>
      <c r="T3791">
        <v>-0.24683449999999901</v>
      </c>
      <c r="U3791">
        <v>-1.870209</v>
      </c>
      <c r="V3791">
        <v>-0.30198190000000003</v>
      </c>
      <c r="W3791">
        <v>6.1073250000000003E-2</v>
      </c>
      <c r="X3791">
        <v>0.95135530000000001</v>
      </c>
      <c r="Y3791">
        <v>-0.43957360000000001</v>
      </c>
      <c r="Z3791">
        <v>8.0477409999999999E-2</v>
      </c>
      <c r="AA3791">
        <v>0.89459409999999895</v>
      </c>
      <c r="AB3791">
        <v>33</v>
      </c>
      <c r="AC3791">
        <v>0.69780000000002895</v>
      </c>
      <c r="AD3791">
        <v>-8.0349000000000004E-2</v>
      </c>
      <c r="AE3791">
        <v>-0.43989999999999801</v>
      </c>
      <c r="AF3791">
        <v>-0.42955684305316999</v>
      </c>
      <c r="AG3791">
        <v>-8.0349000000000004E-2</v>
      </c>
      <c r="AH3791">
        <v>0.695116759533422</v>
      </c>
      <c r="AI3791">
        <v>95.615862432411703</v>
      </c>
      <c r="AJ3791">
        <v>121.714555308038</v>
      </c>
      <c r="AK3791">
        <v>0.82107390203260699</v>
      </c>
    </row>
    <row r="3792" spans="1:37" x14ac:dyDescent="0.2">
      <c r="A3792" t="str">
        <f>"20200111154141868"</f>
        <v>20200111154141868</v>
      </c>
      <c r="B3792" t="str">
        <f>"1578728501859831"</f>
        <v>1578728501859831</v>
      </c>
      <c r="C3792" t="s">
        <v>37</v>
      </c>
      <c r="D3792">
        <v>5.1137160000000002</v>
      </c>
      <c r="E3792">
        <v>0.43696990000000002</v>
      </c>
      <c r="F3792" t="s">
        <v>38</v>
      </c>
      <c r="G3792">
        <v>-418.81659999999999</v>
      </c>
      <c r="H3792">
        <v>1.0438069999999999</v>
      </c>
      <c r="I3792">
        <v>31.23039</v>
      </c>
      <c r="J3792">
        <v>-419.49329999999998</v>
      </c>
      <c r="K3792">
        <v>1.124341</v>
      </c>
      <c r="L3792">
        <v>31.616489999999999</v>
      </c>
      <c r="M3792">
        <v>0.45009539999999998</v>
      </c>
      <c r="N3792">
        <v>0</v>
      </c>
      <c r="O3792">
        <v>-0.89284069999999904</v>
      </c>
      <c r="P3792">
        <v>0.69637179999999999</v>
      </c>
      <c r="Q3792">
        <v>5.6385169999999998E-2</v>
      </c>
      <c r="R3792">
        <v>-0.71546259999999995</v>
      </c>
      <c r="S3792">
        <v>2.4368289999999999</v>
      </c>
      <c r="T3792">
        <v>-0.2470687</v>
      </c>
      <c r="U3792">
        <v>-1.8486939999999901</v>
      </c>
      <c r="V3792">
        <v>-0.30202399999999902</v>
      </c>
      <c r="W3792">
        <v>6.11494E-2</v>
      </c>
      <c r="X3792">
        <v>0.95133709999999905</v>
      </c>
      <c r="Y3792">
        <v>-0.43652550000000001</v>
      </c>
      <c r="Z3792">
        <v>8.0267370000000005E-2</v>
      </c>
      <c r="AA3792">
        <v>0.89610419999999902</v>
      </c>
      <c r="AB3792">
        <v>33</v>
      </c>
      <c r="AC3792">
        <v>0.67669999999998198</v>
      </c>
      <c r="AD3792">
        <v>-8.0534000000000106E-2</v>
      </c>
      <c r="AE3792">
        <v>-0.386099999999998</v>
      </c>
      <c r="AF3792">
        <v>-0.425906405285916</v>
      </c>
      <c r="AG3792">
        <v>-8.0534000000000106E-2</v>
      </c>
      <c r="AH3792">
        <v>0.64252109680866798</v>
      </c>
      <c r="AI3792">
        <v>95.964199182865798</v>
      </c>
      <c r="AJ3792">
        <v>123.539107478487</v>
      </c>
      <c r="AK3792">
        <v>0.77505828881690297</v>
      </c>
    </row>
    <row r="3793" spans="1:37" x14ac:dyDescent="0.2">
      <c r="A3793" t="str">
        <f>"20200111154141882"</f>
        <v>20200111154141882</v>
      </c>
      <c r="B3793" t="str">
        <f>"1578728501869591"</f>
        <v>1578728501869591</v>
      </c>
      <c r="C3793" t="s">
        <v>37</v>
      </c>
      <c r="D3793">
        <v>5.1005519999999898</v>
      </c>
      <c r="E3793">
        <v>0.4370714</v>
      </c>
      <c r="F3793" t="s">
        <v>38</v>
      </c>
      <c r="G3793">
        <v>-418.65539999999999</v>
      </c>
      <c r="H3793">
        <v>1.0405690000000001</v>
      </c>
      <c r="I3793">
        <v>30.995799999999999</v>
      </c>
      <c r="J3793">
        <v>-419.3965</v>
      </c>
      <c r="K3793">
        <v>1.1244620000000001</v>
      </c>
      <c r="L3793">
        <v>31.440770000000001</v>
      </c>
      <c r="M3793">
        <v>0.45904989999999901</v>
      </c>
      <c r="N3793">
        <v>0</v>
      </c>
      <c r="O3793">
        <v>-0.88826939999999999</v>
      </c>
      <c r="P3793">
        <v>0.70358149999999997</v>
      </c>
      <c r="Q3793">
        <v>5.6239409999999997E-2</v>
      </c>
      <c r="R3793">
        <v>-0.70838579999999995</v>
      </c>
      <c r="S3793">
        <v>2.4578250000000001</v>
      </c>
      <c r="T3793">
        <v>-0.24567449999999999</v>
      </c>
      <c r="U3793">
        <v>-1.8202209999999901</v>
      </c>
      <c r="V3793">
        <v>-0.30210159999999903</v>
      </c>
      <c r="W3793">
        <v>6.095188E-2</v>
      </c>
      <c r="X3793">
        <v>0.95132510000000003</v>
      </c>
      <c r="Y3793">
        <v>-0.43788840000000001</v>
      </c>
      <c r="Z3793">
        <v>7.9653550000000004E-2</v>
      </c>
      <c r="AA3793">
        <v>0.89549369999999995</v>
      </c>
      <c r="AB3793">
        <v>33</v>
      </c>
      <c r="AC3793">
        <v>0.74110000000001697</v>
      </c>
      <c r="AD3793">
        <v>-8.3892999999999995E-2</v>
      </c>
      <c r="AE3793">
        <v>-0.44497000000000098</v>
      </c>
      <c r="AF3793">
        <v>-0.449852830206943</v>
      </c>
      <c r="AG3793">
        <v>-8.3892999999999995E-2</v>
      </c>
      <c r="AH3793">
        <v>0.72868393260956799</v>
      </c>
      <c r="AI3793">
        <v>95.595124634803994</v>
      </c>
      <c r="AJ3793">
        <v>121.68909669096099</v>
      </c>
      <c r="AK3793">
        <v>0.86045678446830898</v>
      </c>
    </row>
    <row r="3794" spans="1:37" x14ac:dyDescent="0.2">
      <c r="A3794" t="str">
        <f>"20200111154141896"</f>
        <v>20200111154141896</v>
      </c>
      <c r="B3794" t="str">
        <f>"1578728501890088"</f>
        <v>1578728501890088</v>
      </c>
      <c r="C3794" t="s">
        <v>37</v>
      </c>
      <c r="D3794">
        <v>5.1307859999999996</v>
      </c>
      <c r="E3794">
        <v>0.43739489999999998</v>
      </c>
      <c r="F3794" t="s">
        <v>47</v>
      </c>
      <c r="G3794">
        <v>-408.08190000000002</v>
      </c>
      <c r="H3794" s="1">
        <v>-2.7881090000000001E-6</v>
      </c>
      <c r="I3794">
        <v>23.234479999999898</v>
      </c>
      <c r="J3794">
        <v>-419.28980000000001</v>
      </c>
      <c r="K3794">
        <v>1.1245780000000001</v>
      </c>
      <c r="L3794">
        <v>31.253779999999999</v>
      </c>
      <c r="M3794">
        <v>0.46872649999999999</v>
      </c>
      <c r="N3794">
        <v>0</v>
      </c>
      <c r="O3794">
        <v>-0.88320049999999894</v>
      </c>
      <c r="P3794">
        <v>0.7112482</v>
      </c>
      <c r="Q3794">
        <v>5.6090439999999998E-2</v>
      </c>
      <c r="R3794">
        <v>-0.70069939999999997</v>
      </c>
      <c r="S3794">
        <v>2.475708</v>
      </c>
      <c r="T3794">
        <v>-0.24604090000000001</v>
      </c>
      <c r="U3794">
        <v>-1.795593</v>
      </c>
      <c r="V3794">
        <v>-0.3020698</v>
      </c>
      <c r="W3794">
        <v>6.0756749999999998E-2</v>
      </c>
      <c r="X3794">
        <v>0.95134769999999902</v>
      </c>
      <c r="Y3794">
        <v>-0.43698769999999998</v>
      </c>
      <c r="Z3794">
        <v>7.9529199999999994E-2</v>
      </c>
      <c r="AA3794">
        <v>0.89594470000000004</v>
      </c>
      <c r="AB3794">
        <v>33</v>
      </c>
      <c r="AC3794">
        <v>11.207899999999899</v>
      </c>
      <c r="AD3794">
        <v>-1.124580788109</v>
      </c>
      <c r="AE3794">
        <v>-8.0192999999999994</v>
      </c>
      <c r="AF3794">
        <v>-6.1001197811659296</v>
      </c>
      <c r="AG3794">
        <v>-1.124580788109</v>
      </c>
      <c r="AH3794">
        <v>12.256035697875101</v>
      </c>
      <c r="AI3794">
        <v>94.696011581065804</v>
      </c>
      <c r="AJ3794">
        <v>116.460619595518</v>
      </c>
      <c r="AK3794">
        <v>13.736322445296</v>
      </c>
    </row>
    <row r="3795" spans="1:37" x14ac:dyDescent="0.2">
      <c r="A3795" t="str">
        <f>"20200111154141914"</f>
        <v>20200111154141914</v>
      </c>
      <c r="B3795" t="str">
        <f>"1578728501909607"</f>
        <v>1578728501909607</v>
      </c>
      <c r="C3795" t="s">
        <v>37</v>
      </c>
      <c r="D3795">
        <v>5.0804460000000002</v>
      </c>
      <c r="E3795">
        <v>0.43781829999999999</v>
      </c>
      <c r="F3795" t="s">
        <v>38</v>
      </c>
      <c r="G3795">
        <v>-418.48509999999999</v>
      </c>
      <c r="H3795">
        <v>1.045285</v>
      </c>
      <c r="I3795">
        <v>30.682600000000001</v>
      </c>
      <c r="J3795">
        <v>-419.16579999999999</v>
      </c>
      <c r="K3795">
        <v>1.124708</v>
      </c>
      <c r="L3795">
        <v>31.041629999999898</v>
      </c>
      <c r="M3795">
        <v>0.47980299999999998</v>
      </c>
      <c r="N3795">
        <v>0</v>
      </c>
      <c r="O3795">
        <v>-0.87723150000000005</v>
      </c>
      <c r="P3795">
        <v>0.71958699999999998</v>
      </c>
      <c r="Q3795">
        <v>5.5084889999999997E-2</v>
      </c>
      <c r="R3795">
        <v>-0.692214</v>
      </c>
      <c r="S3795">
        <v>2.493347</v>
      </c>
      <c r="T3795">
        <v>-0.24572279999999999</v>
      </c>
      <c r="U3795">
        <v>-1.7702329999999999</v>
      </c>
      <c r="V3795">
        <v>-0.3014366</v>
      </c>
      <c r="W3795">
        <v>5.9725309999999997E-2</v>
      </c>
      <c r="X3795">
        <v>0.95161379999999995</v>
      </c>
      <c r="Y3795">
        <v>-0.43474679999999999</v>
      </c>
      <c r="Z3795">
        <v>7.9115790000000005E-2</v>
      </c>
      <c r="AA3795">
        <v>0.89707079999999995</v>
      </c>
      <c r="AB3795">
        <v>33</v>
      </c>
      <c r="AC3795">
        <v>0.68070000000000097</v>
      </c>
      <c r="AD3795">
        <v>-7.9422999999999994E-2</v>
      </c>
      <c r="AE3795">
        <v>-0.35902999999999702</v>
      </c>
      <c r="AF3795">
        <v>-0.42044369639814899</v>
      </c>
      <c r="AG3795">
        <v>-7.9422999999999994E-2</v>
      </c>
      <c r="AH3795">
        <v>0.63487387360263303</v>
      </c>
      <c r="AI3795">
        <v>95.954539361839196</v>
      </c>
      <c r="AJ3795">
        <v>123.514421600741</v>
      </c>
      <c r="AK3795">
        <v>0.76560156096572296</v>
      </c>
    </row>
    <row r="3796" spans="1:37" x14ac:dyDescent="0.2">
      <c r="A3796" t="str">
        <f>"20200111154141927"</f>
        <v>20200111154141927</v>
      </c>
      <c r="B3796" t="str">
        <f>"1578728501920343"</f>
        <v>1578728501920343</v>
      </c>
      <c r="C3796" t="s">
        <v>37</v>
      </c>
      <c r="D3796">
        <v>5.0791129999999898</v>
      </c>
      <c r="E3796">
        <v>0.43805139999999998</v>
      </c>
      <c r="F3796" t="s">
        <v>38</v>
      </c>
      <c r="G3796">
        <v>-418.36950000000002</v>
      </c>
      <c r="H3796">
        <v>1.046192</v>
      </c>
      <c r="I3796">
        <v>30.489179999999902</v>
      </c>
      <c r="J3796">
        <v>-419.06540000000001</v>
      </c>
      <c r="K3796">
        <v>1.124808</v>
      </c>
      <c r="L3796">
        <v>30.873840000000001</v>
      </c>
      <c r="M3796">
        <v>0.48863309999999999</v>
      </c>
      <c r="N3796">
        <v>0</v>
      </c>
      <c r="O3796">
        <v>-0.87234319999999899</v>
      </c>
      <c r="P3796">
        <v>0.72635559999999999</v>
      </c>
      <c r="Q3796">
        <v>5.5222010000000002E-2</v>
      </c>
      <c r="R3796">
        <v>-0.68509739999999997</v>
      </c>
      <c r="S3796">
        <v>2.5119929999999999</v>
      </c>
      <c r="T3796">
        <v>-0.24763660000000001</v>
      </c>
      <c r="U3796">
        <v>-1.7422789999999999</v>
      </c>
      <c r="V3796">
        <v>-0.30121049999999999</v>
      </c>
      <c r="W3796">
        <v>5.983335E-2</v>
      </c>
      <c r="X3796">
        <v>0.95167860000000004</v>
      </c>
      <c r="Y3796">
        <v>-0.4354826</v>
      </c>
      <c r="Z3796">
        <v>7.9536140000000005E-2</v>
      </c>
      <c r="AA3796">
        <v>0.89667659999999905</v>
      </c>
      <c r="AB3796">
        <v>33</v>
      </c>
      <c r="AC3796">
        <v>0.69589999999999397</v>
      </c>
      <c r="AD3796">
        <v>-7.8616000000000005E-2</v>
      </c>
      <c r="AE3796">
        <v>-0.384660000000003</v>
      </c>
      <c r="AF3796">
        <v>-0.41510164413872003</v>
      </c>
      <c r="AG3796">
        <v>-7.8616000000000005E-2</v>
      </c>
      <c r="AH3796">
        <v>0.66914028266023495</v>
      </c>
      <c r="AI3796">
        <v>95.701388374321496</v>
      </c>
      <c r="AJ3796">
        <v>121.813424954609</v>
      </c>
      <c r="AK3796">
        <v>0.79135236671238196</v>
      </c>
    </row>
    <row r="3797" spans="1:37" x14ac:dyDescent="0.2">
      <c r="A3797" t="str">
        <f>"20200111154141939"</f>
        <v>20200111154141939</v>
      </c>
      <c r="B3797" t="str">
        <f>"1578728501930104"</f>
        <v>1578728501930104</v>
      </c>
      <c r="C3797" t="s">
        <v>37</v>
      </c>
      <c r="D3797">
        <v>5.0977230000000002</v>
      </c>
      <c r="E3797">
        <v>0.43829200000000001</v>
      </c>
      <c r="F3797" t="s">
        <v>38</v>
      </c>
      <c r="G3797">
        <v>-418.18979999999999</v>
      </c>
      <c r="H3797">
        <v>1.039323</v>
      </c>
      <c r="I3797">
        <v>30.27824</v>
      </c>
      <c r="J3797">
        <v>-418.96429999999998</v>
      </c>
      <c r="K3797">
        <v>1.1249039999999999</v>
      </c>
      <c r="L3797">
        <v>30.708679999999902</v>
      </c>
      <c r="M3797">
        <v>0.497399799999999</v>
      </c>
      <c r="N3797">
        <v>0</v>
      </c>
      <c r="O3797">
        <v>-0.86737369999999903</v>
      </c>
      <c r="P3797">
        <v>0.7328095</v>
      </c>
      <c r="Q3797">
        <v>5.5463360000000003E-2</v>
      </c>
      <c r="R3797">
        <v>-0.67816969999999899</v>
      </c>
      <c r="S3797">
        <v>2.5277400000000001</v>
      </c>
      <c r="T3797">
        <v>-0.24672729999999901</v>
      </c>
      <c r="U3797">
        <v>-1.7188110000000001</v>
      </c>
      <c r="V3797">
        <v>-0.30066409999999999</v>
      </c>
      <c r="W3797">
        <v>6.0060879999999997E-2</v>
      </c>
      <c r="X3797">
        <v>0.95183709999999899</v>
      </c>
      <c r="Y3797">
        <v>-0.43473859999999998</v>
      </c>
      <c r="Z3797">
        <v>7.8999189999999997E-2</v>
      </c>
      <c r="AA3797">
        <v>0.89708500000000002</v>
      </c>
      <c r="AB3797">
        <v>33</v>
      </c>
      <c r="AC3797">
        <v>0.77449999999998898</v>
      </c>
      <c r="AD3797">
        <v>-8.5581000000000101E-2</v>
      </c>
      <c r="AE3797">
        <v>-0.43043999999999299</v>
      </c>
      <c r="AF3797">
        <v>-0.45350825364194303</v>
      </c>
      <c r="AG3797">
        <v>-8.5581000000000101E-2</v>
      </c>
      <c r="AH3797">
        <v>0.75167369387917804</v>
      </c>
      <c r="AI3797">
        <v>95.567906743282094</v>
      </c>
      <c r="AJ3797">
        <v>121.10389471948</v>
      </c>
      <c r="AK3797">
        <v>0.882047156195367</v>
      </c>
    </row>
    <row r="3798" spans="1:37" x14ac:dyDescent="0.2">
      <c r="A3798" t="str">
        <f>"20200111154141953"</f>
        <v>20200111154141953</v>
      </c>
      <c r="B3798" t="str">
        <f>"1578728501949623"</f>
        <v>1578728501949623</v>
      </c>
      <c r="C3798" t="s">
        <v>37</v>
      </c>
      <c r="D3798">
        <v>5.0918159999999997</v>
      </c>
      <c r="E3798">
        <v>0.43847019999999998</v>
      </c>
      <c r="F3798" t="s">
        <v>47</v>
      </c>
      <c r="G3798">
        <v>-407.34480000000002</v>
      </c>
      <c r="H3798" s="1">
        <v>-3.162575E-6</v>
      </c>
      <c r="I3798">
        <v>22.956510000000002</v>
      </c>
      <c r="J3798">
        <v>-418.86799999999999</v>
      </c>
      <c r="K3798">
        <v>1.1249879999999901</v>
      </c>
      <c r="L3798">
        <v>30.555789999999998</v>
      </c>
      <c r="M3798">
        <v>0.50560550000000004</v>
      </c>
      <c r="N3798">
        <v>0</v>
      </c>
      <c r="O3798">
        <v>-0.86261569999999899</v>
      </c>
      <c r="P3798">
        <v>0.7388245</v>
      </c>
      <c r="Q3798">
        <v>5.5915329999999999E-2</v>
      </c>
      <c r="R3798">
        <v>-0.67157429999999996</v>
      </c>
      <c r="S3798">
        <v>2.54260299999999</v>
      </c>
      <c r="T3798">
        <v>-0.24615529999999999</v>
      </c>
      <c r="U3798">
        <v>-1.69635</v>
      </c>
      <c r="V3798">
        <v>-0.3001663</v>
      </c>
      <c r="W3798">
        <v>6.050353E-2</v>
      </c>
      <c r="X3798">
        <v>0.95196610000000004</v>
      </c>
      <c r="Y3798">
        <v>-0.43413009999999902</v>
      </c>
      <c r="Z3798">
        <v>7.8578110000000007E-2</v>
      </c>
      <c r="AA3798">
        <v>0.89741659999999901</v>
      </c>
      <c r="AB3798">
        <v>33</v>
      </c>
      <c r="AC3798">
        <v>11.523199999999999</v>
      </c>
      <c r="AD3798">
        <v>-1.124991162575</v>
      </c>
      <c r="AE3798">
        <v>-7.5992800000000003</v>
      </c>
      <c r="AF3798">
        <v>-6.0583973700714999</v>
      </c>
      <c r="AG3798">
        <v>-1.124991162575</v>
      </c>
      <c r="AH3798">
        <v>12.301333440850801</v>
      </c>
      <c r="AI3798">
        <v>94.690186109945202</v>
      </c>
      <c r="AJ3798">
        <v>116.220211188706</v>
      </c>
      <c r="AK3798">
        <v>13.758364300764599</v>
      </c>
    </row>
    <row r="3799" spans="1:37" x14ac:dyDescent="0.2">
      <c r="A3799" t="str">
        <f>"20200111154141967"</f>
        <v>20200111154141967</v>
      </c>
      <c r="B3799" t="str">
        <f>"1578728501960359"</f>
        <v>1578728501960359</v>
      </c>
      <c r="C3799" t="s">
        <v>37</v>
      </c>
      <c r="D3799">
        <v>5.0822449999999897</v>
      </c>
      <c r="E3799">
        <v>0.44813569999999903</v>
      </c>
      <c r="F3799" t="s">
        <v>38</v>
      </c>
      <c r="G3799">
        <v>-418.05099999999999</v>
      </c>
      <c r="H3799">
        <v>1.046608</v>
      </c>
      <c r="I3799">
        <v>30.02027</v>
      </c>
      <c r="J3799">
        <v>-418.76010000000002</v>
      </c>
      <c r="K3799">
        <v>1.125075</v>
      </c>
      <c r="L3799">
        <v>30.387270000000001</v>
      </c>
      <c r="M3799">
        <v>0.51468119999999995</v>
      </c>
      <c r="N3799">
        <v>0</v>
      </c>
      <c r="O3799">
        <v>-0.85723069999999901</v>
      </c>
      <c r="P3799">
        <v>0.74545879999999998</v>
      </c>
      <c r="Q3799">
        <v>5.6156079999999997E-2</v>
      </c>
      <c r="R3799">
        <v>-0.66418219999999994</v>
      </c>
      <c r="S3799">
        <v>2.5566709999999899</v>
      </c>
      <c r="T3799">
        <v>-0.245173</v>
      </c>
      <c r="U3799">
        <v>-1.6748349999999901</v>
      </c>
      <c r="V3799">
        <v>-0.29960870000000001</v>
      </c>
      <c r="W3799">
        <v>6.0735320000000002E-2</v>
      </c>
      <c r="X3799">
        <v>0.95212699999999995</v>
      </c>
      <c r="Y3799">
        <v>-0.43221309999999902</v>
      </c>
      <c r="Z3799">
        <v>7.7959730000000005E-2</v>
      </c>
      <c r="AA3799">
        <v>0.89839530000000001</v>
      </c>
      <c r="AB3799">
        <v>33</v>
      </c>
      <c r="AC3799">
        <v>0.70910000000003404</v>
      </c>
      <c r="AD3799">
        <v>-7.8466999999999995E-2</v>
      </c>
      <c r="AE3799">
        <v>-0.36699999999999999</v>
      </c>
      <c r="AF3799">
        <v>-0.41502025922251901</v>
      </c>
      <c r="AG3799">
        <v>-7.8466999999999995E-2</v>
      </c>
      <c r="AH3799">
        <v>0.67315078461990896</v>
      </c>
      <c r="AI3799">
        <v>95.666574657015602</v>
      </c>
      <c r="AJ3799">
        <v>121.655238391477</v>
      </c>
      <c r="AK3799">
        <v>0.79468916218136898</v>
      </c>
    </row>
    <row r="3800" spans="1:37" x14ac:dyDescent="0.2">
      <c r="A3800" t="str">
        <f>"20200111154141979"</f>
        <v>20200111154141979</v>
      </c>
      <c r="B3800" t="str">
        <f>"1578728501970119"</f>
        <v>1578728501970119</v>
      </c>
      <c r="C3800" t="s">
        <v>37</v>
      </c>
      <c r="D3800">
        <v>5.1005010000000004</v>
      </c>
      <c r="E3800">
        <v>0.44862669999999999</v>
      </c>
      <c r="F3800" t="s">
        <v>38</v>
      </c>
      <c r="G3800">
        <v>-417.88290000000001</v>
      </c>
      <c r="H3800">
        <v>1.040494</v>
      </c>
      <c r="I3800">
        <v>29.793500000000002</v>
      </c>
      <c r="J3800">
        <v>-418.65050000000002</v>
      </c>
      <c r="K3800">
        <v>1.125159</v>
      </c>
      <c r="L3800">
        <v>30.220179999999999</v>
      </c>
      <c r="M3800">
        <v>0.52375300000000002</v>
      </c>
      <c r="N3800">
        <v>0</v>
      </c>
      <c r="O3800">
        <v>-0.85171739999999996</v>
      </c>
      <c r="P3800">
        <v>0.75116709999999998</v>
      </c>
      <c r="Q3800">
        <v>5.6218419999999998E-2</v>
      </c>
      <c r="R3800">
        <v>-0.65771429999999997</v>
      </c>
      <c r="S3800">
        <v>2.5220340000000001</v>
      </c>
      <c r="T3800">
        <v>-0.243136299999999</v>
      </c>
      <c r="U3800">
        <v>-1.7067570000000001</v>
      </c>
      <c r="V3800">
        <v>-0.29774139999999999</v>
      </c>
      <c r="W3800">
        <v>6.084527E-2</v>
      </c>
      <c r="X3800">
        <v>0.95270560000000004</v>
      </c>
      <c r="Y3800">
        <v>-0.40909839999999997</v>
      </c>
      <c r="Z3800">
        <v>7.6764260000000001E-2</v>
      </c>
      <c r="AA3800">
        <v>0.90925560000000005</v>
      </c>
      <c r="AB3800">
        <v>33</v>
      </c>
      <c r="AC3800">
        <v>0.76760000000001505</v>
      </c>
      <c r="AD3800">
        <v>-8.4664999999999893E-2</v>
      </c>
      <c r="AE3800">
        <v>-0.42667999999999701</v>
      </c>
      <c r="AF3800">
        <v>-0.42639641441814102</v>
      </c>
      <c r="AG3800">
        <v>-8.4664999999999893E-2</v>
      </c>
      <c r="AH3800">
        <v>0.75849375127218299</v>
      </c>
      <c r="AI3800">
        <v>95.557472072975102</v>
      </c>
      <c r="AJ3800">
        <v>119.343043056486</v>
      </c>
      <c r="AK3800">
        <v>0.87423957538685904</v>
      </c>
    </row>
    <row r="3801" spans="1:37" x14ac:dyDescent="0.2">
      <c r="A3801" t="str">
        <f>"20200111154141994"</f>
        <v>20200111154141994</v>
      </c>
      <c r="B3801" t="str">
        <f>"1578728501989639"</f>
        <v>1578728501989639</v>
      </c>
      <c r="C3801" t="s">
        <v>37</v>
      </c>
      <c r="D3801">
        <v>5.0561129999999999</v>
      </c>
      <c r="E3801">
        <v>0.4498973</v>
      </c>
      <c r="F3801" t="s">
        <v>47</v>
      </c>
      <c r="G3801">
        <v>-406.7978</v>
      </c>
      <c r="H3801" s="1">
        <v>-3.3465929999999999E-6</v>
      </c>
      <c r="I3801">
        <v>22.327950000000001</v>
      </c>
      <c r="J3801">
        <v>-418.54239999999999</v>
      </c>
      <c r="K3801">
        <v>1.1252340000000001</v>
      </c>
      <c r="L3801">
        <v>30.059909999999999</v>
      </c>
      <c r="M3801">
        <v>0.53253760000000006</v>
      </c>
      <c r="N3801">
        <v>0</v>
      </c>
      <c r="O3801">
        <v>-0.84625189999999995</v>
      </c>
      <c r="P3801">
        <v>0.75715209999999999</v>
      </c>
      <c r="Q3801">
        <v>5.6382399999999999E-2</v>
      </c>
      <c r="R3801">
        <v>-0.65080059999999995</v>
      </c>
      <c r="S3801">
        <v>2.5342709999999999</v>
      </c>
      <c r="T3801">
        <v>-0.24057529999999899</v>
      </c>
      <c r="U3801">
        <v>-1.6874689999999899</v>
      </c>
      <c r="V3801">
        <v>-0.29662450000000001</v>
      </c>
      <c r="W3801">
        <v>6.1030889999999997E-2</v>
      </c>
      <c r="X3801">
        <v>0.95304199999999994</v>
      </c>
      <c r="Y3801">
        <v>-0.40655229999999998</v>
      </c>
      <c r="Z3801">
        <v>7.5631610000000002E-2</v>
      </c>
      <c r="AA3801">
        <v>0.91049159999999996</v>
      </c>
      <c r="AB3801">
        <v>33</v>
      </c>
      <c r="AC3801">
        <v>11.744599999999901</v>
      </c>
      <c r="AD3801">
        <v>-1.1252373465929999</v>
      </c>
      <c r="AE3801">
        <v>-7.7319599999999902</v>
      </c>
      <c r="AF3801">
        <v>-5.7850452331184004</v>
      </c>
      <c r="AG3801">
        <v>-1.1252373465929999</v>
      </c>
      <c r="AH3801">
        <v>12.717857007408</v>
      </c>
      <c r="AI3801">
        <v>94.604459952597793</v>
      </c>
      <c r="AJ3801">
        <v>114.459638685032</v>
      </c>
      <c r="AK3801">
        <v>14.017018024397</v>
      </c>
    </row>
    <row r="3802" spans="1:37" x14ac:dyDescent="0.2">
      <c r="A3802" t="str">
        <f>"20200111154142007"</f>
        <v>20200111154142007</v>
      </c>
      <c r="B3802" t="str">
        <f>"1578728502000375"</f>
        <v>1578728502000375</v>
      </c>
      <c r="C3802" t="s">
        <v>37</v>
      </c>
      <c r="D3802">
        <v>5.0545499999999999</v>
      </c>
      <c r="E3802">
        <v>0.44994440000000002</v>
      </c>
      <c r="F3802" t="s">
        <v>47</v>
      </c>
      <c r="G3802">
        <v>-406.47449999999998</v>
      </c>
      <c r="H3802" s="1">
        <v>-3.4936450000000001E-6</v>
      </c>
      <c r="I3802">
        <v>22.128720000000001</v>
      </c>
      <c r="J3802">
        <v>-418.43509999999998</v>
      </c>
      <c r="K3802">
        <v>1.1253040000000001</v>
      </c>
      <c r="L3802">
        <v>29.9032599999999</v>
      </c>
      <c r="M3802">
        <v>0.54114659999999903</v>
      </c>
      <c r="N3802">
        <v>0</v>
      </c>
      <c r="O3802">
        <v>-0.84077230000000003</v>
      </c>
      <c r="P3802">
        <v>0.76326780000000005</v>
      </c>
      <c r="Q3802">
        <v>5.6434209999999999E-2</v>
      </c>
      <c r="R3802">
        <v>-0.64361309999999905</v>
      </c>
      <c r="S3802">
        <v>2.5431819999999998</v>
      </c>
      <c r="T3802">
        <v>-0.23713239999999999</v>
      </c>
      <c r="U3802">
        <v>-1.6714169999999999</v>
      </c>
      <c r="V3802">
        <v>-0.2959194</v>
      </c>
      <c r="W3802">
        <v>6.1088950000000003E-2</v>
      </c>
      <c r="X3802">
        <v>0.95325749999999998</v>
      </c>
      <c r="Y3802">
        <v>-0.40279720000000002</v>
      </c>
      <c r="Z3802">
        <v>7.4216130000000005E-2</v>
      </c>
      <c r="AA3802">
        <v>0.91227539999999996</v>
      </c>
      <c r="AB3802">
        <v>33</v>
      </c>
      <c r="AC3802">
        <v>11.960599999999999</v>
      </c>
      <c r="AD3802">
        <v>-1.125307493645</v>
      </c>
      <c r="AE3802">
        <v>-7.7745399999999902</v>
      </c>
      <c r="AF3802">
        <v>-5.8135664079698204</v>
      </c>
      <c r="AG3802">
        <v>-1.125307493645</v>
      </c>
      <c r="AH3802">
        <v>12.9303009017483</v>
      </c>
      <c r="AI3802">
        <v>94.538337285068906</v>
      </c>
      <c r="AJ3802">
        <v>114.209063689866</v>
      </c>
      <c r="AK3802">
        <v>14.221693033703099</v>
      </c>
    </row>
    <row r="3803" spans="1:37" x14ac:dyDescent="0.2">
      <c r="A3803" t="str">
        <f>"20200111154142019"</f>
        <v>20200111154142019</v>
      </c>
      <c r="B3803" t="str">
        <f>"1578728502010136"</f>
        <v>1578728502010136</v>
      </c>
      <c r="C3803" t="s">
        <v>37</v>
      </c>
      <c r="D3803">
        <v>5.1013970000000004</v>
      </c>
      <c r="E3803">
        <v>0.45020549999999998</v>
      </c>
      <c r="F3803" t="s">
        <v>38</v>
      </c>
      <c r="G3803">
        <v>-417.52460000000002</v>
      </c>
      <c r="H3803">
        <v>1.04213</v>
      </c>
      <c r="I3803">
        <v>29.316879999999902</v>
      </c>
      <c r="J3803">
        <v>-418.32639999999998</v>
      </c>
      <c r="K3803">
        <v>1.12537</v>
      </c>
      <c r="L3803">
        <v>29.7486</v>
      </c>
      <c r="M3803">
        <v>0.54970540000000001</v>
      </c>
      <c r="N3803">
        <v>0</v>
      </c>
      <c r="O3803">
        <v>-0.83520110000000003</v>
      </c>
      <c r="P3803">
        <v>0.76913540000000002</v>
      </c>
      <c r="Q3803">
        <v>5.6296720000000001E-2</v>
      </c>
      <c r="R3803">
        <v>-0.63660150000000004</v>
      </c>
      <c r="S3803">
        <v>2.5584410000000002</v>
      </c>
      <c r="T3803">
        <v>-0.2336964</v>
      </c>
      <c r="U3803">
        <v>-1.647583</v>
      </c>
      <c r="V3803">
        <v>-0.29492040000000003</v>
      </c>
      <c r="W3803">
        <v>6.0973300000000001E-2</v>
      </c>
      <c r="X3803">
        <v>0.95357449999999999</v>
      </c>
      <c r="Y3803">
        <v>-0.40202729999999998</v>
      </c>
      <c r="Z3803">
        <v>7.2844389999999995E-2</v>
      </c>
      <c r="AA3803">
        <v>0.91272540000000002</v>
      </c>
      <c r="AB3803">
        <v>33</v>
      </c>
      <c r="AC3803">
        <v>0.80179999999995699</v>
      </c>
      <c r="AD3803">
        <v>-8.3239999999999897E-2</v>
      </c>
      <c r="AE3803">
        <v>-0.43172000000000199</v>
      </c>
      <c r="AF3803">
        <v>-0.42881932737518402</v>
      </c>
      <c r="AG3803">
        <v>-8.3239999999999897E-2</v>
      </c>
      <c r="AH3803">
        <v>0.79479139100855201</v>
      </c>
      <c r="AI3803">
        <v>95.266186278613006</v>
      </c>
      <c r="AJ3803">
        <v>118.348501518879</v>
      </c>
      <c r="AK3803">
        <v>0.90692241583931299</v>
      </c>
    </row>
    <row r="3804" spans="1:37" x14ac:dyDescent="0.2">
      <c r="A3804" t="str">
        <f>"20200111154142033"</f>
        <v>20200111154142033</v>
      </c>
      <c r="B3804" t="str">
        <f>"1578728502029655"</f>
        <v>1578728502029655</v>
      </c>
      <c r="C3804" t="s">
        <v>37</v>
      </c>
      <c r="D3804">
        <v>5.059418</v>
      </c>
      <c r="E3804">
        <v>0.45009139999999997</v>
      </c>
      <c r="F3804" t="s">
        <v>47</v>
      </c>
      <c r="G3804">
        <v>-405.94220000000001</v>
      </c>
      <c r="H3804" s="1">
        <v>-3.7478170000000002E-6</v>
      </c>
      <c r="I3804">
        <v>21.921990000000001</v>
      </c>
      <c r="J3804">
        <v>-418.2199</v>
      </c>
      <c r="K3804">
        <v>1.125429</v>
      </c>
      <c r="L3804">
        <v>29.600709999999999</v>
      </c>
      <c r="M3804">
        <v>0.55794779999999999</v>
      </c>
      <c r="N3804">
        <v>0</v>
      </c>
      <c r="O3804">
        <v>-0.82971700000000004</v>
      </c>
      <c r="P3804">
        <v>0.77467169999999996</v>
      </c>
      <c r="Q3804">
        <v>5.6088180000000001E-2</v>
      </c>
      <c r="R3804">
        <v>-0.62987179999999998</v>
      </c>
      <c r="S3804">
        <v>2.57214399999999</v>
      </c>
      <c r="T3804">
        <v>-0.2337349</v>
      </c>
      <c r="U3804">
        <v>-1.6255489999999999</v>
      </c>
      <c r="V3804">
        <v>-0.293807599999999</v>
      </c>
      <c r="W3804">
        <v>6.079387E-2</v>
      </c>
      <c r="X3804">
        <v>0.95392940000000004</v>
      </c>
      <c r="Y3804">
        <v>-0.40076050000000002</v>
      </c>
      <c r="Z3804">
        <v>7.2545960000000007E-2</v>
      </c>
      <c r="AA3804">
        <v>0.91330610000000001</v>
      </c>
      <c r="AB3804">
        <v>33</v>
      </c>
      <c r="AC3804">
        <v>12.2776999999999</v>
      </c>
      <c r="AD3804">
        <v>-1.1254327478170001</v>
      </c>
      <c r="AE3804">
        <v>-7.6787199999999904</v>
      </c>
      <c r="AF3804">
        <v>-5.8680282416278704</v>
      </c>
      <c r="AG3804">
        <v>-1.1254327478170001</v>
      </c>
      <c r="AH3804">
        <v>13.1438377943054</v>
      </c>
      <c r="AI3804">
        <v>94.470650592562095</v>
      </c>
      <c r="AJ3804">
        <v>114.05823454642901</v>
      </c>
      <c r="AK3804">
        <v>14.438172539397501</v>
      </c>
    </row>
    <row r="3805" spans="1:37" x14ac:dyDescent="0.2">
      <c r="A3805" t="str">
        <f>"20200111154142049"</f>
        <v>20200111154142049</v>
      </c>
      <c r="B3805" t="str">
        <f>"1578728502040391"</f>
        <v>1578728502040391</v>
      </c>
      <c r="C3805" t="s">
        <v>37</v>
      </c>
      <c r="D3805">
        <v>5.0712650000000004</v>
      </c>
      <c r="E3805">
        <v>0.45029740000000001</v>
      </c>
      <c r="F3805" t="s">
        <v>47</v>
      </c>
      <c r="G3805">
        <v>-405.76830000000001</v>
      </c>
      <c r="H3805" s="1">
        <v>-3.8292489999999902E-6</v>
      </c>
      <c r="I3805">
        <v>21.88785</v>
      </c>
      <c r="J3805">
        <v>-418.08420000000001</v>
      </c>
      <c r="K3805">
        <v>1.125494</v>
      </c>
      <c r="L3805">
        <v>29.415800000000001</v>
      </c>
      <c r="M3805">
        <v>0.56828579999999995</v>
      </c>
      <c r="N3805">
        <v>0</v>
      </c>
      <c r="O3805">
        <v>-0.82267000000000001</v>
      </c>
      <c r="P3805">
        <v>0.78115159999999995</v>
      </c>
      <c r="Q3805">
        <v>5.5515929999999998E-2</v>
      </c>
      <c r="R3805">
        <v>-0.62186859999999999</v>
      </c>
      <c r="S3805">
        <v>2.5867309999999999</v>
      </c>
      <c r="T3805">
        <v>-0.23380109999999901</v>
      </c>
      <c r="U3805">
        <v>-1.602295</v>
      </c>
      <c r="V3805">
        <v>-0.29170839999999998</v>
      </c>
      <c r="W3805">
        <v>6.0290299999999998E-2</v>
      </c>
      <c r="X3805">
        <v>0.95460529999999999</v>
      </c>
      <c r="Y3805">
        <v>-0.39755839999999998</v>
      </c>
      <c r="Z3805">
        <v>7.2113079999999996E-2</v>
      </c>
      <c r="AA3805">
        <v>0.91473879999999996</v>
      </c>
      <c r="AB3805">
        <v>33</v>
      </c>
      <c r="AC3805">
        <v>12.315899999999999</v>
      </c>
      <c r="AD3805">
        <v>-1.1254978292490001</v>
      </c>
      <c r="AE3805">
        <v>-7.5279499999999997</v>
      </c>
      <c r="AF3805">
        <v>-5.8192906855806603</v>
      </c>
      <c r="AG3805">
        <v>-1.1254978292490001</v>
      </c>
      <c r="AH3805">
        <v>13.1139890262604</v>
      </c>
      <c r="AI3805">
        <v>94.485522009293305</v>
      </c>
      <c r="AJ3805">
        <v>113.929101657392</v>
      </c>
      <c r="AK3805">
        <v>14.3912333602026</v>
      </c>
    </row>
    <row r="3806" spans="1:37" x14ac:dyDescent="0.2">
      <c r="A3806" t="str">
        <f>"20200111154142060"</f>
        <v>20200111154142060</v>
      </c>
      <c r="B3806" t="str">
        <f>"1578728502050152"</f>
        <v>1578728502050152</v>
      </c>
      <c r="C3806" t="s">
        <v>37</v>
      </c>
      <c r="D3806">
        <v>5.0602929999999997</v>
      </c>
      <c r="E3806">
        <v>0.45060749999999999</v>
      </c>
      <c r="F3806" t="s">
        <v>38</v>
      </c>
      <c r="G3806">
        <v>-417.11950000000002</v>
      </c>
      <c r="H3806">
        <v>1.038276</v>
      </c>
      <c r="I3806">
        <v>28.831129999999899</v>
      </c>
      <c r="J3806">
        <v>-417.97449999999998</v>
      </c>
      <c r="K3806">
        <v>1.12554</v>
      </c>
      <c r="L3806">
        <v>29.269649999999999</v>
      </c>
      <c r="M3806">
        <v>0.57648619999999995</v>
      </c>
      <c r="N3806">
        <v>0</v>
      </c>
      <c r="O3806">
        <v>-0.81694419999999901</v>
      </c>
      <c r="P3806">
        <v>0.78674709999999903</v>
      </c>
      <c r="Q3806">
        <v>5.5163129999999998E-2</v>
      </c>
      <c r="R3806">
        <v>-0.61480570000000001</v>
      </c>
      <c r="S3806">
        <v>2.6019899999999998</v>
      </c>
      <c r="T3806">
        <v>-0.235227299999999</v>
      </c>
      <c r="U3806">
        <v>-1.57672099999999</v>
      </c>
      <c r="V3806">
        <v>-0.2907749</v>
      </c>
      <c r="W3806">
        <v>5.9963299999999997E-2</v>
      </c>
      <c r="X3806">
        <v>0.95491059999999905</v>
      </c>
      <c r="Y3806">
        <v>-0.397318</v>
      </c>
      <c r="Z3806">
        <v>7.2243870000000002E-2</v>
      </c>
      <c r="AA3806">
        <v>0.91483289999999995</v>
      </c>
      <c r="AB3806">
        <v>33</v>
      </c>
      <c r="AC3806">
        <v>0.85499999999996101</v>
      </c>
      <c r="AD3806">
        <v>-8.7263999999999994E-2</v>
      </c>
      <c r="AE3806">
        <v>-0.43852000000000002</v>
      </c>
      <c r="AF3806">
        <v>-0.44209965242482901</v>
      </c>
      <c r="AG3806">
        <v>-8.7263999999999994E-2</v>
      </c>
      <c r="AH3806">
        <v>0.84429203303002198</v>
      </c>
      <c r="AI3806">
        <v>95.231645195032698</v>
      </c>
      <c r="AJ3806">
        <v>117.63806398952001</v>
      </c>
      <c r="AK3806">
        <v>0.95702463155768502</v>
      </c>
    </row>
    <row r="3807" spans="1:37" x14ac:dyDescent="0.2">
      <c r="A3807" t="str">
        <f>"20200111154142073"</f>
        <v>20200111154142073</v>
      </c>
      <c r="B3807" t="str">
        <f>"1578728502069672"</f>
        <v>1578728502069672</v>
      </c>
      <c r="C3807" t="s">
        <v>37</v>
      </c>
      <c r="D3807">
        <v>5.1080459999999999</v>
      </c>
      <c r="E3807">
        <v>0.45149420000000001</v>
      </c>
      <c r="F3807" t="s">
        <v>47</v>
      </c>
      <c r="G3807">
        <v>-405.47919999999999</v>
      </c>
      <c r="H3807" s="1">
        <v>-3.9656709999999998E-6</v>
      </c>
      <c r="I3807">
        <v>21.836779999999901</v>
      </c>
      <c r="J3807">
        <v>-417.86630000000002</v>
      </c>
      <c r="K3807">
        <v>1.125572</v>
      </c>
      <c r="L3807">
        <v>29.129429999999999</v>
      </c>
      <c r="M3807">
        <v>0.58442099999999997</v>
      </c>
      <c r="N3807">
        <v>0</v>
      </c>
      <c r="O3807">
        <v>-0.81128630000000002</v>
      </c>
      <c r="P3807">
        <v>0.79200579999999998</v>
      </c>
      <c r="Q3807">
        <v>5.4666569999999998E-2</v>
      </c>
      <c r="R3807">
        <v>-0.60806130000000003</v>
      </c>
      <c r="S3807">
        <v>2.6143489999999998</v>
      </c>
      <c r="T3807">
        <v>-0.23549229999999999</v>
      </c>
      <c r="U3807">
        <v>-1.555145</v>
      </c>
      <c r="V3807">
        <v>-0.28964250000000002</v>
      </c>
      <c r="W3807">
        <v>5.950445E-2</v>
      </c>
      <c r="X3807">
        <v>0.95528349999999995</v>
      </c>
      <c r="Y3807">
        <v>-0.39586199999999999</v>
      </c>
      <c r="Z3807">
        <v>7.1990680000000001E-2</v>
      </c>
      <c r="AA3807">
        <v>0.91548379999999996</v>
      </c>
      <c r="AB3807">
        <v>33</v>
      </c>
      <c r="AC3807">
        <v>12.3871</v>
      </c>
      <c r="AD3807">
        <v>-1.125575965671</v>
      </c>
      <c r="AE3807">
        <v>-7.2926500000000001</v>
      </c>
      <c r="AF3807">
        <v>-5.7530035627151701</v>
      </c>
      <c r="AG3807">
        <v>-1.125575965671</v>
      </c>
      <c r="AH3807">
        <v>13.077278519117399</v>
      </c>
      <c r="AI3807">
        <v>94.504709081152498</v>
      </c>
      <c r="AJ3807">
        <v>113.745827433437</v>
      </c>
      <c r="AK3807">
        <v>14.331056650284999</v>
      </c>
    </row>
    <row r="3808" spans="1:37" x14ac:dyDescent="0.2">
      <c r="A3808" t="str">
        <f>"20200111154142087"</f>
        <v>20200111154142087</v>
      </c>
      <c r="B3808" t="str">
        <f>"1578728502080407"</f>
        <v>1578728502080407</v>
      </c>
      <c r="C3808" t="s">
        <v>37</v>
      </c>
      <c r="D3808">
        <v>5.1315669999999898</v>
      </c>
      <c r="E3808">
        <v>0.4513876</v>
      </c>
      <c r="F3808" t="s">
        <v>47</v>
      </c>
      <c r="G3808">
        <v>-405.41090000000003</v>
      </c>
      <c r="H3808" s="1">
        <v>-3.9979840000000001E-6</v>
      </c>
      <c r="I3808">
        <v>21.825240000000001</v>
      </c>
      <c r="J3808">
        <v>-417.7457</v>
      </c>
      <c r="K3808">
        <v>1.1256109999999999</v>
      </c>
      <c r="L3808">
        <v>28.975490000000001</v>
      </c>
      <c r="M3808">
        <v>0.59313079999999996</v>
      </c>
      <c r="N3808">
        <v>0</v>
      </c>
      <c r="O3808">
        <v>-0.80494009999999905</v>
      </c>
      <c r="P3808">
        <v>0.79798440000000004</v>
      </c>
      <c r="Q3808">
        <v>5.413225E-2</v>
      </c>
      <c r="R3808">
        <v>-0.60024259999999996</v>
      </c>
      <c r="S3808">
        <v>2.6231689999999999</v>
      </c>
      <c r="T3808">
        <v>-0.23705180000000001</v>
      </c>
      <c r="U3808">
        <v>-1.5383</v>
      </c>
      <c r="V3808">
        <v>-0.28875869999999998</v>
      </c>
      <c r="W3808">
        <v>5.8997040000000001E-2</v>
      </c>
      <c r="X3808">
        <v>0.95558240000000005</v>
      </c>
      <c r="Y3808">
        <v>-0.39166590000000001</v>
      </c>
      <c r="Z3808">
        <v>7.2025839999999994E-2</v>
      </c>
      <c r="AA3808">
        <v>0.91728410000000005</v>
      </c>
      <c r="AB3808">
        <v>33</v>
      </c>
      <c r="AC3808">
        <v>12.3347999999999</v>
      </c>
      <c r="AD3808">
        <v>-1.125614997984</v>
      </c>
      <c r="AE3808">
        <v>-7.1502499999999998</v>
      </c>
      <c r="AF3808">
        <v>-5.6532649581909498</v>
      </c>
      <c r="AG3808">
        <v>-1.125614997984</v>
      </c>
      <c r="AH3808">
        <v>12.9924377894925</v>
      </c>
      <c r="AI3808">
        <v>94.542131623961197</v>
      </c>
      <c r="AJ3808">
        <v>113.514804505874</v>
      </c>
      <c r="AK3808">
        <v>14.213720608096599</v>
      </c>
    </row>
    <row r="3809" spans="1:37" x14ac:dyDescent="0.2">
      <c r="A3809" t="str">
        <f>"20200111154142099"</f>
        <v>20200111154142099</v>
      </c>
      <c r="B3809" t="str">
        <f>"1578728502090168"</f>
        <v>1578728502090168</v>
      </c>
      <c r="C3809" t="s">
        <v>37</v>
      </c>
      <c r="D3809">
        <v>5.1424669999999999</v>
      </c>
      <c r="E3809">
        <v>0.4513876</v>
      </c>
      <c r="F3809" t="s">
        <v>47</v>
      </c>
      <c r="G3809">
        <v>-405.38900000000001</v>
      </c>
      <c r="H3809" s="1">
        <v>-4.02158399999999E-6</v>
      </c>
      <c r="I3809">
        <v>21.89602</v>
      </c>
      <c r="J3809">
        <v>-417.62580000000003</v>
      </c>
      <c r="K3809">
        <v>1.125645</v>
      </c>
      <c r="L3809">
        <v>28.825900000000001</v>
      </c>
      <c r="M3809">
        <v>0.60163059999999902</v>
      </c>
      <c r="N3809">
        <v>0</v>
      </c>
      <c r="O3809">
        <v>-0.79860659999999895</v>
      </c>
      <c r="P3809">
        <v>0.80387249999999999</v>
      </c>
      <c r="Q3809">
        <v>5.3911870000000001E-2</v>
      </c>
      <c r="R3809">
        <v>-0.59235360000000004</v>
      </c>
      <c r="S3809">
        <v>2.6386409999999998</v>
      </c>
      <c r="T3809">
        <v>-0.2403634</v>
      </c>
      <c r="U3809">
        <v>-1.511749</v>
      </c>
      <c r="V3809">
        <v>-0.28805069999999999</v>
      </c>
      <c r="W3809">
        <v>5.8798059999999999E-2</v>
      </c>
      <c r="X3809">
        <v>0.95580830000000006</v>
      </c>
      <c r="Y3809">
        <v>-0.39112609999999998</v>
      </c>
      <c r="Z3809">
        <v>7.2649839999999993E-2</v>
      </c>
      <c r="AA3809">
        <v>0.91746519999999998</v>
      </c>
      <c r="AB3809">
        <v>33</v>
      </c>
      <c r="AC3809">
        <v>12.236800000000001</v>
      </c>
      <c r="AD3809">
        <v>-1.125649021584</v>
      </c>
      <c r="AE3809">
        <v>-6.9298799999999998</v>
      </c>
      <c r="AF3809">
        <v>-5.56823639961247</v>
      </c>
      <c r="AG3809">
        <v>-1.125649021584</v>
      </c>
      <c r="AH3809">
        <v>12.815897614682401</v>
      </c>
      <c r="AI3809">
        <v>94.605645701765596</v>
      </c>
      <c r="AJ3809">
        <v>113.483926688083</v>
      </c>
      <c r="AK3809">
        <v>14.0185439326552</v>
      </c>
    </row>
    <row r="3810" spans="1:37" x14ac:dyDescent="0.2">
      <c r="A3810" t="str">
        <f>"20200111154142116"</f>
        <v>20200111154142116</v>
      </c>
      <c r="B3810" t="str">
        <f>"1578728502109686"</f>
        <v>1578728502109686</v>
      </c>
      <c r="C3810" t="s">
        <v>37</v>
      </c>
      <c r="D3810">
        <v>5.1269010000000002</v>
      </c>
      <c r="E3810">
        <v>0.41156300000000001</v>
      </c>
      <c r="F3810" t="s">
        <v>47</v>
      </c>
      <c r="G3810">
        <v>-405.23469999999998</v>
      </c>
      <c r="H3810" s="1">
        <v>-4.0977130000000003E-6</v>
      </c>
      <c r="I3810">
        <v>21.887589999999999</v>
      </c>
      <c r="J3810">
        <v>-417.48590000000002</v>
      </c>
      <c r="K3810">
        <v>1.125677</v>
      </c>
      <c r="L3810">
        <v>28.656040000000001</v>
      </c>
      <c r="M3810">
        <v>0.61133559999999998</v>
      </c>
      <c r="N3810">
        <v>0</v>
      </c>
      <c r="O3810">
        <v>-0.79120170000000001</v>
      </c>
      <c r="P3810">
        <v>0.80990980000000001</v>
      </c>
      <c r="Q3810">
        <v>5.2512049999999998E-2</v>
      </c>
      <c r="R3810">
        <v>-0.58419940000000004</v>
      </c>
      <c r="S3810">
        <v>2.6533199999999999</v>
      </c>
      <c r="T3810">
        <v>-0.24103820000000001</v>
      </c>
      <c r="U3810">
        <v>-1.4857180000000001</v>
      </c>
      <c r="V3810">
        <v>-0.2860664</v>
      </c>
      <c r="W3810">
        <v>5.7475659999999998E-2</v>
      </c>
      <c r="X3810">
        <v>0.95648449999999996</v>
      </c>
      <c r="Y3810">
        <v>-0.38891720000000002</v>
      </c>
      <c r="Z3810">
        <v>7.2365940000000004E-2</v>
      </c>
      <c r="AA3810">
        <v>0.91842619999999897</v>
      </c>
      <c r="AB3810">
        <v>33</v>
      </c>
      <c r="AC3810">
        <v>12.251200000000001</v>
      </c>
      <c r="AD3810">
        <v>-1.1256810977130001</v>
      </c>
      <c r="AE3810">
        <v>-6.7684499999999996</v>
      </c>
      <c r="AF3810">
        <v>-5.5204147038996796</v>
      </c>
      <c r="AG3810">
        <v>-1.1256810977130001</v>
      </c>
      <c r="AH3810">
        <v>12.763968859728299</v>
      </c>
      <c r="AI3810">
        <v>94.627759654473493</v>
      </c>
      <c r="AJ3810">
        <v>113.388475516642</v>
      </c>
      <c r="AK3810">
        <v>13.952097960123901</v>
      </c>
    </row>
    <row r="3811" spans="1:37" x14ac:dyDescent="0.2">
      <c r="A3811" t="str">
        <f>"20200111154142132"</f>
        <v>20200111154142132</v>
      </c>
      <c r="B3811" t="str">
        <f>"1578728502120423"</f>
        <v>1578728502120423</v>
      </c>
      <c r="C3811" t="s">
        <v>37</v>
      </c>
      <c r="D3811">
        <v>5.0704510000000003</v>
      </c>
      <c r="E3811">
        <v>0.409170599999999</v>
      </c>
      <c r="F3811" t="s">
        <v>38</v>
      </c>
      <c r="G3811">
        <v>-416.61450000000002</v>
      </c>
      <c r="H3811">
        <v>1.049901</v>
      </c>
      <c r="I3811">
        <v>28.289339999999999</v>
      </c>
      <c r="J3811">
        <v>-417.34120000000001</v>
      </c>
      <c r="K3811">
        <v>1.125705</v>
      </c>
      <c r="L3811">
        <v>28.484409999999901</v>
      </c>
      <c r="M3811">
        <v>0.62116300000000002</v>
      </c>
      <c r="N3811">
        <v>0</v>
      </c>
      <c r="O3811">
        <v>-0.78350949999999997</v>
      </c>
      <c r="P3811">
        <v>0.8163146</v>
      </c>
      <c r="Q3811">
        <v>5.2341369999999998E-2</v>
      </c>
      <c r="R3811">
        <v>-0.57523139999999995</v>
      </c>
      <c r="S3811">
        <v>2.8541259999999999</v>
      </c>
      <c r="T3811">
        <v>-0.24816239999999901</v>
      </c>
      <c r="U3811">
        <v>-1.2007139999999901</v>
      </c>
      <c r="V3811">
        <v>-0.2846842</v>
      </c>
      <c r="W3811">
        <v>5.7358069999999997E-2</v>
      </c>
      <c r="X3811">
        <v>0.95690379999999997</v>
      </c>
      <c r="Y3811">
        <v>-0.47819840000000002</v>
      </c>
      <c r="Z3811">
        <v>7.5312779999999996E-2</v>
      </c>
      <c r="AA3811">
        <v>0.87501669999999998</v>
      </c>
      <c r="AB3811">
        <v>33</v>
      </c>
      <c r="AC3811">
        <v>0.72669999999999302</v>
      </c>
      <c r="AD3811">
        <v>-7.5803999999999899E-2</v>
      </c>
      <c r="AE3811">
        <v>-0.195069999999994</v>
      </c>
      <c r="AF3811">
        <v>-0.44376238235807403</v>
      </c>
      <c r="AG3811">
        <v>-7.5803999999999899E-2</v>
      </c>
      <c r="AH3811">
        <v>0.598247675476407</v>
      </c>
      <c r="AI3811">
        <v>95.810907896993797</v>
      </c>
      <c r="AJ3811">
        <v>126.566927837774</v>
      </c>
      <c r="AK3811">
        <v>0.74871328265567605</v>
      </c>
    </row>
    <row r="3812" spans="1:37" x14ac:dyDescent="0.2">
      <c r="A3812" t="str">
        <f>"20200111154142144"</f>
        <v>20200111154142144</v>
      </c>
      <c r="B3812" t="str">
        <f>"1578728502139943"</f>
        <v>1578728502139943</v>
      </c>
      <c r="C3812" t="s">
        <v>37</v>
      </c>
      <c r="D3812">
        <v>5.0532170000000001</v>
      </c>
      <c r="E3812">
        <v>0.40897919999999999</v>
      </c>
      <c r="F3812" t="s">
        <v>38</v>
      </c>
      <c r="G3812">
        <v>-416.40379999999999</v>
      </c>
      <c r="H3812">
        <v>1.0474479999999999</v>
      </c>
      <c r="I3812">
        <v>28.10915</v>
      </c>
      <c r="J3812">
        <v>-417.2253</v>
      </c>
      <c r="K3812">
        <v>1.1257349999999999</v>
      </c>
      <c r="L3812">
        <v>28.34918</v>
      </c>
      <c r="M3812">
        <v>0.62890290000000004</v>
      </c>
      <c r="N3812">
        <v>0</v>
      </c>
      <c r="O3812">
        <v>-0.77731039999999996</v>
      </c>
      <c r="P3812">
        <v>0.82111449999999997</v>
      </c>
      <c r="Q3812">
        <v>5.2281880000000003E-2</v>
      </c>
      <c r="R3812">
        <v>-0.56836409999999904</v>
      </c>
      <c r="S3812">
        <v>2.87829599999999</v>
      </c>
      <c r="T3812">
        <v>-0.2403286</v>
      </c>
      <c r="U3812">
        <v>-1.1525570000000001</v>
      </c>
      <c r="V3812">
        <v>-0.2832247</v>
      </c>
      <c r="W3812">
        <v>5.7357110000000003E-2</v>
      </c>
      <c r="X3812">
        <v>0.95733690000000005</v>
      </c>
      <c r="Y3812">
        <v>-0.4848673</v>
      </c>
      <c r="Z3812">
        <v>7.2722170000000003E-2</v>
      </c>
      <c r="AA3812">
        <v>0.87155899999999997</v>
      </c>
      <c r="AB3812">
        <v>33</v>
      </c>
      <c r="AC3812">
        <v>0.821500000000014</v>
      </c>
      <c r="AD3812">
        <v>-7.8286999999999995E-2</v>
      </c>
      <c r="AE3812">
        <v>-0.24002999999999999</v>
      </c>
      <c r="AF3812">
        <v>-0.48362406426642102</v>
      </c>
      <c r="AG3812">
        <v>-7.8286999999999995E-2</v>
      </c>
      <c r="AH3812">
        <v>0.69748036100088096</v>
      </c>
      <c r="AI3812">
        <v>95.269956332317904</v>
      </c>
      <c r="AJ3812">
        <v>124.73694993108001</v>
      </c>
      <c r="AK3812">
        <v>0.85234966057862105</v>
      </c>
    </row>
    <row r="3813" spans="1:37" x14ac:dyDescent="0.2">
      <c r="A3813" t="str">
        <f>"20200111154142160"</f>
        <v>20200111154142160</v>
      </c>
      <c r="B3813" t="str">
        <f>"1578728502150303"</f>
        <v>1578728502150303</v>
      </c>
      <c r="C3813" t="s">
        <v>37</v>
      </c>
      <c r="D3813">
        <v>5.025506</v>
      </c>
      <c r="E3813">
        <v>0.4090625</v>
      </c>
      <c r="F3813" t="s">
        <v>38</v>
      </c>
      <c r="G3813">
        <v>-416.18310000000002</v>
      </c>
      <c r="H3813">
        <v>1.043955</v>
      </c>
      <c r="I3813">
        <v>27.942959999999999</v>
      </c>
      <c r="J3813">
        <v>-417.07330000000002</v>
      </c>
      <c r="K3813">
        <v>1.1257629999999901</v>
      </c>
      <c r="L3813">
        <v>28.177250000000001</v>
      </c>
      <c r="M3813">
        <v>0.63880230000000005</v>
      </c>
      <c r="N3813">
        <v>0</v>
      </c>
      <c r="O3813">
        <v>-0.76919499999999996</v>
      </c>
      <c r="P3813">
        <v>0.82697399999999999</v>
      </c>
      <c r="Q3813">
        <v>5.4018589999999998E-2</v>
      </c>
      <c r="R3813">
        <v>-0.5596392</v>
      </c>
      <c r="S3813">
        <v>2.8886720000000001</v>
      </c>
      <c r="T3813">
        <v>-0.22666430000000001</v>
      </c>
      <c r="U3813">
        <v>-1.1259159999999999</v>
      </c>
      <c r="V3813">
        <v>-0.28108640000000001</v>
      </c>
      <c r="W3813">
        <v>5.9183619999999999E-2</v>
      </c>
      <c r="X3813">
        <v>0.95785580000000003</v>
      </c>
      <c r="Y3813">
        <v>-0.48207299999999997</v>
      </c>
      <c r="Z3813">
        <v>6.8122360000000007E-2</v>
      </c>
      <c r="AA3813">
        <v>0.87347870000000005</v>
      </c>
      <c r="AB3813">
        <v>33</v>
      </c>
      <c r="AC3813">
        <v>0.890199999999992</v>
      </c>
      <c r="AD3813">
        <v>-8.1807999999999798E-2</v>
      </c>
      <c r="AE3813">
        <v>-0.234290000000001</v>
      </c>
      <c r="AF3813">
        <v>-0.53095125224508899</v>
      </c>
      <c r="AG3813">
        <v>-8.1807999999999798E-2</v>
      </c>
      <c r="AH3813">
        <v>0.74310863159531404</v>
      </c>
      <c r="AI3813">
        <v>95.118547361499694</v>
      </c>
      <c r="AJ3813">
        <v>125.54581366404</v>
      </c>
      <c r="AK3813">
        <v>0.91695813398218295</v>
      </c>
    </row>
    <row r="3814" spans="1:37" x14ac:dyDescent="0.2">
      <c r="A3814" t="str">
        <f>"20200111154142172"</f>
        <v>20200111154142172</v>
      </c>
      <c r="B3814" t="str">
        <f>"1578728502169823"</f>
        <v>1578728502169823</v>
      </c>
      <c r="C3814" t="s">
        <v>37</v>
      </c>
      <c r="D3814">
        <v>5.0186409999999997</v>
      </c>
      <c r="E3814">
        <v>0.40970959999999901</v>
      </c>
      <c r="F3814" t="s">
        <v>38</v>
      </c>
      <c r="G3814">
        <v>-416.2448</v>
      </c>
      <c r="H3814">
        <v>1.063693</v>
      </c>
      <c r="I3814">
        <v>27.8642</v>
      </c>
      <c r="J3814">
        <v>-416.95319999999998</v>
      </c>
      <c r="K3814">
        <v>1.1257809999999999</v>
      </c>
      <c r="L3814">
        <v>28.044650000000001</v>
      </c>
      <c r="M3814">
        <v>0.64645609999999998</v>
      </c>
      <c r="N3814">
        <v>0</v>
      </c>
      <c r="O3814">
        <v>-0.76277359999999905</v>
      </c>
      <c r="P3814">
        <v>0.8322543</v>
      </c>
      <c r="Q3814">
        <v>5.581026E-2</v>
      </c>
      <c r="R3814">
        <v>-0.55157789999999995</v>
      </c>
      <c r="S3814">
        <v>2.90036</v>
      </c>
      <c r="T3814">
        <v>-0.21725029999999901</v>
      </c>
      <c r="U3814">
        <v>-1.095734</v>
      </c>
      <c r="V3814">
        <v>-0.28080229999999901</v>
      </c>
      <c r="W3814">
        <v>6.098758E-2</v>
      </c>
      <c r="X3814">
        <v>0.95782599999999996</v>
      </c>
      <c r="Y3814">
        <v>-0.4826763</v>
      </c>
      <c r="Z3814">
        <v>6.5006510000000003E-2</v>
      </c>
      <c r="AA3814">
        <v>0.87338289999999996</v>
      </c>
      <c r="AB3814">
        <v>33</v>
      </c>
      <c r="AC3814">
        <v>0.70839999999998304</v>
      </c>
      <c r="AD3814">
        <v>-6.20879999999999E-2</v>
      </c>
      <c r="AE3814">
        <v>-0.18045</v>
      </c>
      <c r="AF3814">
        <v>-0.42071831337832799</v>
      </c>
      <c r="AG3814">
        <v>-6.20879999999999E-2</v>
      </c>
      <c r="AH3814">
        <v>0.59140650372930603</v>
      </c>
      <c r="AI3814">
        <v>94.889512510425902</v>
      </c>
      <c r="AJ3814">
        <v>125.42751470383701</v>
      </c>
      <c r="AK3814">
        <v>0.72843700593066196</v>
      </c>
    </row>
    <row r="3815" spans="1:37" x14ac:dyDescent="0.2">
      <c r="A3815" t="str">
        <f>"20200111154142186"</f>
        <v>20200111154142186</v>
      </c>
      <c r="B3815" t="str">
        <f>"1578728502179583"</f>
        <v>1578728502179583</v>
      </c>
      <c r="C3815" t="s">
        <v>37</v>
      </c>
      <c r="D3815">
        <v>5.040978</v>
      </c>
      <c r="E3815">
        <v>0.409999</v>
      </c>
      <c r="F3815" t="s">
        <v>38</v>
      </c>
      <c r="G3815">
        <v>-416.0213</v>
      </c>
      <c r="H3815">
        <v>1.0586770000000001</v>
      </c>
      <c r="I3815">
        <v>27.700859999999999</v>
      </c>
      <c r="J3815">
        <v>-416.8229</v>
      </c>
      <c r="K3815">
        <v>1.1257950000000001</v>
      </c>
      <c r="L3815">
        <v>27.902829999999899</v>
      </c>
      <c r="M3815">
        <v>0.65463099999999996</v>
      </c>
      <c r="N3815">
        <v>0</v>
      </c>
      <c r="O3815">
        <v>-0.75576919999999903</v>
      </c>
      <c r="P3815">
        <v>0.83808199999999999</v>
      </c>
      <c r="Q3815">
        <v>5.7443790000000002E-2</v>
      </c>
      <c r="R3815">
        <v>-0.54251210000000005</v>
      </c>
      <c r="S3815">
        <v>2.9078369999999998</v>
      </c>
      <c r="T3815">
        <v>-0.20936109999999999</v>
      </c>
      <c r="U3815">
        <v>-1.07254</v>
      </c>
      <c r="V3815">
        <v>-0.28086709999999998</v>
      </c>
      <c r="W3815">
        <v>6.2619049999999996E-2</v>
      </c>
      <c r="X3815">
        <v>0.95770169999999999</v>
      </c>
      <c r="Y3815">
        <v>-0.48030329999999899</v>
      </c>
      <c r="Z3815">
        <v>6.2281919999999998E-2</v>
      </c>
      <c r="AA3815">
        <v>0.87488840000000001</v>
      </c>
      <c r="AB3815">
        <v>33</v>
      </c>
      <c r="AC3815">
        <v>0.80160000000000697</v>
      </c>
      <c r="AD3815">
        <v>-6.7117999999999997E-2</v>
      </c>
      <c r="AE3815">
        <v>-0.20196999999999901</v>
      </c>
      <c r="AF3815">
        <v>-0.47057088604866898</v>
      </c>
      <c r="AG3815">
        <v>-6.7117999999999997E-2</v>
      </c>
      <c r="AH3815">
        <v>0.67304988229486196</v>
      </c>
      <c r="AI3815">
        <v>94.672271179939997</v>
      </c>
      <c r="AJ3815">
        <v>124.95978254042301</v>
      </c>
      <c r="AK3815">
        <v>0.82397689820635001</v>
      </c>
    </row>
    <row r="3816" spans="1:37" x14ac:dyDescent="0.2">
      <c r="A3816" t="str">
        <f>"20200111154142200"</f>
        <v>20200111154142200</v>
      </c>
      <c r="B3816" t="str">
        <f>"1578728502190320"</f>
        <v>1578728502190320</v>
      </c>
      <c r="C3816" t="s">
        <v>37</v>
      </c>
      <c r="D3816">
        <v>5.1368029999999996</v>
      </c>
      <c r="E3816">
        <v>0.41101509999999902</v>
      </c>
      <c r="F3816" t="s">
        <v>38</v>
      </c>
      <c r="G3816">
        <v>-415.79989999999998</v>
      </c>
      <c r="H3816">
        <v>1.053747</v>
      </c>
      <c r="I3816">
        <v>27.536729999999999</v>
      </c>
      <c r="J3816">
        <v>-416.6841</v>
      </c>
      <c r="K3816">
        <v>1.125799</v>
      </c>
      <c r="L3816">
        <v>27.755579999999998</v>
      </c>
      <c r="M3816">
        <v>0.6631378</v>
      </c>
      <c r="N3816">
        <v>0</v>
      </c>
      <c r="O3816">
        <v>-0.74831579999999998</v>
      </c>
      <c r="P3816">
        <v>0.84375299999999998</v>
      </c>
      <c r="Q3816">
        <v>5.8243679999999999E-2</v>
      </c>
      <c r="R3816">
        <v>-0.53356179999999997</v>
      </c>
      <c r="S3816">
        <v>2.9179379999999999</v>
      </c>
      <c r="T3816">
        <v>-0.20547260000000001</v>
      </c>
      <c r="U3816">
        <v>-1.043884</v>
      </c>
      <c r="V3816">
        <v>-0.2802171</v>
      </c>
      <c r="W3816">
        <v>6.3450430000000002E-2</v>
      </c>
      <c r="X3816">
        <v>0.95783739999999995</v>
      </c>
      <c r="Y3816">
        <v>-0.47906559999999998</v>
      </c>
      <c r="Z3816">
        <v>6.0752750000000001E-2</v>
      </c>
      <c r="AA3816">
        <v>0.87567419999999996</v>
      </c>
      <c r="AB3816">
        <v>33</v>
      </c>
      <c r="AC3816">
        <v>0.88420000000002097</v>
      </c>
      <c r="AD3816">
        <v>-7.2052000000000005E-2</v>
      </c>
      <c r="AE3816">
        <v>-0.21884999999999899</v>
      </c>
      <c r="AF3816">
        <v>-0.51339100965738904</v>
      </c>
      <c r="AG3816">
        <v>-7.2052000000000005E-2</v>
      </c>
      <c r="AH3816">
        <v>0.74555234261830805</v>
      </c>
      <c r="AI3816">
        <v>94.5509398641763</v>
      </c>
      <c r="AJ3816">
        <v>124.551489213075</v>
      </c>
      <c r="AK3816">
        <v>0.90808045628384804</v>
      </c>
    </row>
    <row r="3817" spans="1:37" x14ac:dyDescent="0.2">
      <c r="A3817" t="str">
        <f>"20200111154142217"</f>
        <v>20200111154142217</v>
      </c>
      <c r="B3817" t="str">
        <f>"1578728502209839"</f>
        <v>1578728502209839</v>
      </c>
      <c r="C3817" t="s">
        <v>37</v>
      </c>
      <c r="D3817">
        <v>5.1661679999999999</v>
      </c>
      <c r="E3817">
        <v>0.41326479999999999</v>
      </c>
      <c r="F3817" t="s">
        <v>38</v>
      </c>
      <c r="G3817">
        <v>-415.85129999999998</v>
      </c>
      <c r="H3817">
        <v>1.0671059999999899</v>
      </c>
      <c r="I3817">
        <v>27.464859999999899</v>
      </c>
      <c r="J3817">
        <v>-416.51749999999998</v>
      </c>
      <c r="K3817">
        <v>1.1257889999999999</v>
      </c>
      <c r="L3817">
        <v>27.583369999999999</v>
      </c>
      <c r="M3817">
        <v>0.67310209999999904</v>
      </c>
      <c r="N3817">
        <v>0</v>
      </c>
      <c r="O3817">
        <v>-0.73936610000000003</v>
      </c>
      <c r="P3817">
        <v>0.85003269999999997</v>
      </c>
      <c r="Q3817">
        <v>5.662619E-2</v>
      </c>
      <c r="R3817">
        <v>-0.52367790000000003</v>
      </c>
      <c r="S3817">
        <v>2.92446899999999</v>
      </c>
      <c r="T3817">
        <v>-0.20605749999999901</v>
      </c>
      <c r="U3817">
        <v>-1.0204770000000001</v>
      </c>
      <c r="V3817">
        <v>-0.27858430000000001</v>
      </c>
      <c r="W3817">
        <v>6.1909939999999997E-2</v>
      </c>
      <c r="X3817">
        <v>0.95841430000000005</v>
      </c>
      <c r="Y3817">
        <v>-0.47416989999999998</v>
      </c>
      <c r="Z3817">
        <v>6.0399870000000001E-2</v>
      </c>
      <c r="AA3817">
        <v>0.87835909999999995</v>
      </c>
      <c r="AB3817">
        <v>33</v>
      </c>
      <c r="AC3817">
        <v>0.66620000000000301</v>
      </c>
      <c r="AD3817">
        <v>-5.8682999999999999E-2</v>
      </c>
      <c r="AE3817">
        <v>-0.118510000000004</v>
      </c>
      <c r="AF3817">
        <v>-0.409770428313255</v>
      </c>
      <c r="AG3817">
        <v>-5.8682999999999999E-2</v>
      </c>
      <c r="AH3817">
        <v>0.53211351895272097</v>
      </c>
      <c r="AI3817">
        <v>94.993646762186103</v>
      </c>
      <c r="AJ3817">
        <v>127.599178986068</v>
      </c>
      <c r="AK3817">
        <v>0.67416637075819597</v>
      </c>
    </row>
    <row r="3818" spans="1:37" x14ac:dyDescent="0.2">
      <c r="A3818" t="str">
        <f>"20200111154142230"</f>
        <v>20200111154142230</v>
      </c>
      <c r="B3818" t="str">
        <f>"1578728502219599"</f>
        <v>1578728502219599</v>
      </c>
      <c r="C3818" t="s">
        <v>37</v>
      </c>
      <c r="D3818">
        <v>5.1634929999999999</v>
      </c>
      <c r="E3818">
        <v>0.41326479999999999</v>
      </c>
      <c r="F3818" t="s">
        <v>38</v>
      </c>
      <c r="G3818">
        <v>-415.64240000000001</v>
      </c>
      <c r="H3818">
        <v>1.061593</v>
      </c>
      <c r="I3818">
        <v>27.28397</v>
      </c>
      <c r="J3818">
        <v>-416.38659999999999</v>
      </c>
      <c r="K3818">
        <v>1.125772</v>
      </c>
      <c r="L3818">
        <v>27.451229999999999</v>
      </c>
      <c r="M3818">
        <v>0.68074190000000001</v>
      </c>
      <c r="N3818">
        <v>0</v>
      </c>
      <c r="O3818">
        <v>-0.73233800000000004</v>
      </c>
      <c r="P3818">
        <v>0.85477269999999905</v>
      </c>
      <c r="Q3818">
        <v>5.5408310000000002E-2</v>
      </c>
      <c r="R3818">
        <v>-0.51603659999999996</v>
      </c>
      <c r="S3818">
        <v>2.9267270000000001</v>
      </c>
      <c r="T3818">
        <v>-0.214694</v>
      </c>
      <c r="U3818">
        <v>-1.001282</v>
      </c>
      <c r="V3818">
        <v>-0.27723680000000001</v>
      </c>
      <c r="W3818">
        <v>6.0757220000000001E-2</v>
      </c>
      <c r="X3818">
        <v>0.95887869999999997</v>
      </c>
      <c r="Y3818">
        <v>-0.47021279999999999</v>
      </c>
      <c r="Z3818">
        <v>6.2542059999999997E-2</v>
      </c>
      <c r="AA3818">
        <v>0.88033430000000001</v>
      </c>
      <c r="AB3818">
        <v>33</v>
      </c>
      <c r="AC3818">
        <v>0.74419999999997799</v>
      </c>
      <c r="AD3818">
        <v>-6.4178999999999903E-2</v>
      </c>
      <c r="AE3818">
        <v>-0.16725999999999799</v>
      </c>
      <c r="AF3818">
        <v>-0.428172330242785</v>
      </c>
      <c r="AG3818">
        <v>-6.4178999999999903E-2</v>
      </c>
      <c r="AH3818">
        <v>0.62476137628957296</v>
      </c>
      <c r="AI3818">
        <v>94.843426551699594</v>
      </c>
      <c r="AJ3818">
        <v>124.424298559653</v>
      </c>
      <c r="AK3818">
        <v>0.76011661324416402</v>
      </c>
    </row>
    <row r="3819" spans="1:37" x14ac:dyDescent="0.2">
      <c r="A3819" t="str">
        <f>"20200111154142242"</f>
        <v>20200111154142242</v>
      </c>
      <c r="B3819" t="str">
        <f>"1578728502240096"</f>
        <v>1578728502240096</v>
      </c>
      <c r="C3819" t="s">
        <v>37</v>
      </c>
      <c r="D3819">
        <v>5.1644829999999997</v>
      </c>
      <c r="E3819">
        <v>0.4306662</v>
      </c>
      <c r="F3819" t="s">
        <v>38</v>
      </c>
      <c r="G3819">
        <v>-415.41489999999999</v>
      </c>
      <c r="H3819">
        <v>1.0536779999999999</v>
      </c>
      <c r="I3819">
        <v>27.128509999999999</v>
      </c>
      <c r="J3819">
        <v>-416.26229999999998</v>
      </c>
      <c r="K3819">
        <v>1.1257509999999999</v>
      </c>
      <c r="L3819">
        <v>27.327479999999898</v>
      </c>
      <c r="M3819">
        <v>0.6878763</v>
      </c>
      <c r="N3819">
        <v>0</v>
      </c>
      <c r="O3819">
        <v>-0.72564059999999997</v>
      </c>
      <c r="P3819">
        <v>0.859309199999999</v>
      </c>
      <c r="Q3819">
        <v>5.4150539999999997E-2</v>
      </c>
      <c r="R3819">
        <v>-0.50858179999999997</v>
      </c>
      <c r="S3819">
        <v>2.9356080000000002</v>
      </c>
      <c r="T3819">
        <v>-0.21773200000000001</v>
      </c>
      <c r="U3819">
        <v>-0.97427369999999902</v>
      </c>
      <c r="V3819">
        <v>-0.2762019</v>
      </c>
      <c r="W3819">
        <v>5.9553010000000003E-2</v>
      </c>
      <c r="X3819">
        <v>0.95925280000000002</v>
      </c>
      <c r="Y3819">
        <v>-0.46961909999999901</v>
      </c>
      <c r="Z3819">
        <v>6.3066650000000002E-2</v>
      </c>
      <c r="AA3819">
        <v>0.88061369999999894</v>
      </c>
      <c r="AB3819">
        <v>33</v>
      </c>
      <c r="AC3819">
        <v>0.84739999999999305</v>
      </c>
      <c r="AD3819">
        <v>-7.2072999999999804E-2</v>
      </c>
      <c r="AE3819">
        <v>-0.19896999999999901</v>
      </c>
      <c r="AF3819">
        <v>-0.47485059574906102</v>
      </c>
      <c r="AG3819">
        <v>-7.2072999999999804E-2</v>
      </c>
      <c r="AH3819">
        <v>0.72243308911070203</v>
      </c>
      <c r="AI3819">
        <v>94.765601172844995</v>
      </c>
      <c r="AJ3819">
        <v>123.316659692813</v>
      </c>
      <c r="AK3819">
        <v>0.86751782336403305</v>
      </c>
    </row>
    <row r="3820" spans="1:37" x14ac:dyDescent="0.2">
      <c r="A3820" t="str">
        <f>"20200111154142254"</f>
        <v>20200111154142254</v>
      </c>
      <c r="B3820" t="str">
        <f>"1578728502249860"</f>
        <v>1578728502249860</v>
      </c>
      <c r="C3820" t="s">
        <v>37</v>
      </c>
      <c r="D3820">
        <v>5.1966390000000002</v>
      </c>
      <c r="E3820">
        <v>0.4313303</v>
      </c>
      <c r="F3820" t="s">
        <v>47</v>
      </c>
      <c r="G3820">
        <v>-403.4599</v>
      </c>
      <c r="H3820" s="1">
        <v>-5.0551720000000004E-6</v>
      </c>
      <c r="I3820">
        <v>22.563669999999998</v>
      </c>
      <c r="J3820">
        <v>-416.142</v>
      </c>
      <c r="K3820">
        <v>1.1257280000000001</v>
      </c>
      <c r="L3820">
        <v>27.211269999999999</v>
      </c>
      <c r="M3820">
        <v>0.69460440000000001</v>
      </c>
      <c r="N3820">
        <v>0</v>
      </c>
      <c r="O3820">
        <v>-0.71920289999999998</v>
      </c>
      <c r="P3820">
        <v>0.86380259999999998</v>
      </c>
      <c r="Q3820">
        <v>5.3226929999999999E-2</v>
      </c>
      <c r="R3820">
        <v>-0.50101130000000005</v>
      </c>
      <c r="S3820">
        <v>2.8740839999999999</v>
      </c>
      <c r="T3820">
        <v>-0.2527276</v>
      </c>
      <c r="U3820">
        <v>-1.069458</v>
      </c>
      <c r="V3820">
        <v>-0.27570090000000003</v>
      </c>
      <c r="W3820">
        <v>5.866097E-2</v>
      </c>
      <c r="X3820">
        <v>0.95945190000000002</v>
      </c>
      <c r="Y3820">
        <v>-0.42863639999999997</v>
      </c>
      <c r="Z3820">
        <v>7.2012389999999996E-2</v>
      </c>
      <c r="AA3820">
        <v>0.90060260000000003</v>
      </c>
      <c r="AB3820">
        <v>33</v>
      </c>
      <c r="AC3820">
        <v>12.682099999999901</v>
      </c>
      <c r="AD3820">
        <v>-1.125733055172</v>
      </c>
      <c r="AE3820">
        <v>-4.6475999999999997</v>
      </c>
      <c r="AF3820">
        <v>-5.8529043238922798</v>
      </c>
      <c r="AG3820">
        <v>-1.125733055172</v>
      </c>
      <c r="AH3820">
        <v>12.069423096383799</v>
      </c>
      <c r="AI3820">
        <v>94.797255019662401</v>
      </c>
      <c r="AJ3820">
        <v>115.87044175109401</v>
      </c>
      <c r="AK3820">
        <v>13.460859475370301</v>
      </c>
    </row>
    <row r="3821" spans="1:37" x14ac:dyDescent="0.2">
      <c r="A3821" t="str">
        <f>"20200111154142271"</f>
        <v>20200111154142271</v>
      </c>
      <c r="B3821" t="str">
        <f>"1578728502259621"</f>
        <v>1578728502259621</v>
      </c>
      <c r="C3821" t="s">
        <v>37</v>
      </c>
      <c r="D3821">
        <v>5.2199099999999996</v>
      </c>
      <c r="E3821">
        <v>0.43185010000000001</v>
      </c>
      <c r="F3821" t="s">
        <v>38</v>
      </c>
      <c r="G3821">
        <v>-415.18389999999999</v>
      </c>
      <c r="H3821">
        <v>1.041595</v>
      </c>
      <c r="I3821">
        <v>26.862439999999999</v>
      </c>
      <c r="J3821">
        <v>-415.96620000000001</v>
      </c>
      <c r="K3821">
        <v>1.1256870000000001</v>
      </c>
      <c r="L3821">
        <v>27.044280000000001</v>
      </c>
      <c r="M3821">
        <v>0.70422859999999998</v>
      </c>
      <c r="N3821">
        <v>0</v>
      </c>
      <c r="O3821">
        <v>-0.70978209999999997</v>
      </c>
      <c r="P3821">
        <v>0.87020599999999904</v>
      </c>
      <c r="Q3821">
        <v>5.2564399999999997E-2</v>
      </c>
      <c r="R3821">
        <v>-0.48987599999999998</v>
      </c>
      <c r="S3821">
        <v>2.880341</v>
      </c>
      <c r="T3821">
        <v>-0.25292829999999999</v>
      </c>
      <c r="U3821">
        <v>-1.048767</v>
      </c>
      <c r="V3821">
        <v>-0.27509820000000001</v>
      </c>
      <c r="W3821">
        <v>5.8041660000000002E-2</v>
      </c>
      <c r="X3821">
        <v>0.95966249999999997</v>
      </c>
      <c r="Y3821">
        <v>-0.42283999999999899</v>
      </c>
      <c r="Z3821">
        <v>7.1308179999999999E-2</v>
      </c>
      <c r="AA3821">
        <v>0.90339449999999999</v>
      </c>
      <c r="AB3821">
        <v>33</v>
      </c>
      <c r="AC3821">
        <v>0.78230000000001998</v>
      </c>
      <c r="AD3821">
        <v>-8.4092E-2</v>
      </c>
      <c r="AE3821">
        <v>-0.181839999999997</v>
      </c>
      <c r="AF3821">
        <v>-0.422630512537083</v>
      </c>
      <c r="AG3821">
        <v>-8.4092E-2</v>
      </c>
      <c r="AH3821">
        <v>0.67270261345878501</v>
      </c>
      <c r="AI3821">
        <v>96.042246918614595</v>
      </c>
      <c r="AJ3821">
        <v>122.139403585566</v>
      </c>
      <c r="AK3821">
        <v>0.79888473558182205</v>
      </c>
    </row>
    <row r="3822" spans="1:37" x14ac:dyDescent="0.2">
      <c r="A3822" t="str">
        <f>"20200111154142284"</f>
        <v>20200111154142284</v>
      </c>
      <c r="B3822" t="str">
        <f>"1578728502280116"</f>
        <v>1578728502280116</v>
      </c>
      <c r="C3822" t="s">
        <v>37</v>
      </c>
      <c r="D3822">
        <v>5.2152659999999997</v>
      </c>
      <c r="E3822">
        <v>0.43281140000000001</v>
      </c>
      <c r="F3822" t="s">
        <v>38</v>
      </c>
      <c r="G3822">
        <v>-415.01609999999999</v>
      </c>
      <c r="H3822">
        <v>1.0419609999999999</v>
      </c>
      <c r="I3822">
        <v>26.710359999999898</v>
      </c>
      <c r="J3822">
        <v>-415.83179999999999</v>
      </c>
      <c r="K3822">
        <v>1.1256539999999999</v>
      </c>
      <c r="L3822">
        <v>26.919039999999999</v>
      </c>
      <c r="M3822">
        <v>0.71142090000000002</v>
      </c>
      <c r="N3822">
        <v>0</v>
      </c>
      <c r="O3822">
        <v>-0.70257320000000001</v>
      </c>
      <c r="P3822">
        <v>0.87506399999999995</v>
      </c>
      <c r="Q3822">
        <v>5.2191149999999999E-2</v>
      </c>
      <c r="R3822">
        <v>-0.4811858</v>
      </c>
      <c r="S3822">
        <v>2.8911739999999999</v>
      </c>
      <c r="T3822">
        <v>-0.25471850000000001</v>
      </c>
      <c r="U3822">
        <v>-1.015503</v>
      </c>
      <c r="V3822">
        <v>-0.27487869999999998</v>
      </c>
      <c r="W3822">
        <v>5.7693679999999997E-2</v>
      </c>
      <c r="X3822">
        <v>0.9597464</v>
      </c>
      <c r="Y3822">
        <v>-0.42389650000000001</v>
      </c>
      <c r="Z3822">
        <v>7.1406070000000002E-2</v>
      </c>
      <c r="AA3822">
        <v>0.90289149999999996</v>
      </c>
      <c r="AB3822">
        <v>32</v>
      </c>
      <c r="AC3822">
        <v>0.81569999999999199</v>
      </c>
      <c r="AD3822">
        <v>-8.3693000000000004E-2</v>
      </c>
      <c r="AE3822">
        <v>-0.208680000000004</v>
      </c>
      <c r="AF3822">
        <v>-0.42053211370030202</v>
      </c>
      <c r="AG3822">
        <v>-8.3693000000000004E-2</v>
      </c>
      <c r="AH3822">
        <v>0.71990448155644005</v>
      </c>
      <c r="AI3822">
        <v>95.732349269178897</v>
      </c>
      <c r="AJ3822">
        <v>120.291331293897</v>
      </c>
      <c r="AK3822">
        <v>0.83792257367091605</v>
      </c>
    </row>
    <row r="3823" spans="1:37" x14ac:dyDescent="0.2">
      <c r="A3823" t="str">
        <f>"20200111154142296"</f>
        <v>20200111154142296</v>
      </c>
      <c r="B3823" t="str">
        <f>"1578728502289876"</f>
        <v>1578728502289876</v>
      </c>
      <c r="C3823" t="s">
        <v>37</v>
      </c>
      <c r="D3823">
        <v>5.187392</v>
      </c>
      <c r="E3823">
        <v>0.43318400000000001</v>
      </c>
      <c r="F3823" t="s">
        <v>38</v>
      </c>
      <c r="G3823">
        <v>-414.79849999999999</v>
      </c>
      <c r="H3823">
        <v>1.0347040000000001</v>
      </c>
      <c r="I3823">
        <v>26.56495</v>
      </c>
      <c r="J3823">
        <v>-415.69170000000003</v>
      </c>
      <c r="K3823">
        <v>1.1256109999999999</v>
      </c>
      <c r="L3823">
        <v>26.792209999999901</v>
      </c>
      <c r="M3823">
        <v>0.71871359999999995</v>
      </c>
      <c r="N3823">
        <v>0</v>
      </c>
      <c r="O3823">
        <v>-0.69511119999999904</v>
      </c>
      <c r="P3823">
        <v>0.87976409999999905</v>
      </c>
      <c r="Q3823">
        <v>5.1505549999999997E-2</v>
      </c>
      <c r="R3823">
        <v>-0.47261239999999999</v>
      </c>
      <c r="S3823">
        <v>2.897491</v>
      </c>
      <c r="T3823">
        <v>-0.25503890000000001</v>
      </c>
      <c r="U3823">
        <v>-0.99301149999999905</v>
      </c>
      <c r="V3823">
        <v>-0.27423750000000002</v>
      </c>
      <c r="W3823">
        <v>5.7052440000000003E-2</v>
      </c>
      <c r="X3823">
        <v>0.95996809999999999</v>
      </c>
      <c r="Y3823">
        <v>-0.42134149999999998</v>
      </c>
      <c r="Z3823">
        <v>7.0955770000000001E-2</v>
      </c>
      <c r="AA3823">
        <v>0.90412199999999998</v>
      </c>
      <c r="AB3823">
        <v>32</v>
      </c>
      <c r="AC3823">
        <v>0.89320000000003497</v>
      </c>
      <c r="AD3823">
        <v>-9.0907000000000002E-2</v>
      </c>
      <c r="AE3823">
        <v>-0.22725999999999699</v>
      </c>
      <c r="AF3823">
        <v>-0.45319155375232101</v>
      </c>
      <c r="AG3823">
        <v>-9.0907000000000002E-2</v>
      </c>
      <c r="AH3823">
        <v>0.79232613444537603</v>
      </c>
      <c r="AI3823">
        <v>95.687548580128094</v>
      </c>
      <c r="AJ3823">
        <v>119.768521493764</v>
      </c>
      <c r="AK3823">
        <v>0.91729350284769595</v>
      </c>
    </row>
    <row r="3824" spans="1:37" x14ac:dyDescent="0.2">
      <c r="A3824" t="str">
        <f>"20200111154142309"</f>
        <v>20200111154142309</v>
      </c>
      <c r="B3824" t="str">
        <f>"1578728502299636"</f>
        <v>1578728502299636</v>
      </c>
      <c r="C3824" t="s">
        <v>37</v>
      </c>
      <c r="D3824">
        <v>5.2147110000000003</v>
      </c>
      <c r="E3824">
        <v>0.43362429999999902</v>
      </c>
      <c r="F3824" t="s">
        <v>47</v>
      </c>
      <c r="G3824">
        <v>-402.93680000000001</v>
      </c>
      <c r="H3824" s="1">
        <v>-5.2962320000000003E-6</v>
      </c>
      <c r="I3824">
        <v>22.548770000000001</v>
      </c>
      <c r="J3824">
        <v>-415.56349999999998</v>
      </c>
      <c r="K3824">
        <v>1.1255729999999999</v>
      </c>
      <c r="L3824">
        <v>26.678100000000001</v>
      </c>
      <c r="M3824">
        <v>0.72525130000000004</v>
      </c>
      <c r="N3824">
        <v>0</v>
      </c>
      <c r="O3824">
        <v>-0.68828739999999999</v>
      </c>
      <c r="P3824">
        <v>0.88376359999999998</v>
      </c>
      <c r="Q3824">
        <v>5.126489E-2</v>
      </c>
      <c r="R3824">
        <v>-0.46511720000000001</v>
      </c>
      <c r="S3824">
        <v>2.9057309999999998</v>
      </c>
      <c r="T3824">
        <v>-0.25642880000000001</v>
      </c>
      <c r="U3824">
        <v>-0.96670529999999999</v>
      </c>
      <c r="V3824">
        <v>-0.27331929999999999</v>
      </c>
      <c r="W3824">
        <v>5.6866769999999997E-2</v>
      </c>
      <c r="X3824">
        <v>0.96024100000000001</v>
      </c>
      <c r="Y3824">
        <v>-0.42089779999999999</v>
      </c>
      <c r="Z3824">
        <v>7.0891129999999997E-2</v>
      </c>
      <c r="AA3824">
        <v>0.90433379999999997</v>
      </c>
      <c r="AB3824">
        <v>32</v>
      </c>
      <c r="AC3824">
        <v>12.6266999999999</v>
      </c>
      <c r="AD3824">
        <v>-1.125578296232</v>
      </c>
      <c r="AE3824">
        <v>-4.1293300000000004</v>
      </c>
      <c r="AF3824">
        <v>-5.6561648220002896</v>
      </c>
      <c r="AG3824">
        <v>-1.125578296232</v>
      </c>
      <c r="AH3824">
        <v>11.9157832869905</v>
      </c>
      <c r="AI3824">
        <v>94.877532595947599</v>
      </c>
      <c r="AJ3824">
        <v>115.39268152536</v>
      </c>
      <c r="AK3824">
        <v>13.2380141387258</v>
      </c>
    </row>
    <row r="3825" spans="1:37" x14ac:dyDescent="0.2">
      <c r="A3825" t="str">
        <f>"20200111154142322"</f>
        <v>20200111154142322</v>
      </c>
      <c r="B3825" t="str">
        <f>"1578728502310372"</f>
        <v>1578728502310372</v>
      </c>
      <c r="C3825" t="s">
        <v>37</v>
      </c>
      <c r="D3825">
        <v>5.2474660000000002</v>
      </c>
      <c r="E3825">
        <v>0.43395099999999998</v>
      </c>
      <c r="F3825" t="s">
        <v>38</v>
      </c>
      <c r="G3825">
        <v>-414.5924</v>
      </c>
      <c r="H3825">
        <v>1.039757</v>
      </c>
      <c r="I3825">
        <v>26.3628099999999</v>
      </c>
      <c r="J3825">
        <v>-415.43239999999997</v>
      </c>
      <c r="K3825">
        <v>1.125526</v>
      </c>
      <c r="L3825">
        <v>26.562989999999999</v>
      </c>
      <c r="M3825">
        <v>0.73182029999999998</v>
      </c>
      <c r="N3825">
        <v>0</v>
      </c>
      <c r="O3825">
        <v>-0.68129899999999999</v>
      </c>
      <c r="P3825">
        <v>0.88773599999999997</v>
      </c>
      <c r="Q3825">
        <v>5.0947489999999998E-2</v>
      </c>
      <c r="R3825">
        <v>-0.45752520000000002</v>
      </c>
      <c r="S3825">
        <v>2.9122619999999899</v>
      </c>
      <c r="T3825">
        <v>-0.25729930000000001</v>
      </c>
      <c r="U3825">
        <v>-0.94479369999999996</v>
      </c>
      <c r="V3825">
        <v>-0.2723332</v>
      </c>
      <c r="W3825">
        <v>5.6608270000000002E-2</v>
      </c>
      <c r="X3825">
        <v>0.96053639999999996</v>
      </c>
      <c r="Y3825">
        <v>-0.41895569999999999</v>
      </c>
      <c r="Z3825">
        <v>7.0613209999999996E-2</v>
      </c>
      <c r="AA3825">
        <v>0.90525679999999997</v>
      </c>
      <c r="AB3825">
        <v>32</v>
      </c>
      <c r="AC3825">
        <v>0.83999999999997499</v>
      </c>
      <c r="AD3825">
        <v>-8.5768999999999901E-2</v>
      </c>
      <c r="AE3825">
        <v>-0.20018000000000599</v>
      </c>
      <c r="AF3825">
        <v>-0.42169286893720898</v>
      </c>
      <c r="AG3825">
        <v>-8.5768999999999901E-2</v>
      </c>
      <c r="AH3825">
        <v>0.74387458840148202</v>
      </c>
      <c r="AI3825">
        <v>95.727859583411103</v>
      </c>
      <c r="AJ3825">
        <v>119.548339126608</v>
      </c>
      <c r="AK3825">
        <v>0.85937803110329103</v>
      </c>
    </row>
    <row r="3826" spans="1:37" x14ac:dyDescent="0.2">
      <c r="A3826" t="str">
        <f>"20200111154142339"</f>
        <v>20200111154142339</v>
      </c>
      <c r="B3826" t="str">
        <f>"1578728502329892"</f>
        <v>1578728502329892</v>
      </c>
      <c r="C3826" t="s">
        <v>37</v>
      </c>
      <c r="D3826">
        <v>5.2335750000000001</v>
      </c>
      <c r="E3826">
        <v>0.4346624</v>
      </c>
      <c r="F3826" t="s">
        <v>47</v>
      </c>
      <c r="G3826">
        <v>-402.69220000000001</v>
      </c>
      <c r="H3826" s="1">
        <v>-5.4084099999999996E-6</v>
      </c>
      <c r="I3826">
        <v>22.539059999999999</v>
      </c>
      <c r="J3826">
        <v>-415.24149999999997</v>
      </c>
      <c r="K3826">
        <v>1.1254489999999999</v>
      </c>
      <c r="L3826">
        <v>26.400359999999999</v>
      </c>
      <c r="M3826">
        <v>0.74109040000000004</v>
      </c>
      <c r="N3826">
        <v>0</v>
      </c>
      <c r="O3826">
        <v>-0.67120400000000002</v>
      </c>
      <c r="P3826">
        <v>0.89311669999999999</v>
      </c>
      <c r="Q3826">
        <v>5.0856180000000001E-2</v>
      </c>
      <c r="R3826">
        <v>-0.44694070000000002</v>
      </c>
      <c r="S3826">
        <v>2.9190369999999999</v>
      </c>
      <c r="T3826">
        <v>-0.25788299999999997</v>
      </c>
      <c r="U3826">
        <v>-0.92196659999999997</v>
      </c>
      <c r="V3826">
        <v>-0.27057290000000001</v>
      </c>
      <c r="W3826">
        <v>5.6618259999999997E-2</v>
      </c>
      <c r="X3826">
        <v>0.96103320000000003</v>
      </c>
      <c r="Y3826">
        <v>-0.41358099999999998</v>
      </c>
      <c r="Z3826">
        <v>6.991522E-2</v>
      </c>
      <c r="AA3826">
        <v>0.90777890000000006</v>
      </c>
      <c r="AB3826">
        <v>32</v>
      </c>
      <c r="AC3826">
        <v>12.549299999999899</v>
      </c>
      <c r="AD3826">
        <v>-1.12545440841</v>
      </c>
      <c r="AE3826">
        <v>-3.8613</v>
      </c>
      <c r="AF3826">
        <v>-5.5217491774122598</v>
      </c>
      <c r="AG3826">
        <v>-1.12545440841</v>
      </c>
      <c r="AH3826">
        <v>11.8067441546642</v>
      </c>
      <c r="AI3826">
        <v>94.935056756569793</v>
      </c>
      <c r="AJ3826">
        <v>115.064436549476</v>
      </c>
      <c r="AK3826">
        <v>13.0826438129821</v>
      </c>
    </row>
    <row r="3827" spans="1:37" x14ac:dyDescent="0.2">
      <c r="A3827" t="str">
        <f>"20200111154142351"</f>
        <v>20200111154142351</v>
      </c>
      <c r="B3827" t="str">
        <f>"1578728502339653"</f>
        <v>1578728502339653</v>
      </c>
      <c r="C3827" t="s">
        <v>37</v>
      </c>
      <c r="D3827">
        <v>5.2269110000000003</v>
      </c>
      <c r="E3827">
        <v>0.43509189999999998</v>
      </c>
      <c r="F3827" t="s">
        <v>47</v>
      </c>
      <c r="G3827">
        <v>-402.50130000000001</v>
      </c>
      <c r="H3827" s="1">
        <v>-5.4937789999999999E-6</v>
      </c>
      <c r="I3827">
        <v>22.518920000000001</v>
      </c>
      <c r="J3827">
        <v>-415.11349999999999</v>
      </c>
      <c r="K3827">
        <v>1.125399</v>
      </c>
      <c r="L3827">
        <v>26.293879999999898</v>
      </c>
      <c r="M3827">
        <v>0.74714480000000005</v>
      </c>
      <c r="N3827">
        <v>0</v>
      </c>
      <c r="O3827">
        <v>-0.66445869999999996</v>
      </c>
      <c r="P3827">
        <v>0.89697640000000001</v>
      </c>
      <c r="Q3827">
        <v>5.0703989999999997E-2</v>
      </c>
      <c r="R3827">
        <v>-0.43916169999999999</v>
      </c>
      <c r="S3827">
        <v>2.92746</v>
      </c>
      <c r="T3827">
        <v>-0.25860670000000002</v>
      </c>
      <c r="U3827">
        <v>-0.89187619999999901</v>
      </c>
      <c r="V3827">
        <v>-0.27020659999999902</v>
      </c>
      <c r="W3827">
        <v>5.6501620000000002E-2</v>
      </c>
      <c r="X3827">
        <v>0.96114299999999997</v>
      </c>
      <c r="Y3827">
        <v>-0.41459600000000002</v>
      </c>
      <c r="Z3827">
        <v>6.9710250000000001E-2</v>
      </c>
      <c r="AA3827">
        <v>0.90733159999999902</v>
      </c>
      <c r="AB3827">
        <v>32</v>
      </c>
      <c r="AC3827">
        <v>12.6121999999999</v>
      </c>
      <c r="AD3827">
        <v>-1.125404493779</v>
      </c>
      <c r="AE3827">
        <v>-3.7749599999999899</v>
      </c>
      <c r="AF3827">
        <v>-5.5202533041125097</v>
      </c>
      <c r="AG3827">
        <v>-1.125404493779</v>
      </c>
      <c r="AH3827">
        <v>11.846482288213201</v>
      </c>
      <c r="AI3827">
        <v>94.921547622777496</v>
      </c>
      <c r="AJ3827">
        <v>114.984694860039</v>
      </c>
      <c r="AK3827">
        <v>13.117883763059201</v>
      </c>
    </row>
    <row r="3828" spans="1:37" x14ac:dyDescent="0.2">
      <c r="A3828" t="str">
        <f>"20200111154142366"</f>
        <v>20200111154142366</v>
      </c>
      <c r="B3828" t="str">
        <f>"1578728502360148"</f>
        <v>1578728502360148</v>
      </c>
      <c r="C3828" t="s">
        <v>37</v>
      </c>
      <c r="D3828">
        <v>5.2128269999999999</v>
      </c>
      <c r="E3828">
        <v>0.43540469999999998</v>
      </c>
      <c r="F3828" t="s">
        <v>38</v>
      </c>
      <c r="G3828">
        <v>-414.09070000000003</v>
      </c>
      <c r="H3828">
        <v>1.035209</v>
      </c>
      <c r="I3828">
        <v>25.990670000000001</v>
      </c>
      <c r="J3828">
        <v>-414.96769999999998</v>
      </c>
      <c r="K3828">
        <v>1.125343</v>
      </c>
      <c r="L3828">
        <v>26.174219999999998</v>
      </c>
      <c r="M3828">
        <v>0.75390559999999995</v>
      </c>
      <c r="N3828">
        <v>0</v>
      </c>
      <c r="O3828">
        <v>-0.65677790000000003</v>
      </c>
      <c r="P3828">
        <v>0.90141550000000004</v>
      </c>
      <c r="Q3828">
        <v>5.1273930000000002E-2</v>
      </c>
      <c r="R3828">
        <v>-0.42990800000000001</v>
      </c>
      <c r="S3828">
        <v>2.9335939999999998</v>
      </c>
      <c r="T3828">
        <v>-0.25865470000000002</v>
      </c>
      <c r="U3828">
        <v>-0.86929319999999899</v>
      </c>
      <c r="V3828">
        <v>-0.27025300000000002</v>
      </c>
      <c r="W3828">
        <v>5.709243E-2</v>
      </c>
      <c r="X3828">
        <v>0.96109509999999898</v>
      </c>
      <c r="Y3828">
        <v>-0.41225420000000002</v>
      </c>
      <c r="Z3828">
        <v>6.912865E-2</v>
      </c>
      <c r="AA3828">
        <v>0.90844239999999998</v>
      </c>
      <c r="AB3828">
        <v>32</v>
      </c>
      <c r="AC3828">
        <v>0.87699999999995204</v>
      </c>
      <c r="AD3828">
        <v>-9.0133999999999895E-2</v>
      </c>
      <c r="AE3828">
        <v>-0.18354999999999999</v>
      </c>
      <c r="AF3828">
        <v>-0.43328907485749901</v>
      </c>
      <c r="AG3828">
        <v>-9.0133999999999895E-2</v>
      </c>
      <c r="AH3828">
        <v>0.77399951859793104</v>
      </c>
      <c r="AI3828">
        <v>95.802123239157794</v>
      </c>
      <c r="AJ3828">
        <v>119.240335705014</v>
      </c>
      <c r="AK3828">
        <v>0.89159341357857502</v>
      </c>
    </row>
    <row r="3829" spans="1:37" x14ac:dyDescent="0.2">
      <c r="A3829" t="str">
        <f>"20200111154142377"</f>
        <v>20200111154142377</v>
      </c>
      <c r="B3829" t="str">
        <f>"1578728502369908"</f>
        <v>1578728502369908</v>
      </c>
      <c r="C3829" t="s">
        <v>37</v>
      </c>
      <c r="D3829">
        <v>5.2204920000000001</v>
      </c>
      <c r="E3829">
        <v>0.4414883</v>
      </c>
      <c r="F3829" t="s">
        <v>38</v>
      </c>
      <c r="G3829">
        <v>-413.92950000000002</v>
      </c>
      <c r="H3829">
        <v>1.0345690000000001</v>
      </c>
      <c r="I3829">
        <v>25.877199999999998</v>
      </c>
      <c r="J3829">
        <v>-414.82029999999997</v>
      </c>
      <c r="K3829">
        <v>1.1252869999999999</v>
      </c>
      <c r="L3829">
        <v>26.05649</v>
      </c>
      <c r="M3829">
        <v>0.76055289999999998</v>
      </c>
      <c r="N3829">
        <v>0</v>
      </c>
      <c r="O3829">
        <v>-0.64906900000000001</v>
      </c>
      <c r="P3829">
        <v>0.90551329999999997</v>
      </c>
      <c r="Q3829">
        <v>5.1411869999999998E-2</v>
      </c>
      <c r="R3829">
        <v>-0.4211917</v>
      </c>
      <c r="S3829">
        <v>2.9414060000000002</v>
      </c>
      <c r="T3829">
        <v>-0.257185</v>
      </c>
      <c r="U3829">
        <v>-0.84143069999999898</v>
      </c>
      <c r="V3829">
        <v>-0.26973150000000001</v>
      </c>
      <c r="W3829">
        <v>5.7275710000000001E-2</v>
      </c>
      <c r="X3829">
        <v>0.96123069999999899</v>
      </c>
      <c r="Y3829">
        <v>-0.41164139999999999</v>
      </c>
      <c r="Z3829">
        <v>6.8196380000000001E-2</v>
      </c>
      <c r="AA3829">
        <v>0.90879069999999995</v>
      </c>
      <c r="AB3829">
        <v>32</v>
      </c>
      <c r="AC3829">
        <v>0.89079999999995596</v>
      </c>
      <c r="AD3829">
        <v>-9.0717999999999993E-2</v>
      </c>
      <c r="AE3829">
        <v>-0.179290000000001</v>
      </c>
      <c r="AF3829">
        <v>-0.43752949282456499</v>
      </c>
      <c r="AG3829">
        <v>-9.0717999999999993E-2</v>
      </c>
      <c r="AH3829">
        <v>0.786143010447651</v>
      </c>
      <c r="AI3829">
        <v>95.757778083484595</v>
      </c>
      <c r="AJ3829">
        <v>119.098214158047</v>
      </c>
      <c r="AK3829">
        <v>0.90425806354768901</v>
      </c>
    </row>
    <row r="3830" spans="1:37" x14ac:dyDescent="0.2">
      <c r="A3830" t="str">
        <f>"20200111154142396"</f>
        <v>20200111154142396</v>
      </c>
      <c r="B3830" t="str">
        <f>"1578728502390406"</f>
        <v>1578728502390406</v>
      </c>
      <c r="C3830" t="s">
        <v>37</v>
      </c>
      <c r="D3830">
        <v>5.2464040000000001</v>
      </c>
      <c r="E3830">
        <v>0.44214110000000001</v>
      </c>
      <c r="F3830" t="s">
        <v>47</v>
      </c>
      <c r="G3830">
        <v>-402.07209999999998</v>
      </c>
      <c r="H3830" s="1">
        <v>-5.6593670000000001E-6</v>
      </c>
      <c r="I3830">
        <v>22.326139999999999</v>
      </c>
      <c r="J3830">
        <v>-414.62400000000002</v>
      </c>
      <c r="K3830">
        <v>1.125205</v>
      </c>
      <c r="L3830">
        <v>25.903229999999901</v>
      </c>
      <c r="M3830">
        <v>0.76916879999999999</v>
      </c>
      <c r="N3830">
        <v>0</v>
      </c>
      <c r="O3830">
        <v>-0.63883610000000002</v>
      </c>
      <c r="P3830">
        <v>0.91033199999999903</v>
      </c>
      <c r="Q3830">
        <v>5.196067E-2</v>
      </c>
      <c r="R3830">
        <v>-0.41060419999999997</v>
      </c>
      <c r="S3830">
        <v>2.9290159999999998</v>
      </c>
      <c r="T3830">
        <v>-0.25854769999999999</v>
      </c>
      <c r="U3830">
        <v>-0.85708619999999902</v>
      </c>
      <c r="V3830">
        <v>-0.26806669999999999</v>
      </c>
      <c r="W3830">
        <v>5.7925039999999997E-2</v>
      </c>
      <c r="X3830">
        <v>0.9616574</v>
      </c>
      <c r="Y3830">
        <v>-0.3939164</v>
      </c>
      <c r="Z3830">
        <v>6.7359069999999993E-2</v>
      </c>
      <c r="AA3830">
        <v>0.91667480000000001</v>
      </c>
      <c r="AB3830">
        <v>32</v>
      </c>
      <c r="AC3830">
        <v>12.5519</v>
      </c>
      <c r="AD3830">
        <v>-1.1252106593669999</v>
      </c>
      <c r="AE3830">
        <v>-3.5770899999999899</v>
      </c>
      <c r="AF3830">
        <v>-5.2290611056180101</v>
      </c>
      <c r="AG3830">
        <v>-1.1252106593669999</v>
      </c>
      <c r="AH3830">
        <v>11.8532038756448</v>
      </c>
      <c r="AI3830">
        <v>94.963845969818706</v>
      </c>
      <c r="AJ3830">
        <v>113.80475575410399</v>
      </c>
      <c r="AK3830">
        <v>13.004138617834</v>
      </c>
    </row>
    <row r="3831" spans="1:37" x14ac:dyDescent="0.2">
      <c r="A3831" t="str">
        <f>"20200111154142409"</f>
        <v>20200111154142409</v>
      </c>
      <c r="B3831" t="str">
        <f>"1578728502400164"</f>
        <v>1578728502400164</v>
      </c>
      <c r="C3831" t="s">
        <v>37</v>
      </c>
      <c r="D3831">
        <v>5.2392949999999896</v>
      </c>
      <c r="E3831">
        <v>0.44269999999999998</v>
      </c>
      <c r="F3831" t="s">
        <v>47</v>
      </c>
      <c r="G3831">
        <v>-401.81259999999997</v>
      </c>
      <c r="H3831" s="1">
        <v>-5.7742589999999901E-6</v>
      </c>
      <c r="I3831">
        <v>22.29233</v>
      </c>
      <c r="J3831">
        <v>-414.46929999999998</v>
      </c>
      <c r="K3831">
        <v>1.1251359999999999</v>
      </c>
      <c r="L3831">
        <v>25.785250000000001</v>
      </c>
      <c r="M3831">
        <v>0.77576840000000002</v>
      </c>
      <c r="N3831">
        <v>0</v>
      </c>
      <c r="O3831">
        <v>-0.63080630000000004</v>
      </c>
      <c r="P3831">
        <v>0.91414580000000001</v>
      </c>
      <c r="Q3831">
        <v>5.216614E-2</v>
      </c>
      <c r="R3831">
        <v>-0.40201559999999997</v>
      </c>
      <c r="S3831">
        <v>2.93689</v>
      </c>
      <c r="T3831">
        <v>-0.25794240000000002</v>
      </c>
      <c r="U3831">
        <v>-0.82775880000000002</v>
      </c>
      <c r="V3831">
        <v>-0.26711360000000001</v>
      </c>
      <c r="W3831">
        <v>5.8194950000000002E-2</v>
      </c>
      <c r="X3831">
        <v>0.96190629999999999</v>
      </c>
      <c r="Y3831">
        <v>-0.3935302</v>
      </c>
      <c r="Z3831">
        <v>6.6637409999999994E-2</v>
      </c>
      <c r="AA3831">
        <v>0.91689339999999997</v>
      </c>
      <c r="AB3831">
        <v>32</v>
      </c>
      <c r="AC3831">
        <v>12.656700000000001</v>
      </c>
      <c r="AD3831">
        <v>-1.125141774259</v>
      </c>
      <c r="AE3831">
        <v>-3.4929199999999998</v>
      </c>
      <c r="AF3831">
        <v>-5.2364794047735099</v>
      </c>
      <c r="AG3831">
        <v>-1.125141774259</v>
      </c>
      <c r="AH3831">
        <v>11.935977495770899</v>
      </c>
      <c r="AI3831">
        <v>94.933701976561295</v>
      </c>
      <c r="AJ3831">
        <v>113.68772989697101</v>
      </c>
      <c r="AK3831">
        <v>13.0825922258683</v>
      </c>
    </row>
    <row r="3832" spans="1:37" x14ac:dyDescent="0.2">
      <c r="A3832" t="str">
        <f>"20200111154142421"</f>
        <v>20200111154142421</v>
      </c>
      <c r="B3832" t="str">
        <f>"1578728502409925"</f>
        <v>1578728502409925</v>
      </c>
      <c r="C3832" t="s">
        <v>37</v>
      </c>
      <c r="D3832">
        <v>5.2759219999999996</v>
      </c>
      <c r="E3832">
        <v>0.44320939999999998</v>
      </c>
      <c r="F3832" t="s">
        <v>47</v>
      </c>
      <c r="G3832">
        <v>-401.60930000000002</v>
      </c>
      <c r="H3832" s="1">
        <v>-5.865231E-6</v>
      </c>
      <c r="I3832">
        <v>22.27148</v>
      </c>
      <c r="J3832">
        <v>-414.33460000000002</v>
      </c>
      <c r="K3832">
        <v>1.1250770000000001</v>
      </c>
      <c r="L3832">
        <v>25.68411</v>
      </c>
      <c r="M3832">
        <v>0.78139709999999996</v>
      </c>
      <c r="N3832">
        <v>0</v>
      </c>
      <c r="O3832">
        <v>-0.62382029999999999</v>
      </c>
      <c r="P3832">
        <v>0.91720630000000003</v>
      </c>
      <c r="Q3832">
        <v>5.1993659999999997E-2</v>
      </c>
      <c r="R3832">
        <v>-0.3950053</v>
      </c>
      <c r="S3832">
        <v>2.942841</v>
      </c>
      <c r="T3832">
        <v>-0.25747320000000001</v>
      </c>
      <c r="U3832">
        <v>-0.80407709999999999</v>
      </c>
      <c r="V3832">
        <v>-0.26583709999999899</v>
      </c>
      <c r="W3832">
        <v>5.8097839999999998E-2</v>
      </c>
      <c r="X3832">
        <v>0.962265699999999</v>
      </c>
      <c r="Y3832">
        <v>-0.39265889999999998</v>
      </c>
      <c r="Z3832">
        <v>6.6007029999999994E-2</v>
      </c>
      <c r="AA3832">
        <v>0.91731240000000003</v>
      </c>
      <c r="AB3832">
        <v>32</v>
      </c>
      <c r="AC3832">
        <v>12.725300000000001</v>
      </c>
      <c r="AD3832">
        <v>-1.1250828652310001</v>
      </c>
      <c r="AE3832">
        <v>-3.4126300000000001</v>
      </c>
      <c r="AF3832">
        <v>-5.2342146362573896</v>
      </c>
      <c r="AG3832">
        <v>-1.1250828652310001</v>
      </c>
      <c r="AH3832">
        <v>11.9865801404392</v>
      </c>
      <c r="AI3832">
        <v>94.916386471567904</v>
      </c>
      <c r="AJ3832">
        <v>113.58958938247901</v>
      </c>
      <c r="AK3832">
        <v>13.1278679828531</v>
      </c>
    </row>
    <row r="3833" spans="1:37" x14ac:dyDescent="0.2">
      <c r="A3833" t="str">
        <f>"20200111154142441"</f>
        <v>20200111154142441</v>
      </c>
      <c r="B3833" t="str">
        <f>"1578728502430420"</f>
        <v>1578728502430420</v>
      </c>
      <c r="C3833" t="s">
        <v>37</v>
      </c>
      <c r="D3833">
        <v>5.2709349999999997</v>
      </c>
      <c r="E3833">
        <v>0.44379600000000002</v>
      </c>
      <c r="F3833" t="s">
        <v>47</v>
      </c>
      <c r="G3833">
        <v>-401.4341</v>
      </c>
      <c r="H3833" s="1">
        <v>-5.9427400000000001E-6</v>
      </c>
      <c r="I3833">
        <v>22.24859</v>
      </c>
      <c r="J3833">
        <v>-414.11599999999999</v>
      </c>
      <c r="K3833">
        <v>1.1249819999999999</v>
      </c>
      <c r="L3833">
        <v>25.524719999999999</v>
      </c>
      <c r="M3833">
        <v>0.7902477</v>
      </c>
      <c r="N3833">
        <v>0</v>
      </c>
      <c r="O3833">
        <v>-0.61257090000000003</v>
      </c>
      <c r="P3833">
        <v>0.92174820000000002</v>
      </c>
      <c r="Q3833">
        <v>5.1440859999999998E-2</v>
      </c>
      <c r="R3833">
        <v>-0.38436189999999998</v>
      </c>
      <c r="S3833">
        <v>2.9473569999999998</v>
      </c>
      <c r="T3833">
        <v>-0.25704719999999998</v>
      </c>
      <c r="U3833">
        <v>-0.7849121</v>
      </c>
      <c r="V3833">
        <v>-0.26318190000000002</v>
      </c>
      <c r="W3833">
        <v>5.7690350000000001E-2</v>
      </c>
      <c r="X3833">
        <v>0.96301979999999998</v>
      </c>
      <c r="Y3833">
        <v>-0.38547500000000001</v>
      </c>
      <c r="Z3833">
        <v>6.4849130000000005E-2</v>
      </c>
      <c r="AA3833">
        <v>0.92043660000000005</v>
      </c>
      <c r="AB3833">
        <v>32</v>
      </c>
      <c r="AC3833">
        <v>12.681899999999899</v>
      </c>
      <c r="AD3833">
        <v>-1.12498794273999</v>
      </c>
      <c r="AE3833">
        <v>-3.2761300000000002</v>
      </c>
      <c r="AF3833">
        <v>-5.1423619417615001</v>
      </c>
      <c r="AG3833">
        <v>-1.12498794273999</v>
      </c>
      <c r="AH3833">
        <v>11.9422053528078</v>
      </c>
      <c r="AI3833">
        <v>94.945038158820907</v>
      </c>
      <c r="AJ3833">
        <v>113.296907014569</v>
      </c>
      <c r="AK3833">
        <v>13.0508908853005</v>
      </c>
    </row>
    <row r="3834" spans="1:37" x14ac:dyDescent="0.2">
      <c r="A3834" t="str">
        <f>"20200111154142454"</f>
        <v>20200111154142454</v>
      </c>
      <c r="B3834" t="str">
        <f>"1578728502449940"</f>
        <v>1578728502449940</v>
      </c>
      <c r="C3834" t="s">
        <v>37</v>
      </c>
      <c r="D3834">
        <v>5.274197</v>
      </c>
      <c r="E3834">
        <v>0.44916289999999998</v>
      </c>
      <c r="F3834" t="s">
        <v>47</v>
      </c>
      <c r="G3834">
        <v>-401.15019999999998</v>
      </c>
      <c r="H3834" s="1">
        <v>-6.0548339999999997E-6</v>
      </c>
      <c r="I3834">
        <v>22.2135</v>
      </c>
      <c r="J3834">
        <v>-413.95670000000001</v>
      </c>
      <c r="K3834">
        <v>1.1249089999999999</v>
      </c>
      <c r="L3834">
        <v>25.41187</v>
      </c>
      <c r="M3834">
        <v>0.79649099999999995</v>
      </c>
      <c r="N3834">
        <v>0</v>
      </c>
      <c r="O3834">
        <v>-0.60443159999999996</v>
      </c>
      <c r="P3834">
        <v>0.92513349999999905</v>
      </c>
      <c r="Q3834">
        <v>5.170727E-2</v>
      </c>
      <c r="R3834">
        <v>-0.37610479999999902</v>
      </c>
      <c r="S3834">
        <v>2.9543459999999899</v>
      </c>
      <c r="T3834">
        <v>-0.25633699999999998</v>
      </c>
      <c r="U3834">
        <v>-0.75448609999999905</v>
      </c>
      <c r="V3834">
        <v>-0.26190210000000003</v>
      </c>
      <c r="W3834">
        <v>5.8035950000000003E-2</v>
      </c>
      <c r="X3834">
        <v>0.96334789999999904</v>
      </c>
      <c r="Y3834">
        <v>-0.38547550000000003</v>
      </c>
      <c r="Z3834">
        <v>6.4113359999999994E-2</v>
      </c>
      <c r="AA3834">
        <v>0.92048799999999997</v>
      </c>
      <c r="AB3834">
        <v>32</v>
      </c>
      <c r="AC3834">
        <v>12.8065</v>
      </c>
      <c r="AD3834">
        <v>-1.1249150548339999</v>
      </c>
      <c r="AE3834">
        <v>-3.1983700000000002</v>
      </c>
      <c r="AF3834">
        <v>-5.1564175629532203</v>
      </c>
      <c r="AG3834">
        <v>-1.1249150548339999</v>
      </c>
      <c r="AH3834">
        <v>12.047564487816601</v>
      </c>
      <c r="AI3834">
        <v>94.906285848377294</v>
      </c>
      <c r="AJ3834">
        <v>113.17116577733201</v>
      </c>
      <c r="AK3834">
        <v>13.1528660774838</v>
      </c>
    </row>
    <row r="3835" spans="1:37" x14ac:dyDescent="0.2">
      <c r="A3835" t="str">
        <f>"20200111154142467"</f>
        <v>20200111154142467</v>
      </c>
      <c r="B3835" t="str">
        <f>"1578728502459700"</f>
        <v>1578728502459700</v>
      </c>
      <c r="C3835" t="s">
        <v>37</v>
      </c>
      <c r="D3835">
        <v>5.2771589999999904</v>
      </c>
      <c r="E3835">
        <v>0.44973930000000001</v>
      </c>
      <c r="F3835" t="s">
        <v>47</v>
      </c>
      <c r="G3835">
        <v>-401.14409999999998</v>
      </c>
      <c r="H3835" s="1">
        <v>-6.040921E-6</v>
      </c>
      <c r="I3835">
        <v>22.071750000000002</v>
      </c>
      <c r="J3835">
        <v>-413.81079999999997</v>
      </c>
      <c r="K3835">
        <v>1.1248419999999999</v>
      </c>
      <c r="L3835">
        <v>25.31015</v>
      </c>
      <c r="M3835">
        <v>0.80208369999999996</v>
      </c>
      <c r="N3835">
        <v>0</v>
      </c>
      <c r="O3835">
        <v>-0.59699049999999998</v>
      </c>
      <c r="P3835">
        <v>0.92801369999999905</v>
      </c>
      <c r="Q3835">
        <v>5.2291360000000002E-2</v>
      </c>
      <c r="R3835">
        <v>-0.36885780000000001</v>
      </c>
      <c r="S3835">
        <v>2.9450989999999999</v>
      </c>
      <c r="T3835">
        <v>-0.25857419999999998</v>
      </c>
      <c r="U3835">
        <v>-0.76776119999999903</v>
      </c>
      <c r="V3835">
        <v>-0.26045750000000001</v>
      </c>
      <c r="W3835">
        <v>5.8704289999999999E-2</v>
      </c>
      <c r="X3835">
        <v>0.96369899999999997</v>
      </c>
      <c r="Y3835">
        <v>-0.37226729999999902</v>
      </c>
      <c r="Z3835">
        <v>6.3749639999999996E-2</v>
      </c>
      <c r="AA3835">
        <v>0.92593359999999902</v>
      </c>
      <c r="AB3835">
        <v>32</v>
      </c>
      <c r="AC3835">
        <v>12.666699999999899</v>
      </c>
      <c r="AD3835">
        <v>-1.124848040921</v>
      </c>
      <c r="AE3835">
        <v>-3.2383999999999902</v>
      </c>
      <c r="AF3835">
        <v>-4.9286046468662104</v>
      </c>
      <c r="AG3835">
        <v>-1.124848040921</v>
      </c>
      <c r="AH3835">
        <v>12.005775129520099</v>
      </c>
      <c r="AI3835">
        <v>94.953624299734301</v>
      </c>
      <c r="AJ3835">
        <v>112.319105559668</v>
      </c>
      <c r="AK3835">
        <v>13.026705774710599</v>
      </c>
    </row>
    <row r="3836" spans="1:37" x14ac:dyDescent="0.2">
      <c r="A3836" t="str">
        <f>"20200111154142485"</f>
        <v>20200111154142485</v>
      </c>
      <c r="B3836" t="str">
        <f>"1578728502480196"</f>
        <v>1578728502480196</v>
      </c>
      <c r="C3836" t="s">
        <v>37</v>
      </c>
      <c r="D3836">
        <v>5.3121669999999996</v>
      </c>
      <c r="E3836">
        <v>0.44957570000000002</v>
      </c>
      <c r="F3836" t="s">
        <v>47</v>
      </c>
      <c r="G3836">
        <v>-401.048</v>
      </c>
      <c r="H3836" s="1">
        <v>-6.0727490000000002E-6</v>
      </c>
      <c r="I3836">
        <v>22.068519999999999</v>
      </c>
      <c r="J3836">
        <v>-413.6096</v>
      </c>
      <c r="K3836">
        <v>1.1247559999999901</v>
      </c>
      <c r="L3836">
        <v>25.17313</v>
      </c>
      <c r="M3836">
        <v>0.80958240000000004</v>
      </c>
      <c r="N3836">
        <v>0</v>
      </c>
      <c r="O3836">
        <v>-0.58678189999999997</v>
      </c>
      <c r="P3836">
        <v>0.93132909999999902</v>
      </c>
      <c r="Q3836">
        <v>5.2650250000000003E-2</v>
      </c>
      <c r="R3836">
        <v>-0.36035240000000002</v>
      </c>
      <c r="S3836">
        <v>2.9496150000000001</v>
      </c>
      <c r="T3836">
        <v>-0.25996439999999998</v>
      </c>
      <c r="U3836">
        <v>-0.74917599999999995</v>
      </c>
      <c r="V3836">
        <v>-0.2570482</v>
      </c>
      <c r="W3836">
        <v>5.9235990000000002E-2</v>
      </c>
      <c r="X3836">
        <v>0.96458140000000003</v>
      </c>
      <c r="Y3836">
        <v>-0.3663459</v>
      </c>
      <c r="Z3836">
        <v>6.3122369999999997E-2</v>
      </c>
      <c r="AA3836">
        <v>0.92833519999999903</v>
      </c>
      <c r="AB3836">
        <v>32</v>
      </c>
      <c r="AC3836">
        <v>12.5616</v>
      </c>
      <c r="AD3836">
        <v>-1.124762072749</v>
      </c>
      <c r="AE3836">
        <v>-3.1046100000000001</v>
      </c>
      <c r="AF3836">
        <v>-4.8216897707944799</v>
      </c>
      <c r="AG3836">
        <v>-1.124762072749</v>
      </c>
      <c r="AH3836">
        <v>11.9030213104525</v>
      </c>
      <c r="AI3836">
        <v>95.005251786266996</v>
      </c>
      <c r="AJ3836">
        <v>112.051942593772</v>
      </c>
      <c r="AK3836">
        <v>12.8916910559928</v>
      </c>
    </row>
    <row r="3837" spans="1:37" x14ac:dyDescent="0.2">
      <c r="A3837" t="str">
        <f>"20200111154142496"</f>
        <v>20200111154142496</v>
      </c>
      <c r="B3837" t="str">
        <f>"1578728502489956"</f>
        <v>1578728502489956</v>
      </c>
      <c r="C3837" t="s">
        <v>37</v>
      </c>
      <c r="D3837">
        <v>5.2781989999999999</v>
      </c>
      <c r="E3837">
        <v>0.45027250000000002</v>
      </c>
      <c r="F3837" t="s">
        <v>47</v>
      </c>
      <c r="G3837">
        <v>-400.6721</v>
      </c>
      <c r="H3837" s="1">
        <v>-6.1931390000000001E-6</v>
      </c>
      <c r="I3837">
        <v>22.020229999999898</v>
      </c>
      <c r="J3837">
        <v>-413.46039999999999</v>
      </c>
      <c r="K3837">
        <v>1.1246830000000001</v>
      </c>
      <c r="L3837">
        <v>25.074339999999999</v>
      </c>
      <c r="M3837">
        <v>0.81497509999999995</v>
      </c>
      <c r="N3837">
        <v>0</v>
      </c>
      <c r="O3837">
        <v>-0.57926949999999999</v>
      </c>
      <c r="P3837">
        <v>0.93401399999999901</v>
      </c>
      <c r="Q3837">
        <v>5.2408879999999998E-2</v>
      </c>
      <c r="R3837">
        <v>-0.3533713</v>
      </c>
      <c r="S3837">
        <v>2.9569399999999999</v>
      </c>
      <c r="T3837">
        <v>-0.2570712</v>
      </c>
      <c r="U3837">
        <v>-0.72061160000000002</v>
      </c>
      <c r="V3837">
        <v>-0.25533349999999999</v>
      </c>
      <c r="W3837">
        <v>5.9089370000000002E-2</v>
      </c>
      <c r="X3837">
        <v>0.96504570000000001</v>
      </c>
      <c r="Y3837">
        <v>-0.36683359999999998</v>
      </c>
      <c r="Z3837">
        <v>6.1891139999999997E-2</v>
      </c>
      <c r="AA3837">
        <v>0.92822549999999904</v>
      </c>
      <c r="AB3837">
        <v>32</v>
      </c>
      <c r="AC3837">
        <v>12.7882999999999</v>
      </c>
      <c r="AD3837">
        <v>-1.124689193139</v>
      </c>
      <c r="AE3837">
        <v>-3.0541100000000001</v>
      </c>
      <c r="AF3837">
        <v>-4.8837582576600198</v>
      </c>
      <c r="AG3837">
        <v>-1.124689193139</v>
      </c>
      <c r="AH3837">
        <v>12.1043280487264</v>
      </c>
      <c r="AI3837">
        <v>94.924843994052296</v>
      </c>
      <c r="AJ3837">
        <v>111.972699401452</v>
      </c>
      <c r="AK3837">
        <v>13.1007930298746</v>
      </c>
    </row>
    <row r="3838" spans="1:37" x14ac:dyDescent="0.2">
      <c r="A3838" t="str">
        <f>"20200111154142509"</f>
        <v>20200111154142509</v>
      </c>
      <c r="B3838" t="str">
        <f>"1578728502499716"</f>
        <v>1578728502499716</v>
      </c>
      <c r="C3838" t="s">
        <v>37</v>
      </c>
      <c r="D3838">
        <v>5.2534710000000002</v>
      </c>
      <c r="E3838">
        <v>0.45077729999999999</v>
      </c>
      <c r="F3838" t="s">
        <v>47</v>
      </c>
      <c r="G3838">
        <v>-400.49279999999999</v>
      </c>
      <c r="H3838" s="1">
        <v>-6.2501789999999999E-6</v>
      </c>
      <c r="I3838">
        <v>21.9938</v>
      </c>
      <c r="J3838">
        <v>-413.32330000000002</v>
      </c>
      <c r="K3838">
        <v>1.1246129999999901</v>
      </c>
      <c r="L3838">
        <v>24.98517</v>
      </c>
      <c r="M3838">
        <v>0.81982140000000003</v>
      </c>
      <c r="N3838">
        <v>0</v>
      </c>
      <c r="O3838">
        <v>-0.57239039999999997</v>
      </c>
      <c r="P3838">
        <v>0.9362838</v>
      </c>
      <c r="Q3838">
        <v>5.2249879999999999E-2</v>
      </c>
      <c r="R3838">
        <v>-0.34733649999999999</v>
      </c>
      <c r="S3838">
        <v>2.9603269999999999</v>
      </c>
      <c r="T3838">
        <v>-0.25675199999999998</v>
      </c>
      <c r="U3838">
        <v>-0.70324709999999901</v>
      </c>
      <c r="V3838">
        <v>-0.25342700000000001</v>
      </c>
      <c r="W3838">
        <v>5.9030829999999999E-2</v>
      </c>
      <c r="X3838">
        <v>0.96555170000000001</v>
      </c>
      <c r="Y3838">
        <v>-0.36443559999999903</v>
      </c>
      <c r="Z3838">
        <v>6.1236930000000002E-2</v>
      </c>
      <c r="AA3838">
        <v>0.92921299999999996</v>
      </c>
      <c r="AB3838">
        <v>32</v>
      </c>
      <c r="AC3838">
        <v>12.830500000000001</v>
      </c>
      <c r="AD3838">
        <v>-1.12461925017899</v>
      </c>
      <c r="AE3838">
        <v>-2.9913699999999999</v>
      </c>
      <c r="AF3838">
        <v>-4.85691574095571</v>
      </c>
      <c r="AG3838">
        <v>-1.12461925017899</v>
      </c>
      <c r="AH3838">
        <v>12.144061899057601</v>
      </c>
      <c r="AI3838">
        <v>94.914473922405506</v>
      </c>
      <c r="AJ3838">
        <v>111.798525673428</v>
      </c>
      <c r="AK3838">
        <v>13.127552642467601</v>
      </c>
    </row>
    <row r="3839" spans="1:37" x14ac:dyDescent="0.2">
      <c r="A3839" t="str">
        <f>"20200111154142520"</f>
        <v>20200111154142520</v>
      </c>
      <c r="B3839" t="str">
        <f>"1578728502510452"</f>
        <v>1578728502510452</v>
      </c>
      <c r="C3839" t="s">
        <v>37</v>
      </c>
      <c r="D3839">
        <v>5.2825689999999996</v>
      </c>
      <c r="E3839">
        <v>0.45121440000000002</v>
      </c>
      <c r="F3839" t="s">
        <v>47</v>
      </c>
      <c r="G3839">
        <v>-400.41919999999999</v>
      </c>
      <c r="H3839" s="1">
        <v>-6.2744679999999998E-6</v>
      </c>
      <c r="I3839">
        <v>21.99072</v>
      </c>
      <c r="J3839">
        <v>-413.18610000000001</v>
      </c>
      <c r="K3839">
        <v>1.1245430000000001</v>
      </c>
      <c r="L3839">
        <v>24.897129999999901</v>
      </c>
      <c r="M3839">
        <v>0.82457919999999996</v>
      </c>
      <c r="N3839">
        <v>0</v>
      </c>
      <c r="O3839">
        <v>-0.5655154</v>
      </c>
      <c r="P3839">
        <v>0.93849309999999997</v>
      </c>
      <c r="Q3839">
        <v>5.2398800000000002E-2</v>
      </c>
      <c r="R3839">
        <v>-0.34129910000000002</v>
      </c>
      <c r="S3839">
        <v>2.96347</v>
      </c>
      <c r="T3839">
        <v>-0.25827260000000002</v>
      </c>
      <c r="U3839">
        <v>-0.68768309999999999</v>
      </c>
      <c r="V3839">
        <v>-0.25156039999999902</v>
      </c>
      <c r="W3839">
        <v>5.9278360000000002E-2</v>
      </c>
      <c r="X3839">
        <v>0.96602449999999995</v>
      </c>
      <c r="Y3839">
        <v>-0.36149389999999998</v>
      </c>
      <c r="Z3839">
        <v>6.0988109999999998E-2</v>
      </c>
      <c r="AA3839">
        <v>0.93037769999999997</v>
      </c>
      <c r="AB3839">
        <v>32</v>
      </c>
      <c r="AC3839">
        <v>12.7669</v>
      </c>
      <c r="AD3839">
        <v>-1.1245492744679999</v>
      </c>
      <c r="AE3839">
        <v>-2.9064099999999899</v>
      </c>
      <c r="AF3839">
        <v>-4.7886214201015598</v>
      </c>
      <c r="AG3839">
        <v>-1.1245492744679999</v>
      </c>
      <c r="AH3839">
        <v>12.0833997464348</v>
      </c>
      <c r="AI3839">
        <v>94.9448763969297</v>
      </c>
      <c r="AJ3839">
        <v>111.61830033237899</v>
      </c>
      <c r="AK3839">
        <v>13.046227638973001</v>
      </c>
    </row>
    <row r="3840" spans="1:37" x14ac:dyDescent="0.2">
      <c r="A3840" t="str">
        <f>"20200111154142532"</f>
        <v>20200111154142532</v>
      </c>
      <c r="B3840" t="str">
        <f>"1578728502529972"</f>
        <v>1578728502529972</v>
      </c>
      <c r="C3840" t="s">
        <v>37</v>
      </c>
      <c r="D3840">
        <v>5.2767140000000001</v>
      </c>
      <c r="E3840">
        <v>0.45218239999999998</v>
      </c>
      <c r="F3840" t="s">
        <v>47</v>
      </c>
      <c r="G3840">
        <v>-400.26049999999998</v>
      </c>
      <c r="H3840" s="1">
        <v>-6.325377E-6</v>
      </c>
      <c r="I3840">
        <v>21.970849999999999</v>
      </c>
      <c r="J3840">
        <v>-413.04689999999999</v>
      </c>
      <c r="K3840">
        <v>1.1244689999999999</v>
      </c>
      <c r="L3840">
        <v>24.81015</v>
      </c>
      <c r="M3840">
        <v>0.82927629999999997</v>
      </c>
      <c r="N3840">
        <v>0</v>
      </c>
      <c r="O3840">
        <v>-0.55860559999999904</v>
      </c>
      <c r="P3840">
        <v>0.94074139999999995</v>
      </c>
      <c r="Q3840">
        <v>5.2378149999999998E-2</v>
      </c>
      <c r="R3840">
        <v>-0.33505570000000001</v>
      </c>
      <c r="S3840">
        <v>2.9667970000000001</v>
      </c>
      <c r="T3840">
        <v>-0.25811590000000001</v>
      </c>
      <c r="U3840">
        <v>-0.67166139999999996</v>
      </c>
      <c r="V3840">
        <v>-0.2498938</v>
      </c>
      <c r="W3840">
        <v>5.9349279999999997E-2</v>
      </c>
      <c r="X3840">
        <v>0.96645270000000005</v>
      </c>
      <c r="Y3840">
        <v>-0.35874429999999902</v>
      </c>
      <c r="Z3840">
        <v>6.03406999999999E-2</v>
      </c>
      <c r="AA3840">
        <v>0.93148349999999902</v>
      </c>
      <c r="AB3840">
        <v>32</v>
      </c>
      <c r="AC3840">
        <v>12.7864</v>
      </c>
      <c r="AD3840">
        <v>-1.1244753253769999</v>
      </c>
      <c r="AE3840">
        <v>-2.8393000000000002</v>
      </c>
      <c r="AF3840">
        <v>-4.7535779627038002</v>
      </c>
      <c r="AG3840">
        <v>-1.1244753253769999</v>
      </c>
      <c r="AH3840">
        <v>12.101898330144801</v>
      </c>
      <c r="AI3840">
        <v>94.942908174902101</v>
      </c>
      <c r="AJ3840">
        <v>111.44470432026399</v>
      </c>
      <c r="AK3840">
        <v>13.050551382912801</v>
      </c>
    </row>
    <row r="3841" spans="1:37" x14ac:dyDescent="0.2">
      <c r="A3841" t="str">
        <f>"20200111154142545"</f>
        <v>20200111154142545</v>
      </c>
      <c r="B3841" t="str">
        <f>"1578728502539734"</f>
        <v>1578728502539734</v>
      </c>
      <c r="C3841" t="s">
        <v>37</v>
      </c>
      <c r="D3841">
        <v>5.3015400000000001</v>
      </c>
      <c r="E3841">
        <v>0.45253549999999998</v>
      </c>
      <c r="F3841" t="s">
        <v>47</v>
      </c>
      <c r="G3841">
        <v>-400.17630000000003</v>
      </c>
      <c r="H3841" s="1">
        <v>-6.3513079999999999E-6</v>
      </c>
      <c r="I3841">
        <v>21.950970000000002</v>
      </c>
      <c r="J3841">
        <v>-412.899</v>
      </c>
      <c r="K3841">
        <v>1.1243909999999999</v>
      </c>
      <c r="L3841">
        <v>24.718629999999902</v>
      </c>
      <c r="M3841">
        <v>0.83417450000000004</v>
      </c>
      <c r="N3841">
        <v>0</v>
      </c>
      <c r="O3841">
        <v>-0.5512648</v>
      </c>
      <c r="P3841">
        <v>0.94312379999999996</v>
      </c>
      <c r="Q3841">
        <v>5.2524620000000001E-2</v>
      </c>
      <c r="R3841">
        <v>-0.3282658</v>
      </c>
      <c r="S3841">
        <v>2.9685359999999998</v>
      </c>
      <c r="T3841">
        <v>-0.25935409999999998</v>
      </c>
      <c r="U3841">
        <v>-0.65945430000000005</v>
      </c>
      <c r="V3841">
        <v>-0.24831710000000001</v>
      </c>
      <c r="W3841">
        <v>5.9587750000000002E-2</v>
      </c>
      <c r="X3841">
        <v>0.96684429999999999</v>
      </c>
      <c r="Y3841">
        <v>-0.35427929999999902</v>
      </c>
      <c r="Z3841">
        <v>5.9925859999999997E-2</v>
      </c>
      <c r="AA3841">
        <v>0.93321759999999998</v>
      </c>
      <c r="AB3841">
        <v>32</v>
      </c>
      <c r="AC3841">
        <v>12.7226999999999</v>
      </c>
      <c r="AD3841">
        <v>-1.1243973513079999</v>
      </c>
      <c r="AE3841">
        <v>-2.76765999999999</v>
      </c>
      <c r="AF3841">
        <v>-4.6706451529164399</v>
      </c>
      <c r="AG3841">
        <v>-1.1243973513079999</v>
      </c>
      <c r="AH3841">
        <v>12.050376712196099</v>
      </c>
      <c r="AI3841">
        <v>94.972302732718404</v>
      </c>
      <c r="AJ3841">
        <v>111.18599664487201</v>
      </c>
      <c r="AK3841">
        <v>12.972693415552801</v>
      </c>
    </row>
    <row r="3842" spans="1:37" x14ac:dyDescent="0.2">
      <c r="A3842" t="str">
        <f>"20200111154142562"</f>
        <v>20200111154142562</v>
      </c>
      <c r="B3842" t="str">
        <f>"1578728502550468"</f>
        <v>1578728502550468</v>
      </c>
      <c r="C3842" t="s">
        <v>37</v>
      </c>
      <c r="D3842">
        <v>5.2780569999999898</v>
      </c>
      <c r="E3842">
        <v>0.45294809999999902</v>
      </c>
      <c r="F3842" t="s">
        <v>47</v>
      </c>
      <c r="G3842">
        <v>-399.96319999999997</v>
      </c>
      <c r="H3842" s="1">
        <v>-6.4201959999999998E-6</v>
      </c>
      <c r="I3842">
        <v>21.92916</v>
      </c>
      <c r="J3842">
        <v>-412.68740000000003</v>
      </c>
      <c r="K3842">
        <v>1.1242620000000001</v>
      </c>
      <c r="L3842">
        <v>24.591249999999999</v>
      </c>
      <c r="M3842">
        <v>0.84095779999999998</v>
      </c>
      <c r="N3842">
        <v>0</v>
      </c>
      <c r="O3842">
        <v>-0.54086140000000005</v>
      </c>
      <c r="P3842">
        <v>0.94614010000000004</v>
      </c>
      <c r="Q3842">
        <v>5.2361610000000003E-2</v>
      </c>
      <c r="R3842">
        <v>-0.3194958</v>
      </c>
      <c r="S3842">
        <v>2.972229</v>
      </c>
      <c r="T3842">
        <v>-0.25835059999999999</v>
      </c>
      <c r="U3842">
        <v>-0.64093020000000001</v>
      </c>
      <c r="V3842">
        <v>-0.24526149999999899</v>
      </c>
      <c r="W3842">
        <v>5.9587750000000002E-2</v>
      </c>
      <c r="X3842">
        <v>0.96762389999999998</v>
      </c>
      <c r="Y3842">
        <v>-0.3485357</v>
      </c>
      <c r="Z3842">
        <v>5.8699620000000001E-2</v>
      </c>
      <c r="AA3842">
        <v>0.93545560000000005</v>
      </c>
      <c r="AB3842">
        <v>32</v>
      </c>
      <c r="AC3842">
        <v>12.7242</v>
      </c>
      <c r="AD3842">
        <v>-1.124268420196</v>
      </c>
      <c r="AE3842">
        <v>-2.6620899999999899</v>
      </c>
      <c r="AF3842">
        <v>-4.6094480550575501</v>
      </c>
      <c r="AG3842">
        <v>-1.124268420196</v>
      </c>
      <c r="AH3842">
        <v>12.051767511114701</v>
      </c>
      <c r="AI3842">
        <v>94.979667931053896</v>
      </c>
      <c r="AJ3842">
        <v>110.930388435794</v>
      </c>
      <c r="AK3842">
        <v>12.952068985103701</v>
      </c>
    </row>
    <row r="3843" spans="1:37" x14ac:dyDescent="0.2">
      <c r="A3843" t="str">
        <f>"20200111154142576"</f>
        <v>20200111154142576</v>
      </c>
      <c r="B3843" t="str">
        <f>"1578728502569988"</f>
        <v>1578728502569988</v>
      </c>
      <c r="C3843" t="s">
        <v>37</v>
      </c>
      <c r="D3843">
        <v>5.2936719999999999</v>
      </c>
      <c r="E3843">
        <v>0.45384600000000003</v>
      </c>
      <c r="F3843" t="s">
        <v>39</v>
      </c>
      <c r="G3843">
        <v>-399.765999999999</v>
      </c>
      <c r="H3843" s="1">
        <v>-7.0246309999999897E-7</v>
      </c>
      <c r="I3843">
        <v>21.91412</v>
      </c>
      <c r="J3843">
        <v>-412.52339999999998</v>
      </c>
      <c r="K3843">
        <v>1.1241559999999999</v>
      </c>
      <c r="L3843">
        <v>24.495509999999999</v>
      </c>
      <c r="M3843">
        <v>0.84603209999999995</v>
      </c>
      <c r="N3843">
        <v>0</v>
      </c>
      <c r="O3843">
        <v>-0.53288970000000002</v>
      </c>
      <c r="P3843">
        <v>0.94859660000000001</v>
      </c>
      <c r="Q3843">
        <v>5.168847E-2</v>
      </c>
      <c r="R3843">
        <v>-0.31223800000000002</v>
      </c>
      <c r="S3843">
        <v>2.97683699999999</v>
      </c>
      <c r="T3843">
        <v>-0.25900899999999999</v>
      </c>
      <c r="U3843">
        <v>-0.61676030000000004</v>
      </c>
      <c r="V3843">
        <v>-0.24350869999999999</v>
      </c>
      <c r="W3843">
        <v>5.9017499999999903E-2</v>
      </c>
      <c r="X3843">
        <v>0.9681014</v>
      </c>
      <c r="Y3843">
        <v>-0.34726659999999998</v>
      </c>
      <c r="Z3843">
        <v>5.8208349999999999E-2</v>
      </c>
      <c r="AA3843">
        <v>0.93595810000000002</v>
      </c>
      <c r="AB3843">
        <v>32</v>
      </c>
      <c r="AC3843">
        <v>12.757400000000001</v>
      </c>
      <c r="AD3843">
        <v>-1.1241567024630901</v>
      </c>
      <c r="AE3843">
        <v>-2.5813899999999901</v>
      </c>
      <c r="AF3843">
        <v>-4.5807745044871204</v>
      </c>
      <c r="AG3843">
        <v>-1.1241567024630901</v>
      </c>
      <c r="AH3843">
        <v>12.0802267627736</v>
      </c>
      <c r="AI3843">
        <v>94.972890212803094</v>
      </c>
      <c r="AJ3843">
        <v>110.766530501636</v>
      </c>
      <c r="AK3843">
        <v>12.9683885657657</v>
      </c>
    </row>
    <row r="3844" spans="1:37" x14ac:dyDescent="0.2">
      <c r="A3844" t="str">
        <f>"20200111154142588"</f>
        <v>20200111154142588</v>
      </c>
      <c r="B3844" t="str">
        <f>"1578728502579750"</f>
        <v>1578728502579750</v>
      </c>
      <c r="C3844" t="s">
        <v>37</v>
      </c>
      <c r="D3844">
        <v>5.3016059999999996</v>
      </c>
      <c r="E3844">
        <v>0.45384600000000003</v>
      </c>
      <c r="F3844" t="s">
        <v>39</v>
      </c>
      <c r="G3844">
        <v>-399.75040000000001</v>
      </c>
      <c r="H3844" s="1">
        <v>-7.1133309999999997E-7</v>
      </c>
      <c r="I3844">
        <v>21.919709999999998</v>
      </c>
      <c r="J3844">
        <v>-412.36779999999999</v>
      </c>
      <c r="K3844">
        <v>1.1240479999999999</v>
      </c>
      <c r="L3844">
        <v>24.406099999999999</v>
      </c>
      <c r="M3844">
        <v>0.85072939999999997</v>
      </c>
      <c r="N3844">
        <v>0</v>
      </c>
      <c r="O3844">
        <v>-0.52535919999999903</v>
      </c>
      <c r="P3844">
        <v>0.95071410000000001</v>
      </c>
      <c r="Q3844">
        <v>5.1100119999999999E-2</v>
      </c>
      <c r="R3844">
        <v>-0.30582929999999903</v>
      </c>
      <c r="S3844">
        <v>2.9791259999999999</v>
      </c>
      <c r="T3844">
        <v>-0.26219340000000002</v>
      </c>
      <c r="U3844">
        <v>-0.600769</v>
      </c>
      <c r="V3844">
        <v>-0.2414279</v>
      </c>
      <c r="W3844">
        <v>5.8544350000000002E-2</v>
      </c>
      <c r="X3844">
        <v>0.96865119999999905</v>
      </c>
      <c r="Y3844">
        <v>-0.34387319999999999</v>
      </c>
      <c r="Z3844">
        <v>5.8227550000000003E-2</v>
      </c>
      <c r="AA3844">
        <v>0.93720899999999996</v>
      </c>
      <c r="AB3844">
        <v>32</v>
      </c>
      <c r="AC3844">
        <v>12.6173999999999</v>
      </c>
      <c r="AD3844">
        <v>-1.1240487113330999</v>
      </c>
      <c r="AE3844">
        <v>-2.4863899999999899</v>
      </c>
      <c r="AF3844">
        <v>-4.4797777998066897</v>
      </c>
      <c r="AG3844">
        <v>-1.1240487113330999</v>
      </c>
      <c r="AH3844">
        <v>11.950489704337</v>
      </c>
      <c r="AI3844">
        <v>95.033281401637396</v>
      </c>
      <c r="AJ3844">
        <v>110.549084854539</v>
      </c>
      <c r="AK3844">
        <v>12.811951405408699</v>
      </c>
    </row>
    <row r="3845" spans="1:37" x14ac:dyDescent="0.2">
      <c r="A3845" t="str">
        <f>"20200111154142600"</f>
        <v>20200111154142600</v>
      </c>
      <c r="B3845" t="str">
        <f>"1578728502589508"</f>
        <v>1578728502589508</v>
      </c>
      <c r="C3845" t="s">
        <v>37</v>
      </c>
      <c r="D3845">
        <v>5.325196</v>
      </c>
      <c r="E3845">
        <v>0.46049099999999998</v>
      </c>
      <c r="F3845" t="s">
        <v>39</v>
      </c>
      <c r="G3845">
        <v>-399.6583</v>
      </c>
      <c r="H3845" s="1">
        <v>-7.5845430000000005E-7</v>
      </c>
      <c r="I3845">
        <v>21.933160000000001</v>
      </c>
      <c r="J3845">
        <v>-412.22550000000001</v>
      </c>
      <c r="K3845">
        <v>1.123947</v>
      </c>
      <c r="L3845">
        <v>24.325620000000001</v>
      </c>
      <c r="M3845">
        <v>0.85492299999999999</v>
      </c>
      <c r="N3845">
        <v>0</v>
      </c>
      <c r="O3845">
        <v>-0.51850810000000003</v>
      </c>
      <c r="P3845">
        <v>0.95250900000000005</v>
      </c>
      <c r="Q3845">
        <v>4.9810680000000003E-2</v>
      </c>
      <c r="R3845">
        <v>-0.30040909999999998</v>
      </c>
      <c r="S3845">
        <v>2.9830019999999999</v>
      </c>
      <c r="T3845">
        <v>-0.26382149999999999</v>
      </c>
      <c r="U3845">
        <v>-0.58041379999999998</v>
      </c>
      <c r="V3845">
        <v>-0.23913909999999999</v>
      </c>
      <c r="W3845">
        <v>5.7376629999999998E-2</v>
      </c>
      <c r="X3845">
        <v>0.96928859999999994</v>
      </c>
      <c r="Y3845">
        <v>-0.34271439999999997</v>
      </c>
      <c r="Z3845">
        <v>5.8014929999999999E-2</v>
      </c>
      <c r="AA3845">
        <v>0.9376466</v>
      </c>
      <c r="AB3845">
        <v>32</v>
      </c>
      <c r="AC3845">
        <v>12.5672</v>
      </c>
      <c r="AD3845">
        <v>-1.1239477584543001</v>
      </c>
      <c r="AE3845">
        <v>-2.3924599999999998</v>
      </c>
      <c r="AF3845">
        <v>-4.4371485270389197</v>
      </c>
      <c r="AG3845">
        <v>-1.1239477584543001</v>
      </c>
      <c r="AH3845">
        <v>11.8942225946347</v>
      </c>
      <c r="AI3845">
        <v>95.059506095219902</v>
      </c>
      <c r="AJ3845">
        <v>110.45806740301499</v>
      </c>
      <c r="AK3845">
        <v>12.7445704810109</v>
      </c>
    </row>
    <row r="3846" spans="1:37" x14ac:dyDescent="0.2">
      <c r="A3846" t="str">
        <f>"20200111154142611"</f>
        <v>20200111154142611</v>
      </c>
      <c r="B3846" t="str">
        <f>"1578728502610004"</f>
        <v>1578728502610004</v>
      </c>
      <c r="C3846" t="s">
        <v>37</v>
      </c>
      <c r="D3846">
        <v>5.3185659999999997</v>
      </c>
      <c r="E3846">
        <v>0.46049099999999998</v>
      </c>
      <c r="F3846" t="s">
        <v>47</v>
      </c>
      <c r="G3846">
        <v>-400.60750000000002</v>
      </c>
      <c r="H3846" s="1">
        <v>-6.2039110000000001E-6</v>
      </c>
      <c r="I3846">
        <v>21.92389</v>
      </c>
      <c r="J3846">
        <v>-412.08600000000001</v>
      </c>
      <c r="K3846">
        <v>1.123839</v>
      </c>
      <c r="L3846">
        <v>24.248839999999898</v>
      </c>
      <c r="M3846">
        <v>0.85890849999999996</v>
      </c>
      <c r="N3846">
        <v>0</v>
      </c>
      <c r="O3846">
        <v>-0.51187970000000005</v>
      </c>
      <c r="P3846">
        <v>0.95406970000000002</v>
      </c>
      <c r="Q3846">
        <v>4.8696330000000003E-2</v>
      </c>
      <c r="R3846">
        <v>-0.2956009</v>
      </c>
      <c r="S3846">
        <v>2.970917</v>
      </c>
      <c r="T3846">
        <v>-0.2874159</v>
      </c>
      <c r="U3846">
        <v>-0.61416630000000005</v>
      </c>
      <c r="V3846">
        <v>-0.2365053</v>
      </c>
      <c r="W3846">
        <v>5.6395470000000003E-2</v>
      </c>
      <c r="X3846">
        <v>0.96999219999999897</v>
      </c>
      <c r="Y3846">
        <v>-0.32396449999999999</v>
      </c>
      <c r="Z3846">
        <v>6.1894789999999998E-2</v>
      </c>
      <c r="AA3846">
        <v>0.94404239999999995</v>
      </c>
      <c r="AB3846">
        <v>32</v>
      </c>
      <c r="AC3846">
        <v>11.478499999999899</v>
      </c>
      <c r="AD3846">
        <v>-1.1238452039110001</v>
      </c>
      <c r="AE3846">
        <v>-2.3249499999999901</v>
      </c>
      <c r="AF3846">
        <v>-3.8437922123886499</v>
      </c>
      <c r="AG3846">
        <v>-1.1238452039110001</v>
      </c>
      <c r="AH3846">
        <v>10.9496587961427</v>
      </c>
      <c r="AI3846">
        <v>95.5314864819523</v>
      </c>
      <c r="AJ3846">
        <v>109.343225479341</v>
      </c>
      <c r="AK3846">
        <v>11.659022015860501</v>
      </c>
    </row>
    <row r="3847" spans="1:37" x14ac:dyDescent="0.2">
      <c r="A3847" t="str">
        <f>"20200111154142630"</f>
        <v>20200111154142630</v>
      </c>
      <c r="B3847" t="str">
        <f>"1578728502619766"</f>
        <v>1578728502619766</v>
      </c>
      <c r="C3847" t="s">
        <v>37</v>
      </c>
      <c r="D3847">
        <v>5.5583099999999996</v>
      </c>
      <c r="E3847">
        <v>0.46281030000000001</v>
      </c>
      <c r="F3847" t="s">
        <v>47</v>
      </c>
      <c r="G3847">
        <v>-400.58109999999999</v>
      </c>
      <c r="H3847" s="1">
        <v>-6.2137969999999998E-6</v>
      </c>
      <c r="I3847">
        <v>21.932970000000001</v>
      </c>
      <c r="J3847">
        <v>-411.85860000000002</v>
      </c>
      <c r="K3847">
        <v>1.1236629999999901</v>
      </c>
      <c r="L3847">
        <v>24.12595</v>
      </c>
      <c r="M3847">
        <v>0.86521389999999998</v>
      </c>
      <c r="N3847">
        <v>0</v>
      </c>
      <c r="O3847">
        <v>-0.50114979999999998</v>
      </c>
      <c r="P3847">
        <v>0.95626800000000001</v>
      </c>
      <c r="Q3847">
        <v>4.7654950000000001E-2</v>
      </c>
      <c r="R3847">
        <v>-0.28858429999999902</v>
      </c>
      <c r="S3847">
        <v>2.9737849999999999</v>
      </c>
      <c r="T3847">
        <v>-0.29049000000000003</v>
      </c>
      <c r="U3847">
        <v>-0.59860230000000003</v>
      </c>
      <c r="V3847">
        <v>-0.23151869999999999</v>
      </c>
      <c r="W3847">
        <v>5.5596590000000001E-2</v>
      </c>
      <c r="X3847">
        <v>0.97124049999999995</v>
      </c>
      <c r="Y3847">
        <v>-0.31711070000000002</v>
      </c>
      <c r="Z3847">
        <v>6.1328460000000001E-2</v>
      </c>
      <c r="AA3847">
        <v>0.94640360000000001</v>
      </c>
      <c r="AB3847">
        <v>32</v>
      </c>
      <c r="AC3847">
        <v>11.2775</v>
      </c>
      <c r="AD3847">
        <v>-1.1236692137969999</v>
      </c>
      <c r="AE3847">
        <v>-2.1929799999999902</v>
      </c>
      <c r="AF3847">
        <v>-3.7192183933690299</v>
      </c>
      <c r="AG3847">
        <v>-1.1236692137969999</v>
      </c>
      <c r="AH3847">
        <v>10.7549567890308</v>
      </c>
      <c r="AI3847">
        <v>95.639205129084402</v>
      </c>
      <c r="AJ3847">
        <v>109.07611984835501</v>
      </c>
      <c r="AK3847">
        <v>11.4352224942731</v>
      </c>
    </row>
    <row r="3848" spans="1:37" x14ac:dyDescent="0.2">
      <c r="A3848" t="str">
        <f>"20200111154142644"</f>
        <v>20200111154142644</v>
      </c>
      <c r="B3848" t="str">
        <f>"1578728502640260"</f>
        <v>1578728502640260</v>
      </c>
      <c r="C3848" t="s">
        <v>37</v>
      </c>
      <c r="D3848">
        <v>5.3370309999999996</v>
      </c>
      <c r="E3848">
        <v>0.46464859999999902</v>
      </c>
      <c r="F3848" t="s">
        <v>47</v>
      </c>
      <c r="G3848">
        <v>-399.99979999999999</v>
      </c>
      <c r="H3848" s="1">
        <v>-6.3886220000000003E-6</v>
      </c>
      <c r="I3848">
        <v>21.757470000000001</v>
      </c>
      <c r="J3848">
        <v>-411.70249999999999</v>
      </c>
      <c r="K3848">
        <v>1.1235379999999999</v>
      </c>
      <c r="L3848">
        <v>24.043119999999998</v>
      </c>
      <c r="M3848">
        <v>0.86940949999999995</v>
      </c>
      <c r="N3848">
        <v>0</v>
      </c>
      <c r="O3848">
        <v>-0.49383630000000001</v>
      </c>
      <c r="P3848">
        <v>0.95793649999999997</v>
      </c>
      <c r="Q3848">
        <v>4.7851919999999999E-2</v>
      </c>
      <c r="R3848">
        <v>-0.28296329999999997</v>
      </c>
      <c r="S3848">
        <v>2.9721069999999998</v>
      </c>
      <c r="T3848">
        <v>-0.28161900000000001</v>
      </c>
      <c r="U3848">
        <v>-0.59359740000000005</v>
      </c>
      <c r="V3848">
        <v>-0.2290142</v>
      </c>
      <c r="W3848">
        <v>5.5926999999999998E-2</v>
      </c>
      <c r="X3848">
        <v>0.97181509999999904</v>
      </c>
      <c r="Y3848">
        <v>-0.3107972</v>
      </c>
      <c r="Z3848">
        <v>5.8626640000000001E-2</v>
      </c>
      <c r="AA3848">
        <v>0.94866649999999997</v>
      </c>
      <c r="AB3848">
        <v>32</v>
      </c>
      <c r="AC3848">
        <v>11.702699999999901</v>
      </c>
      <c r="AD3848">
        <v>-1.123544388622</v>
      </c>
      <c r="AE3848">
        <v>-2.28565</v>
      </c>
      <c r="AF3848">
        <v>-3.7591552521007401</v>
      </c>
      <c r="AG3848">
        <v>-1.123544388622</v>
      </c>
      <c r="AH3848">
        <v>11.2051176483562</v>
      </c>
      <c r="AI3848">
        <v>95.43041989388</v>
      </c>
      <c r="AJ3848">
        <v>108.54585960846499</v>
      </c>
      <c r="AK3848">
        <v>11.872163312391899</v>
      </c>
    </row>
    <row r="3849" spans="1:37" x14ac:dyDescent="0.2">
      <c r="A3849" t="str">
        <f>"20200111154142657"</f>
        <v>20200111154142657</v>
      </c>
      <c r="B3849" t="str">
        <f>"1578728502650020"</f>
        <v>1578728502650020</v>
      </c>
      <c r="C3849" t="s">
        <v>37</v>
      </c>
      <c r="D3849">
        <v>5.2965819999999999</v>
      </c>
      <c r="E3849">
        <v>0.46547139999999998</v>
      </c>
      <c r="F3849" t="s">
        <v>39</v>
      </c>
      <c r="G3849">
        <v>-399.17590000000001</v>
      </c>
      <c r="H3849" s="1">
        <v>-8.8625649999999995E-7</v>
      </c>
      <c r="I3849">
        <v>21.556550000000001</v>
      </c>
      <c r="J3849">
        <v>-411.52280000000002</v>
      </c>
      <c r="K3849">
        <v>1.123389</v>
      </c>
      <c r="L3849">
        <v>23.95074</v>
      </c>
      <c r="M3849">
        <v>0.87405859999999902</v>
      </c>
      <c r="N3849">
        <v>0</v>
      </c>
      <c r="O3849">
        <v>-0.48556109999999902</v>
      </c>
      <c r="P3849">
        <v>0.95981729999999998</v>
      </c>
      <c r="Q3849">
        <v>4.8294249999999997E-2</v>
      </c>
      <c r="R3849">
        <v>-0.27643809999999902</v>
      </c>
      <c r="S3849">
        <v>2.970825</v>
      </c>
      <c r="T3849">
        <v>-0.26646129999999901</v>
      </c>
      <c r="U3849">
        <v>-0.58972170000000002</v>
      </c>
      <c r="V3849">
        <v>-0.22638130000000001</v>
      </c>
      <c r="W3849">
        <v>5.6511150000000003E-2</v>
      </c>
      <c r="X3849">
        <v>0.97239809999999904</v>
      </c>
      <c r="Y3849">
        <v>-0.30327179999999998</v>
      </c>
      <c r="Z3849">
        <v>5.4549519999999997E-2</v>
      </c>
      <c r="AA3849">
        <v>0.95134149999999995</v>
      </c>
      <c r="AB3849">
        <v>32</v>
      </c>
      <c r="AC3849">
        <v>12.3469</v>
      </c>
      <c r="AD3849">
        <v>-1.1233898862564999</v>
      </c>
      <c r="AE3849">
        <v>-2.3941899999999898</v>
      </c>
      <c r="AF3849">
        <v>-3.8721105914383198</v>
      </c>
      <c r="AG3849">
        <v>-1.1233898862564999</v>
      </c>
      <c r="AH3849">
        <v>11.861312042396699</v>
      </c>
      <c r="AI3849">
        <v>95.144720806010497</v>
      </c>
      <c r="AJ3849">
        <v>108.079207276943</v>
      </c>
      <c r="AK3849">
        <v>12.5278078144572</v>
      </c>
    </row>
    <row r="3850" spans="1:37" x14ac:dyDescent="0.2">
      <c r="A3850" t="str">
        <f>"20200111154142676"</f>
        <v>20200111154142676</v>
      </c>
      <c r="B3850" t="str">
        <f>"1578728502669540"</f>
        <v>1578728502669540</v>
      </c>
      <c r="C3850" t="s">
        <v>37</v>
      </c>
      <c r="D3850">
        <v>5.2931839999999903</v>
      </c>
      <c r="E3850">
        <v>0.46667399999999998</v>
      </c>
      <c r="F3850" t="s">
        <v>39</v>
      </c>
      <c r="G3850">
        <v>-398.76749999999998</v>
      </c>
      <c r="H3850" s="1">
        <v>-1.0589379999999999E-6</v>
      </c>
      <c r="I3850">
        <v>21.479839999999999</v>
      </c>
      <c r="J3850">
        <v>-411.29849999999999</v>
      </c>
      <c r="K3850">
        <v>1.1231990000000001</v>
      </c>
      <c r="L3850">
        <v>23.83792</v>
      </c>
      <c r="M3850">
        <v>0.87965979999999999</v>
      </c>
      <c r="N3850">
        <v>0</v>
      </c>
      <c r="O3850">
        <v>-0.4753407</v>
      </c>
      <c r="P3850">
        <v>0.96160449999999997</v>
      </c>
      <c r="Q3850">
        <v>4.9414409999999999E-2</v>
      </c>
      <c r="R3850">
        <v>-0.26995439999999998</v>
      </c>
      <c r="S3850">
        <v>2.9729000000000001</v>
      </c>
      <c r="T3850">
        <v>-0.2618298</v>
      </c>
      <c r="U3850">
        <v>-0.5758972</v>
      </c>
      <c r="V3850">
        <v>-0.22158510000000001</v>
      </c>
      <c r="W3850">
        <v>5.7859340000000002E-2</v>
      </c>
      <c r="X3850">
        <v>0.97342299999999904</v>
      </c>
      <c r="Y3850">
        <v>-0.29670489999999999</v>
      </c>
      <c r="Z3850">
        <v>5.2542350000000002E-2</v>
      </c>
      <c r="AA3850">
        <v>0.95352269999999995</v>
      </c>
      <c r="AB3850">
        <v>32</v>
      </c>
      <c r="AC3850">
        <v>12.531000000000001</v>
      </c>
      <c r="AD3850">
        <v>-1.123200058938</v>
      </c>
      <c r="AE3850">
        <v>-2.3580800000000002</v>
      </c>
      <c r="AF3850">
        <v>-3.8527758738917601</v>
      </c>
      <c r="AG3850">
        <v>-1.123200058938</v>
      </c>
      <c r="AH3850">
        <v>12.0519098103609</v>
      </c>
      <c r="AI3850">
        <v>95.072913542268097</v>
      </c>
      <c r="AJ3850">
        <v>107.72813057456401</v>
      </c>
      <c r="AK3850">
        <v>12.7025190566247</v>
      </c>
    </row>
    <row r="3851" spans="1:37" x14ac:dyDescent="0.2">
      <c r="A3851" t="str">
        <f>"20200111154142690"</f>
        <v>20200111154142690</v>
      </c>
      <c r="B3851" t="str">
        <f>"1578728502680276"</f>
        <v>1578728502680276</v>
      </c>
      <c r="C3851" t="s">
        <v>37</v>
      </c>
      <c r="D3851">
        <v>5.579447</v>
      </c>
      <c r="E3851">
        <v>0.46722720000000001</v>
      </c>
      <c r="F3851" t="s">
        <v>39</v>
      </c>
      <c r="G3851">
        <v>-398.02949999999998</v>
      </c>
      <c r="H3851" s="1">
        <v>-1.364215E-6</v>
      </c>
      <c r="I3851">
        <v>21.316179999999999</v>
      </c>
      <c r="J3851">
        <v>-411.1309</v>
      </c>
      <c r="K3851">
        <v>1.1230500000000001</v>
      </c>
      <c r="L3851">
        <v>23.755579999999998</v>
      </c>
      <c r="M3851">
        <v>0.88369010000000003</v>
      </c>
      <c r="N3851">
        <v>0</v>
      </c>
      <c r="O3851">
        <v>-0.46780670000000002</v>
      </c>
      <c r="P3851">
        <v>0.96316429999999997</v>
      </c>
      <c r="Q3851">
        <v>4.9773749999999999E-2</v>
      </c>
      <c r="R3851">
        <v>-0.26426759999999999</v>
      </c>
      <c r="S3851">
        <v>2.9740599999999899</v>
      </c>
      <c r="T3851">
        <v>-0.25175110000000001</v>
      </c>
      <c r="U3851">
        <v>-0.5652161</v>
      </c>
      <c r="V3851">
        <v>-0.21899679999999999</v>
      </c>
      <c r="W3851">
        <v>5.8354900000000001E-2</v>
      </c>
      <c r="X3851">
        <v>0.97397900000000004</v>
      </c>
      <c r="Y3851">
        <v>-0.29215829999999998</v>
      </c>
      <c r="Z3851">
        <v>4.9789350000000003E-2</v>
      </c>
      <c r="AA3851">
        <v>0.95507310000000001</v>
      </c>
      <c r="AB3851">
        <v>32</v>
      </c>
      <c r="AC3851">
        <v>13.1014</v>
      </c>
      <c r="AD3851">
        <v>-1.123051364215</v>
      </c>
      <c r="AE3851">
        <v>-2.4393999999999898</v>
      </c>
      <c r="AF3851">
        <v>-3.9457218718831402</v>
      </c>
      <c r="AG3851">
        <v>-1.123051364215</v>
      </c>
      <c r="AH3851">
        <v>12.6306279835993</v>
      </c>
      <c r="AI3851">
        <v>94.851073415534202</v>
      </c>
      <c r="AJ3851">
        <v>107.348447945594</v>
      </c>
      <c r="AK3851">
        <v>13.280162977802799</v>
      </c>
    </row>
    <row r="3852" spans="1:37" x14ac:dyDescent="0.2">
      <c r="A3852" t="str">
        <f>"20200111154142702"</f>
        <v>20200111154142702</v>
      </c>
      <c r="B3852" t="str">
        <f>"1578728502699796"</f>
        <v>1578728502699796</v>
      </c>
      <c r="C3852" t="s">
        <v>37</v>
      </c>
      <c r="D3852">
        <v>5.4731759999999996</v>
      </c>
      <c r="E3852">
        <v>0.46721229999999903</v>
      </c>
      <c r="F3852" t="s">
        <v>39</v>
      </c>
      <c r="G3852">
        <v>-397.70269999999999</v>
      </c>
      <c r="H3852" s="1">
        <v>-1.50489299999999E-6</v>
      </c>
      <c r="I3852">
        <v>21.264240000000001</v>
      </c>
      <c r="J3852">
        <v>-410.964</v>
      </c>
      <c r="K3852">
        <v>1.122895</v>
      </c>
      <c r="L3852">
        <v>23.674959999999999</v>
      </c>
      <c r="M3852">
        <v>0.88758300000000001</v>
      </c>
      <c r="N3852">
        <v>0</v>
      </c>
      <c r="O3852">
        <v>-0.46037849999999902</v>
      </c>
      <c r="P3852">
        <v>0.96473819999999999</v>
      </c>
      <c r="Q3852">
        <v>4.9752930000000001E-2</v>
      </c>
      <c r="R3852">
        <v>-0.25846619999999998</v>
      </c>
      <c r="S3852">
        <v>2.9760740000000001</v>
      </c>
      <c r="T3852">
        <v>-0.24890119999999999</v>
      </c>
      <c r="U3852">
        <v>-0.55215449999999999</v>
      </c>
      <c r="V3852">
        <v>-0.21666379999999999</v>
      </c>
      <c r="W3852">
        <v>5.8462939999999998E-2</v>
      </c>
      <c r="X3852">
        <v>0.97449419999999898</v>
      </c>
      <c r="Y3852">
        <v>-0.28839520000000002</v>
      </c>
      <c r="Z3852">
        <v>4.8526649999999998E-2</v>
      </c>
      <c r="AA3852">
        <v>0.95628099999999905</v>
      </c>
      <c r="AB3852">
        <v>32</v>
      </c>
      <c r="AC3852">
        <v>13.2613</v>
      </c>
      <c r="AD3852">
        <v>-1.122896504893</v>
      </c>
      <c r="AE3852">
        <v>-2.41072</v>
      </c>
      <c r="AF3852">
        <v>-3.9386591747056099</v>
      </c>
      <c r="AG3852">
        <v>-1.122896504893</v>
      </c>
      <c r="AH3852">
        <v>12.793155673883801</v>
      </c>
      <c r="AI3852">
        <v>94.795175926507994</v>
      </c>
      <c r="AJ3852">
        <v>107.11215310963399</v>
      </c>
      <c r="AK3852">
        <v>13.432749709252301</v>
      </c>
    </row>
    <row r="3853" spans="1:37" x14ac:dyDescent="0.2">
      <c r="A3853" t="str">
        <f>"20200111154142720"</f>
        <v>20200111154142720</v>
      </c>
      <c r="B3853" t="str">
        <f>"1578728502709555"</f>
        <v>1578728502709555</v>
      </c>
      <c r="C3853" t="s">
        <v>37</v>
      </c>
      <c r="D3853">
        <v>5.41899</v>
      </c>
      <c r="E3853">
        <v>0.46721229999999903</v>
      </c>
      <c r="F3853" t="s">
        <v>39</v>
      </c>
      <c r="G3853">
        <v>-397.62950000000001</v>
      </c>
      <c r="H3853" s="1">
        <v>-1.544492E-6</v>
      </c>
      <c r="I3853">
        <v>21.283100000000001</v>
      </c>
      <c r="J3853">
        <v>-410.74400000000003</v>
      </c>
      <c r="K3853">
        <v>1.122671</v>
      </c>
      <c r="L3853">
        <v>23.571899999999999</v>
      </c>
      <c r="M3853">
        <v>0.89248059999999996</v>
      </c>
      <c r="N3853">
        <v>0</v>
      </c>
      <c r="O3853">
        <v>-0.45081279999999901</v>
      </c>
      <c r="P3853">
        <v>0.96626559999999995</v>
      </c>
      <c r="Q3853">
        <v>4.8645880000000002E-2</v>
      </c>
      <c r="R3853">
        <v>-0.25291209999999997</v>
      </c>
      <c r="S3853">
        <v>2.9793699999999999</v>
      </c>
      <c r="T3853">
        <v>-0.25089400000000001</v>
      </c>
      <c r="U3853">
        <v>-0.5344238</v>
      </c>
      <c r="V3853">
        <v>-0.2117491</v>
      </c>
      <c r="W3853">
        <v>5.7588470000000003E-2</v>
      </c>
      <c r="X3853">
        <v>0.97562590000000005</v>
      </c>
      <c r="Y3853">
        <v>-0.2838097</v>
      </c>
      <c r="Z3853">
        <v>4.8000899999999999E-2</v>
      </c>
      <c r="AA3853">
        <v>0.95767839999999904</v>
      </c>
      <c r="AB3853">
        <v>32</v>
      </c>
      <c r="AC3853">
        <v>13.1145</v>
      </c>
      <c r="AD3853">
        <v>-1.122672544492</v>
      </c>
      <c r="AE3853">
        <v>-2.28879999999999</v>
      </c>
      <c r="AF3853">
        <v>-3.84262377992389</v>
      </c>
      <c r="AG3853">
        <v>-1.122672544492</v>
      </c>
      <c r="AH3853">
        <v>12.6478776361739</v>
      </c>
      <c r="AI3853">
        <v>94.854509491612802</v>
      </c>
      <c r="AJ3853">
        <v>106.899604949641</v>
      </c>
      <c r="AK3853">
        <v>13.2663092024805</v>
      </c>
    </row>
    <row r="3854" spans="1:37" x14ac:dyDescent="0.2">
      <c r="A3854" t="str">
        <f>"20200111154142733"</f>
        <v>20200111154142733</v>
      </c>
      <c r="B3854" t="str">
        <f>"1578728502730052"</f>
        <v>1578728502730052</v>
      </c>
      <c r="C3854" t="s">
        <v>37</v>
      </c>
      <c r="D3854">
        <v>5.3863329999999996</v>
      </c>
      <c r="E3854">
        <v>0.49313889999999999</v>
      </c>
      <c r="F3854" t="s">
        <v>39</v>
      </c>
      <c r="G3854">
        <v>-397.57799999999997</v>
      </c>
      <c r="H3854" s="1">
        <v>-1.570229E-6</v>
      </c>
      <c r="I3854">
        <v>21.288270000000001</v>
      </c>
      <c r="J3854">
        <v>-410.57049999999998</v>
      </c>
      <c r="K3854">
        <v>1.1224769999999999</v>
      </c>
      <c r="L3854">
        <v>23.492550000000001</v>
      </c>
      <c r="M3854">
        <v>0.89617630000000004</v>
      </c>
      <c r="N3854">
        <v>0</v>
      </c>
      <c r="O3854">
        <v>-0.44342229999999999</v>
      </c>
      <c r="P3854">
        <v>0.96771099999999999</v>
      </c>
      <c r="Q3854">
        <v>4.7995839999999998E-2</v>
      </c>
      <c r="R3854">
        <v>-0.24745020000000001</v>
      </c>
      <c r="S3854">
        <v>2.9821169999999899</v>
      </c>
      <c r="T3854">
        <v>-0.25428610000000001</v>
      </c>
      <c r="U3854">
        <v>-0.51724239999999999</v>
      </c>
      <c r="V3854">
        <v>-0.2091623</v>
      </c>
      <c r="W3854">
        <v>5.7080060000000002E-2</v>
      </c>
      <c r="X3854">
        <v>0.97621360000000001</v>
      </c>
      <c r="Y3854">
        <v>-0.28135949999999998</v>
      </c>
      <c r="Z3854">
        <v>4.797937E-2</v>
      </c>
      <c r="AA3854">
        <v>0.95840219999999898</v>
      </c>
      <c r="AB3854">
        <v>32</v>
      </c>
      <c r="AC3854">
        <v>12.9924999999999</v>
      </c>
      <c r="AD3854">
        <v>-1.1224785702290001</v>
      </c>
      <c r="AE3854">
        <v>-2.2042799999999998</v>
      </c>
      <c r="AF3854">
        <v>-3.75893238659159</v>
      </c>
      <c r="AG3854">
        <v>-1.1224785702290001</v>
      </c>
      <c r="AH3854">
        <v>12.5316231298288</v>
      </c>
      <c r="AI3854">
        <v>94.903692207594901</v>
      </c>
      <c r="AJ3854">
        <v>106.69691808968599</v>
      </c>
      <c r="AK3854">
        <v>13.131302642755999</v>
      </c>
    </row>
    <row r="3855" spans="1:37" x14ac:dyDescent="0.2">
      <c r="A3855" t="str">
        <f>"20200111154142753"</f>
        <v>20200111154142753</v>
      </c>
      <c r="B3855" t="str">
        <f>"1578728502749572"</f>
        <v>1578728502749572</v>
      </c>
      <c r="C3855" t="s">
        <v>37</v>
      </c>
      <c r="D3855">
        <v>5.4418049999999996</v>
      </c>
      <c r="E3855">
        <v>0.49279840000000003</v>
      </c>
      <c r="F3855" t="s">
        <v>39</v>
      </c>
      <c r="G3855">
        <v>-397.98500000000001</v>
      </c>
      <c r="H3855" s="1">
        <v>-1.164138E-6</v>
      </c>
      <c r="I3855">
        <v>20.485189999999999</v>
      </c>
      <c r="J3855">
        <v>-410.32679999999999</v>
      </c>
      <c r="K3855">
        <v>1.122185</v>
      </c>
      <c r="L3855">
        <v>23.383510000000001</v>
      </c>
      <c r="M3855">
        <v>0.90113709999999903</v>
      </c>
      <c r="N3855">
        <v>0</v>
      </c>
      <c r="O3855">
        <v>-0.43325439999999998</v>
      </c>
      <c r="P3855">
        <v>0.96950499999999995</v>
      </c>
      <c r="Q3855">
        <v>4.7284130000000001E-2</v>
      </c>
      <c r="R3855">
        <v>-0.2404665</v>
      </c>
      <c r="S3855">
        <v>2.9338069999999998</v>
      </c>
      <c r="T3855">
        <v>-0.26166210000000001</v>
      </c>
      <c r="U3855">
        <v>-0.70104979999999995</v>
      </c>
      <c r="V3855">
        <v>-0.20510249999999999</v>
      </c>
      <c r="W3855">
        <v>5.6584460000000003E-2</v>
      </c>
      <c r="X3855">
        <v>0.97710350000000001</v>
      </c>
      <c r="Y3855">
        <v>-0.20971020000000001</v>
      </c>
      <c r="Z3855">
        <v>4.5781549999999997E-2</v>
      </c>
      <c r="AA3855">
        <v>0.97669119999999998</v>
      </c>
      <c r="AB3855">
        <v>32</v>
      </c>
      <c r="AC3855">
        <v>12.3417999999999</v>
      </c>
      <c r="AD3855">
        <v>-1.122186164138</v>
      </c>
      <c r="AE3855">
        <v>-2.89832</v>
      </c>
      <c r="AF3855">
        <v>-2.7144188106325502</v>
      </c>
      <c r="AG3855">
        <v>-1.122186164138</v>
      </c>
      <c r="AH3855">
        <v>12.2826262672403</v>
      </c>
      <c r="AI3855">
        <v>95.097926986817399</v>
      </c>
      <c r="AJ3855">
        <v>102.461872737633</v>
      </c>
      <c r="AK3855">
        <v>12.628946087746099</v>
      </c>
    </row>
    <row r="3856" spans="1:37" x14ac:dyDescent="0.2">
      <c r="A3856" t="str">
        <f>"20200111154142767"</f>
        <v>20200111154142767</v>
      </c>
      <c r="B3856" t="str">
        <f>"1578728502760308"</f>
        <v>1578728502760308</v>
      </c>
      <c r="C3856" t="s">
        <v>37</v>
      </c>
      <c r="D3856">
        <v>5.4298570000000002</v>
      </c>
      <c r="E3856">
        <v>0.4924366</v>
      </c>
      <c r="F3856" t="s">
        <v>39</v>
      </c>
      <c r="G3856">
        <v>-397.44549999999998</v>
      </c>
      <c r="H3856" s="1">
        <v>-1.400525E-6</v>
      </c>
      <c r="I3856">
        <v>20.41499</v>
      </c>
      <c r="J3856">
        <v>-410.15629999999999</v>
      </c>
      <c r="K3856">
        <v>1.1219709999999901</v>
      </c>
      <c r="L3856">
        <v>23.308869999999999</v>
      </c>
      <c r="M3856">
        <v>0.9044529</v>
      </c>
      <c r="N3856">
        <v>0</v>
      </c>
      <c r="O3856">
        <v>-0.42629049999999902</v>
      </c>
      <c r="P3856">
        <v>0.97092279999999997</v>
      </c>
      <c r="Q3856">
        <v>4.712392E-2</v>
      </c>
      <c r="R3856">
        <v>-0.23470839999999901</v>
      </c>
      <c r="S3856">
        <v>2.938904</v>
      </c>
      <c r="T3856">
        <v>-0.25602939999999902</v>
      </c>
      <c r="U3856">
        <v>-0.67727660000000001</v>
      </c>
      <c r="V3856">
        <v>-0.20333080000000001</v>
      </c>
      <c r="W3856">
        <v>5.6542580000000002E-2</v>
      </c>
      <c r="X3856">
        <v>0.97747609999999996</v>
      </c>
      <c r="Y3856">
        <v>-0.2101596</v>
      </c>
      <c r="Z3856">
        <v>4.4264940000000003E-2</v>
      </c>
      <c r="AA3856">
        <v>0.97666450000000005</v>
      </c>
      <c r="AB3856">
        <v>32</v>
      </c>
      <c r="AC3856">
        <v>12.710800000000001</v>
      </c>
      <c r="AD3856">
        <v>-1.12197240052499</v>
      </c>
      <c r="AE3856">
        <v>-2.8938799999999998</v>
      </c>
      <c r="AF3856">
        <v>-2.7808540691530199</v>
      </c>
      <c r="AG3856">
        <v>-1.12197240052499</v>
      </c>
      <c r="AH3856">
        <v>12.6378750192846</v>
      </c>
      <c r="AI3856">
        <v>94.955400054117803</v>
      </c>
      <c r="AJ3856">
        <v>102.409673940861</v>
      </c>
      <c r="AK3856">
        <v>12.9887588485014</v>
      </c>
    </row>
    <row r="3857" spans="1:37" x14ac:dyDescent="0.2">
      <c r="A3857" t="str">
        <f>"20200111154142778"</f>
        <v>20200111154142778</v>
      </c>
      <c r="B3857" t="str">
        <f>"1578728502770068"</f>
        <v>1578728502770068</v>
      </c>
      <c r="C3857" t="s">
        <v>37</v>
      </c>
      <c r="D3857">
        <v>5.4052239999999996</v>
      </c>
      <c r="E3857">
        <v>0.4922048</v>
      </c>
      <c r="F3857" t="s">
        <v>39</v>
      </c>
      <c r="G3857">
        <v>-397.33420000000001</v>
      </c>
      <c r="H3857" s="1">
        <v>-1.4610789999999999E-6</v>
      </c>
      <c r="I3857">
        <v>20.444929999999999</v>
      </c>
      <c r="J3857">
        <v>-409.99149999999997</v>
      </c>
      <c r="K3857">
        <v>1.121758</v>
      </c>
      <c r="L3857">
        <v>23.23828</v>
      </c>
      <c r="M3857">
        <v>0.90752549999999899</v>
      </c>
      <c r="N3857">
        <v>0</v>
      </c>
      <c r="O3857">
        <v>-0.41971160000000002</v>
      </c>
      <c r="P3857">
        <v>0.97226520000000005</v>
      </c>
      <c r="Q3857">
        <v>4.709257E-2</v>
      </c>
      <c r="R3857">
        <v>-0.22909179999999901</v>
      </c>
      <c r="S3857">
        <v>2.9434200000000001</v>
      </c>
      <c r="T3857">
        <v>-0.25755830000000002</v>
      </c>
      <c r="U3857">
        <v>-0.65744019999999903</v>
      </c>
      <c r="V3857">
        <v>-0.20185029999999901</v>
      </c>
      <c r="W3857">
        <v>5.6617319999999999E-2</v>
      </c>
      <c r="X3857">
        <v>0.97777860000000005</v>
      </c>
      <c r="Y3857">
        <v>-0.20964829999999901</v>
      </c>
      <c r="Z3857">
        <v>4.397496E-2</v>
      </c>
      <c r="AA3857">
        <v>0.97678750000000003</v>
      </c>
      <c r="AB3857">
        <v>32</v>
      </c>
      <c r="AC3857">
        <v>12.6572999999999</v>
      </c>
      <c r="AD3857">
        <v>-1.121759461079</v>
      </c>
      <c r="AE3857">
        <v>-2.7933500000000002</v>
      </c>
      <c r="AF3857">
        <v>-2.7570625620026501</v>
      </c>
      <c r="AG3857">
        <v>-1.121759461079</v>
      </c>
      <c r="AH3857">
        <v>12.5666208300159</v>
      </c>
      <c r="AI3857">
        <v>94.983086449113898</v>
      </c>
      <c r="AJ3857">
        <v>102.374388882293</v>
      </c>
      <c r="AK3857">
        <v>12.914321404731499</v>
      </c>
    </row>
    <row r="3858" spans="1:37" x14ac:dyDescent="0.2">
      <c r="A3858" t="str">
        <f>"20200111154142791"</f>
        <v>20200111154142791</v>
      </c>
      <c r="B3858" t="str">
        <f>"1578728502779829"</f>
        <v>1578728502779829</v>
      </c>
      <c r="C3858" t="s">
        <v>37</v>
      </c>
      <c r="D3858">
        <v>6.7755020000000004</v>
      </c>
      <c r="E3858">
        <v>0.49242540000000001</v>
      </c>
      <c r="F3858" t="s">
        <v>39</v>
      </c>
      <c r="G3858">
        <v>-397.0197</v>
      </c>
      <c r="H3858" s="1">
        <v>-1.6046840000000001E-6</v>
      </c>
      <c r="I3858">
        <v>20.425909999999998</v>
      </c>
      <c r="J3858">
        <v>-409.84089999999998</v>
      </c>
      <c r="K3858">
        <v>1.1215569999999999</v>
      </c>
      <c r="L3858">
        <v>23.17502</v>
      </c>
      <c r="M3858">
        <v>0.91021980000000002</v>
      </c>
      <c r="N3858">
        <v>0</v>
      </c>
      <c r="O3858">
        <v>-0.41383789999999998</v>
      </c>
      <c r="P3858">
        <v>0.97335329999999998</v>
      </c>
      <c r="Q3858">
        <v>4.7187529999999998E-2</v>
      </c>
      <c r="R3858">
        <v>-0.2244034</v>
      </c>
      <c r="S3858">
        <v>2.9473569999999998</v>
      </c>
      <c r="T3858">
        <v>-0.25487850000000001</v>
      </c>
      <c r="U3858">
        <v>-0.63900760000000001</v>
      </c>
      <c r="V3858">
        <v>-0.20021349999999999</v>
      </c>
      <c r="W3858">
        <v>5.6818210000000001E-2</v>
      </c>
      <c r="X3858">
        <v>0.97810339999999996</v>
      </c>
      <c r="Y3858">
        <v>-0.20950009999999999</v>
      </c>
      <c r="Z3858">
        <v>4.3043930000000001E-2</v>
      </c>
      <c r="AA3858">
        <v>0.97686079999999997</v>
      </c>
      <c r="AB3858">
        <v>32</v>
      </c>
      <c r="AC3858">
        <v>12.8211999999999</v>
      </c>
      <c r="AD3858">
        <v>-1.12155860468399</v>
      </c>
      <c r="AE3858">
        <v>-2.7491099999999902</v>
      </c>
      <c r="AF3858">
        <v>-2.7835737486141898</v>
      </c>
      <c r="AG3858">
        <v>-1.12155860468399</v>
      </c>
      <c r="AH3858">
        <v>12.7162905697952</v>
      </c>
      <c r="AI3858">
        <v>94.924358280711502</v>
      </c>
      <c r="AJ3858">
        <v>102.34719321665</v>
      </c>
      <c r="AK3858">
        <v>13.065612208127799</v>
      </c>
    </row>
    <row r="3859" spans="1:37" x14ac:dyDescent="0.2">
      <c r="A3859" t="str">
        <f>"20200111154142811"</f>
        <v>20200111154142811</v>
      </c>
      <c r="B3859" t="str">
        <f>"1578728502800323"</f>
        <v>1578728502800323</v>
      </c>
      <c r="C3859" t="s">
        <v>37</v>
      </c>
      <c r="D3859">
        <v>5.6994809999999996</v>
      </c>
      <c r="E3859">
        <v>0.49277669999999901</v>
      </c>
      <c r="F3859" t="s">
        <v>39</v>
      </c>
      <c r="G3859">
        <v>-396.58449999999999</v>
      </c>
      <c r="H3859" s="1">
        <v>-1.7923730000000001E-6</v>
      </c>
      <c r="I3859">
        <v>20.35812</v>
      </c>
      <c r="J3859">
        <v>-409.5917</v>
      </c>
      <c r="K3859">
        <v>1.1212059999999999</v>
      </c>
      <c r="L3859">
        <v>23.07236</v>
      </c>
      <c r="M3859">
        <v>0.91447109999999998</v>
      </c>
      <c r="N3859">
        <v>0</v>
      </c>
      <c r="O3859">
        <v>-0.40435949999999998</v>
      </c>
      <c r="P3859">
        <v>0.97509959999999996</v>
      </c>
      <c r="Q3859">
        <v>4.6622610000000002E-2</v>
      </c>
      <c r="R3859">
        <v>-0.21681220000000001</v>
      </c>
      <c r="S3859">
        <v>2.949738</v>
      </c>
      <c r="T3859">
        <v>-0.24956339999999999</v>
      </c>
      <c r="U3859">
        <v>-0.62680049999999998</v>
      </c>
      <c r="V3859">
        <v>-0.19761699999999999</v>
      </c>
      <c r="W3859">
        <v>5.6429260000000002E-2</v>
      </c>
      <c r="X3859">
        <v>0.97865380000000002</v>
      </c>
      <c r="Y3859">
        <v>-0.2035034</v>
      </c>
      <c r="Z3859">
        <v>4.1173389999999997E-2</v>
      </c>
      <c r="AA3859">
        <v>0.97820810000000002</v>
      </c>
      <c r="AB3859">
        <v>32</v>
      </c>
      <c r="AC3859">
        <v>13.007199999999999</v>
      </c>
      <c r="AD3859">
        <v>-1.1212077923729999</v>
      </c>
      <c r="AE3859">
        <v>-2.7142400000000002</v>
      </c>
      <c r="AF3859">
        <v>-2.75817979067038</v>
      </c>
      <c r="AG3859">
        <v>-1.1212077923729999</v>
      </c>
      <c r="AH3859">
        <v>12.901906099865201</v>
      </c>
      <c r="AI3859">
        <v>94.857453081940804</v>
      </c>
      <c r="AJ3859">
        <v>102.067094762075</v>
      </c>
      <c r="AK3859">
        <v>13.240991038479001</v>
      </c>
    </row>
    <row r="3860" spans="1:37" x14ac:dyDescent="0.2">
      <c r="A3860" t="str">
        <f>"20200111154142823"</f>
        <v>20200111154142823</v>
      </c>
      <c r="B3860" t="str">
        <f>"1578728502819844"</f>
        <v>1578728502819844</v>
      </c>
      <c r="C3860" t="s">
        <v>37</v>
      </c>
      <c r="D3860">
        <v>5.5262890000000002</v>
      </c>
      <c r="E3860">
        <v>0.4933109</v>
      </c>
      <c r="F3860" t="s">
        <v>39</v>
      </c>
      <c r="G3860">
        <v>-395.99889999999999</v>
      </c>
      <c r="H3860" s="1">
        <v>-2.0484179999999998E-6</v>
      </c>
      <c r="I3860">
        <v>20.280079999999899</v>
      </c>
      <c r="J3860">
        <v>-409.4273</v>
      </c>
      <c r="K3860">
        <v>1.120973</v>
      </c>
      <c r="L3860">
        <v>23.005800000000001</v>
      </c>
      <c r="M3860">
        <v>0.91714599999999902</v>
      </c>
      <c r="N3860">
        <v>0</v>
      </c>
      <c r="O3860">
        <v>-0.39825700000000003</v>
      </c>
      <c r="P3860">
        <v>0.9763134</v>
      </c>
      <c r="Q3860">
        <v>4.5628410000000001E-2</v>
      </c>
      <c r="R3860">
        <v>-0.21149580000000001</v>
      </c>
      <c r="S3860">
        <v>2.9533689999999999</v>
      </c>
      <c r="T3860">
        <v>-0.24360979999999999</v>
      </c>
      <c r="U3860">
        <v>-0.60668949999999999</v>
      </c>
      <c r="V3860">
        <v>-0.19638539999999999</v>
      </c>
      <c r="W3860">
        <v>5.5539449999999997E-2</v>
      </c>
      <c r="X3860">
        <v>0.97895259999999995</v>
      </c>
      <c r="Y3860">
        <v>-0.2037187</v>
      </c>
      <c r="Z3860">
        <v>3.9740539999999998E-2</v>
      </c>
      <c r="AA3860">
        <v>0.97822249999999999</v>
      </c>
      <c r="AB3860">
        <v>32</v>
      </c>
      <c r="AC3860">
        <v>13.4284</v>
      </c>
      <c r="AD3860">
        <v>-1.1209750484180001</v>
      </c>
      <c r="AE3860">
        <v>-2.7257199999999999</v>
      </c>
      <c r="AF3860">
        <v>-2.8294681138957798</v>
      </c>
      <c r="AG3860">
        <v>-1.1209750484180001</v>
      </c>
      <c r="AH3860">
        <v>13.3138057342687</v>
      </c>
      <c r="AI3860">
        <v>94.708090942597593</v>
      </c>
      <c r="AJ3860">
        <v>101.99807031581101</v>
      </c>
      <c r="AK3860">
        <v>13.657228781732201</v>
      </c>
    </row>
    <row r="3861" spans="1:37" x14ac:dyDescent="0.2">
      <c r="A3861" t="str">
        <f>"20200111154142836"</f>
        <v>20200111154142836</v>
      </c>
      <c r="B3861" t="str">
        <f>"1578728502829604"</f>
        <v>1578728502829604</v>
      </c>
      <c r="C3861" t="s">
        <v>37</v>
      </c>
      <c r="D3861">
        <v>5.5437580000000004</v>
      </c>
      <c r="E3861">
        <v>0.49337209999999998</v>
      </c>
      <c r="F3861" t="s">
        <v>39</v>
      </c>
      <c r="G3861">
        <v>-395.7174</v>
      </c>
      <c r="H3861" s="1">
        <v>-2.1727430000000001E-6</v>
      </c>
      <c r="I3861">
        <v>20.24719</v>
      </c>
      <c r="J3861">
        <v>-409.26069999999999</v>
      </c>
      <c r="K3861">
        <v>1.1207260000000001</v>
      </c>
      <c r="L3861">
        <v>22.940059999999999</v>
      </c>
      <c r="M3861">
        <v>0.91970439999999998</v>
      </c>
      <c r="N3861">
        <v>0</v>
      </c>
      <c r="O3861">
        <v>-0.3923142</v>
      </c>
      <c r="P3861">
        <v>0.97746669999999902</v>
      </c>
      <c r="Q3861">
        <v>4.4806510000000001E-2</v>
      </c>
      <c r="R3861">
        <v>-0.20627960000000001</v>
      </c>
      <c r="S3861">
        <v>2.9552610000000001</v>
      </c>
      <c r="T3861">
        <v>-0.24163309999999999</v>
      </c>
      <c r="U3861">
        <v>-0.59463500000000002</v>
      </c>
      <c r="V3861">
        <v>-0.19523679999999999</v>
      </c>
      <c r="W3861">
        <v>5.4817190000000002E-2</v>
      </c>
      <c r="X3861">
        <v>0.97922299999999995</v>
      </c>
      <c r="Y3861">
        <v>-0.20139399999999999</v>
      </c>
      <c r="Z3861">
        <v>3.8883750000000002E-2</v>
      </c>
      <c r="AA3861">
        <v>0.9787382</v>
      </c>
      <c r="AB3861">
        <v>32</v>
      </c>
      <c r="AC3861">
        <v>13.543299999999901</v>
      </c>
      <c r="AD3861">
        <v>-1.1207281727430001</v>
      </c>
      <c r="AE3861">
        <v>-2.6928699999999899</v>
      </c>
      <c r="AF3861">
        <v>-2.8183500515216098</v>
      </c>
      <c r="AG3861">
        <v>-1.1207281727430001</v>
      </c>
      <c r="AH3861">
        <v>13.425422491108201</v>
      </c>
      <c r="AI3861">
        <v>94.670537909939497</v>
      </c>
      <c r="AJ3861">
        <v>101.855737914187</v>
      </c>
      <c r="AK3861">
        <v>13.7637603043226</v>
      </c>
    </row>
    <row r="3862" spans="1:37" x14ac:dyDescent="0.2">
      <c r="A3862" t="str">
        <f>"20200111154142854"</f>
        <v>20200111154142854</v>
      </c>
      <c r="B3862" t="str">
        <f>"1578728502850101"</f>
        <v>1578728502850101</v>
      </c>
      <c r="C3862" t="s">
        <v>37</v>
      </c>
      <c r="D3862">
        <v>5.548673</v>
      </c>
      <c r="E3862">
        <v>0.49380010000000002</v>
      </c>
      <c r="F3862" t="s">
        <v>39</v>
      </c>
      <c r="G3862">
        <v>-395.64049999999997</v>
      </c>
      <c r="H3862" s="1">
        <v>-2.21583E-6</v>
      </c>
      <c r="I3862">
        <v>20.272459999999999</v>
      </c>
      <c r="J3862">
        <v>-409.02760000000001</v>
      </c>
      <c r="K3862">
        <v>1.1203860000000001</v>
      </c>
      <c r="L3862">
        <v>22.849699999999999</v>
      </c>
      <c r="M3862">
        <v>0.92311690000000002</v>
      </c>
      <c r="N3862">
        <v>0</v>
      </c>
      <c r="O3862">
        <v>-0.38421949999999999</v>
      </c>
      <c r="P3862">
        <v>0.97882359999999902</v>
      </c>
      <c r="Q3862">
        <v>4.3434019999999997E-2</v>
      </c>
      <c r="R3862">
        <v>-0.20004530000000001</v>
      </c>
      <c r="S3862">
        <v>2.958008</v>
      </c>
      <c r="T3862">
        <v>-0.24339810000000001</v>
      </c>
      <c r="U3862">
        <v>-0.57934569999999996</v>
      </c>
      <c r="V3862">
        <v>-0.19281429999999999</v>
      </c>
      <c r="W3862">
        <v>5.3607809999999999E-2</v>
      </c>
      <c r="X3862">
        <v>0.97976980000000002</v>
      </c>
      <c r="Y3862">
        <v>-0.19784070000000001</v>
      </c>
      <c r="Z3862">
        <v>3.8409770000000003E-2</v>
      </c>
      <c r="AA3862">
        <v>0.97948139999999995</v>
      </c>
      <c r="AB3862">
        <v>32</v>
      </c>
      <c r="AC3862">
        <v>13.3871</v>
      </c>
      <c r="AD3862">
        <v>-1.12038821582999</v>
      </c>
      <c r="AE3862">
        <v>-2.5772400000000002</v>
      </c>
      <c r="AF3862">
        <v>-2.7462616558861002</v>
      </c>
      <c r="AG3862">
        <v>-1.12038821582999</v>
      </c>
      <c r="AH3862">
        <v>13.260065115635699</v>
      </c>
      <c r="AI3862">
        <v>94.729741930713899</v>
      </c>
      <c r="AJ3862">
        <v>101.700970268549</v>
      </c>
      <c r="AK3862">
        <v>13.587735267794301</v>
      </c>
    </row>
    <row r="3863" spans="1:37" x14ac:dyDescent="0.2">
      <c r="A3863" t="str">
        <f>"20200111154142870"</f>
        <v>20200111154142870</v>
      </c>
      <c r="B3863" t="str">
        <f>"1578728502859861"</f>
        <v>1578728502859861</v>
      </c>
      <c r="C3863" t="s">
        <v>37</v>
      </c>
      <c r="D3863">
        <v>6.774521</v>
      </c>
      <c r="E3863">
        <v>0.49403619999999998</v>
      </c>
      <c r="F3863" t="s">
        <v>39</v>
      </c>
      <c r="G3863">
        <v>-395.56199999999899</v>
      </c>
      <c r="H3863" s="1">
        <v>-2.2562609999999999E-6</v>
      </c>
      <c r="I3863">
        <v>20.285049999999998</v>
      </c>
      <c r="J3863">
        <v>-408.82139999999998</v>
      </c>
      <c r="K3863">
        <v>1.1200760000000001</v>
      </c>
      <c r="L3863">
        <v>22.771419999999999</v>
      </c>
      <c r="M3863">
        <v>0.92595849999999902</v>
      </c>
      <c r="N3863">
        <v>0</v>
      </c>
      <c r="O3863">
        <v>-0.37732250000000001</v>
      </c>
      <c r="P3863">
        <v>0.98012540000000004</v>
      </c>
      <c r="Q3863">
        <v>4.2986490000000002E-2</v>
      </c>
      <c r="R3863">
        <v>-0.19366620000000001</v>
      </c>
      <c r="S3863">
        <v>2.9606020000000002</v>
      </c>
      <c r="T3863">
        <v>-0.24633279999999999</v>
      </c>
      <c r="U3863">
        <v>-0.56387330000000002</v>
      </c>
      <c r="V3863">
        <v>-0.1918388</v>
      </c>
      <c r="W3863">
        <v>5.3273550000000003E-2</v>
      </c>
      <c r="X3863">
        <v>0.9799795</v>
      </c>
      <c r="Y3863">
        <v>-0.19560999999999901</v>
      </c>
      <c r="Z3863">
        <v>3.8249999999999999E-2</v>
      </c>
      <c r="AA3863">
        <v>0.97993549999999996</v>
      </c>
      <c r="AB3863">
        <v>31</v>
      </c>
      <c r="AC3863">
        <v>13.259399999999999</v>
      </c>
      <c r="AD3863">
        <v>-1.1200782562610001</v>
      </c>
      <c r="AE3863">
        <v>-2.48637</v>
      </c>
      <c r="AF3863">
        <v>-2.68261065780553</v>
      </c>
      <c r="AG3863">
        <v>-1.1200782562610001</v>
      </c>
      <c r="AH3863">
        <v>13.126838249863599</v>
      </c>
      <c r="AI3863">
        <v>94.778786644558494</v>
      </c>
      <c r="AJ3863">
        <v>101.549973245473</v>
      </c>
      <c r="AK3863">
        <v>13.444882211444</v>
      </c>
    </row>
    <row r="3864" spans="1:37" x14ac:dyDescent="0.2">
      <c r="A3864" t="str">
        <f>"20200111154142889"</f>
        <v>20200111154142889</v>
      </c>
      <c r="B3864" t="str">
        <f>"1578728502880356"</f>
        <v>1578728502880356</v>
      </c>
      <c r="C3864" t="s">
        <v>37</v>
      </c>
      <c r="D3864">
        <v>5.569337</v>
      </c>
      <c r="E3864">
        <v>0.49472100000000002</v>
      </c>
      <c r="F3864" t="s">
        <v>39</v>
      </c>
      <c r="G3864">
        <v>-395.43090000000001</v>
      </c>
      <c r="H3864" s="1">
        <v>-2.322706E-6</v>
      </c>
      <c r="I3864">
        <v>20.301819999999999</v>
      </c>
      <c r="J3864">
        <v>-408.57900000000001</v>
      </c>
      <c r="K3864">
        <v>1.1197010000000001</v>
      </c>
      <c r="L3864">
        <v>22.681270000000001</v>
      </c>
      <c r="M3864">
        <v>0.92908840000000004</v>
      </c>
      <c r="N3864">
        <v>0</v>
      </c>
      <c r="O3864">
        <v>-0.36955169999999998</v>
      </c>
      <c r="P3864">
        <v>0.98130469999999903</v>
      </c>
      <c r="Q3864">
        <v>4.3337189999999998E-2</v>
      </c>
      <c r="R3864">
        <v>-0.18751879999999899</v>
      </c>
      <c r="S3864">
        <v>2.9637449999999999</v>
      </c>
      <c r="T3864">
        <v>-0.2479085</v>
      </c>
      <c r="U3864">
        <v>-0.54660030000000004</v>
      </c>
      <c r="V3864">
        <v>-0.1897192</v>
      </c>
      <c r="W3864">
        <v>5.3786359999999998E-2</v>
      </c>
      <c r="X3864">
        <v>0.98036399999999901</v>
      </c>
      <c r="Y3864">
        <v>-0.19311239999999999</v>
      </c>
      <c r="Z3864">
        <v>3.7784379999999999E-2</v>
      </c>
      <c r="AA3864">
        <v>0.98044880000000001</v>
      </c>
      <c r="AB3864">
        <v>31</v>
      </c>
      <c r="AC3864">
        <v>13.148099999999999</v>
      </c>
      <c r="AD3864">
        <v>-1.119703322706</v>
      </c>
      <c r="AE3864">
        <v>-2.3794499999999901</v>
      </c>
      <c r="AF3864">
        <v>-2.63001403382304</v>
      </c>
      <c r="AG3864">
        <v>-1.119703322706</v>
      </c>
      <c r="AH3864">
        <v>13.0052311973133</v>
      </c>
      <c r="AI3864">
        <v>94.823653633629505</v>
      </c>
      <c r="AJ3864">
        <v>101.43259163597099</v>
      </c>
      <c r="AK3864">
        <v>13.315657995178301</v>
      </c>
    </row>
    <row r="3865" spans="1:37" x14ac:dyDescent="0.2">
      <c r="A3865" t="str">
        <f>"20200111154142912"</f>
        <v>20200111154142912</v>
      </c>
      <c r="B3865" t="str">
        <f>"1578728502909637"</f>
        <v>1578728502909637</v>
      </c>
      <c r="C3865" t="s">
        <v>37</v>
      </c>
      <c r="D3865">
        <v>5.5689640000000002</v>
      </c>
      <c r="E3865">
        <v>0.49565500000000001</v>
      </c>
      <c r="F3865" t="s">
        <v>39</v>
      </c>
      <c r="G3865">
        <v>-395.21030000000002</v>
      </c>
      <c r="H3865" s="1">
        <v>-2.4204639999999998E-6</v>
      </c>
      <c r="I3865">
        <v>20.27731</v>
      </c>
      <c r="J3865">
        <v>-408.2713</v>
      </c>
      <c r="K3865">
        <v>1.119208</v>
      </c>
      <c r="L3865">
        <v>22.569759999999999</v>
      </c>
      <c r="M3865">
        <v>0.93274259999999998</v>
      </c>
      <c r="N3865">
        <v>0</v>
      </c>
      <c r="O3865">
        <v>-0.36023249999999901</v>
      </c>
      <c r="P3865">
        <v>0.98272309999999996</v>
      </c>
      <c r="Q3865">
        <v>4.3728459999999997E-2</v>
      </c>
      <c r="R3865">
        <v>-0.179842</v>
      </c>
      <c r="S3865">
        <v>2.9662169999999999</v>
      </c>
      <c r="T3865">
        <v>-0.2484373</v>
      </c>
      <c r="U3865">
        <v>-0.53338619999999903</v>
      </c>
      <c r="V3865">
        <v>-0.18750059999999999</v>
      </c>
      <c r="W3865">
        <v>5.4370590000000003E-2</v>
      </c>
      <c r="X3865">
        <v>0.98075849999999898</v>
      </c>
      <c r="Y3865">
        <v>-0.1877017</v>
      </c>
      <c r="Z3865">
        <v>3.691299E-2</v>
      </c>
      <c r="AA3865">
        <v>0.98153219999999997</v>
      </c>
      <c r="AB3865">
        <v>31</v>
      </c>
      <c r="AC3865">
        <v>13.0609999999999</v>
      </c>
      <c r="AD3865">
        <v>-1.1192104204639901</v>
      </c>
      <c r="AE3865">
        <v>-2.2924500000000001</v>
      </c>
      <c r="AF3865">
        <v>-2.54886134882176</v>
      </c>
      <c r="AG3865">
        <v>-1.1192104204639901</v>
      </c>
      <c r="AH3865">
        <v>12.9178019512701</v>
      </c>
      <c r="AI3865">
        <v>94.858579568678294</v>
      </c>
      <c r="AJ3865">
        <v>101.16187116606901</v>
      </c>
      <c r="AK3865">
        <v>13.2143457421482</v>
      </c>
    </row>
    <row r="3866" spans="1:37" x14ac:dyDescent="0.2">
      <c r="A3866" t="str">
        <f>"20200111154142927"</f>
        <v>20200111154142927</v>
      </c>
      <c r="B3866" t="str">
        <f>"1578728502920372"</f>
        <v>1578728502920372</v>
      </c>
      <c r="C3866" t="s">
        <v>37</v>
      </c>
      <c r="D3866">
        <v>5.6389370000000003</v>
      </c>
      <c r="E3866">
        <v>0.49565500000000001</v>
      </c>
      <c r="F3866" t="s">
        <v>39</v>
      </c>
      <c r="G3866">
        <v>-394.76749999999998</v>
      </c>
      <c r="H3866" s="1">
        <v>-2.6134849999999998E-6</v>
      </c>
      <c r="I3866">
        <v>20.215959999999999</v>
      </c>
      <c r="J3866">
        <v>-408.08600000000001</v>
      </c>
      <c r="K3866">
        <v>1.118914</v>
      </c>
      <c r="L3866">
        <v>22.50394</v>
      </c>
      <c r="M3866">
        <v>0.93479950000000001</v>
      </c>
      <c r="N3866">
        <v>0</v>
      </c>
      <c r="O3866">
        <v>-0.35486309999999999</v>
      </c>
      <c r="P3866">
        <v>0.98353380000000001</v>
      </c>
      <c r="Q3866">
        <v>4.4139440000000002E-2</v>
      </c>
      <c r="R3866">
        <v>-0.17525109999999999</v>
      </c>
      <c r="S3866">
        <v>2.9690249999999998</v>
      </c>
      <c r="T3866">
        <v>-0.24607470000000001</v>
      </c>
      <c r="U3866">
        <v>-0.51751709999999995</v>
      </c>
      <c r="V3866">
        <v>-0.18639990000000001</v>
      </c>
      <c r="W3866">
        <v>5.4890510000000003E-2</v>
      </c>
      <c r="X3866">
        <v>0.98093940000000002</v>
      </c>
      <c r="Y3866">
        <v>-0.1873551</v>
      </c>
      <c r="Z3866">
        <v>3.612804E-2</v>
      </c>
      <c r="AA3866">
        <v>0.98162759999999905</v>
      </c>
      <c r="AB3866">
        <v>31</v>
      </c>
      <c r="AC3866">
        <v>13.3185</v>
      </c>
      <c r="AD3866">
        <v>-1.1189166134849999</v>
      </c>
      <c r="AE3866">
        <v>-2.2879800000000001</v>
      </c>
      <c r="AF3866">
        <v>-2.5701090215330602</v>
      </c>
      <c r="AG3866">
        <v>-1.1189166134849999</v>
      </c>
      <c r="AH3866">
        <v>13.1732077255958</v>
      </c>
      <c r="AI3866">
        <v>94.765555604822296</v>
      </c>
      <c r="AJ3866">
        <v>101.039796444088</v>
      </c>
      <c r="AK3866">
        <v>13.468141540397999</v>
      </c>
    </row>
    <row r="3867" spans="1:37" x14ac:dyDescent="0.2">
      <c r="A3867" t="str">
        <f>"20200111154142943"</f>
        <v>20200111154142943</v>
      </c>
      <c r="B3867" t="str">
        <f>"1578728502939893"</f>
        <v>1578728502939893</v>
      </c>
      <c r="C3867" t="s">
        <v>37</v>
      </c>
      <c r="D3867">
        <v>5.6011300000000004</v>
      </c>
      <c r="E3867">
        <v>0.50662429999999903</v>
      </c>
      <c r="F3867" t="s">
        <v>39</v>
      </c>
      <c r="G3867">
        <v>-394.5059</v>
      </c>
      <c r="H3867" s="1">
        <v>-2.73342199999999E-6</v>
      </c>
      <c r="I3867">
        <v>20.201989999999999</v>
      </c>
      <c r="J3867">
        <v>-407.86450000000002</v>
      </c>
      <c r="K3867">
        <v>1.1185659999999999</v>
      </c>
      <c r="L3867">
        <v>22.426539999999999</v>
      </c>
      <c r="M3867">
        <v>0.9371138</v>
      </c>
      <c r="N3867">
        <v>0</v>
      </c>
      <c r="O3867">
        <v>-0.34870909999999999</v>
      </c>
      <c r="P3867">
        <v>0.98426880000000005</v>
      </c>
      <c r="Q3867">
        <v>4.4302870000000001E-2</v>
      </c>
      <c r="R3867">
        <v>-0.17103389999999999</v>
      </c>
      <c r="S3867">
        <v>2.9714969999999998</v>
      </c>
      <c r="T3867">
        <v>-0.2448322</v>
      </c>
      <c r="U3867">
        <v>-0.50369259999999905</v>
      </c>
      <c r="V3867">
        <v>-0.1841043</v>
      </c>
      <c r="W3867">
        <v>5.5204280000000001E-2</v>
      </c>
      <c r="X3867">
        <v>0.98135519999999998</v>
      </c>
      <c r="Y3867">
        <v>-0.1855137</v>
      </c>
      <c r="Z3867">
        <v>3.5392079999999999E-2</v>
      </c>
      <c r="AA3867">
        <v>0.98200409999999905</v>
      </c>
      <c r="AB3867">
        <v>31</v>
      </c>
      <c r="AC3867">
        <v>13.358599999999999</v>
      </c>
      <c r="AD3867">
        <v>-1.118568733422</v>
      </c>
      <c r="AE3867">
        <v>-2.2245499999999998</v>
      </c>
      <c r="AF3867">
        <v>-2.5564510177514901</v>
      </c>
      <c r="AG3867">
        <v>-1.118568733422</v>
      </c>
      <c r="AH3867">
        <v>13.205618485193799</v>
      </c>
      <c r="AI3867">
        <v>94.753782508712007</v>
      </c>
      <c r="AJ3867">
        <v>100.9562576297</v>
      </c>
      <c r="AK3867">
        <v>13.497221839847001</v>
      </c>
    </row>
    <row r="3868" spans="1:37" x14ac:dyDescent="0.2">
      <c r="A3868" t="str">
        <f>"20200111154142957"</f>
        <v>20200111154142957</v>
      </c>
      <c r="B3868" t="str">
        <f>"1578728502949652"</f>
        <v>1578728502949652</v>
      </c>
      <c r="C3868" t="s">
        <v>37</v>
      </c>
      <c r="D3868">
        <v>5.6111389999999997</v>
      </c>
      <c r="E3868">
        <v>0.50662429999999903</v>
      </c>
      <c r="F3868" t="s">
        <v>39</v>
      </c>
      <c r="G3868">
        <v>-396.64069999999998</v>
      </c>
      <c r="H3868" s="1">
        <v>-1.7326740000000001E-6</v>
      </c>
      <c r="I3868">
        <v>20.233509999999999</v>
      </c>
      <c r="J3868">
        <v>-407.68509999999998</v>
      </c>
      <c r="K3868">
        <v>1.1182939999999999</v>
      </c>
      <c r="L3868">
        <v>22.365110000000001</v>
      </c>
      <c r="M3868">
        <v>0.93885529999999995</v>
      </c>
      <c r="N3868">
        <v>0</v>
      </c>
      <c r="O3868">
        <v>-0.34399459999999998</v>
      </c>
      <c r="P3868">
        <v>0.984935</v>
      </c>
      <c r="Q3868">
        <v>4.446866E-2</v>
      </c>
      <c r="R3868">
        <v>-0.16711019999999999</v>
      </c>
      <c r="S3868">
        <v>2.960693</v>
      </c>
      <c r="T3868">
        <v>-0.29506250000000001</v>
      </c>
      <c r="U3868">
        <v>-0.57849119999999998</v>
      </c>
      <c r="V3868">
        <v>-0.1830425</v>
      </c>
      <c r="W3868">
        <v>5.5470890000000002E-2</v>
      </c>
      <c r="X3868">
        <v>0.98153880000000004</v>
      </c>
      <c r="Y3868">
        <v>-0.15529660000000001</v>
      </c>
      <c r="Z3868">
        <v>4.0720109999999997E-2</v>
      </c>
      <c r="AA3868">
        <v>0.98702829999999997</v>
      </c>
      <c r="AB3868">
        <v>31</v>
      </c>
      <c r="AC3868">
        <v>11.0443999999999</v>
      </c>
      <c r="AD3868">
        <v>-1.118295732674</v>
      </c>
      <c r="AE3868">
        <v>-2.1316000000000002</v>
      </c>
      <c r="AF3868">
        <v>-1.7805469601527799</v>
      </c>
      <c r="AG3868">
        <v>-1.118295732674</v>
      </c>
      <c r="AH3868">
        <v>10.9948884691622</v>
      </c>
      <c r="AI3868">
        <v>95.733424046763901</v>
      </c>
      <c r="AJ3868">
        <v>99.198799616628804</v>
      </c>
      <c r="AK3868">
        <v>11.1941281604394</v>
      </c>
    </row>
    <row r="3869" spans="1:37" x14ac:dyDescent="0.2">
      <c r="A3869" t="str">
        <f>"20200111154142989"</f>
        <v>20200111154142989</v>
      </c>
      <c r="B3869" t="str">
        <f>"1578728502979907"</f>
        <v>1578728502979907</v>
      </c>
      <c r="C3869" t="s">
        <v>37</v>
      </c>
      <c r="D3869">
        <v>5.537979</v>
      </c>
      <c r="E3869">
        <v>0.50877929999999905</v>
      </c>
      <c r="F3869" t="s">
        <v>39</v>
      </c>
      <c r="G3869">
        <v>-396.43650000000002</v>
      </c>
      <c r="H3869" s="1">
        <v>-1.8239719999999899E-6</v>
      </c>
      <c r="I3869">
        <v>20.213940000000001</v>
      </c>
      <c r="J3869">
        <v>-407.2604</v>
      </c>
      <c r="K3869">
        <v>1.117675</v>
      </c>
      <c r="L3869">
        <v>22.222660000000001</v>
      </c>
      <c r="M3869">
        <v>0.94265379999999999</v>
      </c>
      <c r="N3869">
        <v>0</v>
      </c>
      <c r="O3869">
        <v>-0.33344980000000002</v>
      </c>
      <c r="P3869">
        <v>0.98612429999999995</v>
      </c>
      <c r="Q3869">
        <v>4.5942080000000003E-2</v>
      </c>
      <c r="R3869">
        <v>-0.159525</v>
      </c>
      <c r="S3869">
        <v>2.9630429999999999</v>
      </c>
      <c r="T3869">
        <v>-0.29457549999999999</v>
      </c>
      <c r="U3869">
        <v>-0.5666504</v>
      </c>
      <c r="V3869">
        <v>-0.17950329999999901</v>
      </c>
      <c r="W3869">
        <v>5.7191449999999998E-2</v>
      </c>
      <c r="X3869">
        <v>0.98209349999999995</v>
      </c>
      <c r="Y3869">
        <v>-0.148258</v>
      </c>
      <c r="Z3869">
        <v>3.9325640000000002E-2</v>
      </c>
      <c r="AA3869">
        <v>0.98816649999999995</v>
      </c>
      <c r="AB3869">
        <v>31</v>
      </c>
      <c r="AC3869">
        <v>10.823899999999901</v>
      </c>
      <c r="AD3869">
        <v>-1.1176768239720001</v>
      </c>
      <c r="AE3869">
        <v>-2.0087199999999998</v>
      </c>
      <c r="AF3869">
        <v>-1.69837798044129</v>
      </c>
      <c r="AG3869">
        <v>-1.1176768239720001</v>
      </c>
      <c r="AH3869">
        <v>10.763223557373101</v>
      </c>
      <c r="AI3869">
        <v>95.856521640017704</v>
      </c>
      <c r="AJ3869">
        <v>98.967025679804095</v>
      </c>
      <c r="AK3869">
        <v>10.9535688518986</v>
      </c>
    </row>
    <row r="3870" spans="1:37" x14ac:dyDescent="0.2">
      <c r="A3870" t="str">
        <f>"20200111154143011"</f>
        <v>20200111154143011</v>
      </c>
      <c r="B3870" t="str">
        <f>"1578728503000403"</f>
        <v>1578728503000403</v>
      </c>
      <c r="C3870" t="s">
        <v>37</v>
      </c>
      <c r="D3870">
        <v>5.5501849999999999</v>
      </c>
      <c r="E3870">
        <v>0.51018299999999905</v>
      </c>
      <c r="F3870" t="s">
        <v>39</v>
      </c>
      <c r="G3870">
        <v>-395.63159999999999</v>
      </c>
      <c r="H3870" s="1">
        <v>-2.153846E-6</v>
      </c>
      <c r="I3870">
        <v>20.02365</v>
      </c>
      <c r="J3870">
        <v>-406.97320000000002</v>
      </c>
      <c r="K3870">
        <v>1.117265</v>
      </c>
      <c r="L3870">
        <v>22.128810000000001</v>
      </c>
      <c r="M3870">
        <v>0.94495479999999998</v>
      </c>
      <c r="N3870">
        <v>0</v>
      </c>
      <c r="O3870">
        <v>-0.32687569999999999</v>
      </c>
      <c r="P3870">
        <v>0.98680879999999904</v>
      </c>
      <c r="Q3870">
        <v>4.6930449999999999E-2</v>
      </c>
      <c r="R3870">
        <v>-0.15493979999999999</v>
      </c>
      <c r="S3870">
        <v>2.9647830000000002</v>
      </c>
      <c r="T3870">
        <v>-0.28495239999999999</v>
      </c>
      <c r="U3870">
        <v>-0.56063839999999998</v>
      </c>
      <c r="V3870">
        <v>-0.1771645</v>
      </c>
      <c r="W3870">
        <v>5.8338710000000002E-2</v>
      </c>
      <c r="X3870">
        <v>0.98245070000000001</v>
      </c>
      <c r="Y3870">
        <v>-0.14359959999999999</v>
      </c>
      <c r="Z3870">
        <v>3.7225929999999997E-2</v>
      </c>
      <c r="AA3870">
        <v>0.98893549999999997</v>
      </c>
      <c r="AB3870">
        <v>31</v>
      </c>
      <c r="AC3870">
        <v>11.3416</v>
      </c>
      <c r="AD3870">
        <v>-1.1172671538459999</v>
      </c>
      <c r="AE3870">
        <v>-2.1051600000000001</v>
      </c>
      <c r="AF3870">
        <v>-1.7022263398298401</v>
      </c>
      <c r="AG3870">
        <v>-1.1172671538459999</v>
      </c>
      <c r="AH3870">
        <v>11.300625625575099</v>
      </c>
      <c r="AI3870">
        <v>95.583766726264898</v>
      </c>
      <c r="AJ3870">
        <v>98.566129342680597</v>
      </c>
      <c r="AK3870">
        <v>11.482595522549699</v>
      </c>
    </row>
    <row r="3871" spans="1:37" x14ac:dyDescent="0.2">
      <c r="A3871" t="str">
        <f>"20200111154143025"</f>
        <v>20200111154143025</v>
      </c>
      <c r="B3871" t="str">
        <f>"1578728503019924"</f>
        <v>1578728503019924</v>
      </c>
      <c r="C3871" t="s">
        <v>37</v>
      </c>
      <c r="D3871">
        <v>5.8167519999999904</v>
      </c>
      <c r="E3871">
        <v>0.51132270000000002</v>
      </c>
      <c r="F3871" t="s">
        <v>39</v>
      </c>
      <c r="G3871">
        <v>-394.48169999999999</v>
      </c>
      <c r="H3871" s="1">
        <v>-2.6327510000000001E-6</v>
      </c>
      <c r="I3871">
        <v>19.780629999999999</v>
      </c>
      <c r="J3871">
        <v>-406.78160000000003</v>
      </c>
      <c r="K3871">
        <v>1.1169929999999999</v>
      </c>
      <c r="L3871">
        <v>22.067079999999901</v>
      </c>
      <c r="M3871">
        <v>0.94639269999999998</v>
      </c>
      <c r="N3871">
        <v>0</v>
      </c>
      <c r="O3871">
        <v>-0.32269100000000001</v>
      </c>
      <c r="P3871">
        <v>0.98729869999999897</v>
      </c>
      <c r="Q3871">
        <v>4.7184120000000003E-2</v>
      </c>
      <c r="R3871">
        <v>-0.1517078</v>
      </c>
      <c r="S3871">
        <v>2.9652099999999999</v>
      </c>
      <c r="T3871">
        <v>-0.26521329999999999</v>
      </c>
      <c r="U3871">
        <v>-0.5574036</v>
      </c>
      <c r="V3871">
        <v>-0.17599200000000001</v>
      </c>
      <c r="W3871">
        <v>5.8686210000000003E-2</v>
      </c>
      <c r="X3871">
        <v>0.98264069999999903</v>
      </c>
      <c r="Y3871">
        <v>-0.14058380000000001</v>
      </c>
      <c r="Z3871">
        <v>3.4175179999999999E-2</v>
      </c>
      <c r="AA3871">
        <v>0.98947879999999999</v>
      </c>
      <c r="AB3871">
        <v>31</v>
      </c>
      <c r="AC3871">
        <v>12.299899999999999</v>
      </c>
      <c r="AD3871">
        <v>-1.116995632751</v>
      </c>
      <c r="AE3871">
        <v>-2.2864499999999901</v>
      </c>
      <c r="AF3871">
        <v>-1.7911003106126799</v>
      </c>
      <c r="AG3871">
        <v>-1.116995632751</v>
      </c>
      <c r="AH3871">
        <v>12.281755526666799</v>
      </c>
      <c r="AI3871">
        <v>95.142514110597702</v>
      </c>
      <c r="AJ3871">
        <v>98.297195048306804</v>
      </c>
      <c r="AK3871">
        <v>12.4618312612181</v>
      </c>
    </row>
    <row r="3872" spans="1:37" x14ac:dyDescent="0.2">
      <c r="A3872" t="str">
        <f>"20200111154143044"</f>
        <v>20200111154143044</v>
      </c>
      <c r="B3872" t="str">
        <f>"1578728503040421"</f>
        <v>1578728503040421</v>
      </c>
      <c r="C3872" t="s">
        <v>37</v>
      </c>
      <c r="D3872">
        <v>5.6576269999999997</v>
      </c>
      <c r="E3872">
        <v>0.51245750000000001</v>
      </c>
      <c r="F3872" t="s">
        <v>39</v>
      </c>
      <c r="G3872">
        <v>-393.96080000000001</v>
      </c>
      <c r="H3872" s="1">
        <v>-2.8469689999999998E-6</v>
      </c>
      <c r="I3872">
        <v>19.66047</v>
      </c>
      <c r="J3872">
        <v>-406.54520000000002</v>
      </c>
      <c r="K3872">
        <v>1.1166670000000001</v>
      </c>
      <c r="L3872">
        <v>21.991969999999998</v>
      </c>
      <c r="M3872">
        <v>0.94805609999999996</v>
      </c>
      <c r="N3872">
        <v>0</v>
      </c>
      <c r="O3872">
        <v>-0.3177738</v>
      </c>
      <c r="P3872">
        <v>0.98770590000000003</v>
      </c>
      <c r="Q3872">
        <v>4.6966180000000003E-2</v>
      </c>
      <c r="R3872">
        <v>-0.14910199999999901</v>
      </c>
      <c r="S3872">
        <v>2.9653930000000002</v>
      </c>
      <c r="T3872">
        <v>-0.25835730000000001</v>
      </c>
      <c r="U3872">
        <v>-0.55664060000000004</v>
      </c>
      <c r="V3872">
        <v>-0.17343249999999999</v>
      </c>
      <c r="W3872">
        <v>5.8599569999999997E-2</v>
      </c>
      <c r="X3872">
        <v>0.9831008</v>
      </c>
      <c r="Y3872">
        <v>-0.13582149999999901</v>
      </c>
      <c r="Z3872">
        <v>3.2688830000000002E-2</v>
      </c>
      <c r="AA3872">
        <v>0.99019389999999996</v>
      </c>
      <c r="AB3872">
        <v>31</v>
      </c>
      <c r="AC3872">
        <v>12.5844</v>
      </c>
      <c r="AD3872">
        <v>-1.116669846969</v>
      </c>
      <c r="AE3872">
        <v>-2.3315000000000001</v>
      </c>
      <c r="AF3872">
        <v>-1.77527286956724</v>
      </c>
      <c r="AG3872">
        <v>-1.116669846969</v>
      </c>
      <c r="AH3872">
        <v>12.5771900564503</v>
      </c>
      <c r="AI3872">
        <v>95.024176511335597</v>
      </c>
      <c r="AJ3872">
        <v>98.034234825037501</v>
      </c>
      <c r="AK3872">
        <v>12.7508531096795</v>
      </c>
    </row>
    <row r="3873" spans="1:37" x14ac:dyDescent="0.2">
      <c r="A3873" t="str">
        <f>"20200111154143057"</f>
        <v>20200111154143057</v>
      </c>
      <c r="B3873" t="str">
        <f>"1578728503050180"</f>
        <v>1578728503050180</v>
      </c>
      <c r="C3873" t="s">
        <v>37</v>
      </c>
      <c r="D3873">
        <v>5.6057379999999997</v>
      </c>
      <c r="E3873">
        <v>0.51242259999999995</v>
      </c>
      <c r="F3873" t="s">
        <v>39</v>
      </c>
      <c r="G3873">
        <v>-393.56290000000001</v>
      </c>
      <c r="H3873" s="1">
        <v>-3.0349329999999998E-6</v>
      </c>
      <c r="I3873">
        <v>19.550829999999898</v>
      </c>
      <c r="J3873">
        <v>-406.36559999999997</v>
      </c>
      <c r="K3873">
        <v>1.1164339999999999</v>
      </c>
      <c r="L3873">
        <v>21.935879999999901</v>
      </c>
      <c r="M3873">
        <v>0.94923409999999997</v>
      </c>
      <c r="N3873">
        <v>0</v>
      </c>
      <c r="O3873">
        <v>-0.31423899999999999</v>
      </c>
      <c r="P3873">
        <v>0.98810669999999901</v>
      </c>
      <c r="Q3873">
        <v>4.6589779999999997E-2</v>
      </c>
      <c r="R3873">
        <v>-0.14654200000000001</v>
      </c>
      <c r="S3873">
        <v>2.9653019999999999</v>
      </c>
      <c r="T3873">
        <v>-0.25506129999999999</v>
      </c>
      <c r="U3873">
        <v>-0.55758669999999899</v>
      </c>
      <c r="V3873">
        <v>-0.17228080000000001</v>
      </c>
      <c r="W3873">
        <v>5.8303010000000002E-2</v>
      </c>
      <c r="X3873">
        <v>0.983320999999999</v>
      </c>
      <c r="Y3873">
        <v>-0.13188449999999999</v>
      </c>
      <c r="Z3873">
        <v>3.1821200000000001E-2</v>
      </c>
      <c r="AA3873">
        <v>0.99075419999999903</v>
      </c>
      <c r="AB3873">
        <v>31</v>
      </c>
      <c r="AC3873">
        <v>12.8026999999999</v>
      </c>
      <c r="AD3873">
        <v>-1.1164370349329999</v>
      </c>
      <c r="AE3873">
        <v>-2.3850500000000001</v>
      </c>
      <c r="AF3873">
        <v>-1.7464847277564699</v>
      </c>
      <c r="AG3873">
        <v>-1.1164370349329999</v>
      </c>
      <c r="AH3873">
        <v>12.8094392195566</v>
      </c>
      <c r="AI3873">
        <v>94.935725376602804</v>
      </c>
      <c r="AJ3873">
        <v>97.764037527137305</v>
      </c>
      <c r="AK3873">
        <v>12.9760692691112</v>
      </c>
    </row>
    <row r="3874" spans="1:37" x14ac:dyDescent="0.2">
      <c r="A3874" t="str">
        <f>"20200111154143070"</f>
        <v>20200111154143070</v>
      </c>
      <c r="B3874" t="str">
        <f>"1578728503059940"</f>
        <v>1578728503059940</v>
      </c>
      <c r="C3874" t="s">
        <v>37</v>
      </c>
      <c r="D3874">
        <v>5.9418569999999997</v>
      </c>
      <c r="E3874">
        <v>0.51242259999999995</v>
      </c>
      <c r="F3874" t="s">
        <v>39</v>
      </c>
      <c r="G3874">
        <v>-393.4246</v>
      </c>
      <c r="H3874" s="1">
        <v>-3.1024519999999999E-6</v>
      </c>
      <c r="I3874">
        <v>19.538799999999998</v>
      </c>
      <c r="J3874">
        <v>-406.18770000000001</v>
      </c>
      <c r="K3874">
        <v>1.1162129999999999</v>
      </c>
      <c r="L3874">
        <v>21.880800000000001</v>
      </c>
      <c r="M3874">
        <v>0.95035309999999995</v>
      </c>
      <c r="N3874">
        <v>0</v>
      </c>
      <c r="O3874">
        <v>-0.31084040000000002</v>
      </c>
      <c r="P3874">
        <v>0.98847269999999898</v>
      </c>
      <c r="Q3874">
        <v>4.6003389999999998E-2</v>
      </c>
      <c r="R3874">
        <v>-0.14424210000000001</v>
      </c>
      <c r="S3874">
        <v>2.9667050000000001</v>
      </c>
      <c r="T3874">
        <v>-0.255942</v>
      </c>
      <c r="U3874">
        <v>-0.54952999999999996</v>
      </c>
      <c r="V3874">
        <v>-0.17101739999999899</v>
      </c>
      <c r="W3874">
        <v>5.7794119999999997E-2</v>
      </c>
      <c r="X3874">
        <v>0.98357150000000004</v>
      </c>
      <c r="Y3874">
        <v>-0.1310267</v>
      </c>
      <c r="Z3874">
        <v>3.1615299999999999E-2</v>
      </c>
      <c r="AA3874">
        <v>0.99087459999999905</v>
      </c>
      <c r="AB3874">
        <v>31</v>
      </c>
      <c r="AC3874">
        <v>12.7631</v>
      </c>
      <c r="AD3874">
        <v>-1.1162161024519901</v>
      </c>
      <c r="AE3874">
        <v>-2.3420000000000001</v>
      </c>
      <c r="AF3874">
        <v>-1.7289473036466401</v>
      </c>
      <c r="AG3874">
        <v>-1.1162161024519901</v>
      </c>
      <c r="AH3874">
        <v>12.7643228416837</v>
      </c>
      <c r="AI3874">
        <v>94.952695640211601</v>
      </c>
      <c r="AJ3874">
        <v>97.713855036500107</v>
      </c>
      <c r="AK3874">
        <v>12.929158316491</v>
      </c>
    </row>
    <row r="3875" spans="1:37" x14ac:dyDescent="0.2">
      <c r="A3875" t="str">
        <f>"20200111154143090"</f>
        <v>20200111154143090</v>
      </c>
      <c r="B3875" t="str">
        <f>"1578728503080435"</f>
        <v>1578728503080435</v>
      </c>
      <c r="C3875" t="s">
        <v>37</v>
      </c>
      <c r="D3875">
        <v>5.4705570000000003</v>
      </c>
      <c r="E3875">
        <v>0.48356769999999999</v>
      </c>
      <c r="F3875" t="s">
        <v>39</v>
      </c>
      <c r="G3875">
        <v>-393.33609999999999</v>
      </c>
      <c r="H3875" s="1">
        <v>-3.145547E-6</v>
      </c>
      <c r="I3875">
        <v>19.53181</v>
      </c>
      <c r="J3875">
        <v>-405.93290000000002</v>
      </c>
      <c r="K3875">
        <v>1.115912</v>
      </c>
      <c r="L3875">
        <v>21.802889999999898</v>
      </c>
      <c r="M3875">
        <v>0.95186550000000003</v>
      </c>
      <c r="N3875">
        <v>0</v>
      </c>
      <c r="O3875">
        <v>-0.30618020000000001</v>
      </c>
      <c r="P3875">
        <v>0.98895370000000005</v>
      </c>
      <c r="Q3875">
        <v>4.5295120000000001E-2</v>
      </c>
      <c r="R3875">
        <v>-0.14113339999999999</v>
      </c>
      <c r="S3875">
        <v>2.9678040000000001</v>
      </c>
      <c r="T3875">
        <v>-0.25776679999999902</v>
      </c>
      <c r="U3875">
        <v>-0.54244999999999999</v>
      </c>
      <c r="V3875">
        <v>-0.16924549999999999</v>
      </c>
      <c r="W3875">
        <v>5.7189070000000002E-2</v>
      </c>
      <c r="X3875">
        <v>0.98391329999999999</v>
      </c>
      <c r="Y3875">
        <v>-0.1285241</v>
      </c>
      <c r="Z3875">
        <v>3.1350200000000002E-2</v>
      </c>
      <c r="AA3875">
        <v>0.99121079999999995</v>
      </c>
      <c r="AB3875">
        <v>31</v>
      </c>
      <c r="AC3875">
        <v>12.5968</v>
      </c>
      <c r="AD3875">
        <v>-1.115915145547</v>
      </c>
      <c r="AE3875">
        <v>-2.2710799999999902</v>
      </c>
      <c r="AF3875">
        <v>-1.68251428365334</v>
      </c>
      <c r="AG3875">
        <v>-1.115915145547</v>
      </c>
      <c r="AH3875">
        <v>12.591421543032901</v>
      </c>
      <c r="AI3875">
        <v>95.0202186839755</v>
      </c>
      <c r="AJ3875">
        <v>97.610997644315205</v>
      </c>
      <c r="AK3875">
        <v>12.7522553848765</v>
      </c>
    </row>
    <row r="3876" spans="1:37" x14ac:dyDescent="0.2">
      <c r="A3876" t="str">
        <f>"20200111154143102"</f>
        <v>20200111154143102</v>
      </c>
      <c r="B3876" t="str">
        <f>"1578728503090197"</f>
        <v>1578728503090197</v>
      </c>
      <c r="C3876" t="s">
        <v>37</v>
      </c>
      <c r="D3876">
        <v>5.8346910000000003</v>
      </c>
      <c r="E3876">
        <v>0.48198549999999901</v>
      </c>
      <c r="F3876" t="s">
        <v>39</v>
      </c>
      <c r="G3876">
        <v>-392.57670000000002</v>
      </c>
      <c r="H3876" s="1">
        <v>-3.7104000000000001E-6</v>
      </c>
      <c r="I3876">
        <v>20.446390000000001</v>
      </c>
      <c r="J3876">
        <v>-405.76089999999999</v>
      </c>
      <c r="K3876">
        <v>1.115718</v>
      </c>
      <c r="L3876">
        <v>21.75076</v>
      </c>
      <c r="M3876">
        <v>0.9528373</v>
      </c>
      <c r="N3876">
        <v>0</v>
      </c>
      <c r="O3876">
        <v>-0.30314409999999897</v>
      </c>
      <c r="P3876">
        <v>0.98927999999999905</v>
      </c>
      <c r="Q3876">
        <v>4.5135260000000003E-2</v>
      </c>
      <c r="R3876">
        <v>-0.1388807</v>
      </c>
      <c r="S3876">
        <v>3.0014949999999998</v>
      </c>
      <c r="T3876">
        <v>-0.25077480000000002</v>
      </c>
      <c r="U3876">
        <v>-0.3048401</v>
      </c>
      <c r="V3876">
        <v>-0.16832030000000001</v>
      </c>
      <c r="W3876">
        <v>5.7090999999999899E-2</v>
      </c>
      <c r="X3876">
        <v>0.98407770000000006</v>
      </c>
      <c r="Y3876">
        <v>-0.203626799999999</v>
      </c>
      <c r="Z3876">
        <v>3.329145E-2</v>
      </c>
      <c r="AA3876">
        <v>0.97848239999999997</v>
      </c>
      <c r="AB3876">
        <v>31</v>
      </c>
      <c r="AC3876">
        <v>13.184199999999899</v>
      </c>
      <c r="AD3876">
        <v>-1.1157217103999999</v>
      </c>
      <c r="AE3876">
        <v>-1.30436999999999</v>
      </c>
      <c r="AF3876">
        <v>-2.7347469417544201</v>
      </c>
      <c r="AG3876">
        <v>-1.1157217103999999</v>
      </c>
      <c r="AH3876">
        <v>12.8678761733652</v>
      </c>
      <c r="AI3876">
        <v>94.847755932672598</v>
      </c>
      <c r="AJ3876">
        <v>101.998276445901</v>
      </c>
      <c r="AK3876">
        <v>13.202496467848601</v>
      </c>
    </row>
    <row r="3877" spans="1:37" x14ac:dyDescent="0.2">
      <c r="A3877" t="str">
        <f>"20200111154143115"</f>
        <v>20200111154143115</v>
      </c>
      <c r="B3877" t="str">
        <f>"1578728503109716"</f>
        <v>1578728503109716</v>
      </c>
      <c r="C3877" t="s">
        <v>37</v>
      </c>
      <c r="D3877">
        <v>5.4775619999999998</v>
      </c>
      <c r="E3877">
        <v>0.48092940000000001</v>
      </c>
      <c r="F3877" t="s">
        <v>39</v>
      </c>
      <c r="G3877">
        <v>-391.71859999999998</v>
      </c>
      <c r="H3877" s="1">
        <v>-4.1082540000000001E-6</v>
      </c>
      <c r="I3877">
        <v>20.41722</v>
      </c>
      <c r="J3877">
        <v>-405.60210000000001</v>
      </c>
      <c r="K3877">
        <v>1.115553</v>
      </c>
      <c r="L3877">
        <v>21.703340000000001</v>
      </c>
      <c r="M3877">
        <v>0.95368189999999997</v>
      </c>
      <c r="N3877">
        <v>0</v>
      </c>
      <c r="O3877">
        <v>-0.30047800000000002</v>
      </c>
      <c r="P3877">
        <v>0.98958179999999996</v>
      </c>
      <c r="Q3877">
        <v>4.5150929999999999E-2</v>
      </c>
      <c r="R3877">
        <v>-0.136709</v>
      </c>
      <c r="S3877">
        <v>3.0033569999999998</v>
      </c>
      <c r="T3877">
        <v>-0.2386296</v>
      </c>
      <c r="U3877">
        <v>-0.28521729999999901</v>
      </c>
      <c r="V3877">
        <v>-0.16770350000000001</v>
      </c>
      <c r="W3877">
        <v>5.7154789999999997E-2</v>
      </c>
      <c r="X3877">
        <v>0.98417929999999998</v>
      </c>
      <c r="Y3877">
        <v>-0.2074385</v>
      </c>
      <c r="Z3877">
        <v>3.1629820000000003E-2</v>
      </c>
      <c r="AA3877">
        <v>0.97773659999999996</v>
      </c>
      <c r="AB3877">
        <v>31</v>
      </c>
      <c r="AC3877">
        <v>13.8835</v>
      </c>
      <c r="AD3877">
        <v>-1.1155571082539999</v>
      </c>
      <c r="AE3877">
        <v>-1.2861199999999999</v>
      </c>
      <c r="AF3877">
        <v>-2.9267021322525002</v>
      </c>
      <c r="AG3877">
        <v>-1.1155571082539999</v>
      </c>
      <c r="AH3877">
        <v>13.541597130210899</v>
      </c>
      <c r="AI3877">
        <v>94.603575039564404</v>
      </c>
      <c r="AJ3877">
        <v>102.195574587698</v>
      </c>
      <c r="AK3877">
        <v>13.899097304128899</v>
      </c>
    </row>
    <row r="3878" spans="1:37" x14ac:dyDescent="0.2">
      <c r="A3878" t="str">
        <f>"20200111154143134"</f>
        <v>20200111154143134</v>
      </c>
      <c r="B3878" t="str">
        <f>"1578728503130212"</f>
        <v>1578728503130212</v>
      </c>
      <c r="C3878" t="s">
        <v>37</v>
      </c>
      <c r="D3878">
        <v>5.7148789999999998</v>
      </c>
      <c r="E3878">
        <v>0.48115180000000002</v>
      </c>
      <c r="F3878" t="s">
        <v>39</v>
      </c>
      <c r="G3878">
        <v>-390.29430000000002</v>
      </c>
      <c r="H3878" s="1">
        <v>-4.7246940000000001E-6</v>
      </c>
      <c r="I3878">
        <v>20.329090000000001</v>
      </c>
      <c r="J3878">
        <v>-405.35390000000001</v>
      </c>
      <c r="K3878">
        <v>1.1153</v>
      </c>
      <c r="L3878">
        <v>21.629850000000001</v>
      </c>
      <c r="M3878">
        <v>0.95494939999999995</v>
      </c>
      <c r="N3878">
        <v>0</v>
      </c>
      <c r="O3878">
        <v>-0.2964272</v>
      </c>
      <c r="P3878">
        <v>0.99000319999999997</v>
      </c>
      <c r="Q3878">
        <v>4.4549539999999999E-2</v>
      </c>
      <c r="R3878">
        <v>-0.1338251</v>
      </c>
      <c r="S3878">
        <v>3.0043329999999999</v>
      </c>
      <c r="T3878">
        <v>-0.2189421</v>
      </c>
      <c r="U3878">
        <v>-0.26971440000000002</v>
      </c>
      <c r="V3878">
        <v>-0.16635720000000001</v>
      </c>
      <c r="W3878">
        <v>5.6631109999999998E-2</v>
      </c>
      <c r="X3878">
        <v>0.98443799999999904</v>
      </c>
      <c r="Y3878">
        <v>-0.2085719</v>
      </c>
      <c r="Z3878">
        <v>2.8788620000000001E-2</v>
      </c>
      <c r="AA3878">
        <v>0.97758319999999999</v>
      </c>
      <c r="AB3878">
        <v>31</v>
      </c>
      <c r="AC3878">
        <v>15.0595999999999</v>
      </c>
      <c r="AD3878">
        <v>-1.115304724694</v>
      </c>
      <c r="AE3878">
        <v>-1.3007599999999999</v>
      </c>
      <c r="AF3878">
        <v>-3.2047939787031301</v>
      </c>
      <c r="AG3878">
        <v>-1.115304724694</v>
      </c>
      <c r="AH3878">
        <v>14.688266904806101</v>
      </c>
      <c r="AI3878">
        <v>94.242793085192105</v>
      </c>
      <c r="AJ3878">
        <v>102.308318166002</v>
      </c>
      <c r="AK3878">
        <v>15.075138266088301</v>
      </c>
    </row>
    <row r="3879" spans="1:37" x14ac:dyDescent="0.2">
      <c r="A3879" t="str">
        <f>"20200111154143147"</f>
        <v>20200111154143147</v>
      </c>
      <c r="B3879" t="str">
        <f>"1578728503139972"</f>
        <v>1578728503139972</v>
      </c>
      <c r="C3879" t="s">
        <v>37</v>
      </c>
      <c r="D3879">
        <v>5.497001</v>
      </c>
      <c r="E3879">
        <v>0.48133690000000001</v>
      </c>
      <c r="F3879" t="s">
        <v>48</v>
      </c>
      <c r="G3879">
        <v>-389.39339999999999</v>
      </c>
      <c r="H3879" s="1">
        <v>-4.523878E-7</v>
      </c>
      <c r="I3879">
        <v>20.237179999999999</v>
      </c>
      <c r="J3879">
        <v>-405.16149999999999</v>
      </c>
      <c r="K3879">
        <v>1.1151219999999999</v>
      </c>
      <c r="L3879">
        <v>21.57349</v>
      </c>
      <c r="M3879">
        <v>0.95588519999999899</v>
      </c>
      <c r="N3879">
        <v>0</v>
      </c>
      <c r="O3879">
        <v>-0.29339670000000001</v>
      </c>
      <c r="P3879">
        <v>0.99036019999999902</v>
      </c>
      <c r="Q3879">
        <v>4.3899029999999999E-2</v>
      </c>
      <c r="R3879">
        <v>-0.13137560000000001</v>
      </c>
      <c r="S3879">
        <v>3.00430299999999</v>
      </c>
      <c r="T3879">
        <v>-0.2099366</v>
      </c>
      <c r="U3879">
        <v>-0.26214599999999999</v>
      </c>
      <c r="V3879">
        <v>-0.16564499999999999</v>
      </c>
      <c r="W3879">
        <v>5.6031739999999997E-2</v>
      </c>
      <c r="X3879">
        <v>0.98459240000000003</v>
      </c>
      <c r="Y3879">
        <v>-0.2080255</v>
      </c>
      <c r="Z3879">
        <v>2.7391229999999999E-2</v>
      </c>
      <c r="AA3879">
        <v>0.97773980000000005</v>
      </c>
      <c r="AB3879">
        <v>31</v>
      </c>
      <c r="AC3879">
        <v>15.7681</v>
      </c>
      <c r="AD3879">
        <v>-1.1151224523878001</v>
      </c>
      <c r="AE3879">
        <v>-1.3363100000000001</v>
      </c>
      <c r="AF3879">
        <v>-3.3327383177919998</v>
      </c>
      <c r="AG3879">
        <v>-1.1151224523878001</v>
      </c>
      <c r="AH3879">
        <v>15.389703171176899</v>
      </c>
      <c r="AI3879">
        <v>94.050779488101895</v>
      </c>
      <c r="AJ3879">
        <v>102.219086595478</v>
      </c>
      <c r="AK3879">
        <v>15.785867301977101</v>
      </c>
    </row>
    <row r="3880" spans="1:37" x14ac:dyDescent="0.2">
      <c r="A3880" t="str">
        <f>"20200111154143160"</f>
        <v>20200111154143160</v>
      </c>
      <c r="B3880" t="str">
        <f>"1578728503149732"</f>
        <v>1578728503149732</v>
      </c>
      <c r="C3880" t="s">
        <v>37</v>
      </c>
      <c r="D3880">
        <v>5.495698</v>
      </c>
      <c r="E3880">
        <v>0.48161090000000001</v>
      </c>
      <c r="F3880" t="s">
        <v>48</v>
      </c>
      <c r="G3880">
        <v>-389.09410000000003</v>
      </c>
      <c r="H3880" s="1">
        <v>-5.8518619999999899E-7</v>
      </c>
      <c r="I3880">
        <v>20.204539999999898</v>
      </c>
      <c r="J3880">
        <v>-404.98489999999998</v>
      </c>
      <c r="K3880">
        <v>1.1149709999999999</v>
      </c>
      <c r="L3880">
        <v>21.522220000000001</v>
      </c>
      <c r="M3880">
        <v>0.95671240000000002</v>
      </c>
      <c r="N3880">
        <v>0</v>
      </c>
      <c r="O3880">
        <v>-0.2906897</v>
      </c>
      <c r="P3880">
        <v>0.99069200000000002</v>
      </c>
      <c r="Q3880">
        <v>4.3006389999999999E-2</v>
      </c>
      <c r="R3880">
        <v>-0.12915019999999999</v>
      </c>
      <c r="S3880">
        <v>3.0044559999999998</v>
      </c>
      <c r="T3880">
        <v>-0.20851729999999999</v>
      </c>
      <c r="U3880">
        <v>-0.25598139999999903</v>
      </c>
      <c r="V3880">
        <v>-0.16505</v>
      </c>
      <c r="W3880">
        <v>5.5180949999999999E-2</v>
      </c>
      <c r="X3880">
        <v>0.98474039999999996</v>
      </c>
      <c r="Y3880">
        <v>-0.2072764</v>
      </c>
      <c r="Z3880">
        <v>2.700338E-2</v>
      </c>
      <c r="AA3880">
        <v>0.97790969999999999</v>
      </c>
      <c r="AB3880">
        <v>31</v>
      </c>
      <c r="AC3880">
        <v>15.890799999999899</v>
      </c>
      <c r="AD3880">
        <v>-1.1149715851862001</v>
      </c>
      <c r="AE3880">
        <v>-1.31768</v>
      </c>
      <c r="AF3880">
        <v>-3.3426447872451299</v>
      </c>
      <c r="AG3880">
        <v>-1.1149715851862001</v>
      </c>
      <c r="AH3880">
        <v>15.511683491972001</v>
      </c>
      <c r="AI3880">
        <v>94.019367847604002</v>
      </c>
      <c r="AJ3880">
        <v>102.160825321299</v>
      </c>
      <c r="AK3880">
        <v>15.9068777754966</v>
      </c>
    </row>
    <row r="3881" spans="1:37" x14ac:dyDescent="0.2">
      <c r="A3881" t="str">
        <f>"20200111154143179"</f>
        <v>20200111154143179</v>
      </c>
      <c r="B3881" t="str">
        <f>"1578728503170228"</f>
        <v>1578728503170228</v>
      </c>
      <c r="C3881" t="s">
        <v>37</v>
      </c>
      <c r="D3881">
        <v>5.6503069999999997</v>
      </c>
      <c r="E3881">
        <v>0.48205130000000002</v>
      </c>
      <c r="F3881" t="s">
        <v>48</v>
      </c>
      <c r="G3881">
        <v>-388.91500000000002</v>
      </c>
      <c r="H3881" s="1">
        <v>-6.6288989999999898E-7</v>
      </c>
      <c r="I3881">
        <v>20.178519999999999</v>
      </c>
      <c r="J3881">
        <v>-404.7371</v>
      </c>
      <c r="K3881">
        <v>1.1147849999999999</v>
      </c>
      <c r="L3881">
        <v>21.4512</v>
      </c>
      <c r="M3881">
        <v>0.95782289999999903</v>
      </c>
      <c r="N3881">
        <v>0</v>
      </c>
      <c r="O3881">
        <v>-0.28701149999999997</v>
      </c>
      <c r="P3881">
        <v>0.99112029999999995</v>
      </c>
      <c r="Q3881">
        <v>4.2046609999999998E-2</v>
      </c>
      <c r="R3881">
        <v>-0.12614649999999999</v>
      </c>
      <c r="S3881">
        <v>3.0044559999999998</v>
      </c>
      <c r="T3881">
        <v>-0.20845759999999999</v>
      </c>
      <c r="U3881">
        <v>-0.25122070000000002</v>
      </c>
      <c r="V3881">
        <v>-0.16422709999999999</v>
      </c>
      <c r="W3881">
        <v>5.427013E-2</v>
      </c>
      <c r="X3881">
        <v>0.98492849999999998</v>
      </c>
      <c r="Y3881">
        <v>-0.205069999999999</v>
      </c>
      <c r="Z3881">
        <v>2.6677860000000001E-2</v>
      </c>
      <c r="AA3881">
        <v>0.97838369999999997</v>
      </c>
      <c r="AB3881">
        <v>31</v>
      </c>
      <c r="AC3881">
        <v>15.822099999999899</v>
      </c>
      <c r="AD3881">
        <v>-1.1147856628899</v>
      </c>
      <c r="AE3881">
        <v>-1.27267999999999</v>
      </c>
      <c r="AF3881">
        <v>-3.3061472887982202</v>
      </c>
      <c r="AG3881">
        <v>-1.1147856628899</v>
      </c>
      <c r="AH3881">
        <v>15.4454112128874</v>
      </c>
      <c r="AI3881">
        <v>94.037074201500999</v>
      </c>
      <c r="AJ3881">
        <v>102.082046189306</v>
      </c>
      <c r="AK3881">
        <v>15.834585075226901</v>
      </c>
    </row>
    <row r="3882" spans="1:37" x14ac:dyDescent="0.2">
      <c r="A3882" t="str">
        <f>"20200111154143192"</f>
        <v>20200111154143192</v>
      </c>
      <c r="B3882" t="str">
        <f>"1578728503189749"</f>
        <v>1578728503189749</v>
      </c>
      <c r="C3882" t="s">
        <v>37</v>
      </c>
      <c r="D3882">
        <v>5.5750779999999898</v>
      </c>
      <c r="E3882">
        <v>0.48208420000000002</v>
      </c>
      <c r="F3882" t="s">
        <v>48</v>
      </c>
      <c r="G3882">
        <v>-388.66120000000001</v>
      </c>
      <c r="H3882" s="1">
        <v>-7.7219599999999999E-7</v>
      </c>
      <c r="I3882">
        <v>20.138379999999898</v>
      </c>
      <c r="J3882">
        <v>-404.57279999999997</v>
      </c>
      <c r="K3882">
        <v>1.114681</v>
      </c>
      <c r="L3882">
        <v>21.404689999999999</v>
      </c>
      <c r="M3882">
        <v>0.95853279999999996</v>
      </c>
      <c r="N3882">
        <v>0</v>
      </c>
      <c r="O3882">
        <v>-0.28463290000000002</v>
      </c>
      <c r="P3882">
        <v>0.99140130000000004</v>
      </c>
      <c r="Q3882">
        <v>4.1623479999999997E-2</v>
      </c>
      <c r="R3882">
        <v>-0.12406109999999999</v>
      </c>
      <c r="S3882">
        <v>3.0045169999999999</v>
      </c>
      <c r="T3882">
        <v>-0.20834859999999999</v>
      </c>
      <c r="U3882">
        <v>-0.24536129999999901</v>
      </c>
      <c r="V3882">
        <v>-0.1638394</v>
      </c>
      <c r="W3882">
        <v>5.3871599999999999E-2</v>
      </c>
      <c r="X3882">
        <v>0.98501499999999997</v>
      </c>
      <c r="Y3882">
        <v>-0.204544899999999</v>
      </c>
      <c r="Z3882">
        <v>2.6490619999999999E-2</v>
      </c>
      <c r="AA3882">
        <v>0.978498599999999</v>
      </c>
      <c r="AB3882">
        <v>31</v>
      </c>
      <c r="AC3882">
        <v>15.9115999999999</v>
      </c>
      <c r="AD3882">
        <v>-1.1146817721960001</v>
      </c>
      <c r="AE3882">
        <v>-1.26631</v>
      </c>
      <c r="AF3882">
        <v>-3.2994046311584002</v>
      </c>
      <c r="AG3882">
        <v>-1.1146817721960001</v>
      </c>
      <c r="AH3882">
        <v>15.538002273229299</v>
      </c>
      <c r="AI3882">
        <v>94.014117884423101</v>
      </c>
      <c r="AJ3882">
        <v>101.988357924729</v>
      </c>
      <c r="AK3882">
        <v>15.9235078112912</v>
      </c>
    </row>
    <row r="3883" spans="1:37" x14ac:dyDescent="0.2">
      <c r="A3883" t="str">
        <f>"20200111154143213"</f>
        <v>20200111154143213</v>
      </c>
      <c r="B3883" t="str">
        <f>"1578728503210244"</f>
        <v>1578728503210244</v>
      </c>
      <c r="C3883" t="s">
        <v>37</v>
      </c>
      <c r="D3883">
        <v>5.5295209999999999</v>
      </c>
      <c r="E3883">
        <v>0.4822169</v>
      </c>
      <c r="F3883" t="s">
        <v>48</v>
      </c>
      <c r="G3883">
        <v>-388.69799999999998</v>
      </c>
      <c r="H3883" s="1">
        <v>-7.5571030000000001E-7</v>
      </c>
      <c r="I3883">
        <v>20.141690000000001</v>
      </c>
      <c r="J3883">
        <v>-404.30680000000001</v>
      </c>
      <c r="K3883">
        <v>1.1145339999999999</v>
      </c>
      <c r="L3883">
        <v>21.330079999999999</v>
      </c>
      <c r="M3883">
        <v>0.95964919999999998</v>
      </c>
      <c r="N3883">
        <v>0</v>
      </c>
      <c r="O3883">
        <v>-0.28084730000000002</v>
      </c>
      <c r="P3883">
        <v>0.99178899999999903</v>
      </c>
      <c r="Q3883">
        <v>4.1374260000000003E-2</v>
      </c>
      <c r="R3883">
        <v>-0.1210077</v>
      </c>
      <c r="S3883">
        <v>3.0049440000000001</v>
      </c>
      <c r="T3883">
        <v>-0.2109975</v>
      </c>
      <c r="U3883">
        <v>-0.2390747</v>
      </c>
      <c r="V3883">
        <v>-0.16296469999999999</v>
      </c>
      <c r="W3883">
        <v>5.3658280000000003E-2</v>
      </c>
      <c r="X3883">
        <v>0.98517169999999898</v>
      </c>
      <c r="Y3883">
        <v>-0.20271059999999999</v>
      </c>
      <c r="Z3883">
        <v>2.6507180000000002E-2</v>
      </c>
      <c r="AA3883">
        <v>0.97887990000000002</v>
      </c>
      <c r="AB3883">
        <v>31</v>
      </c>
      <c r="AC3883">
        <v>15.608799999999899</v>
      </c>
      <c r="AD3883">
        <v>-1.11453475571029</v>
      </c>
      <c r="AE3883">
        <v>-1.1883899999999901</v>
      </c>
      <c r="AF3883">
        <v>-3.2272139494725698</v>
      </c>
      <c r="AG3883">
        <v>-1.11453475571029</v>
      </c>
      <c r="AH3883">
        <v>15.2370071427846</v>
      </c>
      <c r="AI3883">
        <v>94.093058327688297</v>
      </c>
      <c r="AJ3883">
        <v>101.958576634951</v>
      </c>
      <c r="AK3883">
        <v>15.614848198641701</v>
      </c>
    </row>
    <row r="3884" spans="1:37" x14ac:dyDescent="0.2">
      <c r="A3884" t="str">
        <f>"20200111154143227"</f>
        <v>20200111154143227</v>
      </c>
      <c r="B3884" t="str">
        <f>"1578728503220005"</f>
        <v>1578728503220005</v>
      </c>
      <c r="C3884" t="s">
        <v>37</v>
      </c>
      <c r="D3884">
        <v>5.4598019999999998</v>
      </c>
      <c r="E3884">
        <v>0.48225899999999999</v>
      </c>
      <c r="F3884" t="s">
        <v>48</v>
      </c>
      <c r="G3884">
        <v>-388.66079999999999</v>
      </c>
      <c r="H3884" s="1">
        <v>-7.7044339999999995E-7</v>
      </c>
      <c r="I3884">
        <v>20.131</v>
      </c>
      <c r="J3884">
        <v>-404.11160000000001</v>
      </c>
      <c r="K3884">
        <v>1.1144479999999899</v>
      </c>
      <c r="L3884">
        <v>21.27591</v>
      </c>
      <c r="M3884">
        <v>0.96044669999999899</v>
      </c>
      <c r="N3884">
        <v>0</v>
      </c>
      <c r="O3884">
        <v>-0.2781092</v>
      </c>
      <c r="P3884">
        <v>0.99207540000000005</v>
      </c>
      <c r="Q3884">
        <v>4.1472830000000002E-2</v>
      </c>
      <c r="R3884">
        <v>-0.11860129999999899</v>
      </c>
      <c r="S3884">
        <v>3.005646</v>
      </c>
      <c r="T3884">
        <v>-0.21410479999999901</v>
      </c>
      <c r="U3884">
        <v>-0.23034669999999999</v>
      </c>
      <c r="V3884">
        <v>-0.16253239999999999</v>
      </c>
      <c r="W3884">
        <v>5.377494E-2</v>
      </c>
      <c r="X3884">
        <v>0.98523680000000002</v>
      </c>
      <c r="Y3884">
        <v>-0.20273379999999999</v>
      </c>
      <c r="Z3884">
        <v>2.6708760000000002E-2</v>
      </c>
      <c r="AA3884">
        <v>0.97886960000000001</v>
      </c>
      <c r="AB3884">
        <v>31</v>
      </c>
      <c r="AC3884">
        <v>15.450799999999999</v>
      </c>
      <c r="AD3884">
        <v>-1.1144487704433901</v>
      </c>
      <c r="AE3884">
        <v>-1.1449099999999901</v>
      </c>
      <c r="AF3884">
        <v>-3.1812399837826599</v>
      </c>
      <c r="AG3884">
        <v>-1.1144487704433901</v>
      </c>
      <c r="AH3884">
        <v>15.0815419077113</v>
      </c>
      <c r="AI3884">
        <v>94.135508561040396</v>
      </c>
      <c r="AJ3884">
        <v>101.911132639969</v>
      </c>
      <c r="AK3884">
        <v>15.4536465020529</v>
      </c>
    </row>
    <row r="3885" spans="1:37" x14ac:dyDescent="0.2">
      <c r="A3885" t="str">
        <f>"20200111154143246"</f>
        <v>20200111154143246</v>
      </c>
      <c r="B3885" t="str">
        <f>"1578728503240501"</f>
        <v>1578728503240501</v>
      </c>
      <c r="C3885" t="s">
        <v>37</v>
      </c>
      <c r="D3885">
        <v>5.445093</v>
      </c>
      <c r="E3885">
        <v>0.48259370000000001</v>
      </c>
      <c r="F3885" t="s">
        <v>48</v>
      </c>
      <c r="G3885">
        <v>-388.52659999999997</v>
      </c>
      <c r="H3885" s="1">
        <v>-8.3074749999999998E-7</v>
      </c>
      <c r="I3885">
        <v>20.119219999999999</v>
      </c>
      <c r="J3885">
        <v>-403.86219999999997</v>
      </c>
      <c r="K3885">
        <v>1.1143609999999999</v>
      </c>
      <c r="L3885">
        <v>21.207609999999999</v>
      </c>
      <c r="M3885">
        <v>0.96144229999999997</v>
      </c>
      <c r="N3885">
        <v>0</v>
      </c>
      <c r="O3885">
        <v>-0.27464879999999903</v>
      </c>
      <c r="P3885">
        <v>0.99242009999999903</v>
      </c>
      <c r="Q3885">
        <v>4.1029040000000003E-2</v>
      </c>
      <c r="R3885">
        <v>-0.1158415</v>
      </c>
      <c r="S3885">
        <v>3.0062259999999998</v>
      </c>
      <c r="T3885">
        <v>-0.21496759999999901</v>
      </c>
      <c r="U3885">
        <v>-0.22311399999999901</v>
      </c>
      <c r="V3885">
        <v>-0.161713</v>
      </c>
      <c r="W3885">
        <v>5.3349729999999998E-2</v>
      </c>
      <c r="X3885">
        <v>0.98539469999999996</v>
      </c>
      <c r="Y3885">
        <v>-0.20156589999999999</v>
      </c>
      <c r="Z3885">
        <v>2.6535389999999999E-2</v>
      </c>
      <c r="AA3885">
        <v>0.97911539999999997</v>
      </c>
      <c r="AB3885">
        <v>31</v>
      </c>
      <c r="AC3885">
        <v>15.335599999999999</v>
      </c>
      <c r="AD3885">
        <v>-1.1143618307475001</v>
      </c>
      <c r="AE3885">
        <v>-1.08838999999999</v>
      </c>
      <c r="AF3885">
        <v>-3.14924605560822</v>
      </c>
      <c r="AG3885">
        <v>-1.1143618307475001</v>
      </c>
      <c r="AH3885">
        <v>14.966071661505699</v>
      </c>
      <c r="AI3885">
        <v>94.167407470467296</v>
      </c>
      <c r="AJ3885">
        <v>101.88313754672799</v>
      </c>
      <c r="AK3885">
        <v>15.3343683921417</v>
      </c>
    </row>
    <row r="3886" spans="1:37" x14ac:dyDescent="0.2">
      <c r="A3886" t="str">
        <f>"20200111154143268"</f>
        <v>20200111154143268</v>
      </c>
      <c r="B3886" t="str">
        <f>"1578728503260019"</f>
        <v>1578728503260019</v>
      </c>
      <c r="C3886" t="s">
        <v>37</v>
      </c>
      <c r="D3886">
        <v>5.4738930000000003</v>
      </c>
      <c r="E3886">
        <v>0.48277890000000001</v>
      </c>
      <c r="F3886" t="s">
        <v>48</v>
      </c>
      <c r="G3886">
        <v>-388.49209999999999</v>
      </c>
      <c r="H3886" s="1">
        <v>-8.4145269999999995E-7</v>
      </c>
      <c r="I3886">
        <v>20.098220000000001</v>
      </c>
      <c r="J3886">
        <v>-403.56580000000002</v>
      </c>
      <c r="K3886">
        <v>1.114287</v>
      </c>
      <c r="L3886">
        <v>21.12772</v>
      </c>
      <c r="M3886">
        <v>0.96260109999999999</v>
      </c>
      <c r="N3886">
        <v>0</v>
      </c>
      <c r="O3886">
        <v>-0.2705613</v>
      </c>
      <c r="P3886">
        <v>0.99290389999999995</v>
      </c>
      <c r="Q3886">
        <v>4.0455369999999997E-2</v>
      </c>
      <c r="R3886">
        <v>-0.1118276</v>
      </c>
      <c r="S3886">
        <v>3.0065919999999999</v>
      </c>
      <c r="T3886">
        <v>-0.21798310000000001</v>
      </c>
      <c r="U3886">
        <v>-0.2170105</v>
      </c>
      <c r="V3886">
        <v>-0.16150129999999999</v>
      </c>
      <c r="W3886">
        <v>5.2781189999999999E-2</v>
      </c>
      <c r="X3886">
        <v>0.98546</v>
      </c>
      <c r="Y3886">
        <v>-0.19937249999999901</v>
      </c>
      <c r="Z3886">
        <v>2.6542039999999999E-2</v>
      </c>
      <c r="AA3886">
        <v>0.9795642</v>
      </c>
      <c r="AB3886">
        <v>31</v>
      </c>
      <c r="AC3886">
        <v>15.073700000000001</v>
      </c>
      <c r="AD3886">
        <v>-1.1142878414527</v>
      </c>
      <c r="AE3886">
        <v>-1.0294999999999901</v>
      </c>
      <c r="AF3886">
        <v>-3.0709606582048101</v>
      </c>
      <c r="AG3886">
        <v>-1.1142878414527</v>
      </c>
      <c r="AH3886">
        <v>14.7099402561399</v>
      </c>
      <c r="AI3886">
        <v>94.240834418851804</v>
      </c>
      <c r="AJ3886">
        <v>101.792139974872</v>
      </c>
      <c r="AK3886">
        <v>15.0683369718445</v>
      </c>
    </row>
    <row r="3887" spans="1:37" x14ac:dyDescent="0.2">
      <c r="A3887" t="str">
        <f>"20200111154143280"</f>
        <v>20200111154143280</v>
      </c>
      <c r="B3887" t="str">
        <f>"1578728503269781"</f>
        <v>1578728503269781</v>
      </c>
      <c r="C3887" t="s">
        <v>37</v>
      </c>
      <c r="D3887">
        <v>5.7751169999999998</v>
      </c>
      <c r="E3887">
        <v>0.48299520000000001</v>
      </c>
      <c r="F3887" t="s">
        <v>48</v>
      </c>
      <c r="G3887">
        <v>-388.42689999999999</v>
      </c>
      <c r="H3887" s="1">
        <v>-8.6996740000000005E-7</v>
      </c>
      <c r="I3887">
        <v>20.089649999999999</v>
      </c>
      <c r="J3887">
        <v>-403.39589999999998</v>
      </c>
      <c r="K3887">
        <v>1.1142559999999999</v>
      </c>
      <c r="L3887">
        <v>21.082460000000001</v>
      </c>
      <c r="M3887">
        <v>0.96325530000000004</v>
      </c>
      <c r="N3887">
        <v>0</v>
      </c>
      <c r="O3887">
        <v>-0.26822319999999999</v>
      </c>
      <c r="P3887">
        <v>0.99316629999999995</v>
      </c>
      <c r="Q3887">
        <v>4.0176839999999998E-2</v>
      </c>
      <c r="R3887">
        <v>-0.1095743</v>
      </c>
      <c r="S3887">
        <v>3.007263</v>
      </c>
      <c r="T3887">
        <v>-0.221348299999999</v>
      </c>
      <c r="U3887">
        <v>-0.20620729999999901</v>
      </c>
      <c r="V3887">
        <v>-0.1613405</v>
      </c>
      <c r="W3887">
        <v>5.2503580000000001E-2</v>
      </c>
      <c r="X3887">
        <v>0.98550119999999897</v>
      </c>
      <c r="Y3887">
        <v>-0.2004764</v>
      </c>
      <c r="Z3887">
        <v>2.68250999999999E-2</v>
      </c>
      <c r="AA3887">
        <v>0.97933119999999996</v>
      </c>
      <c r="AB3887">
        <v>31</v>
      </c>
      <c r="AC3887">
        <v>14.9689999999999</v>
      </c>
      <c r="AD3887">
        <v>-1.11425686996739</v>
      </c>
      <c r="AE3887">
        <v>-0.99281000000000197</v>
      </c>
      <c r="AF3887">
        <v>-3.0422196904171601</v>
      </c>
      <c r="AG3887">
        <v>-1.11425686996739</v>
      </c>
      <c r="AH3887">
        <v>14.60612177322</v>
      </c>
      <c r="AI3887">
        <v>94.271159752577205</v>
      </c>
      <c r="AJ3887">
        <v>101.76557321140599</v>
      </c>
      <c r="AK3887">
        <v>14.961131717592799</v>
      </c>
    </row>
    <row r="3888" spans="1:37" x14ac:dyDescent="0.2">
      <c r="A3888" t="str">
        <f>"20200111154143294"</f>
        <v>20200111154143294</v>
      </c>
      <c r="B3888" t="str">
        <f>"1578728503290276"</f>
        <v>1578728503290276</v>
      </c>
      <c r="C3888" t="s">
        <v>37</v>
      </c>
      <c r="D3888">
        <v>5.4706359999999998</v>
      </c>
      <c r="E3888">
        <v>0.48340659999999902</v>
      </c>
      <c r="F3888" t="s">
        <v>48</v>
      </c>
      <c r="G3888">
        <v>-388.16140000000001</v>
      </c>
      <c r="H3888" s="1">
        <v>-9.8866330000000002E-7</v>
      </c>
      <c r="I3888">
        <v>20.064</v>
      </c>
      <c r="J3888">
        <v>-403.22390000000001</v>
      </c>
      <c r="K3888">
        <v>1.1142289999999999</v>
      </c>
      <c r="L3888">
        <v>21.03717</v>
      </c>
      <c r="M3888">
        <v>0.96391179999999999</v>
      </c>
      <c r="N3888">
        <v>0</v>
      </c>
      <c r="O3888">
        <v>-0.26585520000000001</v>
      </c>
      <c r="P3888">
        <v>0.99346109999999899</v>
      </c>
      <c r="Q3888">
        <v>4.0099330000000002E-2</v>
      </c>
      <c r="R3888">
        <v>-0.1068978</v>
      </c>
      <c r="S3888">
        <v>3.00738499999999</v>
      </c>
      <c r="T3888">
        <v>-0.21996089999999999</v>
      </c>
      <c r="U3888">
        <v>-0.201049799999999</v>
      </c>
      <c r="V3888">
        <v>-0.16157060000000001</v>
      </c>
      <c r="W3888">
        <v>5.2420719999999997E-2</v>
      </c>
      <c r="X3888">
        <v>0.98546789999999995</v>
      </c>
      <c r="Y3888">
        <v>-0.1997669</v>
      </c>
      <c r="Z3888">
        <v>2.6465989999999998E-2</v>
      </c>
      <c r="AA3888">
        <v>0.97948590000000002</v>
      </c>
      <c r="AB3888">
        <v>31</v>
      </c>
      <c r="AC3888">
        <v>15.0625</v>
      </c>
      <c r="AD3888">
        <v>-1.1142299886633</v>
      </c>
      <c r="AE3888">
        <v>-0.97316999999999898</v>
      </c>
      <c r="AF3888">
        <v>-3.05007202678068</v>
      </c>
      <c r="AG3888">
        <v>-1.1142299886633</v>
      </c>
      <c r="AH3888">
        <v>14.6989849870091</v>
      </c>
      <c r="AI3888">
        <v>94.244831653123597</v>
      </c>
      <c r="AJ3888">
        <v>101.72264295436599</v>
      </c>
      <c r="AK3888">
        <v>15.0533918930089</v>
      </c>
    </row>
    <row r="3889" spans="1:37" x14ac:dyDescent="0.2">
      <c r="A3889" t="str">
        <f>"20200111154143312"</f>
        <v>20200111154143312</v>
      </c>
      <c r="B3889" t="str">
        <f>"1578728503309796"</f>
        <v>1578728503309796</v>
      </c>
      <c r="C3889" t="s">
        <v>37</v>
      </c>
      <c r="D3889">
        <v>5.4570780000000001</v>
      </c>
      <c r="E3889">
        <v>0.48381089999999999</v>
      </c>
      <c r="F3889" t="s">
        <v>48</v>
      </c>
      <c r="G3889">
        <v>-387.74239999999998</v>
      </c>
      <c r="H3889" s="1">
        <v>-1.176803E-6</v>
      </c>
      <c r="I3889">
        <v>20.026700000000002</v>
      </c>
      <c r="J3889">
        <v>-402.97480000000002</v>
      </c>
      <c r="K3889">
        <v>1.1141989999999999</v>
      </c>
      <c r="L3889">
        <v>20.972349999999999</v>
      </c>
      <c r="M3889">
        <v>0.96485239999999906</v>
      </c>
      <c r="N3889">
        <v>0</v>
      </c>
      <c r="O3889">
        <v>-0.26242189999999999</v>
      </c>
      <c r="P3889">
        <v>0.99385270000000003</v>
      </c>
      <c r="Q3889">
        <v>3.9906400000000002E-2</v>
      </c>
      <c r="R3889">
        <v>-0.1032671</v>
      </c>
      <c r="S3889">
        <v>3.007355</v>
      </c>
      <c r="T3889">
        <v>-0.21644469999999999</v>
      </c>
      <c r="U3889">
        <v>-0.19628909999999999</v>
      </c>
      <c r="V3889">
        <v>-0.16165869999999999</v>
      </c>
      <c r="W3889">
        <v>5.2221679999999999E-2</v>
      </c>
      <c r="X3889">
        <v>0.98546399999999901</v>
      </c>
      <c r="Y3889">
        <v>-0.19787370000000001</v>
      </c>
      <c r="Z3889">
        <v>2.5740019999999999E-2</v>
      </c>
      <c r="AA3889">
        <v>0.97988949999999997</v>
      </c>
      <c r="AB3889">
        <v>31</v>
      </c>
      <c r="AC3889">
        <v>15.2324</v>
      </c>
      <c r="AD3889">
        <v>-1.1142001768029901</v>
      </c>
      <c r="AE3889">
        <v>-0.94564999999999699</v>
      </c>
      <c r="AF3889">
        <v>-3.0688462232420801</v>
      </c>
      <c r="AG3889">
        <v>-1.1142001768029901</v>
      </c>
      <c r="AH3889">
        <v>14.8673895701468</v>
      </c>
      <c r="AI3889">
        <v>94.197713597246405</v>
      </c>
      <c r="AJ3889">
        <v>101.662886187864</v>
      </c>
      <c r="AK3889">
        <v>15.221646816504601</v>
      </c>
    </row>
    <row r="3890" spans="1:37" x14ac:dyDescent="0.2">
      <c r="A3890" t="str">
        <f>"20200111154143326"</f>
        <v>20200111154143326</v>
      </c>
      <c r="B3890" t="str">
        <f>"1578728503319556"</f>
        <v>1578728503319556</v>
      </c>
      <c r="C3890" t="s">
        <v>37</v>
      </c>
      <c r="D3890">
        <v>5.391114</v>
      </c>
      <c r="E3890">
        <v>0.483877</v>
      </c>
      <c r="F3890" t="s">
        <v>48</v>
      </c>
      <c r="G3890">
        <v>-387.34410000000003</v>
      </c>
      <c r="H3890" s="1">
        <v>-1.3558869999999899E-6</v>
      </c>
      <c r="I3890">
        <v>19.99202</v>
      </c>
      <c r="J3890">
        <v>-402.79570000000001</v>
      </c>
      <c r="K3890">
        <v>1.1141829999999999</v>
      </c>
      <c r="L3890">
        <v>20.92624</v>
      </c>
      <c r="M3890">
        <v>0.96552130000000003</v>
      </c>
      <c r="N3890">
        <v>0</v>
      </c>
      <c r="O3890">
        <v>-0.25995059999999998</v>
      </c>
      <c r="P3890">
        <v>0.99415830000000005</v>
      </c>
      <c r="Q3890">
        <v>3.9695389999999997E-2</v>
      </c>
      <c r="R3890">
        <v>-0.1003689</v>
      </c>
      <c r="S3890">
        <v>3.007568</v>
      </c>
      <c r="T3890">
        <v>-0.21438689999999999</v>
      </c>
      <c r="U3890">
        <v>-0.1886292</v>
      </c>
      <c r="V3890">
        <v>-0.16200690000000001</v>
      </c>
      <c r="W3890">
        <v>5.2002630000000001E-2</v>
      </c>
      <c r="X3890">
        <v>0.98541840000000003</v>
      </c>
      <c r="Y3890">
        <v>-0.19788220000000001</v>
      </c>
      <c r="Z3890">
        <v>2.532773E-2</v>
      </c>
      <c r="AA3890">
        <v>0.97989850000000001</v>
      </c>
      <c r="AB3890">
        <v>31</v>
      </c>
      <c r="AC3890">
        <v>15.4515999999999</v>
      </c>
      <c r="AD3890">
        <v>-1.1141843558869999</v>
      </c>
      <c r="AE3890">
        <v>-0.93421999999999905</v>
      </c>
      <c r="AF3890">
        <v>-3.0988918117111202</v>
      </c>
      <c r="AG3890">
        <v>-1.1141843558869999</v>
      </c>
      <c r="AH3890">
        <v>15.0850232661519</v>
      </c>
      <c r="AI3890">
        <v>94.138109221918597</v>
      </c>
      <c r="AJ3890">
        <v>101.60867843527799</v>
      </c>
      <c r="AK3890">
        <v>15.4402870497908</v>
      </c>
    </row>
    <row r="3891" spans="1:37" x14ac:dyDescent="0.2">
      <c r="A3891" t="str">
        <f>"20200111154143340"</f>
        <v>20200111154143340</v>
      </c>
      <c r="B3891" t="str">
        <f>"1578728503330292"</f>
        <v>1578728503330292</v>
      </c>
      <c r="C3891" t="s">
        <v>37</v>
      </c>
      <c r="D3891">
        <v>6.8078329999999996</v>
      </c>
      <c r="E3891">
        <v>0.48406660000000001</v>
      </c>
      <c r="F3891" t="s">
        <v>48</v>
      </c>
      <c r="G3891">
        <v>-387.31199999999899</v>
      </c>
      <c r="H3891" s="1">
        <v>-1.372356E-6</v>
      </c>
      <c r="I3891">
        <v>19.997070000000001</v>
      </c>
      <c r="J3891">
        <v>-402.60879999999997</v>
      </c>
      <c r="K3891">
        <v>1.114169</v>
      </c>
      <c r="L3891">
        <v>20.87866</v>
      </c>
      <c r="M3891">
        <v>0.96621409999999996</v>
      </c>
      <c r="N3891">
        <v>0</v>
      </c>
      <c r="O3891">
        <v>-0.2573647</v>
      </c>
      <c r="P3891">
        <v>0.99444509999999897</v>
      </c>
      <c r="Q3891">
        <v>3.9475000000000003E-2</v>
      </c>
      <c r="R3891">
        <v>-9.7573850000000004E-2</v>
      </c>
      <c r="S3891">
        <v>3.008057</v>
      </c>
      <c r="T3891">
        <v>-0.2164555</v>
      </c>
      <c r="U3891">
        <v>-0.18051149999999999</v>
      </c>
      <c r="V3891">
        <v>-0.16213659999999999</v>
      </c>
      <c r="W3891">
        <v>5.177644E-2</v>
      </c>
      <c r="X3891">
        <v>0.98540899999999998</v>
      </c>
      <c r="Y3891">
        <v>-0.19788699999999901</v>
      </c>
      <c r="Z3891">
        <v>2.5391210000000001E-2</v>
      </c>
      <c r="AA3891">
        <v>0.97989590000000004</v>
      </c>
      <c r="AB3891">
        <v>31</v>
      </c>
      <c r="AC3891">
        <v>15.296799999999999</v>
      </c>
      <c r="AD3891">
        <v>-1.1141703723559999</v>
      </c>
      <c r="AE3891">
        <v>-0.88158999999999899</v>
      </c>
      <c r="AF3891">
        <v>-3.06912210803491</v>
      </c>
      <c r="AG3891">
        <v>-1.1141703723559999</v>
      </c>
      <c r="AH3891">
        <v>14.9293865694987</v>
      </c>
      <c r="AI3891">
        <v>94.180922733856406</v>
      </c>
      <c r="AJ3891">
        <v>101.616788616623</v>
      </c>
      <c r="AK3891">
        <v>15.2822599596457</v>
      </c>
    </row>
    <row r="3892" spans="1:37" x14ac:dyDescent="0.2">
      <c r="A3892" t="str">
        <f>"20200111154143357"</f>
        <v>20200111154143357</v>
      </c>
      <c r="B3892" t="str">
        <f>"1578728503349812"</f>
        <v>1578728503349812</v>
      </c>
      <c r="C3892" t="s">
        <v>37</v>
      </c>
      <c r="D3892">
        <v>5.3958389999999996</v>
      </c>
      <c r="E3892">
        <v>0.48442679999999999</v>
      </c>
      <c r="F3892" t="s">
        <v>48</v>
      </c>
      <c r="G3892">
        <v>-387.07209999999998</v>
      </c>
      <c r="H3892" s="1">
        <v>-1.4817670000000001E-6</v>
      </c>
      <c r="I3892">
        <v>19.982009999999999</v>
      </c>
      <c r="J3892">
        <v>-402.3732</v>
      </c>
      <c r="K3892">
        <v>1.1141459999999901</v>
      </c>
      <c r="L3892">
        <v>20.81955</v>
      </c>
      <c r="M3892">
        <v>0.96707749999999904</v>
      </c>
      <c r="N3892">
        <v>0</v>
      </c>
      <c r="O3892">
        <v>-0.25410149999999998</v>
      </c>
      <c r="P3892">
        <v>0.99482660000000001</v>
      </c>
      <c r="Q3892">
        <v>3.9210799999999997E-2</v>
      </c>
      <c r="R3892">
        <v>-9.3715439999999997E-2</v>
      </c>
      <c r="S3892">
        <v>3.00827</v>
      </c>
      <c r="T3892">
        <v>-0.21573020000000001</v>
      </c>
      <c r="U3892">
        <v>-0.1736145</v>
      </c>
      <c r="V3892">
        <v>-0.16263050000000001</v>
      </c>
      <c r="W3892">
        <v>5.1500249999999997E-2</v>
      </c>
      <c r="X3892">
        <v>0.9853421</v>
      </c>
      <c r="Y3892">
        <v>-0.19683970000000001</v>
      </c>
      <c r="Z3892">
        <v>2.504352E-2</v>
      </c>
      <c r="AA3892">
        <v>0.98011579999999998</v>
      </c>
      <c r="AB3892">
        <v>31</v>
      </c>
      <c r="AC3892">
        <v>15.3011</v>
      </c>
      <c r="AD3892">
        <v>-1.1141474817669901</v>
      </c>
      <c r="AE3892">
        <v>-0.83753999999999995</v>
      </c>
      <c r="AF3892">
        <v>-3.0621770988661101</v>
      </c>
      <c r="AG3892">
        <v>-1.1141474817669901</v>
      </c>
      <c r="AH3892">
        <v>14.9326857718518</v>
      </c>
      <c r="AI3892">
        <v>94.180335645856502</v>
      </c>
      <c r="AJ3892">
        <v>101.58872189779299</v>
      </c>
      <c r="AK3892">
        <v>15.2840883783369</v>
      </c>
    </row>
    <row r="3893" spans="1:37" x14ac:dyDescent="0.2">
      <c r="A3893" t="str">
        <f>"20200111154143380"</f>
        <v>20200111154143380</v>
      </c>
      <c r="B3893" t="str">
        <f>"1578728503370307"</f>
        <v>1578728503370307</v>
      </c>
      <c r="C3893" t="s">
        <v>37</v>
      </c>
      <c r="D3893">
        <v>5.4767279999999996</v>
      </c>
      <c r="E3893">
        <v>0.48484659999999902</v>
      </c>
      <c r="F3893" t="s">
        <v>48</v>
      </c>
      <c r="G3893">
        <v>-386.76609999999999</v>
      </c>
      <c r="H3893" s="1">
        <v>-1.6215949999999999E-6</v>
      </c>
      <c r="I3893">
        <v>19.963850000000001</v>
      </c>
      <c r="J3893">
        <v>-402.07389999999998</v>
      </c>
      <c r="K3893">
        <v>1.114134</v>
      </c>
      <c r="L3893">
        <v>20.745539999999998</v>
      </c>
      <c r="M3893">
        <v>0.96815960000000001</v>
      </c>
      <c r="N3893">
        <v>0</v>
      </c>
      <c r="O3893">
        <v>-0.24994810000000001</v>
      </c>
      <c r="P3893">
        <v>0.99525969999999997</v>
      </c>
      <c r="Q3893">
        <v>3.8683759999999998E-2</v>
      </c>
      <c r="R3893">
        <v>-8.9230290000000004E-2</v>
      </c>
      <c r="S3893">
        <v>3.0084840000000002</v>
      </c>
      <c r="T3893">
        <v>-0.2147667</v>
      </c>
      <c r="U3893">
        <v>-0.1649475</v>
      </c>
      <c r="V3893">
        <v>-0.1628407</v>
      </c>
      <c r="W3893">
        <v>5.0963080000000001E-2</v>
      </c>
      <c r="X3893">
        <v>0.98533530000000003</v>
      </c>
      <c r="Y3893">
        <v>-0.19547410000000001</v>
      </c>
      <c r="Z3893">
        <v>2.459772E-2</v>
      </c>
      <c r="AA3893">
        <v>0.9804003</v>
      </c>
      <c r="AB3893">
        <v>31</v>
      </c>
      <c r="AC3893">
        <v>15.307799999999901</v>
      </c>
      <c r="AD3893">
        <v>-1.114135621595</v>
      </c>
      <c r="AE3893">
        <v>-0.781689999999997</v>
      </c>
      <c r="AF3893">
        <v>-3.0535178037397999</v>
      </c>
      <c r="AG3893">
        <v>-1.114135621595</v>
      </c>
      <c r="AH3893">
        <v>14.938298101088099</v>
      </c>
      <c r="AI3893">
        <v>94.1792636953395</v>
      </c>
      <c r="AJ3893">
        <v>101.55260872295401</v>
      </c>
      <c r="AK3893">
        <v>15.287838935508001</v>
      </c>
    </row>
    <row r="3894" spans="1:37" x14ac:dyDescent="0.2">
      <c r="A3894" t="str">
        <f>"20200111154143394"</f>
        <v>20200111154143394</v>
      </c>
      <c r="B3894" t="str">
        <f>"1578728503389827"</f>
        <v>1578728503389827</v>
      </c>
      <c r="C3894" t="s">
        <v>37</v>
      </c>
      <c r="D3894">
        <v>5.3666210000000003</v>
      </c>
      <c r="E3894">
        <v>0.48521979999999998</v>
      </c>
      <c r="F3894" t="s">
        <v>48</v>
      </c>
      <c r="G3894">
        <v>-386.4128</v>
      </c>
      <c r="H3894" s="1">
        <v>-1.7819489999999999E-6</v>
      </c>
      <c r="I3894">
        <v>19.9389</v>
      </c>
      <c r="J3894">
        <v>-401.89109999999999</v>
      </c>
      <c r="K3894">
        <v>1.1141239999999999</v>
      </c>
      <c r="L3894">
        <v>20.701139999999999</v>
      </c>
      <c r="M3894">
        <v>0.96881200000000001</v>
      </c>
      <c r="N3894">
        <v>0</v>
      </c>
      <c r="O3894">
        <v>-0.247407499999999</v>
      </c>
      <c r="P3894">
        <v>0.99548890000000001</v>
      </c>
      <c r="Q3894">
        <v>3.8701729999999997E-2</v>
      </c>
      <c r="R3894">
        <v>-8.6626720000000004E-2</v>
      </c>
      <c r="S3894">
        <v>3.0087280000000001</v>
      </c>
      <c r="T3894">
        <v>-0.2140416</v>
      </c>
      <c r="U3894">
        <v>-0.1549683</v>
      </c>
      <c r="V3894">
        <v>-0.1628317</v>
      </c>
      <c r="W3894">
        <v>5.0975939999999997E-2</v>
      </c>
      <c r="X3894">
        <v>0.98533609999999905</v>
      </c>
      <c r="Y3894">
        <v>-0.19616049999999999</v>
      </c>
      <c r="Z3894">
        <v>2.436582E-2</v>
      </c>
      <c r="AA3894">
        <v>0.98026899999999995</v>
      </c>
      <c r="AB3894">
        <v>31</v>
      </c>
      <c r="AC3894">
        <v>15.4782999999999</v>
      </c>
      <c r="AD3894">
        <v>-1.11412578194899</v>
      </c>
      <c r="AE3894">
        <v>-0.76223999999999803</v>
      </c>
      <c r="AF3894">
        <v>-3.0753830032671998</v>
      </c>
      <c r="AG3894">
        <v>-1.11412578194899</v>
      </c>
      <c r="AH3894">
        <v>15.1075266883508</v>
      </c>
      <c r="AI3894">
        <v>94.133255424449601</v>
      </c>
      <c r="AJ3894">
        <v>101.506270873517</v>
      </c>
      <c r="AK3894">
        <v>15.457574826408599</v>
      </c>
    </row>
    <row r="3895" spans="1:37" x14ac:dyDescent="0.2">
      <c r="A3895" t="str">
        <f>"20200111154143413"</f>
        <v>20200111154143413</v>
      </c>
      <c r="B3895" t="str">
        <f>"1578728503410324"</f>
        <v>1578728503410324</v>
      </c>
      <c r="C3895" t="s">
        <v>37</v>
      </c>
      <c r="D3895">
        <v>5.4257140000000001</v>
      </c>
      <c r="E3895">
        <v>0.48549799999999899</v>
      </c>
      <c r="F3895" t="s">
        <v>48</v>
      </c>
      <c r="G3895">
        <v>-386.09649999999999</v>
      </c>
      <c r="H3895" s="1">
        <v>-1.9245150000000002E-6</v>
      </c>
      <c r="I3895">
        <v>19.912800000000001</v>
      </c>
      <c r="J3895">
        <v>-401.64479999999998</v>
      </c>
      <c r="K3895">
        <v>1.114114</v>
      </c>
      <c r="L3895">
        <v>20.641970000000001</v>
      </c>
      <c r="M3895">
        <v>0.96967990000000004</v>
      </c>
      <c r="N3895">
        <v>0</v>
      </c>
      <c r="O3895">
        <v>-0.24398409999999901</v>
      </c>
      <c r="P3895">
        <v>0.99575599999999997</v>
      </c>
      <c r="Q3895">
        <v>3.8676229999999999E-2</v>
      </c>
      <c r="R3895">
        <v>-8.3512069999999994E-2</v>
      </c>
      <c r="S3895">
        <v>3.0088200000000001</v>
      </c>
      <c r="T3895">
        <v>-0.21223809999999901</v>
      </c>
      <c r="U3895">
        <v>-0.150177</v>
      </c>
      <c r="V3895">
        <v>-0.16243299999999999</v>
      </c>
      <c r="W3895">
        <v>5.0948800000000002E-2</v>
      </c>
      <c r="X3895">
        <v>0.98540339999999904</v>
      </c>
      <c r="Y3895">
        <v>-0.19428709999999999</v>
      </c>
      <c r="Z3895">
        <v>2.38616E-2</v>
      </c>
      <c r="AA3895">
        <v>0.98065449999999998</v>
      </c>
      <c r="AB3895">
        <v>31</v>
      </c>
      <c r="AC3895">
        <v>15.5482999999999</v>
      </c>
      <c r="AD3895">
        <v>-1.1141159245150001</v>
      </c>
      <c r="AE3895">
        <v>-0.72916999999999899</v>
      </c>
      <c r="AF3895">
        <v>-3.0710403016532402</v>
      </c>
      <c r="AG3895">
        <v>-1.1141159245150001</v>
      </c>
      <c r="AH3895">
        <v>15.178487168717201</v>
      </c>
      <c r="AI3895">
        <v>94.114951682160196</v>
      </c>
      <c r="AJ3895">
        <v>101.43815591892</v>
      </c>
      <c r="AK3895">
        <v>15.5260753430656</v>
      </c>
    </row>
    <row r="3896" spans="1:37" x14ac:dyDescent="0.2">
      <c r="A3896" t="str">
        <f>"20200111154143426"</f>
        <v>20200111154143426</v>
      </c>
      <c r="B3896" t="str">
        <f>"1578728503420084"</f>
        <v>1578728503420084</v>
      </c>
      <c r="C3896" t="s">
        <v>37</v>
      </c>
      <c r="D3896">
        <v>5.5581959999999997</v>
      </c>
      <c r="E3896">
        <v>0.48565849999999999</v>
      </c>
      <c r="F3896" t="s">
        <v>48</v>
      </c>
      <c r="G3896">
        <v>-385.8014</v>
      </c>
      <c r="H3896" s="1">
        <v>-2.057531E-6</v>
      </c>
      <c r="I3896">
        <v>19.888349999999999</v>
      </c>
      <c r="J3896">
        <v>-401.4683</v>
      </c>
      <c r="K3896">
        <v>1.114106</v>
      </c>
      <c r="L3896">
        <v>20.600069999999999</v>
      </c>
      <c r="M3896">
        <v>0.9702944</v>
      </c>
      <c r="N3896">
        <v>0</v>
      </c>
      <c r="O3896">
        <v>-0.24152989999999999</v>
      </c>
      <c r="P3896">
        <v>0.99594309999999997</v>
      </c>
      <c r="Q3896">
        <v>3.8725089999999997E-2</v>
      </c>
      <c r="R3896">
        <v>-8.1227110000000005E-2</v>
      </c>
      <c r="S3896">
        <v>3.0090029999999999</v>
      </c>
      <c r="T3896">
        <v>-0.21159429999999901</v>
      </c>
      <c r="U3896">
        <v>-0.14312739999999999</v>
      </c>
      <c r="V3896">
        <v>-0.1621995</v>
      </c>
      <c r="W3896">
        <v>5.0995459999999999E-2</v>
      </c>
      <c r="X3896">
        <v>0.98543939999999997</v>
      </c>
      <c r="Y3896">
        <v>-0.19411320000000001</v>
      </c>
      <c r="Z3896">
        <v>2.3616620000000001E-2</v>
      </c>
      <c r="AA3896">
        <v>0.98069479999999998</v>
      </c>
      <c r="AB3896">
        <v>31</v>
      </c>
      <c r="AC3896">
        <v>15.666899999999901</v>
      </c>
      <c r="AD3896">
        <v>-1.1141080575309901</v>
      </c>
      <c r="AE3896">
        <v>-0.71172000000000302</v>
      </c>
      <c r="AF3896">
        <v>-3.07820971677471</v>
      </c>
      <c r="AG3896">
        <v>-1.1141080575309901</v>
      </c>
      <c r="AH3896">
        <v>15.2976834375794</v>
      </c>
      <c r="AI3896">
        <v>94.083843093899105</v>
      </c>
      <c r="AJ3896">
        <v>101.37716451073101</v>
      </c>
      <c r="AK3896">
        <v>15.6440317815036</v>
      </c>
    </row>
    <row r="3897" spans="1:37" x14ac:dyDescent="0.2">
      <c r="A3897" t="str">
        <f>"20200111154143438"</f>
        <v>20200111154143438</v>
      </c>
      <c r="B3897" t="str">
        <f>"1578728503429844"</f>
        <v>1578728503429844</v>
      </c>
      <c r="C3897" t="s">
        <v>37</v>
      </c>
      <c r="D3897">
        <v>5.3430869999999997</v>
      </c>
      <c r="E3897">
        <v>0.48583409999999899</v>
      </c>
      <c r="F3897" t="s">
        <v>48</v>
      </c>
      <c r="G3897">
        <v>-385.58969999999999</v>
      </c>
      <c r="H3897" s="1">
        <v>-2.1538949999999999E-6</v>
      </c>
      <c r="I3897">
        <v>19.874459999999999</v>
      </c>
      <c r="J3897">
        <v>-401.2903</v>
      </c>
      <c r="K3897">
        <v>1.1141030000000001</v>
      </c>
      <c r="L3897">
        <v>20.55838</v>
      </c>
      <c r="M3897">
        <v>0.97090730000000003</v>
      </c>
      <c r="N3897">
        <v>0</v>
      </c>
      <c r="O3897">
        <v>-0.23905409999999999</v>
      </c>
      <c r="P3897">
        <v>0.99612590000000001</v>
      </c>
      <c r="Q3897">
        <v>3.8754400000000001E-2</v>
      </c>
      <c r="R3897">
        <v>-7.8938240000000007E-2</v>
      </c>
      <c r="S3897">
        <v>3.0092159999999999</v>
      </c>
      <c r="T3897">
        <v>-0.21113879999999999</v>
      </c>
      <c r="U3897">
        <v>-0.1375122</v>
      </c>
      <c r="V3897">
        <v>-0.16194890000000001</v>
      </c>
      <c r="W3897">
        <v>5.1023079999999998E-2</v>
      </c>
      <c r="X3897">
        <v>0.9854792</v>
      </c>
      <c r="Y3897">
        <v>-0.1934526</v>
      </c>
      <c r="Z3897">
        <v>2.3374079999999998E-2</v>
      </c>
      <c r="AA3897">
        <v>0.98083109999999996</v>
      </c>
      <c r="AB3897">
        <v>31</v>
      </c>
      <c r="AC3897">
        <v>15.7006</v>
      </c>
      <c r="AD3897">
        <v>-1.114105153895</v>
      </c>
      <c r="AE3897">
        <v>-0.68391999999999997</v>
      </c>
      <c r="AF3897">
        <v>-3.0741171381803198</v>
      </c>
      <c r="AG3897">
        <v>-1.114105153895</v>
      </c>
      <c r="AH3897">
        <v>15.3317487487313</v>
      </c>
      <c r="AI3897">
        <v>94.075349191051401</v>
      </c>
      <c r="AJ3897">
        <v>101.337840574582</v>
      </c>
      <c r="AK3897">
        <v>15.676541269279101</v>
      </c>
    </row>
    <row r="3898" spans="1:37" x14ac:dyDescent="0.2">
      <c r="A3898" t="str">
        <f>"20200111154143459"</f>
        <v>20200111154143459</v>
      </c>
      <c r="B3898" t="str">
        <f>"1578728503450339"</f>
        <v>1578728503450339</v>
      </c>
      <c r="C3898" t="s">
        <v>37</v>
      </c>
      <c r="D3898">
        <v>5.3122069999999999</v>
      </c>
      <c r="E3898">
        <v>0.485622199999999</v>
      </c>
      <c r="F3898" t="s">
        <v>48</v>
      </c>
      <c r="G3898">
        <v>-385.37799999999999</v>
      </c>
      <c r="H3898" s="1">
        <v>-2.2501599999999998E-6</v>
      </c>
      <c r="I3898">
        <v>19.86017</v>
      </c>
      <c r="J3898">
        <v>-401.02789999999999</v>
      </c>
      <c r="K3898">
        <v>1.1140939999999999</v>
      </c>
      <c r="L3898">
        <v>20.497769999999999</v>
      </c>
      <c r="M3898">
        <v>0.97179939999999998</v>
      </c>
      <c r="N3898">
        <v>0</v>
      </c>
      <c r="O3898">
        <v>-0.23540220000000001</v>
      </c>
      <c r="P3898">
        <v>0.99635059999999998</v>
      </c>
      <c r="Q3898">
        <v>3.8376739999999999E-2</v>
      </c>
      <c r="R3898">
        <v>-7.6241329999999996E-2</v>
      </c>
      <c r="S3898">
        <v>3.00943</v>
      </c>
      <c r="T3898">
        <v>-0.210705899999999</v>
      </c>
      <c r="U3898">
        <v>-0.13204959999999999</v>
      </c>
      <c r="V3898">
        <v>-0.16091</v>
      </c>
      <c r="W3898">
        <v>5.0651630000000003E-2</v>
      </c>
      <c r="X3898">
        <v>0.98566849999999995</v>
      </c>
      <c r="Y3898">
        <v>-0.1915617</v>
      </c>
      <c r="Z3898">
        <v>2.301141E-2</v>
      </c>
      <c r="AA3898">
        <v>0.98121080000000005</v>
      </c>
      <c r="AB3898">
        <v>31</v>
      </c>
      <c r="AC3898">
        <v>15.649899999999899</v>
      </c>
      <c r="AD3898">
        <v>-1.11409625016</v>
      </c>
      <c r="AE3898">
        <v>-0.63760000000000205</v>
      </c>
      <c r="AF3898">
        <v>-3.0492678317770698</v>
      </c>
      <c r="AG3898">
        <v>-1.11409625016</v>
      </c>
      <c r="AH3898">
        <v>15.2828060817056</v>
      </c>
      <c r="AI3898">
        <v>94.089094629885807</v>
      </c>
      <c r="AJ3898">
        <v>101.28363856640399</v>
      </c>
      <c r="AK3898">
        <v>15.623808962463301</v>
      </c>
    </row>
    <row r="3899" spans="1:37" x14ac:dyDescent="0.2">
      <c r="A3899" t="str">
        <f>"20200111154143473"</f>
        <v>20200111154143473</v>
      </c>
      <c r="B3899" t="str">
        <f>"1578728503469860"</f>
        <v>1578728503469860</v>
      </c>
      <c r="C3899" t="s">
        <v>37</v>
      </c>
      <c r="D3899">
        <v>5.3423870000000004</v>
      </c>
      <c r="E3899">
        <v>0.4851702</v>
      </c>
      <c r="F3899" t="s">
        <v>48</v>
      </c>
      <c r="G3899">
        <v>-385.27409999999998</v>
      </c>
      <c r="H3899" s="1">
        <v>-2.298344E-6</v>
      </c>
      <c r="I3899">
        <v>19.85661</v>
      </c>
      <c r="J3899">
        <v>-400.83800000000002</v>
      </c>
      <c r="K3899">
        <v>1.1140920000000001</v>
      </c>
      <c r="L3899">
        <v>20.454619999999998</v>
      </c>
      <c r="M3899">
        <v>0.97243539999999995</v>
      </c>
      <c r="N3899">
        <v>0</v>
      </c>
      <c r="O3899">
        <v>-0.23276089999999999</v>
      </c>
      <c r="P3899">
        <v>0.99652830000000003</v>
      </c>
      <c r="Q3899">
        <v>3.8189000000000001E-2</v>
      </c>
      <c r="R3899">
        <v>-7.3981060000000001E-2</v>
      </c>
      <c r="S3899">
        <v>3.009827</v>
      </c>
      <c r="T3899">
        <v>-0.21285279999999901</v>
      </c>
      <c r="U3899">
        <v>-0.1224976</v>
      </c>
      <c r="V3899">
        <v>-0.16046740000000001</v>
      </c>
      <c r="W3899">
        <v>5.0464469999999997E-2</v>
      </c>
      <c r="X3899">
        <v>0.98575029999999997</v>
      </c>
      <c r="Y3899">
        <v>-0.19199379999999999</v>
      </c>
      <c r="Z3899">
        <v>2.3078560000000001E-2</v>
      </c>
      <c r="AA3899">
        <v>0.98112479999999902</v>
      </c>
      <c r="AB3899">
        <v>31</v>
      </c>
      <c r="AC3899">
        <v>15.5639</v>
      </c>
      <c r="AD3899">
        <v>-1.1140942983440001</v>
      </c>
      <c r="AE3899">
        <v>-0.59801000000000204</v>
      </c>
      <c r="AF3899">
        <v>-3.0259508573677198</v>
      </c>
      <c r="AG3899">
        <v>-1.1140942983440001</v>
      </c>
      <c r="AH3899">
        <v>15.1977870372093</v>
      </c>
      <c r="AI3899">
        <v>94.112212729441197</v>
      </c>
      <c r="AJ3899">
        <v>101.260600143153</v>
      </c>
      <c r="AK3899">
        <v>15.536097178029401</v>
      </c>
    </row>
    <row r="3900" spans="1:37" x14ac:dyDescent="0.2">
      <c r="A3900" t="str">
        <f>"20200111154143492"</f>
        <v>20200111154143492</v>
      </c>
      <c r="B3900" t="str">
        <f>"1578728503479623"</f>
        <v>1578728503479623</v>
      </c>
      <c r="C3900" t="s">
        <v>37</v>
      </c>
      <c r="D3900">
        <v>5.367807</v>
      </c>
      <c r="E3900">
        <v>0.4850004</v>
      </c>
      <c r="F3900" t="s">
        <v>48</v>
      </c>
      <c r="G3900">
        <v>-385.1327</v>
      </c>
      <c r="H3900" s="1">
        <v>-2.368545E-6</v>
      </c>
      <c r="I3900">
        <v>19.86918</v>
      </c>
      <c r="J3900">
        <v>-400.58749999999998</v>
      </c>
      <c r="K3900">
        <v>1.11408</v>
      </c>
      <c r="L3900">
        <v>20.39847</v>
      </c>
      <c r="M3900">
        <v>0.97326279999999998</v>
      </c>
      <c r="N3900">
        <v>0</v>
      </c>
      <c r="O3900">
        <v>-0.22927719999999999</v>
      </c>
      <c r="P3900">
        <v>0.99674300000000005</v>
      </c>
      <c r="Q3900">
        <v>3.7774160000000001E-2</v>
      </c>
      <c r="R3900">
        <v>-7.1250030000000006E-2</v>
      </c>
      <c r="S3900">
        <v>3.0103149999999999</v>
      </c>
      <c r="T3900">
        <v>-0.21354380000000001</v>
      </c>
      <c r="U3900">
        <v>-0.1122131</v>
      </c>
      <c r="V3900">
        <v>-0.15963669999999999</v>
      </c>
      <c r="W3900">
        <v>5.0054439999999999E-2</v>
      </c>
      <c r="X3900">
        <v>0.98590599999999995</v>
      </c>
      <c r="Y3900">
        <v>-0.19183539999999999</v>
      </c>
      <c r="Z3900">
        <v>2.2906059999999999E-2</v>
      </c>
      <c r="AA3900">
        <v>0.98115969999999997</v>
      </c>
      <c r="AB3900">
        <v>31</v>
      </c>
      <c r="AC3900">
        <v>15.454799999999899</v>
      </c>
      <c r="AD3900">
        <v>-1.1140823685449901</v>
      </c>
      <c r="AE3900">
        <v>-0.52928999999999904</v>
      </c>
      <c r="AF3900">
        <v>-3.0129466622939001</v>
      </c>
      <c r="AG3900">
        <v>-1.1140823685449901</v>
      </c>
      <c r="AH3900">
        <v>15.0860855751584</v>
      </c>
      <c r="AI3900">
        <v>94.142026176015605</v>
      </c>
      <c r="AJ3900">
        <v>101.294336579919</v>
      </c>
      <c r="AK3900">
        <v>15.4242991767773</v>
      </c>
    </row>
    <row r="3901" spans="1:37" x14ac:dyDescent="0.2">
      <c r="A3901" t="str">
        <f>"20200111154143504"</f>
        <v>20200111154143504</v>
      </c>
      <c r="B3901" t="str">
        <f>"1578728503500116"</f>
        <v>1578728503500116</v>
      </c>
      <c r="C3901" t="s">
        <v>37</v>
      </c>
      <c r="D3901">
        <v>5.3109260000000003</v>
      </c>
      <c r="E3901">
        <v>0.48475200000000002</v>
      </c>
      <c r="F3901" t="s">
        <v>48</v>
      </c>
      <c r="G3901">
        <v>-384.97149999999999</v>
      </c>
      <c r="H3901" s="1">
        <v>-2.44358399999999E-6</v>
      </c>
      <c r="I3901">
        <v>19.864850000000001</v>
      </c>
      <c r="J3901">
        <v>-400.42079999999999</v>
      </c>
      <c r="K3901">
        <v>1.1140749999999999</v>
      </c>
      <c r="L3901">
        <v>20.361509999999999</v>
      </c>
      <c r="M3901">
        <v>0.97380580000000005</v>
      </c>
      <c r="N3901">
        <v>0</v>
      </c>
      <c r="O3901">
        <v>-0.22695969999999999</v>
      </c>
      <c r="P3901">
        <v>0.99691339999999995</v>
      </c>
      <c r="Q3901">
        <v>3.7220139999999999E-2</v>
      </c>
      <c r="R3901">
        <v>-6.9127659999999994E-2</v>
      </c>
      <c r="S3901">
        <v>3.0105900000000001</v>
      </c>
      <c r="T3901">
        <v>-0.21478240000000001</v>
      </c>
      <c r="U3901">
        <v>-0.1028748</v>
      </c>
      <c r="V3901">
        <v>-0.15938820000000001</v>
      </c>
      <c r="W3901">
        <v>4.9500559999999999E-2</v>
      </c>
      <c r="X3901">
        <v>0.98597420000000002</v>
      </c>
      <c r="Y3901">
        <v>-0.19253399999999901</v>
      </c>
      <c r="Z3901">
        <v>2.290267E-2</v>
      </c>
      <c r="AA3901">
        <v>0.98102299999999998</v>
      </c>
      <c r="AB3901">
        <v>31</v>
      </c>
      <c r="AC3901">
        <v>15.4492999999999</v>
      </c>
      <c r="AD3901">
        <v>-1.114077443584</v>
      </c>
      <c r="AE3901">
        <v>-0.49665999999999799</v>
      </c>
      <c r="AF3901">
        <v>-3.0073850500440802</v>
      </c>
      <c r="AG3901">
        <v>-1.114077443584</v>
      </c>
      <c r="AH3901">
        <v>15.080452555307801</v>
      </c>
      <c r="AI3901">
        <v>94.143782862665404</v>
      </c>
      <c r="AJ3901">
        <v>101.27812604856</v>
      </c>
      <c r="AK3901">
        <v>15.417703546975501</v>
      </c>
    </row>
    <row r="3902" spans="1:37" x14ac:dyDescent="0.2">
      <c r="A3902" t="str">
        <f>"20200111154143525"</f>
        <v>20200111154143525</v>
      </c>
      <c r="B3902" t="str">
        <f>"1578728503519636"</f>
        <v>1578728503519636</v>
      </c>
      <c r="C3902" t="s">
        <v>37</v>
      </c>
      <c r="D3902">
        <v>5.3862489999999896</v>
      </c>
      <c r="E3902">
        <v>0.48461109999999902</v>
      </c>
      <c r="F3902" t="s">
        <v>48</v>
      </c>
      <c r="G3902">
        <v>-384.93189999999998</v>
      </c>
      <c r="H3902" s="1">
        <v>-2.4648839999999999E-6</v>
      </c>
      <c r="I3902">
        <v>19.874500000000001</v>
      </c>
      <c r="J3902">
        <v>-400.14389999999997</v>
      </c>
      <c r="K3902">
        <v>1.114066</v>
      </c>
      <c r="L3902">
        <v>20.301179999999999</v>
      </c>
      <c r="M3902">
        <v>0.97469570000000005</v>
      </c>
      <c r="N3902">
        <v>0</v>
      </c>
      <c r="O3902">
        <v>-0.223107899999999</v>
      </c>
      <c r="P3902">
        <v>0.99716070000000001</v>
      </c>
      <c r="Q3902">
        <v>3.7054330000000003E-2</v>
      </c>
      <c r="R3902">
        <v>-6.5556340000000005E-2</v>
      </c>
      <c r="S3902">
        <v>3.0107729999999999</v>
      </c>
      <c r="T3902">
        <v>-0.2165561</v>
      </c>
      <c r="U3902">
        <v>-9.4665529999999998E-2</v>
      </c>
      <c r="V3902">
        <v>-0.15902089999999999</v>
      </c>
      <c r="W3902">
        <v>4.9334339999999997E-2</v>
      </c>
      <c r="X3902">
        <v>0.98604179999999997</v>
      </c>
      <c r="Y3902">
        <v>-0.1913241</v>
      </c>
      <c r="Z3902">
        <v>2.2778090000000001E-2</v>
      </c>
      <c r="AA3902">
        <v>0.98126259999999998</v>
      </c>
      <c r="AB3902">
        <v>31</v>
      </c>
      <c r="AC3902">
        <v>15.2119999999999</v>
      </c>
      <c r="AD3902">
        <v>-1.114068464884</v>
      </c>
      <c r="AE3902">
        <v>-0.42667999999999701</v>
      </c>
      <c r="AF3902">
        <v>-2.9624422188629</v>
      </c>
      <c r="AG3902">
        <v>-1.114068464884</v>
      </c>
      <c r="AH3902">
        <v>14.8441386520036</v>
      </c>
      <c r="AI3902">
        <v>94.2093630900401</v>
      </c>
      <c r="AJ3902">
        <v>101.286231516679</v>
      </c>
      <c r="AK3902">
        <v>15.177801710539599</v>
      </c>
    </row>
    <row r="3903" spans="1:37" x14ac:dyDescent="0.2">
      <c r="A3903" t="str">
        <f>"20200111154143539"</f>
        <v>20200111154143539</v>
      </c>
      <c r="B3903" t="str">
        <f>"1578728503530372"</f>
        <v>1578728503530372</v>
      </c>
      <c r="C3903" t="s">
        <v>37</v>
      </c>
      <c r="D3903">
        <v>5.3238769999999898</v>
      </c>
      <c r="E3903">
        <v>0.484568</v>
      </c>
      <c r="F3903" t="s">
        <v>48</v>
      </c>
      <c r="G3903">
        <v>-384.7192</v>
      </c>
      <c r="H3903" s="1">
        <v>-2.5656230000000001E-6</v>
      </c>
      <c r="I3903">
        <v>19.875339999999898</v>
      </c>
      <c r="J3903">
        <v>-399.95249999999999</v>
      </c>
      <c r="K3903">
        <v>1.114063</v>
      </c>
      <c r="L3903">
        <v>20.260189999999898</v>
      </c>
      <c r="M3903">
        <v>0.97530099999999997</v>
      </c>
      <c r="N3903">
        <v>0</v>
      </c>
      <c r="O3903">
        <v>-0.220446999999999</v>
      </c>
      <c r="P3903">
        <v>0.9973516</v>
      </c>
      <c r="Q3903">
        <v>3.6851870000000002E-2</v>
      </c>
      <c r="R3903">
        <v>-6.2706629999999999E-2</v>
      </c>
      <c r="S3903">
        <v>3.01116899999999</v>
      </c>
      <c r="T3903">
        <v>-0.21748629999999999</v>
      </c>
      <c r="U3903">
        <v>-8.3129880000000003E-2</v>
      </c>
      <c r="V3903">
        <v>-0.15914710000000001</v>
      </c>
      <c r="W3903">
        <v>4.9127650000000002E-2</v>
      </c>
      <c r="X3903">
        <v>0.98603180000000001</v>
      </c>
      <c r="Y3903">
        <v>-0.1924006</v>
      </c>
      <c r="Z3903">
        <v>2.272656E-2</v>
      </c>
      <c r="AA3903">
        <v>0.98105330000000002</v>
      </c>
      <c r="AB3903">
        <v>31</v>
      </c>
      <c r="AC3903">
        <v>15.2332999999999</v>
      </c>
      <c r="AD3903">
        <v>-1.1140655656230001</v>
      </c>
      <c r="AE3903">
        <v>-0.38485000000000003</v>
      </c>
      <c r="AF3903">
        <v>-2.9672156260881599</v>
      </c>
      <c r="AG3903">
        <v>-1.1140655656230001</v>
      </c>
      <c r="AH3903">
        <v>14.863870521733199</v>
      </c>
      <c r="AI3903">
        <v>94.203739086872503</v>
      </c>
      <c r="AJ3903">
        <v>101.28932880780199</v>
      </c>
      <c r="AK3903">
        <v>15.198031370643299</v>
      </c>
    </row>
    <row r="3904" spans="1:37" x14ac:dyDescent="0.2">
      <c r="A3904" t="str">
        <f>"20200111154143559"</f>
        <v>20200111154143559</v>
      </c>
      <c r="B3904" t="str">
        <f>"1578728503549894"</f>
        <v>1578728503549894</v>
      </c>
      <c r="C3904" t="s">
        <v>37</v>
      </c>
      <c r="D3904">
        <v>5.3668069999999997</v>
      </c>
      <c r="E3904">
        <v>0.48457929999999999</v>
      </c>
      <c r="F3904" t="s">
        <v>48</v>
      </c>
      <c r="G3904">
        <v>-384.58879999999999</v>
      </c>
      <c r="H3904" s="1">
        <v>-2.6286070000000001E-6</v>
      </c>
      <c r="I3904">
        <v>19.88045</v>
      </c>
      <c r="J3904">
        <v>-399.69080000000002</v>
      </c>
      <c r="K3904">
        <v>1.1140589999999999</v>
      </c>
      <c r="L3904">
        <v>20.20505</v>
      </c>
      <c r="M3904">
        <v>0.97611619999999999</v>
      </c>
      <c r="N3904">
        <v>0</v>
      </c>
      <c r="O3904">
        <v>-0.216809</v>
      </c>
      <c r="P3904">
        <v>0.99758829999999998</v>
      </c>
      <c r="Q3904">
        <v>3.682332E-2</v>
      </c>
      <c r="R3904">
        <v>-5.883447E-2</v>
      </c>
      <c r="S3904">
        <v>3.01135299999999</v>
      </c>
      <c r="T3904">
        <v>-0.2183629</v>
      </c>
      <c r="U3904">
        <v>-7.4432369999999998E-2</v>
      </c>
      <c r="V3904">
        <v>-0.15929689999999999</v>
      </c>
      <c r="W3904">
        <v>4.9094310000000002E-2</v>
      </c>
      <c r="X3904">
        <v>0.98600919999999903</v>
      </c>
      <c r="Y3904">
        <v>-0.1915782</v>
      </c>
      <c r="Z3904">
        <v>2.2530729999999999E-2</v>
      </c>
      <c r="AA3904">
        <v>0.9812187</v>
      </c>
      <c r="AB3904">
        <v>31</v>
      </c>
      <c r="AC3904">
        <v>15.102</v>
      </c>
      <c r="AD3904">
        <v>-1.114061628607</v>
      </c>
      <c r="AE3904">
        <v>-0.3246</v>
      </c>
      <c r="AF3904">
        <v>-2.9416837859634501</v>
      </c>
      <c r="AG3904">
        <v>-1.114061628607</v>
      </c>
      <c r="AH3904">
        <v>14.732959855732201</v>
      </c>
      <c r="AI3904">
        <v>94.240907952638906</v>
      </c>
      <c r="AJ3904">
        <v>101.29157774246301</v>
      </c>
      <c r="AK3904">
        <v>15.065017189487399</v>
      </c>
    </row>
    <row r="3905" spans="1:37" x14ac:dyDescent="0.2">
      <c r="A3905" t="str">
        <f>"20200111154143574"</f>
        <v>20200111154143574</v>
      </c>
      <c r="B3905" t="str">
        <f>"1578728503570388"</f>
        <v>1578728503570388</v>
      </c>
      <c r="C3905" t="s">
        <v>37</v>
      </c>
      <c r="D3905">
        <v>5.400315</v>
      </c>
      <c r="E3905">
        <v>0.48457810000000001</v>
      </c>
      <c r="F3905" t="s">
        <v>48</v>
      </c>
      <c r="G3905">
        <v>-384.3657</v>
      </c>
      <c r="H3905" s="1">
        <v>-2.73524099999999E-6</v>
      </c>
      <c r="I3905">
        <v>19.884840000000001</v>
      </c>
      <c r="J3905">
        <v>-399.5043</v>
      </c>
      <c r="K3905">
        <v>1.114053</v>
      </c>
      <c r="L3905">
        <v>20.166350000000001</v>
      </c>
      <c r="M3905">
        <v>0.97668699999999997</v>
      </c>
      <c r="N3905">
        <v>0</v>
      </c>
      <c r="O3905">
        <v>-0.2142241</v>
      </c>
      <c r="P3905">
        <v>0.99774629999999997</v>
      </c>
      <c r="Q3905">
        <v>3.6909190000000001E-2</v>
      </c>
      <c r="R3905">
        <v>-5.6036549999999997E-2</v>
      </c>
      <c r="S3905">
        <v>3.0116580000000002</v>
      </c>
      <c r="T3905">
        <v>-0.21893360000000001</v>
      </c>
      <c r="U3905">
        <v>-6.2927250000000004E-2</v>
      </c>
      <c r="V3905">
        <v>-0.15945100000000001</v>
      </c>
      <c r="W3905">
        <v>4.9177659999999998E-2</v>
      </c>
      <c r="X3905">
        <v>0.98598019999999997</v>
      </c>
      <c r="Y3905">
        <v>-0.19272719999999999</v>
      </c>
      <c r="Z3905">
        <v>2.2447430000000001E-2</v>
      </c>
      <c r="AA3905">
        <v>0.98099559999999997</v>
      </c>
      <c r="AB3905">
        <v>31</v>
      </c>
      <c r="AC3905">
        <v>15.138599999999901</v>
      </c>
      <c r="AD3905">
        <v>-1.1140557352410001</v>
      </c>
      <c r="AE3905">
        <v>-0.28150999999999998</v>
      </c>
      <c r="AF3905">
        <v>-2.9524052478749598</v>
      </c>
      <c r="AG3905">
        <v>-1.1140557352410001</v>
      </c>
      <c r="AH3905">
        <v>14.767448434897201</v>
      </c>
      <c r="AI3905">
        <v>94.230806905854706</v>
      </c>
      <c r="AJ3905">
        <v>101.30588676044999</v>
      </c>
      <c r="AK3905">
        <v>15.100839387472901</v>
      </c>
    </row>
    <row r="3906" spans="1:37" x14ac:dyDescent="0.2">
      <c r="A3906" t="str">
        <f>"20200111154143591"</f>
        <v>20200111154143591</v>
      </c>
      <c r="B3906" t="str">
        <f>"1578728503580147"</f>
        <v>1578728503580147</v>
      </c>
      <c r="C3906" t="s">
        <v>37</v>
      </c>
      <c r="D3906">
        <v>5.3711149999999996</v>
      </c>
      <c r="E3906">
        <v>0.48459819999999998</v>
      </c>
      <c r="F3906" t="s">
        <v>48</v>
      </c>
      <c r="G3906">
        <v>-384.17570000000001</v>
      </c>
      <c r="H3906" s="1">
        <v>-2.8262339999999998E-6</v>
      </c>
      <c r="I3906">
        <v>19.88926</v>
      </c>
      <c r="J3906">
        <v>-399.26139999999998</v>
      </c>
      <c r="K3906">
        <v>1.1140379999999901</v>
      </c>
      <c r="L3906">
        <v>20.116669999999999</v>
      </c>
      <c r="M3906">
        <v>0.97741630000000002</v>
      </c>
      <c r="N3906">
        <v>0</v>
      </c>
      <c r="O3906">
        <v>-0.21087220000000001</v>
      </c>
      <c r="P3906">
        <v>0.99791469999999904</v>
      </c>
      <c r="Q3906">
        <v>3.7116780000000002E-2</v>
      </c>
      <c r="R3906">
        <v>-5.2806690000000003E-2</v>
      </c>
      <c r="S3906">
        <v>3.0118099999999899</v>
      </c>
      <c r="T3906">
        <v>-0.21889299999999901</v>
      </c>
      <c r="U3906">
        <v>-5.4443360000000003E-2</v>
      </c>
      <c r="V3906">
        <v>-0.15925790000000001</v>
      </c>
      <c r="W3906">
        <v>4.938911E-2</v>
      </c>
      <c r="X3906">
        <v>0.98600080000000001</v>
      </c>
      <c r="Y3906">
        <v>-0.19213529999999901</v>
      </c>
      <c r="Z3906">
        <v>2.2183680000000001E-2</v>
      </c>
      <c r="AA3906">
        <v>0.98111769999999998</v>
      </c>
      <c r="AB3906">
        <v>31</v>
      </c>
      <c r="AC3906">
        <v>15.0856999999999</v>
      </c>
      <c r="AD3906">
        <v>-1.11404082623399</v>
      </c>
      <c r="AE3906">
        <v>-0.227410000000002</v>
      </c>
      <c r="AF3906">
        <v>-2.94311558704015</v>
      </c>
      <c r="AG3906">
        <v>-1.11404082623399</v>
      </c>
      <c r="AH3906">
        <v>14.714146592374499</v>
      </c>
      <c r="AI3906">
        <v>94.245944831270506</v>
      </c>
      <c r="AJ3906">
        <v>101.31100430486499</v>
      </c>
      <c r="AK3906">
        <v>15.046897562723</v>
      </c>
    </row>
    <row r="3907" spans="1:37" x14ac:dyDescent="0.2">
      <c r="A3907" t="str">
        <f>"20200111154143604"</f>
        <v>20200111154143604</v>
      </c>
      <c r="B3907" t="str">
        <f>"1578728503599668"</f>
        <v>1578728503599668</v>
      </c>
      <c r="C3907" t="s">
        <v>37</v>
      </c>
      <c r="D3907">
        <v>5.5941789999999996</v>
      </c>
      <c r="E3907">
        <v>0.48472659999999901</v>
      </c>
      <c r="F3907" t="s">
        <v>48</v>
      </c>
      <c r="G3907">
        <v>-383.89060000000001</v>
      </c>
      <c r="H3907" s="1">
        <v>-2.9605549999999999E-6</v>
      </c>
      <c r="I3907">
        <v>19.887589999999999</v>
      </c>
      <c r="J3907">
        <v>-399.09100000000001</v>
      </c>
      <c r="K3907">
        <v>1.1140159999999999</v>
      </c>
      <c r="L3907">
        <v>20.082279999999901</v>
      </c>
      <c r="M3907">
        <v>0.97791779999999995</v>
      </c>
      <c r="N3907">
        <v>0</v>
      </c>
      <c r="O3907">
        <v>-0.2085341</v>
      </c>
      <c r="P3907">
        <v>0.99804459999999995</v>
      </c>
      <c r="Q3907">
        <v>3.7060410000000002E-2</v>
      </c>
      <c r="R3907">
        <v>-5.0336319999999997E-2</v>
      </c>
      <c r="S3907">
        <v>3.012054</v>
      </c>
      <c r="T3907">
        <v>-0.218308</v>
      </c>
      <c r="U3907">
        <v>-4.4891359999999998E-2</v>
      </c>
      <c r="V3907">
        <v>-0.1593387</v>
      </c>
      <c r="W3907">
        <v>4.9334349999999999E-2</v>
      </c>
      <c r="X3907">
        <v>0.98599049999999999</v>
      </c>
      <c r="Y3907">
        <v>-0.19291029999999901</v>
      </c>
      <c r="Z3907">
        <v>2.1986439999999999E-2</v>
      </c>
      <c r="AA3907">
        <v>0.98097000000000001</v>
      </c>
      <c r="AB3907">
        <v>31</v>
      </c>
      <c r="AC3907">
        <v>15.2004</v>
      </c>
      <c r="AD3907">
        <v>-1.1140189605549999</v>
      </c>
      <c r="AE3907">
        <v>-0.194689999999997</v>
      </c>
      <c r="AF3907">
        <v>-2.9637778846511198</v>
      </c>
      <c r="AG3907">
        <v>-1.1140189605549999</v>
      </c>
      <c r="AH3907">
        <v>14.8271325883105</v>
      </c>
      <c r="AI3907">
        <v>94.213729839522102</v>
      </c>
      <c r="AJ3907">
        <v>101.30380663755901</v>
      </c>
      <c r="AK3907">
        <v>15.161427320188601</v>
      </c>
    </row>
    <row r="3908" spans="1:37" x14ac:dyDescent="0.2">
      <c r="A3908" t="str">
        <f>"20200111154143617"</f>
        <v>20200111154143617</v>
      </c>
      <c r="B3908" t="str">
        <f>"1578728503610404"</f>
        <v>1578728503610404</v>
      </c>
      <c r="C3908" t="s">
        <v>37</v>
      </c>
      <c r="D3908">
        <v>5.3435860000000002</v>
      </c>
      <c r="E3908">
        <v>0.48479889999999998</v>
      </c>
      <c r="F3908" t="s">
        <v>48</v>
      </c>
      <c r="G3908">
        <v>-383.702</v>
      </c>
      <c r="H3908" s="1">
        <v>-3.0490649999999998E-6</v>
      </c>
      <c r="I3908">
        <v>19.885189999999898</v>
      </c>
      <c r="J3908">
        <v>-398.9092</v>
      </c>
      <c r="K3908">
        <v>1.1139920000000001</v>
      </c>
      <c r="L3908">
        <v>20.046140000000001</v>
      </c>
      <c r="M3908">
        <v>0.97844209999999998</v>
      </c>
      <c r="N3908">
        <v>0</v>
      </c>
      <c r="O3908">
        <v>-0.20605989999999999</v>
      </c>
      <c r="P3908">
        <v>0.99818709999999899</v>
      </c>
      <c r="Q3908">
        <v>3.6984669999999997E-2</v>
      </c>
      <c r="R3908">
        <v>-4.748409E-2</v>
      </c>
      <c r="S3908">
        <v>3.0120239999999998</v>
      </c>
      <c r="T3908">
        <v>-0.21804270000000001</v>
      </c>
      <c r="U3908">
        <v>-3.8574219999999999E-2</v>
      </c>
      <c r="V3908">
        <v>-0.15966</v>
      </c>
      <c r="W3908">
        <v>4.9260529999999997E-2</v>
      </c>
      <c r="X3908">
        <v>0.98594219999999899</v>
      </c>
      <c r="Y3908">
        <v>-0.19249559999999999</v>
      </c>
      <c r="Z3908">
        <v>2.1770390000000001E-2</v>
      </c>
      <c r="AA3908">
        <v>0.98105629999999999</v>
      </c>
      <c r="AB3908">
        <v>31</v>
      </c>
      <c r="AC3908">
        <v>15.2072</v>
      </c>
      <c r="AD3908">
        <v>-1.1139950490649999</v>
      </c>
      <c r="AE3908">
        <v>-0.16095000000000301</v>
      </c>
      <c r="AF3908">
        <v>-2.96051222051925</v>
      </c>
      <c r="AG3908">
        <v>-1.1139950490649999</v>
      </c>
      <c r="AH3908">
        <v>14.834354322767901</v>
      </c>
      <c r="AI3908">
        <v>94.211851674268104</v>
      </c>
      <c r="AJ3908">
        <v>101.286315680386</v>
      </c>
      <c r="AK3908">
        <v>15.1678503997965</v>
      </c>
    </row>
    <row r="3909" spans="1:37" x14ac:dyDescent="0.2">
      <c r="A3909" t="str">
        <f>"20200111154143638"</f>
        <v>20200111154143638</v>
      </c>
      <c r="B3909" t="str">
        <f>"1578728503629924"</f>
        <v>1578728503629924</v>
      </c>
      <c r="C3909" t="s">
        <v>37</v>
      </c>
      <c r="D3909">
        <v>5.3764659999999997</v>
      </c>
      <c r="E3909">
        <v>0.48499439999999999</v>
      </c>
      <c r="F3909" t="s">
        <v>48</v>
      </c>
      <c r="G3909">
        <v>-383.5009</v>
      </c>
      <c r="H3909" s="1">
        <v>-3.145163E-6</v>
      </c>
      <c r="I3909">
        <v>19.888929999999998</v>
      </c>
      <c r="J3909">
        <v>-398.64359999999999</v>
      </c>
      <c r="K3909">
        <v>1.11395</v>
      </c>
      <c r="L3909">
        <v>19.994139999999899</v>
      </c>
      <c r="M3909">
        <v>0.97918909999999904</v>
      </c>
      <c r="N3909">
        <v>0</v>
      </c>
      <c r="O3909">
        <v>-0.20248070000000001</v>
      </c>
      <c r="P3909">
        <v>0.99838269999999996</v>
      </c>
      <c r="Q3909">
        <v>3.6765020000000002E-2</v>
      </c>
      <c r="R3909">
        <v>-4.3364489999999999E-2</v>
      </c>
      <c r="S3909">
        <v>3.012054</v>
      </c>
      <c r="T3909">
        <v>-0.2177655</v>
      </c>
      <c r="U3909">
        <v>-3.07312E-2</v>
      </c>
      <c r="V3909">
        <v>-0.16011810000000001</v>
      </c>
      <c r="W3909">
        <v>4.9045730000000003E-2</v>
      </c>
      <c r="X3909">
        <v>0.98587860000000005</v>
      </c>
      <c r="Y3909">
        <v>-0.19147639999999999</v>
      </c>
      <c r="Z3909">
        <v>2.1452969999999998E-2</v>
      </c>
      <c r="AA3909">
        <v>0.98126270000000004</v>
      </c>
      <c r="AB3909">
        <v>31</v>
      </c>
      <c r="AC3909">
        <v>15.1426999999999</v>
      </c>
      <c r="AD3909">
        <v>-1.113953145163</v>
      </c>
      <c r="AE3909">
        <v>-0.105209999999999</v>
      </c>
      <c r="AF3909">
        <v>-2.9474164229978599</v>
      </c>
      <c r="AG3909">
        <v>-1.113953145163</v>
      </c>
      <c r="AH3909">
        <v>14.7703549720152</v>
      </c>
      <c r="AI3909">
        <v>94.2298945255788</v>
      </c>
      <c r="AJ3909">
        <v>101.28510937199501</v>
      </c>
      <c r="AK3909">
        <v>15.102699797702099</v>
      </c>
    </row>
    <row r="3910" spans="1:37" x14ac:dyDescent="0.2">
      <c r="A3910" t="str">
        <f>"20200111154143660"</f>
        <v>20200111154143660</v>
      </c>
      <c r="B3910" t="str">
        <f>"1578728503650420"</f>
        <v>1578728503650420</v>
      </c>
      <c r="C3910" t="s">
        <v>37</v>
      </c>
      <c r="D3910">
        <v>5.4093919999999898</v>
      </c>
      <c r="E3910">
        <v>0.485201099999999</v>
      </c>
      <c r="F3910" t="s">
        <v>48</v>
      </c>
      <c r="G3910">
        <v>-383.19670000000002</v>
      </c>
      <c r="H3910" s="1">
        <v>-3.289608E-6</v>
      </c>
      <c r="I3910">
        <v>19.891470000000002</v>
      </c>
      <c r="J3910">
        <v>-398.34789999999998</v>
      </c>
      <c r="K3910">
        <v>1.113888</v>
      </c>
      <c r="L3910">
        <v>19.937259999999998</v>
      </c>
      <c r="M3910">
        <v>0.9799892</v>
      </c>
      <c r="N3910">
        <v>0</v>
      </c>
      <c r="O3910">
        <v>-0.19857279999999999</v>
      </c>
      <c r="P3910">
        <v>0.99857030000000002</v>
      </c>
      <c r="Q3910">
        <v>3.6788769999999998E-2</v>
      </c>
      <c r="R3910">
        <v>-3.878351E-2</v>
      </c>
      <c r="S3910">
        <v>3.0120239999999998</v>
      </c>
      <c r="T3910">
        <v>-0.21721260000000001</v>
      </c>
      <c r="U3910">
        <v>-2.0019530000000001E-2</v>
      </c>
      <c r="V3910">
        <v>-0.16070079999999901</v>
      </c>
      <c r="W3910">
        <v>4.908146E-2</v>
      </c>
      <c r="X3910">
        <v>0.98578209999999999</v>
      </c>
      <c r="Y3910">
        <v>-0.19106689999999901</v>
      </c>
      <c r="Z3910">
        <v>2.1108749999999999E-2</v>
      </c>
      <c r="AA3910">
        <v>0.98134999999999994</v>
      </c>
      <c r="AB3910">
        <v>31</v>
      </c>
      <c r="AC3910">
        <v>15.1511999999999</v>
      </c>
      <c r="AD3910">
        <v>-1.113891289608</v>
      </c>
      <c r="AE3910">
        <v>-4.5790000000000199E-2</v>
      </c>
      <c r="AF3910">
        <v>-2.94808998507414</v>
      </c>
      <c r="AG3910">
        <v>-1.113891289608</v>
      </c>
      <c r="AH3910">
        <v>14.778639667779</v>
      </c>
      <c r="AI3910">
        <v>94.227351583906497</v>
      </c>
      <c r="AJ3910">
        <v>101.281456755714</v>
      </c>
      <c r="AK3910">
        <v>15.110929117536401</v>
      </c>
    </row>
    <row r="3911" spans="1:37" x14ac:dyDescent="0.2">
      <c r="A3911" t="str">
        <f>"20200111154143681"</f>
        <v>20200111154143681</v>
      </c>
      <c r="B3911" t="str">
        <f>"1578728503669940"</f>
        <v>1578728503669940</v>
      </c>
      <c r="C3911" t="s">
        <v>37</v>
      </c>
      <c r="D3911">
        <v>5.4326210000000001</v>
      </c>
      <c r="E3911">
        <v>0.48532559999999902</v>
      </c>
      <c r="F3911" t="s">
        <v>48</v>
      </c>
      <c r="G3911">
        <v>-382.81420000000003</v>
      </c>
      <c r="H3911" s="1">
        <v>-3.4715309999999999E-6</v>
      </c>
      <c r="I3911">
        <v>19.895700000000001</v>
      </c>
      <c r="J3911">
        <v>-398.05869999999999</v>
      </c>
      <c r="K3911">
        <v>1.113809</v>
      </c>
      <c r="L3911">
        <v>19.882750000000001</v>
      </c>
      <c r="M3911">
        <v>0.98073480000000002</v>
      </c>
      <c r="N3911">
        <v>0</v>
      </c>
      <c r="O3911">
        <v>-0.1948579</v>
      </c>
      <c r="P3911">
        <v>0.99873299999999998</v>
      </c>
      <c r="Q3911">
        <v>3.6895409999999997E-2</v>
      </c>
      <c r="R3911">
        <v>-3.4224230000000001E-2</v>
      </c>
      <c r="S3911">
        <v>3.01187099999999</v>
      </c>
      <c r="T3911">
        <v>-0.21597640000000001</v>
      </c>
      <c r="U3911">
        <v>-8.0566409999999998E-3</v>
      </c>
      <c r="V3911">
        <v>-0.16145660000000001</v>
      </c>
      <c r="W3911">
        <v>4.9204810000000002E-2</v>
      </c>
      <c r="X3911">
        <v>0.98565239999999998</v>
      </c>
      <c r="Y3911">
        <v>-0.19126560000000001</v>
      </c>
      <c r="Z3911">
        <v>2.0736660000000001E-2</v>
      </c>
      <c r="AA3911">
        <v>0.98131919999999995</v>
      </c>
      <c r="AB3911">
        <v>30</v>
      </c>
      <c r="AC3911">
        <v>15.244499999999899</v>
      </c>
      <c r="AD3911">
        <v>-1.113812471531</v>
      </c>
      <c r="AE3911">
        <v>1.295E-2</v>
      </c>
      <c r="AF3911">
        <v>-2.9676526773855598</v>
      </c>
      <c r="AG3911">
        <v>-1.113812471531</v>
      </c>
      <c r="AH3911">
        <v>14.870324680639101</v>
      </c>
      <c r="AI3911">
        <v>94.201015901958598</v>
      </c>
      <c r="AJ3911">
        <v>101.286174146172</v>
      </c>
      <c r="AK3911">
        <v>15.204410437204</v>
      </c>
    </row>
    <row r="3912" spans="1:37" x14ac:dyDescent="0.2">
      <c r="A3912" t="str">
        <f>"20200111154143695"</f>
        <v>20200111154143695</v>
      </c>
      <c r="B3912" t="str">
        <f>"1578728503690438"</f>
        <v>1578728503690438</v>
      </c>
      <c r="C3912" t="s">
        <v>37</v>
      </c>
      <c r="D3912">
        <v>5.404299</v>
      </c>
      <c r="E3912">
        <v>0.492666299999999</v>
      </c>
      <c r="F3912" t="s">
        <v>48</v>
      </c>
      <c r="G3912">
        <v>-382.45859999999999</v>
      </c>
      <c r="H3912" s="1">
        <v>-3.6425989999999998E-6</v>
      </c>
      <c r="I3912">
        <v>19.906779999999898</v>
      </c>
      <c r="J3912">
        <v>-397.88920000000002</v>
      </c>
      <c r="K3912">
        <v>1.113748</v>
      </c>
      <c r="L3912">
        <v>19.851379999999999</v>
      </c>
      <c r="M3912">
        <v>0.98115019999999997</v>
      </c>
      <c r="N3912">
        <v>0</v>
      </c>
      <c r="O3912">
        <v>-0.1927557</v>
      </c>
      <c r="P3912">
        <v>0.99882139999999997</v>
      </c>
      <c r="Q3912">
        <v>3.6890939999999997E-2</v>
      </c>
      <c r="R3912">
        <v>-3.1538049999999998E-2</v>
      </c>
      <c r="S3912">
        <v>3.0119020000000001</v>
      </c>
      <c r="T3912">
        <v>-0.2150435</v>
      </c>
      <c r="U3912">
        <v>4.6386719999999999E-3</v>
      </c>
      <c r="V3912">
        <v>-0.16198799999999999</v>
      </c>
      <c r="W3912">
        <v>4.9213850000000003E-2</v>
      </c>
      <c r="X3912">
        <v>0.98556480000000002</v>
      </c>
      <c r="Y3912">
        <v>-0.1933067</v>
      </c>
      <c r="Z3912">
        <v>2.0573589999999999E-2</v>
      </c>
      <c r="AA3912">
        <v>0.98092259999999998</v>
      </c>
      <c r="AB3912">
        <v>30</v>
      </c>
      <c r="AC3912">
        <v>15.4306</v>
      </c>
      <c r="AD3912">
        <v>-1.1137516425989999</v>
      </c>
      <c r="AE3912">
        <v>5.53999999999987E-2</v>
      </c>
      <c r="AF3912">
        <v>-3.0132808448877801</v>
      </c>
      <c r="AG3912">
        <v>-1.1137516425989999</v>
      </c>
      <c r="AH3912">
        <v>15.052075986937099</v>
      </c>
      <c r="AI3912">
        <v>94.149747734184501</v>
      </c>
      <c r="AJ3912">
        <v>101.320420644873</v>
      </c>
      <c r="AK3912">
        <v>15.391078444608301</v>
      </c>
    </row>
    <row r="3913" spans="1:37" x14ac:dyDescent="0.2">
      <c r="A3913" t="str">
        <f>"20200111154143714"</f>
        <v>20200111154143714</v>
      </c>
      <c r="B3913" t="str">
        <f>"1578728503709956"</f>
        <v>1578728503709956</v>
      </c>
      <c r="C3913" t="s">
        <v>37</v>
      </c>
      <c r="D3913">
        <v>5.4359459999999897</v>
      </c>
      <c r="E3913">
        <v>0.49330459999999898</v>
      </c>
      <c r="F3913" t="s">
        <v>48</v>
      </c>
      <c r="G3913">
        <v>-380.23009999999999</v>
      </c>
      <c r="H3913" s="1">
        <v>-4.6240140000000001E-6</v>
      </c>
      <c r="I3913">
        <v>19.586500000000001</v>
      </c>
      <c r="J3913">
        <v>-397.6266</v>
      </c>
      <c r="K3913">
        <v>1.113645</v>
      </c>
      <c r="L3913">
        <v>19.803279999999901</v>
      </c>
      <c r="M3913">
        <v>0.98176869999999905</v>
      </c>
      <c r="N3913">
        <v>0</v>
      </c>
      <c r="O3913">
        <v>-0.18958050000000001</v>
      </c>
      <c r="P3913">
        <v>0.9989536</v>
      </c>
      <c r="Q3913">
        <v>3.641614E-2</v>
      </c>
      <c r="R3913">
        <v>-2.7671149999999999E-2</v>
      </c>
      <c r="S3913">
        <v>3.009125</v>
      </c>
      <c r="T3913">
        <v>-0.18978449999999999</v>
      </c>
      <c r="U3913">
        <v>-4.5135500000000002E-2</v>
      </c>
      <c r="V3913">
        <v>-0.16260250000000001</v>
      </c>
      <c r="W3913">
        <v>4.8766160000000003E-2</v>
      </c>
      <c r="X3913">
        <v>0.98548579999999997</v>
      </c>
      <c r="Y3913">
        <v>-0.1741328</v>
      </c>
      <c r="Z3913">
        <v>1.7371910000000001E-2</v>
      </c>
      <c r="AA3913">
        <v>0.98456900000000003</v>
      </c>
      <c r="AB3913">
        <v>30</v>
      </c>
      <c r="AC3913">
        <v>17.3965</v>
      </c>
      <c r="AD3913">
        <v>-1.1136496240139999</v>
      </c>
      <c r="AE3913">
        <v>-0.216779999999996</v>
      </c>
      <c r="AF3913">
        <v>-3.0729107684274402</v>
      </c>
      <c r="AG3913">
        <v>-1.1136496240139999</v>
      </c>
      <c r="AH3913">
        <v>17.052189193439101</v>
      </c>
      <c r="AI3913">
        <v>93.677515259952003</v>
      </c>
      <c r="AJ3913">
        <v>100.215418723779</v>
      </c>
      <c r="AK3913">
        <v>17.362607879135702</v>
      </c>
    </row>
    <row r="3914" spans="1:37" x14ac:dyDescent="0.2">
      <c r="A3914" t="str">
        <f>"20200111154143728"</f>
        <v>20200111154143728</v>
      </c>
      <c r="B3914" t="str">
        <f>"1578728503720692"</f>
        <v>1578728503720692</v>
      </c>
      <c r="C3914" t="s">
        <v>37</v>
      </c>
      <c r="D3914">
        <v>5.3883239999999999</v>
      </c>
      <c r="E3914">
        <v>0.49328040000000001</v>
      </c>
      <c r="F3914" t="s">
        <v>48</v>
      </c>
      <c r="G3914">
        <v>-380.76</v>
      </c>
      <c r="H3914" s="1">
        <v>-4.3736400000000002E-6</v>
      </c>
      <c r="I3914">
        <v>19.585889999999999</v>
      </c>
      <c r="J3914">
        <v>-397.43279999999999</v>
      </c>
      <c r="K3914">
        <v>1.113559</v>
      </c>
      <c r="L3914">
        <v>19.768249999999998</v>
      </c>
      <c r="M3914">
        <v>0.98220339999999995</v>
      </c>
      <c r="N3914">
        <v>0</v>
      </c>
      <c r="O3914">
        <v>-0.18731510000000001</v>
      </c>
      <c r="P3914">
        <v>0.99902639999999998</v>
      </c>
      <c r="Q3914">
        <v>3.6179070000000001E-2</v>
      </c>
      <c r="R3914">
        <v>-2.524655E-2</v>
      </c>
      <c r="S3914">
        <v>3.0093079999999999</v>
      </c>
      <c r="T3914">
        <v>-0.19869579999999901</v>
      </c>
      <c r="U3914">
        <v>-3.8787839999999997E-2</v>
      </c>
      <c r="V3914">
        <v>-0.162711299999999</v>
      </c>
      <c r="W3914">
        <v>4.8554699999999999E-2</v>
      </c>
      <c r="X3914">
        <v>0.98547830000000003</v>
      </c>
      <c r="Y3914">
        <v>-0.173875</v>
      </c>
      <c r="Z3914">
        <v>1.802987E-2</v>
      </c>
      <c r="AA3914">
        <v>0.98460270000000005</v>
      </c>
      <c r="AB3914">
        <v>30</v>
      </c>
      <c r="AC3914">
        <v>16.672799999999899</v>
      </c>
      <c r="AD3914">
        <v>-1.1135633736399999</v>
      </c>
      <c r="AE3914">
        <v>-0.182359999999999</v>
      </c>
      <c r="AF3914">
        <v>-2.93115787067592</v>
      </c>
      <c r="AG3914">
        <v>-1.1135633736399999</v>
      </c>
      <c r="AH3914">
        <v>16.3389190630656</v>
      </c>
      <c r="AI3914">
        <v>93.837829003026499</v>
      </c>
      <c r="AJ3914">
        <v>100.170521453516</v>
      </c>
      <c r="AK3914">
        <v>16.637066628445901</v>
      </c>
    </row>
    <row r="3915" spans="1:37" x14ac:dyDescent="0.2">
      <c r="A3915" t="str">
        <f>"20200111154143741"</f>
        <v>20200111154143741</v>
      </c>
      <c r="B3915" t="str">
        <f>"1578728503730452"</f>
        <v>1578728503730452</v>
      </c>
      <c r="C3915" t="s">
        <v>37</v>
      </c>
      <c r="D3915">
        <v>5.4222539999999997</v>
      </c>
      <c r="E3915">
        <v>0.49361179999999899</v>
      </c>
      <c r="F3915" t="s">
        <v>48</v>
      </c>
      <c r="G3915">
        <v>-381.03359999999998</v>
      </c>
      <c r="H3915" s="1">
        <v>-4.2423010000000003E-6</v>
      </c>
      <c r="I3915">
        <v>19.597300000000001</v>
      </c>
      <c r="J3915">
        <v>-397.26909999999998</v>
      </c>
      <c r="K3915">
        <v>1.113483</v>
      </c>
      <c r="L3915">
        <v>19.73892</v>
      </c>
      <c r="M3915">
        <v>0.98255809999999999</v>
      </c>
      <c r="N3915">
        <v>0</v>
      </c>
      <c r="O3915">
        <v>-0.18544720000000001</v>
      </c>
      <c r="P3915">
        <v>0.99909099999999995</v>
      </c>
      <c r="Q3915">
        <v>3.5812280000000002E-2</v>
      </c>
      <c r="R3915">
        <v>-2.3126620000000001E-2</v>
      </c>
      <c r="S3915">
        <v>3.0095209999999999</v>
      </c>
      <c r="T3915">
        <v>-0.2043566</v>
      </c>
      <c r="U3915">
        <v>-3.1372070000000002E-2</v>
      </c>
      <c r="V3915">
        <v>-0.162919799999999</v>
      </c>
      <c r="W3915">
        <v>4.8210349999999999E-2</v>
      </c>
      <c r="X3915">
        <v>0.98546080000000003</v>
      </c>
      <c r="Y3915">
        <v>-0.1743874</v>
      </c>
      <c r="Z3915">
        <v>1.8434499999999999E-2</v>
      </c>
      <c r="AA3915">
        <v>0.9845045</v>
      </c>
      <c r="AB3915">
        <v>30</v>
      </c>
      <c r="AC3915">
        <v>16.235499999999998</v>
      </c>
      <c r="AD3915">
        <v>-1.113487242301</v>
      </c>
      <c r="AE3915">
        <v>-0.141619999999999</v>
      </c>
      <c r="AF3915">
        <v>-2.8585049167166598</v>
      </c>
      <c r="AG3915">
        <v>-1.113487242301</v>
      </c>
      <c r="AH3915">
        <v>15.905286659538699</v>
      </c>
      <c r="AI3915">
        <v>93.941646250281906</v>
      </c>
      <c r="AJ3915">
        <v>100.188457343152</v>
      </c>
      <c r="AK3915">
        <v>16.198427328594601</v>
      </c>
    </row>
    <row r="3916" spans="1:37" x14ac:dyDescent="0.2">
      <c r="A3916" t="str">
        <f>"20200111154143760"</f>
        <v>20200111154143760</v>
      </c>
      <c r="B3916" t="str">
        <f>"1578728503749975"</f>
        <v>1578728503749975</v>
      </c>
      <c r="C3916" t="s">
        <v>37</v>
      </c>
      <c r="D3916">
        <v>5.4254439999999997</v>
      </c>
      <c r="E3916">
        <v>0.49371880000000001</v>
      </c>
      <c r="F3916" t="s">
        <v>48</v>
      </c>
      <c r="G3916">
        <v>-381.24270000000001</v>
      </c>
      <c r="H3916" s="1">
        <v>-4.1444149999999999E-6</v>
      </c>
      <c r="I3916">
        <v>19.591850000000001</v>
      </c>
      <c r="J3916">
        <v>-397.0127</v>
      </c>
      <c r="K3916">
        <v>1.1133660000000001</v>
      </c>
      <c r="L3916">
        <v>19.6936</v>
      </c>
      <c r="M3916">
        <v>0.98308399999999996</v>
      </c>
      <c r="N3916">
        <v>0</v>
      </c>
      <c r="O3916">
        <v>-0.1826392</v>
      </c>
      <c r="P3916">
        <v>0.99916319999999903</v>
      </c>
      <c r="Q3916">
        <v>3.5728049999999997E-2</v>
      </c>
      <c r="R3916">
        <v>-1.9918229999999999E-2</v>
      </c>
      <c r="S3916">
        <v>3.0095519999999998</v>
      </c>
      <c r="T3916">
        <v>-0.2090987</v>
      </c>
      <c r="U3916">
        <v>-2.7618409999999999E-2</v>
      </c>
      <c r="V3916">
        <v>-0.16325580000000001</v>
      </c>
      <c r="W3916">
        <v>4.8160340000000003E-2</v>
      </c>
      <c r="X3916">
        <v>0.98540759999999905</v>
      </c>
      <c r="Y3916">
        <v>-0.17277390000000001</v>
      </c>
      <c r="Z3916">
        <v>1.8613319999999999E-2</v>
      </c>
      <c r="AA3916">
        <v>0.98478559999999904</v>
      </c>
      <c r="AB3916">
        <v>30</v>
      </c>
      <c r="AC3916">
        <v>15.7699999999999</v>
      </c>
      <c r="AD3916">
        <v>-1.1133701444149999</v>
      </c>
      <c r="AE3916">
        <v>-0.10174999999999899</v>
      </c>
      <c r="AF3916">
        <v>-2.76666415685315</v>
      </c>
      <c r="AG3916">
        <v>-1.1133701444149999</v>
      </c>
      <c r="AH3916">
        <v>15.446295645469799</v>
      </c>
      <c r="AI3916">
        <v>94.058387853058605</v>
      </c>
      <c r="AJ3916">
        <v>100.154854007864</v>
      </c>
      <c r="AK3916">
        <v>15.7315629484978</v>
      </c>
    </row>
    <row r="3917" spans="1:37" x14ac:dyDescent="0.2">
      <c r="A3917" t="str">
        <f>"20200111154143775"</f>
        <v>20200111154143775</v>
      </c>
      <c r="B3917" t="str">
        <f>"1578728503770468"</f>
        <v>1578728503770468</v>
      </c>
      <c r="C3917" t="s">
        <v>37</v>
      </c>
      <c r="D3917">
        <v>5.5486379999999897</v>
      </c>
      <c r="E3917">
        <v>0.494291799999999</v>
      </c>
      <c r="F3917" t="s">
        <v>48</v>
      </c>
      <c r="G3917">
        <v>-381.35449999999997</v>
      </c>
      <c r="H3917" s="1">
        <v>-4.0908830000000002E-6</v>
      </c>
      <c r="I3917">
        <v>19.59581</v>
      </c>
      <c r="J3917">
        <v>-396.83530000000002</v>
      </c>
      <c r="K3917">
        <v>1.113286</v>
      </c>
      <c r="L3917">
        <v>19.662689999999898</v>
      </c>
      <c r="M3917">
        <v>0.98342659999999904</v>
      </c>
      <c r="N3917">
        <v>0</v>
      </c>
      <c r="O3917">
        <v>-0.1807851</v>
      </c>
      <c r="P3917">
        <v>0.99920229999999999</v>
      </c>
      <c r="Q3917">
        <v>3.5647360000000003E-2</v>
      </c>
      <c r="R3917">
        <v>-1.8002029999999999E-2</v>
      </c>
      <c r="S3917">
        <v>3.009827</v>
      </c>
      <c r="T3917">
        <v>-0.2140126</v>
      </c>
      <c r="U3917">
        <v>-1.8798829999999999E-2</v>
      </c>
      <c r="V3917">
        <v>-0.16327729999999999</v>
      </c>
      <c r="W3917">
        <v>4.810652E-2</v>
      </c>
      <c r="X3917">
        <v>0.98540659999999902</v>
      </c>
      <c r="Y3917">
        <v>-0.1737648</v>
      </c>
      <c r="Z3917">
        <v>1.8954220000000001E-2</v>
      </c>
      <c r="AA3917">
        <v>0.98460479999999995</v>
      </c>
      <c r="AB3917">
        <v>30</v>
      </c>
      <c r="AC3917">
        <v>15.4808</v>
      </c>
      <c r="AD3917">
        <v>-1.1132900908829999</v>
      </c>
      <c r="AE3917">
        <v>-6.6879999999997594E-2</v>
      </c>
      <c r="AF3917">
        <v>-2.7191224139452501</v>
      </c>
      <c r="AG3917">
        <v>-1.1132900908829999</v>
      </c>
      <c r="AH3917">
        <v>15.1593628696036</v>
      </c>
      <c r="AI3917">
        <v>94.1344619557496</v>
      </c>
      <c r="AJ3917">
        <v>100.168960575802</v>
      </c>
      <c r="AK3917">
        <v>15.441480633047901</v>
      </c>
    </row>
    <row r="3918" spans="1:37" x14ac:dyDescent="0.2">
      <c r="A3918" t="str">
        <f>"20200111154143792"</f>
        <v>20200111154143792</v>
      </c>
      <c r="B3918" t="str">
        <f>"1578728503789988"</f>
        <v>1578728503789988</v>
      </c>
      <c r="C3918" t="s">
        <v>37</v>
      </c>
      <c r="D3918">
        <v>6.7652179999999902</v>
      </c>
      <c r="E3918">
        <v>0.49506339999999999</v>
      </c>
      <c r="F3918" t="s">
        <v>48</v>
      </c>
      <c r="G3918">
        <v>-380.82150000000001</v>
      </c>
      <c r="H3918" s="1">
        <v>-4.3475219999999996E-6</v>
      </c>
      <c r="I3918">
        <v>19.569320000000001</v>
      </c>
      <c r="J3918">
        <v>-396.58390000000003</v>
      </c>
      <c r="K3918">
        <v>1.1131679999999999</v>
      </c>
      <c r="L3918">
        <v>19.619289999999999</v>
      </c>
      <c r="M3918">
        <v>0.98388909999999996</v>
      </c>
      <c r="N3918">
        <v>0</v>
      </c>
      <c r="O3918">
        <v>-0.1782522</v>
      </c>
      <c r="P3918">
        <v>0.99924769999999896</v>
      </c>
      <c r="Q3918">
        <v>3.5670550000000002E-2</v>
      </c>
      <c r="R3918">
        <v>-1.522919E-2</v>
      </c>
      <c r="S3918">
        <v>3.0095830000000001</v>
      </c>
      <c r="T3918">
        <v>-0.20922769999999999</v>
      </c>
      <c r="U3918">
        <v>-1.7547610000000002E-2</v>
      </c>
      <c r="V3918">
        <v>-0.16346060000000001</v>
      </c>
      <c r="W3918">
        <v>4.8167019999999998E-2</v>
      </c>
      <c r="X3918">
        <v>0.98537330000000001</v>
      </c>
      <c r="Y3918">
        <v>-0.17168800000000001</v>
      </c>
      <c r="Z3918">
        <v>1.8287350000000001E-2</v>
      </c>
      <c r="AA3918">
        <v>0.98498169999999996</v>
      </c>
      <c r="AB3918">
        <v>30</v>
      </c>
      <c r="AC3918">
        <v>15.7624</v>
      </c>
      <c r="AD3918">
        <v>-1.1131723475219999</v>
      </c>
      <c r="AE3918">
        <v>-4.9969999999998203E-2</v>
      </c>
      <c r="AF3918">
        <v>-2.7470767854268501</v>
      </c>
      <c r="AG3918">
        <v>-1.1131723475219999</v>
      </c>
      <c r="AH3918">
        <v>15.4418079425272</v>
      </c>
      <c r="AI3918">
        <v>94.059695909625901</v>
      </c>
      <c r="AJ3918">
        <v>100.087311138613</v>
      </c>
      <c r="AK3918">
        <v>15.7237087251773</v>
      </c>
    </row>
    <row r="3919" spans="1:37" x14ac:dyDescent="0.2">
      <c r="A3919" t="str">
        <f>"20200111154143806"</f>
        <v>20200111154143806</v>
      </c>
      <c r="B3919" t="str">
        <f>"1578728503799748"</f>
        <v>1578728503799748</v>
      </c>
      <c r="C3919" t="s">
        <v>37</v>
      </c>
      <c r="D3919">
        <v>5.3650510000000002</v>
      </c>
      <c r="E3919">
        <v>0.49535489999999999</v>
      </c>
      <c r="F3919" t="s">
        <v>49</v>
      </c>
      <c r="G3919">
        <v>-379.9282</v>
      </c>
      <c r="H3919" s="1">
        <v>-3.3378370000000002E-8</v>
      </c>
      <c r="I3919">
        <v>19.535170000000001</v>
      </c>
      <c r="J3919">
        <v>-396.40899999999999</v>
      </c>
      <c r="K3919">
        <v>1.1130869999999999</v>
      </c>
      <c r="L3919">
        <v>19.589320000000001</v>
      </c>
      <c r="M3919">
        <v>0.98419539999999905</v>
      </c>
      <c r="N3919">
        <v>0</v>
      </c>
      <c r="O3919">
        <v>-0.17655309999999999</v>
      </c>
      <c r="P3919">
        <v>0.99926619999999999</v>
      </c>
      <c r="Q3919">
        <v>3.5751829999999998E-2</v>
      </c>
      <c r="R3919">
        <v>-1.375199E-2</v>
      </c>
      <c r="S3919">
        <v>3.0092159999999999</v>
      </c>
      <c r="T3919">
        <v>-0.20111789999999999</v>
      </c>
      <c r="U3919">
        <v>-1.5197749999999999E-2</v>
      </c>
      <c r="V3919">
        <v>-0.1632065</v>
      </c>
      <c r="W3919">
        <v>4.8277029999999999E-2</v>
      </c>
      <c r="X3919">
        <v>0.98541000000000001</v>
      </c>
      <c r="Y3919">
        <v>-0.170824799999999</v>
      </c>
      <c r="Z3919">
        <v>1.744165E-2</v>
      </c>
      <c r="AA3919">
        <v>0.98514709999999905</v>
      </c>
      <c r="AB3919">
        <v>30</v>
      </c>
      <c r="AC3919">
        <v>16.480799999999899</v>
      </c>
      <c r="AD3919">
        <v>-1.11308703337837</v>
      </c>
      <c r="AE3919">
        <v>-5.41499999999999E-2</v>
      </c>
      <c r="AF3919">
        <v>-2.8437398894888899</v>
      </c>
      <c r="AG3919">
        <v>-1.11308703337837</v>
      </c>
      <c r="AH3919">
        <v>16.157715508564099</v>
      </c>
      <c r="AI3919">
        <v>93.881347820237096</v>
      </c>
      <c r="AJ3919">
        <v>99.981767239248597</v>
      </c>
      <c r="AK3919">
        <v>16.443770545669899</v>
      </c>
    </row>
    <row r="3920" spans="1:37" x14ac:dyDescent="0.2">
      <c r="A3920" t="str">
        <f>"20200111154143827"</f>
        <v>20200111154143827</v>
      </c>
      <c r="B3920" t="str">
        <f>"1578728503820244"</f>
        <v>1578728503820244</v>
      </c>
      <c r="C3920" t="s">
        <v>37</v>
      </c>
      <c r="D3920">
        <v>5.3262790000000004</v>
      </c>
      <c r="E3920">
        <v>0.49587239999999999</v>
      </c>
      <c r="F3920" t="s">
        <v>49</v>
      </c>
      <c r="G3920">
        <v>-379.57670000000002</v>
      </c>
      <c r="H3920" s="1">
        <v>-1.9822979999999901E-7</v>
      </c>
      <c r="I3920">
        <v>19.516770000000001</v>
      </c>
      <c r="J3920">
        <v>-396.1336</v>
      </c>
      <c r="K3920">
        <v>1.1129639999999901</v>
      </c>
      <c r="L3920">
        <v>19.542819999999999</v>
      </c>
      <c r="M3920">
        <v>0.98465040000000004</v>
      </c>
      <c r="N3920">
        <v>0</v>
      </c>
      <c r="O3920">
        <v>-0.17399909999999999</v>
      </c>
      <c r="P3920">
        <v>0.99929630000000003</v>
      </c>
      <c r="Q3920">
        <v>3.5617589999999998E-2</v>
      </c>
      <c r="R3920">
        <v>-1.176717E-2</v>
      </c>
      <c r="S3920">
        <v>3.0091549999999998</v>
      </c>
      <c r="T3920">
        <v>-0.19898940000000001</v>
      </c>
      <c r="U3920">
        <v>-1.2969970000000001E-2</v>
      </c>
      <c r="V3920">
        <v>-0.16259199999999999</v>
      </c>
      <c r="W3920">
        <v>4.8188439999999999E-2</v>
      </c>
      <c r="X3920">
        <v>0.98551599999999995</v>
      </c>
      <c r="Y3920">
        <v>-0.16902329999999999</v>
      </c>
      <c r="Z3920">
        <v>1.7031839999999999E-2</v>
      </c>
      <c r="AA3920">
        <v>0.98546489999999998</v>
      </c>
      <c r="AB3920">
        <v>30</v>
      </c>
      <c r="AC3920">
        <v>16.556899999999899</v>
      </c>
      <c r="AD3920">
        <v>-1.11296419822979</v>
      </c>
      <c r="AE3920">
        <v>-2.6050000000001398E-2</v>
      </c>
      <c r="AF3920">
        <v>-2.84265902704947</v>
      </c>
      <c r="AG3920">
        <v>-1.11296419822979</v>
      </c>
      <c r="AH3920">
        <v>16.235461744554598</v>
      </c>
      <c r="AI3920">
        <v>93.862989123732007</v>
      </c>
      <c r="AJ3920">
        <v>99.931221532216696</v>
      </c>
      <c r="AK3920">
        <v>16.519976322909901</v>
      </c>
    </row>
    <row r="3921" spans="1:37" x14ac:dyDescent="0.2">
      <c r="A3921" t="str">
        <f>"20200111154143839"</f>
        <v>20200111154143839</v>
      </c>
      <c r="B3921" t="str">
        <f>"1578728503830004"</f>
        <v>1578728503830004</v>
      </c>
      <c r="C3921" t="s">
        <v>37</v>
      </c>
      <c r="D3921">
        <v>5.4355339999999996</v>
      </c>
      <c r="E3921">
        <v>0.49602759999999901</v>
      </c>
      <c r="F3921" t="s">
        <v>49</v>
      </c>
      <c r="G3921">
        <v>-379.10120000000001</v>
      </c>
      <c r="H3921" s="1">
        <v>-4.292407E-7</v>
      </c>
      <c r="I3921">
        <v>19.481660000000002</v>
      </c>
      <c r="J3921">
        <v>-395.95850000000002</v>
      </c>
      <c r="K3921">
        <v>1.1128910000000001</v>
      </c>
      <c r="L3921">
        <v>19.513579999999902</v>
      </c>
      <c r="M3921">
        <v>0.98492549999999901</v>
      </c>
      <c r="N3921">
        <v>0</v>
      </c>
      <c r="O3921">
        <v>-0.17243539999999999</v>
      </c>
      <c r="P3921">
        <v>0.99931789999999998</v>
      </c>
      <c r="Q3921">
        <v>3.53529E-2</v>
      </c>
      <c r="R3921">
        <v>-1.0694E-2</v>
      </c>
      <c r="S3921">
        <v>3.0090029999999999</v>
      </c>
      <c r="T3921">
        <v>-0.19661970000000001</v>
      </c>
      <c r="U3921">
        <v>-1.0803220000000001E-2</v>
      </c>
      <c r="V3921">
        <v>-0.16207639999999901</v>
      </c>
      <c r="W3921">
        <v>4.7951729999999998E-2</v>
      </c>
      <c r="X3921">
        <v>0.9856125</v>
      </c>
      <c r="Y3921">
        <v>-0.16819039999999999</v>
      </c>
      <c r="Z3921">
        <v>1.6702439999999999E-2</v>
      </c>
      <c r="AA3921">
        <v>0.98561299999999996</v>
      </c>
      <c r="AB3921">
        <v>30</v>
      </c>
      <c r="AC3921">
        <v>16.857299999999999</v>
      </c>
      <c r="AD3921">
        <v>-1.1128914292406999</v>
      </c>
      <c r="AE3921">
        <v>-3.1919999999995903E-2</v>
      </c>
      <c r="AF3921">
        <v>-2.8631476999613299</v>
      </c>
      <c r="AG3921">
        <v>-1.1128914292406999</v>
      </c>
      <c r="AH3921">
        <v>16.538168374643998</v>
      </c>
      <c r="AI3921">
        <v>93.793500180728202</v>
      </c>
      <c r="AJ3921">
        <v>99.821898751621205</v>
      </c>
      <c r="AK3921">
        <v>16.8210331214568</v>
      </c>
    </row>
    <row r="3922" spans="1:37" x14ac:dyDescent="0.2">
      <c r="A3922" t="str">
        <f>"20200111154143861"</f>
        <v>20200111154143861</v>
      </c>
      <c r="B3922" t="str">
        <f>"1578728503850500"</f>
        <v>1578728503850500</v>
      </c>
      <c r="C3922" t="s">
        <v>37</v>
      </c>
      <c r="D3922">
        <v>5.6816870000000002</v>
      </c>
      <c r="E3922">
        <v>0.49653190000000003</v>
      </c>
      <c r="F3922" t="s">
        <v>49</v>
      </c>
      <c r="G3922">
        <v>-378.93009999999998</v>
      </c>
      <c r="H3922" s="1">
        <v>-5.1319959999999899E-7</v>
      </c>
      <c r="I3922">
        <v>19.464359999999999</v>
      </c>
      <c r="J3922">
        <v>-395.67689999999999</v>
      </c>
      <c r="K3922">
        <v>1.1127879999999899</v>
      </c>
      <c r="L3922">
        <v>19.46698</v>
      </c>
      <c r="M3922">
        <v>0.98534730000000004</v>
      </c>
      <c r="N3922">
        <v>0</v>
      </c>
      <c r="O3922">
        <v>-0.17000789999999999</v>
      </c>
      <c r="P3922">
        <v>0.99933930000000004</v>
      </c>
      <c r="Q3922">
        <v>3.519448E-2</v>
      </c>
      <c r="R3922">
        <v>-9.0859300000000007E-3</v>
      </c>
      <c r="S3922">
        <v>3.0089419999999998</v>
      </c>
      <c r="T3922">
        <v>-0.19664879999999901</v>
      </c>
      <c r="U3922">
        <v>-8.6975100000000003E-3</v>
      </c>
      <c r="V3922">
        <v>-0.16122059999999999</v>
      </c>
      <c r="W3922">
        <v>4.7834090000000003E-2</v>
      </c>
      <c r="X3922">
        <v>0.98575849999999898</v>
      </c>
      <c r="Y3922">
        <v>-0.16645960000000001</v>
      </c>
      <c r="Z3922">
        <v>1.649225E-2</v>
      </c>
      <c r="AA3922">
        <v>0.98591039999999996</v>
      </c>
      <c r="AB3922">
        <v>30</v>
      </c>
      <c r="AC3922">
        <v>16.7468</v>
      </c>
      <c r="AD3922">
        <v>-1.11278851319959</v>
      </c>
      <c r="AE3922">
        <v>-2.6200000000002801E-3</v>
      </c>
      <c r="AF3922">
        <v>-2.8322687728229998</v>
      </c>
      <c r="AG3922">
        <v>-1.11278851319959</v>
      </c>
      <c r="AH3922">
        <v>16.430863657984599</v>
      </c>
      <c r="AI3922">
        <v>93.818327323473795</v>
      </c>
      <c r="AJ3922">
        <v>99.780243929371196</v>
      </c>
      <c r="AK3922">
        <v>16.7102760367355</v>
      </c>
    </row>
    <row r="3923" spans="1:37" x14ac:dyDescent="0.2">
      <c r="A3923" t="str">
        <f>"20200111154143875"</f>
        <v>20200111154143875</v>
      </c>
      <c r="B3923" t="str">
        <f>"1578728503870020"</f>
        <v>1578728503870020</v>
      </c>
      <c r="C3923" t="s">
        <v>37</v>
      </c>
      <c r="D3923">
        <v>5.4631439999999998</v>
      </c>
      <c r="E3923">
        <v>0.49688679999999902</v>
      </c>
      <c r="F3923" t="s">
        <v>49</v>
      </c>
      <c r="G3923">
        <v>-378.51620000000003</v>
      </c>
      <c r="H3923" s="1">
        <v>-7.1609060000000001E-7</v>
      </c>
      <c r="I3923">
        <v>19.423469999999998</v>
      </c>
      <c r="J3923">
        <v>-395.47980000000001</v>
      </c>
      <c r="K3923">
        <v>1.112722</v>
      </c>
      <c r="L3923">
        <v>19.43478</v>
      </c>
      <c r="M3923">
        <v>0.98562719999999904</v>
      </c>
      <c r="N3923">
        <v>0</v>
      </c>
      <c r="O3923">
        <v>-0.168378799999999</v>
      </c>
      <c r="P3923">
        <v>0.99935239999999903</v>
      </c>
      <c r="Q3923">
        <v>3.5101750000000001E-2</v>
      </c>
      <c r="R3923">
        <v>-7.9258190000000006E-3</v>
      </c>
      <c r="S3923">
        <v>3.0087890000000002</v>
      </c>
      <c r="T3923">
        <v>-0.19510539999999901</v>
      </c>
      <c r="U3923">
        <v>-7.6293949999999998E-3</v>
      </c>
      <c r="V3923">
        <v>-0.1607275</v>
      </c>
      <c r="W3923">
        <v>4.7766450000000002E-2</v>
      </c>
      <c r="X3923">
        <v>0.98584229999999995</v>
      </c>
      <c r="Y3923">
        <v>-0.1651966</v>
      </c>
      <c r="Z3923">
        <v>1.6218730000000001E-2</v>
      </c>
      <c r="AA3923">
        <v>0.98612730000000004</v>
      </c>
      <c r="AB3923">
        <v>30</v>
      </c>
      <c r="AC3923">
        <v>16.9635999999999</v>
      </c>
      <c r="AD3923">
        <v>-1.1127227160905999</v>
      </c>
      <c r="AE3923">
        <v>-1.1309999999998099E-2</v>
      </c>
      <c r="AF3923">
        <v>-2.8332396005698</v>
      </c>
      <c r="AG3923">
        <v>-1.1127227160905999</v>
      </c>
      <c r="AH3923">
        <v>16.651612337010999</v>
      </c>
      <c r="AI3923">
        <v>93.769024968493298</v>
      </c>
      <c r="AJ3923">
        <v>99.656290268075793</v>
      </c>
      <c r="AK3923">
        <v>16.927539452006599</v>
      </c>
    </row>
    <row r="3924" spans="1:37" x14ac:dyDescent="0.2">
      <c r="A3924" t="str">
        <f>"20200111154143896"</f>
        <v>20200111154143896</v>
      </c>
      <c r="B3924" t="str">
        <f>"1578728503890517"</f>
        <v>1578728503890517</v>
      </c>
      <c r="C3924" t="s">
        <v>37</v>
      </c>
      <c r="D3924">
        <v>5.4445199999999998</v>
      </c>
      <c r="E3924">
        <v>0.49724740000000001</v>
      </c>
      <c r="F3924" t="s">
        <v>49</v>
      </c>
      <c r="G3924">
        <v>-378.15219999999999</v>
      </c>
      <c r="H3924" s="1">
        <v>-8.9315950000000002E-7</v>
      </c>
      <c r="I3924">
        <v>19.395240000000001</v>
      </c>
      <c r="J3924">
        <v>-395.21379999999999</v>
      </c>
      <c r="K3924">
        <v>1.1126419999999999</v>
      </c>
      <c r="L3924">
        <v>19.391749999999998</v>
      </c>
      <c r="M3924">
        <v>0.98598960000000002</v>
      </c>
      <c r="N3924">
        <v>0</v>
      </c>
      <c r="O3924">
        <v>-0.16624410000000001</v>
      </c>
      <c r="P3924">
        <v>0.9993573</v>
      </c>
      <c r="Q3924">
        <v>3.5219180000000003E-2</v>
      </c>
      <c r="R3924">
        <v>-6.7012080000000002E-3</v>
      </c>
      <c r="S3924">
        <v>3.008667</v>
      </c>
      <c r="T3924">
        <v>-0.19320680000000001</v>
      </c>
      <c r="U3924">
        <v>-6.8664549999999996E-3</v>
      </c>
      <c r="V3924">
        <v>-0.159790299999999</v>
      </c>
      <c r="W3924">
        <v>4.7916960000000001E-2</v>
      </c>
      <c r="X3924">
        <v>0.98598739999999996</v>
      </c>
      <c r="Y3924">
        <v>-0.16333239999999999</v>
      </c>
      <c r="Z3924">
        <v>1.5866669999999999E-2</v>
      </c>
      <c r="AA3924">
        <v>0.98644349999999903</v>
      </c>
      <c r="AB3924">
        <v>30</v>
      </c>
      <c r="AC3924">
        <v>17.061599999999999</v>
      </c>
      <c r="AD3924">
        <v>-1.1126428931594901</v>
      </c>
      <c r="AE3924">
        <v>3.4900000000028801E-3</v>
      </c>
      <c r="AF3924">
        <v>-2.82807044323516</v>
      </c>
      <c r="AG3924">
        <v>-1.1126428931594901</v>
      </c>
      <c r="AH3924">
        <v>16.752312714102299</v>
      </c>
      <c r="AI3924">
        <v>93.746985015481897</v>
      </c>
      <c r="AJ3924">
        <v>99.582139669562693</v>
      </c>
      <c r="AK3924">
        <v>17.0257433879015</v>
      </c>
    </row>
    <row r="3925" spans="1:37" x14ac:dyDescent="0.2">
      <c r="A3925" t="str">
        <f>"20200111154143917"</f>
        <v>20200111154143917</v>
      </c>
      <c r="B3925" t="str">
        <f>"1578728503910037"</f>
        <v>1578728503910037</v>
      </c>
      <c r="C3925" t="s">
        <v>37</v>
      </c>
      <c r="D3925">
        <v>5.4586499999999996</v>
      </c>
      <c r="E3925">
        <v>0.49762329999999999</v>
      </c>
      <c r="F3925" t="s">
        <v>49</v>
      </c>
      <c r="G3925">
        <v>-377.50790000000001</v>
      </c>
      <c r="H3925" s="1">
        <v>-1.20446E-6</v>
      </c>
      <c r="I3925">
        <v>19.35727</v>
      </c>
      <c r="J3925">
        <v>-394.9307</v>
      </c>
      <c r="K3925">
        <v>1.1125639999999899</v>
      </c>
      <c r="L3925">
        <v>19.346529999999898</v>
      </c>
      <c r="M3925">
        <v>0.98635910000000004</v>
      </c>
      <c r="N3925">
        <v>0</v>
      </c>
      <c r="O3925">
        <v>-0.1640395</v>
      </c>
      <c r="P3925">
        <v>0.99935620000000003</v>
      </c>
      <c r="Q3925">
        <v>3.5484700000000001E-2</v>
      </c>
      <c r="R3925">
        <v>-5.3283059999999997E-3</v>
      </c>
      <c r="S3925">
        <v>3.0085449999999998</v>
      </c>
      <c r="T3925">
        <v>-0.18905729999999901</v>
      </c>
      <c r="U3925">
        <v>-5.859375E-3</v>
      </c>
      <c r="V3925">
        <v>-0.15893060000000001</v>
      </c>
      <c r="W3925">
        <v>4.8194639999999997E-2</v>
      </c>
      <c r="X3925">
        <v>0.98611280000000001</v>
      </c>
      <c r="Y3925">
        <v>-0.16149340000000001</v>
      </c>
      <c r="Z3925">
        <v>1.533261E-2</v>
      </c>
      <c r="AA3925">
        <v>0.98675469999999899</v>
      </c>
      <c r="AB3925">
        <v>30</v>
      </c>
      <c r="AC3925">
        <v>17.422799999999899</v>
      </c>
      <c r="AD3925">
        <v>-1.1125652044599901</v>
      </c>
      <c r="AE3925">
        <v>1.0740000000001901E-2</v>
      </c>
      <c r="AF3925">
        <v>-2.8572378702313199</v>
      </c>
      <c r="AG3925">
        <v>-1.1125652044599901</v>
      </c>
      <c r="AH3925">
        <v>17.115189876155998</v>
      </c>
      <c r="AI3925">
        <v>93.668624976856805</v>
      </c>
      <c r="AJ3925">
        <v>99.4776505409842</v>
      </c>
      <c r="AK3925">
        <v>17.387677650512501</v>
      </c>
    </row>
    <row r="3926" spans="1:37" x14ac:dyDescent="0.2">
      <c r="A3926" t="str">
        <f>"20200111154143941"</f>
        <v>20200111154143941</v>
      </c>
      <c r="B3926" t="str">
        <f>"1578728503930532"</f>
        <v>1578728503930532</v>
      </c>
      <c r="C3926" t="s">
        <v>37</v>
      </c>
      <c r="D3926">
        <v>5.6286899999999997</v>
      </c>
      <c r="E3926">
        <v>0.497625599999999</v>
      </c>
      <c r="F3926" t="s">
        <v>49</v>
      </c>
      <c r="G3926">
        <v>-377.17399999999998</v>
      </c>
      <c r="H3926" s="1">
        <v>-1.3689289999999899E-6</v>
      </c>
      <c r="I3926">
        <v>19.319870000000002</v>
      </c>
      <c r="J3926">
        <v>-394.62060000000002</v>
      </c>
      <c r="K3926">
        <v>1.112471</v>
      </c>
      <c r="L3926">
        <v>19.297609999999999</v>
      </c>
      <c r="M3926">
        <v>0.98675049999999997</v>
      </c>
      <c r="N3926">
        <v>0</v>
      </c>
      <c r="O3926">
        <v>-0.16167609999999999</v>
      </c>
      <c r="P3926">
        <v>0.99936039999999904</v>
      </c>
      <c r="Q3926">
        <v>3.5526719999999998E-2</v>
      </c>
      <c r="R3926">
        <v>-4.0438339999999996E-3</v>
      </c>
      <c r="S3926">
        <v>3.0086360000000001</v>
      </c>
      <c r="T3926">
        <v>-0.18850899999999901</v>
      </c>
      <c r="U3926">
        <v>-4.5166019999999998E-3</v>
      </c>
      <c r="V3926">
        <v>-0.1578261</v>
      </c>
      <c r="W3926">
        <v>4.8177480000000002E-2</v>
      </c>
      <c r="X3926">
        <v>0.98629089999999997</v>
      </c>
      <c r="Y3926">
        <v>-0.15958149999999999</v>
      </c>
      <c r="Z3926">
        <v>1.5081580000000001E-2</v>
      </c>
      <c r="AA3926">
        <v>0.98706949999999904</v>
      </c>
      <c r="AB3926">
        <v>30</v>
      </c>
      <c r="AC3926">
        <v>17.446599999999901</v>
      </c>
      <c r="AD3926">
        <v>-1.1124723689289999</v>
      </c>
      <c r="AE3926">
        <v>2.2260000000002798E-2</v>
      </c>
      <c r="AF3926">
        <v>-2.8314130570367202</v>
      </c>
      <c r="AG3926">
        <v>-1.1124723689289999</v>
      </c>
      <c r="AH3926">
        <v>17.143723982623701</v>
      </c>
      <c r="AI3926">
        <v>93.663283924786001</v>
      </c>
      <c r="AJ3926">
        <v>99.378164790950095</v>
      </c>
      <c r="AK3926">
        <v>17.411541191507801</v>
      </c>
    </row>
    <row r="3927" spans="1:37" x14ac:dyDescent="0.2">
      <c r="A3927" t="str">
        <f>"20200111154143955"</f>
        <v>20200111154143955</v>
      </c>
      <c r="B3927" t="str">
        <f>"1578728503950053"</f>
        <v>1578728503950053</v>
      </c>
      <c r="C3927" t="s">
        <v>37</v>
      </c>
      <c r="D3927">
        <v>5.7059369999999996</v>
      </c>
      <c r="E3927">
        <v>0.5253698</v>
      </c>
      <c r="F3927" t="s">
        <v>49</v>
      </c>
      <c r="G3927">
        <v>-377.070999999999</v>
      </c>
      <c r="H3927" s="1">
        <v>-1.422064E-6</v>
      </c>
      <c r="I3927">
        <v>19.29494</v>
      </c>
      <c r="J3927">
        <v>-394.43259999999998</v>
      </c>
      <c r="K3927">
        <v>1.1124179999999999</v>
      </c>
      <c r="L3927">
        <v>19.26831</v>
      </c>
      <c r="M3927">
        <v>0.98698189999999997</v>
      </c>
      <c r="N3927">
        <v>0</v>
      </c>
      <c r="O3927">
        <v>-0.16026609999999999</v>
      </c>
      <c r="P3927">
        <v>0.99937520000000002</v>
      </c>
      <c r="Q3927">
        <v>3.5208919999999998E-2</v>
      </c>
      <c r="R3927">
        <v>-3.1367779999999998E-3</v>
      </c>
      <c r="S3927">
        <v>3.0087280000000001</v>
      </c>
      <c r="T3927">
        <v>-0.19072320000000001</v>
      </c>
      <c r="U3927">
        <v>-4.577637E-4</v>
      </c>
      <c r="V3927">
        <v>-0.157308</v>
      </c>
      <c r="W3927">
        <v>4.7776930000000002E-2</v>
      </c>
      <c r="X3927">
        <v>0.98639319999999897</v>
      </c>
      <c r="Y3927">
        <v>-0.15949079999999999</v>
      </c>
      <c r="Z3927">
        <v>1.516691E-2</v>
      </c>
      <c r="AA3927">
        <v>0.98708289999999999</v>
      </c>
      <c r="AB3927">
        <v>30</v>
      </c>
      <c r="AC3927">
        <v>17.361599999999999</v>
      </c>
      <c r="AD3927">
        <v>-1.112419422064</v>
      </c>
      <c r="AE3927">
        <v>2.6630000000000799E-2</v>
      </c>
      <c r="AF3927">
        <v>-2.79752918188208</v>
      </c>
      <c r="AG3927">
        <v>-1.112419422064</v>
      </c>
      <c r="AH3927">
        <v>17.062822108438201</v>
      </c>
      <c r="AI3927">
        <v>93.681138083095206</v>
      </c>
      <c r="AJ3927">
        <v>99.311069089673794</v>
      </c>
      <c r="AK3927">
        <v>17.326382911568</v>
      </c>
    </row>
    <row r="3928" spans="1:37" x14ac:dyDescent="0.2">
      <c r="A3928" t="str">
        <f>"20200111154143972"</f>
        <v>20200111154143972</v>
      </c>
      <c r="B3928" t="str">
        <f>"1578728503960321"</f>
        <v>1578728503960321</v>
      </c>
      <c r="C3928" t="s">
        <v>37</v>
      </c>
      <c r="D3928">
        <v>5.584803</v>
      </c>
      <c r="E3928">
        <v>0.57461390000000001</v>
      </c>
      <c r="F3928" t="s">
        <v>48</v>
      </c>
      <c r="G3928">
        <v>-384.36900000000003</v>
      </c>
      <c r="H3928" s="1">
        <v>-2.85575699999999E-6</v>
      </c>
      <c r="I3928">
        <v>18.52552</v>
      </c>
      <c r="J3928">
        <v>-394.20310000000001</v>
      </c>
      <c r="K3928">
        <v>1.112349</v>
      </c>
      <c r="L3928">
        <v>19.23291</v>
      </c>
      <c r="M3928">
        <v>0.98725959999999902</v>
      </c>
      <c r="N3928">
        <v>0</v>
      </c>
      <c r="O3928">
        <v>-0.15855759999999999</v>
      </c>
      <c r="P3928">
        <v>0.99939579999999995</v>
      </c>
      <c r="Q3928">
        <v>3.4665710000000002E-2</v>
      </c>
      <c r="R3928">
        <v>-2.5046389999999999E-3</v>
      </c>
      <c r="S3928">
        <v>3.0129090000000001</v>
      </c>
      <c r="T3928">
        <v>-0.33304429999999902</v>
      </c>
      <c r="U3928">
        <v>-0.22238160000000001</v>
      </c>
      <c r="V3928">
        <v>-0.15621969999999999</v>
      </c>
      <c r="W3928">
        <v>4.7121059999999999E-2</v>
      </c>
      <c r="X3928">
        <v>0.98659769999999902</v>
      </c>
      <c r="Y3928">
        <v>-8.4004419999999996E-2</v>
      </c>
      <c r="Z3928">
        <v>2.199313E-2</v>
      </c>
      <c r="AA3928">
        <v>0.99622269999999902</v>
      </c>
      <c r="AB3928">
        <v>30</v>
      </c>
      <c r="AC3928">
        <v>9.8340999999999692</v>
      </c>
      <c r="AD3928">
        <v>-1.112351855757</v>
      </c>
      <c r="AE3928">
        <v>-0.70738999999999996</v>
      </c>
      <c r="AF3928">
        <v>-0.85014930325528804</v>
      </c>
      <c r="AG3928">
        <v>-1.112351855757</v>
      </c>
      <c r="AH3928">
        <v>9.6984006186945102</v>
      </c>
      <c r="AI3928">
        <v>96.518133928746593</v>
      </c>
      <c r="AJ3928">
        <v>95.009668887380002</v>
      </c>
      <c r="AK3928">
        <v>9.7989313218087997</v>
      </c>
    </row>
    <row r="3929" spans="1:37" x14ac:dyDescent="0.2">
      <c r="A3929" t="str">
        <f>"20200111154143985"</f>
        <v>20200111154143985</v>
      </c>
      <c r="B3929" t="str">
        <f>"1578728503979840"</f>
        <v>1578728503979840</v>
      </c>
      <c r="C3929" t="s">
        <v>37</v>
      </c>
      <c r="D3929">
        <v>5.5892549999999996</v>
      </c>
      <c r="E3929">
        <v>0.58820260000000002</v>
      </c>
      <c r="F3929" t="s">
        <v>38</v>
      </c>
      <c r="G3929">
        <v>-393.3793</v>
      </c>
      <c r="H3929">
        <v>0.96830519999999998</v>
      </c>
      <c r="I3929">
        <v>19.064150000000001</v>
      </c>
      <c r="J3929">
        <v>-394.02080000000001</v>
      </c>
      <c r="K3929">
        <v>1.112306</v>
      </c>
      <c r="L3929">
        <v>19.20505</v>
      </c>
      <c r="M3929">
        <v>0.9874773</v>
      </c>
      <c r="N3929">
        <v>0</v>
      </c>
      <c r="O3929">
        <v>-0.15720509999999999</v>
      </c>
      <c r="P3929">
        <v>0.99941899999999995</v>
      </c>
      <c r="Q3929">
        <v>3.4054399999999999E-2</v>
      </c>
      <c r="R3929">
        <v>-1.4686510000000001E-3</v>
      </c>
      <c r="S3929">
        <v>3.0185550000000001</v>
      </c>
      <c r="T3929">
        <v>-0.52783519999999995</v>
      </c>
      <c r="U3929">
        <v>-0.61810299999999996</v>
      </c>
      <c r="V3929">
        <v>-0.15588849999999899</v>
      </c>
      <c r="W3929">
        <v>4.6412309999999998E-2</v>
      </c>
      <c r="X3929">
        <v>0.98668369999999905</v>
      </c>
      <c r="Y3929">
        <v>4.5684969999999998E-2</v>
      </c>
      <c r="Z3929">
        <v>2.2895329999999998E-2</v>
      </c>
      <c r="AA3929">
        <v>0.99869349999999901</v>
      </c>
      <c r="AB3929">
        <v>30</v>
      </c>
      <c r="AC3929">
        <v>0.64150000000000695</v>
      </c>
      <c r="AD3929">
        <v>-0.14400080000000001</v>
      </c>
      <c r="AE3929">
        <v>-0.140899999999998</v>
      </c>
      <c r="AF3929">
        <v>3.6535565950915297E-2</v>
      </c>
      <c r="AG3929">
        <v>-0.14400080000000001</v>
      </c>
      <c r="AH3929">
        <v>0.62560159209156496</v>
      </c>
      <c r="AI3929">
        <v>102.94123800996</v>
      </c>
      <c r="AJ3929">
        <v>86.657683186869207</v>
      </c>
      <c r="AK3929">
        <v>0.64299955677083798</v>
      </c>
    </row>
    <row r="3930" spans="1:37" x14ac:dyDescent="0.2">
      <c r="A3930" t="str">
        <f>"20200111154144006"</f>
        <v>20200111154144006</v>
      </c>
      <c r="B3930" t="str">
        <f>"1578728504000335"</f>
        <v>1578728504000335</v>
      </c>
      <c r="C3930" t="s">
        <v>37</v>
      </c>
      <c r="D3930">
        <v>5.4476069999999996</v>
      </c>
      <c r="E3930">
        <v>0.59059090000000003</v>
      </c>
      <c r="F3930" t="s">
        <v>38</v>
      </c>
      <c r="G3930">
        <v>-393.14190000000002</v>
      </c>
      <c r="H3930">
        <v>0.92035469999999897</v>
      </c>
      <c r="I3930">
        <v>18.993510000000001</v>
      </c>
      <c r="J3930">
        <v>-393.76339999999999</v>
      </c>
      <c r="K3930">
        <v>1.1122559999999999</v>
      </c>
      <c r="L3930">
        <v>19.166139999999999</v>
      </c>
      <c r="M3930">
        <v>0.98778120000000003</v>
      </c>
      <c r="N3930">
        <v>0</v>
      </c>
      <c r="O3930">
        <v>-0.1552984</v>
      </c>
      <c r="P3930">
        <v>0.99944390000000005</v>
      </c>
      <c r="Q3930">
        <v>3.3351069999999997E-2</v>
      </c>
      <c r="R3930" s="1">
        <v>-8.5211550000000006E-5</v>
      </c>
      <c r="S3930">
        <v>3.023193</v>
      </c>
      <c r="T3930">
        <v>-0.66040849999999995</v>
      </c>
      <c r="U3930">
        <v>-0.72680659999999997</v>
      </c>
      <c r="V3930">
        <v>-0.15534629999999999</v>
      </c>
      <c r="W3930">
        <v>4.5573009999999997E-2</v>
      </c>
      <c r="X3930">
        <v>0.98680829999999997</v>
      </c>
      <c r="Y3930">
        <v>8.1514219999999998E-2</v>
      </c>
      <c r="Z3930">
        <v>2.4145509999999999E-2</v>
      </c>
      <c r="AA3930">
        <v>0.99637969999999898</v>
      </c>
      <c r="AB3930">
        <v>30</v>
      </c>
      <c r="AC3930">
        <v>0.62149999999996897</v>
      </c>
      <c r="AD3930">
        <v>-0.1919013</v>
      </c>
      <c r="AE3930">
        <v>-0.17262999999999801</v>
      </c>
      <c r="AF3930">
        <v>6.7991083749143602E-2</v>
      </c>
      <c r="AG3930">
        <v>-0.1919013</v>
      </c>
      <c r="AH3930">
        <v>0.58866651811662196</v>
      </c>
      <c r="AI3930">
        <v>107.944044375818</v>
      </c>
      <c r="AJ3930">
        <v>83.4115215475165</v>
      </c>
      <c r="AK3930">
        <v>0.62287813090733901</v>
      </c>
    </row>
    <row r="3931" spans="1:37" x14ac:dyDescent="0.2">
      <c r="A3931" t="str">
        <f>"20200111154144019"</f>
        <v>20200111154144019</v>
      </c>
      <c r="B3931" t="str">
        <f>"1578728504010096"</f>
        <v>1578728504010096</v>
      </c>
      <c r="C3931" t="s">
        <v>37</v>
      </c>
      <c r="D3931">
        <v>5.5276629999999898</v>
      </c>
      <c r="E3931">
        <v>0.59120419999999996</v>
      </c>
      <c r="F3931" t="s">
        <v>38</v>
      </c>
      <c r="G3931">
        <v>-392.88310000000001</v>
      </c>
      <c r="H3931">
        <v>0.90519959999999899</v>
      </c>
      <c r="I3931">
        <v>18.949850000000001</v>
      </c>
      <c r="J3931">
        <v>-393.55779999999999</v>
      </c>
      <c r="K3931">
        <v>1.1122259999999999</v>
      </c>
      <c r="L3931">
        <v>19.135439999999999</v>
      </c>
      <c r="M3931">
        <v>0.98802119999999904</v>
      </c>
      <c r="N3931">
        <v>0</v>
      </c>
      <c r="O3931">
        <v>-0.1537722</v>
      </c>
      <c r="P3931">
        <v>0.99944659999999996</v>
      </c>
      <c r="Q3931">
        <v>3.3238280000000002E-2</v>
      </c>
      <c r="R3931">
        <v>1.301897E-3</v>
      </c>
      <c r="S3931">
        <v>3.0253299999999999</v>
      </c>
      <c r="T3931">
        <v>-0.71160009999999996</v>
      </c>
      <c r="U3931">
        <v>-0.74331669999999905</v>
      </c>
      <c r="V3931">
        <v>-0.155189299999999</v>
      </c>
      <c r="W3931">
        <v>4.5351509999999998E-2</v>
      </c>
      <c r="X3931">
        <v>0.98684319999999903</v>
      </c>
      <c r="Y3931">
        <v>8.8072289999999998E-2</v>
      </c>
      <c r="Z3931">
        <v>2.4841439999999999E-2</v>
      </c>
      <c r="AA3931">
        <v>0.99580429999999998</v>
      </c>
      <c r="AB3931">
        <v>30</v>
      </c>
      <c r="AC3931">
        <v>0.67469999999997299</v>
      </c>
      <c r="AD3931">
        <v>-0.2070264</v>
      </c>
      <c r="AE3931">
        <v>-0.18558999999999701</v>
      </c>
      <c r="AF3931">
        <v>7.3214990736803195E-2</v>
      </c>
      <c r="AG3931">
        <v>-0.2070264</v>
      </c>
      <c r="AH3931">
        <v>0.63926089615418702</v>
      </c>
      <c r="AI3931">
        <v>107.835547535948</v>
      </c>
      <c r="AJ3931">
        <v>83.466343591561397</v>
      </c>
      <c r="AK3931">
        <v>0.67592518707132399</v>
      </c>
    </row>
    <row r="3932" spans="1:37" x14ac:dyDescent="0.2">
      <c r="A3932" t="str">
        <f>"20200111154144039"</f>
        <v>20200111154144039</v>
      </c>
      <c r="B3932" t="str">
        <f>"1578728504030591"</f>
        <v>1578728504030591</v>
      </c>
      <c r="C3932" t="s">
        <v>37</v>
      </c>
      <c r="D3932">
        <v>5.4956680000000002</v>
      </c>
      <c r="E3932">
        <v>0.59154490000000004</v>
      </c>
      <c r="F3932" t="s">
        <v>38</v>
      </c>
      <c r="G3932">
        <v>-392.86149999999998</v>
      </c>
      <c r="H3932">
        <v>0.945434</v>
      </c>
      <c r="I3932">
        <v>18.964200000000002</v>
      </c>
      <c r="J3932">
        <v>-393.30650000000003</v>
      </c>
      <c r="K3932">
        <v>1.112196</v>
      </c>
      <c r="L3932">
        <v>19.098329999999901</v>
      </c>
      <c r="M3932">
        <v>0.98831219999999997</v>
      </c>
      <c r="N3932">
        <v>0</v>
      </c>
      <c r="O3932">
        <v>-0.15190290000000001</v>
      </c>
      <c r="P3932">
        <v>0.9994478</v>
      </c>
      <c r="Q3932">
        <v>3.3062910000000001E-2</v>
      </c>
      <c r="R3932">
        <v>3.315559E-3</v>
      </c>
      <c r="S3932">
        <v>3.026764</v>
      </c>
      <c r="T3932">
        <v>-0.72505969999999997</v>
      </c>
      <c r="U3932">
        <v>-0.74432369999999903</v>
      </c>
      <c r="V3932">
        <v>-0.15530910000000001</v>
      </c>
      <c r="W3932">
        <v>4.5043310000000003E-2</v>
      </c>
      <c r="X3932">
        <v>0.98683849999999995</v>
      </c>
      <c r="Y3932">
        <v>9.0118160000000003E-2</v>
      </c>
      <c r="Z3932">
        <v>2.4620840000000001E-2</v>
      </c>
      <c r="AA3932">
        <v>0.99562669999999998</v>
      </c>
      <c r="AB3932">
        <v>30</v>
      </c>
      <c r="AC3932">
        <v>0.44500000000005002</v>
      </c>
      <c r="AD3932">
        <v>-0.16676199999999899</v>
      </c>
      <c r="AE3932">
        <v>-0.134129999999995</v>
      </c>
      <c r="AF3932">
        <v>5.7560601651798202E-2</v>
      </c>
      <c r="AG3932">
        <v>-0.16676199999999899</v>
      </c>
      <c r="AH3932">
        <v>0.40772198896071699</v>
      </c>
      <c r="AI3932">
        <v>112.04760812277701</v>
      </c>
      <c r="AJ3932">
        <v>81.964309919464995</v>
      </c>
      <c r="AK3932">
        <v>0.444252189402145</v>
      </c>
    </row>
    <row r="3933" spans="1:37" x14ac:dyDescent="0.2">
      <c r="A3933" t="str">
        <f>"20200111154144061"</f>
        <v>20200111154144061</v>
      </c>
      <c r="B3933" t="str">
        <f>"1578728504050111"</f>
        <v>1578728504050111</v>
      </c>
      <c r="C3933" t="s">
        <v>37</v>
      </c>
      <c r="D3933">
        <v>5.4727639999999997</v>
      </c>
      <c r="E3933">
        <v>0.59175929999999999</v>
      </c>
      <c r="F3933" t="s">
        <v>38</v>
      </c>
      <c r="G3933">
        <v>-392.59780000000001</v>
      </c>
      <c r="H3933">
        <v>0.94002580000000002</v>
      </c>
      <c r="I3933">
        <v>18.924489999999999</v>
      </c>
      <c r="J3933">
        <v>-393.00889999999998</v>
      </c>
      <c r="K3933">
        <v>1.1121729999999901</v>
      </c>
      <c r="L3933">
        <v>19.05499</v>
      </c>
      <c r="M3933">
        <v>0.98865230000000004</v>
      </c>
      <c r="N3933">
        <v>0</v>
      </c>
      <c r="O3933">
        <v>-0.1496865</v>
      </c>
      <c r="P3933">
        <v>0.99943689999999996</v>
      </c>
      <c r="Q3933">
        <v>3.2992880000000002E-2</v>
      </c>
      <c r="R3933">
        <v>6.1292079999999997E-3</v>
      </c>
      <c r="S3933">
        <v>3.0284419999999899</v>
      </c>
      <c r="T3933">
        <v>-0.73588299999999995</v>
      </c>
      <c r="U3933">
        <v>-0.74157709999999999</v>
      </c>
      <c r="V3933">
        <v>-0.1558735</v>
      </c>
      <c r="W3933">
        <v>4.4815609999999999E-2</v>
      </c>
      <c r="X3933">
        <v>0.98675979999999996</v>
      </c>
      <c r="Y3933">
        <v>9.1326589999999999E-2</v>
      </c>
      <c r="Z3933">
        <v>2.4311619999999999E-2</v>
      </c>
      <c r="AA3933">
        <v>0.99552419999999997</v>
      </c>
      <c r="AB3933">
        <v>30</v>
      </c>
      <c r="AC3933">
        <v>0.41109999999997598</v>
      </c>
      <c r="AD3933">
        <v>-0.172147199999999</v>
      </c>
      <c r="AE3933">
        <v>-0.130500000000001</v>
      </c>
      <c r="AF3933">
        <v>5.8214932737047899E-2</v>
      </c>
      <c r="AG3933">
        <v>-0.172147199999999</v>
      </c>
      <c r="AH3933">
        <v>0.36746673511040001</v>
      </c>
      <c r="AI3933">
        <v>114.82997136516499</v>
      </c>
      <c r="AJ3933">
        <v>80.997882773209795</v>
      </c>
      <c r="AK3933">
        <v>0.40994565282987899</v>
      </c>
    </row>
    <row r="3934" spans="1:37" x14ac:dyDescent="0.2">
      <c r="A3934" t="str">
        <f>"20200111154144076"</f>
        <v>20200111154144076</v>
      </c>
      <c r="B3934" t="str">
        <f>"1578728504070608"</f>
        <v>1578728504070608</v>
      </c>
      <c r="C3934" t="s">
        <v>37</v>
      </c>
      <c r="D3934">
        <v>5.511971</v>
      </c>
      <c r="E3934">
        <v>0.59197080000000002</v>
      </c>
      <c r="F3934" t="s">
        <v>38</v>
      </c>
      <c r="G3934">
        <v>-392.32760000000002</v>
      </c>
      <c r="H3934">
        <v>0.94557559999999996</v>
      </c>
      <c r="I3934">
        <v>18.889659999999999</v>
      </c>
      <c r="J3934">
        <v>-392.81990000000002</v>
      </c>
      <c r="K3934">
        <v>1.1121570000000001</v>
      </c>
      <c r="L3934">
        <v>19.02786</v>
      </c>
      <c r="M3934">
        <v>0.98886600000000002</v>
      </c>
      <c r="N3934">
        <v>0</v>
      </c>
      <c r="O3934">
        <v>-0.14827699999999999</v>
      </c>
      <c r="P3934">
        <v>0.99942940000000002</v>
      </c>
      <c r="Q3934">
        <v>3.2840189999999998E-2</v>
      </c>
      <c r="R3934">
        <v>7.9046419999999999E-3</v>
      </c>
      <c r="S3934">
        <v>3.03064</v>
      </c>
      <c r="T3934">
        <v>-0.74117900000000003</v>
      </c>
      <c r="U3934">
        <v>-0.73544309999999902</v>
      </c>
      <c r="V3934">
        <v>-0.1562192</v>
      </c>
      <c r="W3934">
        <v>4.4568379999999998E-2</v>
      </c>
      <c r="X3934">
        <v>0.98671640000000005</v>
      </c>
      <c r="Y3934">
        <v>9.0678419999999996E-2</v>
      </c>
      <c r="Z3934">
        <v>2.4219620000000001E-2</v>
      </c>
      <c r="AA3934">
        <v>0.99558570000000002</v>
      </c>
      <c r="AB3934">
        <v>30</v>
      </c>
      <c r="AC3934">
        <v>0.49230000000000002</v>
      </c>
      <c r="AD3934">
        <v>-0.16658139999999999</v>
      </c>
      <c r="AE3934">
        <v>-0.13820000000000099</v>
      </c>
      <c r="AF3934">
        <v>5.7560480037324002E-2</v>
      </c>
      <c r="AG3934">
        <v>-0.16658139999999999</v>
      </c>
      <c r="AH3934">
        <v>0.45867062423430399</v>
      </c>
      <c r="AI3934">
        <v>109.81695953945</v>
      </c>
      <c r="AJ3934">
        <v>82.8471082292902</v>
      </c>
      <c r="AK3934">
        <v>0.49136678074893603</v>
      </c>
    </row>
    <row r="3935" spans="1:37" x14ac:dyDescent="0.2">
      <c r="A3935" t="str">
        <f>"20200111154144095"</f>
        <v>20200111154144095</v>
      </c>
      <c r="B3935" t="str">
        <f>"1578728504090129"</f>
        <v>1578728504090129</v>
      </c>
      <c r="C3935" t="s">
        <v>37</v>
      </c>
      <c r="D3935">
        <v>5.4903879999999896</v>
      </c>
      <c r="E3935">
        <v>0.59470730000000005</v>
      </c>
      <c r="F3935" t="s">
        <v>38</v>
      </c>
      <c r="G3935">
        <v>-392.07010000000002</v>
      </c>
      <c r="H3935">
        <v>0.92827280000000001</v>
      </c>
      <c r="I3935">
        <v>18.846520000000002</v>
      </c>
      <c r="J3935">
        <v>-392.56639999999999</v>
      </c>
      <c r="K3935">
        <v>1.112152</v>
      </c>
      <c r="L3935">
        <v>18.991849999999999</v>
      </c>
      <c r="M3935">
        <v>0.98914930000000001</v>
      </c>
      <c r="N3935">
        <v>0</v>
      </c>
      <c r="O3935">
        <v>-0.14638489999999901</v>
      </c>
      <c r="P3935">
        <v>0.99940709999999999</v>
      </c>
      <c r="Q3935">
        <v>3.2826590000000003E-2</v>
      </c>
      <c r="R3935">
        <v>1.038933E-2</v>
      </c>
      <c r="S3935">
        <v>3.031952</v>
      </c>
      <c r="T3935">
        <v>-0.74369370000000001</v>
      </c>
      <c r="U3935">
        <v>-0.73199459999999905</v>
      </c>
      <c r="V3935">
        <v>-0.15678420000000001</v>
      </c>
      <c r="W3935">
        <v>4.4433569999999999E-2</v>
      </c>
      <c r="X3935">
        <v>0.98663279999999998</v>
      </c>
      <c r="Y3935">
        <v>9.1354909999999998E-2</v>
      </c>
      <c r="Z3935">
        <v>2.3769209999999999E-2</v>
      </c>
      <c r="AA3935">
        <v>0.99553469999999999</v>
      </c>
      <c r="AB3935">
        <v>30</v>
      </c>
      <c r="AC3935">
        <v>0.49629999999996199</v>
      </c>
      <c r="AD3935">
        <v>-0.18387919999999899</v>
      </c>
      <c r="AE3935">
        <v>-0.14532999999999699</v>
      </c>
      <c r="AF3935">
        <v>6.3126692883882798E-2</v>
      </c>
      <c r="AG3935">
        <v>-0.18387919999999899</v>
      </c>
      <c r="AH3935">
        <v>0.45473660856451198</v>
      </c>
      <c r="AI3935">
        <v>111.82725434564099</v>
      </c>
      <c r="AJ3935">
        <v>82.096690284798996</v>
      </c>
      <c r="AK3935">
        <v>0.49455224467780001</v>
      </c>
    </row>
    <row r="3936" spans="1:37" x14ac:dyDescent="0.2">
      <c r="A3936" t="str">
        <f>"20200111154144109"</f>
        <v>20200111154144109</v>
      </c>
      <c r="B3936" t="str">
        <f>"1578728504100864"</f>
        <v>1578728504100864</v>
      </c>
      <c r="C3936" t="s">
        <v>37</v>
      </c>
      <c r="D3936">
        <v>5.6186129999999999</v>
      </c>
      <c r="E3936">
        <v>0.59619639999999996</v>
      </c>
      <c r="F3936" t="s">
        <v>38</v>
      </c>
      <c r="G3936">
        <v>-391.8048</v>
      </c>
      <c r="H3936">
        <v>0.92570409999999903</v>
      </c>
      <c r="I3936">
        <v>18.804289999999899</v>
      </c>
      <c r="J3936">
        <v>-392.3775</v>
      </c>
      <c r="K3936">
        <v>1.1121529999999999</v>
      </c>
      <c r="L3936">
        <v>18.965329999999899</v>
      </c>
      <c r="M3936">
        <v>0.98935839999999997</v>
      </c>
      <c r="N3936">
        <v>0</v>
      </c>
      <c r="O3936">
        <v>-0.14497299999999999</v>
      </c>
      <c r="P3936">
        <v>0.99937699999999996</v>
      </c>
      <c r="Q3936">
        <v>3.3251429999999998E-2</v>
      </c>
      <c r="R3936">
        <v>1.184603E-2</v>
      </c>
      <c r="S3936">
        <v>3.0339659999999999</v>
      </c>
      <c r="T3936">
        <v>-0.74281949999999997</v>
      </c>
      <c r="U3936">
        <v>-0.74639889999999998</v>
      </c>
      <c r="V3936">
        <v>-0.1568138</v>
      </c>
      <c r="W3936">
        <v>4.4773689999999998E-2</v>
      </c>
      <c r="X3936">
        <v>0.98661270000000001</v>
      </c>
      <c r="Y3936">
        <v>9.6887780000000007E-2</v>
      </c>
      <c r="Z3936">
        <v>2.2723480000000001E-2</v>
      </c>
      <c r="AA3936">
        <v>0.99503589999999997</v>
      </c>
      <c r="AB3936">
        <v>30</v>
      </c>
      <c r="AC3936">
        <v>0.57269999999999699</v>
      </c>
      <c r="AD3936">
        <v>-0.1864489</v>
      </c>
      <c r="AE3936">
        <v>-0.16103999999999899</v>
      </c>
      <c r="AF3936">
        <v>6.94813638827044E-2</v>
      </c>
      <c r="AG3936">
        <v>-0.1864489</v>
      </c>
      <c r="AH3936">
        <v>0.537228589437445</v>
      </c>
      <c r="AI3936">
        <v>108.992962116493</v>
      </c>
      <c r="AJ3936">
        <v>82.630674465834005</v>
      </c>
      <c r="AK3936">
        <v>0.57289214477697104</v>
      </c>
    </row>
    <row r="3937" spans="1:37" x14ac:dyDescent="0.2">
      <c r="A3937" t="str">
        <f>"20200111154144130"</f>
        <v>20200111154144130</v>
      </c>
      <c r="B3937" t="str">
        <f>"1578728504120383"</f>
        <v>1578728504120383</v>
      </c>
      <c r="C3937" t="s">
        <v>37</v>
      </c>
      <c r="D3937">
        <v>5.4850830000000004</v>
      </c>
      <c r="E3937">
        <v>0.59826210000000002</v>
      </c>
      <c r="F3937" t="s">
        <v>38</v>
      </c>
      <c r="G3937">
        <v>-391.54640000000001</v>
      </c>
      <c r="H3937">
        <v>0.90884379999999998</v>
      </c>
      <c r="I3937">
        <v>18.758710000000001</v>
      </c>
      <c r="J3937">
        <v>-392.10579999999999</v>
      </c>
      <c r="K3937">
        <v>1.1121449999999999</v>
      </c>
      <c r="L3937">
        <v>18.927700000000002</v>
      </c>
      <c r="M3937">
        <v>0.98965539999999996</v>
      </c>
      <c r="N3937">
        <v>0</v>
      </c>
      <c r="O3937">
        <v>-0.14294109999999999</v>
      </c>
      <c r="P3937">
        <v>0.99932690000000002</v>
      </c>
      <c r="Q3937">
        <v>3.3900230000000003E-2</v>
      </c>
      <c r="R3937">
        <v>1.402334E-2</v>
      </c>
      <c r="S3937">
        <v>3.0355219999999998</v>
      </c>
      <c r="T3937">
        <v>-0.74271699999999996</v>
      </c>
      <c r="U3937">
        <v>-0.75402829999999998</v>
      </c>
      <c r="V3937">
        <v>-0.15693670000000001</v>
      </c>
      <c r="W3937">
        <v>4.529768E-2</v>
      </c>
      <c r="X3937">
        <v>0.98656929999999998</v>
      </c>
      <c r="Y3937">
        <v>0.10099909999999999</v>
      </c>
      <c r="Z3937">
        <v>2.1738049999999998E-2</v>
      </c>
      <c r="AA3937">
        <v>0.99464900000000001</v>
      </c>
      <c r="AB3937">
        <v>30</v>
      </c>
      <c r="AC3937">
        <v>0.55939999999998202</v>
      </c>
      <c r="AD3937">
        <v>-0.20330119999999999</v>
      </c>
      <c r="AE3937">
        <v>-0.16899</v>
      </c>
      <c r="AF3937">
        <v>7.78630898816563E-2</v>
      </c>
      <c r="AG3937">
        <v>-0.20330119999999999</v>
      </c>
      <c r="AH3937">
        <v>0.51542794279924098</v>
      </c>
      <c r="AI3937">
        <v>111.306124795313</v>
      </c>
      <c r="AJ3937">
        <v>81.409569977262294</v>
      </c>
      <c r="AK3937">
        <v>0.55951765200538195</v>
      </c>
    </row>
    <row r="3938" spans="1:37" x14ac:dyDescent="0.2">
      <c r="A3938" t="str">
        <f>"20200111154144150"</f>
        <v>20200111154144150</v>
      </c>
      <c r="B3938" t="str">
        <f>"1578728504139903"</f>
        <v>1578728504139903</v>
      </c>
      <c r="C3938" t="s">
        <v>37</v>
      </c>
      <c r="D3938">
        <v>5.4364970000000001</v>
      </c>
      <c r="E3938">
        <v>0.60000849999999994</v>
      </c>
      <c r="F3938" t="s">
        <v>38</v>
      </c>
      <c r="G3938">
        <v>-391.27969999999999</v>
      </c>
      <c r="H3938">
        <v>0.90708659999999997</v>
      </c>
      <c r="I3938">
        <v>18.71998</v>
      </c>
      <c r="J3938">
        <v>-391.81779999999998</v>
      </c>
      <c r="K3938">
        <v>1.1121319999999999</v>
      </c>
      <c r="L3938">
        <v>18.888400000000001</v>
      </c>
      <c r="M3938">
        <v>0.98996620000000002</v>
      </c>
      <c r="N3938">
        <v>0</v>
      </c>
      <c r="O3938">
        <v>-0.14078479999999999</v>
      </c>
      <c r="P3938">
        <v>0.99927369999999904</v>
      </c>
      <c r="Q3938">
        <v>3.4677079999999999E-2</v>
      </c>
      <c r="R3938">
        <v>1.5811160000000001E-2</v>
      </c>
      <c r="S3938">
        <v>3.0383610000000001</v>
      </c>
      <c r="T3938">
        <v>-0.75412259999999998</v>
      </c>
      <c r="U3938">
        <v>-0.764190699999999</v>
      </c>
      <c r="V3938">
        <v>-0.15655139999999901</v>
      </c>
      <c r="W3938">
        <v>4.5944069999999997E-2</v>
      </c>
      <c r="X3938">
        <v>0.98660059999999905</v>
      </c>
      <c r="Y3938">
        <v>0.1059122</v>
      </c>
      <c r="Z3938">
        <v>2.0930029999999999E-2</v>
      </c>
      <c r="AA3938">
        <v>0.99415520000000002</v>
      </c>
      <c r="AB3938">
        <v>30</v>
      </c>
      <c r="AC3938">
        <v>0.53809999999998503</v>
      </c>
      <c r="AD3938">
        <v>-0.20504539999999999</v>
      </c>
      <c r="AE3938">
        <v>-0.16842000000000101</v>
      </c>
      <c r="AF3938">
        <v>8.0353897209884395E-2</v>
      </c>
      <c r="AG3938">
        <v>-0.20504539999999999</v>
      </c>
      <c r="AH3938">
        <v>0.491458556551504</v>
      </c>
      <c r="AI3938">
        <v>112.37945459471401</v>
      </c>
      <c r="AJ3938">
        <v>80.714252818455606</v>
      </c>
      <c r="AK3938">
        <v>0.538546077569658</v>
      </c>
    </row>
    <row r="3939" spans="1:37" x14ac:dyDescent="0.2">
      <c r="A3939" t="str">
        <f>"20200111154144163"</f>
        <v>20200111154144163</v>
      </c>
      <c r="B3939" t="str">
        <f>"1578728504160380"</f>
        <v>1578728504160380</v>
      </c>
      <c r="C3939" t="s">
        <v>37</v>
      </c>
      <c r="D3939">
        <v>5.473643</v>
      </c>
      <c r="E3939">
        <v>0.60142499999999999</v>
      </c>
      <c r="F3939" t="s">
        <v>38</v>
      </c>
      <c r="G3939">
        <v>-391.01029999999997</v>
      </c>
      <c r="H3939">
        <v>0.9105453</v>
      </c>
      <c r="I3939">
        <v>18.683199999999999</v>
      </c>
      <c r="J3939">
        <v>-391.65</v>
      </c>
      <c r="K3939">
        <v>1.1121259999999999</v>
      </c>
      <c r="L3939">
        <v>18.865690000000001</v>
      </c>
      <c r="M3939">
        <v>0.99014500000000005</v>
      </c>
      <c r="N3939">
        <v>0</v>
      </c>
      <c r="O3939">
        <v>-0.13952779999999901</v>
      </c>
      <c r="P3939">
        <v>0.99924290000000004</v>
      </c>
      <c r="Q3939">
        <v>3.4987020000000001E-2</v>
      </c>
      <c r="R3939">
        <v>1.701722E-2</v>
      </c>
      <c r="S3939">
        <v>3.0407709999999999</v>
      </c>
      <c r="T3939">
        <v>-0.75905049999999996</v>
      </c>
      <c r="U3939">
        <v>-0.77285769999999998</v>
      </c>
      <c r="V3939">
        <v>-0.15648909999999999</v>
      </c>
      <c r="W3939">
        <v>4.6178429999999999E-2</v>
      </c>
      <c r="X3939">
        <v>0.98659959999999902</v>
      </c>
      <c r="Y3939">
        <v>0.1095232</v>
      </c>
      <c r="Z3939">
        <v>2.0301980000000001E-2</v>
      </c>
      <c r="AA3939">
        <v>0.99377689999999996</v>
      </c>
      <c r="AB3939">
        <v>30</v>
      </c>
      <c r="AC3939">
        <v>0.63970000000000404</v>
      </c>
      <c r="AD3939">
        <v>-0.201580699999999</v>
      </c>
      <c r="AE3939">
        <v>-0.18249000000000101</v>
      </c>
      <c r="AF3939">
        <v>8.3751660504509204E-2</v>
      </c>
      <c r="AG3939">
        <v>-0.201580699999999</v>
      </c>
      <c r="AH3939">
        <v>0.60348978382455998</v>
      </c>
      <c r="AI3939">
        <v>108.30701327217101</v>
      </c>
      <c r="AJ3939">
        <v>82.099018893822901</v>
      </c>
      <c r="AK3939">
        <v>0.64175465594755698</v>
      </c>
    </row>
    <row r="3940" spans="1:37" x14ac:dyDescent="0.2">
      <c r="A3940" t="str">
        <f>"20200111154144175"</f>
        <v>20200111154144175</v>
      </c>
      <c r="B3940" t="str">
        <f>"1578728504170142"</f>
        <v>1578728504170142</v>
      </c>
      <c r="C3940" t="s">
        <v>37</v>
      </c>
      <c r="D3940">
        <v>5.481535</v>
      </c>
      <c r="E3940">
        <v>0.6022071</v>
      </c>
      <c r="F3940" t="s">
        <v>38</v>
      </c>
      <c r="G3940">
        <v>-390.75330000000002</v>
      </c>
      <c r="H3940">
        <v>0.88710919999999904</v>
      </c>
      <c r="I3940">
        <v>18.635760000000001</v>
      </c>
      <c r="J3940">
        <v>-391.47469999999998</v>
      </c>
      <c r="K3940">
        <v>1.112123</v>
      </c>
      <c r="L3940">
        <v>18.842410000000001</v>
      </c>
      <c r="M3940">
        <v>0.99032999999999904</v>
      </c>
      <c r="N3940">
        <v>0</v>
      </c>
      <c r="O3940">
        <v>-0.138215</v>
      </c>
      <c r="P3940">
        <v>0.99921309999999997</v>
      </c>
      <c r="Q3940">
        <v>3.5253850000000003E-2</v>
      </c>
      <c r="R3940">
        <v>1.8178E-2</v>
      </c>
      <c r="S3940">
        <v>3.0422669999999998</v>
      </c>
      <c r="T3940">
        <v>-0.76340160000000001</v>
      </c>
      <c r="U3940">
        <v>-0.78039550000000002</v>
      </c>
      <c r="V3940">
        <v>-0.15632679999999999</v>
      </c>
      <c r="W3940">
        <v>4.636229E-2</v>
      </c>
      <c r="X3940">
        <v>0.98661669999999901</v>
      </c>
      <c r="Y3940">
        <v>0.11290889999999899</v>
      </c>
      <c r="Z3940">
        <v>1.967205E-2</v>
      </c>
      <c r="AA3940">
        <v>0.99341059999999903</v>
      </c>
      <c r="AB3940">
        <v>30</v>
      </c>
      <c r="AC3940">
        <v>0.72139999999995996</v>
      </c>
      <c r="AD3940">
        <v>-0.22501380000000001</v>
      </c>
      <c r="AE3940">
        <v>-0.206649999999999</v>
      </c>
      <c r="AF3940">
        <v>9.6293042782159402E-2</v>
      </c>
      <c r="AG3940">
        <v>-0.22501380000000001</v>
      </c>
      <c r="AH3940">
        <v>0.68174278306265201</v>
      </c>
      <c r="AI3940">
        <v>108.098056447784</v>
      </c>
      <c r="AJ3940">
        <v>81.960416256877195</v>
      </c>
      <c r="AK3940">
        <v>0.72434576173033305</v>
      </c>
    </row>
    <row r="3941" spans="1:37" x14ac:dyDescent="0.2">
      <c r="A3941" t="str">
        <f>"20200111154144195"</f>
        <v>20200111154144195</v>
      </c>
      <c r="B3941" t="str">
        <f>"1578728504189661"</f>
        <v>1578728504189661</v>
      </c>
      <c r="C3941" t="s">
        <v>37</v>
      </c>
      <c r="D3941">
        <v>5.5079900000000004</v>
      </c>
      <c r="E3941">
        <v>0.62500769999999894</v>
      </c>
      <c r="F3941" t="s">
        <v>38</v>
      </c>
      <c r="G3941">
        <v>-390.73410000000001</v>
      </c>
      <c r="H3941">
        <v>0.92617369999999899</v>
      </c>
      <c r="I3941">
        <v>18.65192</v>
      </c>
      <c r="J3941">
        <v>-391.22210000000001</v>
      </c>
      <c r="K3941">
        <v>1.112109</v>
      </c>
      <c r="L3941">
        <v>18.80911</v>
      </c>
      <c r="M3941">
        <v>0.99059409999999903</v>
      </c>
      <c r="N3941">
        <v>0</v>
      </c>
      <c r="O3941">
        <v>-0.1363211</v>
      </c>
      <c r="P3941">
        <v>0.99918220000000002</v>
      </c>
      <c r="Q3941">
        <v>3.5258940000000003E-2</v>
      </c>
      <c r="R3941">
        <v>1.9790370000000002E-2</v>
      </c>
      <c r="S3941">
        <v>3.0435490000000001</v>
      </c>
      <c r="T3941">
        <v>-0.76412800000000003</v>
      </c>
      <c r="U3941">
        <v>-0.78314209999999995</v>
      </c>
      <c r="V3941">
        <v>-0.15603129999999901</v>
      </c>
      <c r="W3941">
        <v>4.6237979999999998E-2</v>
      </c>
      <c r="X3941">
        <v>0.98666929999999997</v>
      </c>
      <c r="Y3941">
        <v>0.11542329999999899</v>
      </c>
      <c r="Z3941">
        <v>1.8919999999999999E-2</v>
      </c>
      <c r="AA3941">
        <v>0.99313619999999903</v>
      </c>
      <c r="AB3941">
        <v>30</v>
      </c>
      <c r="AC3941">
        <v>0.48799999999999899</v>
      </c>
      <c r="AD3941">
        <v>-0.1859353</v>
      </c>
      <c r="AE3941">
        <v>-0.157189999999999</v>
      </c>
      <c r="AF3941">
        <v>7.8825441776235405E-2</v>
      </c>
      <c r="AG3941">
        <v>-0.1859353</v>
      </c>
      <c r="AH3941">
        <v>0.44618824109841998</v>
      </c>
      <c r="AI3941">
        <v>112.31152168662</v>
      </c>
      <c r="AJ3941">
        <v>79.981268284379297</v>
      </c>
      <c r="AK3941">
        <v>0.48976456849368999</v>
      </c>
    </row>
    <row r="3942" spans="1:37" x14ac:dyDescent="0.2">
      <c r="A3942" t="str">
        <f>"20200111154144209"</f>
        <v>20200111154144209</v>
      </c>
      <c r="B3942" t="str">
        <f>"1578728504200397"</f>
        <v>1578728504200397</v>
      </c>
      <c r="C3942" t="s">
        <v>37</v>
      </c>
      <c r="D3942">
        <v>5.488435</v>
      </c>
      <c r="E3942">
        <v>0.627776</v>
      </c>
      <c r="F3942" t="s">
        <v>38</v>
      </c>
      <c r="G3942">
        <v>-390.4785</v>
      </c>
      <c r="H3942">
        <v>0.90602280000000002</v>
      </c>
      <c r="I3942">
        <v>18.574159999999999</v>
      </c>
      <c r="J3942">
        <v>-391.03379999999999</v>
      </c>
      <c r="K3942">
        <v>1.1120889999999899</v>
      </c>
      <c r="L3942">
        <v>18.784610000000001</v>
      </c>
      <c r="M3942">
        <v>0.99078889999999997</v>
      </c>
      <c r="N3942">
        <v>0</v>
      </c>
      <c r="O3942">
        <v>-0.13490849999999999</v>
      </c>
      <c r="P3942">
        <v>0.99916700000000003</v>
      </c>
      <c r="Q3942">
        <v>3.5083709999999997E-2</v>
      </c>
      <c r="R3942">
        <v>2.0847950000000001E-2</v>
      </c>
      <c r="S3942">
        <v>3.0513309999999998</v>
      </c>
      <c r="T3942">
        <v>-0.84576280000000004</v>
      </c>
      <c r="U3942">
        <v>-0.96252439999999995</v>
      </c>
      <c r="V3942">
        <v>-0.1556678</v>
      </c>
      <c r="W3942">
        <v>4.5952170000000001E-2</v>
      </c>
      <c r="X3942">
        <v>0.98674010000000001</v>
      </c>
      <c r="Y3942">
        <v>0.16825870000000001</v>
      </c>
      <c r="Z3942">
        <v>1.324116E-2</v>
      </c>
      <c r="AA3942">
        <v>0.98565389999999997</v>
      </c>
      <c r="AB3942">
        <v>30</v>
      </c>
      <c r="AC3942">
        <v>0.55529999999998803</v>
      </c>
      <c r="AD3942">
        <v>-0.20606619999999901</v>
      </c>
      <c r="AE3942">
        <v>-0.210450000000001</v>
      </c>
      <c r="AF3942">
        <v>0.11924710189708</v>
      </c>
      <c r="AG3942">
        <v>-0.20606619999999901</v>
      </c>
      <c r="AH3942">
        <v>0.51643124432644405</v>
      </c>
      <c r="AI3942">
        <v>111.245561252199</v>
      </c>
      <c r="AJ3942">
        <v>76.997940294783902</v>
      </c>
      <c r="AK3942">
        <v>0.56866895484970104</v>
      </c>
    </row>
    <row r="3943" spans="1:37" x14ac:dyDescent="0.2">
      <c r="A3943" t="str">
        <f>"20200111154144229"</f>
        <v>20200111154144229</v>
      </c>
      <c r="B3943" t="str">
        <f>"1578728504219919"</f>
        <v>1578728504219919</v>
      </c>
      <c r="C3943" t="s">
        <v>37</v>
      </c>
      <c r="D3943">
        <v>5.4297089999999999</v>
      </c>
      <c r="E3943">
        <v>0.62940940000000001</v>
      </c>
      <c r="F3943" t="s">
        <v>38</v>
      </c>
      <c r="G3943">
        <v>-390.22070000000002</v>
      </c>
      <c r="H3943">
        <v>0.88295480000000004</v>
      </c>
      <c r="I3943">
        <v>18.522929999999999</v>
      </c>
      <c r="J3943">
        <v>-390.76119999999997</v>
      </c>
      <c r="K3943">
        <v>1.11206</v>
      </c>
      <c r="L3943">
        <v>18.749600000000001</v>
      </c>
      <c r="M3943">
        <v>0.99106779999999906</v>
      </c>
      <c r="N3943">
        <v>0</v>
      </c>
      <c r="O3943">
        <v>-0.13286149999999999</v>
      </c>
      <c r="P3943">
        <v>0.99912570000000001</v>
      </c>
      <c r="Q3943">
        <v>3.5096349999999998E-2</v>
      </c>
      <c r="R3943">
        <v>2.2728720000000001E-2</v>
      </c>
      <c r="S3943">
        <v>3.0531919999999899</v>
      </c>
      <c r="T3943">
        <v>-0.860433</v>
      </c>
      <c r="U3943">
        <v>-0.98205569999999898</v>
      </c>
      <c r="V3943">
        <v>-0.1554865</v>
      </c>
      <c r="W3943">
        <v>4.5775450000000002E-2</v>
      </c>
      <c r="X3943">
        <v>0.98677680000000001</v>
      </c>
      <c r="Y3943">
        <v>0.1754839</v>
      </c>
      <c r="Z3943">
        <v>1.192114E-2</v>
      </c>
      <c r="AA3943">
        <v>0.98441009999999995</v>
      </c>
      <c r="AB3943">
        <v>30</v>
      </c>
      <c r="AC3943">
        <v>0.54049999999995102</v>
      </c>
      <c r="AD3943">
        <v>-0.22910520000000001</v>
      </c>
      <c r="AE3943">
        <v>-0.22667000000000201</v>
      </c>
      <c r="AF3943">
        <v>0.13258505185132</v>
      </c>
      <c r="AG3943">
        <v>-0.22910520000000001</v>
      </c>
      <c r="AH3943">
        <v>0.49082770536130099</v>
      </c>
      <c r="AI3943">
        <v>114.25738246199001</v>
      </c>
      <c r="AJ3943">
        <v>74.883726036786697</v>
      </c>
      <c r="AK3943">
        <v>0.55765565090985802</v>
      </c>
    </row>
    <row r="3944" spans="1:37" x14ac:dyDescent="0.2">
      <c r="A3944" t="str">
        <f>"20200111154144241"</f>
        <v>20200111154144241</v>
      </c>
      <c r="B3944" t="str">
        <f>"1578728504230653"</f>
        <v>1578728504230653</v>
      </c>
      <c r="C3944" t="s">
        <v>37</v>
      </c>
      <c r="D3944">
        <v>5.4397799999999998</v>
      </c>
      <c r="E3944">
        <v>0.62960119999999997</v>
      </c>
      <c r="F3944" t="s">
        <v>38</v>
      </c>
      <c r="G3944">
        <v>-389.95269999999999</v>
      </c>
      <c r="H3944">
        <v>0.87937489999999996</v>
      </c>
      <c r="I3944">
        <v>18.48734</v>
      </c>
      <c r="J3944">
        <v>-390.5942</v>
      </c>
      <c r="K3944">
        <v>1.1120459999999901</v>
      </c>
      <c r="L3944">
        <v>18.72842</v>
      </c>
      <c r="M3944">
        <v>0.99123669999999997</v>
      </c>
      <c r="N3944">
        <v>0</v>
      </c>
      <c r="O3944">
        <v>-0.1316069</v>
      </c>
      <c r="P3944">
        <v>0.99908829999999904</v>
      </c>
      <c r="Q3944">
        <v>3.518102E-2</v>
      </c>
      <c r="R3944">
        <v>2.4190630000000001E-2</v>
      </c>
      <c r="S3944">
        <v>3.0560909999999999</v>
      </c>
      <c r="T3944">
        <v>-0.87959240000000005</v>
      </c>
      <c r="U3944">
        <v>-0.99008180000000001</v>
      </c>
      <c r="V3944">
        <v>-0.15568070000000001</v>
      </c>
      <c r="W3944">
        <v>4.573116E-2</v>
      </c>
      <c r="X3944">
        <v>0.98674830000000002</v>
      </c>
      <c r="Y3944">
        <v>0.1785783</v>
      </c>
      <c r="Z3944">
        <v>1.1394710000000001E-2</v>
      </c>
      <c r="AA3944">
        <v>0.9838597</v>
      </c>
      <c r="AB3944">
        <v>30</v>
      </c>
      <c r="AC3944">
        <v>0.64150000000000695</v>
      </c>
      <c r="AD3944">
        <v>-0.23267109999999899</v>
      </c>
      <c r="AE3944">
        <v>-0.24107999999999999</v>
      </c>
      <c r="AF3944">
        <v>0.13857761065773699</v>
      </c>
      <c r="AG3944">
        <v>-0.23267109999999899</v>
      </c>
      <c r="AH3944">
        <v>0.59864342349198296</v>
      </c>
      <c r="AI3944">
        <v>110.739228662323</v>
      </c>
      <c r="AJ3944">
        <v>76.966394394766098</v>
      </c>
      <c r="AK3944">
        <v>0.657049117982072</v>
      </c>
    </row>
    <row r="3945" spans="1:37" x14ac:dyDescent="0.2">
      <c r="A3945" t="str">
        <f>"20200111154144255"</f>
        <v>20200111154144255</v>
      </c>
      <c r="B3945" t="str">
        <f>"1578728504250173"</f>
        <v>1578728504250173</v>
      </c>
      <c r="C3945" t="s">
        <v>37</v>
      </c>
      <c r="D3945">
        <v>5.4836499999999999</v>
      </c>
      <c r="E3945">
        <v>0.63000259999999997</v>
      </c>
      <c r="F3945" t="s">
        <v>38</v>
      </c>
      <c r="G3945">
        <v>-389.93209999999999</v>
      </c>
      <c r="H3945">
        <v>0.92121649999999999</v>
      </c>
      <c r="I3945">
        <v>18.51437</v>
      </c>
      <c r="J3945">
        <v>-390.42970000000003</v>
      </c>
      <c r="K3945">
        <v>1.112025</v>
      </c>
      <c r="L3945">
        <v>18.707820000000002</v>
      </c>
      <c r="M3945">
        <v>0.99140159999999999</v>
      </c>
      <c r="N3945">
        <v>0</v>
      </c>
      <c r="O3945">
        <v>-0.13036969999999901</v>
      </c>
      <c r="P3945">
        <v>0.99904609999999905</v>
      </c>
      <c r="Q3945">
        <v>3.5356209999999999E-2</v>
      </c>
      <c r="R3945">
        <v>2.5629349999999999E-2</v>
      </c>
      <c r="S3945">
        <v>3.0576779999999899</v>
      </c>
      <c r="T3945">
        <v>-0.881436</v>
      </c>
      <c r="U3945">
        <v>-0.98706050000000001</v>
      </c>
      <c r="V3945">
        <v>-0.1558696</v>
      </c>
      <c r="W3945">
        <v>4.5770690000000003E-2</v>
      </c>
      <c r="X3945">
        <v>0.98671659999999894</v>
      </c>
      <c r="Y3945">
        <v>0.17871979999999901</v>
      </c>
      <c r="Z3945">
        <v>1.105925E-2</v>
      </c>
      <c r="AA3945">
        <v>0.98383779999999998</v>
      </c>
      <c r="AB3945">
        <v>30</v>
      </c>
      <c r="AC3945">
        <v>0.49760000000003402</v>
      </c>
      <c r="AD3945">
        <v>-0.19080849999999899</v>
      </c>
      <c r="AE3945">
        <v>-0.19345000000000201</v>
      </c>
      <c r="AF3945">
        <v>0.11254666347858799</v>
      </c>
      <c r="AG3945">
        <v>-0.19080849999999899</v>
      </c>
      <c r="AH3945">
        <v>0.45983736526666802</v>
      </c>
      <c r="AI3945">
        <v>111.95195609063801</v>
      </c>
      <c r="AJ3945">
        <v>76.247040318111601</v>
      </c>
      <c r="AK3945">
        <v>0.51041653345851201</v>
      </c>
    </row>
    <row r="3946" spans="1:37" x14ac:dyDescent="0.2">
      <c r="A3946" t="str">
        <f>"20200111154144273"</f>
        <v>20200111154144273</v>
      </c>
      <c r="B3946" t="str">
        <f>"1578728504269694"</f>
        <v>1578728504269694</v>
      </c>
      <c r="C3946" t="s">
        <v>37</v>
      </c>
      <c r="D3946">
        <v>5.498831</v>
      </c>
      <c r="E3946">
        <v>0.630629</v>
      </c>
      <c r="F3946" t="s">
        <v>38</v>
      </c>
      <c r="G3946">
        <v>-389.6748</v>
      </c>
      <c r="H3946">
        <v>0.89469489999999996</v>
      </c>
      <c r="I3946">
        <v>18.464379999999998</v>
      </c>
      <c r="J3946">
        <v>-390.17009999999999</v>
      </c>
      <c r="K3946">
        <v>1.1119889999999999</v>
      </c>
      <c r="L3946">
        <v>18.675689999999999</v>
      </c>
      <c r="M3946">
        <v>0.99165919999999896</v>
      </c>
      <c r="N3946">
        <v>0</v>
      </c>
      <c r="O3946">
        <v>-0.128416</v>
      </c>
      <c r="P3946">
        <v>0.99897400000000003</v>
      </c>
      <c r="Q3946">
        <v>3.5498950000000001E-2</v>
      </c>
      <c r="R3946">
        <v>2.8119760000000001E-2</v>
      </c>
      <c r="S3946">
        <v>3.0593569999999999</v>
      </c>
      <c r="T3946">
        <v>-0.880903199999999</v>
      </c>
      <c r="U3946">
        <v>-0.9861145</v>
      </c>
      <c r="V3946">
        <v>-0.156384</v>
      </c>
      <c r="W3946">
        <v>4.5676370000000001E-2</v>
      </c>
      <c r="X3946">
        <v>0.98663959999999995</v>
      </c>
      <c r="Y3946">
        <v>0.18010689999999999</v>
      </c>
      <c r="Z3946">
        <v>1.0326989999999999E-2</v>
      </c>
      <c r="AA3946">
        <v>0.98359279999999905</v>
      </c>
      <c r="AB3946">
        <v>30</v>
      </c>
      <c r="AC3946">
        <v>0.49529999999998597</v>
      </c>
      <c r="AD3946">
        <v>-0.21729409999999899</v>
      </c>
      <c r="AE3946">
        <v>-0.211310000000001</v>
      </c>
      <c r="AF3946">
        <v>0.125514310471942</v>
      </c>
      <c r="AG3946">
        <v>-0.21729409999999899</v>
      </c>
      <c r="AH3946">
        <v>0.44575341491766801</v>
      </c>
      <c r="AI3946">
        <v>115.137337288079</v>
      </c>
      <c r="AJ3946">
        <v>74.273953542959404</v>
      </c>
      <c r="AK3946">
        <v>0.51153364985973204</v>
      </c>
    </row>
    <row r="3947" spans="1:37" x14ac:dyDescent="0.2">
      <c r="A3947" t="str">
        <f>"20200111154144289"</f>
        <v>20200111154144289</v>
      </c>
      <c r="B3947" t="str">
        <f>"1578728504280429"</f>
        <v>1578728504280429</v>
      </c>
      <c r="C3947" t="s">
        <v>37</v>
      </c>
      <c r="D3947">
        <v>5.4100529999999996</v>
      </c>
      <c r="E3947">
        <v>0.63066750000000005</v>
      </c>
      <c r="F3947" t="s">
        <v>38</v>
      </c>
      <c r="G3947">
        <v>-389.40499999999997</v>
      </c>
      <c r="H3947">
        <v>0.89228449999999904</v>
      </c>
      <c r="I3947">
        <v>18.429359999999999</v>
      </c>
      <c r="J3947">
        <v>-389.96039999999999</v>
      </c>
      <c r="K3947">
        <v>1.1119569999999901</v>
      </c>
      <c r="L3947">
        <v>18.65005</v>
      </c>
      <c r="M3947">
        <v>0.99186489999999905</v>
      </c>
      <c r="N3947">
        <v>0</v>
      </c>
      <c r="O3947">
        <v>-0.12683630000000001</v>
      </c>
      <c r="P3947">
        <v>0.99889599999999901</v>
      </c>
      <c r="Q3947">
        <v>3.6042089999999999E-2</v>
      </c>
      <c r="R3947">
        <v>3.0134580000000001E-2</v>
      </c>
      <c r="S3947">
        <v>3.0620729999999998</v>
      </c>
      <c r="T3947">
        <v>-0.87950209999999995</v>
      </c>
      <c r="U3947">
        <v>-0.98410030000000004</v>
      </c>
      <c r="V3947">
        <v>-0.15680169999999999</v>
      </c>
      <c r="W3947">
        <v>4.6008380000000001E-2</v>
      </c>
      <c r="X3947">
        <v>0.98655789999999999</v>
      </c>
      <c r="Y3947">
        <v>0.18076010000000001</v>
      </c>
      <c r="Z3947">
        <v>9.7868069999999998E-3</v>
      </c>
      <c r="AA3947">
        <v>0.98347850000000003</v>
      </c>
      <c r="AB3947">
        <v>31</v>
      </c>
      <c r="AC3947">
        <v>0.55540000000001999</v>
      </c>
      <c r="AD3947">
        <v>-0.21967249999999899</v>
      </c>
      <c r="AE3947">
        <v>-0.220690000000001</v>
      </c>
      <c r="AF3947">
        <v>0.13078824798922101</v>
      </c>
      <c r="AG3947">
        <v>-0.21967249999999899</v>
      </c>
      <c r="AH3947">
        <v>0.51000290251496005</v>
      </c>
      <c r="AI3947">
        <v>112.64721480035401</v>
      </c>
      <c r="AJ3947">
        <v>75.616679206388497</v>
      </c>
      <c r="AK3947">
        <v>0.57049499002359705</v>
      </c>
    </row>
    <row r="3948" spans="1:37" x14ac:dyDescent="0.2">
      <c r="A3948" t="str">
        <f>"20200111154144307"</f>
        <v>20200111154144307</v>
      </c>
      <c r="B3948" t="str">
        <f>"1578728504299949"</f>
        <v>1578728504299949</v>
      </c>
      <c r="C3948" t="s">
        <v>37</v>
      </c>
      <c r="D3948">
        <v>5.3965920000000001</v>
      </c>
      <c r="E3948">
        <v>0.63101249999999998</v>
      </c>
      <c r="F3948" t="s">
        <v>38</v>
      </c>
      <c r="G3948">
        <v>-389.1404</v>
      </c>
      <c r="H3948">
        <v>0.87745640000000003</v>
      </c>
      <c r="I3948">
        <v>18.38805</v>
      </c>
      <c r="J3948">
        <v>-389.70639999999997</v>
      </c>
      <c r="K3948">
        <v>1.1119219999999901</v>
      </c>
      <c r="L3948">
        <v>18.619479999999999</v>
      </c>
      <c r="M3948">
        <v>0.99211059999999995</v>
      </c>
      <c r="N3948">
        <v>0</v>
      </c>
      <c r="O3948">
        <v>-0.1249218</v>
      </c>
      <c r="P3948">
        <v>0.99880230000000003</v>
      </c>
      <c r="Q3948">
        <v>3.6618900000000003E-2</v>
      </c>
      <c r="R3948">
        <v>3.2447700000000003E-2</v>
      </c>
      <c r="S3948">
        <v>3.0644529999999999</v>
      </c>
      <c r="T3948">
        <v>-0.87647260000000005</v>
      </c>
      <c r="U3948">
        <v>-0.97851559999999904</v>
      </c>
      <c r="V3948">
        <v>-0.1571814</v>
      </c>
      <c r="W3948">
        <v>4.631942E-2</v>
      </c>
      <c r="X3948">
        <v>0.98648289999999905</v>
      </c>
      <c r="Y3948">
        <v>0.1807559</v>
      </c>
      <c r="Z3948">
        <v>9.2350169999999999E-3</v>
      </c>
      <c r="AA3948">
        <v>0.98348459999999904</v>
      </c>
      <c r="AB3948">
        <v>31</v>
      </c>
      <c r="AC3948">
        <v>0.56599999999997397</v>
      </c>
      <c r="AD3948">
        <v>-0.234465599999999</v>
      </c>
      <c r="AE3948">
        <v>-0.231429999999999</v>
      </c>
      <c r="AF3948">
        <v>0.13853888403199299</v>
      </c>
      <c r="AG3948">
        <v>-0.234465599999999</v>
      </c>
      <c r="AH3948">
        <v>0.514791950875502</v>
      </c>
      <c r="AI3948">
        <v>113.740330235304</v>
      </c>
      <c r="AJ3948">
        <v>74.937629534263394</v>
      </c>
      <c r="AK3948">
        <v>0.58238981160250003</v>
      </c>
    </row>
    <row r="3949" spans="1:37" x14ac:dyDescent="0.2">
      <c r="A3949" t="str">
        <f>"20200111154144320"</f>
        <v>20200111154144320</v>
      </c>
      <c r="B3949" t="str">
        <f>"1578728504309711"</f>
        <v>1578728504309711</v>
      </c>
      <c r="C3949" t="s">
        <v>37</v>
      </c>
      <c r="D3949">
        <v>5.394711</v>
      </c>
      <c r="E3949">
        <v>0.63106609999999996</v>
      </c>
      <c r="F3949" t="s">
        <v>38</v>
      </c>
      <c r="G3949">
        <v>-388.8698</v>
      </c>
      <c r="H3949">
        <v>0.87375400000000003</v>
      </c>
      <c r="I3949">
        <v>18.35324</v>
      </c>
      <c r="J3949">
        <v>-389.52370000000002</v>
      </c>
      <c r="K3949">
        <v>1.1118980000000001</v>
      </c>
      <c r="L3949">
        <v>18.597809999999999</v>
      </c>
      <c r="M3949">
        <v>0.99228510000000003</v>
      </c>
      <c r="N3949">
        <v>0</v>
      </c>
      <c r="O3949">
        <v>-0.1235453</v>
      </c>
      <c r="P3949">
        <v>0.99873149999999999</v>
      </c>
      <c r="Q3949">
        <v>3.7151289999999997E-2</v>
      </c>
      <c r="R3949">
        <v>3.399245E-2</v>
      </c>
      <c r="S3949">
        <v>3.067291</v>
      </c>
      <c r="T3949">
        <v>-0.87333649999999996</v>
      </c>
      <c r="U3949">
        <v>-0.974639899999999</v>
      </c>
      <c r="V3949">
        <v>-0.15733839999999999</v>
      </c>
      <c r="W3949">
        <v>4.6657610000000002E-2</v>
      </c>
      <c r="X3949">
        <v>0.98644189999999998</v>
      </c>
      <c r="Y3949">
        <v>0.18069769999999999</v>
      </c>
      <c r="Z3949">
        <v>8.8357269999999998E-3</v>
      </c>
      <c r="AA3949">
        <v>0.98349900000000001</v>
      </c>
      <c r="AB3949">
        <v>31</v>
      </c>
      <c r="AC3949">
        <v>0.65390000000002102</v>
      </c>
      <c r="AD3949">
        <v>-0.238143999999999</v>
      </c>
      <c r="AE3949">
        <v>-0.24456999999999901</v>
      </c>
      <c r="AF3949">
        <v>0.14503020570309499</v>
      </c>
      <c r="AG3949">
        <v>-0.238143999999999</v>
      </c>
      <c r="AH3949">
        <v>0.60832397864023302</v>
      </c>
      <c r="AI3949">
        <v>110.84697971860901</v>
      </c>
      <c r="AJ3949">
        <v>76.590464433926499</v>
      </c>
      <c r="AK3949">
        <v>0.66918187982861899</v>
      </c>
    </row>
    <row r="3950" spans="1:37" x14ac:dyDescent="0.2">
      <c r="A3950" t="str">
        <f>"20200111154144340"</f>
        <v>20200111154144340</v>
      </c>
      <c r="B3950" t="str">
        <f>"1578728504330204"</f>
        <v>1578728504330204</v>
      </c>
      <c r="C3950" t="s">
        <v>37</v>
      </c>
      <c r="D3950">
        <v>5.3668579999999997</v>
      </c>
      <c r="E3950">
        <v>0.63123890000000005</v>
      </c>
      <c r="F3950" t="s">
        <v>38</v>
      </c>
      <c r="G3950">
        <v>-388.84730000000002</v>
      </c>
      <c r="H3950">
        <v>0.92001299999999997</v>
      </c>
      <c r="I3950">
        <v>18.38354</v>
      </c>
      <c r="J3950">
        <v>-389.25490000000002</v>
      </c>
      <c r="K3950">
        <v>1.1118669999999999</v>
      </c>
      <c r="L3950">
        <v>18.566310000000001</v>
      </c>
      <c r="M3950">
        <v>0.99253849999999999</v>
      </c>
      <c r="N3950">
        <v>0</v>
      </c>
      <c r="O3950">
        <v>-0.12151629999999999</v>
      </c>
      <c r="P3950">
        <v>0.99862399999999996</v>
      </c>
      <c r="Q3950">
        <v>3.791957E-2</v>
      </c>
      <c r="R3950">
        <v>3.6223650000000003E-2</v>
      </c>
      <c r="S3950">
        <v>3.0692140000000001</v>
      </c>
      <c r="T3950">
        <v>-0.87085239999999997</v>
      </c>
      <c r="U3950">
        <v>-0.97042850000000003</v>
      </c>
      <c r="V3950">
        <v>-0.15752439999999901</v>
      </c>
      <c r="W3950">
        <v>4.7140109999999999E-2</v>
      </c>
      <c r="X3950">
        <v>0.98638930000000002</v>
      </c>
      <c r="Y3950">
        <v>0.181226</v>
      </c>
      <c r="Z3950">
        <v>8.1932729999999992E-3</v>
      </c>
      <c r="AA3950">
        <v>0.98340729999999998</v>
      </c>
      <c r="AB3950">
        <v>31</v>
      </c>
      <c r="AC3950">
        <v>0.40760000000000202</v>
      </c>
      <c r="AD3950">
        <v>-0.191854</v>
      </c>
      <c r="AE3950">
        <v>-0.18277000000000099</v>
      </c>
      <c r="AF3950">
        <v>0.111344161237697</v>
      </c>
      <c r="AG3950">
        <v>-0.191854</v>
      </c>
      <c r="AH3950">
        <v>0.36032387837483798</v>
      </c>
      <c r="AI3950">
        <v>116.963094378977</v>
      </c>
      <c r="AJ3950">
        <v>72.828258354056302</v>
      </c>
      <c r="AK3950">
        <v>0.42312974001458598</v>
      </c>
    </row>
    <row r="3951" spans="1:37" x14ac:dyDescent="0.2">
      <c r="A3951" t="str">
        <f>"20200111154144354"</f>
        <v>20200111154144354</v>
      </c>
      <c r="B3951" t="str">
        <f>"1578728504349725"</f>
        <v>1578728504349725</v>
      </c>
      <c r="C3951" t="s">
        <v>37</v>
      </c>
      <c r="D3951">
        <v>5.373138</v>
      </c>
      <c r="E3951">
        <v>0.63140750000000001</v>
      </c>
      <c r="F3951" t="s">
        <v>38</v>
      </c>
      <c r="G3951">
        <v>-388.57420000000002</v>
      </c>
      <c r="H3951">
        <v>0.91974219999999896</v>
      </c>
      <c r="I3951">
        <v>18.35211</v>
      </c>
      <c r="J3951">
        <v>-389.07499999999999</v>
      </c>
      <c r="K3951">
        <v>1.1118520000000001</v>
      </c>
      <c r="L3951">
        <v>18.54562</v>
      </c>
      <c r="M3951">
        <v>0.99270590000000003</v>
      </c>
      <c r="N3951">
        <v>0</v>
      </c>
      <c r="O3951">
        <v>-0.1201559</v>
      </c>
      <c r="P3951">
        <v>0.9985636</v>
      </c>
      <c r="Q3951">
        <v>3.8486159999999998E-2</v>
      </c>
      <c r="R3951">
        <v>3.7274460000000002E-2</v>
      </c>
      <c r="S3951">
        <v>3.0720830000000001</v>
      </c>
      <c r="T3951">
        <v>-0.86732140000000002</v>
      </c>
      <c r="U3951">
        <v>-0.96524049999999995</v>
      </c>
      <c r="V3951">
        <v>-0.15720970000000001</v>
      </c>
      <c r="W3951">
        <v>4.7521149999999998E-2</v>
      </c>
      <c r="X3951">
        <v>0.9864212</v>
      </c>
      <c r="Y3951">
        <v>0.18078559999999999</v>
      </c>
      <c r="Z3951">
        <v>7.8536219999999993E-3</v>
      </c>
      <c r="AA3951">
        <v>0.98349120000000001</v>
      </c>
      <c r="AB3951">
        <v>31</v>
      </c>
      <c r="AC3951">
        <v>0.50079999999996905</v>
      </c>
      <c r="AD3951">
        <v>-0.1921098</v>
      </c>
      <c r="AE3951">
        <v>-0.19350999999999899</v>
      </c>
      <c r="AF3951">
        <v>0.116956190227989</v>
      </c>
      <c r="AG3951">
        <v>-0.1921098</v>
      </c>
      <c r="AH3951">
        <v>0.46135365155581798</v>
      </c>
      <c r="AI3951">
        <v>111.980806563313</v>
      </c>
      <c r="AJ3951">
        <v>75.774818788183595</v>
      </c>
      <c r="AK3951">
        <v>0.51325638572995202</v>
      </c>
    </row>
    <row r="3952" spans="1:37" x14ac:dyDescent="0.2">
      <c r="A3952" t="str">
        <f>"20200111154144373"</f>
        <v>20200111154144373</v>
      </c>
      <c r="B3952" t="str">
        <f>"1578728504370221"</f>
        <v>1578728504370221</v>
      </c>
      <c r="C3952" t="s">
        <v>37</v>
      </c>
      <c r="D3952">
        <v>5.3858470000000001</v>
      </c>
      <c r="E3952">
        <v>0.63155519999999998</v>
      </c>
      <c r="F3952" t="s">
        <v>38</v>
      </c>
      <c r="G3952">
        <v>-388.31130000000002</v>
      </c>
      <c r="H3952">
        <v>0.8967676</v>
      </c>
      <c r="I3952">
        <v>18.30592</v>
      </c>
      <c r="J3952">
        <v>-388.81180000000001</v>
      </c>
      <c r="K3952">
        <v>1.1118299999999901</v>
      </c>
      <c r="L3952">
        <v>18.515720000000002</v>
      </c>
      <c r="M3952">
        <v>0.992947899999999</v>
      </c>
      <c r="N3952">
        <v>0</v>
      </c>
      <c r="O3952">
        <v>-0.11816169999999999</v>
      </c>
      <c r="P3952">
        <v>0.99846769999999996</v>
      </c>
      <c r="Q3952">
        <v>3.914687E-2</v>
      </c>
      <c r="R3952">
        <v>3.91093E-2</v>
      </c>
      <c r="S3952">
        <v>3.073639</v>
      </c>
      <c r="T3952">
        <v>-0.86576030000000004</v>
      </c>
      <c r="U3952">
        <v>-0.96359249999999996</v>
      </c>
      <c r="V3952">
        <v>-0.15704070000000001</v>
      </c>
      <c r="W3952">
        <v>4.7911240000000001E-2</v>
      </c>
      <c r="X3952">
        <v>0.98642929999999995</v>
      </c>
      <c r="Y3952">
        <v>0.18203359999999999</v>
      </c>
      <c r="Z3952">
        <v>7.1374619999999998E-3</v>
      </c>
      <c r="AA3952">
        <v>0.98326639999999998</v>
      </c>
      <c r="AB3952">
        <v>31</v>
      </c>
      <c r="AC3952">
        <v>0.50049999999998795</v>
      </c>
      <c r="AD3952">
        <v>-0.21506239999999899</v>
      </c>
      <c r="AE3952">
        <v>-0.20980000000000101</v>
      </c>
      <c r="AF3952">
        <v>0.12893848568831201</v>
      </c>
      <c r="AG3952">
        <v>-0.21506239999999899</v>
      </c>
      <c r="AH3952">
        <v>0.45096392238725802</v>
      </c>
      <c r="AI3952">
        <v>114.632462077325</v>
      </c>
      <c r="AJ3952">
        <v>74.043839109641496</v>
      </c>
      <c r="AK3952">
        <v>0.51598975598383301</v>
      </c>
    </row>
    <row r="3953" spans="1:37" x14ac:dyDescent="0.2">
      <c r="A3953" t="str">
        <f>"20200111154144386"</f>
        <v>20200111154144386</v>
      </c>
      <c r="B3953" t="str">
        <f>"1578728504379981"</f>
        <v>1578728504379981</v>
      </c>
      <c r="C3953" t="s">
        <v>37</v>
      </c>
      <c r="D3953">
        <v>5.3585079999999996</v>
      </c>
      <c r="E3953">
        <v>0.6315539</v>
      </c>
      <c r="F3953" t="s">
        <v>38</v>
      </c>
      <c r="G3953">
        <v>-388.0376</v>
      </c>
      <c r="H3953">
        <v>0.89418359999999997</v>
      </c>
      <c r="I3953">
        <v>18.274079999999898</v>
      </c>
      <c r="J3953">
        <v>-388.6277</v>
      </c>
      <c r="K3953">
        <v>1.11182</v>
      </c>
      <c r="L3953">
        <v>18.495090000000001</v>
      </c>
      <c r="M3953">
        <v>0.99311499999999997</v>
      </c>
      <c r="N3953">
        <v>0</v>
      </c>
      <c r="O3953">
        <v>-0.1167646</v>
      </c>
      <c r="P3953">
        <v>0.99841719999999901</v>
      </c>
      <c r="Q3953">
        <v>3.9156719999999999E-2</v>
      </c>
      <c r="R3953">
        <v>4.0376309999999999E-2</v>
      </c>
      <c r="S3953">
        <v>3.076111</v>
      </c>
      <c r="T3953">
        <v>-0.86486409999999903</v>
      </c>
      <c r="U3953">
        <v>-0.95959470000000002</v>
      </c>
      <c r="V3953">
        <v>-0.15690519999999999</v>
      </c>
      <c r="W3953">
        <v>4.773645E-2</v>
      </c>
      <c r="X3953">
        <v>0.98645930000000004</v>
      </c>
      <c r="Y3953">
        <v>0.1819865</v>
      </c>
      <c r="Z3953">
        <v>6.7616909999999898E-3</v>
      </c>
      <c r="AA3953">
        <v>0.98327779999999998</v>
      </c>
      <c r="AB3953">
        <v>31</v>
      </c>
      <c r="AC3953">
        <v>0.59010000000000595</v>
      </c>
      <c r="AD3953">
        <v>-0.21763640000000001</v>
      </c>
      <c r="AE3953">
        <v>-0.22101000000000301</v>
      </c>
      <c r="AF3953">
        <v>0.13454266614987501</v>
      </c>
      <c r="AG3953">
        <v>-0.21763640000000001</v>
      </c>
      <c r="AH3953">
        <v>0.54665953347135199</v>
      </c>
      <c r="AI3953">
        <v>111.135715156671</v>
      </c>
      <c r="AJ3953">
        <v>76.173293932537703</v>
      </c>
      <c r="AK3953">
        <v>0.60357599120143302</v>
      </c>
    </row>
    <row r="3954" spans="1:37" x14ac:dyDescent="0.2">
      <c r="A3954" t="str">
        <f>"20200111154144399"</f>
        <v>20200111154144399</v>
      </c>
      <c r="B3954" t="str">
        <f>"1578728504389741"</f>
        <v>1578728504389741</v>
      </c>
      <c r="C3954" t="s">
        <v>37</v>
      </c>
      <c r="D3954">
        <v>5.3668899999999997</v>
      </c>
      <c r="E3954">
        <v>0.63161919999999905</v>
      </c>
      <c r="F3954" t="s">
        <v>38</v>
      </c>
      <c r="G3954">
        <v>-387.77280000000002</v>
      </c>
      <c r="H3954">
        <v>0.87133669999999996</v>
      </c>
      <c r="I3954">
        <v>18.229240000000001</v>
      </c>
      <c r="J3954">
        <v>-388.44670000000002</v>
      </c>
      <c r="K3954">
        <v>1.1118110000000001</v>
      </c>
      <c r="L3954">
        <v>18.475069999999999</v>
      </c>
      <c r="M3954">
        <v>0.99327730000000003</v>
      </c>
      <c r="N3954">
        <v>0</v>
      </c>
      <c r="O3954">
        <v>-0.11538900000000001</v>
      </c>
      <c r="P3954">
        <v>0.99833919999999998</v>
      </c>
      <c r="Q3954">
        <v>3.9637220000000001E-2</v>
      </c>
      <c r="R3954">
        <v>4.1805630000000003E-2</v>
      </c>
      <c r="S3954">
        <v>3.0773320000000002</v>
      </c>
      <c r="T3954">
        <v>-0.86574130000000005</v>
      </c>
      <c r="U3954">
        <v>-0.95593259999999902</v>
      </c>
      <c r="V3954">
        <v>-0.156951799999999</v>
      </c>
      <c r="W3954">
        <v>4.804365E-2</v>
      </c>
      <c r="X3954">
        <v>0.98643700000000001</v>
      </c>
      <c r="Y3954">
        <v>0.18211359999999999</v>
      </c>
      <c r="Z3954">
        <v>6.3839909999999899E-3</v>
      </c>
      <c r="AA3954">
        <v>0.98325680000000004</v>
      </c>
      <c r="AB3954">
        <v>31</v>
      </c>
      <c r="AC3954">
        <v>0.67390000000000305</v>
      </c>
      <c r="AD3954">
        <v>-0.2404743</v>
      </c>
      <c r="AE3954">
        <v>-0.24583000000000099</v>
      </c>
      <c r="AF3954">
        <v>0.14961056648128401</v>
      </c>
      <c r="AG3954">
        <v>-0.2404743</v>
      </c>
      <c r="AH3954">
        <v>0.62727249519376205</v>
      </c>
      <c r="AI3954">
        <v>110.450735486932</v>
      </c>
      <c r="AJ3954">
        <v>76.585032109976495</v>
      </c>
      <c r="AK3954">
        <v>0.68824559118816697</v>
      </c>
    </row>
    <row r="3955" spans="1:37" x14ac:dyDescent="0.2">
      <c r="A3955" t="str">
        <f>"20200111154144419"</f>
        <v>20200111154144419</v>
      </c>
      <c r="B3955" t="str">
        <f>"1578728504410236"</f>
        <v>1578728504410236</v>
      </c>
      <c r="C3955" t="s">
        <v>37</v>
      </c>
      <c r="D3955">
        <v>5.374536</v>
      </c>
      <c r="E3955">
        <v>0.63172890000000004</v>
      </c>
      <c r="F3955" t="s">
        <v>38</v>
      </c>
      <c r="G3955">
        <v>-387.75110000000001</v>
      </c>
      <c r="H3955">
        <v>0.91654930000000001</v>
      </c>
      <c r="I3955">
        <v>18.259720000000002</v>
      </c>
      <c r="J3955">
        <v>-388.17649999999998</v>
      </c>
      <c r="K3955">
        <v>1.1118049999999999</v>
      </c>
      <c r="L3955">
        <v>18.445679999999999</v>
      </c>
      <c r="M3955">
        <v>0.99351639999999997</v>
      </c>
      <c r="N3955">
        <v>0</v>
      </c>
      <c r="O3955">
        <v>-0.1133313</v>
      </c>
      <c r="P3955">
        <v>0.99825889999999995</v>
      </c>
      <c r="Q3955">
        <v>3.9976009999999999E-2</v>
      </c>
      <c r="R3955">
        <v>4.3375690000000001E-2</v>
      </c>
      <c r="S3955">
        <v>3.0791930000000001</v>
      </c>
      <c r="T3955">
        <v>-0.86448749999999996</v>
      </c>
      <c r="U3955">
        <v>-0.95202640000000005</v>
      </c>
      <c r="V3955">
        <v>-0.15645999999999999</v>
      </c>
      <c r="W3955">
        <v>4.813986E-2</v>
      </c>
      <c r="X3955">
        <v>0.98651049999999996</v>
      </c>
      <c r="Y3955">
        <v>0.182757</v>
      </c>
      <c r="Z3955">
        <v>5.7393869999999899E-3</v>
      </c>
      <c r="AA3955">
        <v>0.98314140000000005</v>
      </c>
      <c r="AB3955">
        <v>31</v>
      </c>
      <c r="AC3955">
        <v>0.42539999999996703</v>
      </c>
      <c r="AD3955">
        <v>-0.19525569999999901</v>
      </c>
      <c r="AE3955">
        <v>-0.18595999999999699</v>
      </c>
      <c r="AF3955">
        <v>0.116026507376619</v>
      </c>
      <c r="AG3955">
        <v>-0.19525569999999901</v>
      </c>
      <c r="AH3955">
        <v>0.37704506160263601</v>
      </c>
      <c r="AI3955">
        <v>116.333241677053</v>
      </c>
      <c r="AJ3955">
        <v>72.895516078896804</v>
      </c>
      <c r="AK3955">
        <v>0.44017032757268199</v>
      </c>
    </row>
    <row r="3956" spans="1:37" x14ac:dyDescent="0.2">
      <c r="A3956" t="str">
        <f>"20200111154144431"</f>
        <v>20200111154144431</v>
      </c>
      <c r="B3956" t="str">
        <f>"1578728504419997"</f>
        <v>1578728504419997</v>
      </c>
      <c r="C3956" t="s">
        <v>37</v>
      </c>
      <c r="D3956">
        <v>5.3953350000000002</v>
      </c>
      <c r="E3956">
        <v>0.63181219999999905</v>
      </c>
      <c r="F3956" t="s">
        <v>38</v>
      </c>
      <c r="G3956">
        <v>-387.4753</v>
      </c>
      <c r="H3956">
        <v>0.91493440000000004</v>
      </c>
      <c r="I3956">
        <v>18.22953</v>
      </c>
      <c r="J3956">
        <v>-388.00409999999999</v>
      </c>
      <c r="K3956">
        <v>1.111799</v>
      </c>
      <c r="L3956">
        <v>18.427250000000001</v>
      </c>
      <c r="M3956">
        <v>0.99366679999999996</v>
      </c>
      <c r="N3956">
        <v>0</v>
      </c>
      <c r="O3956">
        <v>-0.112016899999999</v>
      </c>
      <c r="P3956">
        <v>0.99818839999999998</v>
      </c>
      <c r="Q3956">
        <v>4.0454150000000001E-2</v>
      </c>
      <c r="R3956">
        <v>4.4538710000000002E-2</v>
      </c>
      <c r="S3956">
        <v>3.0811459999999999</v>
      </c>
      <c r="T3956">
        <v>-0.86512739999999999</v>
      </c>
      <c r="U3956">
        <v>-0.94873050000000003</v>
      </c>
      <c r="V3956">
        <v>-0.15630459999999999</v>
      </c>
      <c r="W3956">
        <v>4.8470869999999999E-2</v>
      </c>
      <c r="X3956">
        <v>0.98651889999999998</v>
      </c>
      <c r="Y3956">
        <v>0.18286920000000001</v>
      </c>
      <c r="Z3956">
        <v>5.376624E-3</v>
      </c>
      <c r="AA3956">
        <v>0.98312250000000001</v>
      </c>
      <c r="AB3956">
        <v>31</v>
      </c>
      <c r="AC3956">
        <v>0.52879999999998895</v>
      </c>
      <c r="AD3956">
        <v>-0.196864599999999</v>
      </c>
      <c r="AE3956">
        <v>-0.19772000000000001</v>
      </c>
      <c r="AF3956">
        <v>0.12236005236548</v>
      </c>
      <c r="AG3956">
        <v>-0.196864599999999</v>
      </c>
      <c r="AH3956">
        <v>0.48825072773564099</v>
      </c>
      <c r="AI3956">
        <v>111.360921793247</v>
      </c>
      <c r="AJ3956">
        <v>75.930917806286203</v>
      </c>
      <c r="AK3956">
        <v>0.54047796095902501</v>
      </c>
    </row>
    <row r="3957" spans="1:37" x14ac:dyDescent="0.2">
      <c r="A3957" t="str">
        <f>"20200111154144445"</f>
        <v>20200111154144445</v>
      </c>
      <c r="B3957" t="str">
        <f>"1578728504440493"</f>
        <v>1578728504440493</v>
      </c>
      <c r="C3957" t="s">
        <v>37</v>
      </c>
      <c r="D3957">
        <v>5.3638260000000004</v>
      </c>
      <c r="E3957">
        <v>0.63177090000000002</v>
      </c>
      <c r="F3957" t="s">
        <v>38</v>
      </c>
      <c r="G3957">
        <v>-387.21</v>
      </c>
      <c r="H3957">
        <v>0.88942379999999999</v>
      </c>
      <c r="I3957">
        <v>18.183489999999999</v>
      </c>
      <c r="J3957">
        <v>-387.820999999999</v>
      </c>
      <c r="K3957">
        <v>1.111791</v>
      </c>
      <c r="L3957">
        <v>18.40784</v>
      </c>
      <c r="M3957">
        <v>0.99382469999999901</v>
      </c>
      <c r="N3957">
        <v>0</v>
      </c>
      <c r="O3957">
        <v>-0.11061939999999899</v>
      </c>
      <c r="P3957">
        <v>0.99812259999999997</v>
      </c>
      <c r="Q3957">
        <v>4.0502730000000001E-2</v>
      </c>
      <c r="R3957">
        <v>4.5948709999999997E-2</v>
      </c>
      <c r="S3957">
        <v>3.082611</v>
      </c>
      <c r="T3957">
        <v>-0.86332070000000005</v>
      </c>
      <c r="U3957">
        <v>-0.94583130000000004</v>
      </c>
      <c r="V3957">
        <v>-0.15631149999999999</v>
      </c>
      <c r="W3957">
        <v>4.8366569999999998E-2</v>
      </c>
      <c r="X3957">
        <v>0.98652289999999998</v>
      </c>
      <c r="Y3957">
        <v>0.18322550000000001</v>
      </c>
      <c r="Z3957">
        <v>4.9455870000000004E-3</v>
      </c>
      <c r="AA3957">
        <v>0.98305849999999995</v>
      </c>
      <c r="AB3957">
        <v>31</v>
      </c>
      <c r="AC3957">
        <v>0.61099999999999</v>
      </c>
      <c r="AD3957">
        <v>-0.22236719999999899</v>
      </c>
      <c r="AE3957">
        <v>-0.22435000000000099</v>
      </c>
      <c r="AF3957">
        <v>0.13914192565977099</v>
      </c>
      <c r="AG3957">
        <v>-0.22236719999999899</v>
      </c>
      <c r="AH3957">
        <v>0.56600634407017303</v>
      </c>
      <c r="AI3957">
        <v>110.882436829094</v>
      </c>
      <c r="AJ3957">
        <v>76.188789361530894</v>
      </c>
      <c r="AK3957">
        <v>0.62383557820937996</v>
      </c>
    </row>
    <row r="3958" spans="1:37" x14ac:dyDescent="0.2">
      <c r="A3958" t="str">
        <f>"20200111154144462"</f>
        <v>20200111154144462</v>
      </c>
      <c r="B3958" t="str">
        <f>"1578728504450253"</f>
        <v>1578728504450253</v>
      </c>
      <c r="C3958" t="s">
        <v>37</v>
      </c>
      <c r="D3958">
        <v>5.3899619999999997</v>
      </c>
      <c r="E3958">
        <v>0.63166029999999995</v>
      </c>
      <c r="F3958" t="s">
        <v>38</v>
      </c>
      <c r="G3958">
        <v>-386.94299999999998</v>
      </c>
      <c r="H3958">
        <v>0.86554799999999998</v>
      </c>
      <c r="I3958">
        <v>18.139620000000001</v>
      </c>
      <c r="J3958">
        <v>-387.57499999999999</v>
      </c>
      <c r="K3958">
        <v>1.111788</v>
      </c>
      <c r="L3958">
        <v>18.38223</v>
      </c>
      <c r="M3958">
        <v>0.99403379999999997</v>
      </c>
      <c r="N3958">
        <v>0</v>
      </c>
      <c r="O3958">
        <v>-0.10873919999999999</v>
      </c>
      <c r="P3958">
        <v>0.99803850000000005</v>
      </c>
      <c r="Q3958">
        <v>4.0619809999999999E-2</v>
      </c>
      <c r="R3958">
        <v>4.7641030000000001E-2</v>
      </c>
      <c r="S3958">
        <v>3.0840450000000001</v>
      </c>
      <c r="T3958">
        <v>-0.86497279999999999</v>
      </c>
      <c r="U3958">
        <v>-0.94134519999999899</v>
      </c>
      <c r="V3958">
        <v>-0.15611920000000001</v>
      </c>
      <c r="W3958">
        <v>4.8294650000000001E-2</v>
      </c>
      <c r="X3958">
        <v>0.98655689999999996</v>
      </c>
      <c r="Y3958">
        <v>0.18356220000000001</v>
      </c>
      <c r="Z3958">
        <v>4.4087149999999997E-3</v>
      </c>
      <c r="AA3958">
        <v>0.98299820000000004</v>
      </c>
      <c r="AB3958">
        <v>31</v>
      </c>
      <c r="AC3958">
        <v>0.63199999999994805</v>
      </c>
      <c r="AD3958">
        <v>-0.24623999999999999</v>
      </c>
      <c r="AE3958">
        <v>-0.24260999999999899</v>
      </c>
      <c r="AF3958">
        <v>0.152295819374027</v>
      </c>
      <c r="AG3958">
        <v>-0.24623999999999999</v>
      </c>
      <c r="AH3958">
        <v>0.57814208497797903</v>
      </c>
      <c r="AI3958">
        <v>112.385083083821</v>
      </c>
      <c r="AJ3958">
        <v>75.242242000593606</v>
      </c>
      <c r="AK3958">
        <v>0.64658829607524704</v>
      </c>
    </row>
    <row r="3959" spans="1:37" x14ac:dyDescent="0.2">
      <c r="A3959" t="str">
        <f>"20200111154144475"</f>
        <v>20200111154144475</v>
      </c>
      <c r="B3959" t="str">
        <f>"1578728504470396"</f>
        <v>1578728504470396</v>
      </c>
      <c r="C3959" t="s">
        <v>37</v>
      </c>
      <c r="D3959">
        <v>5.3550629999999897</v>
      </c>
      <c r="E3959">
        <v>0.63121759999999905</v>
      </c>
      <c r="F3959" t="s">
        <v>38</v>
      </c>
      <c r="G3959">
        <v>-386.91390000000001</v>
      </c>
      <c r="H3959">
        <v>0.92674639999999997</v>
      </c>
      <c r="I3959">
        <v>18.18167</v>
      </c>
      <c r="J3959">
        <v>-387.39839999999998</v>
      </c>
      <c r="K3959">
        <v>1.1117859999999999</v>
      </c>
      <c r="L3959">
        <v>18.3642</v>
      </c>
      <c r="M3959">
        <v>0.99418169999999995</v>
      </c>
      <c r="N3959">
        <v>0</v>
      </c>
      <c r="O3959">
        <v>-0.1073889</v>
      </c>
      <c r="P3959">
        <v>0.99796180000000001</v>
      </c>
      <c r="Q3959">
        <v>4.0643159999999998E-2</v>
      </c>
      <c r="R3959">
        <v>4.919834E-2</v>
      </c>
      <c r="S3959">
        <v>3.0856629999999998</v>
      </c>
      <c r="T3959">
        <v>-0.86385230000000002</v>
      </c>
      <c r="U3959">
        <v>-0.93524169999999995</v>
      </c>
      <c r="V3959">
        <v>-0.1563184</v>
      </c>
      <c r="W3959">
        <v>4.8193689999999997E-2</v>
      </c>
      <c r="X3959">
        <v>0.98653019999999902</v>
      </c>
      <c r="Y3959">
        <v>0.18295449999999999</v>
      </c>
      <c r="Z3959">
        <v>4.1259579999999999E-3</v>
      </c>
      <c r="AA3959">
        <v>0.98311280000000001</v>
      </c>
      <c r="AB3959">
        <v>31</v>
      </c>
      <c r="AC3959">
        <v>0.48449999999996801</v>
      </c>
      <c r="AD3959">
        <v>-0.1850396</v>
      </c>
      <c r="AE3959">
        <v>-0.182529999999999</v>
      </c>
      <c r="AF3959">
        <v>0.114781312087575</v>
      </c>
      <c r="AG3959">
        <v>-0.1850396</v>
      </c>
      <c r="AH3959">
        <v>0.444520628658926</v>
      </c>
      <c r="AI3959">
        <v>111.951804006008</v>
      </c>
      <c r="AJ3959">
        <v>75.521692790509505</v>
      </c>
      <c r="AK3959">
        <v>0.49498787103931402</v>
      </c>
    </row>
    <row r="3960" spans="1:37" x14ac:dyDescent="0.2">
      <c r="A3960" t="str">
        <f>"20200111154144488"</f>
        <v>20200111154144488</v>
      </c>
      <c r="B3960" t="str">
        <f>"1578728504480156"</f>
        <v>1578728504480156</v>
      </c>
      <c r="C3960" t="s">
        <v>37</v>
      </c>
      <c r="D3960">
        <v>5.3825349999999998</v>
      </c>
      <c r="E3960">
        <v>0.63107550000000001</v>
      </c>
      <c r="F3960" t="s">
        <v>38</v>
      </c>
      <c r="G3960">
        <v>-386.64679999999998</v>
      </c>
      <c r="H3960">
        <v>0.9011633</v>
      </c>
      <c r="I3960">
        <v>18.138259999999999</v>
      </c>
      <c r="J3960">
        <v>-387.21129999999999</v>
      </c>
      <c r="K3960">
        <v>1.1117840000000001</v>
      </c>
      <c r="L3960">
        <v>18.345310000000001</v>
      </c>
      <c r="M3960">
        <v>0.99433609999999994</v>
      </c>
      <c r="N3960">
        <v>0</v>
      </c>
      <c r="O3960">
        <v>-0.10595879999999901</v>
      </c>
      <c r="P3960">
        <v>0.99791010000000002</v>
      </c>
      <c r="Q3960">
        <v>4.0432250000000003E-2</v>
      </c>
      <c r="R3960">
        <v>5.0407359999999998E-2</v>
      </c>
      <c r="S3960">
        <v>3.0870669999999998</v>
      </c>
      <c r="T3960">
        <v>-0.86527589999999999</v>
      </c>
      <c r="U3960">
        <v>-0.92700199999999999</v>
      </c>
      <c r="V3960">
        <v>-0.15609509999999999</v>
      </c>
      <c r="W3960">
        <v>4.7860279999999998E-2</v>
      </c>
      <c r="X3960">
        <v>0.98658179999999995</v>
      </c>
      <c r="Y3960">
        <v>0.18181910000000001</v>
      </c>
      <c r="Z3960">
        <v>3.9055159999999999E-3</v>
      </c>
      <c r="AA3960">
        <v>0.98332419999999998</v>
      </c>
      <c r="AB3960">
        <v>31</v>
      </c>
      <c r="AC3960">
        <v>0.56450000000000899</v>
      </c>
      <c r="AD3960">
        <v>-0.21062069999999999</v>
      </c>
      <c r="AE3960">
        <v>-0.20705000000000201</v>
      </c>
      <c r="AF3960">
        <v>0.13010426569932901</v>
      </c>
      <c r="AG3960">
        <v>-0.21062069999999999</v>
      </c>
      <c r="AH3960">
        <v>0.51951502225753898</v>
      </c>
      <c r="AI3960">
        <v>111.468372333613</v>
      </c>
      <c r="AJ3960">
        <v>75.940351067306594</v>
      </c>
      <c r="AK3960">
        <v>0.57548593168982198</v>
      </c>
    </row>
    <row r="3961" spans="1:37" x14ac:dyDescent="0.2">
      <c r="A3961" t="str">
        <f>"20200111154144509"</f>
        <v>20200111154144509</v>
      </c>
      <c r="B3961" t="str">
        <f>"1578728504500652"</f>
        <v>1578728504500652</v>
      </c>
      <c r="C3961" t="s">
        <v>37</v>
      </c>
      <c r="D3961">
        <v>5.4081140000000003</v>
      </c>
      <c r="E3961">
        <v>0.63090679999999999</v>
      </c>
      <c r="F3961" t="s">
        <v>38</v>
      </c>
      <c r="G3961">
        <v>-386.3777</v>
      </c>
      <c r="H3961">
        <v>0.87800979999999995</v>
      </c>
      <c r="I3961">
        <v>18.096239999999899</v>
      </c>
      <c r="J3961">
        <v>-386.92579999999998</v>
      </c>
      <c r="K3961">
        <v>1.111775</v>
      </c>
      <c r="L3961">
        <v>18.316960000000002</v>
      </c>
      <c r="M3961">
        <v>0.9945678</v>
      </c>
      <c r="N3961">
        <v>0</v>
      </c>
      <c r="O3961">
        <v>-0.103775299999999</v>
      </c>
      <c r="P3961">
        <v>0.99782059999999995</v>
      </c>
      <c r="Q3961">
        <v>4.0022500000000003E-2</v>
      </c>
      <c r="R3961">
        <v>5.2465310000000001E-2</v>
      </c>
      <c r="S3961">
        <v>3.087952</v>
      </c>
      <c r="T3961">
        <v>-0.86599040000000005</v>
      </c>
      <c r="U3961">
        <v>-0.92218020000000001</v>
      </c>
      <c r="V3961">
        <v>-0.1559635</v>
      </c>
      <c r="W3961">
        <v>4.7278720000000003E-2</v>
      </c>
      <c r="X3961">
        <v>0.98663069999999897</v>
      </c>
      <c r="Y3961">
        <v>0.1823891</v>
      </c>
      <c r="Z3961">
        <v>3.2503749999999998E-3</v>
      </c>
      <c r="AA3961">
        <v>0.98322109999999996</v>
      </c>
      <c r="AB3961">
        <v>31</v>
      </c>
      <c r="AC3961">
        <v>0.54809999999997605</v>
      </c>
      <c r="AD3961">
        <v>-0.23376520000000001</v>
      </c>
      <c r="AE3961">
        <v>-0.220720000000003</v>
      </c>
      <c r="AF3961">
        <v>0.14063485037555601</v>
      </c>
      <c r="AG3961">
        <v>-0.23376520000000001</v>
      </c>
      <c r="AH3961">
        <v>0.49116854527791598</v>
      </c>
      <c r="AI3961">
        <v>114.586488370786</v>
      </c>
      <c r="AJ3961">
        <v>74.022149217966998</v>
      </c>
      <c r="AK3961">
        <v>0.56184594840723001</v>
      </c>
    </row>
    <row r="3962" spans="1:37" x14ac:dyDescent="0.2">
      <c r="A3962" t="str">
        <f>"20200111154144530"</f>
        <v>20200111154144530</v>
      </c>
      <c r="B3962" t="str">
        <f>"1578728504520186"</f>
        <v>1578728504520186</v>
      </c>
      <c r="C3962" t="s">
        <v>37</v>
      </c>
      <c r="D3962">
        <v>5.3845689999999999</v>
      </c>
      <c r="E3962">
        <v>0.63073279999999998</v>
      </c>
      <c r="F3962" t="s">
        <v>38</v>
      </c>
      <c r="G3962">
        <v>-386.09629999999999</v>
      </c>
      <c r="H3962">
        <v>0.87880949999999902</v>
      </c>
      <c r="I3962">
        <v>18.071020000000001</v>
      </c>
      <c r="J3962">
        <v>-386.62099999999998</v>
      </c>
      <c r="K3962">
        <v>1.1117699999999999</v>
      </c>
      <c r="L3962">
        <v>18.287410000000001</v>
      </c>
      <c r="M3962">
        <v>0.99480939999999995</v>
      </c>
      <c r="N3962">
        <v>0</v>
      </c>
      <c r="O3962">
        <v>-0.10144499999999999</v>
      </c>
      <c r="P3962">
        <v>0.99770899999999996</v>
      </c>
      <c r="Q3962">
        <v>4.0106870000000003E-2</v>
      </c>
      <c r="R3962">
        <v>5.448335E-2</v>
      </c>
      <c r="S3962">
        <v>3.08947799999999</v>
      </c>
      <c r="T3962">
        <v>-0.86797569999999902</v>
      </c>
      <c r="U3962">
        <v>-0.91448969999999896</v>
      </c>
      <c r="V3962">
        <v>-0.15564839999999999</v>
      </c>
      <c r="W3962">
        <v>4.7201079999999999E-2</v>
      </c>
      <c r="X3962">
        <v>0.98668409999999995</v>
      </c>
      <c r="Y3962">
        <v>0.18222049999999901</v>
      </c>
      <c r="Z3962">
        <v>2.6583599999999998E-3</v>
      </c>
      <c r="AA3962">
        <v>0.98325409999999902</v>
      </c>
      <c r="AB3962">
        <v>32</v>
      </c>
      <c r="AC3962">
        <v>0.52469999999999495</v>
      </c>
      <c r="AD3962">
        <v>-0.23296049999999999</v>
      </c>
      <c r="AE3962">
        <v>-0.21639</v>
      </c>
      <c r="AF3962">
        <v>0.13868006245742301</v>
      </c>
      <c r="AG3962">
        <v>-0.23296049999999999</v>
      </c>
      <c r="AH3962">
        <v>0.46551862705456198</v>
      </c>
      <c r="AI3962">
        <v>115.622507692597</v>
      </c>
      <c r="AJ3962">
        <v>73.410972563826505</v>
      </c>
      <c r="AK3962">
        <v>0.53871174705793201</v>
      </c>
    </row>
    <row r="3963" spans="1:37" x14ac:dyDescent="0.2">
      <c r="A3963" t="str">
        <f>"20200111154144544"</f>
        <v>20200111154144544</v>
      </c>
      <c r="B3963" t="str">
        <f>"1578728504539692"</f>
        <v>1578728504539692</v>
      </c>
      <c r="C3963" t="s">
        <v>37</v>
      </c>
      <c r="D3963">
        <v>5.4346649999999999</v>
      </c>
      <c r="E3963">
        <v>0.63079510000000005</v>
      </c>
      <c r="F3963" t="s">
        <v>38</v>
      </c>
      <c r="G3963">
        <v>-385.81189999999998</v>
      </c>
      <c r="H3963">
        <v>0.88447279999999995</v>
      </c>
      <c r="I3963">
        <v>18.049949999999999</v>
      </c>
      <c r="J3963">
        <v>-386.4314</v>
      </c>
      <c r="K3963">
        <v>1.111772</v>
      </c>
      <c r="L3963">
        <v>18.269349999999999</v>
      </c>
      <c r="M3963">
        <v>0.99495679999999997</v>
      </c>
      <c r="N3963">
        <v>0</v>
      </c>
      <c r="O3963">
        <v>-9.9997119999999995E-2</v>
      </c>
      <c r="P3963">
        <v>0.99764599999999903</v>
      </c>
      <c r="Q3963">
        <v>4.010673E-2</v>
      </c>
      <c r="R3963">
        <v>5.5626839999999997E-2</v>
      </c>
      <c r="S3963">
        <v>3.0913089999999999</v>
      </c>
      <c r="T3963">
        <v>-0.86855119999999897</v>
      </c>
      <c r="U3963">
        <v>-0.90652469999999996</v>
      </c>
      <c r="V3963">
        <v>-0.1553437</v>
      </c>
      <c r="W3963">
        <v>4.710868E-2</v>
      </c>
      <c r="X3963">
        <v>0.98673659999999996</v>
      </c>
      <c r="Y3963">
        <v>0.18114439999999901</v>
      </c>
      <c r="Z3963">
        <v>2.4187290000000001E-3</v>
      </c>
      <c r="AA3963">
        <v>0.98345360000000004</v>
      </c>
      <c r="AB3963">
        <v>32</v>
      </c>
      <c r="AC3963">
        <v>0.61950000000001604</v>
      </c>
      <c r="AD3963">
        <v>-0.22729919999999901</v>
      </c>
      <c r="AE3963">
        <v>-0.21940000000000001</v>
      </c>
      <c r="AF3963">
        <v>0.13964596976483701</v>
      </c>
      <c r="AG3963">
        <v>-0.22729919999999901</v>
      </c>
      <c r="AH3963">
        <v>0.57013628480360901</v>
      </c>
      <c r="AI3963">
        <v>111.16784309552099</v>
      </c>
      <c r="AJ3963">
        <v>76.237246944818395</v>
      </c>
      <c r="AK3963">
        <v>0.62946112385266795</v>
      </c>
    </row>
    <row r="3964" spans="1:37" x14ac:dyDescent="0.2">
      <c r="A3964" t="str">
        <f>"20200111154144562"</f>
        <v>20200111154144562</v>
      </c>
      <c r="B3964" t="str">
        <f>"1578728504559836"</f>
        <v>1578728504559836</v>
      </c>
      <c r="C3964" t="s">
        <v>37</v>
      </c>
      <c r="D3964">
        <v>5.4409769999999904</v>
      </c>
      <c r="E3964">
        <v>0.63066460000000002</v>
      </c>
      <c r="F3964" t="s">
        <v>38</v>
      </c>
      <c r="G3964">
        <v>-385.54</v>
      </c>
      <c r="H3964">
        <v>0.86147799999999997</v>
      </c>
      <c r="I3964">
        <v>18.008620000000001</v>
      </c>
      <c r="J3964">
        <v>-386.17079999999999</v>
      </c>
      <c r="K3964">
        <v>1.111772</v>
      </c>
      <c r="L3964">
        <v>18.24503</v>
      </c>
      <c r="M3964">
        <v>0.99515560000000003</v>
      </c>
      <c r="N3964">
        <v>0</v>
      </c>
      <c r="O3964">
        <v>-9.800702E-2</v>
      </c>
      <c r="P3964">
        <v>0.99753930000000002</v>
      </c>
      <c r="Q3964">
        <v>4.0182799999999998E-2</v>
      </c>
      <c r="R3964">
        <v>5.7451000000000002E-2</v>
      </c>
      <c r="S3964">
        <v>3.0923769999999999</v>
      </c>
      <c r="T3964">
        <v>-0.86852109999999905</v>
      </c>
      <c r="U3964">
        <v>-0.90335080000000001</v>
      </c>
      <c r="V3964">
        <v>-0.1551756</v>
      </c>
      <c r="W3964">
        <v>4.7071050000000003E-2</v>
      </c>
      <c r="X3964">
        <v>0.9867648</v>
      </c>
      <c r="Y3964">
        <v>0.18198929999999999</v>
      </c>
      <c r="Z3964">
        <v>1.772385E-3</v>
      </c>
      <c r="AA3964">
        <v>0.98329889999999998</v>
      </c>
      <c r="AB3964">
        <v>32</v>
      </c>
      <c r="AC3964">
        <v>0.63079999999996506</v>
      </c>
      <c r="AD3964">
        <v>-0.25029399999999902</v>
      </c>
      <c r="AE3964">
        <v>-0.23640999999999901</v>
      </c>
      <c r="AF3964">
        <v>0.152407214552052</v>
      </c>
      <c r="AG3964">
        <v>-0.25029399999999902</v>
      </c>
      <c r="AH3964">
        <v>0.57197242614861998</v>
      </c>
      <c r="AI3964">
        <v>112.92079688251999</v>
      </c>
      <c r="AJ3964">
        <v>75.079690587103997</v>
      </c>
      <c r="AK3964">
        <v>0.64267215729161098</v>
      </c>
    </row>
    <row r="3965" spans="1:37" x14ac:dyDescent="0.2">
      <c r="A3965" t="str">
        <f>"20200111154144576"</f>
        <v>20200111154144576</v>
      </c>
      <c r="B3965" t="str">
        <f>"1578728504570572"</f>
        <v>1578728504570572</v>
      </c>
      <c r="C3965" t="s">
        <v>37</v>
      </c>
      <c r="D3965">
        <v>5.4516200000000001</v>
      </c>
      <c r="E3965">
        <v>0.63062240000000003</v>
      </c>
      <c r="F3965" t="s">
        <v>38</v>
      </c>
      <c r="G3965">
        <v>-385.50990000000002</v>
      </c>
      <c r="H3965">
        <v>0.9260195</v>
      </c>
      <c r="I3965">
        <v>18.053279999999901</v>
      </c>
      <c r="J3965">
        <v>-385.97649999999999</v>
      </c>
      <c r="K3965">
        <v>1.111775</v>
      </c>
      <c r="L3965">
        <v>18.22729</v>
      </c>
      <c r="M3965">
        <v>0.99530099999999999</v>
      </c>
      <c r="N3965">
        <v>0</v>
      </c>
      <c r="O3965">
        <v>-9.6524680000000002E-2</v>
      </c>
      <c r="P3965">
        <v>0.99745119999999898</v>
      </c>
      <c r="Q3965">
        <v>4.0205930000000001E-2</v>
      </c>
      <c r="R3965">
        <v>5.8948210000000001E-2</v>
      </c>
      <c r="S3965">
        <v>3.094055</v>
      </c>
      <c r="T3965">
        <v>-0.86991269999999998</v>
      </c>
      <c r="U3965">
        <v>-0.89611819999999898</v>
      </c>
      <c r="V3965">
        <v>-0.1551872</v>
      </c>
      <c r="W3965">
        <v>4.7017699999999898E-2</v>
      </c>
      <c r="X3965">
        <v>0.98676559999999902</v>
      </c>
      <c r="Y3965">
        <v>0.18115789999999901</v>
      </c>
      <c r="Z3965">
        <v>1.49105299999999E-3</v>
      </c>
      <c r="AA3965">
        <v>0.98345289999999996</v>
      </c>
      <c r="AB3965">
        <v>32</v>
      </c>
      <c r="AC3965">
        <v>0.46659999999997098</v>
      </c>
      <c r="AD3965">
        <v>-0.18575549999999999</v>
      </c>
      <c r="AE3965">
        <v>-0.174010000000002</v>
      </c>
      <c r="AF3965">
        <v>0.11250426216232901</v>
      </c>
      <c r="AG3965">
        <v>-0.18575549999999999</v>
      </c>
      <c r="AH3965">
        <v>0.422441011387022</v>
      </c>
      <c r="AI3965">
        <v>113.021072565984</v>
      </c>
      <c r="AJ3965">
        <v>75.087157158491095</v>
      </c>
      <c r="AK3965">
        <v>0.47499339246628502</v>
      </c>
    </row>
    <row r="3966" spans="1:37" x14ac:dyDescent="0.2">
      <c r="A3966" t="str">
        <f>"20200111154144590"</f>
        <v>20200111154144590</v>
      </c>
      <c r="B3966" t="str">
        <f>"1578728504580332"</f>
        <v>1578728504580332</v>
      </c>
      <c r="C3966" t="s">
        <v>37</v>
      </c>
      <c r="D3966">
        <v>5.4195779999999996</v>
      </c>
      <c r="E3966">
        <v>0.63055380000000005</v>
      </c>
      <c r="F3966" t="s">
        <v>38</v>
      </c>
      <c r="G3966">
        <v>-385.23680000000002</v>
      </c>
      <c r="H3966">
        <v>0.90376290000000004</v>
      </c>
      <c r="I3966">
        <v>18.014220000000002</v>
      </c>
      <c r="J3966">
        <v>-385.79090000000002</v>
      </c>
      <c r="K3966">
        <v>1.1117790000000001</v>
      </c>
      <c r="L3966">
        <v>18.210599999999999</v>
      </c>
      <c r="M3966">
        <v>0.99543789999999999</v>
      </c>
      <c r="N3966">
        <v>0</v>
      </c>
      <c r="O3966">
        <v>-9.5108990000000004E-2</v>
      </c>
      <c r="P3966">
        <v>0.99734940000000005</v>
      </c>
      <c r="Q3966">
        <v>4.0516910000000003E-2</v>
      </c>
      <c r="R3966">
        <v>6.043751E-2</v>
      </c>
      <c r="S3966">
        <v>3.0954280000000001</v>
      </c>
      <c r="T3966">
        <v>-0.87058530000000001</v>
      </c>
      <c r="U3966">
        <v>-0.89102169999999903</v>
      </c>
      <c r="V3966">
        <v>-0.1552579</v>
      </c>
      <c r="W3966">
        <v>4.7260150000000001E-2</v>
      </c>
      <c r="X3966">
        <v>0.98674289999999998</v>
      </c>
      <c r="Y3966">
        <v>0.18089949999999999</v>
      </c>
      <c r="Z3966">
        <v>1.147967E-3</v>
      </c>
      <c r="AA3966">
        <v>0.98350090000000001</v>
      </c>
      <c r="AB3966">
        <v>32</v>
      </c>
      <c r="AC3966">
        <v>0.55410000000000503</v>
      </c>
      <c r="AD3966">
        <v>-0.20801610000000001</v>
      </c>
      <c r="AE3966">
        <v>-0.196379999999997</v>
      </c>
      <c r="AF3966">
        <v>0.12689954631094599</v>
      </c>
      <c r="AG3966">
        <v>-0.20801610000000001</v>
      </c>
      <c r="AH3966">
        <v>0.50680971244099804</v>
      </c>
      <c r="AI3966">
        <v>111.710022380496</v>
      </c>
      <c r="AJ3966">
        <v>75.942784731038998</v>
      </c>
      <c r="AK3966">
        <v>0.56234355810097203</v>
      </c>
    </row>
    <row r="3967" spans="1:37" x14ac:dyDescent="0.2">
      <c r="A3967" t="str">
        <f>"20200111154144609"</f>
        <v>20200111154144609</v>
      </c>
      <c r="B3967" t="str">
        <f>"1578728504599854"</f>
        <v>1578728504599854</v>
      </c>
      <c r="C3967" t="s">
        <v>37</v>
      </c>
      <c r="D3967">
        <v>5.4552490000000002</v>
      </c>
      <c r="E3967">
        <v>0.63047169999999997</v>
      </c>
      <c r="F3967" t="s">
        <v>38</v>
      </c>
      <c r="G3967">
        <v>-384.96379999999999</v>
      </c>
      <c r="H3967">
        <v>0.8793858</v>
      </c>
      <c r="I3967">
        <v>17.973679999999899</v>
      </c>
      <c r="J3967">
        <v>-385.5136</v>
      </c>
      <c r="K3967">
        <v>1.111788</v>
      </c>
      <c r="L3967">
        <v>18.186070000000001</v>
      </c>
      <c r="M3967">
        <v>0.99563829999999998</v>
      </c>
      <c r="N3967">
        <v>0</v>
      </c>
      <c r="O3967">
        <v>-9.2994590000000002E-2</v>
      </c>
      <c r="P3967">
        <v>0.99717900000000004</v>
      </c>
      <c r="Q3967">
        <v>4.1176879999999999E-2</v>
      </c>
      <c r="R3967">
        <v>6.2757919999999995E-2</v>
      </c>
      <c r="S3967">
        <v>3.0969849999999899</v>
      </c>
      <c r="T3967">
        <v>-0.87039029999999995</v>
      </c>
      <c r="U3967">
        <v>-0.8859863</v>
      </c>
      <c r="V3967">
        <v>-0.15545980000000001</v>
      </c>
      <c r="W3967">
        <v>4.7825979999999997E-2</v>
      </c>
      <c r="X3967">
        <v>0.9866838</v>
      </c>
      <c r="Y3967">
        <v>0.18129149999999999</v>
      </c>
      <c r="Z3967">
        <v>5.2838959999999997E-4</v>
      </c>
      <c r="AA3967">
        <v>0.98342929999999995</v>
      </c>
      <c r="AB3967">
        <v>32</v>
      </c>
      <c r="AC3967">
        <v>0.54980000000000395</v>
      </c>
      <c r="AD3967">
        <v>-0.2324022</v>
      </c>
      <c r="AE3967">
        <v>-0.21239000000000199</v>
      </c>
      <c r="AF3967">
        <v>0.13876505902268699</v>
      </c>
      <c r="AG3967">
        <v>-0.2324022</v>
      </c>
      <c r="AH3967">
        <v>0.49085310692448397</v>
      </c>
      <c r="AI3967">
        <v>114.494463808289</v>
      </c>
      <c r="AJ3967">
        <v>74.214306633120799</v>
      </c>
      <c r="AK3967">
        <v>0.56053839899495606</v>
      </c>
    </row>
    <row r="3968" spans="1:37" x14ac:dyDescent="0.2">
      <c r="A3968" t="str">
        <f>"20200111154144621"</f>
        <v>20200111154144621</v>
      </c>
      <c r="B3968" t="str">
        <f>"1578728504610588"</f>
        <v>1578728504610588</v>
      </c>
      <c r="C3968" t="s">
        <v>37</v>
      </c>
      <c r="D3968">
        <v>5.4732510000000003</v>
      </c>
      <c r="E3968">
        <v>0.63040319999999905</v>
      </c>
      <c r="F3968" t="s">
        <v>38</v>
      </c>
      <c r="G3968">
        <v>-384.67939999999999</v>
      </c>
      <c r="H3968">
        <v>0.87784359999999995</v>
      </c>
      <c r="I3968">
        <v>17.949539999999999</v>
      </c>
      <c r="J3968">
        <v>-385.32819999999998</v>
      </c>
      <c r="K3968">
        <v>1.111793</v>
      </c>
      <c r="L3968">
        <v>18.169979999999999</v>
      </c>
      <c r="M3968">
        <v>0.99576960000000003</v>
      </c>
      <c r="N3968">
        <v>0</v>
      </c>
      <c r="O3968">
        <v>-9.158202E-2</v>
      </c>
      <c r="P3968">
        <v>0.99706240000000002</v>
      </c>
      <c r="Q3968">
        <v>4.1792580000000003E-2</v>
      </c>
      <c r="R3968">
        <v>6.4188910000000002E-2</v>
      </c>
      <c r="S3968">
        <v>3.0996700000000001</v>
      </c>
      <c r="T3968">
        <v>-0.86937209999999998</v>
      </c>
      <c r="U3968">
        <v>-0.87786869999999995</v>
      </c>
      <c r="V3968">
        <v>-0.155477799999999</v>
      </c>
      <c r="W3968">
        <v>4.8385150000000002E-2</v>
      </c>
      <c r="X3968">
        <v>0.98665369999999997</v>
      </c>
      <c r="Y3968">
        <v>0.18007989999999999</v>
      </c>
      <c r="Z3968">
        <v>3.1396929999999998E-4</v>
      </c>
      <c r="AA3968">
        <v>0.98365190000000002</v>
      </c>
      <c r="AB3968">
        <v>32</v>
      </c>
      <c r="AC3968">
        <v>0.64879999999999405</v>
      </c>
      <c r="AD3968">
        <v>-0.2339494</v>
      </c>
      <c r="AE3968">
        <v>-0.22044</v>
      </c>
      <c r="AF3968">
        <v>0.14338009917674099</v>
      </c>
      <c r="AG3968">
        <v>-0.2339494</v>
      </c>
      <c r="AH3968">
        <v>0.59670595794841497</v>
      </c>
      <c r="AI3968">
        <v>110.86771355622901</v>
      </c>
      <c r="AJ3968">
        <v>76.488772562401493</v>
      </c>
      <c r="AK3968">
        <v>0.65677102162886902</v>
      </c>
    </row>
    <row r="3969" spans="1:37" x14ac:dyDescent="0.2">
      <c r="A3969" t="str">
        <f>"20200111154144641"</f>
        <v>20200111154144641</v>
      </c>
      <c r="B3969" t="str">
        <f>"1578728504630275"</f>
        <v>1578728504630275</v>
      </c>
      <c r="C3969" t="s">
        <v>37</v>
      </c>
      <c r="D3969">
        <v>5.4712360000000002</v>
      </c>
      <c r="E3969">
        <v>0.63031340000000002</v>
      </c>
      <c r="F3969" t="s">
        <v>38</v>
      </c>
      <c r="G3969">
        <v>-384.65800000000002</v>
      </c>
      <c r="H3969">
        <v>0.92425009999999996</v>
      </c>
      <c r="I3969">
        <v>17.981069999999999</v>
      </c>
      <c r="J3969">
        <v>-385.0471</v>
      </c>
      <c r="K3969">
        <v>1.1117999999999999</v>
      </c>
      <c r="L3969">
        <v>18.146179999999902</v>
      </c>
      <c r="M3969">
        <v>0.99596489999999904</v>
      </c>
      <c r="N3969">
        <v>0</v>
      </c>
      <c r="O3969">
        <v>-8.9439859999999996E-2</v>
      </c>
      <c r="P3969">
        <v>0.99686049999999904</v>
      </c>
      <c r="Q3969">
        <v>4.313517E-2</v>
      </c>
      <c r="R3969">
        <v>6.6395659999999995E-2</v>
      </c>
      <c r="S3969">
        <v>3.10141</v>
      </c>
      <c r="T3969">
        <v>-0.86793129999999996</v>
      </c>
      <c r="U3969">
        <v>-0.87292479999999995</v>
      </c>
      <c r="V3969">
        <v>-0.1555415</v>
      </c>
      <c r="W3969">
        <v>4.9647249999999997E-2</v>
      </c>
      <c r="X3969">
        <v>0.98658099999999904</v>
      </c>
      <c r="Y3969">
        <v>0.18051789999999901</v>
      </c>
      <c r="Z3969">
        <v>-3.17499E-4</v>
      </c>
      <c r="AA3969">
        <v>0.98357159999999999</v>
      </c>
      <c r="AB3969">
        <v>32</v>
      </c>
      <c r="AC3969">
        <v>0.38909999999998401</v>
      </c>
      <c r="AD3969">
        <v>-0.18754989999999899</v>
      </c>
      <c r="AE3969">
        <v>-0.16510999999999401</v>
      </c>
      <c r="AF3969">
        <v>0.108319986205084</v>
      </c>
      <c r="AG3969">
        <v>-0.18754989999999899</v>
      </c>
      <c r="AH3969">
        <v>0.336130296386769</v>
      </c>
      <c r="AI3969">
        <v>117.971572440678</v>
      </c>
      <c r="AJ3969">
        <v>72.138155531419002</v>
      </c>
      <c r="AK3969">
        <v>0.39986467779804802</v>
      </c>
    </row>
    <row r="3970" spans="1:37" x14ac:dyDescent="0.2">
      <c r="A3970" t="str">
        <f>"20200111154144654"</f>
        <v>20200111154144654</v>
      </c>
      <c r="B3970" t="str">
        <f>"1578728504649796"</f>
        <v>1578728504649796</v>
      </c>
      <c r="C3970" t="s">
        <v>37</v>
      </c>
      <c r="D3970">
        <v>5.493239</v>
      </c>
      <c r="E3970">
        <v>0.63030209999999998</v>
      </c>
      <c r="F3970" t="s">
        <v>38</v>
      </c>
      <c r="G3970">
        <v>-384.37220000000002</v>
      </c>
      <c r="H3970">
        <v>0.92393359999999902</v>
      </c>
      <c r="I3970">
        <v>17.957619999999999</v>
      </c>
      <c r="J3970">
        <v>-384.86709999999999</v>
      </c>
      <c r="K3970">
        <v>1.111804</v>
      </c>
      <c r="L3970">
        <v>18.13129</v>
      </c>
      <c r="M3970">
        <v>0.99608739999999996</v>
      </c>
      <c r="N3970">
        <v>0</v>
      </c>
      <c r="O3970">
        <v>-8.8068309999999997E-2</v>
      </c>
      <c r="P3970">
        <v>0.99673080000000003</v>
      </c>
      <c r="Q3970">
        <v>4.3786430000000001E-2</v>
      </c>
      <c r="R3970">
        <v>6.7900650000000007E-2</v>
      </c>
      <c r="S3970">
        <v>3.104492</v>
      </c>
      <c r="T3970">
        <v>-0.86443199999999998</v>
      </c>
      <c r="U3970">
        <v>-0.86557009999999901</v>
      </c>
      <c r="V3970">
        <v>-0.15567420000000001</v>
      </c>
      <c r="W3970">
        <v>5.0247779999999999E-2</v>
      </c>
      <c r="X3970">
        <v>0.98652960000000001</v>
      </c>
      <c r="Y3970">
        <v>0.1794733</v>
      </c>
      <c r="Z3970">
        <v>-5.4008140000000001E-4</v>
      </c>
      <c r="AA3970">
        <v>0.98376269999999999</v>
      </c>
      <c r="AB3970">
        <v>32</v>
      </c>
      <c r="AC3970">
        <v>0.49489999999997197</v>
      </c>
      <c r="AD3970">
        <v>-0.18787039999999999</v>
      </c>
      <c r="AE3970">
        <v>-0.17366999999999699</v>
      </c>
      <c r="AF3970">
        <v>0.11469317983850499</v>
      </c>
      <c r="AG3970">
        <v>-0.18787039999999999</v>
      </c>
      <c r="AH3970">
        <v>0.45047377834489999</v>
      </c>
      <c r="AI3970">
        <v>112.006432483015</v>
      </c>
      <c r="AJ3970">
        <v>75.715663958295195</v>
      </c>
      <c r="AK3970">
        <v>0.50137454829095296</v>
      </c>
    </row>
    <row r="3971" spans="1:37" x14ac:dyDescent="0.2">
      <c r="A3971" t="str">
        <f>"20200111154144667"</f>
        <v>20200111154144667</v>
      </c>
      <c r="B3971" t="str">
        <f>"1578728504660097"</f>
        <v>1578728504660097</v>
      </c>
      <c r="C3971" t="s">
        <v>37</v>
      </c>
      <c r="D3971">
        <v>5.6531949999999904</v>
      </c>
      <c r="E3971">
        <v>0.63030209999999998</v>
      </c>
      <c r="F3971" t="s">
        <v>38</v>
      </c>
      <c r="G3971">
        <v>-384.09739999999999</v>
      </c>
      <c r="H3971">
        <v>0.89788880000000004</v>
      </c>
      <c r="I3971">
        <v>17.91798</v>
      </c>
      <c r="J3971">
        <v>-384.67939999999999</v>
      </c>
      <c r="K3971">
        <v>1.1118079999999999</v>
      </c>
      <c r="L3971">
        <v>18.115939999999998</v>
      </c>
      <c r="M3971">
        <v>0.99621309999999996</v>
      </c>
      <c r="N3971">
        <v>0</v>
      </c>
      <c r="O3971">
        <v>-8.6639540000000001E-2</v>
      </c>
      <c r="P3971">
        <v>0.996602399999999</v>
      </c>
      <c r="Q3971">
        <v>4.4273409999999999E-2</v>
      </c>
      <c r="R3971">
        <v>6.9450869999999998E-2</v>
      </c>
      <c r="S3971">
        <v>3.1063839999999998</v>
      </c>
      <c r="T3971">
        <v>-0.86336440000000003</v>
      </c>
      <c r="U3971">
        <v>-0.86065669999999905</v>
      </c>
      <c r="V3971">
        <v>-0.15579489999999999</v>
      </c>
      <c r="W3971">
        <v>5.0682579999999998E-2</v>
      </c>
      <c r="X3971">
        <v>0.98648829999999998</v>
      </c>
      <c r="Y3971">
        <v>0.1792512</v>
      </c>
      <c r="Z3971">
        <v>-8.8864559999999996E-4</v>
      </c>
      <c r="AA3971">
        <v>0.98380290000000004</v>
      </c>
      <c r="AB3971">
        <v>32</v>
      </c>
      <c r="AC3971">
        <v>0.58199999999999297</v>
      </c>
      <c r="AD3971">
        <v>-0.213919199999999</v>
      </c>
      <c r="AE3971">
        <v>-0.197959999999998</v>
      </c>
      <c r="AF3971">
        <v>0.13093508334827</v>
      </c>
      <c r="AG3971">
        <v>-0.213919199999999</v>
      </c>
      <c r="AH3971">
        <v>0.53248442587547196</v>
      </c>
      <c r="AI3971">
        <v>111.311600916244</v>
      </c>
      <c r="AJ3971">
        <v>76.185351086107701</v>
      </c>
      <c r="AK3971">
        <v>0.58859585793648705</v>
      </c>
    </row>
    <row r="3972" spans="1:37" x14ac:dyDescent="0.2">
      <c r="A3972" t="str">
        <f>"20200111154144687"</f>
        <v>20200111154144687</v>
      </c>
      <c r="B3972" t="str">
        <f>"1578728504680593"</f>
        <v>1578728504680593</v>
      </c>
      <c r="C3972" t="s">
        <v>37</v>
      </c>
      <c r="D3972">
        <v>5.6792850000000001</v>
      </c>
      <c r="E3972">
        <v>0.62914599999999998</v>
      </c>
      <c r="F3972" t="s">
        <v>38</v>
      </c>
      <c r="G3972">
        <v>-383.82060000000001</v>
      </c>
      <c r="H3972">
        <v>0.87370820000000005</v>
      </c>
      <c r="I3972">
        <v>17.879159999999999</v>
      </c>
      <c r="J3972">
        <v>-384.40120000000002</v>
      </c>
      <c r="K3972">
        <v>1.1118139999999901</v>
      </c>
      <c r="L3972">
        <v>18.093720000000001</v>
      </c>
      <c r="M3972">
        <v>0.99639549999999999</v>
      </c>
      <c r="N3972">
        <v>0</v>
      </c>
      <c r="O3972">
        <v>-8.4522199999999895E-2</v>
      </c>
      <c r="P3972">
        <v>0.99637749999999903</v>
      </c>
      <c r="Q3972">
        <v>4.5555909999999998E-2</v>
      </c>
      <c r="R3972">
        <v>7.1810479999999996E-2</v>
      </c>
      <c r="S3972">
        <v>3.1081539999999999</v>
      </c>
      <c r="T3972">
        <v>-0.86186839999999998</v>
      </c>
      <c r="U3972">
        <v>-0.85580440000000002</v>
      </c>
      <c r="V3972">
        <v>-0.15603689999999901</v>
      </c>
      <c r="W3972">
        <v>5.1889299999999999E-2</v>
      </c>
      <c r="X3972">
        <v>0.98638740000000003</v>
      </c>
      <c r="Y3972">
        <v>0.17969289999999999</v>
      </c>
      <c r="Z3972">
        <v>-1.5070400000000001E-3</v>
      </c>
      <c r="AA3972">
        <v>0.98372159999999997</v>
      </c>
      <c r="AB3972">
        <v>32</v>
      </c>
      <c r="AC3972">
        <v>0.580600000000004</v>
      </c>
      <c r="AD3972">
        <v>-0.23810579999999901</v>
      </c>
      <c r="AE3972">
        <v>-0.214560000000002</v>
      </c>
      <c r="AF3972">
        <v>0.14348498594636</v>
      </c>
      <c r="AG3972">
        <v>-0.23810579999999901</v>
      </c>
      <c r="AH3972">
        <v>0.51974767253249998</v>
      </c>
      <c r="AI3972">
        <v>113.826218248456</v>
      </c>
      <c r="AJ3972">
        <v>74.566947872476305</v>
      </c>
      <c r="AK3972">
        <v>0.58942341002764498</v>
      </c>
    </row>
    <row r="3973" spans="1:37" x14ac:dyDescent="0.2">
      <c r="A3973" t="str">
        <f>"20200111154144700"</f>
        <v>20200111154144700</v>
      </c>
      <c r="B3973" t="str">
        <f>"1578728504690352"</f>
        <v>1578728504690352</v>
      </c>
      <c r="C3973" t="s">
        <v>37</v>
      </c>
      <c r="D3973">
        <v>5.8130839999999999</v>
      </c>
      <c r="E3973">
        <v>0.62914599999999998</v>
      </c>
      <c r="F3973" t="s">
        <v>38</v>
      </c>
      <c r="G3973">
        <v>-383.53250000000003</v>
      </c>
      <c r="H3973">
        <v>0.87239270000000002</v>
      </c>
      <c r="I3973">
        <v>17.859189999999899</v>
      </c>
      <c r="J3973">
        <v>-384.19709999999998</v>
      </c>
      <c r="K3973">
        <v>1.111815</v>
      </c>
      <c r="L3973">
        <v>18.07779</v>
      </c>
      <c r="M3973">
        <v>0.99652649999999998</v>
      </c>
      <c r="N3973">
        <v>0</v>
      </c>
      <c r="O3973">
        <v>-8.2968500000000001E-2</v>
      </c>
      <c r="P3973">
        <v>0.99623729999999999</v>
      </c>
      <c r="Q3973">
        <v>4.6001609999999998E-2</v>
      </c>
      <c r="R3973">
        <v>7.3454259999999993E-2</v>
      </c>
      <c r="S3973">
        <v>3.1106259999999999</v>
      </c>
      <c r="T3973">
        <v>-0.85737839999999998</v>
      </c>
      <c r="U3973">
        <v>-0.83920289999999997</v>
      </c>
      <c r="V3973">
        <v>-0.15612779999999901</v>
      </c>
      <c r="W3973">
        <v>5.2280729999999997E-2</v>
      </c>
      <c r="X3973">
        <v>0.98635229999999996</v>
      </c>
      <c r="Y3973">
        <v>0.1762357</v>
      </c>
      <c r="Z3973">
        <v>-1.4482659999999999E-3</v>
      </c>
      <c r="AA3973">
        <v>0.98434690000000002</v>
      </c>
      <c r="AB3973">
        <v>32</v>
      </c>
      <c r="AC3973">
        <v>0.66459999999995001</v>
      </c>
      <c r="AD3973">
        <v>-0.2394223</v>
      </c>
      <c r="AE3973">
        <v>-0.21860000000000199</v>
      </c>
      <c r="AF3973">
        <v>0.14564720483089399</v>
      </c>
      <c r="AG3973">
        <v>-0.2394223</v>
      </c>
      <c r="AH3973">
        <v>0.60911249676426604</v>
      </c>
      <c r="AI3973">
        <v>110.921382864036</v>
      </c>
      <c r="AJ3973">
        <v>76.552286402862507</v>
      </c>
      <c r="AK3973">
        <v>0.67048801609480002</v>
      </c>
    </row>
    <row r="3974" spans="1:37" x14ac:dyDescent="0.2">
      <c r="A3974" t="str">
        <f>"20200111154144720"</f>
        <v>20200111154144720</v>
      </c>
      <c r="B3974" t="str">
        <f>"1578728504709874"</f>
        <v>1578728504709874</v>
      </c>
      <c r="C3974" t="s">
        <v>37</v>
      </c>
      <c r="D3974">
        <v>5.5332239999999997</v>
      </c>
      <c r="E3974">
        <v>0.50289609999999996</v>
      </c>
      <c r="F3974" t="s">
        <v>38</v>
      </c>
      <c r="G3974">
        <v>-383.50959999999998</v>
      </c>
      <c r="H3974">
        <v>0.92276930000000001</v>
      </c>
      <c r="I3974">
        <v>17.893409999999999</v>
      </c>
      <c r="J3974">
        <v>-383.91570000000002</v>
      </c>
      <c r="K3974">
        <v>1.1118110000000001</v>
      </c>
      <c r="L3974">
        <v>18.056370000000001</v>
      </c>
      <c r="M3974">
        <v>0.9967028</v>
      </c>
      <c r="N3974">
        <v>0</v>
      </c>
      <c r="O3974">
        <v>-8.0829460000000006E-2</v>
      </c>
      <c r="P3974">
        <v>0.99604919999999997</v>
      </c>
      <c r="Q3974">
        <v>4.6754459999999998E-2</v>
      </c>
      <c r="R3974">
        <v>7.5501139999999994E-2</v>
      </c>
      <c r="S3974">
        <v>3.1123660000000002</v>
      </c>
      <c r="T3974">
        <v>-0.85599950000000002</v>
      </c>
      <c r="U3974">
        <v>-0.834014899999999</v>
      </c>
      <c r="V3974">
        <v>-0.15603889999999901</v>
      </c>
      <c r="W3974">
        <v>5.2964039999999997E-2</v>
      </c>
      <c r="X3974">
        <v>0.98632989999999998</v>
      </c>
      <c r="Y3974">
        <v>0.17660379999999901</v>
      </c>
      <c r="Z3974">
        <v>-2.057709E-3</v>
      </c>
      <c r="AA3974">
        <v>0.98427989999999999</v>
      </c>
      <c r="AB3974">
        <v>32</v>
      </c>
      <c r="AC3974">
        <v>0.40610000000003699</v>
      </c>
      <c r="AD3974">
        <v>-0.18904170000000001</v>
      </c>
      <c r="AE3974">
        <v>-0.16296000000000099</v>
      </c>
      <c r="AF3974">
        <v>0.10921675670707499</v>
      </c>
      <c r="AG3974">
        <v>-0.18904170000000001</v>
      </c>
      <c r="AH3974">
        <v>0.35220712423074502</v>
      </c>
      <c r="AI3974">
        <v>117.14205691884401</v>
      </c>
      <c r="AJ3974">
        <v>72.771733333374698</v>
      </c>
      <c r="AK3974">
        <v>0.41438499326519301</v>
      </c>
    </row>
    <row r="3975" spans="1:37" x14ac:dyDescent="0.2">
      <c r="A3975" t="str">
        <f>"20200111154144734"</f>
        <v>20200111154144734</v>
      </c>
      <c r="B3975" t="str">
        <f>"1578728504730370"</f>
        <v>1578728504730370</v>
      </c>
      <c r="C3975" t="s">
        <v>37</v>
      </c>
      <c r="D3975">
        <v>5.539892</v>
      </c>
      <c r="E3975">
        <v>0.49969380000000002</v>
      </c>
      <c r="F3975" t="s">
        <v>50</v>
      </c>
      <c r="G3975">
        <v>-276.82490000000001</v>
      </c>
      <c r="H3975">
        <v>2.2304219999999999</v>
      </c>
      <c r="I3975">
        <v>25.22813</v>
      </c>
      <c r="J3975">
        <v>-383.72460000000001</v>
      </c>
      <c r="K3975">
        <v>1.1118079999999999</v>
      </c>
      <c r="L3975">
        <v>18.042210000000001</v>
      </c>
      <c r="M3975">
        <v>0.99681980000000003</v>
      </c>
      <c r="N3975">
        <v>0</v>
      </c>
      <c r="O3975">
        <v>-7.9376619999999995E-2</v>
      </c>
      <c r="P3975">
        <v>0.99594519999999997</v>
      </c>
      <c r="Q3975">
        <v>4.6659949999999999E-2</v>
      </c>
      <c r="R3975">
        <v>7.6919189999999998E-2</v>
      </c>
      <c r="S3975">
        <v>2.9952700000000001</v>
      </c>
      <c r="T3975">
        <v>3.1286719999999997E-2</v>
      </c>
      <c r="U3975">
        <v>0.20059199999999999</v>
      </c>
      <c r="V3975">
        <v>-0.15600620000000001</v>
      </c>
      <c r="W3975">
        <v>5.2822139999999997E-2</v>
      </c>
      <c r="X3975">
        <v>0.98634270000000002</v>
      </c>
      <c r="Y3975">
        <v>-0.14579800000000001</v>
      </c>
      <c r="Z3975">
        <v>-1.5886699999999999E-3</v>
      </c>
      <c r="AA3975">
        <v>0.98931309999999995</v>
      </c>
      <c r="AB3975">
        <v>32</v>
      </c>
      <c r="AC3975">
        <v>106.8997</v>
      </c>
      <c r="AD3975">
        <v>1.118614</v>
      </c>
      <c r="AE3975">
        <v>7.1859199999999896</v>
      </c>
      <c r="AF3975">
        <v>-15.6470869756902</v>
      </c>
      <c r="AG3975">
        <v>1.118614</v>
      </c>
      <c r="AH3975">
        <v>105.98042173008101</v>
      </c>
      <c r="AI3975">
        <v>89.401755186094505</v>
      </c>
      <c r="AJ3975">
        <v>98.3985502202123</v>
      </c>
      <c r="AK3975">
        <v>107.13511290978199</v>
      </c>
    </row>
    <row r="3976" spans="1:37" x14ac:dyDescent="0.2">
      <c r="A3976" t="str">
        <f>"20200111154144753"</f>
        <v>20200111154144753</v>
      </c>
      <c r="B3976" t="str">
        <f>"1578728504749889"</f>
        <v>1578728504749889</v>
      </c>
      <c r="C3976" t="s">
        <v>37</v>
      </c>
      <c r="D3976">
        <v>5.4497790000000004</v>
      </c>
      <c r="E3976">
        <v>0.49997720000000001</v>
      </c>
      <c r="F3976" t="s">
        <v>40</v>
      </c>
      <c r="G3976">
        <v>-307.90390000000002</v>
      </c>
      <c r="H3976">
        <v>-0.05</v>
      </c>
      <c r="I3976">
        <v>23.819269999999999</v>
      </c>
      <c r="J3976">
        <v>-383.44319999999999</v>
      </c>
      <c r="K3976">
        <v>1.1117999999999999</v>
      </c>
      <c r="L3976">
        <v>18.02176</v>
      </c>
      <c r="M3976">
        <v>0.99698809999999904</v>
      </c>
      <c r="N3976">
        <v>0</v>
      </c>
      <c r="O3976">
        <v>-7.7238669999999995E-2</v>
      </c>
      <c r="P3976">
        <v>0.99583349999999904</v>
      </c>
      <c r="Q3976">
        <v>4.6201010000000001E-2</v>
      </c>
      <c r="R3976">
        <v>7.8620549999999997E-2</v>
      </c>
      <c r="S3976">
        <v>2.9967349999999899</v>
      </c>
      <c r="T3976">
        <v>-4.5919300000000003E-2</v>
      </c>
      <c r="U3976">
        <v>0.22833249999999999</v>
      </c>
      <c r="V3976">
        <v>-0.15557589999999999</v>
      </c>
      <c r="W3976">
        <v>5.229549E-2</v>
      </c>
      <c r="X3976">
        <v>0.986438699999999</v>
      </c>
      <c r="Y3976">
        <v>-0.15273699999999901</v>
      </c>
      <c r="Z3976">
        <v>2.3502110000000001E-3</v>
      </c>
      <c r="AA3976">
        <v>0.98826409999999998</v>
      </c>
      <c r="AB3976">
        <v>33</v>
      </c>
      <c r="AC3976">
        <v>75.539299999999898</v>
      </c>
      <c r="AD3976">
        <v>-1.1617999999999999</v>
      </c>
      <c r="AE3976">
        <v>5.7975099999999902</v>
      </c>
      <c r="AF3976">
        <v>-11.612156894402901</v>
      </c>
      <c r="AG3976">
        <v>-1.1617999999999999</v>
      </c>
      <c r="AH3976">
        <v>74.848220903503702</v>
      </c>
      <c r="AI3976">
        <v>90.878767124162195</v>
      </c>
      <c r="AJ3976">
        <v>98.818718454158898</v>
      </c>
      <c r="AK3976">
        <v>75.752545431819797</v>
      </c>
    </row>
    <row r="3977" spans="1:37" x14ac:dyDescent="0.2">
      <c r="A3977" t="str">
        <f>"20200111154144767"</f>
        <v>20200111154144767</v>
      </c>
      <c r="B3977" t="str">
        <f>"1578728504760219"</f>
        <v>1578728504760219</v>
      </c>
      <c r="C3977" t="s">
        <v>37</v>
      </c>
      <c r="D3977">
        <v>5.4839659999999997</v>
      </c>
      <c r="E3977">
        <v>0.50020319999999996</v>
      </c>
      <c r="F3977" t="s">
        <v>39</v>
      </c>
      <c r="G3977">
        <v>-341.35919999999999</v>
      </c>
      <c r="H3977" s="1">
        <v>-4.1040180000000001E-6</v>
      </c>
      <c r="I3977">
        <v>21.254189999999902</v>
      </c>
      <c r="J3977">
        <v>-383.23599999999999</v>
      </c>
      <c r="K3977">
        <v>1.1117939999999999</v>
      </c>
      <c r="L3977">
        <v>18.007079999999998</v>
      </c>
      <c r="M3977">
        <v>0.99710919999999903</v>
      </c>
      <c r="N3977">
        <v>0</v>
      </c>
      <c r="O3977">
        <v>-7.5666380000000005E-2</v>
      </c>
      <c r="P3977">
        <v>0.99573989999999901</v>
      </c>
      <c r="Q3977">
        <v>4.6066679999999999E-2</v>
      </c>
      <c r="R3977">
        <v>7.9874870000000001E-2</v>
      </c>
      <c r="S3977">
        <v>2.9980769999999999</v>
      </c>
      <c r="T3977">
        <v>-7.9205269999999994E-2</v>
      </c>
      <c r="U3977">
        <v>0.23028560000000001</v>
      </c>
      <c r="V3977">
        <v>-0.15526319999999999</v>
      </c>
      <c r="W3977">
        <v>5.211358E-2</v>
      </c>
      <c r="X3977">
        <v>0.98649759999999997</v>
      </c>
      <c r="Y3977">
        <v>-0.15173299999999901</v>
      </c>
      <c r="Z3977">
        <v>3.9967830000000003E-3</v>
      </c>
      <c r="AA3977">
        <v>0.98841349999999994</v>
      </c>
      <c r="AB3977">
        <v>33</v>
      </c>
      <c r="AC3977">
        <v>41.876800000000003</v>
      </c>
      <c r="AD3977">
        <v>-1.1117981040180001</v>
      </c>
      <c r="AE3977">
        <v>3.2471100000000002</v>
      </c>
      <c r="AF3977">
        <v>-6.4020567643253896</v>
      </c>
      <c r="AG3977">
        <v>-1.1117981040180001</v>
      </c>
      <c r="AH3977">
        <v>41.481974115483197</v>
      </c>
      <c r="AI3977">
        <v>91.517316045784</v>
      </c>
      <c r="AJ3977">
        <v>98.773435517676802</v>
      </c>
      <c r="AK3977">
        <v>41.987814927135297</v>
      </c>
    </row>
    <row r="3978" spans="1:37" x14ac:dyDescent="0.2">
      <c r="A3978" t="str">
        <f>"20200111154144780"</f>
        <v>20200111154144780</v>
      </c>
      <c r="B3978" t="str">
        <f>"1578728504769979"</f>
        <v>1578728504769979</v>
      </c>
      <c r="C3978" t="s">
        <v>37</v>
      </c>
      <c r="D3978">
        <v>5.4602009999999996</v>
      </c>
      <c r="E3978">
        <v>0.50051619999999997</v>
      </c>
      <c r="F3978" t="s">
        <v>39</v>
      </c>
      <c r="G3978">
        <v>-347.28789999999998</v>
      </c>
      <c r="H3978" s="1">
        <v>-1.457438E-6</v>
      </c>
      <c r="I3978">
        <v>20.787569999999999</v>
      </c>
      <c r="J3978">
        <v>-383.03579999999999</v>
      </c>
      <c r="K3978">
        <v>1.111783</v>
      </c>
      <c r="L3978">
        <v>17.993189999999998</v>
      </c>
      <c r="M3978">
        <v>0.99722350000000004</v>
      </c>
      <c r="N3978">
        <v>0</v>
      </c>
      <c r="O3978">
        <v>-7.4147389999999994E-2</v>
      </c>
      <c r="P3978">
        <v>0.99566549999999998</v>
      </c>
      <c r="Q3978">
        <v>4.5242310000000001E-2</v>
      </c>
      <c r="R3978">
        <v>8.1261769999999997E-2</v>
      </c>
      <c r="S3978">
        <v>2.99850499999999</v>
      </c>
      <c r="T3978">
        <v>-9.2737199999999895E-2</v>
      </c>
      <c r="U3978">
        <v>0.23193359999999999</v>
      </c>
      <c r="V3978">
        <v>-0.155133299999999</v>
      </c>
      <c r="W3978">
        <v>5.1244999999999999E-2</v>
      </c>
      <c r="X3978">
        <v>0.98656359999999999</v>
      </c>
      <c r="Y3978">
        <v>-0.15072849999999999</v>
      </c>
      <c r="Z3978">
        <v>4.61619099999999E-3</v>
      </c>
      <c r="AA3978">
        <v>0.98856440000000001</v>
      </c>
      <c r="AB3978">
        <v>33</v>
      </c>
      <c r="AC3978">
        <v>35.747900000000001</v>
      </c>
      <c r="AD3978">
        <v>-1.111784457438</v>
      </c>
      <c r="AE3978">
        <v>2.7943799999999999</v>
      </c>
      <c r="AF3978">
        <v>-5.4321415600334202</v>
      </c>
      <c r="AG3978">
        <v>-1.111784457438</v>
      </c>
      <c r="AH3978">
        <v>35.408250212641398</v>
      </c>
      <c r="AI3978">
        <v>91.777656372889297</v>
      </c>
      <c r="AJ3978">
        <v>98.722004633505193</v>
      </c>
      <c r="AK3978">
        <v>35.839760179569602</v>
      </c>
    </row>
    <row r="3979" spans="1:37" x14ac:dyDescent="0.2">
      <c r="A3979" t="str">
        <f>"20200111154144799"</f>
        <v>20200111154144799</v>
      </c>
      <c r="B3979" t="str">
        <f>"1578728504790474"</f>
        <v>1578728504790474</v>
      </c>
      <c r="C3979" t="s">
        <v>37</v>
      </c>
      <c r="D3979">
        <v>5.409249</v>
      </c>
      <c r="E3979">
        <v>0.5010019</v>
      </c>
      <c r="F3979" t="s">
        <v>39</v>
      </c>
      <c r="G3979">
        <v>-351.75819999999999</v>
      </c>
      <c r="H3979" s="1">
        <v>-3.7332449999999999E-6</v>
      </c>
      <c r="I3979">
        <v>20.425179999999902</v>
      </c>
      <c r="J3979">
        <v>-382.77609999999999</v>
      </c>
      <c r="K3979">
        <v>1.111777</v>
      </c>
      <c r="L3979">
        <v>17.975709999999999</v>
      </c>
      <c r="M3979">
        <v>0.99736829999999999</v>
      </c>
      <c r="N3979">
        <v>0</v>
      </c>
      <c r="O3979">
        <v>-7.2178729999999997E-2</v>
      </c>
      <c r="P3979">
        <v>0.99557929999999994</v>
      </c>
      <c r="Q3979">
        <v>4.4363630000000001E-2</v>
      </c>
      <c r="R3979">
        <v>8.2788680000000003E-2</v>
      </c>
      <c r="S3979">
        <v>2.9988709999999998</v>
      </c>
      <c r="T3979">
        <v>-0.10659729999999901</v>
      </c>
      <c r="U3979">
        <v>0.2331848</v>
      </c>
      <c r="V3979">
        <v>-0.15469839999999899</v>
      </c>
      <c r="W3979">
        <v>5.0315890000000002E-2</v>
      </c>
      <c r="X3979">
        <v>0.98667969999999905</v>
      </c>
      <c r="Y3979">
        <v>-0.14914549999999999</v>
      </c>
      <c r="Z3979">
        <v>5.2070859999999997E-3</v>
      </c>
      <c r="AA3979">
        <v>0.988801499999999</v>
      </c>
      <c r="AB3979">
        <v>33</v>
      </c>
      <c r="AC3979">
        <v>31.017900000000001</v>
      </c>
      <c r="AD3979">
        <v>-1.111780733245</v>
      </c>
      <c r="AE3979">
        <v>2.44946999999999</v>
      </c>
      <c r="AF3979">
        <v>-4.6759955129862396</v>
      </c>
      <c r="AG3979">
        <v>-1.111780733245</v>
      </c>
      <c r="AH3979">
        <v>30.720965207783198</v>
      </c>
      <c r="AI3979">
        <v>92.049030193094794</v>
      </c>
      <c r="AJ3979">
        <v>98.65448496034</v>
      </c>
      <c r="AK3979">
        <v>31.094673076495098</v>
      </c>
    </row>
    <row r="3980" spans="1:37" x14ac:dyDescent="0.2">
      <c r="A3980" t="str">
        <f>"20200111154144811"</f>
        <v>20200111154144811</v>
      </c>
      <c r="B3980" t="str">
        <f>"1578728504800235"</f>
        <v>1578728504800235</v>
      </c>
      <c r="C3980" t="s">
        <v>37</v>
      </c>
      <c r="D3980">
        <v>5.3981839999999996</v>
      </c>
      <c r="E3980">
        <v>0.50108240000000004</v>
      </c>
      <c r="F3980" t="s">
        <v>39</v>
      </c>
      <c r="G3980">
        <v>-356.23869999999999</v>
      </c>
      <c r="H3980" s="1">
        <v>-1.708599E-6</v>
      </c>
      <c r="I3980">
        <v>20.039750000000002</v>
      </c>
      <c r="J3980">
        <v>-382.57819999999998</v>
      </c>
      <c r="K3980">
        <v>1.111772</v>
      </c>
      <c r="L3980">
        <v>17.962710000000001</v>
      </c>
      <c r="M3980">
        <v>0.99747569999999997</v>
      </c>
      <c r="N3980">
        <v>0</v>
      </c>
      <c r="O3980">
        <v>-7.0679279999999997E-2</v>
      </c>
      <c r="P3980">
        <v>0.99548510000000001</v>
      </c>
      <c r="Q3980">
        <v>4.4018769999999999E-2</v>
      </c>
      <c r="R3980">
        <v>8.4094119999999994E-2</v>
      </c>
      <c r="S3980">
        <v>2.99951199999999</v>
      </c>
      <c r="T3980">
        <v>-0.125664</v>
      </c>
      <c r="U3980">
        <v>0.23330689999999901</v>
      </c>
      <c r="V3980">
        <v>-0.15450849999999999</v>
      </c>
      <c r="W3980">
        <v>4.9932509999999999E-2</v>
      </c>
      <c r="X3980">
        <v>0.98672890000000002</v>
      </c>
      <c r="Y3980">
        <v>-0.14763099999999901</v>
      </c>
      <c r="Z3980">
        <v>6.0420639999999998E-3</v>
      </c>
      <c r="AA3980">
        <v>0.98902400000000001</v>
      </c>
      <c r="AB3980">
        <v>33</v>
      </c>
      <c r="AC3980">
        <v>26.339499999999902</v>
      </c>
      <c r="AD3980">
        <v>-1.111773708599</v>
      </c>
      <c r="AE3980">
        <v>2.0770400000000002</v>
      </c>
      <c r="AF3980">
        <v>-3.9265931018246398</v>
      </c>
      <c r="AG3980">
        <v>-1.111773708599</v>
      </c>
      <c r="AH3980">
        <v>26.080638233710602</v>
      </c>
      <c r="AI3980">
        <v>92.413774233292003</v>
      </c>
      <c r="AJ3980">
        <v>98.561911071481902</v>
      </c>
      <c r="AK3980">
        <v>26.397989787938702</v>
      </c>
    </row>
    <row r="3981" spans="1:37" x14ac:dyDescent="0.2">
      <c r="A3981" t="str">
        <f>"20200111154144825"</f>
        <v>20200111154144825</v>
      </c>
      <c r="B3981" t="str">
        <f>"1578728504819755"</f>
        <v>1578728504819755</v>
      </c>
      <c r="C3981" t="s">
        <v>37</v>
      </c>
      <c r="D3981">
        <v>5.3833760000000002</v>
      </c>
      <c r="E3981">
        <v>0.50151029999999996</v>
      </c>
      <c r="F3981" t="s">
        <v>39</v>
      </c>
      <c r="G3981">
        <v>-357.62099999999998</v>
      </c>
      <c r="H3981" s="1">
        <v>-1.0862319999999999E-6</v>
      </c>
      <c r="I3981">
        <v>19.929459999999999</v>
      </c>
      <c r="J3981">
        <v>-382.38490000000002</v>
      </c>
      <c r="K3981">
        <v>1.1117699999999999</v>
      </c>
      <c r="L3981">
        <v>17.95026</v>
      </c>
      <c r="M3981">
        <v>0.99757890000000005</v>
      </c>
      <c r="N3981">
        <v>0</v>
      </c>
      <c r="O3981">
        <v>-6.9215250000000006E-2</v>
      </c>
      <c r="P3981">
        <v>0.99538700000000002</v>
      </c>
      <c r="Q3981">
        <v>4.4029209999999999E-2</v>
      </c>
      <c r="R3981">
        <v>8.5242299999999993E-2</v>
      </c>
      <c r="S3981">
        <v>2.9995419999999999</v>
      </c>
      <c r="T3981">
        <v>-0.1336214</v>
      </c>
      <c r="U3981">
        <v>0.23638919999999999</v>
      </c>
      <c r="V3981">
        <v>-0.154199</v>
      </c>
      <c r="W3981">
        <v>4.9906789999999999E-2</v>
      </c>
      <c r="X3981">
        <v>0.98677859999999995</v>
      </c>
      <c r="Y3981">
        <v>-0.14716579999999899</v>
      </c>
      <c r="Z3981">
        <v>6.3486069999999896E-3</v>
      </c>
      <c r="AA3981">
        <v>0.98909150000000001</v>
      </c>
      <c r="AB3981">
        <v>33</v>
      </c>
      <c r="AC3981">
        <v>24.7639</v>
      </c>
      <c r="AD3981">
        <v>-1.111771086232</v>
      </c>
      <c r="AE3981">
        <v>1.9791999999999901</v>
      </c>
      <c r="AF3981">
        <v>-3.6811593122209199</v>
      </c>
      <c r="AG3981">
        <v>-1.111771086232</v>
      </c>
      <c r="AH3981">
        <v>24.518408975866901</v>
      </c>
      <c r="AI3981">
        <v>92.567523300281806</v>
      </c>
      <c r="AJ3981">
        <v>98.538531249119998</v>
      </c>
      <c r="AK3981">
        <v>24.8181253832356</v>
      </c>
    </row>
    <row r="3982" spans="1:37" x14ac:dyDescent="0.2">
      <c r="A3982" t="str">
        <f>"20200111154144844"</f>
        <v>20200111154144844</v>
      </c>
      <c r="B3982" t="str">
        <f>"1578728504840251"</f>
        <v>1578728504840251</v>
      </c>
      <c r="C3982" t="s">
        <v>37</v>
      </c>
      <c r="D3982">
        <v>5.3978809999999999</v>
      </c>
      <c r="E3982">
        <v>0.50186030000000004</v>
      </c>
      <c r="F3982" t="s">
        <v>39</v>
      </c>
      <c r="G3982">
        <v>-358.9366</v>
      </c>
      <c r="H3982" s="1">
        <v>-4.8649889999999995E-7</v>
      </c>
      <c r="I3982">
        <v>19.79664</v>
      </c>
      <c r="J3982">
        <v>-382.12290000000002</v>
      </c>
      <c r="K3982">
        <v>1.1117729999999999</v>
      </c>
      <c r="L3982">
        <v>17.93384</v>
      </c>
      <c r="M3982">
        <v>0.99771489999999996</v>
      </c>
      <c r="N3982">
        <v>0</v>
      </c>
      <c r="O3982">
        <v>-6.7231689999999997E-2</v>
      </c>
      <c r="P3982">
        <v>0.99526309999999996</v>
      </c>
      <c r="Q3982">
        <v>4.3861339999999999E-2</v>
      </c>
      <c r="R3982">
        <v>8.6763850000000003E-2</v>
      </c>
      <c r="S3982">
        <v>2.9999689999999899</v>
      </c>
      <c r="T3982">
        <v>-0.1422397</v>
      </c>
      <c r="U3982">
        <v>0.23623659999999999</v>
      </c>
      <c r="V3982">
        <v>-0.1537462</v>
      </c>
      <c r="W3982">
        <v>4.9691539999999999E-2</v>
      </c>
      <c r="X3982">
        <v>0.98686010000000002</v>
      </c>
      <c r="Y3982">
        <v>-0.1451141</v>
      </c>
      <c r="Z3982">
        <v>6.6143340000000004E-3</v>
      </c>
      <c r="AA3982">
        <v>0.98939279999999996</v>
      </c>
      <c r="AB3982">
        <v>33</v>
      </c>
      <c r="AC3982">
        <v>23.186299999999999</v>
      </c>
      <c r="AD3982">
        <v>-1.1117734864989</v>
      </c>
      <c r="AE3982">
        <v>1.8628</v>
      </c>
      <c r="AF3982">
        <v>-3.4096849903845299</v>
      </c>
      <c r="AG3982">
        <v>-1.1117734864989</v>
      </c>
      <c r="AH3982">
        <v>22.956152647930399</v>
      </c>
      <c r="AI3982">
        <v>92.742644331875695</v>
      </c>
      <c r="AJ3982">
        <v>98.448395112185693</v>
      </c>
      <c r="AK3982">
        <v>23.234606439834899</v>
      </c>
    </row>
    <row r="3983" spans="1:37" x14ac:dyDescent="0.2">
      <c r="A3983" t="str">
        <f>"20200111154144857"</f>
        <v>20200111154144857</v>
      </c>
      <c r="B3983" t="str">
        <f>"1578728504850011"</f>
        <v>1578728504850011</v>
      </c>
      <c r="C3983" t="s">
        <v>37</v>
      </c>
      <c r="D3983">
        <v>5.3828149999999999</v>
      </c>
      <c r="E3983">
        <v>0.50199099999999997</v>
      </c>
      <c r="F3983" t="s">
        <v>51</v>
      </c>
      <c r="G3983">
        <v>-360.05450000000002</v>
      </c>
      <c r="H3983" s="1">
        <v>-4.7185889999999999E-6</v>
      </c>
      <c r="I3983">
        <v>19.684069999999998</v>
      </c>
      <c r="J3983">
        <v>-381.91</v>
      </c>
      <c r="K3983">
        <v>1.1117680000000001</v>
      </c>
      <c r="L3983">
        <v>17.920929999999998</v>
      </c>
      <c r="M3983">
        <v>0.99782199999999999</v>
      </c>
      <c r="N3983">
        <v>0</v>
      </c>
      <c r="O3983">
        <v>-6.5622940000000005E-2</v>
      </c>
      <c r="P3983">
        <v>0.99512979999999995</v>
      </c>
      <c r="Q3983">
        <v>4.3884579999999999E-2</v>
      </c>
      <c r="R3983">
        <v>8.8265360000000001E-2</v>
      </c>
      <c r="S3983">
        <v>3.0002140000000002</v>
      </c>
      <c r="T3983">
        <v>-0.15114710000000001</v>
      </c>
      <c r="U3983">
        <v>0.23794560000000001</v>
      </c>
      <c r="V3983">
        <v>-0.1536447</v>
      </c>
      <c r="W3983">
        <v>4.96763E-2</v>
      </c>
      <c r="X3983">
        <v>0.98687669999999905</v>
      </c>
      <c r="Y3983">
        <v>-0.14404529999999999</v>
      </c>
      <c r="Z3983">
        <v>6.9196149999999996E-3</v>
      </c>
      <c r="AA3983">
        <v>0.98954690000000001</v>
      </c>
      <c r="AB3983">
        <v>33</v>
      </c>
      <c r="AC3983">
        <v>21.855499999999999</v>
      </c>
      <c r="AD3983">
        <v>-1.1117727185890001</v>
      </c>
      <c r="AE3983">
        <v>1.7631399999999999</v>
      </c>
      <c r="AF3983">
        <v>-3.1854042127770299</v>
      </c>
      <c r="AG3983">
        <v>-1.1117727185890001</v>
      </c>
      <c r="AH3983">
        <v>21.6370554039236</v>
      </c>
      <c r="AI3983">
        <v>92.910118697531203</v>
      </c>
      <c r="AJ3983">
        <v>98.374917167579795</v>
      </c>
      <c r="AK3983">
        <v>21.898516048559902</v>
      </c>
    </row>
    <row r="3984" spans="1:37" x14ac:dyDescent="0.2">
      <c r="A3984" t="str">
        <f>"20200111154144878"</f>
        <v>20200111154144878</v>
      </c>
      <c r="B3984" t="str">
        <f>"1578728504870191"</f>
        <v>1578728504870191</v>
      </c>
      <c r="C3984" t="s">
        <v>37</v>
      </c>
      <c r="D3984">
        <v>6.0345120000000003</v>
      </c>
      <c r="E3984">
        <v>0.50221039999999995</v>
      </c>
      <c r="F3984" t="s">
        <v>51</v>
      </c>
      <c r="G3984">
        <v>-360.30560000000003</v>
      </c>
      <c r="H3984" s="1">
        <v>-4.5946589999999997E-6</v>
      </c>
      <c r="I3984">
        <v>19.659939999999999</v>
      </c>
      <c r="J3984">
        <v>-381.60309999999998</v>
      </c>
      <c r="K3984">
        <v>1.1117629999999901</v>
      </c>
      <c r="L3984">
        <v>17.90286</v>
      </c>
      <c r="M3984">
        <v>0.99797199999999997</v>
      </c>
      <c r="N3984">
        <v>0</v>
      </c>
      <c r="O3984">
        <v>-6.3309420000000005E-2</v>
      </c>
      <c r="P3984">
        <v>0.99494669999999896</v>
      </c>
      <c r="Q3984">
        <v>4.3728139999999999E-2</v>
      </c>
      <c r="R3984">
        <v>9.0382290000000004E-2</v>
      </c>
      <c r="S3984">
        <v>3.0000610000000001</v>
      </c>
      <c r="T3984">
        <v>-0.154384299999999</v>
      </c>
      <c r="U3984">
        <v>0.24148559999999999</v>
      </c>
      <c r="V3984">
        <v>-0.1534566</v>
      </c>
      <c r="W3984">
        <v>4.9467219999999999E-2</v>
      </c>
      <c r="X3984">
        <v>0.98691640000000003</v>
      </c>
      <c r="Y3984">
        <v>-0.14290839999999999</v>
      </c>
      <c r="Z3984">
        <v>6.9197410000000001E-3</v>
      </c>
      <c r="AA3984">
        <v>0.98971169999999997</v>
      </c>
      <c r="AB3984">
        <v>33</v>
      </c>
      <c r="AC3984">
        <v>21.2974999999999</v>
      </c>
      <c r="AD3984">
        <v>-1.11176759465899</v>
      </c>
      <c r="AE3984">
        <v>1.75707999999999</v>
      </c>
      <c r="AF3984">
        <v>-3.0935439550688599</v>
      </c>
      <c r="AG3984">
        <v>-1.11176759465899</v>
      </c>
      <c r="AH3984">
        <v>21.086459352328198</v>
      </c>
      <c r="AI3984">
        <v>92.986175987632393</v>
      </c>
      <c r="AJ3984">
        <v>98.346187785230498</v>
      </c>
      <c r="AK3984">
        <v>21.3411529539495</v>
      </c>
    </row>
    <row r="3985" spans="1:37" x14ac:dyDescent="0.2">
      <c r="A3985" t="str">
        <f>"20200111154144901"</f>
        <v>20200111154144901</v>
      </c>
      <c r="B3985" t="str">
        <f>"1578728504889711"</f>
        <v>1578728504889711</v>
      </c>
      <c r="C3985" t="s">
        <v>37</v>
      </c>
      <c r="D3985">
        <v>5.3528219999999997</v>
      </c>
      <c r="E3985">
        <v>0.50246579999999996</v>
      </c>
      <c r="F3985" t="s">
        <v>51</v>
      </c>
      <c r="G3985">
        <v>-360.45780000000002</v>
      </c>
      <c r="H3985" s="1">
        <v>-4.5165779999999999E-6</v>
      </c>
      <c r="I3985">
        <v>19.636900000000001</v>
      </c>
      <c r="J3985">
        <v>-381.26459999999997</v>
      </c>
      <c r="K3985">
        <v>1.1117549999999901</v>
      </c>
      <c r="L3985">
        <v>17.88373</v>
      </c>
      <c r="M3985">
        <v>0.99812979999999996</v>
      </c>
      <c r="N3985">
        <v>0</v>
      </c>
      <c r="O3985">
        <v>-6.0775599999999999E-2</v>
      </c>
      <c r="P3985">
        <v>0.99473040000000001</v>
      </c>
      <c r="Q3985">
        <v>4.4062039999999997E-2</v>
      </c>
      <c r="R3985">
        <v>9.2575950000000004E-2</v>
      </c>
      <c r="S3985">
        <v>2.99981699999999</v>
      </c>
      <c r="T3985">
        <v>-0.15772320000000001</v>
      </c>
      <c r="U3985">
        <v>0.2460022</v>
      </c>
      <c r="V3985">
        <v>-0.15312779999999901</v>
      </c>
      <c r="W3985">
        <v>4.974725E-2</v>
      </c>
      <c r="X3985">
        <v>0.98695339999999998</v>
      </c>
      <c r="Y3985">
        <v>-0.14187559999999999</v>
      </c>
      <c r="Z3985">
        <v>6.9094029999999997E-3</v>
      </c>
      <c r="AA3985">
        <v>0.98986039999999997</v>
      </c>
      <c r="AB3985">
        <v>33</v>
      </c>
      <c r="AC3985">
        <v>20.8067999999999</v>
      </c>
      <c r="AD3985">
        <v>-1.1117595165780001</v>
      </c>
      <c r="AE3985">
        <v>1.7531699999999999</v>
      </c>
      <c r="AF3985">
        <v>-3.0059804605794</v>
      </c>
      <c r="AG3985">
        <v>-1.1117595165780001</v>
      </c>
      <c r="AH3985">
        <v>20.603375127171599</v>
      </c>
      <c r="AI3985">
        <v>93.056393007288406</v>
      </c>
      <c r="AJ3985">
        <v>98.300743597171802</v>
      </c>
      <c r="AK3985">
        <v>20.851162902414799</v>
      </c>
    </row>
    <row r="3986" spans="1:37" x14ac:dyDescent="0.2">
      <c r="A3986" t="str">
        <f>"20200111154144922"</f>
        <v>20200111154144922</v>
      </c>
      <c r="B3986" t="str">
        <f>"1578728504919966"</f>
        <v>1578728504919966</v>
      </c>
      <c r="C3986" t="s">
        <v>37</v>
      </c>
      <c r="D3986">
        <v>5.3317579999999998</v>
      </c>
      <c r="E3986">
        <v>0.50272019999999995</v>
      </c>
      <c r="F3986" t="s">
        <v>51</v>
      </c>
      <c r="G3986">
        <v>-360.58510000000001</v>
      </c>
      <c r="H3986" s="1">
        <v>-4.4519800000000002E-6</v>
      </c>
      <c r="I3986">
        <v>19.610329999999902</v>
      </c>
      <c r="J3986">
        <v>-380.94470000000001</v>
      </c>
      <c r="K3986">
        <v>1.111742</v>
      </c>
      <c r="L3986">
        <v>17.866420000000002</v>
      </c>
      <c r="M3986">
        <v>0.99827169999999898</v>
      </c>
      <c r="N3986">
        <v>0</v>
      </c>
      <c r="O3986">
        <v>-5.8406899999999998E-2</v>
      </c>
      <c r="P3986">
        <v>0.994556</v>
      </c>
      <c r="Q3986">
        <v>4.445818E-2</v>
      </c>
      <c r="R3986">
        <v>9.4245019999999999E-2</v>
      </c>
      <c r="S3986">
        <v>2.9997250000000002</v>
      </c>
      <c r="T3986">
        <v>-0.16126940000000001</v>
      </c>
      <c r="U3986">
        <v>0.25045780000000001</v>
      </c>
      <c r="V3986">
        <v>-0.152442299999999</v>
      </c>
      <c r="W3986">
        <v>5.0095389999999997E-2</v>
      </c>
      <c r="X3986">
        <v>0.98704199999999997</v>
      </c>
      <c r="Y3986">
        <v>-0.14098139999999901</v>
      </c>
      <c r="Z3986">
        <v>6.9133459999999999E-3</v>
      </c>
      <c r="AA3986">
        <v>0.98998809999999904</v>
      </c>
      <c r="AB3986">
        <v>33</v>
      </c>
      <c r="AC3986">
        <v>20.3596</v>
      </c>
      <c r="AD3986">
        <v>-1.11174645198</v>
      </c>
      <c r="AE3986">
        <v>1.7439099999999901</v>
      </c>
      <c r="AF3986">
        <v>-2.9214513888924398</v>
      </c>
      <c r="AG3986">
        <v>-1.11174645198</v>
      </c>
      <c r="AH3986">
        <v>20.163299040476002</v>
      </c>
      <c r="AI3986">
        <v>93.123380675682895</v>
      </c>
      <c r="AJ3986">
        <v>98.244189305176107</v>
      </c>
      <c r="AK3986">
        <v>20.404153660145099</v>
      </c>
    </row>
    <row r="3987" spans="1:37" x14ac:dyDescent="0.2">
      <c r="A3987" t="str">
        <f>"20200111154144944"</f>
        <v>20200111154144944</v>
      </c>
      <c r="B3987" t="str">
        <f>"1578728504940463"</f>
        <v>1578728504940463</v>
      </c>
      <c r="C3987" t="s">
        <v>37</v>
      </c>
      <c r="D3987">
        <v>5.3463919999999998</v>
      </c>
      <c r="E3987">
        <v>0.50283919999999904</v>
      </c>
      <c r="F3987" t="s">
        <v>51</v>
      </c>
      <c r="G3987">
        <v>-360.77870000000001</v>
      </c>
      <c r="H3987" s="1">
        <v>-4.3675710000000002E-6</v>
      </c>
      <c r="I3987">
        <v>19.570429999999899</v>
      </c>
      <c r="J3987">
        <v>-380.63350000000003</v>
      </c>
      <c r="K3987">
        <v>1.1117170000000001</v>
      </c>
      <c r="L3987">
        <v>17.850279999999898</v>
      </c>
      <c r="M3987">
        <v>0.99840209999999996</v>
      </c>
      <c r="N3987">
        <v>0</v>
      </c>
      <c r="O3987">
        <v>-5.6136079999999998E-2</v>
      </c>
      <c r="P3987">
        <v>0.99434509999999898</v>
      </c>
      <c r="Q3987">
        <v>4.5013909999999997E-2</v>
      </c>
      <c r="R3987">
        <v>9.618641E-2</v>
      </c>
      <c r="S3987">
        <v>2.9997859999999998</v>
      </c>
      <c r="T3987">
        <v>-0.16537689999999999</v>
      </c>
      <c r="U3987">
        <v>0.25347900000000001</v>
      </c>
      <c r="V3987">
        <v>-0.15212400000000001</v>
      </c>
      <c r="W3987">
        <v>5.0602580000000001E-2</v>
      </c>
      <c r="X3987">
        <v>0.98706519999999998</v>
      </c>
      <c r="Y3987">
        <v>-0.13970850000000001</v>
      </c>
      <c r="Z3987">
        <v>6.9288809999999996E-3</v>
      </c>
      <c r="AA3987">
        <v>0.99016849999999901</v>
      </c>
      <c r="AB3987">
        <v>33</v>
      </c>
      <c r="AC3987">
        <v>19.854800000000001</v>
      </c>
      <c r="AD3987">
        <v>-1.111721367571</v>
      </c>
      <c r="AE3987">
        <v>1.7201500000000001</v>
      </c>
      <c r="AF3987">
        <v>-2.8232460591231701</v>
      </c>
      <c r="AG3987">
        <v>-1.111721367571</v>
      </c>
      <c r="AH3987">
        <v>19.665729637089399</v>
      </c>
      <c r="AI3987">
        <v>93.202771411280906</v>
      </c>
      <c r="AJ3987">
        <v>98.169660605935405</v>
      </c>
      <c r="AK3987">
        <v>19.898431216268399</v>
      </c>
    </row>
    <row r="3988" spans="1:37" x14ac:dyDescent="0.2">
      <c r="A3988" t="str">
        <f>"20200111154144958"</f>
        <v>20200111154144958</v>
      </c>
      <c r="B3988" t="str">
        <f>"1578728504950222"</f>
        <v>1578728504950222</v>
      </c>
      <c r="C3988" t="s">
        <v>37</v>
      </c>
      <c r="D3988">
        <v>5.3899929999999996</v>
      </c>
      <c r="E3988">
        <v>0.50298940000000003</v>
      </c>
      <c r="F3988" t="s">
        <v>51</v>
      </c>
      <c r="G3988">
        <v>-360.61689999999999</v>
      </c>
      <c r="H3988" s="1">
        <v>-4.4436990000000001E-6</v>
      </c>
      <c r="I3988">
        <v>19.572299999999998</v>
      </c>
      <c r="J3988">
        <v>-380.41809999999998</v>
      </c>
      <c r="K3988">
        <v>1.1116979999999901</v>
      </c>
      <c r="L3988">
        <v>17.839569999999998</v>
      </c>
      <c r="M3988">
        <v>0.99848799999999904</v>
      </c>
      <c r="N3988">
        <v>0</v>
      </c>
      <c r="O3988">
        <v>-5.4590420000000001E-2</v>
      </c>
      <c r="P3988">
        <v>0.99417999999999995</v>
      </c>
      <c r="Q3988">
        <v>4.5094139999999998E-2</v>
      </c>
      <c r="R3988">
        <v>9.7840869999999996E-2</v>
      </c>
      <c r="S3988">
        <v>2.9996339999999999</v>
      </c>
      <c r="T3988">
        <v>-0.16659959999999999</v>
      </c>
      <c r="U3988">
        <v>0.25805660000000002</v>
      </c>
      <c r="V3988">
        <v>-0.1522366</v>
      </c>
      <c r="W3988">
        <v>5.0650199999999902E-2</v>
      </c>
      <c r="X3988">
        <v>0.98704539999999996</v>
      </c>
      <c r="Y3988">
        <v>-0.1396782</v>
      </c>
      <c r="Z3988">
        <v>6.8934969999999898E-3</v>
      </c>
      <c r="AA3988">
        <v>0.99017299999999997</v>
      </c>
      <c r="AB3988">
        <v>34</v>
      </c>
      <c r="AC3988">
        <v>19.801199999999898</v>
      </c>
      <c r="AD3988">
        <v>-1.111702443699</v>
      </c>
      <c r="AE3988">
        <v>1.7327299999999899</v>
      </c>
      <c r="AF3988">
        <v>-2.8023583395168599</v>
      </c>
      <c r="AG3988">
        <v>-1.111702443699</v>
      </c>
      <c r="AH3988">
        <v>19.615719398108201</v>
      </c>
      <c r="AI3988">
        <v>93.211179511995894</v>
      </c>
      <c r="AJ3988">
        <v>98.130424988987897</v>
      </c>
      <c r="AK3988">
        <v>19.846046006489701</v>
      </c>
    </row>
    <row r="3989" spans="1:37" x14ac:dyDescent="0.2">
      <c r="A3989" t="str">
        <f>"20200111154144970"</f>
        <v>20200111154144970</v>
      </c>
      <c r="B3989" t="str">
        <f>"1578728504959983"</f>
        <v>1578728504959983</v>
      </c>
      <c r="C3989" t="s">
        <v>37</v>
      </c>
      <c r="D3989">
        <v>5.3689549999999997</v>
      </c>
      <c r="E3989">
        <v>0.50305749999999905</v>
      </c>
      <c r="F3989" t="s">
        <v>51</v>
      </c>
      <c r="G3989">
        <v>-360.5034</v>
      </c>
      <c r="H3989" s="1">
        <v>-4.4963789999999999E-6</v>
      </c>
      <c r="I3989">
        <v>19.57769</v>
      </c>
      <c r="J3989">
        <v>-380.2217</v>
      </c>
      <c r="K3989">
        <v>1.11168</v>
      </c>
      <c r="L3989">
        <v>17.830020000000001</v>
      </c>
      <c r="M3989">
        <v>0.9985636</v>
      </c>
      <c r="N3989">
        <v>0</v>
      </c>
      <c r="O3989">
        <v>-5.319364E-2</v>
      </c>
      <c r="P3989">
        <v>0.99406190000000005</v>
      </c>
      <c r="Q3989">
        <v>4.5007249999999999E-2</v>
      </c>
      <c r="R3989">
        <v>9.9071880000000001E-2</v>
      </c>
      <c r="S3989">
        <v>2.9993590000000001</v>
      </c>
      <c r="T3989">
        <v>-0.16743429999999901</v>
      </c>
      <c r="U3989">
        <v>0.26177979999999901</v>
      </c>
      <c r="V3989">
        <v>-0.1520765</v>
      </c>
      <c r="W3989">
        <v>5.0536860000000003E-2</v>
      </c>
      <c r="X3989">
        <v>0.98707590000000001</v>
      </c>
      <c r="Y3989">
        <v>-0.13952020000000001</v>
      </c>
      <c r="Z3989">
        <v>6.8460959999999899E-3</v>
      </c>
      <c r="AA3989">
        <v>0.99019559999999995</v>
      </c>
      <c r="AB3989">
        <v>34</v>
      </c>
      <c r="AC3989">
        <v>19.718299999999999</v>
      </c>
      <c r="AD3989">
        <v>-1.111684496379</v>
      </c>
      <c r="AE3989">
        <v>1.7476699999999901</v>
      </c>
      <c r="AF3989">
        <v>-2.78532114267361</v>
      </c>
      <c r="AG3989">
        <v>-1.111684496379</v>
      </c>
      <c r="AH3989">
        <v>19.535804314485102</v>
      </c>
      <c r="AI3989">
        <v>93.224365347464598</v>
      </c>
      <c r="AJ3989">
        <v>98.114270490828403</v>
      </c>
      <c r="AK3989">
        <v>19.764652956760202</v>
      </c>
    </row>
    <row r="3990" spans="1:37" x14ac:dyDescent="0.2">
      <c r="A3990" t="str">
        <f>"20200111154144990"</f>
        <v>20200111154144990</v>
      </c>
      <c r="B3990" t="str">
        <f>"1578728504980478"</f>
        <v>1578728504980478</v>
      </c>
      <c r="C3990" t="s">
        <v>37</v>
      </c>
      <c r="D3990">
        <v>5.3376390000000002</v>
      </c>
      <c r="E3990">
        <v>0.50318479999999999</v>
      </c>
      <c r="F3990" t="s">
        <v>51</v>
      </c>
      <c r="G3990">
        <v>-360.46550000000002</v>
      </c>
      <c r="H3990" s="1">
        <v>-4.514869E-6</v>
      </c>
      <c r="I3990">
        <v>19.57452</v>
      </c>
      <c r="J3990">
        <v>-379.93830000000003</v>
      </c>
      <c r="K3990">
        <v>1.111658</v>
      </c>
      <c r="L3990">
        <v>17.81671</v>
      </c>
      <c r="M3990">
        <v>0.998668</v>
      </c>
      <c r="N3990">
        <v>0</v>
      </c>
      <c r="O3990">
        <v>-5.1204159999999999E-2</v>
      </c>
      <c r="P3990">
        <v>0.99390599999999996</v>
      </c>
      <c r="Q3990">
        <v>4.5416449999999997E-2</v>
      </c>
      <c r="R3990">
        <v>0.10044069999999999</v>
      </c>
      <c r="S3990">
        <v>2.9991759999999998</v>
      </c>
      <c r="T3990">
        <v>-0.16876450000000001</v>
      </c>
      <c r="U3990">
        <v>0.2648315</v>
      </c>
      <c r="V3990">
        <v>-0.15146779999999899</v>
      </c>
      <c r="W3990">
        <v>5.0912599999999898E-2</v>
      </c>
      <c r="X3990">
        <v>0.98715010000000003</v>
      </c>
      <c r="Y3990">
        <v>-0.13855239999999999</v>
      </c>
      <c r="Z3990">
        <v>6.7617199999999997E-3</v>
      </c>
      <c r="AA3990">
        <v>0.99033199999999999</v>
      </c>
      <c r="AB3990">
        <v>34</v>
      </c>
      <c r="AC3990">
        <v>19.472799999999999</v>
      </c>
      <c r="AD3990">
        <v>-1.111662514869</v>
      </c>
      <c r="AE3990">
        <v>1.7578099999999901</v>
      </c>
      <c r="AF3990">
        <v>-2.74374283223296</v>
      </c>
      <c r="AG3990">
        <v>-1.111662514869</v>
      </c>
      <c r="AH3990">
        <v>19.294871271619002</v>
      </c>
      <c r="AI3990">
        <v>93.264646987013407</v>
      </c>
      <c r="AJ3990">
        <v>98.093235809746005</v>
      </c>
      <c r="AK3990">
        <v>19.520655103370402</v>
      </c>
    </row>
    <row r="3991" spans="1:37" x14ac:dyDescent="0.2">
      <c r="A3991" t="str">
        <f>"20200111154145011"</f>
        <v>20200111154145011</v>
      </c>
      <c r="B3991" t="str">
        <f>"1578728504999998"</f>
        <v>1578728504999998</v>
      </c>
      <c r="C3991" t="s">
        <v>37</v>
      </c>
      <c r="D3991">
        <v>5.3381889999999999</v>
      </c>
      <c r="E3991">
        <v>0.50328589999999995</v>
      </c>
      <c r="F3991" t="s">
        <v>51</v>
      </c>
      <c r="G3991">
        <v>-360.24799999999999</v>
      </c>
      <c r="H3991" s="1">
        <v>-4.6174479999999997E-6</v>
      </c>
      <c r="I3991">
        <v>19.575879999999898</v>
      </c>
      <c r="J3991">
        <v>-379.60899999999998</v>
      </c>
      <c r="K3991">
        <v>1.111618</v>
      </c>
      <c r="L3991">
        <v>17.801880000000001</v>
      </c>
      <c r="M3991">
        <v>0.9987819</v>
      </c>
      <c r="N3991">
        <v>0</v>
      </c>
      <c r="O3991">
        <v>-4.8939429999999999E-2</v>
      </c>
      <c r="P3991">
        <v>0.99376520000000002</v>
      </c>
      <c r="Q3991">
        <v>4.5715789999999999E-2</v>
      </c>
      <c r="R3991">
        <v>0.101689399999999</v>
      </c>
      <c r="S3991">
        <v>2.9990839999999999</v>
      </c>
      <c r="T3991">
        <v>-0.16932049999999901</v>
      </c>
      <c r="U3991">
        <v>0.26794429999999902</v>
      </c>
      <c r="V3991">
        <v>-0.150467299999999</v>
      </c>
      <c r="W3991">
        <v>5.1174989999999997E-2</v>
      </c>
      <c r="X3991">
        <v>0.98728950000000004</v>
      </c>
      <c r="Y3991">
        <v>-0.1373327</v>
      </c>
      <c r="Z3991">
        <v>6.6220100000000002E-3</v>
      </c>
      <c r="AA3991">
        <v>0.99050280000000002</v>
      </c>
      <c r="AB3991">
        <v>34</v>
      </c>
      <c r="AC3991">
        <v>19.360999999999901</v>
      </c>
      <c r="AD3991">
        <v>-1.111622617448</v>
      </c>
      <c r="AE3991">
        <v>1.77399999999999</v>
      </c>
      <c r="AF3991">
        <v>-2.7105482515666801</v>
      </c>
      <c r="AG3991">
        <v>-1.111622617448</v>
      </c>
      <c r="AH3991">
        <v>19.188251139921899</v>
      </c>
      <c r="AI3991">
        <v>93.283057701095601</v>
      </c>
      <c r="AJ3991">
        <v>98.040449551775296</v>
      </c>
      <c r="AK3991">
        <v>19.4106094308347</v>
      </c>
    </row>
    <row r="3992" spans="1:37" x14ac:dyDescent="0.2">
      <c r="A3992" t="str">
        <f>"20200111154145023"</f>
        <v>20200111154145023</v>
      </c>
      <c r="B3992" t="str">
        <f>"1578728505020495"</f>
        <v>1578728505020495</v>
      </c>
      <c r="C3992" t="s">
        <v>37</v>
      </c>
      <c r="D3992">
        <v>5.3570979999999997</v>
      </c>
      <c r="E3992">
        <v>0.50334009999999996</v>
      </c>
      <c r="F3992" t="s">
        <v>51</v>
      </c>
      <c r="G3992">
        <v>-360.10079999999999</v>
      </c>
      <c r="H3992" s="1">
        <v>-4.6891389999999997E-6</v>
      </c>
      <c r="I3992">
        <v>19.564129999999999</v>
      </c>
      <c r="J3992">
        <v>-379.4239</v>
      </c>
      <c r="K3992">
        <v>1.1115969999999999</v>
      </c>
      <c r="L3992">
        <v>17.793759999999999</v>
      </c>
      <c r="M3992">
        <v>0.99884269999999997</v>
      </c>
      <c r="N3992">
        <v>0</v>
      </c>
      <c r="O3992">
        <v>-4.7683570000000002E-2</v>
      </c>
      <c r="P3992">
        <v>0.99364799999999998</v>
      </c>
      <c r="Q3992">
        <v>4.5615200000000002E-2</v>
      </c>
      <c r="R3992">
        <v>0.1028729</v>
      </c>
      <c r="S3992">
        <v>2.9989319999999999</v>
      </c>
      <c r="T3992">
        <v>-0.17088539999999999</v>
      </c>
      <c r="U3992">
        <v>0.27090449999999999</v>
      </c>
      <c r="V3992">
        <v>-0.15039910000000001</v>
      </c>
      <c r="W3992">
        <v>5.1049270000000001E-2</v>
      </c>
      <c r="X3992">
        <v>0.98730649999999998</v>
      </c>
      <c r="Y3992">
        <v>-0.1370586</v>
      </c>
      <c r="Z3992">
        <v>6.6040150000000004E-3</v>
      </c>
      <c r="AA3992">
        <v>0.99054089999999995</v>
      </c>
      <c r="AB3992">
        <v>34</v>
      </c>
      <c r="AC3992">
        <v>19.3231</v>
      </c>
      <c r="AD3992">
        <v>-1.1116016891389999</v>
      </c>
      <c r="AE3992">
        <v>1.77036999999999</v>
      </c>
      <c r="AF3992">
        <v>-2.6809702600806999</v>
      </c>
      <c r="AG3992">
        <v>-1.1116016891389999</v>
      </c>
      <c r="AH3992">
        <v>19.153840293313301</v>
      </c>
      <c r="AI3992">
        <v>93.289465147436303</v>
      </c>
      <c r="AJ3992">
        <v>97.9679457805411</v>
      </c>
      <c r="AK3992">
        <v>19.372476812026001</v>
      </c>
    </row>
    <row r="3993" spans="1:37" x14ac:dyDescent="0.2">
      <c r="A3993" t="str">
        <f>"20200111154145043"</f>
        <v>20200111154145043</v>
      </c>
      <c r="B3993" t="str">
        <f>"1578728505040016"</f>
        <v>1578728505040016</v>
      </c>
      <c r="C3993" t="s">
        <v>37</v>
      </c>
      <c r="D3993">
        <v>5.3176870000000003</v>
      </c>
      <c r="E3993">
        <v>0.50350779999999995</v>
      </c>
      <c r="F3993" t="s">
        <v>51</v>
      </c>
      <c r="G3993">
        <v>-360.18830000000003</v>
      </c>
      <c r="H3993" s="1">
        <v>-4.6502570000000001E-6</v>
      </c>
      <c r="I3993">
        <v>19.550090000000001</v>
      </c>
      <c r="J3993">
        <v>-379.1216</v>
      </c>
      <c r="K3993">
        <v>1.111567</v>
      </c>
      <c r="L3993">
        <v>17.78116</v>
      </c>
      <c r="M3993">
        <v>0.99893699999999996</v>
      </c>
      <c r="N3993">
        <v>0</v>
      </c>
      <c r="O3993">
        <v>-4.5675380000000002E-2</v>
      </c>
      <c r="P3993">
        <v>0.99346579999999995</v>
      </c>
      <c r="Q3993">
        <v>4.5500069999999997E-2</v>
      </c>
      <c r="R3993">
        <v>0.1046702</v>
      </c>
      <c r="S3993">
        <v>2.9987490000000001</v>
      </c>
      <c r="T3993">
        <v>-0.17329369999999999</v>
      </c>
      <c r="U3993">
        <v>0.27380369999999998</v>
      </c>
      <c r="V3993">
        <v>-0.15019689999999999</v>
      </c>
      <c r="W3993">
        <v>5.089308E-2</v>
      </c>
      <c r="X3993">
        <v>0.98734529999999998</v>
      </c>
      <c r="Y3993">
        <v>-0.136019</v>
      </c>
      <c r="Z3993">
        <v>6.5513639999999996E-3</v>
      </c>
      <c r="AA3993">
        <v>0.99068459999999903</v>
      </c>
      <c r="AB3993">
        <v>34</v>
      </c>
      <c r="AC3993">
        <v>18.9332999999999</v>
      </c>
      <c r="AD3993">
        <v>-1.1115716502570001</v>
      </c>
      <c r="AE3993">
        <v>1.7689299999999999</v>
      </c>
      <c r="AF3993">
        <v>-2.6229235476124302</v>
      </c>
      <c r="AG3993">
        <v>-1.1115716502570001</v>
      </c>
      <c r="AH3993">
        <v>18.768608363402301</v>
      </c>
      <c r="AI3993">
        <v>93.356840147911498</v>
      </c>
      <c r="AJ3993">
        <v>97.955592845988406</v>
      </c>
      <c r="AK3993">
        <v>18.983571301761199</v>
      </c>
    </row>
    <row r="3994" spans="1:37" x14ac:dyDescent="0.2">
      <c r="A3994" t="str">
        <f>"20200111154145067"</f>
        <v>20200111154145067</v>
      </c>
      <c r="B3994" t="str">
        <f>"1578728505060511"</f>
        <v>1578728505060511</v>
      </c>
      <c r="C3994" t="s">
        <v>37</v>
      </c>
      <c r="D3994">
        <v>5.2972830000000002</v>
      </c>
      <c r="E3994">
        <v>0.50357649999999998</v>
      </c>
      <c r="F3994" t="s">
        <v>51</v>
      </c>
      <c r="G3994">
        <v>-360.10289999999998</v>
      </c>
      <c r="H3994" s="1">
        <v>-4.6920309999999999E-6</v>
      </c>
      <c r="I3994">
        <v>19.542210000000001</v>
      </c>
      <c r="J3994">
        <v>-378.76159999999999</v>
      </c>
      <c r="K3994">
        <v>1.1115250000000001</v>
      </c>
      <c r="L3994">
        <v>17.766850000000002</v>
      </c>
      <c r="M3994">
        <v>0.99904079999999995</v>
      </c>
      <c r="N3994">
        <v>0</v>
      </c>
      <c r="O3994">
        <v>-4.3352479999999999E-2</v>
      </c>
      <c r="P3994">
        <v>0.99323919999999999</v>
      </c>
      <c r="Q3994">
        <v>4.6119390000000003E-2</v>
      </c>
      <c r="R3994">
        <v>0.1065316</v>
      </c>
      <c r="S3994">
        <v>2.99850499999999</v>
      </c>
      <c r="T3994">
        <v>-0.17525109999999999</v>
      </c>
      <c r="U3994">
        <v>0.27764889999999998</v>
      </c>
      <c r="V3994">
        <v>-0.14974799999999999</v>
      </c>
      <c r="W3994">
        <v>5.1468340000000001E-2</v>
      </c>
      <c r="X3994">
        <v>0.98738369999999998</v>
      </c>
      <c r="Y3994">
        <v>-0.1349813</v>
      </c>
      <c r="Z3994">
        <v>6.4597730000000003E-3</v>
      </c>
      <c r="AA3994">
        <v>0.99082709999999996</v>
      </c>
      <c r="AB3994">
        <v>34</v>
      </c>
      <c r="AC3994">
        <v>18.6587</v>
      </c>
      <c r="AD3994">
        <v>-1.111529692031</v>
      </c>
      <c r="AE3994">
        <v>1.7753599999999901</v>
      </c>
      <c r="AF3994">
        <v>-2.5735560699588298</v>
      </c>
      <c r="AG3994">
        <v>-1.111529692031</v>
      </c>
      <c r="AH3994">
        <v>18.499129064108899</v>
      </c>
      <c r="AI3994">
        <v>93.405791271841096</v>
      </c>
      <c r="AJ3994">
        <v>97.920023446232193</v>
      </c>
      <c r="AK3994">
        <v>18.710330441551498</v>
      </c>
    </row>
    <row r="3995" spans="1:37" x14ac:dyDescent="0.2">
      <c r="A3995" t="str">
        <f>"20200111154145080"</f>
        <v>20200111154145080</v>
      </c>
      <c r="B3995" t="str">
        <f>"1578728505070270"</f>
        <v>1578728505070270</v>
      </c>
      <c r="C3995" t="s">
        <v>37</v>
      </c>
      <c r="D3995">
        <v>5.2955300000000003</v>
      </c>
      <c r="E3995">
        <v>0.50363469999999999</v>
      </c>
      <c r="F3995" t="s">
        <v>39</v>
      </c>
      <c r="G3995">
        <v>-359.68419999999998</v>
      </c>
      <c r="H3995" s="1">
        <v>-1.2688070000000001E-7</v>
      </c>
      <c r="I3995">
        <v>19.565059999999999</v>
      </c>
      <c r="J3995">
        <v>-378.55849999999998</v>
      </c>
      <c r="K3995">
        <v>1.11149599999999</v>
      </c>
      <c r="L3995">
        <v>17.75909</v>
      </c>
      <c r="M3995">
        <v>0.99909590000000004</v>
      </c>
      <c r="N3995">
        <v>0</v>
      </c>
      <c r="O3995">
        <v>-4.2069090000000003E-2</v>
      </c>
      <c r="P3995">
        <v>0.99312109999999998</v>
      </c>
      <c r="Q3995">
        <v>4.656747E-2</v>
      </c>
      <c r="R3995">
        <v>0.1074343</v>
      </c>
      <c r="S3995">
        <v>2.99823</v>
      </c>
      <c r="T3995">
        <v>-0.17468829999999999</v>
      </c>
      <c r="U3995">
        <v>0.28262329999999902</v>
      </c>
      <c r="V3995">
        <v>-0.1493756</v>
      </c>
      <c r="W3995">
        <v>5.1893580000000002E-2</v>
      </c>
      <c r="X3995">
        <v>0.98741780000000001</v>
      </c>
      <c r="Y3995">
        <v>-0.13535</v>
      </c>
      <c r="Z3995">
        <v>6.375314E-3</v>
      </c>
      <c r="AA3995">
        <v>0.99077729999999997</v>
      </c>
      <c r="AB3995">
        <v>34</v>
      </c>
      <c r="AC3995">
        <v>18.874300000000002</v>
      </c>
      <c r="AD3995">
        <v>-1.11149612688069</v>
      </c>
      <c r="AE3995">
        <v>1.8059699999999901</v>
      </c>
      <c r="AF3995">
        <v>-2.5895118121272001</v>
      </c>
      <c r="AG3995">
        <v>-1.11149612688069</v>
      </c>
      <c r="AH3995">
        <v>18.717291147757798</v>
      </c>
      <c r="AI3995">
        <v>93.366436546695496</v>
      </c>
      <c r="AJ3995">
        <v>97.876792406919094</v>
      </c>
      <c r="AK3995">
        <v>18.928232431348398</v>
      </c>
    </row>
    <row r="3996" spans="1:37" x14ac:dyDescent="0.2">
      <c r="A3996" t="str">
        <f>"20200111154145097"</f>
        <v>20200111154145097</v>
      </c>
      <c r="B3996" t="str">
        <f>"1578728505089791"</f>
        <v>1578728505089791</v>
      </c>
      <c r="C3996" t="s">
        <v>37</v>
      </c>
      <c r="D3996">
        <v>5.515784</v>
      </c>
      <c r="E3996">
        <v>0.50371250000000001</v>
      </c>
      <c r="F3996" t="s">
        <v>39</v>
      </c>
      <c r="G3996">
        <v>-359.39010000000002</v>
      </c>
      <c r="H3996" s="1">
        <v>-2.5034829999999999E-7</v>
      </c>
      <c r="I3996">
        <v>19.580200000000001</v>
      </c>
      <c r="J3996">
        <v>-378.30759999999998</v>
      </c>
      <c r="K3996">
        <v>1.111462</v>
      </c>
      <c r="L3996">
        <v>17.74991</v>
      </c>
      <c r="M3996">
        <v>0.99916019999999905</v>
      </c>
      <c r="N3996">
        <v>0</v>
      </c>
      <c r="O3996">
        <v>-4.0522009999999997E-2</v>
      </c>
      <c r="P3996">
        <v>0.99295869999999997</v>
      </c>
      <c r="Q3996">
        <v>4.7080959999999998E-2</v>
      </c>
      <c r="R3996">
        <v>0.1087048</v>
      </c>
      <c r="S3996">
        <v>2.9981080000000002</v>
      </c>
      <c r="T3996">
        <v>-0.17384820000000001</v>
      </c>
      <c r="U3996">
        <v>0.28485110000000002</v>
      </c>
      <c r="V3996">
        <v>-0.14910770000000001</v>
      </c>
      <c r="W3996">
        <v>5.2379780000000001E-2</v>
      </c>
      <c r="X3996">
        <v>0.98743269999999905</v>
      </c>
      <c r="Y3996">
        <v>-0.13455599999999901</v>
      </c>
      <c r="Z3996">
        <v>6.232334E-3</v>
      </c>
      <c r="AA3996">
        <v>0.99088639999999995</v>
      </c>
      <c r="AB3996">
        <v>34</v>
      </c>
      <c r="AC3996">
        <v>18.917499999999901</v>
      </c>
      <c r="AD3996">
        <v>-1.1114622503483</v>
      </c>
      <c r="AE3996">
        <v>1.83029</v>
      </c>
      <c r="AF3996">
        <v>-2.5865301641754601</v>
      </c>
      <c r="AG3996">
        <v>-1.1114622503483</v>
      </c>
      <c r="AH3996">
        <v>18.763623040162901</v>
      </c>
      <c r="AI3996">
        <v>93.358268191750597</v>
      </c>
      <c r="AJ3996">
        <v>97.848651304413593</v>
      </c>
      <c r="AK3996">
        <v>18.9736405630936</v>
      </c>
    </row>
    <row r="3997" spans="1:37" x14ac:dyDescent="0.2">
      <c r="A3997" t="str">
        <f>"20200111154145113"</f>
        <v>20200111154145113</v>
      </c>
      <c r="B3997" t="str">
        <f>"1578728505110286"</f>
        <v>1578728505110286</v>
      </c>
      <c r="C3997" t="s">
        <v>37</v>
      </c>
      <c r="D3997">
        <v>6.3723450000000001</v>
      </c>
      <c r="E3997">
        <v>0.503745</v>
      </c>
      <c r="F3997" t="s">
        <v>39</v>
      </c>
      <c r="G3997">
        <v>-359.01010000000002</v>
      </c>
      <c r="H3997" s="1">
        <v>-4.09125299999999E-7</v>
      </c>
      <c r="I3997">
        <v>19.604019999999998</v>
      </c>
      <c r="J3997">
        <v>-378.05810000000002</v>
      </c>
      <c r="K3997">
        <v>1.1114310000000001</v>
      </c>
      <c r="L3997">
        <v>17.74109</v>
      </c>
      <c r="M3997">
        <v>0.99921979999999999</v>
      </c>
      <c r="N3997">
        <v>0</v>
      </c>
      <c r="O3997">
        <v>-3.9026680000000001E-2</v>
      </c>
      <c r="P3997">
        <v>0.99274589999999996</v>
      </c>
      <c r="Q3997">
        <v>4.8810489999999998E-2</v>
      </c>
      <c r="R3997">
        <v>0.1098773</v>
      </c>
      <c r="S3997">
        <v>2.997925</v>
      </c>
      <c r="T3997">
        <v>-0.1726693</v>
      </c>
      <c r="U3997">
        <v>0.28805540000000002</v>
      </c>
      <c r="V3997">
        <v>-0.14879609999999999</v>
      </c>
      <c r="W3997">
        <v>5.4083949999999999E-2</v>
      </c>
      <c r="X3997">
        <v>0.98738780000000004</v>
      </c>
      <c r="Y3997">
        <v>-0.13413549999999999</v>
      </c>
      <c r="Z3997">
        <v>6.0922519999999898E-3</v>
      </c>
      <c r="AA3997">
        <v>0.9909443</v>
      </c>
      <c r="AB3997">
        <v>34</v>
      </c>
      <c r="AC3997">
        <v>19.047999999999998</v>
      </c>
      <c r="AD3997">
        <v>-1.1114314091252999</v>
      </c>
      <c r="AE3997">
        <v>1.86293</v>
      </c>
      <c r="AF3997">
        <v>-2.5961494400012799</v>
      </c>
      <c r="AG3997">
        <v>-1.1114314091252999</v>
      </c>
      <c r="AH3997">
        <v>18.897055382572301</v>
      </c>
      <c r="AI3997">
        <v>93.334725436898196</v>
      </c>
      <c r="AJ3997">
        <v>97.822542660128207</v>
      </c>
      <c r="AK3997">
        <v>19.106909059918902</v>
      </c>
    </row>
    <row r="3998" spans="1:37" x14ac:dyDescent="0.2">
      <c r="A3998" t="str">
        <f>"20200111154145129"</f>
        <v>20200111154145129</v>
      </c>
      <c r="B3998" t="str">
        <f>"1578728505120048"</f>
        <v>1578728505120048</v>
      </c>
      <c r="C3998" t="s">
        <v>37</v>
      </c>
      <c r="D3998">
        <v>5.3637489999999897</v>
      </c>
      <c r="E3998">
        <v>0.50378449999999997</v>
      </c>
      <c r="F3998" t="s">
        <v>39</v>
      </c>
      <c r="G3998">
        <v>-358.07170000000002</v>
      </c>
      <c r="H3998" s="1">
        <v>-8.2758430000000004E-7</v>
      </c>
      <c r="I3998">
        <v>19.68402</v>
      </c>
      <c r="J3998">
        <v>-377.79809999999998</v>
      </c>
      <c r="K3998">
        <v>1.1113850000000001</v>
      </c>
      <c r="L3998">
        <v>17.732209999999998</v>
      </c>
      <c r="M3998">
        <v>0.99927790000000005</v>
      </c>
      <c r="N3998">
        <v>0</v>
      </c>
      <c r="O3998">
        <v>-3.7517889999999998E-2</v>
      </c>
      <c r="P3998">
        <v>0.99254659999999995</v>
      </c>
      <c r="Q3998">
        <v>4.9637510000000003E-2</v>
      </c>
      <c r="R3998">
        <v>0.11129839999999901</v>
      </c>
      <c r="S3998">
        <v>2.9978639999999999</v>
      </c>
      <c r="T3998">
        <v>-0.16670940000000001</v>
      </c>
      <c r="U3998">
        <v>0.2914429</v>
      </c>
      <c r="V3998">
        <v>-0.14871519999999999</v>
      </c>
      <c r="W3998">
        <v>5.4886230000000001E-2</v>
      </c>
      <c r="X3998">
        <v>0.98735569999999895</v>
      </c>
      <c r="Y3998">
        <v>-0.13377269999999999</v>
      </c>
      <c r="Z3998">
        <v>5.78838099999999E-3</v>
      </c>
      <c r="AA3998">
        <v>0.99099519999999997</v>
      </c>
      <c r="AB3998">
        <v>34</v>
      </c>
      <c r="AC3998">
        <v>19.726399999999899</v>
      </c>
      <c r="AD3998">
        <v>-1.1113858275843</v>
      </c>
      <c r="AE3998">
        <v>1.9518099999999901</v>
      </c>
      <c r="AF3998">
        <v>-2.68211103688013</v>
      </c>
      <c r="AG3998">
        <v>-1.1113858275843</v>
      </c>
      <c r="AH3998">
        <v>19.577740986836702</v>
      </c>
      <c r="AI3998">
        <v>93.219065911839394</v>
      </c>
      <c r="AJ3998">
        <v>97.800844891557304</v>
      </c>
      <c r="AK3998">
        <v>19.791837717088701</v>
      </c>
    </row>
    <row r="3999" spans="1:37" x14ac:dyDescent="0.2">
      <c r="A3999" t="str">
        <f>"20200111154145145"</f>
        <v>20200111154145145</v>
      </c>
      <c r="B3999" t="str">
        <f>"1578728505140544"</f>
        <v>1578728505140544</v>
      </c>
      <c r="C3999" t="s">
        <v>37</v>
      </c>
      <c r="D3999">
        <v>5.3563460000000003</v>
      </c>
      <c r="E3999">
        <v>0.5406685</v>
      </c>
      <c r="F3999" t="s">
        <v>39</v>
      </c>
      <c r="G3999">
        <v>-357.42340000000002</v>
      </c>
      <c r="H3999" s="1">
        <v>-1.1206529999999899E-6</v>
      </c>
      <c r="I3999">
        <v>19.74024</v>
      </c>
      <c r="J3999">
        <v>-377.56529999999998</v>
      </c>
      <c r="K3999">
        <v>1.1113500000000001</v>
      </c>
      <c r="L3999">
        <v>17.724550000000001</v>
      </c>
      <c r="M3999">
        <v>0.99932649999999901</v>
      </c>
      <c r="N3999">
        <v>0</v>
      </c>
      <c r="O3999">
        <v>-3.6208659999999997E-2</v>
      </c>
      <c r="P3999">
        <v>0.99226440000000005</v>
      </c>
      <c r="Q3999">
        <v>5.152499E-2</v>
      </c>
      <c r="R3999">
        <v>0.1129444</v>
      </c>
      <c r="S3999">
        <v>2.9975890000000001</v>
      </c>
      <c r="T3999">
        <v>-0.16351079999999901</v>
      </c>
      <c r="U3999">
        <v>0.2954407</v>
      </c>
      <c r="V3999">
        <v>-0.14905839999999901</v>
      </c>
      <c r="W3999">
        <v>5.6752039999999997E-2</v>
      </c>
      <c r="X3999">
        <v>0.98719849999999998</v>
      </c>
      <c r="Y3999">
        <v>-0.13380410000000001</v>
      </c>
      <c r="Z3999">
        <v>5.6072830000000002E-3</v>
      </c>
      <c r="AA3999">
        <v>0.99099199999999998</v>
      </c>
      <c r="AB3999">
        <v>35</v>
      </c>
      <c r="AC3999">
        <v>20.1418999999999</v>
      </c>
      <c r="AD3999">
        <v>-1.111351120653</v>
      </c>
      <c r="AE3999">
        <v>2.0156900000000002</v>
      </c>
      <c r="AF3999">
        <v>-2.7354470941977</v>
      </c>
      <c r="AG3999">
        <v>-1.111351120653</v>
      </c>
      <c r="AH3999">
        <v>19.995434284153099</v>
      </c>
      <c r="AI3999">
        <v>93.151942417549094</v>
      </c>
      <c r="AJ3999">
        <v>97.789911588872698</v>
      </c>
      <c r="AK3999">
        <v>20.212252826699299</v>
      </c>
    </row>
    <row r="4000" spans="1:37" x14ac:dyDescent="0.2">
      <c r="A4000" t="str">
        <f>"20200111154145159"</f>
        <v>20200111154145159</v>
      </c>
      <c r="B4000" t="str">
        <f>"1578728505150302"</f>
        <v>1578728505150302</v>
      </c>
      <c r="C4000" t="s">
        <v>37</v>
      </c>
      <c r="D4000">
        <v>5.5320710000000002</v>
      </c>
      <c r="E4000">
        <v>0.55091969999999901</v>
      </c>
      <c r="F4000" t="s">
        <v>39</v>
      </c>
      <c r="G4000">
        <v>-351.37630000000001</v>
      </c>
      <c r="H4000" s="1">
        <v>-4.0042160000000002E-6</v>
      </c>
      <c r="I4000">
        <v>17.798870000000001</v>
      </c>
      <c r="J4000">
        <v>-377.33370000000002</v>
      </c>
      <c r="K4000">
        <v>1.111302</v>
      </c>
      <c r="L4000">
        <v>17.717220000000001</v>
      </c>
      <c r="M4000">
        <v>0.99937129999999996</v>
      </c>
      <c r="N4000">
        <v>0</v>
      </c>
      <c r="O4000">
        <v>-3.4954279999999997E-2</v>
      </c>
      <c r="P4000">
        <v>0.99208180000000001</v>
      </c>
      <c r="Q4000">
        <v>5.2565679999999997E-2</v>
      </c>
      <c r="R4000">
        <v>0.114065</v>
      </c>
      <c r="S4000">
        <v>3.02905299999999</v>
      </c>
      <c r="T4000">
        <v>-0.1285405</v>
      </c>
      <c r="U4000">
        <v>8.6059569999999991E-3</v>
      </c>
      <c r="V4000">
        <v>-0.1489309</v>
      </c>
      <c r="W4000">
        <v>5.7776979999999999E-2</v>
      </c>
      <c r="X4000">
        <v>0.98715819999999999</v>
      </c>
      <c r="Y4000">
        <v>-3.7728739999999997E-2</v>
      </c>
      <c r="Z4000">
        <v>2.2826270000000002E-3</v>
      </c>
      <c r="AA4000">
        <v>0.99928539999999999</v>
      </c>
      <c r="AB4000">
        <v>35</v>
      </c>
      <c r="AC4000">
        <v>25.9574</v>
      </c>
      <c r="AD4000">
        <v>-1.1113060042159999</v>
      </c>
      <c r="AE4000">
        <v>8.1649999999999695E-2</v>
      </c>
      <c r="AF4000">
        <v>-0.98712898476655797</v>
      </c>
      <c r="AG4000">
        <v>-1.1113060042159999</v>
      </c>
      <c r="AH4000">
        <v>25.891226895439999</v>
      </c>
      <c r="AI4000">
        <v>92.455964845855107</v>
      </c>
      <c r="AJ4000">
        <v>92.183401525243298</v>
      </c>
      <c r="AK4000">
        <v>25.933859234960199</v>
      </c>
    </row>
    <row r="4001" spans="1:37" x14ac:dyDescent="0.2">
      <c r="A4001" t="str">
        <f>"20200111154145179"</f>
        <v>20200111154145179</v>
      </c>
      <c r="B4001" t="str">
        <f>"1578728505169822"</f>
        <v>1578728505169822</v>
      </c>
      <c r="C4001" t="s">
        <v>37</v>
      </c>
      <c r="D4001">
        <v>5.456194</v>
      </c>
      <c r="E4001">
        <v>0.56101269999999903</v>
      </c>
      <c r="F4001" t="s">
        <v>39</v>
      </c>
      <c r="G4001">
        <v>-355.15429999999998</v>
      </c>
      <c r="H4001" s="1">
        <v>-2.488525E-6</v>
      </c>
      <c r="I4001">
        <v>17.206610000000001</v>
      </c>
      <c r="J4001">
        <v>-377.01729999999998</v>
      </c>
      <c r="K4001">
        <v>1.111243</v>
      </c>
      <c r="L4001">
        <v>17.70758</v>
      </c>
      <c r="M4001">
        <v>0.99942799999999998</v>
      </c>
      <c r="N4001">
        <v>0</v>
      </c>
      <c r="O4001">
        <v>-3.3303069999999997E-2</v>
      </c>
      <c r="P4001">
        <v>0.99192610000000003</v>
      </c>
      <c r="Q4001">
        <v>5.4018980000000001E-2</v>
      </c>
      <c r="R4001">
        <v>0.11473699999999901</v>
      </c>
      <c r="S4001">
        <v>3.0400999999999998</v>
      </c>
      <c r="T4001">
        <v>-0.15232499999999999</v>
      </c>
      <c r="U4001">
        <v>-6.997681E-2</v>
      </c>
      <c r="V4001">
        <v>-0.14796329999999999</v>
      </c>
      <c r="W4001">
        <v>5.9216949999999997E-2</v>
      </c>
      <c r="X4001">
        <v>0.98721840000000005</v>
      </c>
      <c r="Y4001">
        <v>-1.0241190000000001E-2</v>
      </c>
      <c r="Z4001">
        <v>1.923405E-3</v>
      </c>
      <c r="AA4001">
        <v>0.99994570000000005</v>
      </c>
      <c r="AB4001">
        <v>35</v>
      </c>
      <c r="AC4001">
        <v>21.863</v>
      </c>
      <c r="AD4001">
        <v>-1.111245488525</v>
      </c>
      <c r="AE4001">
        <v>-0.50096999999999803</v>
      </c>
      <c r="AF4001">
        <v>-0.22683978396951601</v>
      </c>
      <c r="AG4001">
        <v>-1.111245488525</v>
      </c>
      <c r="AH4001">
        <v>21.811237548349599</v>
      </c>
      <c r="AI4001">
        <v>92.916443328526299</v>
      </c>
      <c r="AJ4001">
        <v>90.595862277546701</v>
      </c>
      <c r="AK4001">
        <v>21.840705259077499</v>
      </c>
    </row>
    <row r="4002" spans="1:37" x14ac:dyDescent="0.2">
      <c r="A4002" t="str">
        <f>"20200111154145193"</f>
        <v>20200111154145193</v>
      </c>
      <c r="B4002" t="str">
        <f>"1578728505190319"</f>
        <v>1578728505190319</v>
      </c>
      <c r="C4002" t="s">
        <v>37</v>
      </c>
      <c r="D4002">
        <v>5.4131070000000001</v>
      </c>
      <c r="E4002">
        <v>0.56489549999999999</v>
      </c>
      <c r="F4002" t="s">
        <v>39</v>
      </c>
      <c r="G4002">
        <v>-357.53699999999998</v>
      </c>
      <c r="H4002" s="1">
        <v>-1.5843469999999901E-6</v>
      </c>
      <c r="I4002">
        <v>16.759370000000001</v>
      </c>
      <c r="J4002">
        <v>-376.81360000000001</v>
      </c>
      <c r="K4002">
        <v>1.1112040000000001</v>
      </c>
      <c r="L4002">
        <v>17.70166</v>
      </c>
      <c r="M4002">
        <v>0.99946139999999895</v>
      </c>
      <c r="N4002">
        <v>0</v>
      </c>
      <c r="O4002">
        <v>-3.2287820000000002E-2</v>
      </c>
      <c r="P4002">
        <v>0.99186919999999901</v>
      </c>
      <c r="Q4002">
        <v>5.4293149999999998E-2</v>
      </c>
      <c r="R4002">
        <v>0.1150999</v>
      </c>
      <c r="S4002">
        <v>3.051056</v>
      </c>
      <c r="T4002">
        <v>-0.1740469</v>
      </c>
      <c r="U4002">
        <v>-0.14849849999999901</v>
      </c>
      <c r="V4002">
        <v>-0.14731649999999999</v>
      </c>
      <c r="W4002">
        <v>5.9485419999999997E-2</v>
      </c>
      <c r="X4002">
        <v>0.98729899999999904</v>
      </c>
      <c r="Y4002">
        <v>1.6363900000000001E-2</v>
      </c>
      <c r="Z4002">
        <v>1.3726179999999999E-3</v>
      </c>
      <c r="AA4002">
        <v>0.99986520000000001</v>
      </c>
      <c r="AB4002">
        <v>35</v>
      </c>
      <c r="AC4002">
        <v>19.276599999999998</v>
      </c>
      <c r="AD4002">
        <v>-1.1112055843469999</v>
      </c>
      <c r="AE4002">
        <v>-0.94228999999999896</v>
      </c>
      <c r="AF4002">
        <v>0.31833329208199801</v>
      </c>
      <c r="AG4002">
        <v>-1.1112055843469999</v>
      </c>
      <c r="AH4002">
        <v>19.233214818444999</v>
      </c>
      <c r="AI4002">
        <v>93.306155631950105</v>
      </c>
      <c r="AJ4002">
        <v>89.051771164421197</v>
      </c>
      <c r="AK4002">
        <v>19.2679180553578</v>
      </c>
    </row>
    <row r="4003" spans="1:37" x14ac:dyDescent="0.2">
      <c r="A4003" t="str">
        <f>"20200111154145212"</f>
        <v>20200111154145212</v>
      </c>
      <c r="B4003" t="str">
        <f>"1578728505209839"</f>
        <v>1578728505209839</v>
      </c>
      <c r="C4003" t="s">
        <v>37</v>
      </c>
      <c r="D4003">
        <v>5.4789110000000001</v>
      </c>
      <c r="E4003">
        <v>0.56565390000000004</v>
      </c>
      <c r="F4003" t="s">
        <v>39</v>
      </c>
      <c r="G4003">
        <v>-356.70010000000002</v>
      </c>
      <c r="H4003" s="1">
        <v>-1.9455030000000001E-6</v>
      </c>
      <c r="I4003">
        <v>16.529389999999999</v>
      </c>
      <c r="J4003">
        <v>-376.510999999999</v>
      </c>
      <c r="K4003">
        <v>1.111143</v>
      </c>
      <c r="L4003">
        <v>17.693149999999999</v>
      </c>
      <c r="M4003">
        <v>0.99950740000000005</v>
      </c>
      <c r="N4003">
        <v>0</v>
      </c>
      <c r="O4003">
        <v>-3.0834170000000001E-2</v>
      </c>
      <c r="P4003">
        <v>0.99190029999999996</v>
      </c>
      <c r="Q4003">
        <v>5.5020189999999997E-2</v>
      </c>
      <c r="R4003">
        <v>0.1144839</v>
      </c>
      <c r="S4003">
        <v>3.054443</v>
      </c>
      <c r="T4003">
        <v>-0.16874829999999999</v>
      </c>
      <c r="U4003">
        <v>-0.178009</v>
      </c>
      <c r="V4003">
        <v>-0.14525859999999999</v>
      </c>
      <c r="W4003">
        <v>6.0212710000000003E-2</v>
      </c>
      <c r="X4003">
        <v>0.98755979999999999</v>
      </c>
      <c r="Y4003">
        <v>2.7375119999999999E-2</v>
      </c>
      <c r="Z4003">
        <v>9.4521869999999997E-4</v>
      </c>
      <c r="AA4003">
        <v>0.99962479999999998</v>
      </c>
      <c r="AB4003">
        <v>35</v>
      </c>
      <c r="AC4003">
        <v>19.810899999999901</v>
      </c>
      <c r="AD4003">
        <v>-1.111144945503</v>
      </c>
      <c r="AE4003">
        <v>-1.1637599999999999</v>
      </c>
      <c r="AF4003">
        <v>0.55061733869839102</v>
      </c>
      <c r="AG4003">
        <v>-1.111144945503</v>
      </c>
      <c r="AH4003">
        <v>19.775368364922699</v>
      </c>
      <c r="AI4003">
        <v>93.214729383325206</v>
      </c>
      <c r="AJ4003">
        <v>88.405091620302201</v>
      </c>
      <c r="AK4003">
        <v>19.8142124878072</v>
      </c>
    </row>
    <row r="4004" spans="1:37" x14ac:dyDescent="0.2">
      <c r="A4004" t="str">
        <f>"20200111154145234"</f>
        <v>20200111154145234</v>
      </c>
      <c r="B4004" t="str">
        <f>"1578728505230335"</f>
        <v>1578728505230335</v>
      </c>
      <c r="C4004" t="s">
        <v>37</v>
      </c>
      <c r="D4004">
        <v>5.4627889999999999</v>
      </c>
      <c r="E4004">
        <v>0.56674690000000005</v>
      </c>
      <c r="F4004" t="s">
        <v>39</v>
      </c>
      <c r="G4004">
        <v>-356.48750000000001</v>
      </c>
      <c r="H4004" s="1">
        <v>-2.0463869999999999E-6</v>
      </c>
      <c r="I4004">
        <v>16.474879999999999</v>
      </c>
      <c r="J4004">
        <v>-376.17270000000002</v>
      </c>
      <c r="K4004">
        <v>1.111076</v>
      </c>
      <c r="L4004">
        <v>17.684049999999999</v>
      </c>
      <c r="M4004">
        <v>0.99955400000000005</v>
      </c>
      <c r="N4004">
        <v>0</v>
      </c>
      <c r="O4004">
        <v>-2.9291600000000001E-2</v>
      </c>
      <c r="P4004">
        <v>0.99194629999999995</v>
      </c>
      <c r="Q4004">
        <v>5.6103099999999899E-2</v>
      </c>
      <c r="R4004">
        <v>0.1135568</v>
      </c>
      <c r="S4004">
        <v>3.0553889999999999</v>
      </c>
      <c r="T4004">
        <v>-0.16955010000000001</v>
      </c>
      <c r="U4004">
        <v>-0.18588260000000001</v>
      </c>
      <c r="V4004">
        <v>-0.14280329999999999</v>
      </c>
      <c r="W4004">
        <v>6.1299319999999997E-2</v>
      </c>
      <c r="X4004">
        <v>0.98785100000000003</v>
      </c>
      <c r="Y4004">
        <v>3.1457909999999999E-2</v>
      </c>
      <c r="Z4004">
        <v>7.5084149999999998E-4</v>
      </c>
      <c r="AA4004">
        <v>0.99950479999999997</v>
      </c>
      <c r="AB4004">
        <v>35</v>
      </c>
      <c r="AC4004">
        <v>19.685199999999998</v>
      </c>
      <c r="AD4004">
        <v>-1.111078046387</v>
      </c>
      <c r="AE4004">
        <v>-1.2091700000000001</v>
      </c>
      <c r="AF4004">
        <v>0.63003082237354302</v>
      </c>
      <c r="AG4004">
        <v>-1.111078046387</v>
      </c>
      <c r="AH4004">
        <v>19.649808341608701</v>
      </c>
      <c r="AI4004">
        <v>93.234625674664102</v>
      </c>
      <c r="AJ4004">
        <v>88.163557421526306</v>
      </c>
      <c r="AK4004">
        <v>19.691277285241299</v>
      </c>
    </row>
    <row r="4005" spans="1:37" x14ac:dyDescent="0.2">
      <c r="A4005" t="str">
        <f>"20200111154145246"</f>
        <v>20200111154145246</v>
      </c>
      <c r="B4005" t="str">
        <f>"1578728505240095"</f>
        <v>1578728505240095</v>
      </c>
      <c r="C4005" t="s">
        <v>37</v>
      </c>
      <c r="D4005">
        <v>5.4968149999999998</v>
      </c>
      <c r="E4005">
        <v>0.5668609</v>
      </c>
      <c r="F4005" t="s">
        <v>39</v>
      </c>
      <c r="G4005">
        <v>-355.6859</v>
      </c>
      <c r="H4005" s="1">
        <v>-2.41014299999999E-6</v>
      </c>
      <c r="I4005">
        <v>16.362690000000001</v>
      </c>
      <c r="J4005">
        <v>-375.96730000000002</v>
      </c>
      <c r="K4005">
        <v>1.1110359999999999</v>
      </c>
      <c r="L4005">
        <v>17.67877</v>
      </c>
      <c r="M4005">
        <v>0.99958019999999903</v>
      </c>
      <c r="N4005">
        <v>0</v>
      </c>
      <c r="O4005">
        <v>-2.8390329999999998E-2</v>
      </c>
      <c r="P4005">
        <v>0.99198969999999898</v>
      </c>
      <c r="Q4005">
        <v>5.6793690000000001E-2</v>
      </c>
      <c r="R4005">
        <v>0.11283360000000001</v>
      </c>
      <c r="S4005">
        <v>3.0562740000000002</v>
      </c>
      <c r="T4005">
        <v>-0.16575379999999901</v>
      </c>
      <c r="U4005">
        <v>-0.19711300000000001</v>
      </c>
      <c r="V4005">
        <v>-0.14118749999999999</v>
      </c>
      <c r="W4005">
        <v>6.199371E-2</v>
      </c>
      <c r="X4005">
        <v>0.98803989999999997</v>
      </c>
      <c r="Y4005">
        <v>3.5991809999999999E-2</v>
      </c>
      <c r="Z4005">
        <v>5.6225290000000005E-4</v>
      </c>
      <c r="AA4005">
        <v>0.99935189999999996</v>
      </c>
      <c r="AB4005">
        <v>35</v>
      </c>
      <c r="AC4005">
        <v>20.281400000000001</v>
      </c>
      <c r="AD4005">
        <v>-1.111038410143</v>
      </c>
      <c r="AE4005">
        <v>-1.3160799999999899</v>
      </c>
      <c r="AF4005">
        <v>0.73754017115710202</v>
      </c>
      <c r="AG4005">
        <v>-1.111038410143</v>
      </c>
      <c r="AH4005">
        <v>20.250074001320201</v>
      </c>
      <c r="AI4005">
        <v>93.138358783724996</v>
      </c>
      <c r="AJ4005">
        <v>87.914117826728202</v>
      </c>
      <c r="AK4005">
        <v>20.293936752434899</v>
      </c>
    </row>
    <row r="4006" spans="1:37" x14ac:dyDescent="0.2">
      <c r="A4006" t="str">
        <f>"20200111154145268"</f>
        <v>20200111154145268</v>
      </c>
      <c r="B4006" t="str">
        <f>"1578728505259614"</f>
        <v>1578728505259614</v>
      </c>
      <c r="C4006" t="s">
        <v>37</v>
      </c>
      <c r="D4006">
        <v>5.4466109999999999</v>
      </c>
      <c r="E4006">
        <v>0.56754479999999996</v>
      </c>
      <c r="F4006" t="s">
        <v>38</v>
      </c>
      <c r="G4006">
        <v>-374.96699999999998</v>
      </c>
      <c r="H4006">
        <v>1.057129</v>
      </c>
      <c r="I4006">
        <v>17.613139999999898</v>
      </c>
      <c r="J4006">
        <v>-375.6352</v>
      </c>
      <c r="K4006">
        <v>1.1109849999999999</v>
      </c>
      <c r="L4006">
        <v>17.670529999999999</v>
      </c>
      <c r="M4006">
        <v>0.99961880000000003</v>
      </c>
      <c r="N4006">
        <v>0</v>
      </c>
      <c r="O4006">
        <v>-2.6995950000000001E-2</v>
      </c>
      <c r="P4006">
        <v>0.99216109999999902</v>
      </c>
      <c r="Q4006">
        <v>5.8245850000000002E-2</v>
      </c>
      <c r="R4006">
        <v>0.1105616</v>
      </c>
      <c r="S4006">
        <v>3.0564269999999998</v>
      </c>
      <c r="T4006">
        <v>-0.16469909999999999</v>
      </c>
      <c r="U4006">
        <v>-0.200103799999999</v>
      </c>
      <c r="V4006">
        <v>-0.13753859999999901</v>
      </c>
      <c r="W4006">
        <v>6.3458529999999999E-2</v>
      </c>
      <c r="X4006">
        <v>0.98846149999999999</v>
      </c>
      <c r="Y4006">
        <v>3.8351030000000001E-2</v>
      </c>
      <c r="Z4006">
        <v>4.202303E-4</v>
      </c>
      <c r="AA4006">
        <v>0.99926419999999905</v>
      </c>
      <c r="AB4006">
        <v>35</v>
      </c>
      <c r="AC4006">
        <v>0.66820000000001301</v>
      </c>
      <c r="AD4006">
        <v>-5.3856000000000098E-2</v>
      </c>
      <c r="AE4006">
        <v>-5.7390000000001599E-2</v>
      </c>
      <c r="AF4006">
        <v>3.90780896382453E-2</v>
      </c>
      <c r="AG4006">
        <v>-5.3856000000000098E-2</v>
      </c>
      <c r="AH4006">
        <v>0.66521609313389296</v>
      </c>
      <c r="AI4006">
        <v>94.620648817856903</v>
      </c>
      <c r="AJ4006">
        <v>86.638025799715095</v>
      </c>
      <c r="AK4006">
        <v>0.66853572558995999</v>
      </c>
    </row>
    <row r="4007" spans="1:37" x14ac:dyDescent="0.2">
      <c r="A4007" t="str">
        <f>"20200111154145282"</f>
        <v>20200111154145282</v>
      </c>
      <c r="B4007" t="str">
        <f>"1578728505270350"</f>
        <v>1578728505270350</v>
      </c>
      <c r="C4007" t="s">
        <v>37</v>
      </c>
      <c r="D4007">
        <v>5.4759339999999996</v>
      </c>
      <c r="E4007">
        <v>0.56779550000000001</v>
      </c>
      <c r="F4007" t="s">
        <v>39</v>
      </c>
      <c r="G4007">
        <v>-354.42860000000002</v>
      </c>
      <c r="H4007" s="1">
        <v>-2.9788580000000001E-6</v>
      </c>
      <c r="I4007">
        <v>16.197329999999901</v>
      </c>
      <c r="J4007">
        <v>-375.40870000000001</v>
      </c>
      <c r="K4007">
        <v>1.110951</v>
      </c>
      <c r="L4007">
        <v>17.665129999999898</v>
      </c>
      <c r="M4007">
        <v>0.99964339999999996</v>
      </c>
      <c r="N4007">
        <v>0</v>
      </c>
      <c r="O4007">
        <v>-2.6077759999999998E-2</v>
      </c>
      <c r="P4007">
        <v>0.99228320000000003</v>
      </c>
      <c r="Q4007">
        <v>5.8843109999999997E-2</v>
      </c>
      <c r="R4007">
        <v>0.1091415</v>
      </c>
      <c r="S4007">
        <v>3.0567929999999999</v>
      </c>
      <c r="T4007">
        <v>-0.16014210000000001</v>
      </c>
      <c r="U4007">
        <v>-0.21234130000000001</v>
      </c>
      <c r="V4007">
        <v>-0.13520979999999999</v>
      </c>
      <c r="W4007">
        <v>6.4064289999999996E-2</v>
      </c>
      <c r="X4007">
        <v>0.9887437</v>
      </c>
      <c r="Y4007">
        <v>4.3235910000000002E-2</v>
      </c>
      <c r="Z4007">
        <v>2.3280250000000001E-4</v>
      </c>
      <c r="AA4007">
        <v>0.99906489999999903</v>
      </c>
      <c r="AB4007">
        <v>35</v>
      </c>
      <c r="AC4007">
        <v>20.9801</v>
      </c>
      <c r="AD4007">
        <v>-1.1109539788580001</v>
      </c>
      <c r="AE4007">
        <v>-1.4678</v>
      </c>
      <c r="AF4007">
        <v>0.917617303067504</v>
      </c>
      <c r="AG4007">
        <v>-1.1109539788580001</v>
      </c>
      <c r="AH4007">
        <v>20.9527770760638</v>
      </c>
      <c r="AI4007">
        <v>93.032182385805598</v>
      </c>
      <c r="AJ4007">
        <v>87.492359869826402</v>
      </c>
      <c r="AK4007">
        <v>21.002264341190699</v>
      </c>
    </row>
    <row r="4008" spans="1:37" x14ac:dyDescent="0.2">
      <c r="A4008" t="str">
        <f>"20200111154145301"</f>
        <v>20200111154145301</v>
      </c>
      <c r="B4008" t="str">
        <f>"1578728505289870"</f>
        <v>1578728505289870</v>
      </c>
      <c r="C4008" t="s">
        <v>37</v>
      </c>
      <c r="D4008">
        <v>5.398002</v>
      </c>
      <c r="E4008">
        <v>0.56819489999999995</v>
      </c>
      <c r="F4008" t="s">
        <v>39</v>
      </c>
      <c r="G4008">
        <v>-354.04660000000001</v>
      </c>
      <c r="H4008" s="1">
        <v>-3.153433E-6</v>
      </c>
      <c r="I4008">
        <v>16.1372</v>
      </c>
      <c r="J4008">
        <v>-375.10390000000001</v>
      </c>
      <c r="K4008">
        <v>1.110908</v>
      </c>
      <c r="L4008">
        <v>17.658200000000001</v>
      </c>
      <c r="M4008">
        <v>0.999673699999999</v>
      </c>
      <c r="N4008">
        <v>0</v>
      </c>
      <c r="O4008">
        <v>-2.4890079999999998E-2</v>
      </c>
      <c r="P4008">
        <v>0.99258310000000005</v>
      </c>
      <c r="Q4008">
        <v>6.0118869999999998E-2</v>
      </c>
      <c r="R4008">
        <v>0.1056633</v>
      </c>
      <c r="S4008">
        <v>3.0568240000000002</v>
      </c>
      <c r="T4008">
        <v>-0.15897259999999999</v>
      </c>
      <c r="U4008">
        <v>-0.21862789999999999</v>
      </c>
      <c r="V4008">
        <v>-0.13056229999999999</v>
      </c>
      <c r="W4008">
        <v>6.5358570000000005E-2</v>
      </c>
      <c r="X4008">
        <v>0.98928340000000003</v>
      </c>
      <c r="Y4008">
        <v>4.6460880000000003E-2</v>
      </c>
      <c r="Z4008" s="1">
        <v>8.5776899999999995E-5</v>
      </c>
      <c r="AA4008">
        <v>0.99892009999999898</v>
      </c>
      <c r="AB4008">
        <v>35</v>
      </c>
      <c r="AC4008">
        <v>21.057300000000001</v>
      </c>
      <c r="AD4008">
        <v>-1.1109111534330001</v>
      </c>
      <c r="AE4008">
        <v>-1.5209999999999999</v>
      </c>
      <c r="AF4008">
        <v>0.99365101391142996</v>
      </c>
      <c r="AG4008">
        <v>-1.1109111534330001</v>
      </c>
      <c r="AH4008">
        <v>21.0304053270788</v>
      </c>
      <c r="AI4008">
        <v>93.020421360603706</v>
      </c>
      <c r="AJ4008">
        <v>87.294883283246193</v>
      </c>
      <c r="AK4008">
        <v>21.083154748506999</v>
      </c>
    </row>
    <row r="4009" spans="1:37" x14ac:dyDescent="0.2">
      <c r="A4009" t="str">
        <f>"20200111154145317"</f>
        <v>20200111154145317</v>
      </c>
      <c r="B4009" t="str">
        <f>"1578728505310367"</f>
        <v>1578728505310367</v>
      </c>
      <c r="C4009" t="s">
        <v>37</v>
      </c>
      <c r="D4009">
        <v>5.5011529999999897</v>
      </c>
      <c r="E4009">
        <v>0.56820979999999999</v>
      </c>
      <c r="F4009" t="s">
        <v>39</v>
      </c>
      <c r="G4009">
        <v>-353.93650000000002</v>
      </c>
      <c r="H4009" s="1">
        <v>-3.2165539999999998E-6</v>
      </c>
      <c r="I4009">
        <v>16.04767</v>
      </c>
      <c r="J4009">
        <v>-374.8646</v>
      </c>
      <c r="K4009">
        <v>1.1108739999999999</v>
      </c>
      <c r="L4009">
        <v>17.653020000000001</v>
      </c>
      <c r="M4009">
        <v>0.99969580000000002</v>
      </c>
      <c r="N4009">
        <v>0</v>
      </c>
      <c r="O4009">
        <v>-2.399252E-2</v>
      </c>
      <c r="P4009">
        <v>0.99273650000000002</v>
      </c>
      <c r="Q4009">
        <v>6.0484040000000003E-2</v>
      </c>
      <c r="R4009">
        <v>0.10400129999999901</v>
      </c>
      <c r="S4009">
        <v>3.056915</v>
      </c>
      <c r="T4009">
        <v>-0.1604331</v>
      </c>
      <c r="U4009">
        <v>-0.23257449999999999</v>
      </c>
      <c r="V4009">
        <v>-0.12801129999999999</v>
      </c>
      <c r="W4009">
        <v>6.5734459999999995E-2</v>
      </c>
      <c r="X4009">
        <v>0.98959189999999997</v>
      </c>
      <c r="Y4009">
        <v>5.1878430000000003E-2</v>
      </c>
      <c r="Z4009">
        <v>-1.023053E-4</v>
      </c>
      <c r="AA4009">
        <v>0.99865339999999903</v>
      </c>
      <c r="AB4009">
        <v>35</v>
      </c>
      <c r="AC4009">
        <v>20.928099999999901</v>
      </c>
      <c r="AD4009">
        <v>-1.110877216554</v>
      </c>
      <c r="AE4009">
        <v>-1.6053500000000001</v>
      </c>
      <c r="AF4009">
        <v>1.0996815172757399</v>
      </c>
      <c r="AG4009">
        <v>-1.110877216554</v>
      </c>
      <c r="AH4009">
        <v>20.9020442492819</v>
      </c>
      <c r="AI4009">
        <v>93.038032633836806</v>
      </c>
      <c r="AJ4009">
        <v>86.988377208502996</v>
      </c>
      <c r="AK4009">
        <v>20.960410335407001</v>
      </c>
    </row>
    <row r="4010" spans="1:37" x14ac:dyDescent="0.2">
      <c r="A4010" t="str">
        <f>"20200111154145336"</f>
        <v>20200111154145336</v>
      </c>
      <c r="B4010" t="str">
        <f>"1578728505329887"</f>
        <v>1578728505329887</v>
      </c>
      <c r="C4010" t="s">
        <v>37</v>
      </c>
      <c r="D4010">
        <v>5.5038790000000004</v>
      </c>
      <c r="E4010">
        <v>0.56813279999999999</v>
      </c>
      <c r="F4010" t="s">
        <v>39</v>
      </c>
      <c r="G4010">
        <v>-353.61919999999998</v>
      </c>
      <c r="H4010" s="1">
        <v>-3.3612160000000001E-6</v>
      </c>
      <c r="I4010">
        <v>15.99949</v>
      </c>
      <c r="J4010">
        <v>-374.55619999999999</v>
      </c>
      <c r="K4010">
        <v>1.110832</v>
      </c>
      <c r="L4010">
        <v>17.646550000000001</v>
      </c>
      <c r="M4010">
        <v>0.999721999999999</v>
      </c>
      <c r="N4010">
        <v>0</v>
      </c>
      <c r="O4010">
        <v>-2.2869690000000002E-2</v>
      </c>
      <c r="P4010">
        <v>0.99312959999999995</v>
      </c>
      <c r="Q4010">
        <v>6.1682799999999899E-2</v>
      </c>
      <c r="R4010">
        <v>9.9442970000000006E-2</v>
      </c>
      <c r="S4010">
        <v>3.05661</v>
      </c>
      <c r="T4010">
        <v>-0.15982379999999999</v>
      </c>
      <c r="U4010">
        <v>-0.237884499999999</v>
      </c>
      <c r="V4010">
        <v>-0.122348199999999</v>
      </c>
      <c r="W4010">
        <v>6.6956760000000004E-2</v>
      </c>
      <c r="X4010">
        <v>0.9902261</v>
      </c>
      <c r="Y4010">
        <v>5.4726980000000001E-2</v>
      </c>
      <c r="Z4010">
        <v>-2.3478069999999999E-4</v>
      </c>
      <c r="AA4010">
        <v>0.99850130000000004</v>
      </c>
      <c r="AB4010">
        <v>36</v>
      </c>
      <c r="AC4010">
        <v>20.937000000000001</v>
      </c>
      <c r="AD4010">
        <v>-1.110835361216</v>
      </c>
      <c r="AE4010">
        <v>-1.64706</v>
      </c>
      <c r="AF4010">
        <v>1.1645406680774999</v>
      </c>
      <c r="AG4010">
        <v>-1.110835361216</v>
      </c>
      <c r="AH4010">
        <v>20.910691720978299</v>
      </c>
      <c r="AI4010">
        <v>93.036160426334604</v>
      </c>
      <c r="AJ4010">
        <v>86.812424310393794</v>
      </c>
      <c r="AK4010">
        <v>20.972532951866398</v>
      </c>
    </row>
    <row r="4011" spans="1:37" x14ac:dyDescent="0.2">
      <c r="A4011" t="str">
        <f>"20200111154145350"</f>
        <v>20200111154145350</v>
      </c>
      <c r="B4011" t="str">
        <f>"1578728505339647"</f>
        <v>1578728505339647</v>
      </c>
      <c r="C4011" t="s">
        <v>37</v>
      </c>
      <c r="D4011">
        <v>5.5208120000000003</v>
      </c>
      <c r="E4011">
        <v>0.56810209999999906</v>
      </c>
      <c r="F4011" t="s">
        <v>39</v>
      </c>
      <c r="G4011">
        <v>-352.8802</v>
      </c>
      <c r="H4011" s="1">
        <v>-3.7026229999999999E-6</v>
      </c>
      <c r="I4011">
        <v>15.861989999999899</v>
      </c>
      <c r="J4011">
        <v>-374.32979999999998</v>
      </c>
      <c r="K4011">
        <v>1.110797</v>
      </c>
      <c r="L4011">
        <v>17.641999999999999</v>
      </c>
      <c r="M4011">
        <v>0.99974010000000002</v>
      </c>
      <c r="N4011">
        <v>0</v>
      </c>
      <c r="O4011">
        <v>-2.2070119999999999E-2</v>
      </c>
      <c r="P4011">
        <v>0.99331159999999996</v>
      </c>
      <c r="Q4011">
        <v>6.1875819999999998E-2</v>
      </c>
      <c r="R4011">
        <v>9.7485859999999994E-2</v>
      </c>
      <c r="S4011">
        <v>3.0556640000000002</v>
      </c>
      <c r="T4011">
        <v>-0.1565945</v>
      </c>
      <c r="U4011">
        <v>-0.25155639999999901</v>
      </c>
      <c r="V4011">
        <v>-0.11959839999999999</v>
      </c>
      <c r="W4011">
        <v>6.7161810000000002E-2</v>
      </c>
      <c r="X4011">
        <v>0.99054809999999904</v>
      </c>
      <c r="Y4011">
        <v>5.9981630000000001E-2</v>
      </c>
      <c r="Z4011">
        <v>-4.0527039999999997E-4</v>
      </c>
      <c r="AA4011">
        <v>0.99819939999999996</v>
      </c>
      <c r="AB4011">
        <v>36</v>
      </c>
      <c r="AC4011">
        <v>21.449599999999901</v>
      </c>
      <c r="AD4011">
        <v>-1.110800702623</v>
      </c>
      <c r="AE4011">
        <v>-1.7800100000000001</v>
      </c>
      <c r="AF4011">
        <v>1.30270369158876</v>
      </c>
      <c r="AG4011">
        <v>-1.110800702623</v>
      </c>
      <c r="AH4011">
        <v>21.426591116424799</v>
      </c>
      <c r="AI4011">
        <v>92.9622200163043</v>
      </c>
      <c r="AJ4011">
        <v>86.520787675155901</v>
      </c>
      <c r="AK4011">
        <v>21.494876644900302</v>
      </c>
    </row>
    <row r="4012" spans="1:37" x14ac:dyDescent="0.2">
      <c r="A4012" t="str">
        <f>"20200111154145368"</f>
        <v>20200111154145368</v>
      </c>
      <c r="B4012" t="str">
        <f>"1578728505360142"</f>
        <v>1578728505360142</v>
      </c>
      <c r="C4012" t="s">
        <v>37</v>
      </c>
      <c r="D4012">
        <v>5.51396</v>
      </c>
      <c r="E4012">
        <v>0.56799230000000001</v>
      </c>
      <c r="F4012" t="s">
        <v>39</v>
      </c>
      <c r="G4012">
        <v>-352.58530000000002</v>
      </c>
      <c r="H4012" s="1">
        <v>-3.8385039999999999E-6</v>
      </c>
      <c r="I4012">
        <v>15.809189999999999</v>
      </c>
      <c r="J4012">
        <v>-374.03230000000002</v>
      </c>
      <c r="K4012">
        <v>1.11076</v>
      </c>
      <c r="L4012">
        <v>17.636320000000001</v>
      </c>
      <c r="M4012">
        <v>0.99976219999999905</v>
      </c>
      <c r="N4012">
        <v>0</v>
      </c>
      <c r="O4012">
        <v>-2.104669E-2</v>
      </c>
      <c r="P4012">
        <v>0.99372450000000001</v>
      </c>
      <c r="Q4012">
        <v>6.2912300000000004E-2</v>
      </c>
      <c r="R4012">
        <v>9.2487509999999995E-2</v>
      </c>
      <c r="S4012">
        <v>3.0552060000000001</v>
      </c>
      <c r="T4012">
        <v>-0.15607289999999999</v>
      </c>
      <c r="U4012">
        <v>-0.25750729999999999</v>
      </c>
      <c r="V4012">
        <v>-0.11359329999999999</v>
      </c>
      <c r="W4012">
        <v>6.8223190000000003E-2</v>
      </c>
      <c r="X4012">
        <v>0.99118220000000001</v>
      </c>
      <c r="Y4012">
        <v>6.2941479999999994E-2</v>
      </c>
      <c r="Z4012">
        <v>-5.3149670000000003E-4</v>
      </c>
      <c r="AA4012">
        <v>0.99801709999999999</v>
      </c>
      <c r="AB4012">
        <v>36</v>
      </c>
      <c r="AC4012">
        <v>21.446999999999999</v>
      </c>
      <c r="AD4012">
        <v>-1.110763838504</v>
      </c>
      <c r="AE4012">
        <v>-1.8271299999999999</v>
      </c>
      <c r="AF4012">
        <v>1.37167678945967</v>
      </c>
      <c r="AG4012">
        <v>-1.110763838504</v>
      </c>
      <c r="AH4012">
        <v>21.423653868942001</v>
      </c>
      <c r="AI4012">
        <v>92.961933893858998</v>
      </c>
      <c r="AJ4012">
        <v>86.336565027406607</v>
      </c>
      <c r="AK4012">
        <v>21.4962377781765</v>
      </c>
    </row>
    <row r="4013" spans="1:37" x14ac:dyDescent="0.2">
      <c r="A4013" t="str">
        <f>"20200111154145381"</f>
        <v>20200111154145381</v>
      </c>
      <c r="B4013" t="str">
        <f>"1578728505369903"</f>
        <v>1578728505369903</v>
      </c>
      <c r="C4013" t="s">
        <v>37</v>
      </c>
      <c r="D4013">
        <v>5.4868309999999996</v>
      </c>
      <c r="E4013">
        <v>0.56789780000000001</v>
      </c>
      <c r="F4013" t="s">
        <v>39</v>
      </c>
      <c r="G4013">
        <v>-351.83</v>
      </c>
      <c r="H4013" s="1">
        <v>-4.1895380000000001E-6</v>
      </c>
      <c r="I4013">
        <v>15.6567899999999</v>
      </c>
      <c r="J4013">
        <v>-373.82040000000001</v>
      </c>
      <c r="K4013">
        <v>1.110733</v>
      </c>
      <c r="L4013">
        <v>17.632390000000001</v>
      </c>
      <c r="M4013">
        <v>0.99977709999999997</v>
      </c>
      <c r="N4013">
        <v>0</v>
      </c>
      <c r="O4013">
        <v>-2.0332699999999999E-2</v>
      </c>
      <c r="P4013">
        <v>0.99396589999999996</v>
      </c>
      <c r="Q4013">
        <v>6.2793450000000001E-2</v>
      </c>
      <c r="R4013">
        <v>8.9938729999999995E-2</v>
      </c>
      <c r="S4013">
        <v>3.0539860000000001</v>
      </c>
      <c r="T4013">
        <v>-0.15278839999999999</v>
      </c>
      <c r="U4013">
        <v>-0.27227779999999902</v>
      </c>
      <c r="V4013">
        <v>-0.11033699999999901</v>
      </c>
      <c r="W4013">
        <v>6.8118529999999997E-2</v>
      </c>
      <c r="X4013">
        <v>0.99155720000000003</v>
      </c>
      <c r="Y4013">
        <v>6.8471920000000006E-2</v>
      </c>
      <c r="Z4013">
        <v>-6.9402579999999997E-4</v>
      </c>
      <c r="AA4013">
        <v>0.99765280000000001</v>
      </c>
      <c r="AB4013">
        <v>36</v>
      </c>
      <c r="AC4013">
        <v>21.990400000000001</v>
      </c>
      <c r="AD4013">
        <v>-1.1107371895379901</v>
      </c>
      <c r="AE4013">
        <v>-1.9756</v>
      </c>
      <c r="AF4013">
        <v>1.5242026176307899</v>
      </c>
      <c r="AG4013">
        <v>-1.1107371895379901</v>
      </c>
      <c r="AH4013">
        <v>21.970420008897701</v>
      </c>
      <c r="AI4013">
        <v>92.887255065978195</v>
      </c>
      <c r="AJ4013">
        <v>86.031451580844504</v>
      </c>
      <c r="AK4013">
        <v>22.051219605527201</v>
      </c>
    </row>
    <row r="4014" spans="1:37" x14ac:dyDescent="0.2">
      <c r="A4014" t="str">
        <f>"20200111154145402"</f>
        <v>20200111154145402</v>
      </c>
      <c r="B4014" t="str">
        <f>"1578728505390398"</f>
        <v>1578728505390398</v>
      </c>
      <c r="C4014" t="s">
        <v>37</v>
      </c>
      <c r="D4014">
        <v>5.5492419999999996</v>
      </c>
      <c r="E4014">
        <v>0.56760730000000004</v>
      </c>
      <c r="F4014" t="s">
        <v>39</v>
      </c>
      <c r="G4014">
        <v>-351.87569999999999</v>
      </c>
      <c r="H4014" s="1">
        <v>-4.1757529999999997E-6</v>
      </c>
      <c r="I4014">
        <v>15.62402</v>
      </c>
      <c r="J4014">
        <v>-373.50049999999999</v>
      </c>
      <c r="K4014">
        <v>1.1106989999999901</v>
      </c>
      <c r="L4014">
        <v>17.626739999999899</v>
      </c>
      <c r="M4014">
        <v>0.99979799999999996</v>
      </c>
      <c r="N4014">
        <v>0</v>
      </c>
      <c r="O4014">
        <v>-1.9280430000000001E-2</v>
      </c>
      <c r="P4014">
        <v>0.99446540000000005</v>
      </c>
      <c r="Q4014">
        <v>6.2466130000000002E-2</v>
      </c>
      <c r="R4014">
        <v>8.4480769999999997E-2</v>
      </c>
      <c r="S4014">
        <v>3.05325299999999</v>
      </c>
      <c r="T4014">
        <v>-0.15454109999999999</v>
      </c>
      <c r="U4014">
        <v>-0.27941890000000003</v>
      </c>
      <c r="V4014">
        <v>-0.1038395</v>
      </c>
      <c r="W4014">
        <v>6.78174E-2</v>
      </c>
      <c r="X4014">
        <v>0.99227929999999998</v>
      </c>
      <c r="Y4014">
        <v>7.1850170000000005E-2</v>
      </c>
      <c r="Z4014">
        <v>-8.4042579999999995E-4</v>
      </c>
      <c r="AA4014">
        <v>0.9974151</v>
      </c>
      <c r="AB4014">
        <v>36</v>
      </c>
      <c r="AC4014">
        <v>21.6248</v>
      </c>
      <c r="AD4014">
        <v>-1.1107031757529999</v>
      </c>
      <c r="AE4014">
        <v>-2.0027199999999898</v>
      </c>
      <c r="AF4014">
        <v>1.5812694750138001</v>
      </c>
      <c r="AG4014">
        <v>-1.1107031757529999</v>
      </c>
      <c r="AH4014">
        <v>21.6028880730174</v>
      </c>
      <c r="AI4014">
        <v>92.935406779607305</v>
      </c>
      <c r="AJ4014">
        <v>85.813579241472297</v>
      </c>
      <c r="AK4014">
        <v>21.6891412414728</v>
      </c>
    </row>
    <row r="4015" spans="1:37" x14ac:dyDescent="0.2">
      <c r="A4015" t="str">
        <f>"20200111154145423"</f>
        <v>20200111154145423</v>
      </c>
      <c r="B4015" t="str">
        <f>"1578728505419678"</f>
        <v>1578728505419678</v>
      </c>
      <c r="C4015" t="s">
        <v>37</v>
      </c>
      <c r="D4015">
        <v>5.4994069999999997</v>
      </c>
      <c r="E4015">
        <v>0.56701250000000003</v>
      </c>
      <c r="F4015" t="s">
        <v>39</v>
      </c>
      <c r="G4015">
        <v>-351.89909999999998</v>
      </c>
      <c r="H4015" s="1">
        <v>-4.1795700000000002E-6</v>
      </c>
      <c r="I4015">
        <v>15.54585</v>
      </c>
      <c r="J4015">
        <v>-373.15789999999998</v>
      </c>
      <c r="K4015">
        <v>1.1106670000000001</v>
      </c>
      <c r="L4015">
        <v>17.621089999999999</v>
      </c>
      <c r="M4015">
        <v>0.9998186</v>
      </c>
      <c r="N4015">
        <v>0</v>
      </c>
      <c r="O4015">
        <v>-1.8180700000000001E-2</v>
      </c>
      <c r="P4015">
        <v>0.99489050000000001</v>
      </c>
      <c r="Q4015">
        <v>6.2077689999999998E-2</v>
      </c>
      <c r="R4015">
        <v>7.961994E-2</v>
      </c>
      <c r="S4015">
        <v>3.0515140000000001</v>
      </c>
      <c r="T4015">
        <v>-0.1569036</v>
      </c>
      <c r="U4015">
        <v>-0.29394530000000002</v>
      </c>
      <c r="V4015">
        <v>-9.7889160000000003E-2</v>
      </c>
      <c r="W4015">
        <v>6.7453449999999998E-2</v>
      </c>
      <c r="X4015">
        <v>0.99290869999999998</v>
      </c>
      <c r="Y4015">
        <v>7.7692949999999997E-2</v>
      </c>
      <c r="Z4015">
        <v>-1.059677E-3</v>
      </c>
      <c r="AA4015">
        <v>0.9969768</v>
      </c>
      <c r="AB4015">
        <v>36</v>
      </c>
      <c r="AC4015">
        <v>21.258800000000001</v>
      </c>
      <c r="AD4015">
        <v>-1.1106711795699999</v>
      </c>
      <c r="AE4015">
        <v>-2.0752399999999902</v>
      </c>
      <c r="AF4015">
        <v>1.68383813235754</v>
      </c>
      <c r="AG4015">
        <v>-1.1106711795699999</v>
      </c>
      <c r="AH4015">
        <v>21.2355992827768</v>
      </c>
      <c r="AI4015">
        <v>92.984623282595706</v>
      </c>
      <c r="AJ4015">
        <v>85.466321431271595</v>
      </c>
      <c r="AK4015">
        <v>21.331187923408802</v>
      </c>
    </row>
    <row r="4016" spans="1:37" x14ac:dyDescent="0.2">
      <c r="A4016" t="str">
        <f>"20200111154145436"</f>
        <v>20200111154145436</v>
      </c>
      <c r="B4016" t="str">
        <f>"1578728505430415"</f>
        <v>1578728505430415</v>
      </c>
      <c r="C4016" t="s">
        <v>37</v>
      </c>
      <c r="D4016">
        <v>5.5359280000000002</v>
      </c>
      <c r="E4016">
        <v>0.56680730000000001</v>
      </c>
      <c r="F4016" t="s">
        <v>39</v>
      </c>
      <c r="G4016">
        <v>-351.89319999999998</v>
      </c>
      <c r="H4016" s="1">
        <v>-4.1903999999999997E-6</v>
      </c>
      <c r="I4016">
        <v>15.49905</v>
      </c>
      <c r="J4016">
        <v>-372.95310000000001</v>
      </c>
      <c r="K4016">
        <v>1.110649</v>
      </c>
      <c r="L4016">
        <v>17.61786</v>
      </c>
      <c r="M4016">
        <v>0.99982990000000005</v>
      </c>
      <c r="N4016">
        <v>0</v>
      </c>
      <c r="O4016">
        <v>-1.7538939999999999E-2</v>
      </c>
      <c r="P4016">
        <v>0.99504190000000003</v>
      </c>
      <c r="Q4016">
        <v>6.204875E-2</v>
      </c>
      <c r="R4016">
        <v>7.7726740000000002E-2</v>
      </c>
      <c r="S4016">
        <v>3.0496829999999999</v>
      </c>
      <c r="T4016">
        <v>-0.15928719999999999</v>
      </c>
      <c r="U4016">
        <v>-0.30432129999999902</v>
      </c>
      <c r="V4016">
        <v>-9.535884E-2</v>
      </c>
      <c r="W4016">
        <v>6.7434910000000001E-2</v>
      </c>
      <c r="X4016">
        <v>0.99315620000000004</v>
      </c>
      <c r="Y4016">
        <v>8.1740289999999993E-2</v>
      </c>
      <c r="Z4016">
        <v>-1.2149859999999999E-3</v>
      </c>
      <c r="AA4016">
        <v>0.99665289999999995</v>
      </c>
      <c r="AB4016">
        <v>36</v>
      </c>
      <c r="AC4016">
        <v>21.059899999999999</v>
      </c>
      <c r="AD4016">
        <v>-1.1106531904000001</v>
      </c>
      <c r="AE4016">
        <v>-2.1188099999999999</v>
      </c>
      <c r="AF4016">
        <v>1.7443069533640401</v>
      </c>
      <c r="AG4016">
        <v>-1.1106531904000001</v>
      </c>
      <c r="AH4016">
        <v>21.0359023619474</v>
      </c>
      <c r="AI4016">
        <v>93.011977252365298</v>
      </c>
      <c r="AJ4016">
        <v>85.259851181659897</v>
      </c>
      <c r="AK4016">
        <v>21.137297496091701</v>
      </c>
    </row>
    <row r="4017" spans="1:37" x14ac:dyDescent="0.2">
      <c r="A4017" t="str">
        <f>"20200111154145448"</f>
        <v>20200111154145448</v>
      </c>
      <c r="B4017" t="str">
        <f>"1578728505440175"</f>
        <v>1578728505440175</v>
      </c>
      <c r="C4017" t="s">
        <v>37</v>
      </c>
      <c r="D4017">
        <v>5.5250180000000002</v>
      </c>
      <c r="E4017">
        <v>0.56654789999999999</v>
      </c>
      <c r="F4017" t="s">
        <v>39</v>
      </c>
      <c r="G4017">
        <v>-351.74959999999999</v>
      </c>
      <c r="H4017" s="1">
        <v>-4.2569029999999997E-6</v>
      </c>
      <c r="I4017">
        <v>15.47151</v>
      </c>
      <c r="J4017">
        <v>-372.73509999999999</v>
      </c>
      <c r="K4017">
        <v>1.110633</v>
      </c>
      <c r="L4017">
        <v>17.614560000000001</v>
      </c>
      <c r="M4017">
        <v>0.999841599999999</v>
      </c>
      <c r="N4017">
        <v>0</v>
      </c>
      <c r="O4017">
        <v>-1.6862720000000001E-2</v>
      </c>
      <c r="P4017">
        <v>0.99519749999999996</v>
      </c>
      <c r="Q4017">
        <v>6.2076550000000001E-2</v>
      </c>
      <c r="R4017">
        <v>7.5686639999999999E-2</v>
      </c>
      <c r="S4017">
        <v>3.0489809999999999</v>
      </c>
      <c r="T4017">
        <v>-0.1597075</v>
      </c>
      <c r="U4017">
        <v>-0.30862430000000002</v>
      </c>
      <c r="V4017">
        <v>-9.2646530000000005E-2</v>
      </c>
      <c r="W4017">
        <v>6.7474870000000006E-2</v>
      </c>
      <c r="X4017">
        <v>0.99341019999999902</v>
      </c>
      <c r="Y4017">
        <v>8.38251E-2</v>
      </c>
      <c r="Z4017">
        <v>-1.3080959999999999E-3</v>
      </c>
      <c r="AA4017">
        <v>0.99647960000000002</v>
      </c>
      <c r="AB4017">
        <v>36</v>
      </c>
      <c r="AC4017">
        <v>20.985499999999998</v>
      </c>
      <c r="AD4017">
        <v>-1.1106372569030001</v>
      </c>
      <c r="AE4017">
        <v>-2.1430500000000001</v>
      </c>
      <c r="AF4017">
        <v>1.7839218205535099</v>
      </c>
      <c r="AG4017">
        <v>-1.1106372569030001</v>
      </c>
      <c r="AH4017">
        <v>20.9605507215534</v>
      </c>
      <c r="AI4017">
        <v>93.022191060134304</v>
      </c>
      <c r="AJ4017">
        <v>85.135362995623893</v>
      </c>
      <c r="AK4017">
        <v>21.065625524277301</v>
      </c>
    </row>
    <row r="4018" spans="1:37" x14ac:dyDescent="0.2">
      <c r="A4018" t="str">
        <f>"20200111154145461"</f>
        <v>20200111154145461</v>
      </c>
      <c r="B4018" t="str">
        <f>"1578728505449935"</f>
        <v>1578728505449935</v>
      </c>
      <c r="C4018" t="s">
        <v>37</v>
      </c>
      <c r="D4018">
        <v>5.560721</v>
      </c>
      <c r="E4018">
        <v>0.56633529999999999</v>
      </c>
      <c r="F4018" t="s">
        <v>39</v>
      </c>
      <c r="G4018">
        <v>-351.66879999999998</v>
      </c>
      <c r="H4018" s="1">
        <v>-4.2948500000000001E-6</v>
      </c>
      <c r="I4018">
        <v>15.452929999999901</v>
      </c>
      <c r="J4018">
        <v>-372.52370000000002</v>
      </c>
      <c r="K4018">
        <v>1.110616</v>
      </c>
      <c r="L4018">
        <v>17.611509999999999</v>
      </c>
      <c r="M4018">
        <v>0.99985239999999997</v>
      </c>
      <c r="N4018">
        <v>0</v>
      </c>
      <c r="O4018">
        <v>-1.6214639999999999E-2</v>
      </c>
      <c r="P4018">
        <v>0.99530249999999998</v>
      </c>
      <c r="Q4018">
        <v>6.2661350000000005E-2</v>
      </c>
      <c r="R4018">
        <v>7.3801850000000002E-2</v>
      </c>
      <c r="S4018">
        <v>3.048279</v>
      </c>
      <c r="T4018">
        <v>-0.160708399999999</v>
      </c>
      <c r="U4018">
        <v>-0.31277470000000002</v>
      </c>
      <c r="V4018">
        <v>-9.0118749999999997E-2</v>
      </c>
      <c r="W4018">
        <v>6.8070019999999995E-2</v>
      </c>
      <c r="X4018">
        <v>0.99360210000000004</v>
      </c>
      <c r="Y4018">
        <v>8.5831809999999994E-2</v>
      </c>
      <c r="Z4018">
        <v>-1.403257E-3</v>
      </c>
      <c r="AA4018">
        <v>0.99630859999999899</v>
      </c>
      <c r="AB4018">
        <v>36</v>
      </c>
      <c r="AC4018">
        <v>20.854900000000001</v>
      </c>
      <c r="AD4018">
        <v>-1.1106202948499999</v>
      </c>
      <c r="AE4018">
        <v>-2.1585800000000002</v>
      </c>
      <c r="AF4018">
        <v>1.8150430567507301</v>
      </c>
      <c r="AG4018">
        <v>-1.1106202948499999</v>
      </c>
      <c r="AH4018">
        <v>20.828714077832199</v>
      </c>
      <c r="AI4018">
        <v>93.040710549215504</v>
      </c>
      <c r="AJ4018">
        <v>85.019746868526099</v>
      </c>
      <c r="AK4018">
        <v>20.937124656296</v>
      </c>
    </row>
    <row r="4019" spans="1:37" x14ac:dyDescent="0.2">
      <c r="A4019" t="str">
        <f>"20200111154145480"</f>
        <v>20200111154145480</v>
      </c>
      <c r="B4019" t="str">
        <f>"1578728505470430"</f>
        <v>1578728505470430</v>
      </c>
      <c r="C4019" t="s">
        <v>37</v>
      </c>
      <c r="D4019">
        <v>5.5391449999999898</v>
      </c>
      <c r="E4019">
        <v>0.56576890000000002</v>
      </c>
      <c r="F4019" t="s">
        <v>39</v>
      </c>
      <c r="G4019">
        <v>-351.33190000000002</v>
      </c>
      <c r="H4019" s="1">
        <v>-4.4470519999999997E-6</v>
      </c>
      <c r="I4019">
        <v>15.40967</v>
      </c>
      <c r="J4019">
        <v>-372.22210000000001</v>
      </c>
      <c r="K4019">
        <v>1.1105929999999999</v>
      </c>
      <c r="L4019">
        <v>17.60736</v>
      </c>
      <c r="M4019">
        <v>0.9998667</v>
      </c>
      <c r="N4019">
        <v>0</v>
      </c>
      <c r="O4019">
        <v>-1.530813E-2</v>
      </c>
      <c r="P4019">
        <v>0.99553939999999996</v>
      </c>
      <c r="Q4019">
        <v>6.2985550000000001E-2</v>
      </c>
      <c r="R4019">
        <v>7.024437E-2</v>
      </c>
      <c r="S4019">
        <v>3.0477289999999999</v>
      </c>
      <c r="T4019">
        <v>-0.15972610000000001</v>
      </c>
      <c r="U4019">
        <v>-0.3166504</v>
      </c>
      <c r="V4019">
        <v>-8.5661780000000007E-2</v>
      </c>
      <c r="W4019">
        <v>6.8412539999999994E-2</v>
      </c>
      <c r="X4019">
        <v>0.99397269999999904</v>
      </c>
      <c r="Y4019">
        <v>8.8003689999999996E-2</v>
      </c>
      <c r="Z4019">
        <v>-1.4988989999999999E-3</v>
      </c>
      <c r="AA4019">
        <v>0.99611899999999998</v>
      </c>
      <c r="AB4019">
        <v>36</v>
      </c>
      <c r="AC4019">
        <v>20.8902</v>
      </c>
      <c r="AD4019">
        <v>-1.1105974470519999</v>
      </c>
      <c r="AE4019">
        <v>-2.1976899999999899</v>
      </c>
      <c r="AF4019">
        <v>1.8724032566027899</v>
      </c>
      <c r="AG4019">
        <v>-1.1105974470519999</v>
      </c>
      <c r="AH4019">
        <v>20.863073970096501</v>
      </c>
      <c r="AI4019">
        <v>93.034956945708402</v>
      </c>
      <c r="AJ4019">
        <v>84.871601621468599</v>
      </c>
      <c r="AK4019">
        <v>20.9763480169083</v>
      </c>
    </row>
    <row r="4020" spans="1:37" x14ac:dyDescent="0.2">
      <c r="A4020" t="str">
        <f>"20200111154145492"</f>
        <v>20200111154145492</v>
      </c>
      <c r="B4020" t="str">
        <f>"1578728505489952"</f>
        <v>1578728505489952</v>
      </c>
      <c r="C4020" t="s">
        <v>37</v>
      </c>
      <c r="D4020">
        <v>5.5419219999999996</v>
      </c>
      <c r="E4020">
        <v>0.56523140000000005</v>
      </c>
      <c r="F4020" t="s">
        <v>39</v>
      </c>
      <c r="G4020">
        <v>-351.22379999999998</v>
      </c>
      <c r="H4020" s="1">
        <v>-4.4980050000000003E-6</v>
      </c>
      <c r="I4020">
        <v>15.384029999999999</v>
      </c>
      <c r="J4020">
        <v>-372.0154</v>
      </c>
      <c r="K4020">
        <v>1.110573</v>
      </c>
      <c r="L4020">
        <v>17.604710000000001</v>
      </c>
      <c r="M4020">
        <v>0.99987579999999998</v>
      </c>
      <c r="N4020">
        <v>0</v>
      </c>
      <c r="O4020">
        <v>-1.469854E-2</v>
      </c>
      <c r="P4020">
        <v>0.99563109999999999</v>
      </c>
      <c r="Q4020">
        <v>6.3459810000000005E-2</v>
      </c>
      <c r="R4020">
        <v>6.8495130000000001E-2</v>
      </c>
      <c r="S4020">
        <v>3.0463559999999998</v>
      </c>
      <c r="T4020">
        <v>-0.16112109999999999</v>
      </c>
      <c r="U4020">
        <v>-0.3225403</v>
      </c>
      <c r="V4020">
        <v>-8.3307419999999993E-2</v>
      </c>
      <c r="W4020">
        <v>6.8897749999999994E-2</v>
      </c>
      <c r="X4020">
        <v>0.99413929999999995</v>
      </c>
      <c r="Y4020">
        <v>9.0555640000000007E-2</v>
      </c>
      <c r="Z4020">
        <v>-1.6118650000000001E-3</v>
      </c>
      <c r="AA4020">
        <v>0.9958901</v>
      </c>
      <c r="AB4020">
        <v>36</v>
      </c>
      <c r="AC4020">
        <v>20.791599999999999</v>
      </c>
      <c r="AD4020">
        <v>-1.1105774980050001</v>
      </c>
      <c r="AE4020">
        <v>-2.2206800000000002</v>
      </c>
      <c r="AF4020">
        <v>1.9094425423249399</v>
      </c>
      <c r="AG4020">
        <v>-1.1105774980050001</v>
      </c>
      <c r="AH4020">
        <v>20.763422489007802</v>
      </c>
      <c r="AI4020">
        <v>93.048833411671794</v>
      </c>
      <c r="AJ4020">
        <v>84.745753107462306</v>
      </c>
      <c r="AK4020">
        <v>20.880590668334801</v>
      </c>
    </row>
    <row r="4021" spans="1:37" x14ac:dyDescent="0.2">
      <c r="A4021" t="str">
        <f>"20200111154145505"</f>
        <v>20200111154145505</v>
      </c>
      <c r="B4021" t="str">
        <f>"1578728505499710"</f>
        <v>1578728505499710</v>
      </c>
      <c r="C4021" t="s">
        <v>37</v>
      </c>
      <c r="D4021">
        <v>5.532197</v>
      </c>
      <c r="E4021">
        <v>0.56490810000000002</v>
      </c>
      <c r="F4021" t="s">
        <v>39</v>
      </c>
      <c r="G4021">
        <v>-351.06</v>
      </c>
      <c r="H4021" s="1">
        <v>-4.5688569999999901E-6</v>
      </c>
      <c r="I4021">
        <v>15.380610000000001</v>
      </c>
      <c r="J4021">
        <v>-371.81130000000002</v>
      </c>
      <c r="K4021">
        <v>1.1105579999999999</v>
      </c>
      <c r="L4021">
        <v>17.60211</v>
      </c>
      <c r="M4021">
        <v>0.99988429999999995</v>
      </c>
      <c r="N4021">
        <v>0</v>
      </c>
      <c r="O4021">
        <v>-1.410279E-2</v>
      </c>
      <c r="P4021">
        <v>0.99570309999999995</v>
      </c>
      <c r="Q4021">
        <v>6.3693910000000006E-2</v>
      </c>
      <c r="R4021">
        <v>6.7220249999999995E-2</v>
      </c>
      <c r="S4021">
        <v>3.04568499999999</v>
      </c>
      <c r="T4021">
        <v>-0.16141340000000001</v>
      </c>
      <c r="U4021">
        <v>-0.32324219999999998</v>
      </c>
      <c r="V4021">
        <v>-8.1439129999999998E-2</v>
      </c>
      <c r="W4021">
        <v>6.9140869999999993E-2</v>
      </c>
      <c r="X4021">
        <v>0.99427719999999897</v>
      </c>
      <c r="Y4021">
        <v>9.1396519999999995E-2</v>
      </c>
      <c r="Z4021">
        <v>-1.6687729999999999E-3</v>
      </c>
      <c r="AA4021">
        <v>0.99581319999999995</v>
      </c>
      <c r="AB4021">
        <v>37</v>
      </c>
      <c r="AC4021">
        <v>20.751300000000001</v>
      </c>
      <c r="AD4021">
        <v>-1.110562568857</v>
      </c>
      <c r="AE4021">
        <v>-2.22149999999999</v>
      </c>
      <c r="AF4021">
        <v>1.9231772325777401</v>
      </c>
      <c r="AG4021">
        <v>-1.110562568857</v>
      </c>
      <c r="AH4021">
        <v>20.7218880129792</v>
      </c>
      <c r="AI4021">
        <v>93.054655267022994</v>
      </c>
      <c r="AJ4021">
        <v>84.697626501728294</v>
      </c>
      <c r="AK4021">
        <v>20.8405518811212</v>
      </c>
    </row>
    <row r="4022" spans="1:37" x14ac:dyDescent="0.2">
      <c r="A4022" t="str">
        <f>"20200111154145524"</f>
        <v>20200111154145524</v>
      </c>
      <c r="B4022" t="str">
        <f>"1578728505520206"</f>
        <v>1578728505520206</v>
      </c>
      <c r="C4022" t="s">
        <v>37</v>
      </c>
      <c r="D4022">
        <v>5.5448750000000002</v>
      </c>
      <c r="E4022">
        <v>0.56431919999999902</v>
      </c>
      <c r="F4022" t="s">
        <v>38</v>
      </c>
      <c r="G4022">
        <v>-370.78699999999998</v>
      </c>
      <c r="H4022">
        <v>1.0560160000000001</v>
      </c>
      <c r="I4022">
        <v>17.492750000000001</v>
      </c>
      <c r="J4022">
        <v>-371.510999999999</v>
      </c>
      <c r="K4022">
        <v>1.1105370000000001</v>
      </c>
      <c r="L4022">
        <v>17.598569999999999</v>
      </c>
      <c r="M4022">
        <v>0.99989619999999901</v>
      </c>
      <c r="N4022">
        <v>0</v>
      </c>
      <c r="O4022">
        <v>-1.324469E-2</v>
      </c>
      <c r="P4022">
        <v>0.99588729999999903</v>
      </c>
      <c r="Q4022">
        <v>6.3753889999999994E-2</v>
      </c>
      <c r="R4022">
        <v>6.4374669999999995E-2</v>
      </c>
      <c r="S4022">
        <v>3.045166</v>
      </c>
      <c r="T4022">
        <v>-0.16217429999999999</v>
      </c>
      <c r="U4022">
        <v>-0.32415769999999999</v>
      </c>
      <c r="V4022">
        <v>-7.7739160000000002E-2</v>
      </c>
      <c r="W4022">
        <v>6.9217909999999994E-2</v>
      </c>
      <c r="X4022">
        <v>0.99456800000000001</v>
      </c>
      <c r="Y4022">
        <v>9.2561009999999999E-2</v>
      </c>
      <c r="Z4022">
        <v>-1.753306E-3</v>
      </c>
      <c r="AA4022">
        <v>0.99570550000000002</v>
      </c>
      <c r="AB4022">
        <v>37</v>
      </c>
      <c r="AC4022">
        <v>0.72399999999998899</v>
      </c>
      <c r="AD4022">
        <v>-5.4521E-2</v>
      </c>
      <c r="AE4022">
        <v>-0.105820000000001</v>
      </c>
      <c r="AF4022">
        <v>9.5690110753902602E-2</v>
      </c>
      <c r="AG4022">
        <v>-5.4521E-2</v>
      </c>
      <c r="AH4022">
        <v>0.721333033496668</v>
      </c>
      <c r="AI4022">
        <v>94.285009172445797</v>
      </c>
      <c r="AJ4022">
        <v>82.4434158643556</v>
      </c>
      <c r="AK4022">
        <v>0.72969204596911996</v>
      </c>
    </row>
    <row r="4023" spans="1:37" x14ac:dyDescent="0.2">
      <c r="A4023" t="str">
        <f>"20200111154145546"</f>
        <v>20200111154145546</v>
      </c>
      <c r="B4023" t="str">
        <f>"1578728505539727"</f>
        <v>1578728505539727</v>
      </c>
      <c r="C4023" t="s">
        <v>37</v>
      </c>
      <c r="D4023">
        <v>5.5896099999999898</v>
      </c>
      <c r="E4023">
        <v>0.55043869999999995</v>
      </c>
      <c r="F4023" t="s">
        <v>38</v>
      </c>
      <c r="G4023">
        <v>-370.45830000000001</v>
      </c>
      <c r="H4023">
        <v>1.05461</v>
      </c>
      <c r="I4023">
        <v>17.485279999999999</v>
      </c>
      <c r="J4023">
        <v>-371.14210000000003</v>
      </c>
      <c r="K4023">
        <v>1.1105020000000001</v>
      </c>
      <c r="L4023">
        <v>17.594539999999999</v>
      </c>
      <c r="M4023">
        <v>0.9999091</v>
      </c>
      <c r="N4023">
        <v>0</v>
      </c>
      <c r="O4023">
        <v>-1.221995E-2</v>
      </c>
      <c r="P4023">
        <v>0.99604400000000004</v>
      </c>
      <c r="Q4023">
        <v>6.3361039999999993E-2</v>
      </c>
      <c r="R4023">
        <v>6.2302870000000003E-2</v>
      </c>
      <c r="S4023">
        <v>3.0439150000000001</v>
      </c>
      <c r="T4023">
        <v>-0.1617382</v>
      </c>
      <c r="U4023">
        <v>-0.3274841</v>
      </c>
      <c r="V4023">
        <v>-7.4644379999999996E-2</v>
      </c>
      <c r="W4023">
        <v>6.8842109999999998E-2</v>
      </c>
      <c r="X4023">
        <v>0.99483109999999997</v>
      </c>
      <c r="Y4023">
        <v>9.4696210000000003E-2</v>
      </c>
      <c r="Z4023">
        <v>-1.8599679999999901E-3</v>
      </c>
      <c r="AA4023">
        <v>0.99550450000000001</v>
      </c>
      <c r="AB4023">
        <v>37</v>
      </c>
      <c r="AC4023">
        <v>0.68380000000001895</v>
      </c>
      <c r="AD4023">
        <v>-5.5891999999999997E-2</v>
      </c>
      <c r="AE4023">
        <v>-0.109259999999999</v>
      </c>
      <c r="AF4023">
        <v>0.100242656434344</v>
      </c>
      <c r="AG4023">
        <v>-5.5891999999999997E-2</v>
      </c>
      <c r="AH4023">
        <v>0.68064990552955595</v>
      </c>
      <c r="AI4023">
        <v>94.644470861329694</v>
      </c>
      <c r="AJ4023">
        <v>81.621995258892397</v>
      </c>
      <c r="AK4023">
        <v>0.69025850210657202</v>
      </c>
    </row>
    <row r="4024" spans="1:37" x14ac:dyDescent="0.2">
      <c r="A4024" t="str">
        <f>"20200111154145558"</f>
        <v>20200111154145558</v>
      </c>
      <c r="B4024" t="str">
        <f>"1578728505550463"</f>
        <v>1578728505550463</v>
      </c>
      <c r="C4024" t="s">
        <v>37</v>
      </c>
      <c r="D4024">
        <v>5.5911900000000001</v>
      </c>
      <c r="E4024">
        <v>0.55063809999999902</v>
      </c>
      <c r="F4024" t="s">
        <v>38</v>
      </c>
      <c r="G4024">
        <v>-370.13369999999998</v>
      </c>
      <c r="H4024">
        <v>1.048548</v>
      </c>
      <c r="I4024">
        <v>17.520050000000001</v>
      </c>
      <c r="J4024">
        <v>-370.93279999999999</v>
      </c>
      <c r="K4024">
        <v>1.1104879999999999</v>
      </c>
      <c r="L4024">
        <v>17.59244</v>
      </c>
      <c r="M4024">
        <v>0.99991589999999997</v>
      </c>
      <c r="N4024">
        <v>0</v>
      </c>
      <c r="O4024">
        <v>-1.165186E-2</v>
      </c>
      <c r="P4024">
        <v>0.99612049999999996</v>
      </c>
      <c r="Q4024">
        <v>6.305653E-2</v>
      </c>
      <c r="R4024">
        <v>6.1384229999999998E-2</v>
      </c>
      <c r="S4024">
        <v>3.0377809999999998</v>
      </c>
      <c r="T4024">
        <v>-0.18672329999999901</v>
      </c>
      <c r="U4024">
        <v>-0.2233887</v>
      </c>
      <c r="V4024">
        <v>-7.3158619999999994E-2</v>
      </c>
      <c r="W4024">
        <v>6.8546679999999999E-2</v>
      </c>
      <c r="X4024">
        <v>0.99496189999999995</v>
      </c>
      <c r="Y4024">
        <v>6.1619340000000002E-2</v>
      </c>
      <c r="Z4024">
        <v>-1.174958E-3</v>
      </c>
      <c r="AA4024">
        <v>0.99809899999999996</v>
      </c>
      <c r="AB4024">
        <v>37</v>
      </c>
      <c r="AC4024">
        <v>0.79910000000000903</v>
      </c>
      <c r="AD4024">
        <v>-6.1939999999999801E-2</v>
      </c>
      <c r="AE4024">
        <v>-7.2389999999998594E-2</v>
      </c>
      <c r="AF4024">
        <v>6.2700287449423395E-2</v>
      </c>
      <c r="AG4024">
        <v>-6.1939999999999801E-2</v>
      </c>
      <c r="AH4024">
        <v>0.79515075103920696</v>
      </c>
      <c r="AI4024">
        <v>94.440456542515193</v>
      </c>
      <c r="AJ4024">
        <v>85.491366006294797</v>
      </c>
      <c r="AK4024">
        <v>0.80002037881822496</v>
      </c>
    </row>
    <row r="4025" spans="1:37" x14ac:dyDescent="0.2">
      <c r="A4025" t="str">
        <f>"20200111154145571"</f>
        <v>20200111154145571</v>
      </c>
      <c r="B4025" t="str">
        <f>"1578728505560223"</f>
        <v>1578728505560223</v>
      </c>
      <c r="C4025" t="s">
        <v>37</v>
      </c>
      <c r="D4025">
        <v>5.5832519999999999</v>
      </c>
      <c r="E4025">
        <v>0.55159360000000002</v>
      </c>
      <c r="F4025" t="s">
        <v>39</v>
      </c>
      <c r="G4025">
        <v>-352.83260000000001</v>
      </c>
      <c r="H4025" s="1">
        <v>-3.6565149999999998E-6</v>
      </c>
      <c r="I4025">
        <v>16.237020000000001</v>
      </c>
      <c r="J4025">
        <v>-370.7192</v>
      </c>
      <c r="K4025">
        <v>1.1104750000000001</v>
      </c>
      <c r="L4025">
        <v>17.590389999999999</v>
      </c>
      <c r="M4025">
        <v>0.99992239999999999</v>
      </c>
      <c r="N4025">
        <v>0</v>
      </c>
      <c r="O4025">
        <v>-1.1082939999999999E-2</v>
      </c>
      <c r="P4025">
        <v>0.99618519999999899</v>
      </c>
      <c r="Q4025">
        <v>6.2781829999999997E-2</v>
      </c>
      <c r="R4025">
        <v>6.0610850000000001E-2</v>
      </c>
      <c r="S4025">
        <v>3.037506</v>
      </c>
      <c r="T4025">
        <v>-0.18635869999999999</v>
      </c>
      <c r="U4025">
        <v>-0.2274475</v>
      </c>
      <c r="V4025">
        <v>-7.1816279999999996E-2</v>
      </c>
      <c r="W4025">
        <v>6.8280770000000005E-2</v>
      </c>
      <c r="X4025">
        <v>0.99507800000000002</v>
      </c>
      <c r="Y4025">
        <v>6.3515859999999993E-2</v>
      </c>
      <c r="Z4025">
        <v>-1.265574E-3</v>
      </c>
      <c r="AA4025">
        <v>0.99797999999999998</v>
      </c>
      <c r="AB4025">
        <v>37</v>
      </c>
      <c r="AC4025">
        <v>17.886599999999898</v>
      </c>
      <c r="AD4025">
        <v>-1.110478656515</v>
      </c>
      <c r="AE4025">
        <v>-1.35336999999999</v>
      </c>
      <c r="AF4025">
        <v>1.1506377003786801</v>
      </c>
      <c r="AG4025">
        <v>-1.110478656515</v>
      </c>
      <c r="AH4025">
        <v>17.832158685953601</v>
      </c>
      <c r="AI4025">
        <v>93.556055635115797</v>
      </c>
      <c r="AJ4025">
        <v>86.308051340551302</v>
      </c>
      <c r="AK4025">
        <v>17.9037150716028</v>
      </c>
    </row>
    <row r="4026" spans="1:37" x14ac:dyDescent="0.2">
      <c r="A4026" t="str">
        <f>"20200111154145584"</f>
        <v>20200111154145584</v>
      </c>
      <c r="B4026" t="str">
        <f>"1578728505579742"</f>
        <v>1578728505579742</v>
      </c>
      <c r="C4026" t="s">
        <v>37</v>
      </c>
      <c r="D4026">
        <v>5.5729169999999897</v>
      </c>
      <c r="E4026">
        <v>0.5721115</v>
      </c>
      <c r="F4026" t="s">
        <v>38</v>
      </c>
      <c r="G4026">
        <v>-369.79790000000003</v>
      </c>
      <c r="H4026">
        <v>1.053955</v>
      </c>
      <c r="I4026">
        <v>17.518429999999999</v>
      </c>
      <c r="J4026">
        <v>-370.5111</v>
      </c>
      <c r="K4026">
        <v>1.1104609999999999</v>
      </c>
      <c r="L4026">
        <v>17.588470000000001</v>
      </c>
      <c r="M4026">
        <v>0.99992819999999905</v>
      </c>
      <c r="N4026">
        <v>0</v>
      </c>
      <c r="O4026">
        <v>-1.053547E-2</v>
      </c>
      <c r="P4026">
        <v>0.99623839999999997</v>
      </c>
      <c r="Q4026">
        <v>6.265018E-2</v>
      </c>
      <c r="R4026">
        <v>5.9868709999999999E-2</v>
      </c>
      <c r="S4026">
        <v>3.03762799999999</v>
      </c>
      <c r="T4026">
        <v>-0.1863641</v>
      </c>
      <c r="U4026">
        <v>-0.23718259999999999</v>
      </c>
      <c r="V4026">
        <v>-7.0527140000000002E-2</v>
      </c>
      <c r="W4026">
        <v>6.8157549999999997E-2</v>
      </c>
      <c r="X4026">
        <v>0.99517860000000002</v>
      </c>
      <c r="Y4026">
        <v>6.7230650000000003E-2</v>
      </c>
      <c r="Z4026">
        <v>-1.4125819999999999E-3</v>
      </c>
      <c r="AA4026">
        <v>0.99773650000000003</v>
      </c>
      <c r="AB4026">
        <v>37</v>
      </c>
      <c r="AC4026">
        <v>0.71319999999997197</v>
      </c>
      <c r="AD4026">
        <v>-5.6506000000000098E-2</v>
      </c>
      <c r="AE4026">
        <v>-7.0040000000002295E-2</v>
      </c>
      <c r="AF4026">
        <v>6.21357795554369E-2</v>
      </c>
      <c r="AG4026">
        <v>-5.6506000000000098E-2</v>
      </c>
      <c r="AH4026">
        <v>0.70948727558413505</v>
      </c>
      <c r="AI4026">
        <v>94.536329970751595</v>
      </c>
      <c r="AJ4026">
        <v>84.9948960402956</v>
      </c>
      <c r="AK4026">
        <v>0.71444102440492696</v>
      </c>
    </row>
    <row r="4027" spans="1:37" x14ac:dyDescent="0.2">
      <c r="A4027" t="str">
        <f>"20200111154145601"</f>
        <v>20200111154145601</v>
      </c>
      <c r="B4027" t="str">
        <f>"1578728505590478"</f>
        <v>1578728505590478</v>
      </c>
      <c r="C4027" t="s">
        <v>37</v>
      </c>
      <c r="D4027">
        <v>5.6119560000000002</v>
      </c>
      <c r="E4027">
        <v>0.57265949999999999</v>
      </c>
      <c r="F4027" t="s">
        <v>38</v>
      </c>
      <c r="G4027">
        <v>-369.4744</v>
      </c>
      <c r="H4027">
        <v>1.0395449999999999</v>
      </c>
      <c r="I4027">
        <v>17.451360000000001</v>
      </c>
      <c r="J4027">
        <v>-370.21699999999998</v>
      </c>
      <c r="K4027">
        <v>1.1104529999999999</v>
      </c>
      <c r="L4027">
        <v>17.58597</v>
      </c>
      <c r="M4027">
        <v>0.99993600000000005</v>
      </c>
      <c r="N4027">
        <v>0</v>
      </c>
      <c r="O4027">
        <v>-9.7815639999999995E-3</v>
      </c>
      <c r="P4027">
        <v>0.9962763</v>
      </c>
      <c r="Q4027">
        <v>6.3234659999999998E-2</v>
      </c>
      <c r="R4027">
        <v>5.8610259999999997E-2</v>
      </c>
      <c r="S4027">
        <v>3.0486149999999999</v>
      </c>
      <c r="T4027">
        <v>-0.20856230000000001</v>
      </c>
      <c r="U4027">
        <v>-0.4030762</v>
      </c>
      <c r="V4027">
        <v>-6.851641E-2</v>
      </c>
      <c r="W4027">
        <v>6.8754579999999996E-2</v>
      </c>
      <c r="X4027">
        <v>0.995278</v>
      </c>
      <c r="Y4027">
        <v>0.12111619999999999</v>
      </c>
      <c r="Z4027">
        <v>-3.4548000000000001E-3</v>
      </c>
      <c r="AA4027">
        <v>0.99263230000000002</v>
      </c>
      <c r="AB4027">
        <v>37</v>
      </c>
      <c r="AC4027">
        <v>0.74259999999998105</v>
      </c>
      <c r="AD4027">
        <v>-7.0907999999999902E-2</v>
      </c>
      <c r="AE4027">
        <v>-0.13460999999999801</v>
      </c>
      <c r="AF4027">
        <v>0.12622539305873101</v>
      </c>
      <c r="AG4027">
        <v>-7.0907999999999902E-2</v>
      </c>
      <c r="AH4027">
        <v>0.73737200679208903</v>
      </c>
      <c r="AI4027">
        <v>95.414569646062105</v>
      </c>
      <c r="AJ4027">
        <v>80.286102543259005</v>
      </c>
      <c r="AK4027">
        <v>0.75145077730841703</v>
      </c>
    </row>
    <row r="4028" spans="1:37" x14ac:dyDescent="0.2">
      <c r="A4028" t="str">
        <f>"20200111154145624"</f>
        <v>20200111154145624</v>
      </c>
      <c r="B4028" t="str">
        <f>"1578728505619759"</f>
        <v>1578728505619759</v>
      </c>
      <c r="C4028" t="s">
        <v>37</v>
      </c>
      <c r="D4028">
        <v>5.5862559999999997</v>
      </c>
      <c r="E4028">
        <v>0.57272650000000003</v>
      </c>
      <c r="F4028" t="s">
        <v>38</v>
      </c>
      <c r="G4028">
        <v>-369.452</v>
      </c>
      <c r="H4028">
        <v>1.057809</v>
      </c>
      <c r="I4028">
        <v>17.482710000000001</v>
      </c>
      <c r="J4028">
        <v>-369.85410000000002</v>
      </c>
      <c r="K4028">
        <v>1.1104290000000001</v>
      </c>
      <c r="L4028">
        <v>17.583159999999999</v>
      </c>
      <c r="M4028">
        <v>0.99994439999999996</v>
      </c>
      <c r="N4028">
        <v>0</v>
      </c>
      <c r="O4028">
        <v>-8.8750789999999993E-3</v>
      </c>
      <c r="P4028">
        <v>0.99616629999999995</v>
      </c>
      <c r="Q4028">
        <v>6.4783499999999994E-2</v>
      </c>
      <c r="R4028">
        <v>5.8788340000000001E-2</v>
      </c>
      <c r="S4028">
        <v>3.048737</v>
      </c>
      <c r="T4028">
        <v>-0.20979139999999999</v>
      </c>
      <c r="U4028">
        <v>-0.41137699999999999</v>
      </c>
      <c r="V4028">
        <v>-6.7791439999999994E-2</v>
      </c>
      <c r="W4028">
        <v>7.0313379999999995E-2</v>
      </c>
      <c r="X4028">
        <v>0.99521879999999996</v>
      </c>
      <c r="Y4028">
        <v>0.12465219999999901</v>
      </c>
      <c r="Z4028">
        <v>-3.657329E-3</v>
      </c>
      <c r="AA4028">
        <v>0.99219380000000001</v>
      </c>
      <c r="AB4028">
        <v>37</v>
      </c>
      <c r="AC4028">
        <v>0.402100000000018</v>
      </c>
      <c r="AD4028">
        <v>-5.2620000000000097E-2</v>
      </c>
      <c r="AE4028">
        <v>-0.100449999999998</v>
      </c>
      <c r="AF4028">
        <v>9.5340506630720606E-2</v>
      </c>
      <c r="AG4028">
        <v>-5.2620000000000097E-2</v>
      </c>
      <c r="AH4028">
        <v>0.396583088476405</v>
      </c>
      <c r="AI4028">
        <v>97.351001482868</v>
      </c>
      <c r="AJ4028">
        <v>76.482334678950807</v>
      </c>
      <c r="AK4028">
        <v>0.41126247418174</v>
      </c>
    </row>
    <row r="4029" spans="1:37" x14ac:dyDescent="0.2">
      <c r="A4029" t="str">
        <f>"20200111154145637"</f>
        <v>20200111154145637</v>
      </c>
      <c r="B4029" t="str">
        <f>"1578728505630495"</f>
        <v>1578728505630495</v>
      </c>
      <c r="C4029" t="s">
        <v>37</v>
      </c>
      <c r="D4029">
        <v>5.5581610000000001</v>
      </c>
      <c r="E4029">
        <v>0.57249640000000002</v>
      </c>
      <c r="F4029" t="s">
        <v>38</v>
      </c>
      <c r="G4029">
        <v>-368.80169999999998</v>
      </c>
      <c r="H4029">
        <v>1.044279</v>
      </c>
      <c r="I4029">
        <v>17.440850000000001</v>
      </c>
      <c r="J4029">
        <v>-369.62639999999999</v>
      </c>
      <c r="K4029">
        <v>1.110414</v>
      </c>
      <c r="L4029">
        <v>17.581569999999999</v>
      </c>
      <c r="M4029">
        <v>0.99994919999999998</v>
      </c>
      <c r="N4029">
        <v>0</v>
      </c>
      <c r="O4029">
        <v>-8.3177129999999991E-3</v>
      </c>
      <c r="P4029">
        <v>0.9961314</v>
      </c>
      <c r="Q4029">
        <v>6.4918390000000006E-2</v>
      </c>
      <c r="R4029">
        <v>5.9229089999999998E-2</v>
      </c>
      <c r="S4029">
        <v>3.048279</v>
      </c>
      <c r="T4029">
        <v>-0.19160099999999999</v>
      </c>
      <c r="U4029">
        <v>-0.41146850000000001</v>
      </c>
      <c r="V4029">
        <v>-6.7674979999999996E-2</v>
      </c>
      <c r="W4029">
        <v>7.045419E-2</v>
      </c>
      <c r="X4029">
        <v>0.99521669999999995</v>
      </c>
      <c r="Y4029">
        <v>0.1252963</v>
      </c>
      <c r="Z4029">
        <v>-3.3963119999999999E-3</v>
      </c>
      <c r="AA4029">
        <v>0.99211349999999998</v>
      </c>
      <c r="AB4029">
        <v>37</v>
      </c>
      <c r="AC4029">
        <v>0.82470000000000698</v>
      </c>
      <c r="AD4029">
        <v>-6.6134999999999805E-2</v>
      </c>
      <c r="AE4029">
        <v>-0.14072000000000101</v>
      </c>
      <c r="AF4029">
        <v>0.13302414224745801</v>
      </c>
      <c r="AG4029">
        <v>-6.6134999999999805E-2</v>
      </c>
      <c r="AH4029">
        <v>0.82071336486896396</v>
      </c>
      <c r="AI4029">
        <v>94.547973988822207</v>
      </c>
      <c r="AJ4029">
        <v>80.793361805415699</v>
      </c>
      <c r="AK4029">
        <v>0.83405017110495805</v>
      </c>
    </row>
    <row r="4030" spans="1:37" x14ac:dyDescent="0.2">
      <c r="A4030" t="str">
        <f>"20200111154145650"</f>
        <v>20200111154145650</v>
      </c>
      <c r="B4030" t="str">
        <f>"1578728505640255"</f>
        <v>1578728505640255</v>
      </c>
      <c r="C4030" t="s">
        <v>37</v>
      </c>
      <c r="D4030">
        <v>5.5594619999999999</v>
      </c>
      <c r="E4030">
        <v>0.57243140000000003</v>
      </c>
      <c r="F4030" t="s">
        <v>39</v>
      </c>
      <c r="G4030">
        <v>-351.58819999999997</v>
      </c>
      <c r="H4030" s="1">
        <v>-4.3807079999999996E-6</v>
      </c>
      <c r="I4030">
        <v>15.163869999999999</v>
      </c>
      <c r="J4030">
        <v>-369.41730000000001</v>
      </c>
      <c r="K4030">
        <v>1.1104000000000001</v>
      </c>
      <c r="L4030">
        <v>17.580200000000001</v>
      </c>
      <c r="M4030">
        <v>0.99995319999999899</v>
      </c>
      <c r="N4030">
        <v>0</v>
      </c>
      <c r="O4030">
        <v>-7.8105249999999996E-3</v>
      </c>
      <c r="P4030">
        <v>0.9961373</v>
      </c>
      <c r="Q4030">
        <v>6.4581349999999996E-2</v>
      </c>
      <c r="R4030">
        <v>5.949426E-2</v>
      </c>
      <c r="S4030">
        <v>3.0481569999999998</v>
      </c>
      <c r="T4030">
        <v>-0.187642899999999</v>
      </c>
      <c r="U4030">
        <v>-0.40853879999999998</v>
      </c>
      <c r="V4030">
        <v>-6.7432629999999993E-2</v>
      </c>
      <c r="W4030">
        <v>7.0122649999999995E-2</v>
      </c>
      <c r="X4030">
        <v>0.99525659999999905</v>
      </c>
      <c r="Y4030">
        <v>0.12487719999999999</v>
      </c>
      <c r="Z4030">
        <v>-3.3448409999999999E-3</v>
      </c>
      <c r="AA4030">
        <v>0.99216659999999901</v>
      </c>
      <c r="AB4030">
        <v>37</v>
      </c>
      <c r="AC4030">
        <v>17.8291</v>
      </c>
      <c r="AD4030">
        <v>-1.110404380708</v>
      </c>
      <c r="AE4030">
        <v>-2.4163299999999999</v>
      </c>
      <c r="AF4030">
        <v>2.2683594516007402</v>
      </c>
      <c r="AG4030">
        <v>-1.110404380708</v>
      </c>
      <c r="AH4030">
        <v>17.779708236140898</v>
      </c>
      <c r="AI4030">
        <v>93.545017953912904</v>
      </c>
      <c r="AJ4030">
        <v>82.729404283475304</v>
      </c>
      <c r="AK4030">
        <v>17.958186919972199</v>
      </c>
    </row>
    <row r="4031" spans="1:37" x14ac:dyDescent="0.2">
      <c r="A4031" t="str">
        <f>"20200111154145662"</f>
        <v>20200111154145662</v>
      </c>
      <c r="B4031" t="str">
        <f>"1578728505650015"</f>
        <v>1578728505650015</v>
      </c>
      <c r="C4031" t="s">
        <v>37</v>
      </c>
      <c r="D4031">
        <v>5.5429699999999897</v>
      </c>
      <c r="E4031">
        <v>0.57225760000000003</v>
      </c>
      <c r="F4031" t="s">
        <v>38</v>
      </c>
      <c r="G4031">
        <v>-368.45510000000002</v>
      </c>
      <c r="H4031">
        <v>1.0513410000000001</v>
      </c>
      <c r="I4031">
        <v>17.451509999999999</v>
      </c>
      <c r="J4031">
        <v>-369.20339999999999</v>
      </c>
      <c r="K4031">
        <v>1.1103889999999901</v>
      </c>
      <c r="L4031">
        <v>17.578889999999902</v>
      </c>
      <c r="M4031">
        <v>0.99995699999999998</v>
      </c>
      <c r="N4031">
        <v>0</v>
      </c>
      <c r="O4031">
        <v>-7.2948689999999998E-3</v>
      </c>
      <c r="P4031">
        <v>0.99615399999999998</v>
      </c>
      <c r="Q4031">
        <v>6.4161899999999994E-2</v>
      </c>
      <c r="R4031">
        <v>5.9670500000000001E-2</v>
      </c>
      <c r="S4031">
        <v>3.0480959999999899</v>
      </c>
      <c r="T4031">
        <v>-0.18711729999999999</v>
      </c>
      <c r="U4031">
        <v>-0.40740969999999999</v>
      </c>
      <c r="V4031">
        <v>-6.7093349999999996E-2</v>
      </c>
      <c r="W4031">
        <v>6.9709289999999993E-2</v>
      </c>
      <c r="X4031">
        <v>0.99530849999999904</v>
      </c>
      <c r="Y4031">
        <v>0.12503039999999899</v>
      </c>
      <c r="Z4031">
        <v>-3.3717909999999999E-3</v>
      </c>
      <c r="AA4031">
        <v>0.99214720000000001</v>
      </c>
      <c r="AB4031">
        <v>37</v>
      </c>
      <c r="AC4031">
        <v>0.74829999999997199</v>
      </c>
      <c r="AD4031">
        <v>-5.9047999999999698E-2</v>
      </c>
      <c r="AE4031">
        <v>-0.12737999999999799</v>
      </c>
      <c r="AF4031">
        <v>0.121184439436981</v>
      </c>
      <c r="AG4031">
        <v>-5.9047999999999698E-2</v>
      </c>
      <c r="AH4031">
        <v>0.74470285605465603</v>
      </c>
      <c r="AI4031">
        <v>94.474918392406494</v>
      </c>
      <c r="AJ4031">
        <v>80.757354399490794</v>
      </c>
      <c r="AK4031">
        <v>0.75680557508624202</v>
      </c>
    </row>
    <row r="4032" spans="1:37" x14ac:dyDescent="0.2">
      <c r="A4032" t="str">
        <f>"20200111154145681"</f>
        <v>20200111154145681</v>
      </c>
      <c r="B4032" t="str">
        <f>"1578728505670510"</f>
        <v>1578728505670510</v>
      </c>
      <c r="C4032" t="s">
        <v>37</v>
      </c>
      <c r="D4032">
        <v>5.5720549999999998</v>
      </c>
      <c r="E4032">
        <v>0.57245900000000005</v>
      </c>
      <c r="F4032" t="s">
        <v>39</v>
      </c>
      <c r="G4032">
        <v>-350.95740000000001</v>
      </c>
      <c r="H4032" s="1">
        <v>-4.6534320000000002E-6</v>
      </c>
      <c r="I4032">
        <v>15.1520299999999</v>
      </c>
      <c r="J4032">
        <v>-368.89190000000002</v>
      </c>
      <c r="K4032">
        <v>1.110366</v>
      </c>
      <c r="L4032">
        <v>17.577179999999998</v>
      </c>
      <c r="M4032">
        <v>0.99996219999999902</v>
      </c>
      <c r="N4032">
        <v>0</v>
      </c>
      <c r="O4032">
        <v>-6.5557100000000002E-3</v>
      </c>
      <c r="P4032">
        <v>0.99626780000000004</v>
      </c>
      <c r="Q4032">
        <v>6.2750429999999996E-2</v>
      </c>
      <c r="R4032">
        <v>5.92711E-2</v>
      </c>
      <c r="S4032">
        <v>3.0477910000000001</v>
      </c>
      <c r="T4032">
        <v>-0.18547839999999999</v>
      </c>
      <c r="U4032">
        <v>-0.40536499999999998</v>
      </c>
      <c r="V4032">
        <v>-6.5954040000000005E-2</v>
      </c>
      <c r="W4032">
        <v>6.8308359999999999E-2</v>
      </c>
      <c r="X4032">
        <v>0.99548179999999997</v>
      </c>
      <c r="Y4032">
        <v>0.12512490000000001</v>
      </c>
      <c r="Z4032">
        <v>-3.3903879999999998E-3</v>
      </c>
      <c r="AA4032">
        <v>0.992135199999999</v>
      </c>
      <c r="AB4032">
        <v>37</v>
      </c>
      <c r="AC4032">
        <v>17.9345</v>
      </c>
      <c r="AD4032">
        <v>-1.1103706534319999</v>
      </c>
      <c r="AE4032">
        <v>-2.4251499999999999</v>
      </c>
      <c r="AF4032">
        <v>2.2988688786655902</v>
      </c>
      <c r="AG4032">
        <v>-1.1103706534319999</v>
      </c>
      <c r="AH4032">
        <v>17.882697014604101</v>
      </c>
      <c r="AI4032">
        <v>93.524116315801294</v>
      </c>
      <c r="AJ4032">
        <v>82.674649294024604</v>
      </c>
      <c r="AK4032">
        <v>18.064013220362501</v>
      </c>
    </row>
    <row r="4033" spans="1:37" x14ac:dyDescent="0.2">
      <c r="A4033" t="str">
        <f>"20200111154145694"</f>
        <v>20200111154145694</v>
      </c>
      <c r="B4033" t="str">
        <f>"1578728505690031"</f>
        <v>1578728505690031</v>
      </c>
      <c r="C4033" t="s">
        <v>37</v>
      </c>
      <c r="D4033">
        <v>5.5639900000000004</v>
      </c>
      <c r="E4033">
        <v>0.57249399999999995</v>
      </c>
      <c r="F4033" t="s">
        <v>39</v>
      </c>
      <c r="G4033">
        <v>-351.17399999999998</v>
      </c>
      <c r="H4033" s="1">
        <v>-4.5508230000000001E-6</v>
      </c>
      <c r="I4033">
        <v>15.206679999999899</v>
      </c>
      <c r="J4033">
        <v>-368.66520000000003</v>
      </c>
      <c r="K4033">
        <v>1.1103499999999999</v>
      </c>
      <c r="L4033">
        <v>17.57611</v>
      </c>
      <c r="M4033">
        <v>0.99996549999999995</v>
      </c>
      <c r="N4033">
        <v>0</v>
      </c>
      <c r="O4033">
        <v>-6.030166E-3</v>
      </c>
      <c r="P4033">
        <v>0.99633649999999996</v>
      </c>
      <c r="Q4033">
        <v>6.197532E-2</v>
      </c>
      <c r="R4033">
        <v>5.8931749999999998E-2</v>
      </c>
      <c r="S4033">
        <v>3.0475159999999999</v>
      </c>
      <c r="T4033">
        <v>-0.1909855</v>
      </c>
      <c r="U4033">
        <v>-0.40771479999999999</v>
      </c>
      <c r="V4033">
        <v>-6.5088259999999995E-2</v>
      </c>
      <c r="W4033">
        <v>6.7541950000000003E-2</v>
      </c>
      <c r="X4033">
        <v>0.99559109999999995</v>
      </c>
      <c r="Y4033">
        <v>0.12639320000000001</v>
      </c>
      <c r="Z4033">
        <v>-3.5632720000000001E-3</v>
      </c>
      <c r="AA4033">
        <v>0.99197380000000002</v>
      </c>
      <c r="AB4033">
        <v>38</v>
      </c>
      <c r="AC4033">
        <v>17.4911999999999</v>
      </c>
      <c r="AD4033">
        <v>-1.1103545508229999</v>
      </c>
      <c r="AE4033">
        <v>-2.3694299999999999</v>
      </c>
      <c r="AF4033">
        <v>2.2549869471088</v>
      </c>
      <c r="AG4033">
        <v>-1.1103545508229999</v>
      </c>
      <c r="AH4033">
        <v>17.436172023606101</v>
      </c>
      <c r="AI4033">
        <v>93.613722853522802</v>
      </c>
      <c r="AJ4033">
        <v>82.630948532809199</v>
      </c>
      <c r="AK4033">
        <v>17.6164113313963</v>
      </c>
    </row>
    <row r="4034" spans="1:37" x14ac:dyDescent="0.2">
      <c r="A4034" t="str">
        <f>"20200111154145708"</f>
        <v>20200111154145708</v>
      </c>
      <c r="B4034" t="str">
        <f>"1578728505699791"</f>
        <v>1578728505699791</v>
      </c>
      <c r="C4034" t="s">
        <v>37</v>
      </c>
      <c r="D4034">
        <v>5.5841750000000001</v>
      </c>
      <c r="E4034">
        <v>0.57250509999999999</v>
      </c>
      <c r="F4034" t="s">
        <v>39</v>
      </c>
      <c r="G4034">
        <v>-351.26319999999998</v>
      </c>
      <c r="H4034" s="1">
        <v>-4.5062519999999999E-6</v>
      </c>
      <c r="I4034">
        <v>15.242139999999999</v>
      </c>
      <c r="J4034">
        <v>-368.4375</v>
      </c>
      <c r="K4034">
        <v>1.1103289999999999</v>
      </c>
      <c r="L4034">
        <v>17.575099999999999</v>
      </c>
      <c r="M4034">
        <v>0.99996830000000003</v>
      </c>
      <c r="N4034">
        <v>0</v>
      </c>
      <c r="O4034">
        <v>-5.5123809999999898E-3</v>
      </c>
      <c r="P4034">
        <v>0.99642949999999997</v>
      </c>
      <c r="Q4034">
        <v>6.1205250000000003E-2</v>
      </c>
      <c r="R4034">
        <v>5.815737E-2</v>
      </c>
      <c r="S4034">
        <v>3.0473020000000002</v>
      </c>
      <c r="T4034">
        <v>-0.19443679999999999</v>
      </c>
      <c r="U4034">
        <v>-0.40869139999999998</v>
      </c>
      <c r="V4034">
        <v>-6.3794989999999996E-2</v>
      </c>
      <c r="W4034">
        <v>6.6781670000000001E-2</v>
      </c>
      <c r="X4034">
        <v>0.995726</v>
      </c>
      <c r="Y4034">
        <v>0.127217</v>
      </c>
      <c r="Z4034">
        <v>-3.6867009999999902E-3</v>
      </c>
      <c r="AA4034">
        <v>0.99186810000000003</v>
      </c>
      <c r="AB4034">
        <v>38</v>
      </c>
      <c r="AC4034">
        <v>17.174299999999999</v>
      </c>
      <c r="AD4034">
        <v>-1.1103335062519999</v>
      </c>
      <c r="AE4034">
        <v>-2.3329599999999999</v>
      </c>
      <c r="AF4034">
        <v>2.2291034515694599</v>
      </c>
      <c r="AG4034">
        <v>-1.1103335062519999</v>
      </c>
      <c r="AH4034">
        <v>17.1166525870022</v>
      </c>
      <c r="AI4034">
        <v>93.680504907224901</v>
      </c>
      <c r="AJ4034">
        <v>82.580123354979804</v>
      </c>
      <c r="AK4034">
        <v>17.2968649898481</v>
      </c>
    </row>
    <row r="4035" spans="1:37" x14ac:dyDescent="0.2">
      <c r="A4035" t="str">
        <f>"20200111154145726"</f>
        <v>20200111154145726</v>
      </c>
      <c r="B4035" t="str">
        <f>"1578728505720290"</f>
        <v>1578728505720290</v>
      </c>
      <c r="C4035" t="s">
        <v>37</v>
      </c>
      <c r="D4035">
        <v>5.6004860000000001</v>
      </c>
      <c r="E4035">
        <v>0.57222249999999997</v>
      </c>
      <c r="F4035" t="s">
        <v>38</v>
      </c>
      <c r="G4035">
        <v>-367.45319999999998</v>
      </c>
      <c r="H4035">
        <v>1.0466249999999999</v>
      </c>
      <c r="I4035">
        <v>17.442209999999999</v>
      </c>
      <c r="J4035">
        <v>-368.14249999999998</v>
      </c>
      <c r="K4035">
        <v>1.110303</v>
      </c>
      <c r="L4035">
        <v>17.573969999999999</v>
      </c>
      <c r="M4035">
        <v>0.99997169999999902</v>
      </c>
      <c r="N4035">
        <v>0</v>
      </c>
      <c r="O4035">
        <v>-4.8633879999999997E-3</v>
      </c>
      <c r="P4035">
        <v>0.99655280000000002</v>
      </c>
      <c r="Q4035">
        <v>6.1386589999999998E-2</v>
      </c>
      <c r="R4035">
        <v>5.5808919999999998E-2</v>
      </c>
      <c r="S4035">
        <v>3.0468139999999999</v>
      </c>
      <c r="T4035">
        <v>-0.19724449999999999</v>
      </c>
      <c r="U4035">
        <v>-0.41082759999999902</v>
      </c>
      <c r="V4035">
        <v>-6.0797909999999997E-2</v>
      </c>
      <c r="W4035">
        <v>6.6979109999999994E-2</v>
      </c>
      <c r="X4035">
        <v>0.99590029999999996</v>
      </c>
      <c r="Y4035">
        <v>0.12855339999999901</v>
      </c>
      <c r="Z4035">
        <v>-3.8250429999999898E-3</v>
      </c>
      <c r="AA4035">
        <v>0.991695199999999</v>
      </c>
      <c r="AB4035">
        <v>38</v>
      </c>
      <c r="AC4035">
        <v>0.68930000000000202</v>
      </c>
      <c r="AD4035">
        <v>-6.3678000000000096E-2</v>
      </c>
      <c r="AE4035">
        <v>-0.13176000000000301</v>
      </c>
      <c r="AF4035">
        <v>0.127357473850058</v>
      </c>
      <c r="AG4035">
        <v>-6.3678000000000096E-2</v>
      </c>
      <c r="AH4035">
        <v>0.68429858525863196</v>
      </c>
      <c r="AI4035">
        <v>95.227148959695796</v>
      </c>
      <c r="AJ4035">
        <v>79.4570847941728</v>
      </c>
      <c r="AK4035">
        <v>0.69895591249837297</v>
      </c>
    </row>
    <row r="4036" spans="1:37" x14ac:dyDescent="0.2">
      <c r="A4036" t="str">
        <f>"20200111154145738"</f>
        <v>20200111154145738</v>
      </c>
      <c r="B4036" t="str">
        <f>"1578728505730047"</f>
        <v>1578728505730047</v>
      </c>
      <c r="C4036" t="s">
        <v>37</v>
      </c>
      <c r="D4036">
        <v>5.5887500000000001</v>
      </c>
      <c r="E4036">
        <v>0.5721406</v>
      </c>
      <c r="F4036" t="s">
        <v>38</v>
      </c>
      <c r="G4036">
        <v>-367.11529999999999</v>
      </c>
      <c r="H4036">
        <v>1.0438769999999999</v>
      </c>
      <c r="I4036">
        <v>17.433959999999999</v>
      </c>
      <c r="J4036">
        <v>-367.90519999999998</v>
      </c>
      <c r="K4036">
        <v>1.1102809999999901</v>
      </c>
      <c r="L4036">
        <v>17.573179999999901</v>
      </c>
      <c r="M4036">
        <v>0.99997409999999998</v>
      </c>
      <c r="N4036">
        <v>0</v>
      </c>
      <c r="O4036">
        <v>-4.3640069999999996E-3</v>
      </c>
      <c r="P4036">
        <v>0.99660599999999999</v>
      </c>
      <c r="Q4036">
        <v>6.1552910000000002E-2</v>
      </c>
      <c r="R4036">
        <v>5.4665099999999897E-2</v>
      </c>
      <c r="S4036">
        <v>3.045776</v>
      </c>
      <c r="T4036">
        <v>-0.1969484</v>
      </c>
      <c r="U4036">
        <v>-0.41497799999999901</v>
      </c>
      <c r="V4036">
        <v>-5.9154020000000002E-2</v>
      </c>
      <c r="W4036">
        <v>6.7157529999999993E-2</v>
      </c>
      <c r="X4036">
        <v>0.99598729999999902</v>
      </c>
      <c r="Y4036">
        <v>0.130416</v>
      </c>
      <c r="Z4036">
        <v>-3.9122380000000002E-3</v>
      </c>
      <c r="AA4036">
        <v>0.99145159999999999</v>
      </c>
      <c r="AB4036">
        <v>38</v>
      </c>
      <c r="AC4036">
        <v>0.78989999999998795</v>
      </c>
      <c r="AD4036">
        <v>-6.6403999999999894E-2</v>
      </c>
      <c r="AE4036">
        <v>-0.13921999999999801</v>
      </c>
      <c r="AF4036">
        <v>0.134847215043567</v>
      </c>
      <c r="AG4036">
        <v>-6.6403999999999894E-2</v>
      </c>
      <c r="AH4036">
        <v>0.78511866233501104</v>
      </c>
      <c r="AI4036">
        <v>94.765029975545701</v>
      </c>
      <c r="AJ4036">
        <v>80.254313005922398</v>
      </c>
      <c r="AK4036">
        <v>0.79937761825542897</v>
      </c>
    </row>
    <row r="4037" spans="1:37" x14ac:dyDescent="0.2">
      <c r="A4037" t="str">
        <f>"20200111154145751"</f>
        <v>20200111154145751</v>
      </c>
      <c r="B4037" t="str">
        <f>"1578728505739807"</f>
        <v>1578728505739807</v>
      </c>
      <c r="C4037" t="s">
        <v>37</v>
      </c>
      <c r="D4037">
        <v>5.6030639999999998</v>
      </c>
      <c r="E4037">
        <v>0.57206469999999998</v>
      </c>
      <c r="F4037" t="s">
        <v>39</v>
      </c>
      <c r="G4037">
        <v>-350.76760000000002</v>
      </c>
      <c r="H4037" s="1">
        <v>-4.721997E-6</v>
      </c>
      <c r="I4037">
        <v>15.224410000000001</v>
      </c>
      <c r="J4037">
        <v>-367.70179999999999</v>
      </c>
      <c r="K4037">
        <v>1.110258</v>
      </c>
      <c r="L4037">
        <v>17.572600000000001</v>
      </c>
      <c r="M4037">
        <v>0.99997569999999902</v>
      </c>
      <c r="N4037">
        <v>0</v>
      </c>
      <c r="O4037">
        <v>-3.9539120000000004E-3</v>
      </c>
      <c r="P4037">
        <v>0.99666200000000005</v>
      </c>
      <c r="Q4037">
        <v>6.1730090000000001E-2</v>
      </c>
      <c r="R4037">
        <v>5.3426069999999999E-2</v>
      </c>
      <c r="S4037">
        <v>3.0453189999999899</v>
      </c>
      <c r="T4037">
        <v>-0.1972959</v>
      </c>
      <c r="U4037">
        <v>-0.41735839999999902</v>
      </c>
      <c r="V4037">
        <v>-5.7503319999999997E-2</v>
      </c>
      <c r="W4037">
        <v>6.7345459999999996E-2</v>
      </c>
      <c r="X4037">
        <v>0.99607129999999999</v>
      </c>
      <c r="Y4037">
        <v>0.13159889999999999</v>
      </c>
      <c r="Z4037">
        <v>-3.9840190000000001E-3</v>
      </c>
      <c r="AA4037">
        <v>0.99129500000000004</v>
      </c>
      <c r="AB4037">
        <v>38</v>
      </c>
      <c r="AC4037">
        <v>16.934199999999901</v>
      </c>
      <c r="AD4037">
        <v>-1.110262721997</v>
      </c>
      <c r="AE4037">
        <v>-2.3481900000000002</v>
      </c>
      <c r="AF4037">
        <v>2.2716336847604901</v>
      </c>
      <c r="AG4037">
        <v>-1.110262721997</v>
      </c>
      <c r="AH4037">
        <v>16.872194546693699</v>
      </c>
      <c r="AI4037">
        <v>93.731308895240005</v>
      </c>
      <c r="AJ4037">
        <v>82.331939197711804</v>
      </c>
      <c r="AK4037">
        <v>17.060596464692399</v>
      </c>
    </row>
    <row r="4038" spans="1:37" x14ac:dyDescent="0.2">
      <c r="A4038" t="str">
        <f>"20200111154145770"</f>
        <v>20200111154145770</v>
      </c>
      <c r="B4038" t="str">
        <f>"1578728505760302"</f>
        <v>1578728505760302</v>
      </c>
      <c r="C4038" t="s">
        <v>37</v>
      </c>
      <c r="D4038">
        <v>5.6261380000000001</v>
      </c>
      <c r="E4038">
        <v>0.57199739999999999</v>
      </c>
      <c r="F4038" t="s">
        <v>38</v>
      </c>
      <c r="G4038">
        <v>-366.76749999999998</v>
      </c>
      <c r="H4038">
        <v>1.0497459999999901</v>
      </c>
      <c r="I4038">
        <v>17.443269999999998</v>
      </c>
      <c r="J4038">
        <v>-367.38729999999998</v>
      </c>
      <c r="K4038">
        <v>1.1102160000000001</v>
      </c>
      <c r="L4038">
        <v>17.571839999999899</v>
      </c>
      <c r="M4038">
        <v>0.99997789999999998</v>
      </c>
      <c r="N4038">
        <v>0</v>
      </c>
      <c r="O4038">
        <v>-3.35197599999999E-3</v>
      </c>
      <c r="P4038">
        <v>0.99677649999999995</v>
      </c>
      <c r="Q4038">
        <v>6.169086E-2</v>
      </c>
      <c r="R4038">
        <v>5.1292789999999998E-2</v>
      </c>
      <c r="S4038">
        <v>3.0448300000000001</v>
      </c>
      <c r="T4038">
        <v>-0.1972641</v>
      </c>
      <c r="U4038">
        <v>-0.42031859999999999</v>
      </c>
      <c r="V4038">
        <v>-5.4764550000000002E-2</v>
      </c>
      <c r="W4038">
        <v>6.7324519999999999E-2</v>
      </c>
      <c r="X4038">
        <v>0.99622699999999997</v>
      </c>
      <c r="Y4038">
        <v>0.13315829999999901</v>
      </c>
      <c r="Z4038">
        <v>-4.0727389999999997E-3</v>
      </c>
      <c r="AA4038">
        <v>0.99108639999999903</v>
      </c>
      <c r="AB4038">
        <v>38</v>
      </c>
      <c r="AC4038">
        <v>0.61979999999999702</v>
      </c>
      <c r="AD4038">
        <v>-6.0470000000000197E-2</v>
      </c>
      <c r="AE4038">
        <v>-0.12856999999999599</v>
      </c>
      <c r="AF4038">
        <v>0.12534776675919401</v>
      </c>
      <c r="AG4038">
        <v>-6.0470000000000197E-2</v>
      </c>
      <c r="AH4038">
        <v>0.61461848888574999</v>
      </c>
      <c r="AI4038">
        <v>95.506402608495307</v>
      </c>
      <c r="AJ4038">
        <v>78.472948793189104</v>
      </c>
      <c r="AK4038">
        <v>0.63017820528142698</v>
      </c>
    </row>
    <row r="4039" spans="1:37" x14ac:dyDescent="0.2">
      <c r="A4039" t="str">
        <f>"20200111154145792"</f>
        <v>20200111154145792</v>
      </c>
      <c r="B4039" t="str">
        <f>"1578728505779822"</f>
        <v>1578728505779822</v>
      </c>
      <c r="C4039" t="s">
        <v>37</v>
      </c>
      <c r="D4039">
        <v>5.5937999999999999</v>
      </c>
      <c r="E4039">
        <v>0.57192989999999999</v>
      </c>
      <c r="F4039" t="s">
        <v>38</v>
      </c>
      <c r="G4039">
        <v>-366.4282</v>
      </c>
      <c r="H4039">
        <v>1.0481180000000001</v>
      </c>
      <c r="I4039">
        <v>17.437560000000001</v>
      </c>
      <c r="J4039">
        <v>-367.01780000000002</v>
      </c>
      <c r="K4039">
        <v>1.1101510000000001</v>
      </c>
      <c r="L4039">
        <v>17.571110000000001</v>
      </c>
      <c r="M4039">
        <v>0.99997969999999903</v>
      </c>
      <c r="N4039">
        <v>0</v>
      </c>
      <c r="O4039">
        <v>-2.7098299999999999E-3</v>
      </c>
      <c r="P4039">
        <v>0.99688500000000002</v>
      </c>
      <c r="Q4039">
        <v>6.1152480000000002E-2</v>
      </c>
      <c r="R4039">
        <v>4.9810159999999999E-2</v>
      </c>
      <c r="S4039">
        <v>3.0438230000000002</v>
      </c>
      <c r="T4039">
        <v>-0.19708419999999999</v>
      </c>
      <c r="U4039">
        <v>-0.42611689999999902</v>
      </c>
      <c r="V4039">
        <v>-5.2632400000000003E-2</v>
      </c>
      <c r="W4039">
        <v>6.6805950000000003E-2</v>
      </c>
      <c r="X4039">
        <v>0.99637679999999995</v>
      </c>
      <c r="Y4039">
        <v>0.13568469999999999</v>
      </c>
      <c r="Z4039">
        <v>-4.192477E-3</v>
      </c>
      <c r="AA4039">
        <v>0.99074319999999905</v>
      </c>
      <c r="AB4039">
        <v>38</v>
      </c>
      <c r="AC4039">
        <v>0.589600000000018</v>
      </c>
      <c r="AD4039">
        <v>-6.2032999999999998E-2</v>
      </c>
      <c r="AE4039">
        <v>-0.133549999999999</v>
      </c>
      <c r="AF4039">
        <v>0.13057687864190001</v>
      </c>
      <c r="AG4039">
        <v>-6.2032999999999998E-2</v>
      </c>
      <c r="AH4039">
        <v>0.58381257645626095</v>
      </c>
      <c r="AI4039">
        <v>95.920015494384899</v>
      </c>
      <c r="AJ4039">
        <v>77.392587369334905</v>
      </c>
      <c r="AK4039">
        <v>0.60144454337316799</v>
      </c>
    </row>
    <row r="4040" spans="1:37" x14ac:dyDescent="0.2">
      <c r="A4040" t="str">
        <f>"20200111154145804"</f>
        <v>20200111154145804</v>
      </c>
      <c r="B4040" t="str">
        <f>"1578728505800318"</f>
        <v>1578728505800318</v>
      </c>
      <c r="C4040" t="s">
        <v>37</v>
      </c>
      <c r="D4040">
        <v>5.6037140000000001</v>
      </c>
      <c r="E4040">
        <v>0.57189269999999903</v>
      </c>
      <c r="F4040" t="s">
        <v>39</v>
      </c>
      <c r="G4040">
        <v>-349.91460000000001</v>
      </c>
      <c r="H4040" s="1">
        <v>-1.202256E-6</v>
      </c>
      <c r="I4040">
        <v>15.15456</v>
      </c>
      <c r="J4040">
        <v>-366.80450000000002</v>
      </c>
      <c r="K4040">
        <v>1.1101129999999999</v>
      </c>
      <c r="L4040">
        <v>17.57077</v>
      </c>
      <c r="M4040">
        <v>0.9999806</v>
      </c>
      <c r="N4040">
        <v>0</v>
      </c>
      <c r="O4040">
        <v>-2.365846E-3</v>
      </c>
      <c r="P4040">
        <v>0.99691260000000004</v>
      </c>
      <c r="Q4040">
        <v>6.0862979999999997E-2</v>
      </c>
      <c r="R4040">
        <v>4.9609859999999999E-2</v>
      </c>
      <c r="S4040">
        <v>3.0429689999999998</v>
      </c>
      <c r="T4040">
        <v>-0.1975162</v>
      </c>
      <c r="U4040">
        <v>-0.42993159999999903</v>
      </c>
      <c r="V4040">
        <v>-5.2083190000000001E-2</v>
      </c>
      <c r="W4040">
        <v>6.6526660000000001E-2</v>
      </c>
      <c r="X4040">
        <v>0.99642439999999999</v>
      </c>
      <c r="Y4040">
        <v>0.13727609999999901</v>
      </c>
      <c r="Z4040">
        <v>-4.2759820000000002E-3</v>
      </c>
      <c r="AA4040">
        <v>0.99052359999999995</v>
      </c>
      <c r="AB4040">
        <v>38</v>
      </c>
      <c r="AC4040">
        <v>16.889900000000001</v>
      </c>
      <c r="AD4040">
        <v>-1.110114202256</v>
      </c>
      <c r="AE4040">
        <v>-2.4162099999999902</v>
      </c>
      <c r="AF4040">
        <v>2.3662266340981901</v>
      </c>
      <c r="AG4040">
        <v>-1.110114202256</v>
      </c>
      <c r="AH4040">
        <v>16.824346056796202</v>
      </c>
      <c r="AI4040">
        <v>93.738366347944506</v>
      </c>
      <c r="AJ4040">
        <v>81.994259380945095</v>
      </c>
      <c r="AK4040">
        <v>17.026156414904701</v>
      </c>
    </row>
    <row r="4041" spans="1:37" x14ac:dyDescent="0.2">
      <c r="A4041" t="str">
        <f>"20200111154145817"</f>
        <v>20200111154145817</v>
      </c>
      <c r="B4041" t="str">
        <f>"1578728505810079"</f>
        <v>1578728505810079</v>
      </c>
      <c r="C4041" t="s">
        <v>37</v>
      </c>
      <c r="D4041">
        <v>5.7230419999999897</v>
      </c>
      <c r="E4041">
        <v>0.57198609999999905</v>
      </c>
      <c r="F4041" t="s">
        <v>38</v>
      </c>
      <c r="G4041">
        <v>-365.74759999999998</v>
      </c>
      <c r="H4041">
        <v>1.041164</v>
      </c>
      <c r="I4041">
        <v>17.421309999999998</v>
      </c>
      <c r="J4041">
        <v>-366.57310000000001</v>
      </c>
      <c r="K4041">
        <v>1.11007099999999</v>
      </c>
      <c r="L4041">
        <v>17.57047</v>
      </c>
      <c r="M4041">
        <v>0.99998140000000002</v>
      </c>
      <c r="N4041">
        <v>0</v>
      </c>
      <c r="O4041">
        <v>-2.031672E-3</v>
      </c>
      <c r="P4041">
        <v>0.99696240000000003</v>
      </c>
      <c r="Q4041">
        <v>6.015144E-2</v>
      </c>
      <c r="R4041">
        <v>4.9477279999999998E-2</v>
      </c>
      <c r="S4041">
        <v>3.0428160000000002</v>
      </c>
      <c r="T4041">
        <v>-0.19850979999999999</v>
      </c>
      <c r="U4041">
        <v>-0.43002319999999999</v>
      </c>
      <c r="V4041">
        <v>-5.161044E-2</v>
      </c>
      <c r="W4041">
        <v>6.5828680000000001E-2</v>
      </c>
      <c r="X4041">
        <v>0.99649529999999997</v>
      </c>
      <c r="Y4041">
        <v>0.13763900000000001</v>
      </c>
      <c r="Z4041">
        <v>-4.3310850000000001E-3</v>
      </c>
      <c r="AA4041">
        <v>0.99047299999999905</v>
      </c>
      <c r="AB4041">
        <v>38</v>
      </c>
      <c r="AC4041">
        <v>0.82550000000003299</v>
      </c>
      <c r="AD4041">
        <v>-6.8906999999999802E-2</v>
      </c>
      <c r="AE4041">
        <v>-0.14915999999999799</v>
      </c>
      <c r="AF4041">
        <v>0.14649405761187601</v>
      </c>
      <c r="AG4041">
        <v>-6.8906999999999802E-2</v>
      </c>
      <c r="AH4041">
        <v>0.82026663601264205</v>
      </c>
      <c r="AI4041">
        <v>94.727439312523899</v>
      </c>
      <c r="AJ4041">
        <v>79.874118522656602</v>
      </c>
      <c r="AK4041">
        <v>0.83608973066297598</v>
      </c>
    </row>
    <row r="4042" spans="1:37" x14ac:dyDescent="0.2">
      <c r="A4042" t="str">
        <f>"20200111154145837"</f>
        <v>20200111154145837</v>
      </c>
      <c r="B4042" t="str">
        <f>"1578728505830575"</f>
        <v>1578728505830575</v>
      </c>
      <c r="C4042" t="s">
        <v>37</v>
      </c>
      <c r="D4042">
        <v>5.6209610000000003</v>
      </c>
      <c r="E4042">
        <v>0.57194929999999999</v>
      </c>
      <c r="F4042" t="s">
        <v>39</v>
      </c>
      <c r="G4042">
        <v>-349.71109999999999</v>
      </c>
      <c r="H4042" s="1">
        <v>-1.2646740000000001E-6</v>
      </c>
      <c r="I4042">
        <v>15.180300000000001</v>
      </c>
      <c r="J4042">
        <v>-366.23779999999999</v>
      </c>
      <c r="K4042">
        <v>1.1100129999999999</v>
      </c>
      <c r="L4042">
        <v>17.570129999999999</v>
      </c>
      <c r="M4042">
        <v>0.99998199999999904</v>
      </c>
      <c r="N4042">
        <v>0</v>
      </c>
      <c r="O4042">
        <v>-1.5929429999999899E-3</v>
      </c>
      <c r="P4042">
        <v>0.99702259999999998</v>
      </c>
      <c r="Q4042">
        <v>5.9033860000000001E-2</v>
      </c>
      <c r="R4042">
        <v>4.9611219999999998E-2</v>
      </c>
      <c r="S4042">
        <v>3.0426329999999999</v>
      </c>
      <c r="T4042">
        <v>-0.20030490000000001</v>
      </c>
      <c r="U4042">
        <v>-0.4312744</v>
      </c>
      <c r="V4042">
        <v>-5.1296710000000002E-2</v>
      </c>
      <c r="W4042">
        <v>6.4732390000000001E-2</v>
      </c>
      <c r="X4042">
        <v>0.99658329999999995</v>
      </c>
      <c r="Y4042">
        <v>0.13847319999999999</v>
      </c>
      <c r="Z4042">
        <v>-4.4263029999999899E-3</v>
      </c>
      <c r="AA4042">
        <v>0.99035629999999997</v>
      </c>
      <c r="AB4042">
        <v>38</v>
      </c>
      <c r="AC4042">
        <v>16.526700000000002</v>
      </c>
      <c r="AD4042">
        <v>-1.1100142646739899</v>
      </c>
      <c r="AE4042">
        <v>-2.3898299999999901</v>
      </c>
      <c r="AF4042">
        <v>2.3531027166662501</v>
      </c>
      <c r="AG4042">
        <v>-1.1100142646739899</v>
      </c>
      <c r="AH4042">
        <v>16.457763585882098</v>
      </c>
      <c r="AI4042">
        <v>93.819811604784107</v>
      </c>
      <c r="AJ4042">
        <v>81.863095973162601</v>
      </c>
      <c r="AK4042">
        <v>16.662148910382101</v>
      </c>
    </row>
    <row r="4043" spans="1:37" x14ac:dyDescent="0.2">
      <c r="A4043" t="str">
        <f>"20200111154145850"</f>
        <v>20200111154145850</v>
      </c>
      <c r="B4043" t="str">
        <f>"1578728505840334"</f>
        <v>1578728505840334</v>
      </c>
      <c r="C4043" t="s">
        <v>37</v>
      </c>
      <c r="D4043">
        <v>5.6051080000000004</v>
      </c>
      <c r="E4043">
        <v>0.57189140000000005</v>
      </c>
      <c r="F4043" t="s">
        <v>39</v>
      </c>
      <c r="G4043">
        <v>-349.57240000000002</v>
      </c>
      <c r="H4043" s="1">
        <v>-1.3046209999999999E-6</v>
      </c>
      <c r="I4043">
        <v>15.20749</v>
      </c>
      <c r="J4043">
        <v>-366.01690000000002</v>
      </c>
      <c r="K4043">
        <v>1.109974</v>
      </c>
      <c r="L4043">
        <v>17.569979999999902</v>
      </c>
      <c r="M4043">
        <v>0.99998240000000005</v>
      </c>
      <c r="N4043">
        <v>0</v>
      </c>
      <c r="O4043">
        <v>-1.336023E-3</v>
      </c>
      <c r="P4043">
        <v>0.99702789999999997</v>
      </c>
      <c r="Q4043">
        <v>5.8673719999999999E-2</v>
      </c>
      <c r="R4043">
        <v>4.9929910000000001E-2</v>
      </c>
      <c r="S4043">
        <v>3.04241899999999</v>
      </c>
      <c r="T4043">
        <v>-0.2026433</v>
      </c>
      <c r="U4043">
        <v>-0.43130489999999999</v>
      </c>
      <c r="V4043">
        <v>-5.1352509999999997E-2</v>
      </c>
      <c r="W4043">
        <v>6.4386449999999998E-2</v>
      </c>
      <c r="X4043">
        <v>0.99660289999999996</v>
      </c>
      <c r="Y4043">
        <v>0.138739</v>
      </c>
      <c r="Z4043">
        <v>-4.5039800000000003E-3</v>
      </c>
      <c r="AA4043">
        <v>0.9903187</v>
      </c>
      <c r="AB4043">
        <v>38</v>
      </c>
      <c r="AC4043">
        <v>16.444500000000001</v>
      </c>
      <c r="AD4043">
        <v>-1.1099753046209999</v>
      </c>
      <c r="AE4043">
        <v>-2.36248999999999</v>
      </c>
      <c r="AF4043">
        <v>2.3301159263461799</v>
      </c>
      <c r="AG4043">
        <v>-1.1099753046209999</v>
      </c>
      <c r="AH4043">
        <v>16.374547631375201</v>
      </c>
      <c r="AI4043">
        <v>93.839394115844897</v>
      </c>
      <c r="AJ4043">
        <v>81.901122536764305</v>
      </c>
      <c r="AK4043">
        <v>16.576709430380198</v>
      </c>
    </row>
    <row r="4044" spans="1:37" x14ac:dyDescent="0.2">
      <c r="A4044" t="str">
        <f>"20200111154145864"</f>
        <v>20200111154145864</v>
      </c>
      <c r="B4044" t="str">
        <f>"1578728505859855"</f>
        <v>1578728505859855</v>
      </c>
      <c r="C4044" t="s">
        <v>37</v>
      </c>
      <c r="D4044">
        <v>5.7960430000000001</v>
      </c>
      <c r="E4044">
        <v>0.57173750000000001</v>
      </c>
      <c r="F4044" t="s">
        <v>38</v>
      </c>
      <c r="G4044">
        <v>-365.05759999999998</v>
      </c>
      <c r="H4044">
        <v>1.046041</v>
      </c>
      <c r="I4044">
        <v>17.434170000000002</v>
      </c>
      <c r="J4044">
        <v>-365.78269999999998</v>
      </c>
      <c r="K4044">
        <v>1.1099330000000001</v>
      </c>
      <c r="L4044">
        <v>17.56982</v>
      </c>
      <c r="M4044">
        <v>0.999982699999999</v>
      </c>
      <c r="N4044">
        <v>0</v>
      </c>
      <c r="O4044">
        <v>-1.083051E-3</v>
      </c>
      <c r="P4044">
        <v>0.99702139999999995</v>
      </c>
      <c r="Q4044">
        <v>5.8546470000000003E-2</v>
      </c>
      <c r="R4044">
        <v>5.020931E-2</v>
      </c>
      <c r="S4044">
        <v>3.04241899999999</v>
      </c>
      <c r="T4044">
        <v>-0.20280279999999901</v>
      </c>
      <c r="U4044">
        <v>-0.4301758</v>
      </c>
      <c r="V4044">
        <v>-5.1374280000000001E-2</v>
      </c>
      <c r="W4044">
        <v>6.4273689999999994E-2</v>
      </c>
      <c r="X4044">
        <v>0.99660899999999997</v>
      </c>
      <c r="Y4044">
        <v>0.13862839999999901</v>
      </c>
      <c r="Z4044">
        <v>-4.5207299999999997E-3</v>
      </c>
      <c r="AA4044">
        <v>0.99033419999999905</v>
      </c>
      <c r="AB4044">
        <v>38</v>
      </c>
      <c r="AC4044">
        <v>0.72509999999999697</v>
      </c>
      <c r="AD4044">
        <v>-6.3892000000000004E-2</v>
      </c>
      <c r="AE4044">
        <v>-0.13564999999999799</v>
      </c>
      <c r="AF4044">
        <v>0.133860411163639</v>
      </c>
      <c r="AG4044">
        <v>-6.3892000000000004E-2</v>
      </c>
      <c r="AH4044">
        <v>0.71984644663944297</v>
      </c>
      <c r="AI4044">
        <v>94.987104938094902</v>
      </c>
      <c r="AJ4044">
        <v>79.4657791421497</v>
      </c>
      <c r="AK4044">
        <v>0.73496918580327597</v>
      </c>
    </row>
    <row r="4045" spans="1:37" x14ac:dyDescent="0.2">
      <c r="A4045" t="str">
        <f>"20200111154145882"</f>
        <v>20200111154145882</v>
      </c>
      <c r="B4045" t="str">
        <f>"1578728505880351"</f>
        <v>1578728505880351</v>
      </c>
      <c r="C4045" t="s">
        <v>37</v>
      </c>
      <c r="D4045">
        <v>5.4837129999999998</v>
      </c>
      <c r="E4045">
        <v>0.50653870000000001</v>
      </c>
      <c r="F4045" t="s">
        <v>38</v>
      </c>
      <c r="G4045">
        <v>-364.71519999999998</v>
      </c>
      <c r="H4045">
        <v>1.038419</v>
      </c>
      <c r="I4045">
        <v>17.41939</v>
      </c>
      <c r="J4045">
        <v>-365.44799999999998</v>
      </c>
      <c r="K4045">
        <v>1.1098809999999999</v>
      </c>
      <c r="L4045">
        <v>17.56973</v>
      </c>
      <c r="M4045">
        <v>0.99998279999999995</v>
      </c>
      <c r="N4045">
        <v>0</v>
      </c>
      <c r="O4045">
        <v>-7.6649659999999996E-4</v>
      </c>
      <c r="P4045">
        <v>0.99699649999999995</v>
      </c>
      <c r="Q4045">
        <v>5.8227040000000001E-2</v>
      </c>
      <c r="R4045">
        <v>5.1067010000000003E-2</v>
      </c>
      <c r="S4045">
        <v>3.0425110000000002</v>
      </c>
      <c r="T4045">
        <v>-0.20381949999999999</v>
      </c>
      <c r="U4045">
        <v>-0.428100599999999</v>
      </c>
      <c r="V4045">
        <v>-5.1907990000000001E-2</v>
      </c>
      <c r="W4045">
        <v>6.3973879999999997E-2</v>
      </c>
      <c r="X4045">
        <v>0.99660070000000001</v>
      </c>
      <c r="Y4045">
        <v>0.13827249999999999</v>
      </c>
      <c r="Z4045">
        <v>-4.5526530000000003E-3</v>
      </c>
      <c r="AA4045">
        <v>0.99038369999999998</v>
      </c>
      <c r="AB4045">
        <v>39</v>
      </c>
      <c r="AC4045">
        <v>0.73280000000005396</v>
      </c>
      <c r="AD4045">
        <v>-7.1461999999999901E-2</v>
      </c>
      <c r="AE4045">
        <v>-0.150339999999999</v>
      </c>
      <c r="AF4045">
        <v>0.14842376187360101</v>
      </c>
      <c r="AG4045">
        <v>-7.1461999999999901E-2</v>
      </c>
      <c r="AH4045">
        <v>0.72628702180468896</v>
      </c>
      <c r="AI4045">
        <v>95.506366805970899</v>
      </c>
      <c r="AJ4045">
        <v>78.450087850516397</v>
      </c>
      <c r="AK4045">
        <v>0.74473436108094004</v>
      </c>
    </row>
    <row r="4046" spans="1:37" x14ac:dyDescent="0.2">
      <c r="A4046" t="str">
        <f>"20200111154145896"</f>
        <v>20200111154145896</v>
      </c>
      <c r="B4046" t="str">
        <f>"1578728505890111"</f>
        <v>1578728505890111</v>
      </c>
      <c r="C4046" t="s">
        <v>37</v>
      </c>
      <c r="D4046">
        <v>5.3655530000000002</v>
      </c>
      <c r="E4046">
        <v>0.49347249999999998</v>
      </c>
      <c r="F4046" t="s">
        <v>39</v>
      </c>
      <c r="G4046">
        <v>-351.28899999999999</v>
      </c>
      <c r="H4046" s="1">
        <v>-4.0047080000000002E-6</v>
      </c>
      <c r="I4046">
        <v>18.00733</v>
      </c>
      <c r="J4046">
        <v>-365.2131</v>
      </c>
      <c r="K4046">
        <v>1.1098539999999999</v>
      </c>
      <c r="L4046">
        <v>17.569700000000001</v>
      </c>
      <c r="M4046">
        <v>0.99998279999999995</v>
      </c>
      <c r="N4046">
        <v>0</v>
      </c>
      <c r="O4046">
        <v>-5.6903460000000004E-4</v>
      </c>
      <c r="P4046">
        <v>0.99694660000000002</v>
      </c>
      <c r="Q4046">
        <v>5.8293159999999997E-2</v>
      </c>
      <c r="R4046">
        <v>5.1956120000000001E-2</v>
      </c>
      <c r="S4046">
        <v>3.0180359999999999</v>
      </c>
      <c r="T4046">
        <v>-0.23657489999999901</v>
      </c>
      <c r="U4046">
        <v>9.3292239999999999E-2</v>
      </c>
      <c r="V4046">
        <v>-5.2595820000000001E-2</v>
      </c>
      <c r="W4046">
        <v>6.4052399999999995E-2</v>
      </c>
      <c r="X4046">
        <v>0.99655959999999999</v>
      </c>
      <c r="Y4046">
        <v>-3.136771E-2</v>
      </c>
      <c r="Z4046">
        <v>1.271763E-3</v>
      </c>
      <c r="AA4046">
        <v>0.99950709999999998</v>
      </c>
      <c r="AB4046">
        <v>39</v>
      </c>
      <c r="AC4046">
        <v>13.924099999999999</v>
      </c>
      <c r="AD4046">
        <v>-1.109858004708</v>
      </c>
      <c r="AE4046">
        <v>0.43762999999999802</v>
      </c>
      <c r="AF4046">
        <v>-0.44274324623355799</v>
      </c>
      <c r="AG4046">
        <v>-1.109858004708</v>
      </c>
      <c r="AH4046">
        <v>13.836030764917201</v>
      </c>
      <c r="AI4046">
        <v>94.583828374040706</v>
      </c>
      <c r="AJ4046">
        <v>91.832799220579503</v>
      </c>
      <c r="AK4046">
        <v>13.887532311409201</v>
      </c>
    </row>
    <row r="4047" spans="1:37" x14ac:dyDescent="0.2">
      <c r="A4047" t="str">
        <f>"20200111154145915"</f>
        <v>20200111154145915</v>
      </c>
      <c r="B4047" t="str">
        <f>"1578728505910607"</f>
        <v>1578728505910607</v>
      </c>
      <c r="C4047" t="s">
        <v>37</v>
      </c>
      <c r="D4047">
        <v>5.6236949999999997</v>
      </c>
      <c r="E4047">
        <v>0.47354380000000001</v>
      </c>
      <c r="F4047" t="s">
        <v>39</v>
      </c>
      <c r="G4047">
        <v>-350.35509999999999</v>
      </c>
      <c r="H4047" s="1">
        <v>-4.3077030000000001E-6</v>
      </c>
      <c r="I4047">
        <v>18.5578</v>
      </c>
      <c r="J4047">
        <v>-364.8827</v>
      </c>
      <c r="K4047">
        <v>1.1098349999999999</v>
      </c>
      <c r="L4047">
        <v>17.56973</v>
      </c>
      <c r="M4047">
        <v>0.99998299999999996</v>
      </c>
      <c r="N4047">
        <v>0</v>
      </c>
      <c r="O4047">
        <v>-3.0785859999999998E-4</v>
      </c>
      <c r="P4047">
        <v>0.99681489999999995</v>
      </c>
      <c r="Q4047">
        <v>5.869224E-2</v>
      </c>
      <c r="R4047">
        <v>5.3995370000000001E-2</v>
      </c>
      <c r="S4047">
        <v>3.0119020000000001</v>
      </c>
      <c r="T4047">
        <v>-0.22498170000000001</v>
      </c>
      <c r="U4047">
        <v>0.20031740000000001</v>
      </c>
      <c r="V4047">
        <v>-5.4369599999999997E-2</v>
      </c>
      <c r="W4047">
        <v>6.4472580000000002E-2</v>
      </c>
      <c r="X4047">
        <v>0.99643729999999997</v>
      </c>
      <c r="Y4047">
        <v>-6.6483920000000002E-2</v>
      </c>
      <c r="Z4047">
        <v>2.4998540000000001E-3</v>
      </c>
      <c r="AA4047">
        <v>0.99778440000000002</v>
      </c>
      <c r="AB4047">
        <v>39</v>
      </c>
      <c r="AC4047">
        <v>14.5276</v>
      </c>
      <c r="AD4047">
        <v>-1.109839307703</v>
      </c>
      <c r="AE4047">
        <v>0.98807</v>
      </c>
      <c r="AF4047">
        <v>-0.98680974469304295</v>
      </c>
      <c r="AG4047">
        <v>-1.109839307703</v>
      </c>
      <c r="AH4047">
        <v>14.4433883098046</v>
      </c>
      <c r="AI4047">
        <v>94.383830322013694</v>
      </c>
      <c r="AJ4047">
        <v>93.908522160545701</v>
      </c>
      <c r="AK4047">
        <v>14.5195386506922</v>
      </c>
    </row>
    <row r="4048" spans="1:37" x14ac:dyDescent="0.2">
      <c r="A4048" t="str">
        <f>"20200111154145929"</f>
        <v>20200111154145929</v>
      </c>
      <c r="B4048" t="str">
        <f>"1578728505920367"</f>
        <v>1578728505920367</v>
      </c>
      <c r="C4048" t="s">
        <v>37</v>
      </c>
      <c r="D4048">
        <v>5.5065489999999997</v>
      </c>
      <c r="E4048">
        <v>0.46944709999999901</v>
      </c>
      <c r="F4048" t="s">
        <v>39</v>
      </c>
      <c r="G4048">
        <v>-350.23309999999998</v>
      </c>
      <c r="H4048" s="1">
        <v>-4.2191370000000004E-6</v>
      </c>
      <c r="I4048">
        <v>19.352</v>
      </c>
      <c r="J4048">
        <v>-364.6508</v>
      </c>
      <c r="K4048">
        <v>1.109823</v>
      </c>
      <c r="L4048">
        <v>17.569790000000001</v>
      </c>
      <c r="M4048">
        <v>0.99998290000000001</v>
      </c>
      <c r="N4048">
        <v>0</v>
      </c>
      <c r="O4048">
        <v>-1.355289E-4</v>
      </c>
      <c r="P4048">
        <v>0.99672640000000001</v>
      </c>
      <c r="Q4048">
        <v>5.9137179999999998E-2</v>
      </c>
      <c r="R4048">
        <v>5.513274E-2</v>
      </c>
      <c r="S4048">
        <v>3.0032040000000002</v>
      </c>
      <c r="T4048">
        <v>-0.22752049999999999</v>
      </c>
      <c r="U4048">
        <v>0.36538699999999902</v>
      </c>
      <c r="V4048">
        <v>-5.5332439999999997E-2</v>
      </c>
      <c r="W4048">
        <v>6.493604E-2</v>
      </c>
      <c r="X4048">
        <v>0.99635419999999997</v>
      </c>
      <c r="Y4048">
        <v>-0.1205688</v>
      </c>
      <c r="Z4048">
        <v>4.5540989999999998E-3</v>
      </c>
      <c r="AA4048">
        <v>0.99269459999999998</v>
      </c>
      <c r="AB4048">
        <v>39</v>
      </c>
      <c r="AC4048">
        <v>14.4177</v>
      </c>
      <c r="AD4048">
        <v>-1.109827219137</v>
      </c>
      <c r="AE4048">
        <v>1.7822099999999901</v>
      </c>
      <c r="AF4048">
        <v>-1.7738116471821199</v>
      </c>
      <c r="AG4048">
        <v>-1.109827219137</v>
      </c>
      <c r="AH4048">
        <v>14.333802854341201</v>
      </c>
      <c r="AI4048">
        <v>94.394037614823404</v>
      </c>
      <c r="AJ4048">
        <v>97.054501603884603</v>
      </c>
      <c r="AK4048">
        <v>14.4857180865547</v>
      </c>
    </row>
    <row r="4049" spans="1:37" x14ac:dyDescent="0.2">
      <c r="A4049" t="str">
        <f>"20200111154145949"</f>
        <v>20200111154145949</v>
      </c>
      <c r="B4049" t="str">
        <f>"1578728505939886"</f>
        <v>1578728505939886</v>
      </c>
      <c r="C4049" t="s">
        <v>37</v>
      </c>
      <c r="D4049">
        <v>5.4188720000000004</v>
      </c>
      <c r="E4049">
        <v>0.46404390000000001</v>
      </c>
      <c r="F4049" t="s">
        <v>39</v>
      </c>
      <c r="G4049">
        <v>-349.8732</v>
      </c>
      <c r="H4049" s="1">
        <v>-4.8856769999999899E-8</v>
      </c>
      <c r="I4049">
        <v>19.547779999999999</v>
      </c>
      <c r="J4049">
        <v>-364.29390000000001</v>
      </c>
      <c r="K4049">
        <v>1.1098129999999999</v>
      </c>
      <c r="L4049">
        <v>17.569979999999902</v>
      </c>
      <c r="M4049">
        <v>0.9999825</v>
      </c>
      <c r="N4049">
        <v>0</v>
      </c>
      <c r="O4049">
        <v>1.162361E-4</v>
      </c>
      <c r="P4049">
        <v>0.99653700000000001</v>
      </c>
      <c r="Q4049">
        <v>6.0280149999999998E-2</v>
      </c>
      <c r="R4049">
        <v>5.7276199999999902E-2</v>
      </c>
      <c r="S4049">
        <v>3.001007</v>
      </c>
      <c r="T4049">
        <v>-0.22538069999999999</v>
      </c>
      <c r="U4049">
        <v>0.40170289999999997</v>
      </c>
      <c r="V4049">
        <v>-5.7222120000000001E-2</v>
      </c>
      <c r="W4049">
        <v>6.6113199999999997E-2</v>
      </c>
      <c r="X4049">
        <v>0.99617</v>
      </c>
      <c r="Y4049">
        <v>-0.13219210000000001</v>
      </c>
      <c r="Z4049">
        <v>4.9263500000000003E-3</v>
      </c>
      <c r="AA4049">
        <v>0.99121190000000003</v>
      </c>
      <c r="AB4049">
        <v>39</v>
      </c>
      <c r="AC4049">
        <v>14.4207</v>
      </c>
      <c r="AD4049">
        <v>-1.1098130488567699</v>
      </c>
      <c r="AE4049">
        <v>1.9778</v>
      </c>
      <c r="AF4049">
        <v>-1.9647020602858301</v>
      </c>
      <c r="AG4049">
        <v>-1.1098130488567699</v>
      </c>
      <c r="AH4049">
        <v>14.3375790439054</v>
      </c>
      <c r="AI4049">
        <v>94.385384637154999</v>
      </c>
      <c r="AJ4049">
        <v>97.802738086063101</v>
      </c>
      <c r="AK4049">
        <v>14.514059116227299</v>
      </c>
    </row>
    <row r="4050" spans="1:37" x14ac:dyDescent="0.2">
      <c r="A4050" t="str">
        <f>"20200111154145961"</f>
        <v>20200111154145961</v>
      </c>
      <c r="B4050" t="str">
        <f>"1578728505950623"</f>
        <v>1578728505950623</v>
      </c>
      <c r="C4050" t="s">
        <v>37</v>
      </c>
      <c r="D4050">
        <v>5.420331</v>
      </c>
      <c r="E4050">
        <v>0.46278320000000001</v>
      </c>
      <c r="F4050" t="s">
        <v>39</v>
      </c>
      <c r="G4050">
        <v>-348.93060000000003</v>
      </c>
      <c r="H4050" s="1">
        <v>-5.1212169999999998E-7</v>
      </c>
      <c r="I4050">
        <v>19.883189999999999</v>
      </c>
      <c r="J4050">
        <v>-364.07870000000003</v>
      </c>
      <c r="K4050">
        <v>1.109807</v>
      </c>
      <c r="L4050">
        <v>17.570129999999999</v>
      </c>
      <c r="M4050">
        <v>0.99998240000000005</v>
      </c>
      <c r="N4050">
        <v>0</v>
      </c>
      <c r="O4050">
        <v>2.6325719999999999E-4</v>
      </c>
      <c r="P4050">
        <v>0.99645969999999995</v>
      </c>
      <c r="Q4050">
        <v>6.072309E-2</v>
      </c>
      <c r="R4050">
        <v>5.8142430000000002E-2</v>
      </c>
      <c r="S4050">
        <v>2.9975890000000001</v>
      </c>
      <c r="T4050">
        <v>-0.2165395</v>
      </c>
      <c r="U4050">
        <v>0.45135500000000001</v>
      </c>
      <c r="V4050">
        <v>-5.793947E-2</v>
      </c>
      <c r="W4050">
        <v>6.6580420000000001E-2</v>
      </c>
      <c r="X4050">
        <v>0.99609740000000002</v>
      </c>
      <c r="Y4050">
        <v>-0.14825679999999999</v>
      </c>
      <c r="Z4050">
        <v>5.2991679999999999E-3</v>
      </c>
      <c r="AA4050">
        <v>0.98893469999999895</v>
      </c>
      <c r="AB4050">
        <v>39</v>
      </c>
      <c r="AC4050">
        <v>15.148099999999999</v>
      </c>
      <c r="AD4050">
        <v>-1.1098075121216999</v>
      </c>
      <c r="AE4050">
        <v>2.3130600000000001</v>
      </c>
      <c r="AF4050">
        <v>-2.2970234590309699</v>
      </c>
      <c r="AG4050">
        <v>-1.1098075121216999</v>
      </c>
      <c r="AH4050">
        <v>15.0696637233646</v>
      </c>
      <c r="AI4050">
        <v>94.164028468672399</v>
      </c>
      <c r="AJ4050">
        <v>98.666713233822804</v>
      </c>
      <c r="AK4050">
        <v>15.284068640927799</v>
      </c>
    </row>
    <row r="4051" spans="1:37" x14ac:dyDescent="0.2">
      <c r="A4051" t="str">
        <f>"20200111154145975"</f>
        <v>20200111154145975</v>
      </c>
      <c r="B4051" t="str">
        <f>"1578728505970143"</f>
        <v>1578728505970143</v>
      </c>
      <c r="C4051" t="s">
        <v>37</v>
      </c>
      <c r="D4051">
        <v>5.4571889999999996</v>
      </c>
      <c r="E4051">
        <v>0.4609742</v>
      </c>
      <c r="F4051" t="s">
        <v>39</v>
      </c>
      <c r="G4051">
        <v>-348.7484</v>
      </c>
      <c r="H4051" s="1">
        <v>-6.0633050000000002E-7</v>
      </c>
      <c r="I4051">
        <v>19.943629999999999</v>
      </c>
      <c r="J4051">
        <v>-363.86759999999998</v>
      </c>
      <c r="K4051">
        <v>1.109802</v>
      </c>
      <c r="L4051">
        <v>17.570309999999999</v>
      </c>
      <c r="M4051">
        <v>0.99998229999999999</v>
      </c>
      <c r="N4051">
        <v>0</v>
      </c>
      <c r="O4051">
        <v>4.0486549999999997E-4</v>
      </c>
      <c r="P4051">
        <v>0.99640459999999997</v>
      </c>
      <c r="Q4051">
        <v>6.0784089999999999E-2</v>
      </c>
      <c r="R4051">
        <v>5.901754E-2</v>
      </c>
      <c r="S4051">
        <v>2.9967649999999999</v>
      </c>
      <c r="T4051">
        <v>-0.21694530000000001</v>
      </c>
      <c r="U4051">
        <v>0.46398929999999999</v>
      </c>
      <c r="V4051">
        <v>-5.8672000000000002E-2</v>
      </c>
      <c r="W4051">
        <v>6.6666059999999999E-2</v>
      </c>
      <c r="X4051">
        <v>0.99604879999999996</v>
      </c>
      <c r="Y4051">
        <v>-0.15221879999999999</v>
      </c>
      <c r="Z4051">
        <v>5.4410400000000003E-3</v>
      </c>
      <c r="AA4051">
        <v>0.98833189999999904</v>
      </c>
      <c r="AB4051">
        <v>39</v>
      </c>
      <c r="AC4051">
        <v>15.1191999999999</v>
      </c>
      <c r="AD4051">
        <v>-1.1098026063305</v>
      </c>
      <c r="AE4051">
        <v>2.3733200000000001</v>
      </c>
      <c r="AF4051">
        <v>-2.3548156476900002</v>
      </c>
      <c r="AG4051">
        <v>-1.1098026063305</v>
      </c>
      <c r="AH4051">
        <v>15.041066146802301</v>
      </c>
      <c r="AI4051">
        <v>94.169308049021794</v>
      </c>
      <c r="AJ4051">
        <v>98.897945900624194</v>
      </c>
      <c r="AK4051">
        <v>15.264681110069301</v>
      </c>
    </row>
    <row r="4052" spans="1:37" x14ac:dyDescent="0.2">
      <c r="A4052" t="str">
        <f>"20200111154145993"</f>
        <v>20200111154145993</v>
      </c>
      <c r="B4052" t="str">
        <f>"1578728505990639"</f>
        <v>1578728505990639</v>
      </c>
      <c r="C4052" t="s">
        <v>37</v>
      </c>
      <c r="D4052">
        <v>5.4451549999999997</v>
      </c>
      <c r="E4052">
        <v>0.45979880000000001</v>
      </c>
      <c r="F4052" t="s">
        <v>39</v>
      </c>
      <c r="G4052">
        <v>-348.81909999999999</v>
      </c>
      <c r="H4052" s="1">
        <v>-5.8717250000000005E-7</v>
      </c>
      <c r="I4052">
        <v>19.98554</v>
      </c>
      <c r="J4052">
        <v>-363.52980000000002</v>
      </c>
      <c r="K4052">
        <v>1.1097889999999999</v>
      </c>
      <c r="L4052">
        <v>17.570620000000002</v>
      </c>
      <c r="M4052">
        <v>0.99998189999999998</v>
      </c>
      <c r="N4052">
        <v>0</v>
      </c>
      <c r="O4052">
        <v>6.3001959999999999E-4</v>
      </c>
      <c r="P4052">
        <v>0.99629290000000004</v>
      </c>
      <c r="Q4052">
        <v>6.1149820000000001E-2</v>
      </c>
      <c r="R4052">
        <v>6.0510649999999999E-2</v>
      </c>
      <c r="S4052">
        <v>2.995819</v>
      </c>
      <c r="T4052">
        <v>-0.2209373</v>
      </c>
      <c r="U4052">
        <v>0.48083500000000001</v>
      </c>
      <c r="V4052">
        <v>-5.9939390000000002E-2</v>
      </c>
      <c r="W4052">
        <v>6.707428E-2</v>
      </c>
      <c r="X4052">
        <v>0.99594590000000005</v>
      </c>
      <c r="Y4052">
        <v>-0.15743650000000001</v>
      </c>
      <c r="Z4052">
        <v>5.7146609999999898E-3</v>
      </c>
      <c r="AA4052">
        <v>0.98751259999999996</v>
      </c>
      <c r="AB4052">
        <v>39</v>
      </c>
      <c r="AC4052">
        <v>14.710699999999999</v>
      </c>
      <c r="AD4052">
        <v>-1.1097895871725001</v>
      </c>
      <c r="AE4052">
        <v>2.4149199999999902</v>
      </c>
      <c r="AF4052">
        <v>-2.3923927059604502</v>
      </c>
      <c r="AG4052">
        <v>-1.1097895871725001</v>
      </c>
      <c r="AH4052">
        <v>14.6311329434029</v>
      </c>
      <c r="AI4052">
        <v>94.281012768819096</v>
      </c>
      <c r="AJ4052">
        <v>99.286471356436394</v>
      </c>
      <c r="AK4052">
        <v>14.866917198762399</v>
      </c>
    </row>
    <row r="4053" spans="1:37" x14ac:dyDescent="0.2">
      <c r="A4053" t="str">
        <f>"20200111154146006"</f>
        <v>20200111154146006</v>
      </c>
      <c r="B4053" t="str">
        <f>"1578728506000398"</f>
        <v>1578728506000398</v>
      </c>
      <c r="C4053" t="s">
        <v>37</v>
      </c>
      <c r="D4053">
        <v>5.4311639999999999</v>
      </c>
      <c r="E4053">
        <v>0.45900469999999999</v>
      </c>
      <c r="F4053" t="s">
        <v>39</v>
      </c>
      <c r="G4053">
        <v>-348.62459999999999</v>
      </c>
      <c r="H4053" s="1">
        <v>-6.8273770000000001E-7</v>
      </c>
      <c r="I4053">
        <v>20.031099999999999</v>
      </c>
      <c r="J4053">
        <v>-363.29939999999999</v>
      </c>
      <c r="K4053">
        <v>1.109785</v>
      </c>
      <c r="L4053">
        <v>17.570889999999999</v>
      </c>
      <c r="M4053">
        <v>0.99998169999999897</v>
      </c>
      <c r="N4053">
        <v>0</v>
      </c>
      <c r="O4053">
        <v>7.8287799999999998E-4</v>
      </c>
      <c r="P4053">
        <v>0.9962626</v>
      </c>
      <c r="Q4053">
        <v>6.0846079999999997E-2</v>
      </c>
      <c r="R4053">
        <v>6.1312329999999998E-2</v>
      </c>
      <c r="S4053">
        <v>2.994812</v>
      </c>
      <c r="T4053">
        <v>-0.2229826</v>
      </c>
      <c r="U4053">
        <v>0.49438480000000001</v>
      </c>
      <c r="V4053">
        <v>-6.0586349999999997E-2</v>
      </c>
      <c r="W4053">
        <v>6.6802619999999993E-2</v>
      </c>
      <c r="X4053">
        <v>0.99592510000000001</v>
      </c>
      <c r="Y4053">
        <v>-0.16167000000000001</v>
      </c>
      <c r="Z4053">
        <v>5.9123040000000002E-3</v>
      </c>
      <c r="AA4053">
        <v>0.98682709999999996</v>
      </c>
      <c r="AB4053">
        <v>39</v>
      </c>
      <c r="AC4053">
        <v>14.674799999999999</v>
      </c>
      <c r="AD4053">
        <v>-1.1097856827377</v>
      </c>
      <c r="AE4053">
        <v>2.46021</v>
      </c>
      <c r="AF4053">
        <v>-2.4351739977223499</v>
      </c>
      <c r="AG4053">
        <v>-1.1097856827377</v>
      </c>
      <c r="AH4053">
        <v>14.5955291072262</v>
      </c>
      <c r="AI4053">
        <v>94.2891131454966</v>
      </c>
      <c r="AJ4053">
        <v>99.472198370594498</v>
      </c>
      <c r="AK4053">
        <v>14.838839799009801</v>
      </c>
    </row>
    <row r="4054" spans="1:37" x14ac:dyDescent="0.2">
      <c r="A4054" t="str">
        <f>"20200111154146017"</f>
        <v>20200111154146017</v>
      </c>
      <c r="B4054" t="str">
        <f>"1578728506010159"</f>
        <v>1578728506010159</v>
      </c>
      <c r="C4054" t="s">
        <v>37</v>
      </c>
      <c r="D4054">
        <v>5.4330059999999998</v>
      </c>
      <c r="E4054">
        <v>0.45883479999999999</v>
      </c>
      <c r="F4054" t="s">
        <v>39</v>
      </c>
      <c r="G4054">
        <v>-348.28429999999997</v>
      </c>
      <c r="H4054" s="1">
        <v>-8.455378E-7</v>
      </c>
      <c r="I4054">
        <v>20.094270000000002</v>
      </c>
      <c r="J4054">
        <v>-363.07429999999999</v>
      </c>
      <c r="K4054">
        <v>1.1097809999999999</v>
      </c>
      <c r="L4054">
        <v>17.571200000000001</v>
      </c>
      <c r="M4054">
        <v>0.99998120000000001</v>
      </c>
      <c r="N4054">
        <v>0</v>
      </c>
      <c r="O4054">
        <v>9.3239780000000001E-4</v>
      </c>
      <c r="P4054">
        <v>0.9962259</v>
      </c>
      <c r="Q4054">
        <v>6.0690999999999898E-2</v>
      </c>
      <c r="R4054">
        <v>6.2053770000000001E-2</v>
      </c>
      <c r="S4054">
        <v>2.993805</v>
      </c>
      <c r="T4054">
        <v>-0.22127569999999999</v>
      </c>
      <c r="U4054">
        <v>0.50314329999999996</v>
      </c>
      <c r="V4054">
        <v>-6.117761E-2</v>
      </c>
      <c r="W4054">
        <v>6.6682259999999993E-2</v>
      </c>
      <c r="X4054">
        <v>0.99589699999999903</v>
      </c>
      <c r="Y4054">
        <v>-0.164384</v>
      </c>
      <c r="Z4054">
        <v>5.9562169999999998E-3</v>
      </c>
      <c r="AA4054">
        <v>0.98637839999999999</v>
      </c>
      <c r="AB4054">
        <v>39</v>
      </c>
      <c r="AC4054">
        <v>14.79</v>
      </c>
      <c r="AD4054">
        <v>-1.1097818455377999</v>
      </c>
      <c r="AE4054">
        <v>2.5230700000000001</v>
      </c>
      <c r="AF4054">
        <v>-2.49562449218269</v>
      </c>
      <c r="AG4054">
        <v>-1.1097818455377999</v>
      </c>
      <c r="AH4054">
        <v>14.711855009274201</v>
      </c>
      <c r="AI4054">
        <v>94.253375101987899</v>
      </c>
      <c r="AJ4054">
        <v>99.627638920120205</v>
      </c>
      <c r="AK4054">
        <v>14.963236119388601</v>
      </c>
    </row>
    <row r="4055" spans="1:37" x14ac:dyDescent="0.2">
      <c r="A4055" t="str">
        <f>"20200111154146039"</f>
        <v>20200111154146039</v>
      </c>
      <c r="B4055" t="str">
        <f>"1578728506030654"</f>
        <v>1578728506030654</v>
      </c>
      <c r="C4055" t="s">
        <v>37</v>
      </c>
      <c r="D4055">
        <v>5.3802640000000004</v>
      </c>
      <c r="E4055">
        <v>0.45832319999999999</v>
      </c>
      <c r="F4055" t="s">
        <v>39</v>
      </c>
      <c r="G4055">
        <v>-348.1687</v>
      </c>
      <c r="H4055" s="1">
        <v>-8.9495730000000001E-7</v>
      </c>
      <c r="I4055">
        <v>20.093699999999998</v>
      </c>
      <c r="J4055">
        <v>-362.709</v>
      </c>
      <c r="K4055">
        <v>1.109775</v>
      </c>
      <c r="L4055">
        <v>17.571750000000002</v>
      </c>
      <c r="M4055">
        <v>0.99998050000000005</v>
      </c>
      <c r="N4055">
        <v>0</v>
      </c>
      <c r="O4055">
        <v>1.1757409999999999E-3</v>
      </c>
      <c r="P4055">
        <v>0.99615259999999894</v>
      </c>
      <c r="Q4055">
        <v>6.0588950000000003E-2</v>
      </c>
      <c r="R4055">
        <v>6.3317159999999997E-2</v>
      </c>
      <c r="S4055">
        <v>2.9933779999999999</v>
      </c>
      <c r="T4055">
        <v>-0.22286889999999901</v>
      </c>
      <c r="U4055">
        <v>0.50659179999999904</v>
      </c>
      <c r="V4055">
        <v>-6.2196340000000003E-2</v>
      </c>
      <c r="W4055">
        <v>6.6647499999999998E-2</v>
      </c>
      <c r="X4055">
        <v>0.99583619999999995</v>
      </c>
      <c r="Y4055">
        <v>-0.16526389999999999</v>
      </c>
      <c r="Z4055">
        <v>6.0137760000000002E-3</v>
      </c>
      <c r="AA4055">
        <v>0.98623099999999997</v>
      </c>
      <c r="AB4055">
        <v>39</v>
      </c>
      <c r="AC4055">
        <v>14.5403</v>
      </c>
      <c r="AD4055">
        <v>-1.1097758949573</v>
      </c>
      <c r="AE4055">
        <v>2.5219499999999901</v>
      </c>
      <c r="AF4055">
        <v>-2.4907664125171398</v>
      </c>
      <c r="AG4055">
        <v>-1.1097758949573</v>
      </c>
      <c r="AH4055">
        <v>14.461471989119801</v>
      </c>
      <c r="AI4055">
        <v>94.324855189813704</v>
      </c>
      <c r="AJ4055">
        <v>99.772438305539794</v>
      </c>
      <c r="AK4055">
        <v>14.716307007902699</v>
      </c>
    </row>
    <row r="4056" spans="1:37" x14ac:dyDescent="0.2">
      <c r="A4056" t="str">
        <f>"20200111154146052"</f>
        <v>20200111154146052</v>
      </c>
      <c r="B4056" t="str">
        <f>"1578728506040415"</f>
        <v>1578728506040415</v>
      </c>
      <c r="C4056" t="s">
        <v>37</v>
      </c>
      <c r="D4056">
        <v>5.3492089999999903</v>
      </c>
      <c r="E4056">
        <v>0.45831909999999998</v>
      </c>
      <c r="F4056" t="s">
        <v>39</v>
      </c>
      <c r="G4056">
        <v>-347.65539999999999</v>
      </c>
      <c r="H4056" s="1">
        <v>-1.1328720000000001E-6</v>
      </c>
      <c r="I4056">
        <v>20.160239999999899</v>
      </c>
      <c r="J4056">
        <v>-362.49529999999999</v>
      </c>
      <c r="K4056">
        <v>1.109777</v>
      </c>
      <c r="L4056">
        <v>17.572140000000001</v>
      </c>
      <c r="M4056">
        <v>0.99998019999999999</v>
      </c>
      <c r="N4056">
        <v>0</v>
      </c>
      <c r="O4056">
        <v>1.31830799999999E-3</v>
      </c>
      <c r="P4056">
        <v>0.99615789999999904</v>
      </c>
      <c r="Q4056">
        <v>6.0121719999999997E-2</v>
      </c>
      <c r="R4056">
        <v>6.3678529999999997E-2</v>
      </c>
      <c r="S4056">
        <v>2.99234</v>
      </c>
      <c r="T4056">
        <v>-0.2206004</v>
      </c>
      <c r="U4056">
        <v>0.51455689999999998</v>
      </c>
      <c r="V4056">
        <v>-6.2414110000000002E-2</v>
      </c>
      <c r="W4056">
        <v>6.6234520000000005E-2</v>
      </c>
      <c r="X4056">
        <v>0.99585009999999996</v>
      </c>
      <c r="Y4056">
        <v>-0.16773260000000001</v>
      </c>
      <c r="Z4056">
        <v>6.033236E-3</v>
      </c>
      <c r="AA4056">
        <v>0.98581399999999997</v>
      </c>
      <c r="AB4056">
        <v>39</v>
      </c>
      <c r="AC4056">
        <v>14.8399</v>
      </c>
      <c r="AD4056">
        <v>-1.109778132872</v>
      </c>
      <c r="AE4056">
        <v>2.5880999999999901</v>
      </c>
      <c r="AF4056">
        <v>-2.5546684223826901</v>
      </c>
      <c r="AG4056">
        <v>-1.109778132872</v>
      </c>
      <c r="AH4056">
        <v>14.763172331124</v>
      </c>
      <c r="AI4056">
        <v>94.236233834092701</v>
      </c>
      <c r="AJ4056">
        <v>99.8174315683125</v>
      </c>
      <c r="AK4056">
        <v>15.023621252247599</v>
      </c>
    </row>
    <row r="4057" spans="1:37" x14ac:dyDescent="0.2">
      <c r="A4057" t="str">
        <f>"20200111154146064"</f>
        <v>20200111154146064</v>
      </c>
      <c r="B4057" t="str">
        <f>"1578728506059934"</f>
        <v>1578728506059934</v>
      </c>
      <c r="C4057" t="s">
        <v>37</v>
      </c>
      <c r="D4057">
        <v>5.3802479999999999</v>
      </c>
      <c r="E4057">
        <v>0.45844859999999998</v>
      </c>
      <c r="F4057" t="s">
        <v>39</v>
      </c>
      <c r="G4057">
        <v>-347.49799999999999</v>
      </c>
      <c r="H4057" s="1">
        <v>-1.1996989999999999E-6</v>
      </c>
      <c r="I4057">
        <v>20.157529999999898</v>
      </c>
      <c r="J4057">
        <v>-362.26139999999998</v>
      </c>
      <c r="K4057">
        <v>1.1097790000000001</v>
      </c>
      <c r="L4057">
        <v>17.572569999999999</v>
      </c>
      <c r="M4057">
        <v>0.99997930000000002</v>
      </c>
      <c r="N4057">
        <v>0</v>
      </c>
      <c r="O4057">
        <v>1.4748999999999999E-3</v>
      </c>
      <c r="P4057">
        <v>0.99616039999999995</v>
      </c>
      <c r="Q4057">
        <v>5.9637830000000003E-2</v>
      </c>
      <c r="R4057">
        <v>6.4089320000000005E-2</v>
      </c>
      <c r="S4057">
        <v>2.9920040000000001</v>
      </c>
      <c r="T4057">
        <v>-0.2214034</v>
      </c>
      <c r="U4057">
        <v>0.51580809999999999</v>
      </c>
      <c r="V4057">
        <v>-6.2667990000000007E-2</v>
      </c>
      <c r="W4057">
        <v>6.5818219999999997E-2</v>
      </c>
      <c r="X4057">
        <v>0.99586180000000002</v>
      </c>
      <c r="Y4057">
        <v>-0.16799359999999999</v>
      </c>
      <c r="Z4057">
        <v>6.053681E-3</v>
      </c>
      <c r="AA4057">
        <v>0.98576949999999997</v>
      </c>
      <c r="AB4057">
        <v>39</v>
      </c>
      <c r="AC4057">
        <v>14.763399999999899</v>
      </c>
      <c r="AD4057">
        <v>-1.109780199699</v>
      </c>
      <c r="AE4057">
        <v>2.5849599999999899</v>
      </c>
      <c r="AF4057">
        <v>-2.5492059366008499</v>
      </c>
      <c r="AG4057">
        <v>-1.109780199699</v>
      </c>
      <c r="AH4057">
        <v>14.686675352804301</v>
      </c>
      <c r="AI4057">
        <v>94.257847751799503</v>
      </c>
      <c r="AJ4057">
        <v>99.846878253138598</v>
      </c>
      <c r="AK4057">
        <v>14.947524742161001</v>
      </c>
    </row>
    <row r="4058" spans="1:37" x14ac:dyDescent="0.2">
      <c r="A4058" t="str">
        <f>"20200111154146082"</f>
        <v>20200111154146082</v>
      </c>
      <c r="B4058" t="str">
        <f>"1578728506070670"</f>
        <v>1578728506070670</v>
      </c>
      <c r="C4058" t="s">
        <v>37</v>
      </c>
      <c r="D4058">
        <v>5.3783699999999897</v>
      </c>
      <c r="E4058">
        <v>0.45848299999999997</v>
      </c>
      <c r="F4058" t="s">
        <v>39</v>
      </c>
      <c r="G4058">
        <v>-347.29390000000001</v>
      </c>
      <c r="H4058" s="1">
        <v>-1.286544E-6</v>
      </c>
      <c r="I4058">
        <v>20.154820000000001</v>
      </c>
      <c r="J4058">
        <v>-361.94850000000002</v>
      </c>
      <c r="K4058">
        <v>1.1097870000000001</v>
      </c>
      <c r="L4058">
        <v>17.573179999999901</v>
      </c>
      <c r="M4058">
        <v>0.99997839999999905</v>
      </c>
      <c r="N4058">
        <v>0</v>
      </c>
      <c r="O4058">
        <v>1.6840889999999999E-3</v>
      </c>
      <c r="P4058">
        <v>0.99617690000000003</v>
      </c>
      <c r="Q4058">
        <v>5.8376860000000003E-2</v>
      </c>
      <c r="R4058">
        <v>6.4992399999999895E-2</v>
      </c>
      <c r="S4058">
        <v>2.991638</v>
      </c>
      <c r="T4058">
        <v>-0.2218176</v>
      </c>
      <c r="U4058">
        <v>0.51614380000000004</v>
      </c>
      <c r="V4058">
        <v>-6.3360319999999998E-2</v>
      </c>
      <c r="W4058">
        <v>6.4677189999999996E-2</v>
      </c>
      <c r="X4058">
        <v>0.99589269999999996</v>
      </c>
      <c r="Y4058">
        <v>-0.16791410000000001</v>
      </c>
      <c r="Z4058">
        <v>6.0473480000000001E-3</v>
      </c>
      <c r="AA4058">
        <v>0.98578310000000002</v>
      </c>
      <c r="AB4058">
        <v>40</v>
      </c>
      <c r="AC4058">
        <v>14.6546</v>
      </c>
      <c r="AD4058">
        <v>-1.1097882865440001</v>
      </c>
      <c r="AE4058">
        <v>2.5816400000000002</v>
      </c>
      <c r="AF4058">
        <v>-2.54281215077705</v>
      </c>
      <c r="AG4058">
        <v>-1.1097882865440001</v>
      </c>
      <c r="AH4058">
        <v>14.577839808199499</v>
      </c>
      <c r="AI4058">
        <v>94.288930323753803</v>
      </c>
      <c r="AJ4058">
        <v>99.894552592876096</v>
      </c>
      <c r="AK4058">
        <v>14.839505960395501</v>
      </c>
    </row>
    <row r="4059" spans="1:37" x14ac:dyDescent="0.2">
      <c r="A4059" t="str">
        <f>"20200111154146104"</f>
        <v>20200111154146104</v>
      </c>
      <c r="B4059" t="str">
        <f>"1578728506099951"</f>
        <v>1578728506099951</v>
      </c>
      <c r="C4059" t="s">
        <v>37</v>
      </c>
      <c r="D4059">
        <v>5.3773860000000004</v>
      </c>
      <c r="E4059">
        <v>0.45853959999999999</v>
      </c>
      <c r="F4059" t="s">
        <v>39</v>
      </c>
      <c r="G4059">
        <v>-347.21570000000003</v>
      </c>
      <c r="H4059" s="1">
        <v>-1.312955E-6</v>
      </c>
      <c r="I4059">
        <v>20.128079999999901</v>
      </c>
      <c r="J4059">
        <v>-361.56819999999999</v>
      </c>
      <c r="K4059">
        <v>1.1097980000000001</v>
      </c>
      <c r="L4059">
        <v>17.57404</v>
      </c>
      <c r="M4059">
        <v>0.99997689999999995</v>
      </c>
      <c r="N4059">
        <v>0</v>
      </c>
      <c r="O4059">
        <v>1.9385489999999999E-3</v>
      </c>
      <c r="P4059">
        <v>0.99621689999999996</v>
      </c>
      <c r="Q4059">
        <v>5.634931E-2</v>
      </c>
      <c r="R4059">
        <v>6.6157850000000004E-2</v>
      </c>
      <c r="S4059">
        <v>2.9908450000000002</v>
      </c>
      <c r="T4059">
        <v>-0.22529379999999999</v>
      </c>
      <c r="U4059">
        <v>0.51867680000000005</v>
      </c>
      <c r="V4059">
        <v>-6.42702E-2</v>
      </c>
      <c r="W4059">
        <v>6.2817979999999995E-2</v>
      </c>
      <c r="X4059">
        <v>0.99595339999999999</v>
      </c>
      <c r="Y4059">
        <v>-0.1685026</v>
      </c>
      <c r="Z4059">
        <v>6.1459949999999996E-3</v>
      </c>
      <c r="AA4059">
        <v>0.98568210000000001</v>
      </c>
      <c r="AB4059">
        <v>40</v>
      </c>
      <c r="AC4059">
        <v>14.3524999999999</v>
      </c>
      <c r="AD4059">
        <v>-1.1097993129549999</v>
      </c>
      <c r="AE4059">
        <v>2.5540399999999899</v>
      </c>
      <c r="AF4059">
        <v>-2.5116551694006599</v>
      </c>
      <c r="AG4059">
        <v>-1.1097993129549999</v>
      </c>
      <c r="AH4059">
        <v>14.274694599223899</v>
      </c>
      <c r="AI4059">
        <v>94.378576822272095</v>
      </c>
      <c r="AJ4059">
        <v>99.979138749273304</v>
      </c>
      <c r="AK4059">
        <v>14.536401621657401</v>
      </c>
    </row>
    <row r="4060" spans="1:37" x14ac:dyDescent="0.2">
      <c r="A4060" t="str">
        <f>"20200111154146117"</f>
        <v>20200111154146117</v>
      </c>
      <c r="B4060" t="str">
        <f>"1578728506110687"</f>
        <v>1578728506110687</v>
      </c>
      <c r="C4060" t="s">
        <v>37</v>
      </c>
      <c r="D4060">
        <v>5.3728850000000001</v>
      </c>
      <c r="E4060">
        <v>0.45860039999999902</v>
      </c>
      <c r="F4060" t="s">
        <v>39</v>
      </c>
      <c r="G4060">
        <v>-347.15960000000001</v>
      </c>
      <c r="H4060" s="1">
        <v>-1.3258539999999899E-6</v>
      </c>
      <c r="I4060">
        <v>20.086089999999999</v>
      </c>
      <c r="J4060">
        <v>-361.32560000000001</v>
      </c>
      <c r="K4060">
        <v>1.10981</v>
      </c>
      <c r="L4060">
        <v>17.574679999999901</v>
      </c>
      <c r="M4060">
        <v>0.99997569999999902</v>
      </c>
      <c r="N4060">
        <v>0</v>
      </c>
      <c r="O4060">
        <v>2.1005329999999999E-3</v>
      </c>
      <c r="P4060">
        <v>0.99623109999999904</v>
      </c>
      <c r="Q4060">
        <v>5.5508729999999999E-2</v>
      </c>
      <c r="R4060">
        <v>6.6653009999999999E-2</v>
      </c>
      <c r="S4060">
        <v>2.9898069999999999</v>
      </c>
      <c r="T4060">
        <v>-0.23028370000000001</v>
      </c>
      <c r="U4060">
        <v>0.52127079999999903</v>
      </c>
      <c r="V4060">
        <v>-6.4603190000000005E-2</v>
      </c>
      <c r="W4060">
        <v>6.209841E-2</v>
      </c>
      <c r="X4060">
        <v>0.995977</v>
      </c>
      <c r="Y4060">
        <v>-0.1692082</v>
      </c>
      <c r="Z4060">
        <v>6.2979819999999997E-3</v>
      </c>
      <c r="AA4060">
        <v>0.985560199999999</v>
      </c>
      <c r="AB4060">
        <v>40</v>
      </c>
      <c r="AC4060">
        <v>14.165999999999899</v>
      </c>
      <c r="AD4060">
        <v>-1.1098113258540001</v>
      </c>
      <c r="AE4060">
        <v>2.5114100000000001</v>
      </c>
      <c r="AF4060">
        <v>-2.4669675982494801</v>
      </c>
      <c r="AG4060">
        <v>-1.1098113258540001</v>
      </c>
      <c r="AH4060">
        <v>14.087414930740501</v>
      </c>
      <c r="AI4060">
        <v>94.4372299582257</v>
      </c>
      <c r="AJ4060">
        <v>99.932835645664397</v>
      </c>
      <c r="AK4060">
        <v>14.344785454675099</v>
      </c>
    </row>
    <row r="4061" spans="1:37" x14ac:dyDescent="0.2">
      <c r="A4061" t="str">
        <f>"20200111154146133"</f>
        <v>20200111154146133</v>
      </c>
      <c r="B4061" t="str">
        <f>"1578728506120447"</f>
        <v>1578728506120447</v>
      </c>
      <c r="C4061" t="s">
        <v>37</v>
      </c>
      <c r="D4061">
        <v>5.358047</v>
      </c>
      <c r="E4061">
        <v>0.45865509999999898</v>
      </c>
      <c r="F4061" t="s">
        <v>39</v>
      </c>
      <c r="G4061">
        <v>-347.04829999999998</v>
      </c>
      <c r="H4061" s="1">
        <v>-1.3687799999999901E-6</v>
      </c>
      <c r="I4061">
        <v>20.067999999999898</v>
      </c>
      <c r="J4061">
        <v>-361.05950000000001</v>
      </c>
      <c r="K4061">
        <v>1.1098209999999999</v>
      </c>
      <c r="L4061">
        <v>17.57535</v>
      </c>
      <c r="M4061">
        <v>0.99997440000000004</v>
      </c>
      <c r="N4061">
        <v>0</v>
      </c>
      <c r="O4061">
        <v>2.2777869999999999E-3</v>
      </c>
      <c r="P4061">
        <v>0.996251</v>
      </c>
      <c r="Q4061">
        <v>5.4737580000000001E-2</v>
      </c>
      <c r="R4061">
        <v>6.6992339999999997E-2</v>
      </c>
      <c r="S4061">
        <v>2.9893489999999998</v>
      </c>
      <c r="T4061">
        <v>-0.23236950000000001</v>
      </c>
      <c r="U4061">
        <v>0.52206419999999998</v>
      </c>
      <c r="V4061">
        <v>-6.4764840000000004E-2</v>
      </c>
      <c r="W4061">
        <v>6.1462099999999999E-2</v>
      </c>
      <c r="X4061">
        <v>0.99600599999999995</v>
      </c>
      <c r="Y4061">
        <v>-0.16930429999999999</v>
      </c>
      <c r="Z4061">
        <v>6.3457180000000002E-3</v>
      </c>
      <c r="AA4061">
        <v>0.98554339999999996</v>
      </c>
      <c r="AB4061">
        <v>40</v>
      </c>
      <c r="AC4061">
        <v>14.011200000000001</v>
      </c>
      <c r="AD4061">
        <v>-1.10982236878</v>
      </c>
      <c r="AE4061">
        <v>2.49264999999999</v>
      </c>
      <c r="AF4061">
        <v>-2.44585335910892</v>
      </c>
      <c r="AG4061">
        <v>-1.10982236878</v>
      </c>
      <c r="AH4061">
        <v>13.9321107917965</v>
      </c>
      <c r="AI4061">
        <v>94.486204492236794</v>
      </c>
      <c r="AJ4061">
        <v>99.957103421583199</v>
      </c>
      <c r="AK4061">
        <v>14.188643890781201</v>
      </c>
    </row>
    <row r="4062" spans="1:37" x14ac:dyDescent="0.2">
      <c r="A4062" t="str">
        <f>"20200111154146150"</f>
        <v>20200111154146150</v>
      </c>
      <c r="B4062" t="str">
        <f>"1578728506139967"</f>
        <v>1578728506139967</v>
      </c>
      <c r="C4062" t="s">
        <v>37</v>
      </c>
      <c r="D4062">
        <v>5.419886</v>
      </c>
      <c r="E4062">
        <v>0.45829949999999903</v>
      </c>
      <c r="F4062" t="s">
        <v>39</v>
      </c>
      <c r="G4062">
        <v>-346.8655</v>
      </c>
      <c r="H4062" s="1">
        <v>-1.44429E-6</v>
      </c>
      <c r="I4062">
        <v>20.057040000000001</v>
      </c>
      <c r="J4062">
        <v>-360.73540000000003</v>
      </c>
      <c r="K4062">
        <v>1.109828</v>
      </c>
      <c r="L4062">
        <v>17.576260000000001</v>
      </c>
      <c r="M4062">
        <v>0.99997259999999999</v>
      </c>
      <c r="N4062">
        <v>0</v>
      </c>
      <c r="O4062">
        <v>2.4934200000000001E-3</v>
      </c>
      <c r="P4062">
        <v>0.99628280000000002</v>
      </c>
      <c r="Q4062">
        <v>5.3376310000000003E-2</v>
      </c>
      <c r="R4062">
        <v>6.7615030000000007E-2</v>
      </c>
      <c r="S4062">
        <v>2.9889830000000002</v>
      </c>
      <c r="T4062">
        <v>-0.2337069</v>
      </c>
      <c r="U4062">
        <v>0.52261349999999995</v>
      </c>
      <c r="V4062">
        <v>-6.517183E-2</v>
      </c>
      <c r="W4062">
        <v>6.0272680000000002E-2</v>
      </c>
      <c r="X4062">
        <v>0.9960521</v>
      </c>
      <c r="Y4062">
        <v>-0.16928299999999999</v>
      </c>
      <c r="Z4062">
        <v>6.3652680000000003E-3</v>
      </c>
      <c r="AA4062">
        <v>0.9855469</v>
      </c>
      <c r="AB4062">
        <v>40</v>
      </c>
      <c r="AC4062">
        <v>13.869899999999999</v>
      </c>
      <c r="AD4062">
        <v>-1.1098294442900001</v>
      </c>
      <c r="AE4062">
        <v>2.4807800000000002</v>
      </c>
      <c r="AF4062">
        <v>-2.4311047604925702</v>
      </c>
      <c r="AG4062">
        <v>-1.1098294442900001</v>
      </c>
      <c r="AH4062">
        <v>13.790482944170099</v>
      </c>
      <c r="AI4062">
        <v>94.531550640702605</v>
      </c>
      <c r="AJ4062">
        <v>99.997866553659193</v>
      </c>
      <c r="AK4062">
        <v>14.047042805706401</v>
      </c>
    </row>
    <row r="4063" spans="1:37" x14ac:dyDescent="0.2">
      <c r="A4063" t="str">
        <f>"20200111154146165"</f>
        <v>20200111154146165</v>
      </c>
      <c r="B4063" t="str">
        <f>"1578728506160463"</f>
        <v>1578728506160463</v>
      </c>
      <c r="C4063" t="s">
        <v>37</v>
      </c>
      <c r="D4063">
        <v>5.6395289999999996</v>
      </c>
      <c r="E4063">
        <v>0.45741149999999903</v>
      </c>
      <c r="F4063" t="s">
        <v>39</v>
      </c>
      <c r="G4063">
        <v>-346.8021</v>
      </c>
      <c r="H4063" s="1">
        <v>-1.465071E-6</v>
      </c>
      <c r="I4063">
        <v>20.03294</v>
      </c>
      <c r="J4063">
        <v>-360.4862</v>
      </c>
      <c r="K4063">
        <v>1.1098429999999999</v>
      </c>
      <c r="L4063">
        <v>17.577030000000001</v>
      </c>
      <c r="M4063">
        <v>0.99997130000000001</v>
      </c>
      <c r="N4063">
        <v>0</v>
      </c>
      <c r="O4063">
        <v>2.6587820000000002E-3</v>
      </c>
      <c r="P4063">
        <v>0.99632489999999996</v>
      </c>
      <c r="Q4063">
        <v>5.2483179999999997E-2</v>
      </c>
      <c r="R4063">
        <v>6.7695190000000002E-2</v>
      </c>
      <c r="S4063">
        <v>2.9881899999999999</v>
      </c>
      <c r="T4063">
        <v>-0.23801810000000001</v>
      </c>
      <c r="U4063">
        <v>0.52688599999999997</v>
      </c>
      <c r="V4063">
        <v>-6.5085959999999998E-2</v>
      </c>
      <c r="W4063">
        <v>5.952064E-2</v>
      </c>
      <c r="X4063">
        <v>0.99610299999999996</v>
      </c>
      <c r="Y4063">
        <v>-0.17050950000000001</v>
      </c>
      <c r="Z4063">
        <v>6.5185779999999997E-3</v>
      </c>
      <c r="AA4063">
        <v>0.985334499999999</v>
      </c>
      <c r="AB4063">
        <v>40</v>
      </c>
      <c r="AC4063">
        <v>13.684100000000001</v>
      </c>
      <c r="AD4063">
        <v>-1.109844465071</v>
      </c>
      <c r="AE4063">
        <v>2.4559099999999998</v>
      </c>
      <c r="AF4063">
        <v>-2.4041961377604002</v>
      </c>
      <c r="AG4063">
        <v>-1.109844465071</v>
      </c>
      <c r="AH4063">
        <v>13.60388799221</v>
      </c>
      <c r="AI4063">
        <v>94.593159940342204</v>
      </c>
      <c r="AJ4063">
        <v>100.02231592557899</v>
      </c>
      <c r="AK4063">
        <v>13.8592092959904</v>
      </c>
    </row>
    <row r="4064" spans="1:37" x14ac:dyDescent="0.2">
      <c r="A4064" t="str">
        <f>"20200111154146183"</f>
        <v>20200111154146183</v>
      </c>
      <c r="B4064" t="str">
        <f>"1578728506179982"</f>
        <v>1578728506179982</v>
      </c>
      <c r="C4064" t="s">
        <v>37</v>
      </c>
      <c r="D4064">
        <v>5.4714470000000004</v>
      </c>
      <c r="E4064">
        <v>0.45681119999999997</v>
      </c>
      <c r="F4064" t="s">
        <v>39</v>
      </c>
      <c r="G4064">
        <v>-346.57589999999999</v>
      </c>
      <c r="H4064" s="1">
        <v>-1.5701819999999999E-6</v>
      </c>
      <c r="I4064">
        <v>20.063310000000001</v>
      </c>
      <c r="J4064">
        <v>-360.14620000000002</v>
      </c>
      <c r="K4064">
        <v>1.1098600000000001</v>
      </c>
      <c r="L4064">
        <v>17.57809</v>
      </c>
      <c r="M4064">
        <v>0.99996909999999894</v>
      </c>
      <c r="N4064">
        <v>0</v>
      </c>
      <c r="O4064">
        <v>2.8845479999999998E-3</v>
      </c>
      <c r="P4064">
        <v>0.99635300000000004</v>
      </c>
      <c r="Q4064">
        <v>5.113198E-2</v>
      </c>
      <c r="R4064">
        <v>6.8309529999999993E-2</v>
      </c>
      <c r="S4064">
        <v>2.9873349999999999</v>
      </c>
      <c r="T4064">
        <v>-0.2383469</v>
      </c>
      <c r="U4064">
        <v>0.5339661</v>
      </c>
      <c r="V4064">
        <v>-6.5474660000000004E-2</v>
      </c>
      <c r="W4064">
        <v>5.8370600000000002E-2</v>
      </c>
      <c r="X4064">
        <v>0.99614550000000002</v>
      </c>
      <c r="Y4064">
        <v>-0.17259160000000001</v>
      </c>
      <c r="Z4064">
        <v>6.5924869999999898E-3</v>
      </c>
      <c r="AA4064">
        <v>0.98497139999999905</v>
      </c>
      <c r="AB4064">
        <v>40</v>
      </c>
      <c r="AC4064">
        <v>13.5703</v>
      </c>
      <c r="AD4064">
        <v>-1.109861570182</v>
      </c>
      <c r="AE4064">
        <v>2.48522</v>
      </c>
      <c r="AF4064">
        <v>-2.4303355416130499</v>
      </c>
      <c r="AG4064">
        <v>-1.109861570182</v>
      </c>
      <c r="AH4064">
        <v>13.490105844033099</v>
      </c>
      <c r="AI4064">
        <v>94.629070787317403</v>
      </c>
      <c r="AJ4064">
        <v>100.21268062166</v>
      </c>
      <c r="AK4064">
        <v>13.7521372605501</v>
      </c>
    </row>
    <row r="4065" spans="1:37" x14ac:dyDescent="0.2">
      <c r="A4065" t="str">
        <f>"20200111154146197"</f>
        <v>20200111154146197</v>
      </c>
      <c r="B4065" t="str">
        <f>"1578728506190719"</f>
        <v>1578728506190719</v>
      </c>
      <c r="C4065" t="s">
        <v>37</v>
      </c>
      <c r="D4065">
        <v>5.4768059999999998</v>
      </c>
      <c r="E4065">
        <v>0.45659159999999999</v>
      </c>
      <c r="F4065" t="s">
        <v>39</v>
      </c>
      <c r="G4065">
        <v>-346.26780000000002</v>
      </c>
      <c r="H4065" s="1">
        <v>-1.709145E-6</v>
      </c>
      <c r="I4065">
        <v>20.088840000000001</v>
      </c>
      <c r="J4065">
        <v>-359.88319999999999</v>
      </c>
      <c r="K4065">
        <v>1.109877</v>
      </c>
      <c r="L4065">
        <v>17.578979999999898</v>
      </c>
      <c r="M4065">
        <v>0.99996749999999901</v>
      </c>
      <c r="N4065">
        <v>0</v>
      </c>
      <c r="O4065">
        <v>3.0587679999999999E-3</v>
      </c>
      <c r="P4065">
        <v>0.99637319999999996</v>
      </c>
      <c r="Q4065">
        <v>5.0471050000000003E-2</v>
      </c>
      <c r="R4065">
        <v>6.8508860000000005E-2</v>
      </c>
      <c r="S4065">
        <v>2.9862060000000001</v>
      </c>
      <c r="T4065">
        <v>-0.23880760000000001</v>
      </c>
      <c r="U4065">
        <v>0.54025269999999903</v>
      </c>
      <c r="V4065">
        <v>-6.5499859999999993E-2</v>
      </c>
      <c r="W4065">
        <v>5.7867910000000002E-2</v>
      </c>
      <c r="X4065">
        <v>0.99617319999999998</v>
      </c>
      <c r="Y4065">
        <v>-0.17448540000000001</v>
      </c>
      <c r="Z4065">
        <v>6.6676239999999996E-3</v>
      </c>
      <c r="AA4065">
        <v>0.98463719999999999</v>
      </c>
      <c r="AB4065">
        <v>40</v>
      </c>
      <c r="AC4065">
        <v>13.6153999999999</v>
      </c>
      <c r="AD4065">
        <v>-1.109878709145</v>
      </c>
      <c r="AE4065">
        <v>2.5098600000000002</v>
      </c>
      <c r="AF4065">
        <v>-2.45244003142823</v>
      </c>
      <c r="AG4065">
        <v>-1.109878709145</v>
      </c>
      <c r="AH4065">
        <v>13.536023719886799</v>
      </c>
      <c r="AI4065">
        <v>94.612685368498902</v>
      </c>
      <c r="AJ4065">
        <v>100.26937882569101</v>
      </c>
      <c r="AK4065">
        <v>13.8010952826978</v>
      </c>
    </row>
    <row r="4066" spans="1:37" x14ac:dyDescent="0.2">
      <c r="A4066" t="str">
        <f>"20200111154146217"</f>
        <v>20200111154146217</v>
      </c>
      <c r="B4066" t="str">
        <f>"1578728506210238"</f>
        <v>1578728506210238</v>
      </c>
      <c r="C4066" t="s">
        <v>37</v>
      </c>
      <c r="D4066">
        <v>5.4055479999999996</v>
      </c>
      <c r="E4066">
        <v>0.45606409999999997</v>
      </c>
      <c r="F4066" t="s">
        <v>39</v>
      </c>
      <c r="G4066">
        <v>-346.02550000000002</v>
      </c>
      <c r="H4066" s="1">
        <v>-1.815017E-6</v>
      </c>
      <c r="I4066">
        <v>20.096</v>
      </c>
      <c r="J4066">
        <v>-359.55970000000002</v>
      </c>
      <c r="K4066">
        <v>1.1099019999999999</v>
      </c>
      <c r="L4066">
        <v>17.580169999999999</v>
      </c>
      <c r="M4066">
        <v>0.99996529999999995</v>
      </c>
      <c r="N4066">
        <v>0</v>
      </c>
      <c r="O4066">
        <v>3.2730229999999999E-3</v>
      </c>
      <c r="P4066">
        <v>0.99639929999999999</v>
      </c>
      <c r="Q4066">
        <v>5.0003699999999998E-2</v>
      </c>
      <c r="R4066">
        <v>6.8470439999999994E-2</v>
      </c>
      <c r="S4066">
        <v>2.9857480000000001</v>
      </c>
      <c r="T4066">
        <v>-0.23913129999999999</v>
      </c>
      <c r="U4066">
        <v>0.54232789999999997</v>
      </c>
      <c r="V4066">
        <v>-6.5247239999999998E-2</v>
      </c>
      <c r="W4066">
        <v>5.7595140000000003E-2</v>
      </c>
      <c r="X4066">
        <v>0.99620560000000002</v>
      </c>
      <c r="Y4066">
        <v>-0.17496110000000001</v>
      </c>
      <c r="Z4066">
        <v>6.6791019999999897E-3</v>
      </c>
      <c r="AA4066">
        <v>0.98455269999999995</v>
      </c>
      <c r="AB4066">
        <v>40</v>
      </c>
      <c r="AC4066">
        <v>13.534199999999901</v>
      </c>
      <c r="AD4066">
        <v>-1.109903815017</v>
      </c>
      <c r="AE4066">
        <v>2.51582999999999</v>
      </c>
      <c r="AF4066">
        <v>-2.45555493461532</v>
      </c>
      <c r="AG4066">
        <v>-1.109903815017</v>
      </c>
      <c r="AH4066">
        <v>13.454897421835</v>
      </c>
      <c r="AI4066">
        <v>94.639404402474398</v>
      </c>
      <c r="AJ4066">
        <v>100.34280613932199</v>
      </c>
      <c r="AK4066">
        <v>13.7220953628666</v>
      </c>
    </row>
    <row r="4067" spans="1:37" x14ac:dyDescent="0.2">
      <c r="A4067" t="str">
        <f>"20200111154146229"</f>
        <v>20200111154146229</v>
      </c>
      <c r="B4067" t="str">
        <f>"1578728506219998"</f>
        <v>1578728506219998</v>
      </c>
      <c r="C4067" t="s">
        <v>37</v>
      </c>
      <c r="D4067">
        <v>5.458685</v>
      </c>
      <c r="E4067">
        <v>0.45568819999999999</v>
      </c>
      <c r="F4067" t="s">
        <v>39</v>
      </c>
      <c r="G4067">
        <v>-345.70060000000001</v>
      </c>
      <c r="H4067" s="1">
        <v>-1.9598179999999999E-6</v>
      </c>
      <c r="I4067">
        <v>20.116440000000001</v>
      </c>
      <c r="J4067">
        <v>-359.32089999999999</v>
      </c>
      <c r="K4067">
        <v>1.1099209999999999</v>
      </c>
      <c r="L4067">
        <v>17.58109</v>
      </c>
      <c r="M4067">
        <v>0.99996379999999996</v>
      </c>
      <c r="N4067">
        <v>0</v>
      </c>
      <c r="O4067">
        <v>3.431038E-3</v>
      </c>
      <c r="P4067">
        <v>0.99642180000000002</v>
      </c>
      <c r="Q4067">
        <v>4.9915559999999998E-2</v>
      </c>
      <c r="R4067">
        <v>6.8209420000000007E-2</v>
      </c>
      <c r="S4067">
        <v>2.9852289999999999</v>
      </c>
      <c r="T4067">
        <v>-0.2390717</v>
      </c>
      <c r="U4067">
        <v>0.54632569999999903</v>
      </c>
      <c r="V4067">
        <v>-6.4828979999999994E-2</v>
      </c>
      <c r="W4067">
        <v>5.7656079999999998E-2</v>
      </c>
      <c r="X4067">
        <v>0.99622939999999904</v>
      </c>
      <c r="Y4067">
        <v>-0.17610870000000001</v>
      </c>
      <c r="Z4067">
        <v>6.7107649999999996E-3</v>
      </c>
      <c r="AA4067">
        <v>0.9843478</v>
      </c>
      <c r="AB4067">
        <v>40</v>
      </c>
      <c r="AC4067">
        <v>13.620299999999901</v>
      </c>
      <c r="AD4067">
        <v>-1.109922959818</v>
      </c>
      <c r="AE4067">
        <v>2.5353500000000002</v>
      </c>
      <c r="AF4067">
        <v>-2.4727312028991202</v>
      </c>
      <c r="AG4067">
        <v>-1.109922959818</v>
      </c>
      <c r="AH4067">
        <v>13.542002561918901</v>
      </c>
      <c r="AI4067">
        <v>94.609694320431899</v>
      </c>
      <c r="AJ4067">
        <v>100.348044448078</v>
      </c>
      <c r="AK4067">
        <v>13.810581521628301</v>
      </c>
    </row>
    <row r="4068" spans="1:37" x14ac:dyDescent="0.2">
      <c r="A4068" t="str">
        <f>"20200111154146241"</f>
        <v>20200111154146241</v>
      </c>
      <c r="B4068" t="str">
        <f>"1578728506230735"</f>
        <v>1578728506230735</v>
      </c>
      <c r="C4068" t="s">
        <v>37</v>
      </c>
      <c r="D4068">
        <v>5.4505189999999999</v>
      </c>
      <c r="E4068">
        <v>0.45535189999999998</v>
      </c>
      <c r="F4068" t="s">
        <v>39</v>
      </c>
      <c r="G4068">
        <v>-345.46159999999998</v>
      </c>
      <c r="H4068" s="1">
        <v>-2.065341E-6</v>
      </c>
      <c r="I4068">
        <v>20.127739999999999</v>
      </c>
      <c r="J4068">
        <v>-359.1026</v>
      </c>
      <c r="K4068">
        <v>1.1099330000000001</v>
      </c>
      <c r="L4068">
        <v>17.581910000000001</v>
      </c>
      <c r="M4068">
        <v>0.99996200000000002</v>
      </c>
      <c r="N4068">
        <v>0</v>
      </c>
      <c r="O4068">
        <v>3.5756020000000002E-3</v>
      </c>
      <c r="P4068">
        <v>0.99646080000000004</v>
      </c>
      <c r="Q4068">
        <v>4.9618870000000002E-2</v>
      </c>
      <c r="R4068">
        <v>6.7852250000000003E-2</v>
      </c>
      <c r="S4068">
        <v>2.9851990000000002</v>
      </c>
      <c r="T4068">
        <v>-0.23907100000000001</v>
      </c>
      <c r="U4068">
        <v>0.54855350000000003</v>
      </c>
      <c r="V4068">
        <v>-6.4327419999999996E-2</v>
      </c>
      <c r="W4068">
        <v>5.75004E-2</v>
      </c>
      <c r="X4068">
        <v>0.99627089999999996</v>
      </c>
      <c r="Y4068">
        <v>-0.17667769999999999</v>
      </c>
      <c r="Z4068">
        <v>6.7214619999999897E-3</v>
      </c>
      <c r="AA4068">
        <v>0.98424579999999995</v>
      </c>
      <c r="AB4068">
        <v>40</v>
      </c>
      <c r="AC4068">
        <v>13.641</v>
      </c>
      <c r="AD4068">
        <v>-1.1099350653410001</v>
      </c>
      <c r="AE4068">
        <v>2.5458299999999898</v>
      </c>
      <c r="AF4068">
        <v>-2.4811633137526399</v>
      </c>
      <c r="AG4068">
        <v>-1.1099350653410001</v>
      </c>
      <c r="AH4068">
        <v>13.5632405330898</v>
      </c>
      <c r="AI4068">
        <v>94.602285124936799</v>
      </c>
      <c r="AJ4068">
        <v>100.36666076084001</v>
      </c>
      <c r="AK4068">
        <v>13.8329180217781</v>
      </c>
    </row>
    <row r="4069" spans="1:37" x14ac:dyDescent="0.2">
      <c r="A4069" t="str">
        <f>"20200111154146261"</f>
        <v>20200111154146261</v>
      </c>
      <c r="B4069" t="str">
        <f>"1578728506250254"</f>
        <v>1578728506250254</v>
      </c>
      <c r="C4069" t="s">
        <v>37</v>
      </c>
      <c r="D4069">
        <v>5.2642980000000001</v>
      </c>
      <c r="E4069">
        <v>0.45512659999999899</v>
      </c>
      <c r="F4069" t="s">
        <v>39</v>
      </c>
      <c r="G4069">
        <v>-345.26389999999998</v>
      </c>
      <c r="H4069" s="1">
        <v>-2.15145E-6</v>
      </c>
      <c r="I4069">
        <v>20.1325</v>
      </c>
      <c r="J4069">
        <v>-358.74549999999999</v>
      </c>
      <c r="K4069">
        <v>1.1099649999999901</v>
      </c>
      <c r="L4069">
        <v>17.583369999999999</v>
      </c>
      <c r="M4069">
        <v>0.99995919999999905</v>
      </c>
      <c r="N4069">
        <v>0</v>
      </c>
      <c r="O4069">
        <v>3.8117979999999999E-3</v>
      </c>
      <c r="P4069">
        <v>0.99658019999999903</v>
      </c>
      <c r="Q4069">
        <v>4.882707E-2</v>
      </c>
      <c r="R4069">
        <v>6.6664699999999993E-2</v>
      </c>
      <c r="S4069">
        <v>2.9851380000000001</v>
      </c>
      <c r="T4069">
        <v>-0.239421999999999</v>
      </c>
      <c r="U4069">
        <v>0.55020139999999995</v>
      </c>
      <c r="V4069">
        <v>-6.2903689999999998E-2</v>
      </c>
      <c r="W4069">
        <v>5.6953900000000002E-2</v>
      </c>
      <c r="X4069">
        <v>0.99639319999999898</v>
      </c>
      <c r="Y4069">
        <v>-0.17697260000000001</v>
      </c>
      <c r="Z4069">
        <v>6.7240619999999899E-3</v>
      </c>
      <c r="AA4069">
        <v>0.98419279999999998</v>
      </c>
      <c r="AB4069">
        <v>40</v>
      </c>
      <c r="AC4069">
        <v>13.4816</v>
      </c>
      <c r="AD4069">
        <v>-1.10996715144999</v>
      </c>
      <c r="AE4069">
        <v>2.5491299999999901</v>
      </c>
      <c r="AF4069">
        <v>-2.4814803811700101</v>
      </c>
      <c r="AG4069">
        <v>-1.10996715144999</v>
      </c>
      <c r="AH4069">
        <v>13.403498916436901</v>
      </c>
      <c r="AI4069">
        <v>94.655210374026097</v>
      </c>
      <c r="AJ4069">
        <v>100.488794504007</v>
      </c>
      <c r="AK4069">
        <v>13.676386772914601</v>
      </c>
    </row>
    <row r="4070" spans="1:37" x14ac:dyDescent="0.2">
      <c r="A4070" t="str">
        <f>"20200111154146274"</f>
        <v>20200111154146274</v>
      </c>
      <c r="B4070" t="str">
        <f>"1578728506270751"</f>
        <v>1578728506270751</v>
      </c>
      <c r="C4070" t="s">
        <v>37</v>
      </c>
      <c r="D4070">
        <v>5.5673810000000001</v>
      </c>
      <c r="E4070">
        <v>0.49684250000000002</v>
      </c>
      <c r="F4070" t="s">
        <v>39</v>
      </c>
      <c r="G4070">
        <v>-344.9973</v>
      </c>
      <c r="H4070" s="1">
        <v>-2.2598840000000001E-6</v>
      </c>
      <c r="I4070">
        <v>20.11016</v>
      </c>
      <c r="J4070">
        <v>-358.52120000000002</v>
      </c>
      <c r="K4070">
        <v>1.109988</v>
      </c>
      <c r="L4070">
        <v>17.584350000000001</v>
      </c>
      <c r="M4070">
        <v>0.99995730000000005</v>
      </c>
      <c r="N4070">
        <v>0</v>
      </c>
      <c r="O4070">
        <v>3.9598999999999997E-3</v>
      </c>
      <c r="P4070">
        <v>0.99664769999999903</v>
      </c>
      <c r="Q4070">
        <v>4.8612290000000002E-2</v>
      </c>
      <c r="R4070">
        <v>6.5804329999999994E-2</v>
      </c>
      <c r="S4070">
        <v>2.9854129999999999</v>
      </c>
      <c r="T4070">
        <v>-0.24102770000000001</v>
      </c>
      <c r="U4070">
        <v>0.54870609999999997</v>
      </c>
      <c r="V4070">
        <v>-6.1895650000000003E-2</v>
      </c>
      <c r="W4070">
        <v>5.6899150000000003E-2</v>
      </c>
      <c r="X4070">
        <v>0.9964594</v>
      </c>
      <c r="Y4070">
        <v>-0.17632919999999999</v>
      </c>
      <c r="Z4070">
        <v>6.7311519999999998E-3</v>
      </c>
      <c r="AA4070">
        <v>0.98430819999999997</v>
      </c>
      <c r="AB4070">
        <v>40</v>
      </c>
      <c r="AC4070">
        <v>13.523899999999999</v>
      </c>
      <c r="AD4070">
        <v>-1.1099902598839999</v>
      </c>
      <c r="AE4070">
        <v>2.5258099999999999</v>
      </c>
      <c r="AF4070">
        <v>-2.4562462452450702</v>
      </c>
      <c r="AG4070">
        <v>-1.1099902598839999</v>
      </c>
      <c r="AH4070">
        <v>13.4462685634635</v>
      </c>
      <c r="AI4070">
        <v>94.642590975624302</v>
      </c>
      <c r="AJ4070">
        <v>100.352150672552</v>
      </c>
      <c r="AK4070">
        <v>13.713765430220301</v>
      </c>
    </row>
    <row r="4071" spans="1:37" x14ac:dyDescent="0.2">
      <c r="A4071" t="str">
        <f>"20200111154146287"</f>
        <v>20200111154146287</v>
      </c>
      <c r="B4071" t="str">
        <f>"1578728506280511"</f>
        <v>1578728506280511</v>
      </c>
      <c r="C4071" t="s">
        <v>37</v>
      </c>
      <c r="D4071">
        <v>5.9167860000000001</v>
      </c>
      <c r="E4071">
        <v>0.49684250000000002</v>
      </c>
      <c r="F4071" t="s">
        <v>39</v>
      </c>
      <c r="G4071">
        <v>-345.60210000000001</v>
      </c>
      <c r="H4071" s="1">
        <v>-2.066629E-6</v>
      </c>
      <c r="I4071">
        <v>18.502109999999998</v>
      </c>
      <c r="J4071">
        <v>-358.28179999999998</v>
      </c>
      <c r="K4071">
        <v>1.110009</v>
      </c>
      <c r="L4071">
        <v>17.58539</v>
      </c>
      <c r="M4071">
        <v>0.99995519999999904</v>
      </c>
      <c r="N4071">
        <v>0</v>
      </c>
      <c r="O4071">
        <v>4.1178999999999999E-3</v>
      </c>
      <c r="P4071">
        <v>0.99675380000000002</v>
      </c>
      <c r="Q4071">
        <v>4.7837129999999999E-2</v>
      </c>
      <c r="R4071">
        <v>6.4759449999999996E-2</v>
      </c>
      <c r="S4071">
        <v>3.008575</v>
      </c>
      <c r="T4071">
        <v>-0.25849179999999999</v>
      </c>
      <c r="U4071">
        <v>0.21374509999999999</v>
      </c>
      <c r="V4071">
        <v>-6.0692219999999998E-2</v>
      </c>
      <c r="W4071">
        <v>5.6295959999999999E-2</v>
      </c>
      <c r="X4071">
        <v>0.99656769999999995</v>
      </c>
      <c r="Y4071">
        <v>-6.6529619999999998E-2</v>
      </c>
      <c r="Z4071">
        <v>2.4965209999999998E-3</v>
      </c>
      <c r="AA4071">
        <v>0.99778129999999998</v>
      </c>
      <c r="AB4071">
        <v>40</v>
      </c>
      <c r="AC4071">
        <v>12.679699999999899</v>
      </c>
      <c r="AD4071">
        <v>-1.110011066629</v>
      </c>
      <c r="AE4071">
        <v>0.91672000000000098</v>
      </c>
      <c r="AF4071">
        <v>-0.85795569600599997</v>
      </c>
      <c r="AG4071">
        <v>-1.110011066629</v>
      </c>
      <c r="AH4071">
        <v>12.587403515543301</v>
      </c>
      <c r="AI4071">
        <v>95.027944728798403</v>
      </c>
      <c r="AJ4071">
        <v>93.899241607835506</v>
      </c>
      <c r="AK4071">
        <v>12.6653440461544</v>
      </c>
    </row>
    <row r="4072" spans="1:37" x14ac:dyDescent="0.2">
      <c r="A4072" t="str">
        <f>"20200111154146305"</f>
        <v>20200111154146305</v>
      </c>
      <c r="B4072" t="str">
        <f>"1578728506300030"</f>
        <v>1578728506300030</v>
      </c>
      <c r="C4072" t="s">
        <v>37</v>
      </c>
      <c r="D4072">
        <v>5.7100419999999996</v>
      </c>
      <c r="E4072">
        <v>0.57161689999999998</v>
      </c>
      <c r="F4072" t="s">
        <v>39</v>
      </c>
      <c r="G4072">
        <v>-345.4778</v>
      </c>
      <c r="H4072" s="1">
        <v>-2.1235009999999999E-6</v>
      </c>
      <c r="I4072">
        <v>18.482229999999898</v>
      </c>
      <c r="J4072">
        <v>-357.96589999999998</v>
      </c>
      <c r="K4072">
        <v>1.110026</v>
      </c>
      <c r="L4072">
        <v>17.586879999999901</v>
      </c>
      <c r="M4072">
        <v>0.99995239999999996</v>
      </c>
      <c r="N4072">
        <v>0</v>
      </c>
      <c r="O4072">
        <v>4.3259099999999997E-3</v>
      </c>
      <c r="P4072">
        <v>0.99707380000000001</v>
      </c>
      <c r="Q4072">
        <v>4.5762129999999998E-2</v>
      </c>
      <c r="R4072">
        <v>6.123468E-2</v>
      </c>
      <c r="S4072">
        <v>3.0086059999999999</v>
      </c>
      <c r="T4072">
        <v>-0.2608221</v>
      </c>
      <c r="U4072">
        <v>0.21075439999999901</v>
      </c>
      <c r="V4072">
        <v>-5.6957809999999998E-2</v>
      </c>
      <c r="W4072">
        <v>5.4452010000000002E-2</v>
      </c>
      <c r="X4072">
        <v>0.99689050000000001</v>
      </c>
      <c r="Y4072">
        <v>-6.533543E-2</v>
      </c>
      <c r="Z4072">
        <v>2.4494249999999999E-3</v>
      </c>
      <c r="AA4072">
        <v>0.99786039999999998</v>
      </c>
      <c r="AB4072">
        <v>40</v>
      </c>
      <c r="AC4072">
        <v>12.4880999999999</v>
      </c>
      <c r="AD4072">
        <v>-1.1100281235009899</v>
      </c>
      <c r="AE4072">
        <v>0.89534999999999998</v>
      </c>
      <c r="AF4072">
        <v>-0.834755587696975</v>
      </c>
      <c r="AG4072">
        <v>-1.1100281235009899</v>
      </c>
      <c r="AH4072">
        <v>12.3944304442385</v>
      </c>
      <c r="AI4072">
        <v>95.106171590838798</v>
      </c>
      <c r="AJ4072">
        <v>93.853009127513104</v>
      </c>
      <c r="AK4072">
        <v>12.472004063630701</v>
      </c>
    </row>
    <row r="4073" spans="1:37" x14ac:dyDescent="0.2">
      <c r="A4073" t="str">
        <f>"20200111154146316"</f>
        <v>20200111154146316</v>
      </c>
      <c r="B4073" t="str">
        <f>"1578728506310767"</f>
        <v>1578728506310767</v>
      </c>
      <c r="C4073" t="s">
        <v>37</v>
      </c>
      <c r="D4073">
        <v>5.5997539999999999</v>
      </c>
      <c r="E4073">
        <v>0.57237539999999998</v>
      </c>
      <c r="F4073" t="s">
        <v>38</v>
      </c>
      <c r="G4073">
        <v>-356.93009999999998</v>
      </c>
      <c r="H4073">
        <v>1.0231129999999999</v>
      </c>
      <c r="I4073">
        <v>17.452439999999999</v>
      </c>
      <c r="J4073">
        <v>-357.75490000000002</v>
      </c>
      <c r="K4073">
        <v>1.1100369999999999</v>
      </c>
      <c r="L4073">
        <v>17.587859999999999</v>
      </c>
      <c r="M4073">
        <v>0.99995049999999996</v>
      </c>
      <c r="N4073">
        <v>0</v>
      </c>
      <c r="O4073">
        <v>4.4644200000000002E-3</v>
      </c>
      <c r="P4073">
        <v>0.99725940000000002</v>
      </c>
      <c r="Q4073">
        <v>4.4304740000000002E-2</v>
      </c>
      <c r="R4073">
        <v>5.9252979999999997E-2</v>
      </c>
      <c r="S4073">
        <v>3.044708</v>
      </c>
      <c r="T4073">
        <v>-0.25548189999999998</v>
      </c>
      <c r="U4073">
        <v>-0.39459229999999901</v>
      </c>
      <c r="V4073">
        <v>-5.4835759999999997E-2</v>
      </c>
      <c r="W4073">
        <v>5.3145459999999999E-2</v>
      </c>
      <c r="X4073">
        <v>0.99707999999999997</v>
      </c>
      <c r="Y4073">
        <v>0.1324774</v>
      </c>
      <c r="Z4073">
        <v>-5.8978119999999997E-3</v>
      </c>
      <c r="AA4073">
        <v>0.99116849999999901</v>
      </c>
      <c r="AB4073">
        <v>40</v>
      </c>
      <c r="AC4073">
        <v>0.82480000000003795</v>
      </c>
      <c r="AD4073">
        <v>-8.6924000000000196E-2</v>
      </c>
      <c r="AE4073">
        <v>-0.13541999999999901</v>
      </c>
      <c r="AF4073">
        <v>0.13761275593237501</v>
      </c>
      <c r="AG4073">
        <v>-8.6924000000000196E-2</v>
      </c>
      <c r="AH4073">
        <v>0.81536890032145004</v>
      </c>
      <c r="AI4073">
        <v>96.000911569074106</v>
      </c>
      <c r="AJ4073">
        <v>80.420261572683302</v>
      </c>
      <c r="AK4073">
        <v>0.83145625019162295</v>
      </c>
    </row>
    <row r="4074" spans="1:37" x14ac:dyDescent="0.2">
      <c r="A4074" t="str">
        <f>"20200111154146329"</f>
        <v>20200111154146329</v>
      </c>
      <c r="B4074" t="str">
        <f>"1578728506320526"</f>
        <v>1578728506320526</v>
      </c>
      <c r="C4074" t="s">
        <v>37</v>
      </c>
      <c r="D4074">
        <v>5.5944050000000001</v>
      </c>
      <c r="E4074">
        <v>0.57212779999999996</v>
      </c>
      <c r="F4074" t="s">
        <v>38</v>
      </c>
      <c r="G4074">
        <v>-356.92290000000003</v>
      </c>
      <c r="H4074">
        <v>1.0389919999999999</v>
      </c>
      <c r="I4074">
        <v>17.47654</v>
      </c>
      <c r="J4074">
        <v>-357.53980000000001</v>
      </c>
      <c r="K4074">
        <v>1.110047</v>
      </c>
      <c r="L4074">
        <v>17.58896</v>
      </c>
      <c r="M4074">
        <v>0.99994850000000002</v>
      </c>
      <c r="N4074">
        <v>0</v>
      </c>
      <c r="O4074">
        <v>4.6057720000000002E-3</v>
      </c>
      <c r="P4074">
        <v>0.99746209999999902</v>
      </c>
      <c r="Q4074">
        <v>4.2800150000000002E-2</v>
      </c>
      <c r="R4074">
        <v>5.6902050000000003E-2</v>
      </c>
      <c r="S4074">
        <v>3.0439150000000001</v>
      </c>
      <c r="T4074">
        <v>-0.25988489999999997</v>
      </c>
      <c r="U4074">
        <v>-0.40649409999999903</v>
      </c>
      <c r="V4074">
        <v>-5.2342279999999998E-2</v>
      </c>
      <c r="W4074">
        <v>5.1794060000000003E-2</v>
      </c>
      <c r="X4074">
        <v>0.99728510000000004</v>
      </c>
      <c r="Y4074">
        <v>0.13642789999999999</v>
      </c>
      <c r="Z4074">
        <v>-6.1787190000000001E-3</v>
      </c>
      <c r="AA4074">
        <v>0.99063069999999898</v>
      </c>
      <c r="AB4074">
        <v>40</v>
      </c>
      <c r="AC4074">
        <v>0.61689999999998602</v>
      </c>
      <c r="AD4074">
        <v>-7.1054999999999993E-2</v>
      </c>
      <c r="AE4074">
        <v>-0.11242000000000001</v>
      </c>
      <c r="AF4074">
        <v>0.113799023172739</v>
      </c>
      <c r="AG4074">
        <v>-7.1054999999999993E-2</v>
      </c>
      <c r="AH4074">
        <v>0.60856160648219404</v>
      </c>
      <c r="AI4074">
        <v>96.547164617427299</v>
      </c>
      <c r="AJ4074">
        <v>79.408203856746695</v>
      </c>
      <c r="AK4074">
        <v>0.62317434124349103</v>
      </c>
    </row>
    <row r="4075" spans="1:37" x14ac:dyDescent="0.2">
      <c r="A4075" t="str">
        <f>"20200111154146351"</f>
        <v>20200111154146351</v>
      </c>
      <c r="B4075" t="str">
        <f>"1578728506340046"</f>
        <v>1578728506340046</v>
      </c>
      <c r="C4075" t="s">
        <v>37</v>
      </c>
      <c r="D4075">
        <v>5.5571019999999898</v>
      </c>
      <c r="E4075">
        <v>0.57111309999999904</v>
      </c>
      <c r="F4075" t="s">
        <v>38</v>
      </c>
      <c r="G4075">
        <v>-356.56939999999997</v>
      </c>
      <c r="H4075">
        <v>1.0268379999999999</v>
      </c>
      <c r="I4075">
        <v>17.457609999999999</v>
      </c>
      <c r="J4075">
        <v>-357.1354</v>
      </c>
      <c r="K4075">
        <v>1.110066</v>
      </c>
      <c r="L4075">
        <v>17.590999999999902</v>
      </c>
      <c r="M4075">
        <v>0.99994470000000002</v>
      </c>
      <c r="N4075">
        <v>0</v>
      </c>
      <c r="O4075">
        <v>4.8708409999999999E-3</v>
      </c>
      <c r="P4075">
        <v>0.99776209999999899</v>
      </c>
      <c r="Q4075">
        <v>4.1199979999999997E-2</v>
      </c>
      <c r="R4075">
        <v>5.2661449999999999E-2</v>
      </c>
      <c r="S4075">
        <v>3.042297</v>
      </c>
      <c r="T4075">
        <v>-0.26091059999999999</v>
      </c>
      <c r="U4075">
        <v>-0.411499</v>
      </c>
      <c r="V4075">
        <v>-4.7834469999999997E-2</v>
      </c>
      <c r="W4075">
        <v>5.0475890000000002E-2</v>
      </c>
      <c r="X4075">
        <v>0.99757909999999905</v>
      </c>
      <c r="Y4075">
        <v>0.1383479</v>
      </c>
      <c r="Z4075">
        <v>-6.3100019999999899E-3</v>
      </c>
      <c r="AA4075">
        <v>0.99036360000000001</v>
      </c>
      <c r="AB4075">
        <v>40</v>
      </c>
      <c r="AC4075">
        <v>0.56600000000003003</v>
      </c>
      <c r="AD4075">
        <v>-8.3227999999999996E-2</v>
      </c>
      <c r="AE4075">
        <v>-0.13338999999999801</v>
      </c>
      <c r="AF4075">
        <v>0.13341250960196099</v>
      </c>
      <c r="AG4075">
        <v>-8.3227999999999996E-2</v>
      </c>
      <c r="AH4075">
        <v>0.55399507749048704</v>
      </c>
      <c r="AI4075">
        <v>98.309685738125594</v>
      </c>
      <c r="AJ4075">
        <v>76.459908442758305</v>
      </c>
      <c r="AK4075">
        <v>0.57587875771379604</v>
      </c>
    </row>
    <row r="4076" spans="1:37" x14ac:dyDescent="0.2">
      <c r="A4076" t="str">
        <f>"20200111154146365"</f>
        <v>20200111154146365</v>
      </c>
      <c r="B4076" t="str">
        <f>"1578728506360544"</f>
        <v>1578728506360544</v>
      </c>
      <c r="C4076" t="s">
        <v>37</v>
      </c>
      <c r="D4076">
        <v>5.5969639999999998</v>
      </c>
      <c r="E4076">
        <v>0.56916929999999999</v>
      </c>
      <c r="F4076" t="s">
        <v>38</v>
      </c>
      <c r="G4076">
        <v>-356.20819999999998</v>
      </c>
      <c r="H4076">
        <v>1.031569</v>
      </c>
      <c r="I4076">
        <v>17.46377</v>
      </c>
      <c r="J4076">
        <v>-356.89229999999998</v>
      </c>
      <c r="K4076">
        <v>1.1100809999999901</v>
      </c>
      <c r="L4076">
        <v>17.592320000000001</v>
      </c>
      <c r="M4076">
        <v>0.99994229999999995</v>
      </c>
      <c r="N4076">
        <v>0</v>
      </c>
      <c r="O4076">
        <v>5.030222E-3</v>
      </c>
      <c r="P4076">
        <v>0.99789539999999999</v>
      </c>
      <c r="Q4076">
        <v>4.0480219999999997E-2</v>
      </c>
      <c r="R4076">
        <v>5.0660040000000003E-2</v>
      </c>
      <c r="S4076">
        <v>3.039307</v>
      </c>
      <c r="T4076">
        <v>-0.25729839999999998</v>
      </c>
      <c r="U4076">
        <v>-0.4161377</v>
      </c>
      <c r="V4076">
        <v>-4.5673180000000001E-2</v>
      </c>
      <c r="W4076">
        <v>4.9921559999999997E-2</v>
      </c>
      <c r="X4076">
        <v>0.99770829999999999</v>
      </c>
      <c r="Y4076">
        <v>0.14012549999999999</v>
      </c>
      <c r="Z4076">
        <v>-6.316533E-3</v>
      </c>
      <c r="AA4076">
        <v>0.99011360000000004</v>
      </c>
      <c r="AB4076">
        <v>40</v>
      </c>
      <c r="AC4076">
        <v>0.68410000000000004</v>
      </c>
      <c r="AD4076">
        <v>-7.8511999999999901E-2</v>
      </c>
      <c r="AE4076">
        <v>-0.12855</v>
      </c>
      <c r="AF4076">
        <v>0.13033159861862301</v>
      </c>
      <c r="AG4076">
        <v>-7.8511999999999901E-2</v>
      </c>
      <c r="AH4076">
        <v>0.67485898853771398</v>
      </c>
      <c r="AI4076">
        <v>96.516520913433098</v>
      </c>
      <c r="AJ4076">
        <v>79.069366057459206</v>
      </c>
      <c r="AK4076">
        <v>0.69179846353734598</v>
      </c>
    </row>
    <row r="4077" spans="1:37" x14ac:dyDescent="0.2">
      <c r="A4077" t="str">
        <f>"20200111154146382"</f>
        <v>20200111154146382</v>
      </c>
      <c r="B4077" t="str">
        <f>"1578728506370303"</f>
        <v>1578728506370303</v>
      </c>
      <c r="C4077" t="s">
        <v>37</v>
      </c>
      <c r="D4077">
        <v>5.5436239999999897</v>
      </c>
      <c r="E4077">
        <v>0.56933719999999999</v>
      </c>
      <c r="F4077" t="s">
        <v>38</v>
      </c>
      <c r="G4077">
        <v>-355.85300000000001</v>
      </c>
      <c r="H4077">
        <v>1.022689</v>
      </c>
      <c r="I4077">
        <v>17.453250000000001</v>
      </c>
      <c r="J4077">
        <v>-356.57499999999999</v>
      </c>
      <c r="K4077">
        <v>1.1100909999999999</v>
      </c>
      <c r="L4077">
        <v>17.594089999999898</v>
      </c>
      <c r="M4077">
        <v>0.99993929999999998</v>
      </c>
      <c r="N4077">
        <v>0</v>
      </c>
      <c r="O4077">
        <v>5.2382840000000002E-3</v>
      </c>
      <c r="P4077">
        <v>0.99811919999999899</v>
      </c>
      <c r="Q4077">
        <v>3.962019E-2</v>
      </c>
      <c r="R4077">
        <v>4.6778760000000003E-2</v>
      </c>
      <c r="S4077">
        <v>3.0373540000000001</v>
      </c>
      <c r="T4077">
        <v>-0.25538549999999999</v>
      </c>
      <c r="U4077">
        <v>-0.40692139999999999</v>
      </c>
      <c r="V4077">
        <v>-4.1582760000000003E-2</v>
      </c>
      <c r="W4077">
        <v>4.926767E-2</v>
      </c>
      <c r="X4077">
        <v>0.99791960000000002</v>
      </c>
      <c r="Y4077">
        <v>0.13748150000000001</v>
      </c>
      <c r="Z4077">
        <v>-6.181906E-3</v>
      </c>
      <c r="AA4077">
        <v>0.99048510000000001</v>
      </c>
      <c r="AB4077">
        <v>40</v>
      </c>
      <c r="AC4077">
        <v>0.72199999999997999</v>
      </c>
      <c r="AD4077">
        <v>-8.7401999999999896E-2</v>
      </c>
      <c r="AE4077">
        <v>-0.140839999999997</v>
      </c>
      <c r="AF4077">
        <v>0.142607070628051</v>
      </c>
      <c r="AG4077">
        <v>-8.7401999999999896E-2</v>
      </c>
      <c r="AH4077">
        <v>0.71121196186905</v>
      </c>
      <c r="AI4077">
        <v>96.870632604933604</v>
      </c>
      <c r="AJ4077">
        <v>78.661821506760404</v>
      </c>
      <c r="AK4077">
        <v>0.73061504289381896</v>
      </c>
    </row>
    <row r="4078" spans="1:37" x14ac:dyDescent="0.2">
      <c r="A4078" t="str">
        <f>"20200111154146394"</f>
        <v>20200111154146394</v>
      </c>
      <c r="B4078" t="str">
        <f>"1578728506390800"</f>
        <v>1578728506390800</v>
      </c>
      <c r="C4078" t="s">
        <v>37</v>
      </c>
      <c r="D4078">
        <v>5.5833750000000002</v>
      </c>
      <c r="E4078">
        <v>0.56847440000000005</v>
      </c>
      <c r="F4078" t="s">
        <v>38</v>
      </c>
      <c r="G4078">
        <v>-355.83929999999998</v>
      </c>
      <c r="H4078">
        <v>1.04841299999999</v>
      </c>
      <c r="I4078">
        <v>17.492439999999998</v>
      </c>
      <c r="J4078">
        <v>-356.36270000000002</v>
      </c>
      <c r="K4078">
        <v>1.1100969999999999</v>
      </c>
      <c r="L4078">
        <v>17.595310000000001</v>
      </c>
      <c r="M4078">
        <v>0.99993750000000003</v>
      </c>
      <c r="N4078">
        <v>0</v>
      </c>
      <c r="O4078">
        <v>5.3774740000000001E-3</v>
      </c>
      <c r="P4078">
        <v>0.99821759999999904</v>
      </c>
      <c r="Q4078">
        <v>3.9015969999999997E-2</v>
      </c>
      <c r="R4078">
        <v>4.5160909999999999E-2</v>
      </c>
      <c r="S4078">
        <v>3.0354000000000001</v>
      </c>
      <c r="T4078">
        <v>-0.25446390000000002</v>
      </c>
      <c r="U4078">
        <v>-0.42010500000000001</v>
      </c>
      <c r="V4078">
        <v>-3.9824909999999998E-2</v>
      </c>
      <c r="W4078">
        <v>4.879236E-2</v>
      </c>
      <c r="X4078">
        <v>0.99801469999999903</v>
      </c>
      <c r="Y4078">
        <v>0.14191300000000001</v>
      </c>
      <c r="Z4078">
        <v>-6.3579489999999999E-3</v>
      </c>
      <c r="AA4078">
        <v>0.98985869999999998</v>
      </c>
      <c r="AB4078">
        <v>40</v>
      </c>
      <c r="AC4078">
        <v>0.52340000000003695</v>
      </c>
      <c r="AD4078">
        <v>-6.1684000000000003E-2</v>
      </c>
      <c r="AE4078">
        <v>-0.102870000000002</v>
      </c>
      <c r="AF4078">
        <v>0.104288603172958</v>
      </c>
      <c r="AG4078">
        <v>-6.1684000000000003E-2</v>
      </c>
      <c r="AH4078">
        <v>0.51593974539581799</v>
      </c>
      <c r="AI4078">
        <v>96.683811320938503</v>
      </c>
      <c r="AJ4078">
        <v>78.572587936575104</v>
      </c>
      <c r="AK4078">
        <v>0.52997627256969604</v>
      </c>
    </row>
    <row r="4079" spans="1:37" x14ac:dyDescent="0.2">
      <c r="A4079" t="str">
        <f>"20200111154146407"</f>
        <v>20200111154146407</v>
      </c>
      <c r="B4079" t="str">
        <f>"1578728506400558"</f>
        <v>1578728506400558</v>
      </c>
      <c r="C4079" t="s">
        <v>37</v>
      </c>
      <c r="D4079">
        <v>5.6019649999999999</v>
      </c>
      <c r="E4079">
        <v>0.56768759999999996</v>
      </c>
      <c r="F4079" t="s">
        <v>38</v>
      </c>
      <c r="G4079">
        <v>-355.4873</v>
      </c>
      <c r="H4079">
        <v>1.037131</v>
      </c>
      <c r="I4079">
        <v>17.474589999999999</v>
      </c>
      <c r="J4079">
        <v>-356.14120000000003</v>
      </c>
      <c r="K4079">
        <v>1.1101049999999999</v>
      </c>
      <c r="L4079">
        <v>17.596589999999999</v>
      </c>
      <c r="M4079">
        <v>0.99993519999999902</v>
      </c>
      <c r="N4079">
        <v>0</v>
      </c>
      <c r="O4079">
        <v>5.5231289999999999E-3</v>
      </c>
      <c r="P4079">
        <v>0.99832759999999998</v>
      </c>
      <c r="Q4079">
        <v>3.8311030000000003E-2</v>
      </c>
      <c r="R4079">
        <v>4.3290809999999999E-2</v>
      </c>
      <c r="S4079">
        <v>3.0341490000000002</v>
      </c>
      <c r="T4079">
        <v>-0.2529016</v>
      </c>
      <c r="U4079">
        <v>-0.41799929999999902</v>
      </c>
      <c r="V4079">
        <v>-3.780857E-2</v>
      </c>
      <c r="W4079">
        <v>4.8220819999999998E-2</v>
      </c>
      <c r="X4079">
        <v>0.99812080000000003</v>
      </c>
      <c r="Y4079">
        <v>0.14144519999999999</v>
      </c>
      <c r="Z4079">
        <v>-6.3146119999999998E-3</v>
      </c>
      <c r="AA4079">
        <v>0.98992590000000003</v>
      </c>
      <c r="AB4079">
        <v>40</v>
      </c>
      <c r="AC4079">
        <v>0.65390000000002102</v>
      </c>
      <c r="AD4079">
        <v>-7.2973999999999803E-2</v>
      </c>
      <c r="AE4079">
        <v>-0.121999999999999</v>
      </c>
      <c r="AF4079">
        <v>0.124116129770796</v>
      </c>
      <c r="AG4079">
        <v>-7.2973999999999803E-2</v>
      </c>
      <c r="AH4079">
        <v>0.64544807465641396</v>
      </c>
      <c r="AI4079">
        <v>96.335339195887897</v>
      </c>
      <c r="AJ4079">
        <v>79.1152005718222</v>
      </c>
      <c r="AK4079">
        <v>0.661311753579923</v>
      </c>
    </row>
    <row r="4080" spans="1:37" x14ac:dyDescent="0.2">
      <c r="A4080" t="str">
        <f>"20200111154146420"</f>
        <v>20200111154146420</v>
      </c>
      <c r="B4080" t="str">
        <f>"1578728506410319"</f>
        <v>1578728506410319</v>
      </c>
      <c r="C4080" t="s">
        <v>37</v>
      </c>
      <c r="D4080">
        <v>5.5992829999999998</v>
      </c>
      <c r="E4080">
        <v>0.56703340000000002</v>
      </c>
      <c r="F4080" t="s">
        <v>38</v>
      </c>
      <c r="G4080">
        <v>-355.1327</v>
      </c>
      <c r="H4080">
        <v>1.026386</v>
      </c>
      <c r="I4080">
        <v>17.457709999999999</v>
      </c>
      <c r="J4080">
        <v>-355.90960000000001</v>
      </c>
      <c r="K4080">
        <v>1.110117</v>
      </c>
      <c r="L4080">
        <v>17.598020000000002</v>
      </c>
      <c r="M4080">
        <v>0.99993310000000002</v>
      </c>
      <c r="N4080">
        <v>0</v>
      </c>
      <c r="O4080">
        <v>5.6754300000000004E-3</v>
      </c>
      <c r="P4080">
        <v>0.99842500000000001</v>
      </c>
      <c r="Q4080">
        <v>3.7536359999999998E-2</v>
      </c>
      <c r="R4080">
        <v>4.1699199999999999E-2</v>
      </c>
      <c r="S4080">
        <v>3.032715</v>
      </c>
      <c r="T4080">
        <v>-0.25176169999999998</v>
      </c>
      <c r="U4080">
        <v>-0.41726679999999999</v>
      </c>
      <c r="V4080">
        <v>-3.6063869999999998E-2</v>
      </c>
      <c r="W4080">
        <v>4.7584029999999999E-2</v>
      </c>
      <c r="X4080">
        <v>0.99821599999999999</v>
      </c>
      <c r="Y4080">
        <v>0.14142829999999901</v>
      </c>
      <c r="Z4080">
        <v>-6.3011509999999996E-3</v>
      </c>
      <c r="AA4080">
        <v>0.98992839999999904</v>
      </c>
      <c r="AB4080">
        <v>40</v>
      </c>
      <c r="AC4080">
        <v>0.77690000000001103</v>
      </c>
      <c r="AD4080">
        <v>-8.3731E-2</v>
      </c>
      <c r="AE4080">
        <v>-0.14030999999999899</v>
      </c>
      <c r="AF4080">
        <v>0.14310743073407001</v>
      </c>
      <c r="AG4080">
        <v>-8.3731E-2</v>
      </c>
      <c r="AH4080">
        <v>0.76745820709166401</v>
      </c>
      <c r="AI4080">
        <v>96.1217427092772</v>
      </c>
      <c r="AJ4080">
        <v>79.437401881237093</v>
      </c>
      <c r="AK4080">
        <v>0.78516413362089998</v>
      </c>
    </row>
    <row r="4081" spans="1:37" x14ac:dyDescent="0.2">
      <c r="A4081" t="str">
        <f>"20200111154146432"</f>
        <v>20200111154146432</v>
      </c>
      <c r="B4081" t="str">
        <f>"1578728506420078"</f>
        <v>1578728506420078</v>
      </c>
      <c r="C4081" t="s">
        <v>37</v>
      </c>
      <c r="D4081">
        <v>5.5896179999999998</v>
      </c>
      <c r="E4081">
        <v>0.56651370000000001</v>
      </c>
      <c r="F4081" t="s">
        <v>38</v>
      </c>
      <c r="G4081">
        <v>-355.1232</v>
      </c>
      <c r="H4081">
        <v>1.0444690000000001</v>
      </c>
      <c r="I4081">
        <v>17.489820000000002</v>
      </c>
      <c r="J4081">
        <v>-355.67970000000003</v>
      </c>
      <c r="K4081">
        <v>1.1101289999999999</v>
      </c>
      <c r="L4081">
        <v>17.599429999999899</v>
      </c>
      <c r="M4081">
        <v>0.99993089999999996</v>
      </c>
      <c r="N4081">
        <v>0</v>
      </c>
      <c r="O4081">
        <v>5.8272649999999999E-3</v>
      </c>
      <c r="P4081">
        <v>0.99851299999999898</v>
      </c>
      <c r="Q4081">
        <v>3.6907189999999999E-2</v>
      </c>
      <c r="R4081">
        <v>4.0120719999999999E-2</v>
      </c>
      <c r="S4081">
        <v>3.031647</v>
      </c>
      <c r="T4081">
        <v>-0.25308619999999998</v>
      </c>
      <c r="U4081">
        <v>-0.41665649999999999</v>
      </c>
      <c r="V4081">
        <v>-3.4332979999999999E-2</v>
      </c>
      <c r="W4081">
        <v>4.7088680000000001E-2</v>
      </c>
      <c r="X4081">
        <v>0.99830049999999904</v>
      </c>
      <c r="Y4081">
        <v>0.14142399999999999</v>
      </c>
      <c r="Z4081">
        <v>-6.3488989999999999E-3</v>
      </c>
      <c r="AA4081">
        <v>0.98992880000000005</v>
      </c>
      <c r="AB4081">
        <v>40</v>
      </c>
      <c r="AC4081">
        <v>0.55650000000002797</v>
      </c>
      <c r="AD4081">
        <v>-6.5659999999999996E-2</v>
      </c>
      <c r="AE4081">
        <v>-0.109609999999996</v>
      </c>
      <c r="AF4081">
        <v>0.111358845169116</v>
      </c>
      <c r="AG4081">
        <v>-6.5659999999999996E-2</v>
      </c>
      <c r="AH4081">
        <v>0.548501247913454</v>
      </c>
      <c r="AI4081">
        <v>96.691050948022095</v>
      </c>
      <c r="AJ4081">
        <v>78.5235735665281</v>
      </c>
      <c r="AK4081">
        <v>0.56352963272574697</v>
      </c>
    </row>
    <row r="4082" spans="1:37" x14ac:dyDescent="0.2">
      <c r="A4082" t="str">
        <f>"20200111154146451"</f>
        <v>20200111154146451</v>
      </c>
      <c r="B4082" t="str">
        <f>"1578728506440574"</f>
        <v>1578728506440574</v>
      </c>
      <c r="C4082" t="s">
        <v>37</v>
      </c>
      <c r="D4082">
        <v>5.5975640000000002</v>
      </c>
      <c r="E4082">
        <v>0.56576319999999902</v>
      </c>
      <c r="F4082" t="s">
        <v>38</v>
      </c>
      <c r="G4082">
        <v>-354.77030000000002</v>
      </c>
      <c r="H4082">
        <v>1.033819</v>
      </c>
      <c r="I4082">
        <v>17.474079999999901</v>
      </c>
      <c r="J4082">
        <v>-355.34179999999998</v>
      </c>
      <c r="K4082">
        <v>1.1101479999999999</v>
      </c>
      <c r="L4082">
        <v>17.60162</v>
      </c>
      <c r="M4082">
        <v>0.99992760000000003</v>
      </c>
      <c r="N4082">
        <v>0</v>
      </c>
      <c r="O4082">
        <v>6.0499330000000004E-3</v>
      </c>
      <c r="P4082">
        <v>0.99861200000000006</v>
      </c>
      <c r="Q4082">
        <v>3.6933090000000002E-2</v>
      </c>
      <c r="R4082">
        <v>3.7553339999999998E-2</v>
      </c>
      <c r="S4082">
        <v>3.0306090000000001</v>
      </c>
      <c r="T4082">
        <v>-0.25432779999999999</v>
      </c>
      <c r="U4082">
        <v>-0.41726679999999999</v>
      </c>
      <c r="V4082">
        <v>-3.1543010000000003E-2</v>
      </c>
      <c r="W4082">
        <v>4.7303489999999997E-2</v>
      </c>
      <c r="X4082">
        <v>0.9983824</v>
      </c>
      <c r="Y4082">
        <v>0.14187820000000001</v>
      </c>
      <c r="Z4082">
        <v>-6.4195140000000003E-3</v>
      </c>
      <c r="AA4082">
        <v>0.9898633</v>
      </c>
      <c r="AB4082">
        <v>40</v>
      </c>
      <c r="AC4082">
        <v>0.57149999999995704</v>
      </c>
      <c r="AD4082">
        <v>-7.63289999999998E-2</v>
      </c>
      <c r="AE4082">
        <v>-0.12754000000000301</v>
      </c>
      <c r="AF4082">
        <v>0.12880673491053099</v>
      </c>
      <c r="AG4082">
        <v>-7.63289999999998E-2</v>
      </c>
      <c r="AH4082">
        <v>0.56118240691750398</v>
      </c>
      <c r="AI4082">
        <v>97.551521158562906</v>
      </c>
      <c r="AJ4082">
        <v>77.072956044153599</v>
      </c>
      <c r="AK4082">
        <v>0.58081234924288205</v>
      </c>
    </row>
    <row r="4083" spans="1:37" x14ac:dyDescent="0.2">
      <c r="A4083" t="str">
        <f>"20200111154146464"</f>
        <v>20200111154146464</v>
      </c>
      <c r="B4083" t="str">
        <f>"1578728506460094"</f>
        <v>1578728506460094</v>
      </c>
      <c r="C4083" t="s">
        <v>37</v>
      </c>
      <c r="D4083">
        <v>5.5765219999999998</v>
      </c>
      <c r="E4083">
        <v>0.56535659999999999</v>
      </c>
      <c r="F4083" t="s">
        <v>38</v>
      </c>
      <c r="G4083">
        <v>-354.41149999999999</v>
      </c>
      <c r="H4083">
        <v>1.0326029999999999</v>
      </c>
      <c r="I4083">
        <v>17.47298</v>
      </c>
      <c r="J4083">
        <v>-355.10570000000001</v>
      </c>
      <c r="K4083">
        <v>1.1101620000000001</v>
      </c>
      <c r="L4083">
        <v>17.603149999999999</v>
      </c>
      <c r="M4083">
        <v>0.99992530000000002</v>
      </c>
      <c r="N4083">
        <v>0</v>
      </c>
      <c r="O4083">
        <v>6.205248E-3</v>
      </c>
      <c r="P4083">
        <v>0.99864219999999904</v>
      </c>
      <c r="Q4083">
        <v>3.7162750000000001E-2</v>
      </c>
      <c r="R4083">
        <v>3.6506950000000003E-2</v>
      </c>
      <c r="S4083">
        <v>3.029236</v>
      </c>
      <c r="T4083">
        <v>-0.25246220000000003</v>
      </c>
      <c r="U4083">
        <v>-0.41894529999999902</v>
      </c>
      <c r="V4083">
        <v>-3.0341360000000001E-2</v>
      </c>
      <c r="W4083">
        <v>4.7657850000000002E-2</v>
      </c>
      <c r="X4083">
        <v>0.99840280000000003</v>
      </c>
      <c r="Y4083">
        <v>0.1426347</v>
      </c>
      <c r="Z4083">
        <v>-6.419386E-3</v>
      </c>
      <c r="AA4083">
        <v>0.98975460000000004</v>
      </c>
      <c r="AB4083">
        <v>40</v>
      </c>
      <c r="AC4083">
        <v>0.69420000000002302</v>
      </c>
      <c r="AD4083">
        <v>-7.7558999999999906E-2</v>
      </c>
      <c r="AE4083">
        <v>-0.13016999999999901</v>
      </c>
      <c r="AF4083">
        <v>0.13287318538381901</v>
      </c>
      <c r="AG4083">
        <v>-7.7558999999999906E-2</v>
      </c>
      <c r="AH4083">
        <v>0.68511747099980103</v>
      </c>
      <c r="AI4083">
        <v>96.341521800726497</v>
      </c>
      <c r="AJ4083">
        <v>79.024190218334297</v>
      </c>
      <c r="AK4083">
        <v>0.70217991351519504</v>
      </c>
    </row>
    <row r="4084" spans="1:37" x14ac:dyDescent="0.2">
      <c r="A4084" t="str">
        <f>"20200111154146477"</f>
        <v>20200111154146477</v>
      </c>
      <c r="B4084" t="str">
        <f>"1578728506470831"</f>
        <v>1578728506470831</v>
      </c>
      <c r="C4084" t="s">
        <v>37</v>
      </c>
      <c r="D4084">
        <v>5.5234259999999997</v>
      </c>
      <c r="E4084">
        <v>0.56535089999999999</v>
      </c>
      <c r="F4084" t="s">
        <v>38</v>
      </c>
      <c r="G4084">
        <v>-354.0566</v>
      </c>
      <c r="H4084">
        <v>1.0220959999999999</v>
      </c>
      <c r="I4084">
        <v>17.457840000000001</v>
      </c>
      <c r="J4084">
        <v>-354.86279999999999</v>
      </c>
      <c r="K4084">
        <v>1.1101760000000001</v>
      </c>
      <c r="L4084">
        <v>17.604800000000001</v>
      </c>
      <c r="M4084">
        <v>0.99992320000000001</v>
      </c>
      <c r="N4084">
        <v>0</v>
      </c>
      <c r="O4084">
        <v>6.3641649999999998E-3</v>
      </c>
      <c r="P4084">
        <v>0.998675599999999</v>
      </c>
      <c r="Q4084">
        <v>3.7131070000000002E-2</v>
      </c>
      <c r="R4084">
        <v>3.5614649999999998E-2</v>
      </c>
      <c r="S4084">
        <v>3.02887</v>
      </c>
      <c r="T4084">
        <v>-0.2542991</v>
      </c>
      <c r="U4084">
        <v>-0.41891479999999998</v>
      </c>
      <c r="V4084">
        <v>-2.9290050000000002E-2</v>
      </c>
      <c r="W4084">
        <v>4.7743590000000002E-2</v>
      </c>
      <c r="X4084">
        <v>0.99843009999999999</v>
      </c>
      <c r="Y4084">
        <v>0.14278979999999999</v>
      </c>
      <c r="Z4084">
        <v>-6.4864409999999999E-3</v>
      </c>
      <c r="AA4084">
        <v>0.98973180000000005</v>
      </c>
      <c r="AB4084">
        <v>40</v>
      </c>
      <c r="AC4084">
        <v>0.80619999999998904</v>
      </c>
      <c r="AD4084">
        <v>-8.8080000000000103E-2</v>
      </c>
      <c r="AE4084">
        <v>-0.14695999999999901</v>
      </c>
      <c r="AF4084">
        <v>0.15035118498002201</v>
      </c>
      <c r="AG4084">
        <v>-8.8080000000000103E-2</v>
      </c>
      <c r="AH4084">
        <v>0.79605202168036604</v>
      </c>
      <c r="AI4084">
        <v>96.205042640494796</v>
      </c>
      <c r="AJ4084">
        <v>79.304475886066697</v>
      </c>
      <c r="AK4084">
        <v>0.81490023097695596</v>
      </c>
    </row>
    <row r="4085" spans="1:37" x14ac:dyDescent="0.2">
      <c r="A4085" t="str">
        <f>"20200111154146496"</f>
        <v>20200111154146496</v>
      </c>
      <c r="B4085" t="str">
        <f>"1578728506490351"</f>
        <v>1578728506490351</v>
      </c>
      <c r="C4085" t="s">
        <v>37</v>
      </c>
      <c r="D4085">
        <v>5.5479760000000002</v>
      </c>
      <c r="E4085">
        <v>0.56455710000000003</v>
      </c>
      <c r="F4085" t="s">
        <v>38</v>
      </c>
      <c r="G4085">
        <v>-354.0462</v>
      </c>
      <c r="H4085">
        <v>1.0422419999999999</v>
      </c>
      <c r="I4085">
        <v>17.490960000000001</v>
      </c>
      <c r="J4085">
        <v>-354.53960000000001</v>
      </c>
      <c r="K4085">
        <v>1.110195</v>
      </c>
      <c r="L4085">
        <v>17.607060000000001</v>
      </c>
      <c r="M4085">
        <v>0.99992019999999904</v>
      </c>
      <c r="N4085">
        <v>0</v>
      </c>
      <c r="O4085">
        <v>6.5764899999999999E-3</v>
      </c>
      <c r="P4085">
        <v>0.99870890000000001</v>
      </c>
      <c r="Q4085">
        <v>3.7648170000000002E-2</v>
      </c>
      <c r="R4085">
        <v>3.4112320000000002E-2</v>
      </c>
      <c r="S4085">
        <v>3.0284119999999999</v>
      </c>
      <c r="T4085">
        <v>-0.25201790000000002</v>
      </c>
      <c r="U4085">
        <v>-0.4213867</v>
      </c>
      <c r="V4085">
        <v>-2.7575680000000002E-2</v>
      </c>
      <c r="W4085">
        <v>4.8411349999999999E-2</v>
      </c>
      <c r="X4085">
        <v>0.99844679999999997</v>
      </c>
      <c r="Y4085">
        <v>0.14381769999999999</v>
      </c>
      <c r="Z4085">
        <v>-6.4891039999999999E-3</v>
      </c>
      <c r="AA4085">
        <v>0.98958289999999904</v>
      </c>
      <c r="AB4085">
        <v>40</v>
      </c>
      <c r="AC4085">
        <v>0.493400000000008</v>
      </c>
      <c r="AD4085">
        <v>-6.7952999999999902E-2</v>
      </c>
      <c r="AE4085">
        <v>-0.116099999999999</v>
      </c>
      <c r="AF4085">
        <v>0.117235473409102</v>
      </c>
      <c r="AG4085">
        <v>-6.7952999999999902E-2</v>
      </c>
      <c r="AH4085">
        <v>0.48392822999433199</v>
      </c>
      <c r="AI4085">
        <v>97.771260229648604</v>
      </c>
      <c r="AJ4085">
        <v>76.382003076776002</v>
      </c>
      <c r="AK4085">
        <v>0.50254183728312996</v>
      </c>
    </row>
    <row r="4086" spans="1:37" x14ac:dyDescent="0.2">
      <c r="A4086" t="str">
        <f>"20200111154146508"</f>
        <v>20200111154146508</v>
      </c>
      <c r="B4086" t="str">
        <f>"1578728506500110"</f>
        <v>1578728506500110</v>
      </c>
      <c r="C4086" t="s">
        <v>37</v>
      </c>
      <c r="D4086">
        <v>5.4965409999999997</v>
      </c>
      <c r="E4086">
        <v>0.56435849999999999</v>
      </c>
      <c r="F4086" t="s">
        <v>38</v>
      </c>
      <c r="G4086">
        <v>-353.68810000000002</v>
      </c>
      <c r="H4086">
        <v>1.040098</v>
      </c>
      <c r="I4086">
        <v>17.48884</v>
      </c>
      <c r="J4086">
        <v>-354.30939999999998</v>
      </c>
      <c r="K4086">
        <v>1.1101989999999999</v>
      </c>
      <c r="L4086">
        <v>17.60867</v>
      </c>
      <c r="M4086">
        <v>0.99991799999999997</v>
      </c>
      <c r="N4086">
        <v>0</v>
      </c>
      <c r="O4086">
        <v>6.729489E-3</v>
      </c>
      <c r="P4086">
        <v>0.99873149999999999</v>
      </c>
      <c r="Q4086">
        <v>3.7506350000000001E-2</v>
      </c>
      <c r="R4086">
        <v>3.360109E-2</v>
      </c>
      <c r="S4086">
        <v>3.0275569999999998</v>
      </c>
      <c r="T4086">
        <v>-0.2492586</v>
      </c>
      <c r="U4086">
        <v>-0.41937259999999998</v>
      </c>
      <c r="V4086">
        <v>-2.6911569999999999E-2</v>
      </c>
      <c r="W4086">
        <v>4.8376099999999998E-2</v>
      </c>
      <c r="X4086">
        <v>0.99846659999999898</v>
      </c>
      <c r="Y4086">
        <v>0.1433731</v>
      </c>
      <c r="Z4086">
        <v>-6.41470699999999E-3</v>
      </c>
      <c r="AA4086">
        <v>0.98964789999999903</v>
      </c>
      <c r="AB4086">
        <v>40</v>
      </c>
      <c r="AC4086">
        <v>0.62129999999996199</v>
      </c>
      <c r="AD4086">
        <v>-7.01009999999999E-2</v>
      </c>
      <c r="AE4086">
        <v>-0.11983000000000001</v>
      </c>
      <c r="AF4086">
        <v>0.122504948556808</v>
      </c>
      <c r="AG4086">
        <v>-7.01009999999999E-2</v>
      </c>
      <c r="AH4086">
        <v>0.61295610563802605</v>
      </c>
      <c r="AI4086">
        <v>96.398846324298106</v>
      </c>
      <c r="AJ4086">
        <v>78.697821858311002</v>
      </c>
      <c r="AK4086">
        <v>0.62899666140675203</v>
      </c>
    </row>
    <row r="4087" spans="1:37" x14ac:dyDescent="0.2">
      <c r="A4087" t="str">
        <f>"20200111154146520"</f>
        <v>20200111154146520</v>
      </c>
      <c r="B4087" t="str">
        <f>"1578728506509871"</f>
        <v>1578728506509871</v>
      </c>
      <c r="C4087" t="s">
        <v>37</v>
      </c>
      <c r="D4087">
        <v>5.562748</v>
      </c>
      <c r="E4087">
        <v>0.56406099999999904</v>
      </c>
      <c r="F4087" t="s">
        <v>38</v>
      </c>
      <c r="G4087">
        <v>-353.33420000000001</v>
      </c>
      <c r="H4087">
        <v>1.0303040000000001</v>
      </c>
      <c r="I4087">
        <v>17.47354</v>
      </c>
      <c r="J4087">
        <v>-354.0908</v>
      </c>
      <c r="K4087">
        <v>1.110209</v>
      </c>
      <c r="L4087">
        <v>17.610289999999999</v>
      </c>
      <c r="M4087">
        <v>0.99991580000000002</v>
      </c>
      <c r="N4087">
        <v>0</v>
      </c>
      <c r="O4087">
        <v>6.8761919999999997E-3</v>
      </c>
      <c r="P4087">
        <v>0.99874680000000005</v>
      </c>
      <c r="Q4087">
        <v>3.7497389999999998E-2</v>
      </c>
      <c r="R4087">
        <v>3.314785E-2</v>
      </c>
      <c r="S4087">
        <v>3.0271910000000002</v>
      </c>
      <c r="T4087">
        <v>-0.247994299999999</v>
      </c>
      <c r="U4087">
        <v>-0.41921999999999998</v>
      </c>
      <c r="V4087">
        <v>-2.6312019999999998E-2</v>
      </c>
      <c r="W4087">
        <v>4.8469449999999997E-2</v>
      </c>
      <c r="X4087">
        <v>0.99847809999999904</v>
      </c>
      <c r="Y4087">
        <v>0.14348959999999999</v>
      </c>
      <c r="Z4087">
        <v>-6.39975099999999E-3</v>
      </c>
      <c r="AA4087">
        <v>0.98963109999999999</v>
      </c>
      <c r="AB4087">
        <v>40</v>
      </c>
      <c r="AC4087">
        <v>0.75659999999999095</v>
      </c>
      <c r="AD4087">
        <v>-7.9904999999999796E-2</v>
      </c>
      <c r="AE4087">
        <v>-0.13674999999999901</v>
      </c>
      <c r="AF4087">
        <v>0.140432826575599</v>
      </c>
      <c r="AG4087">
        <v>-7.9904999999999796E-2</v>
      </c>
      <c r="AH4087">
        <v>0.74756743410512005</v>
      </c>
      <c r="AI4087">
        <v>95.996882252206504</v>
      </c>
      <c r="AJ4087">
        <v>79.360804401227</v>
      </c>
      <c r="AK4087">
        <v>0.76482890657945601</v>
      </c>
    </row>
    <row r="4088" spans="1:37" x14ac:dyDescent="0.2">
      <c r="A4088" t="str">
        <f>"20200111154146534"</f>
        <v>20200111154146534</v>
      </c>
      <c r="B4088" t="str">
        <f>"1578728506530367"</f>
        <v>1578728506530367</v>
      </c>
      <c r="C4088" t="s">
        <v>37</v>
      </c>
      <c r="D4088">
        <v>5.5520399999999999</v>
      </c>
      <c r="E4088">
        <v>0.56353710000000001</v>
      </c>
      <c r="F4088" t="s">
        <v>38</v>
      </c>
      <c r="G4088">
        <v>-353.32389999999998</v>
      </c>
      <c r="H4088">
        <v>1.047482</v>
      </c>
      <c r="I4088">
        <v>17.504270000000002</v>
      </c>
      <c r="J4088">
        <v>-353.86110000000002</v>
      </c>
      <c r="K4088">
        <v>1.110225</v>
      </c>
      <c r="L4088">
        <v>17.611999999999998</v>
      </c>
      <c r="M4088">
        <v>0.99991359999999996</v>
      </c>
      <c r="N4088">
        <v>0</v>
      </c>
      <c r="O4088">
        <v>7.0304800000000004E-3</v>
      </c>
      <c r="P4088">
        <v>0.99876279999999995</v>
      </c>
      <c r="Q4088">
        <v>3.7168939999999998E-2</v>
      </c>
      <c r="R4088">
        <v>3.3036410000000002E-2</v>
      </c>
      <c r="S4088">
        <v>3.0269469999999998</v>
      </c>
      <c r="T4088">
        <v>-0.2475927</v>
      </c>
      <c r="U4088">
        <v>-0.41815190000000002</v>
      </c>
      <c r="V4088">
        <v>-2.6046619999999999E-2</v>
      </c>
      <c r="W4088">
        <v>4.825227E-2</v>
      </c>
      <c r="X4088">
        <v>0.99849549999999998</v>
      </c>
      <c r="Y4088">
        <v>0.1433121</v>
      </c>
      <c r="Z4088">
        <v>-6.395413E-3</v>
      </c>
      <c r="AA4088">
        <v>0.98965689999999995</v>
      </c>
      <c r="AB4088">
        <v>40</v>
      </c>
      <c r="AC4088">
        <v>0.53720000000004098</v>
      </c>
      <c r="AD4088">
        <v>-6.2742999999999993E-2</v>
      </c>
      <c r="AE4088">
        <v>-0.10773000000000001</v>
      </c>
      <c r="AF4088">
        <v>0.11006100487170301</v>
      </c>
      <c r="AG4088">
        <v>-6.2742999999999993E-2</v>
      </c>
      <c r="AH4088">
        <v>0.52948561130013705</v>
      </c>
      <c r="AI4088">
        <v>96.617761618704506</v>
      </c>
      <c r="AJ4088">
        <v>78.257484908901404</v>
      </c>
      <c r="AK4088">
        <v>0.54443100703050396</v>
      </c>
    </row>
    <row r="4089" spans="1:37" x14ac:dyDescent="0.2">
      <c r="A4089" t="str">
        <f>"20200111154146550"</f>
        <v>20200111154146550</v>
      </c>
      <c r="B4089" t="str">
        <f>"1578728506540127"</f>
        <v>1578728506540127</v>
      </c>
      <c r="C4089" t="s">
        <v>37</v>
      </c>
      <c r="D4089">
        <v>5.5443790000000002</v>
      </c>
      <c r="E4089">
        <v>0.56323489999999998</v>
      </c>
      <c r="F4089" t="s">
        <v>38</v>
      </c>
      <c r="G4089">
        <v>-352.97129999999999</v>
      </c>
      <c r="H4089">
        <v>1.0374110000000001</v>
      </c>
      <c r="I4089">
        <v>17.49014</v>
      </c>
      <c r="J4089">
        <v>-353.56009999999998</v>
      </c>
      <c r="K4089">
        <v>1.1102510000000001</v>
      </c>
      <c r="L4089">
        <v>17.61429</v>
      </c>
      <c r="M4089">
        <v>0.99991039999999998</v>
      </c>
      <c r="N4089">
        <v>0</v>
      </c>
      <c r="O4089">
        <v>7.2284139999999998E-3</v>
      </c>
      <c r="P4089">
        <v>0.99878310000000003</v>
      </c>
      <c r="Q4089">
        <v>3.6714599999999903E-2</v>
      </c>
      <c r="R4089">
        <v>3.2934230000000002E-2</v>
      </c>
      <c r="S4089">
        <v>3.026672</v>
      </c>
      <c r="T4089">
        <v>-0.24770819999999999</v>
      </c>
      <c r="U4089">
        <v>-0.41427609999999898</v>
      </c>
      <c r="V4089">
        <v>-2.574657E-2</v>
      </c>
      <c r="W4089">
        <v>4.7950300000000001E-2</v>
      </c>
      <c r="X4089">
        <v>0.99851789999999996</v>
      </c>
      <c r="Y4089">
        <v>0.1422784</v>
      </c>
      <c r="Z4089">
        <v>-6.3735819999999896E-3</v>
      </c>
      <c r="AA4089">
        <v>0.98980619999999997</v>
      </c>
      <c r="AB4089">
        <v>40</v>
      </c>
      <c r="AC4089">
        <v>0.588799999999992</v>
      </c>
      <c r="AD4089">
        <v>-7.2840000000000002E-2</v>
      </c>
      <c r="AE4089">
        <v>-0.12415</v>
      </c>
      <c r="AF4089">
        <v>0.12654885414682299</v>
      </c>
      <c r="AG4089">
        <v>-7.2840000000000002E-2</v>
      </c>
      <c r="AH4089">
        <v>0.57939750503187404</v>
      </c>
      <c r="AI4089">
        <v>97.002075867382601</v>
      </c>
      <c r="AJ4089">
        <v>77.679255341529199</v>
      </c>
      <c r="AK4089">
        <v>0.59751296799570397</v>
      </c>
    </row>
    <row r="4090" spans="1:37" x14ac:dyDescent="0.2">
      <c r="A4090" t="str">
        <f>"20200111154146564"</f>
        <v>20200111154146564</v>
      </c>
      <c r="B4090" t="str">
        <f>"1578728506560622"</f>
        <v>1578728506560622</v>
      </c>
      <c r="C4090" t="s">
        <v>37</v>
      </c>
      <c r="D4090">
        <v>5.5425820000000003</v>
      </c>
      <c r="E4090">
        <v>0.56282529999999997</v>
      </c>
      <c r="F4090" t="s">
        <v>38</v>
      </c>
      <c r="G4090">
        <v>-352.61500000000001</v>
      </c>
      <c r="H4090">
        <v>1.032823</v>
      </c>
      <c r="I4090">
        <v>17.485240000000001</v>
      </c>
      <c r="J4090">
        <v>-353.34120000000001</v>
      </c>
      <c r="K4090">
        <v>1.110268</v>
      </c>
      <c r="L4090">
        <v>17.616</v>
      </c>
      <c r="M4090">
        <v>0.99990809999999997</v>
      </c>
      <c r="N4090">
        <v>0</v>
      </c>
      <c r="O4090">
        <v>7.3687669999999896E-3</v>
      </c>
      <c r="P4090">
        <v>0.99878880000000003</v>
      </c>
      <c r="Q4090">
        <v>3.6429129999999997E-2</v>
      </c>
      <c r="R4090">
        <v>3.3076960000000002E-2</v>
      </c>
      <c r="S4090">
        <v>3.026367</v>
      </c>
      <c r="T4090">
        <v>-0.24793399999999999</v>
      </c>
      <c r="U4090">
        <v>-0.41220089999999998</v>
      </c>
      <c r="V4090">
        <v>-2.5748679999999999E-2</v>
      </c>
      <c r="W4090">
        <v>4.7780740000000002E-2</v>
      </c>
      <c r="X4090">
        <v>0.99852589999999997</v>
      </c>
      <c r="Y4090">
        <v>0.14176459999999999</v>
      </c>
      <c r="Z4090">
        <v>-6.3708159999999996E-3</v>
      </c>
      <c r="AA4090">
        <v>0.98987990000000003</v>
      </c>
      <c r="AB4090">
        <v>40</v>
      </c>
      <c r="AC4090">
        <v>0.72620000000000495</v>
      </c>
      <c r="AD4090">
        <v>-7.7444999999999903E-2</v>
      </c>
      <c r="AE4090">
        <v>-0.13075999999999799</v>
      </c>
      <c r="AF4090">
        <v>0.13462498895550801</v>
      </c>
      <c r="AG4090">
        <v>-7.7444999999999903E-2</v>
      </c>
      <c r="AH4090">
        <v>0.71731486252950705</v>
      </c>
      <c r="AI4090">
        <v>96.057131564815407</v>
      </c>
      <c r="AJ4090">
        <v>79.3704333363426</v>
      </c>
      <c r="AK4090">
        <v>0.73393611961940997</v>
      </c>
    </row>
    <row r="4091" spans="1:37" x14ac:dyDescent="0.2">
      <c r="A4091" t="str">
        <f>"20200111154146584"</f>
        <v>20200111154146584</v>
      </c>
      <c r="B4091" t="str">
        <f>"1578728506580142"</f>
        <v>1578728506580142</v>
      </c>
      <c r="C4091" t="s">
        <v>37</v>
      </c>
      <c r="D4091">
        <v>5.5333889999999997</v>
      </c>
      <c r="E4091">
        <v>0.56247219999999998</v>
      </c>
      <c r="F4091" t="s">
        <v>38</v>
      </c>
      <c r="G4091">
        <v>-352.26069999999999</v>
      </c>
      <c r="H4091">
        <v>1.0220199999999999</v>
      </c>
      <c r="I4091">
        <v>17.470199999999998</v>
      </c>
      <c r="J4091">
        <v>-352.959</v>
      </c>
      <c r="K4091">
        <v>1.1102969999999901</v>
      </c>
      <c r="L4091">
        <v>17.61908</v>
      </c>
      <c r="M4091">
        <v>0.99990400000000002</v>
      </c>
      <c r="N4091">
        <v>0</v>
      </c>
      <c r="O4091">
        <v>7.6095800000000003E-3</v>
      </c>
      <c r="P4091">
        <v>0.99878690000000003</v>
      </c>
      <c r="Q4091">
        <v>3.6271780000000003E-2</v>
      </c>
      <c r="R4091">
        <v>3.33069E-2</v>
      </c>
      <c r="S4091">
        <v>3.0262150000000001</v>
      </c>
      <c r="T4091">
        <v>-0.2471902</v>
      </c>
      <c r="U4091">
        <v>-0.40850829999999999</v>
      </c>
      <c r="V4091">
        <v>-2.573814E-2</v>
      </c>
      <c r="W4091">
        <v>4.7835509999999998E-2</v>
      </c>
      <c r="X4091">
        <v>0.99852359999999896</v>
      </c>
      <c r="Y4091">
        <v>0.1408287</v>
      </c>
      <c r="Z4091">
        <v>-6.3341630000000003E-3</v>
      </c>
      <c r="AA4091">
        <v>0.990013699999999</v>
      </c>
      <c r="AB4091">
        <v>40</v>
      </c>
      <c r="AC4091">
        <v>0.69830000000001702</v>
      </c>
      <c r="AD4091">
        <v>-8.8276999999999703E-2</v>
      </c>
      <c r="AE4091">
        <v>-0.14888000000000101</v>
      </c>
      <c r="AF4091">
        <v>0.151868294396867</v>
      </c>
      <c r="AG4091">
        <v>-8.8276999999999703E-2</v>
      </c>
      <c r="AH4091">
        <v>0.68665037237242599</v>
      </c>
      <c r="AI4091">
        <v>97.154811959119002</v>
      </c>
      <c r="AJ4091">
        <v>77.528510190098004</v>
      </c>
      <c r="AK4091">
        <v>0.70876338890436896</v>
      </c>
    </row>
    <row r="4092" spans="1:37" x14ac:dyDescent="0.2">
      <c r="A4092" t="str">
        <f>"20200111154146595"</f>
        <v>20200111154146595</v>
      </c>
      <c r="B4092" t="str">
        <f>"1578728506589903"</f>
        <v>1578728506589903</v>
      </c>
      <c r="C4092" t="s">
        <v>37</v>
      </c>
      <c r="D4092">
        <v>5.5215449999999997</v>
      </c>
      <c r="E4092">
        <v>0.5623456</v>
      </c>
      <c r="F4092" t="s">
        <v>38</v>
      </c>
      <c r="G4092">
        <v>-351.90129999999999</v>
      </c>
      <c r="H4092">
        <v>1.0238529999999999</v>
      </c>
      <c r="I4092">
        <v>17.477429999999998</v>
      </c>
      <c r="J4092">
        <v>-352.74720000000002</v>
      </c>
      <c r="K4092">
        <v>1.1103080000000001</v>
      </c>
      <c r="L4092">
        <v>17.62079</v>
      </c>
      <c r="M4092">
        <v>0.999901499999999</v>
      </c>
      <c r="N4092">
        <v>0</v>
      </c>
      <c r="O4092">
        <v>7.7450649999999998E-3</v>
      </c>
      <c r="P4092">
        <v>0.99879989999999996</v>
      </c>
      <c r="Q4092">
        <v>3.6167249999999998E-2</v>
      </c>
      <c r="R4092">
        <v>3.3026609999999998E-2</v>
      </c>
      <c r="S4092">
        <v>3.0261230000000001</v>
      </c>
      <c r="T4092">
        <v>-0.2473699</v>
      </c>
      <c r="U4092">
        <v>-0.40475459999999902</v>
      </c>
      <c r="V4092">
        <v>-2.53215E-2</v>
      </c>
      <c r="W4092">
        <v>4.7851230000000002E-2</v>
      </c>
      <c r="X4092">
        <v>0.99853349999999996</v>
      </c>
      <c r="Y4092">
        <v>0.13976269999999999</v>
      </c>
      <c r="Z4092">
        <v>-6.3071669999999998E-3</v>
      </c>
      <c r="AA4092">
        <v>0.99016489999999902</v>
      </c>
      <c r="AB4092">
        <v>40</v>
      </c>
      <c r="AC4092">
        <v>0.84590000000002796</v>
      </c>
      <c r="AD4092">
        <v>-8.6454999999999907E-2</v>
      </c>
      <c r="AE4092">
        <v>-0.14336000000000099</v>
      </c>
      <c r="AF4092">
        <v>0.14840081306619499</v>
      </c>
      <c r="AG4092">
        <v>-8.6454999999999907E-2</v>
      </c>
      <c r="AH4092">
        <v>0.83627256982505604</v>
      </c>
      <c r="AI4092">
        <v>95.812179835173495</v>
      </c>
      <c r="AJ4092">
        <v>79.937325961496001</v>
      </c>
      <c r="AK4092">
        <v>0.85372658350640096</v>
      </c>
    </row>
    <row r="4093" spans="1:37" x14ac:dyDescent="0.2">
      <c r="A4093" t="str">
        <f>"20200111154146608"</f>
        <v>20200111154146608</v>
      </c>
      <c r="B4093" t="str">
        <f>"1578728506600639"</f>
        <v>1578728506600639</v>
      </c>
      <c r="C4093" t="s">
        <v>37</v>
      </c>
      <c r="D4093">
        <v>5.5229549999999996</v>
      </c>
      <c r="E4093">
        <v>0.56227079999999996</v>
      </c>
      <c r="F4093" t="s">
        <v>38</v>
      </c>
      <c r="G4093">
        <v>-351.89280000000002</v>
      </c>
      <c r="H4093">
        <v>1.0404100000000001</v>
      </c>
      <c r="I4093">
        <v>17.506399999999999</v>
      </c>
      <c r="J4093">
        <v>-352.54</v>
      </c>
      <c r="K4093">
        <v>1.1103229999999999</v>
      </c>
      <c r="L4093">
        <v>17.622529999999902</v>
      </c>
      <c r="M4093">
        <v>0.99989899999999998</v>
      </c>
      <c r="N4093">
        <v>0</v>
      </c>
      <c r="O4093">
        <v>7.8786969999999901E-3</v>
      </c>
      <c r="P4093">
        <v>0.99882399999999905</v>
      </c>
      <c r="Q4093">
        <v>3.5589419999999997E-2</v>
      </c>
      <c r="R4093">
        <v>3.2927110000000002E-2</v>
      </c>
      <c r="S4093">
        <v>3.0259399999999999</v>
      </c>
      <c r="T4093">
        <v>-0.2475936</v>
      </c>
      <c r="U4093">
        <v>-0.40448000000000001</v>
      </c>
      <c r="V4093">
        <v>-2.5088269999999999E-2</v>
      </c>
      <c r="W4093">
        <v>4.739256E-2</v>
      </c>
      <c r="X4093">
        <v>0.99856119999999904</v>
      </c>
      <c r="Y4093">
        <v>0.13981299999999999</v>
      </c>
      <c r="Z4093">
        <v>-6.326188E-3</v>
      </c>
      <c r="AA4093">
        <v>0.99015769999999903</v>
      </c>
      <c r="AB4093">
        <v>40</v>
      </c>
      <c r="AC4093">
        <v>0.647199999999997</v>
      </c>
      <c r="AD4093">
        <v>-6.9912999999999795E-2</v>
      </c>
      <c r="AE4093">
        <v>-0.116129999999998</v>
      </c>
      <c r="AF4093">
        <v>0.11987068831280399</v>
      </c>
      <c r="AG4093">
        <v>-6.9912999999999795E-2</v>
      </c>
      <c r="AH4093">
        <v>0.63904044378339997</v>
      </c>
      <c r="AI4093">
        <v>96.137303029088002</v>
      </c>
      <c r="AJ4093">
        <v>79.375961673435199</v>
      </c>
      <c r="AK4093">
        <v>0.653933863839816</v>
      </c>
    </row>
    <row r="4094" spans="1:37" x14ac:dyDescent="0.2">
      <c r="A4094" t="str">
        <f>"20200111154146620"</f>
        <v>20200111154146620</v>
      </c>
      <c r="B4094" t="str">
        <f>"1578728506610398"</f>
        <v>1578728506610398</v>
      </c>
      <c r="C4094" t="s">
        <v>37</v>
      </c>
      <c r="D4094">
        <v>5.3669409999999997</v>
      </c>
      <c r="E4094">
        <v>0.56228489999999998</v>
      </c>
      <c r="F4094" t="s">
        <v>38</v>
      </c>
      <c r="G4094">
        <v>-351.541</v>
      </c>
      <c r="H4094">
        <v>1.028119</v>
      </c>
      <c r="I4094">
        <v>17.489059999999998</v>
      </c>
      <c r="J4094">
        <v>-352.31479999999999</v>
      </c>
      <c r="K4094">
        <v>1.1103379999999901</v>
      </c>
      <c r="L4094">
        <v>17.62445</v>
      </c>
      <c r="M4094">
        <v>0.99989629999999996</v>
      </c>
      <c r="N4094">
        <v>0</v>
      </c>
      <c r="O4094">
        <v>8.0256449999999997E-3</v>
      </c>
      <c r="P4094">
        <v>0.99884499999999998</v>
      </c>
      <c r="Q4094">
        <v>3.5080050000000002E-2</v>
      </c>
      <c r="R4094">
        <v>3.2836039999999997E-2</v>
      </c>
      <c r="S4094">
        <v>3.0256959999999999</v>
      </c>
      <c r="T4094">
        <v>-0.24901979999999899</v>
      </c>
      <c r="U4094">
        <v>-0.40405269999999999</v>
      </c>
      <c r="V4094">
        <v>-2.484921E-2</v>
      </c>
      <c r="W4094">
        <v>4.7014849999999997E-2</v>
      </c>
      <c r="X4094">
        <v>0.99858499999999994</v>
      </c>
      <c r="Y4094">
        <v>0.13982549999999999</v>
      </c>
      <c r="Z4094">
        <v>-6.3756059999999998E-3</v>
      </c>
      <c r="AA4094">
        <v>0.99015560000000002</v>
      </c>
      <c r="AB4094">
        <v>40</v>
      </c>
      <c r="AC4094">
        <v>0.77379999999999405</v>
      </c>
      <c r="AD4094">
        <v>-8.2218999999999806E-2</v>
      </c>
      <c r="AE4094">
        <v>-0.13538999999999701</v>
      </c>
      <c r="AF4094">
        <v>0.14006202312086299</v>
      </c>
      <c r="AG4094">
        <v>-8.2218999999999806E-2</v>
      </c>
      <c r="AH4094">
        <v>0.76431573856086599</v>
      </c>
      <c r="AI4094">
        <v>96.039997949325794</v>
      </c>
      <c r="AJ4094">
        <v>79.615677213735097</v>
      </c>
      <c r="AK4094">
        <v>0.78138075385406802</v>
      </c>
    </row>
    <row r="4095" spans="1:37" x14ac:dyDescent="0.2">
      <c r="A4095" t="str">
        <f>"20200111154146632"</f>
        <v>20200111154146632</v>
      </c>
      <c r="B4095" t="str">
        <f>"1578728506620158"</f>
        <v>1578728506620158</v>
      </c>
      <c r="C4095" t="s">
        <v>37</v>
      </c>
      <c r="D4095">
        <v>5.5033349999999999</v>
      </c>
      <c r="E4095">
        <v>0.56219319999999995</v>
      </c>
      <c r="F4095" t="s">
        <v>38</v>
      </c>
      <c r="G4095">
        <v>-351.53129999999999</v>
      </c>
      <c r="H4095">
        <v>1.0452999999999999</v>
      </c>
      <c r="I4095">
        <v>17.519670000000001</v>
      </c>
      <c r="J4095">
        <v>-352.0915</v>
      </c>
      <c r="K4095">
        <v>1.110355</v>
      </c>
      <c r="L4095">
        <v>17.626339999999999</v>
      </c>
      <c r="M4095">
        <v>0.99989349999999999</v>
      </c>
      <c r="N4095">
        <v>0</v>
      </c>
      <c r="O4095">
        <v>8.1729279999999994E-3</v>
      </c>
      <c r="P4095">
        <v>0.99886140000000001</v>
      </c>
      <c r="Q4095">
        <v>3.4843560000000003E-2</v>
      </c>
      <c r="R4095">
        <v>3.2589229999999997E-2</v>
      </c>
      <c r="S4095">
        <v>3.025604</v>
      </c>
      <c r="T4095">
        <v>-0.25116569999999999</v>
      </c>
      <c r="U4095">
        <v>-0.40435789999999999</v>
      </c>
      <c r="V4095">
        <v>-2.445458E-2</v>
      </c>
      <c r="W4095">
        <v>4.6912919999999997E-2</v>
      </c>
      <c r="X4095">
        <v>0.99859959999999903</v>
      </c>
      <c r="Y4095">
        <v>0.14006350000000001</v>
      </c>
      <c r="Z4095">
        <v>-6.4524909999999899E-3</v>
      </c>
      <c r="AA4095">
        <v>0.99012149999999999</v>
      </c>
      <c r="AB4095">
        <v>40</v>
      </c>
      <c r="AC4095">
        <v>0.56020000000000802</v>
      </c>
      <c r="AD4095">
        <v>-6.5055000000000002E-2</v>
      </c>
      <c r="AE4095">
        <v>-0.106669999999997</v>
      </c>
      <c r="AF4095">
        <v>0.10981610996754899</v>
      </c>
      <c r="AG4095">
        <v>-6.5055000000000002E-2</v>
      </c>
      <c r="AH4095">
        <v>0.55212412929468802</v>
      </c>
      <c r="AI4095">
        <v>96.592035677321704</v>
      </c>
      <c r="AJ4095">
        <v>78.750819323333303</v>
      </c>
      <c r="AK4095">
        <v>0.56668579052489298</v>
      </c>
    </row>
    <row r="4096" spans="1:37" x14ac:dyDescent="0.2">
      <c r="A4096" t="str">
        <f>"20200111154146651"</f>
        <v>20200111154146651</v>
      </c>
      <c r="B4096" t="str">
        <f>"1578728506640654"</f>
        <v>1578728506640654</v>
      </c>
      <c r="C4096" t="s">
        <v>37</v>
      </c>
      <c r="D4096">
        <v>5.5188360000000003</v>
      </c>
      <c r="E4096">
        <v>0.56198859999999995</v>
      </c>
      <c r="F4096" t="s">
        <v>38</v>
      </c>
      <c r="G4096">
        <v>-351.18</v>
      </c>
      <c r="H4096">
        <v>1.0346949999999999</v>
      </c>
      <c r="I4096">
        <v>17.504370000000002</v>
      </c>
      <c r="J4096">
        <v>-351.76</v>
      </c>
      <c r="K4096">
        <v>1.1103889999999901</v>
      </c>
      <c r="L4096">
        <v>17.629270000000002</v>
      </c>
      <c r="M4096">
        <v>0.99988929999999998</v>
      </c>
      <c r="N4096">
        <v>0</v>
      </c>
      <c r="O4096">
        <v>8.3919319999999995E-3</v>
      </c>
      <c r="P4096">
        <v>0.99886839999999999</v>
      </c>
      <c r="Q4096">
        <v>3.4739840000000001E-2</v>
      </c>
      <c r="R4096">
        <v>3.2482770000000001E-2</v>
      </c>
      <c r="S4096">
        <v>3.02536</v>
      </c>
      <c r="T4096">
        <v>-0.25110909999999997</v>
      </c>
      <c r="U4096">
        <v>-0.40429690000000001</v>
      </c>
      <c r="V4096">
        <v>-2.4128299999999998E-2</v>
      </c>
      <c r="W4096">
        <v>4.7007699999999999E-2</v>
      </c>
      <c r="X4096">
        <v>0.99860300000000002</v>
      </c>
      <c r="Y4096">
        <v>0.14027000000000001</v>
      </c>
      <c r="Z4096">
        <v>-6.4781509999999997E-3</v>
      </c>
      <c r="AA4096">
        <v>0.99009210000000003</v>
      </c>
      <c r="AB4096">
        <v>40</v>
      </c>
      <c r="AC4096">
        <v>0.57999999999998397</v>
      </c>
      <c r="AD4096">
        <v>-7.5693999999999706E-2</v>
      </c>
      <c r="AE4096">
        <v>-0.1249</v>
      </c>
      <c r="AF4096">
        <v>0.12768493347692</v>
      </c>
      <c r="AG4096">
        <v>-7.5693999999999706E-2</v>
      </c>
      <c r="AH4096">
        <v>0.56965887905993495</v>
      </c>
      <c r="AI4096">
        <v>97.387692095981095</v>
      </c>
      <c r="AJ4096">
        <v>77.366372698858896</v>
      </c>
      <c r="AK4096">
        <v>0.58868010189306297</v>
      </c>
    </row>
    <row r="4097" spans="1:37" x14ac:dyDescent="0.2">
      <c r="A4097" t="str">
        <f>"20200111154146663"</f>
        <v>20200111154146663</v>
      </c>
      <c r="B4097" t="str">
        <f>"1578728506650415"</f>
        <v>1578728506650415</v>
      </c>
      <c r="C4097" t="s">
        <v>37</v>
      </c>
      <c r="D4097">
        <v>5.5276009999999998</v>
      </c>
      <c r="E4097">
        <v>0.56191530000000001</v>
      </c>
      <c r="F4097" t="s">
        <v>38</v>
      </c>
      <c r="G4097">
        <v>-350.82310000000001</v>
      </c>
      <c r="H4097">
        <v>1.0325879999999901</v>
      </c>
      <c r="I4097">
        <v>17.504570000000001</v>
      </c>
      <c r="J4097">
        <v>-351.5453</v>
      </c>
      <c r="K4097">
        <v>1.110411</v>
      </c>
      <c r="L4097">
        <v>17.6312</v>
      </c>
      <c r="M4097">
        <v>0.99988650000000001</v>
      </c>
      <c r="N4097">
        <v>0</v>
      </c>
      <c r="O4097">
        <v>8.5338380000000002E-3</v>
      </c>
      <c r="P4097">
        <v>0.99887979999999998</v>
      </c>
      <c r="Q4097">
        <v>3.4605199999999899E-2</v>
      </c>
      <c r="R4097">
        <v>3.227675E-2</v>
      </c>
      <c r="S4097">
        <v>3.0252379999999999</v>
      </c>
      <c r="T4097">
        <v>-0.25119160000000001</v>
      </c>
      <c r="U4097">
        <v>-0.4027405</v>
      </c>
      <c r="V4097">
        <v>-2.3780220000000001E-2</v>
      </c>
      <c r="W4097">
        <v>4.699913E-2</v>
      </c>
      <c r="X4097">
        <v>0.99861180000000005</v>
      </c>
      <c r="Y4097">
        <v>0.1399156</v>
      </c>
      <c r="Z4097">
        <v>-6.4778409999999998E-3</v>
      </c>
      <c r="AA4097">
        <v>0.99014219999999897</v>
      </c>
      <c r="AB4097">
        <v>40</v>
      </c>
      <c r="AC4097">
        <v>0.72219999999998596</v>
      </c>
      <c r="AD4097">
        <v>-7.7823000000000198E-2</v>
      </c>
      <c r="AE4097">
        <v>-0.12662999999999799</v>
      </c>
      <c r="AF4097">
        <v>0.13130973219901501</v>
      </c>
      <c r="AG4097">
        <v>-7.7823000000000198E-2</v>
      </c>
      <c r="AH4097">
        <v>0.71306000191522101</v>
      </c>
      <c r="AI4097">
        <v>96.126372481199098</v>
      </c>
      <c r="AJ4097">
        <v>79.565899533790798</v>
      </c>
      <c r="AK4097">
        <v>0.72921411905592703</v>
      </c>
    </row>
    <row r="4098" spans="1:37" x14ac:dyDescent="0.2">
      <c r="A4098" t="str">
        <f>"20200111154146675"</f>
        <v>20200111154146675</v>
      </c>
      <c r="B4098" t="str">
        <f>"1578728506669935"</f>
        <v>1578728506669935</v>
      </c>
      <c r="C4098" t="s">
        <v>37</v>
      </c>
      <c r="D4098">
        <v>5.446866</v>
      </c>
      <c r="E4098">
        <v>0.56177129999999997</v>
      </c>
      <c r="F4098" t="s">
        <v>38</v>
      </c>
      <c r="G4098">
        <v>-350.47050000000002</v>
      </c>
      <c r="H4098">
        <v>1.021155</v>
      </c>
      <c r="I4098">
        <v>17.487829999999999</v>
      </c>
      <c r="J4098">
        <v>-351.32319999999999</v>
      </c>
      <c r="K4098">
        <v>1.1104350000000001</v>
      </c>
      <c r="L4098">
        <v>17.633179999999999</v>
      </c>
      <c r="M4098">
        <v>0.99988369999999904</v>
      </c>
      <c r="N4098">
        <v>0</v>
      </c>
      <c r="O4098">
        <v>8.6791309999999997E-3</v>
      </c>
      <c r="P4098">
        <v>0.99888739999999998</v>
      </c>
      <c r="Q4098">
        <v>3.4654869999999997E-2</v>
      </c>
      <c r="R4098">
        <v>3.1989129999999998E-2</v>
      </c>
      <c r="S4098">
        <v>3.025055</v>
      </c>
      <c r="T4098">
        <v>-0.25125370000000002</v>
      </c>
      <c r="U4098">
        <v>-0.40280149999999998</v>
      </c>
      <c r="V4098">
        <v>-2.3347670000000001E-2</v>
      </c>
      <c r="W4098">
        <v>4.7169639999999999E-2</v>
      </c>
      <c r="X4098">
        <v>0.998613999999999</v>
      </c>
      <c r="Y4098">
        <v>0.1400855</v>
      </c>
      <c r="Z4098">
        <v>-6.4988310000000001E-3</v>
      </c>
      <c r="AA4098">
        <v>0.9901181</v>
      </c>
      <c r="AB4098">
        <v>40</v>
      </c>
      <c r="AC4098">
        <v>0.85269999999997004</v>
      </c>
      <c r="AD4098">
        <v>-8.9279999999999998E-2</v>
      </c>
      <c r="AE4098">
        <v>-0.14535000000000001</v>
      </c>
      <c r="AF4098">
        <v>0.15113573463850399</v>
      </c>
      <c r="AG4098">
        <v>-8.9279999999999998E-2</v>
      </c>
      <c r="AH4098">
        <v>0.84243174202687199</v>
      </c>
      <c r="AI4098">
        <v>95.955185456343102</v>
      </c>
      <c r="AJ4098">
        <v>79.829099040809893</v>
      </c>
      <c r="AK4098">
        <v>0.86052551888898199</v>
      </c>
    </row>
    <row r="4099" spans="1:37" x14ac:dyDescent="0.2">
      <c r="A4099" t="str">
        <f>"20200111154146697"</f>
        <v>20200111154146697</v>
      </c>
      <c r="B4099" t="str">
        <f>"1578728506690430"</f>
        <v>1578728506690430</v>
      </c>
      <c r="C4099" t="s">
        <v>37</v>
      </c>
      <c r="D4099">
        <v>5.5545099999999996</v>
      </c>
      <c r="E4099">
        <v>0.56169259999999999</v>
      </c>
      <c r="F4099" t="s">
        <v>38</v>
      </c>
      <c r="G4099">
        <v>-350.46179999999998</v>
      </c>
      <c r="H4099">
        <v>1.038797</v>
      </c>
      <c r="I4099">
        <v>17.5183</v>
      </c>
      <c r="J4099">
        <v>-350.94720000000001</v>
      </c>
      <c r="K4099">
        <v>1.1104780000000001</v>
      </c>
      <c r="L4099">
        <v>17.636659999999999</v>
      </c>
      <c r="M4099">
        <v>0.99987909999999902</v>
      </c>
      <c r="N4099">
        <v>0</v>
      </c>
      <c r="O4099">
        <v>8.9228129999999999E-3</v>
      </c>
      <c r="P4099">
        <v>0.998911199999999</v>
      </c>
      <c r="Q4099">
        <v>3.4663190000000003E-2</v>
      </c>
      <c r="R4099">
        <v>3.122786E-2</v>
      </c>
      <c r="S4099">
        <v>3.0249630000000001</v>
      </c>
      <c r="T4099">
        <v>-0.25163649999999999</v>
      </c>
      <c r="U4099">
        <v>-0.40252690000000002</v>
      </c>
      <c r="V4099">
        <v>-2.2342710000000002E-2</v>
      </c>
      <c r="W4099">
        <v>4.737065E-2</v>
      </c>
      <c r="X4099">
        <v>0.9986275</v>
      </c>
      <c r="Y4099">
        <v>0.14023949999999999</v>
      </c>
      <c r="Z4099">
        <v>-6.5354569999999997E-3</v>
      </c>
      <c r="AA4099">
        <v>0.99009599999999898</v>
      </c>
      <c r="AB4099">
        <v>40</v>
      </c>
      <c r="AC4099">
        <v>0.48540000000002598</v>
      </c>
      <c r="AD4099">
        <v>-7.1681000000000106E-2</v>
      </c>
      <c r="AE4099">
        <v>-0.11835999999999899</v>
      </c>
      <c r="AF4099">
        <v>0.12021234932613099</v>
      </c>
      <c r="AG4099">
        <v>-7.1681000000000106E-2</v>
      </c>
      <c r="AH4099">
        <v>0.47455632774481199</v>
      </c>
      <c r="AI4099">
        <v>98.330257387220399</v>
      </c>
      <c r="AJ4099">
        <v>75.785120766034694</v>
      </c>
      <c r="AK4099">
        <v>0.49476548272302601</v>
      </c>
    </row>
    <row r="4100" spans="1:37" x14ac:dyDescent="0.2">
      <c r="A4100" t="str">
        <f>"20200111154146708"</f>
        <v>20200111154146708</v>
      </c>
      <c r="B4100" t="str">
        <f>"1578728506700190"</f>
        <v>1578728506700190</v>
      </c>
      <c r="C4100" t="s">
        <v>37</v>
      </c>
      <c r="D4100">
        <v>5.5306660000000001</v>
      </c>
      <c r="E4100">
        <v>0.56166959999999999</v>
      </c>
      <c r="F4100" t="s">
        <v>38</v>
      </c>
      <c r="G4100">
        <v>-350.10329999999999</v>
      </c>
      <c r="H4100">
        <v>1.040394</v>
      </c>
      <c r="I4100">
        <v>17.523949999999999</v>
      </c>
      <c r="J4100">
        <v>-350.7251</v>
      </c>
      <c r="K4100">
        <v>1.110495</v>
      </c>
      <c r="L4100">
        <v>17.638760000000001</v>
      </c>
      <c r="M4100">
        <v>0.9998766</v>
      </c>
      <c r="N4100">
        <v>0</v>
      </c>
      <c r="O4100">
        <v>9.064987E-3</v>
      </c>
      <c r="P4100">
        <v>0.99893339999999997</v>
      </c>
      <c r="Q4100">
        <v>3.4663010000000001E-2</v>
      </c>
      <c r="R4100">
        <v>3.0509209999999998E-2</v>
      </c>
      <c r="S4100">
        <v>3.0246580000000001</v>
      </c>
      <c r="T4100">
        <v>-0.25122109999999997</v>
      </c>
      <c r="U4100">
        <v>-0.40396120000000002</v>
      </c>
      <c r="V4100">
        <v>-2.148166E-2</v>
      </c>
      <c r="W4100">
        <v>4.7475440000000001E-2</v>
      </c>
      <c r="X4100">
        <v>0.99864140000000001</v>
      </c>
      <c r="Y4100">
        <v>0.1408537</v>
      </c>
      <c r="Z4100">
        <v>-6.5622429999999997E-3</v>
      </c>
      <c r="AA4100">
        <v>0.99000869999999996</v>
      </c>
      <c r="AB4100">
        <v>40</v>
      </c>
      <c r="AC4100">
        <v>0.62180000000000701</v>
      </c>
      <c r="AD4100">
        <v>-7.01009999999999E-2</v>
      </c>
      <c r="AE4100">
        <v>-0.11481000000000199</v>
      </c>
      <c r="AF4100">
        <v>0.118979970618893</v>
      </c>
      <c r="AG4100">
        <v>-7.01009999999999E-2</v>
      </c>
      <c r="AH4100">
        <v>0.61319680150734401</v>
      </c>
      <c r="AI4100">
        <v>96.403366945213904</v>
      </c>
      <c r="AJ4100">
        <v>79.019216111902793</v>
      </c>
      <c r="AK4100">
        <v>0.62855445347902095</v>
      </c>
    </row>
    <row r="4101" spans="1:37" x14ac:dyDescent="0.2">
      <c r="A4101" t="str">
        <f>"20200111154146720"</f>
        <v>20200111154146720</v>
      </c>
      <c r="B4101" t="str">
        <f>"1578728506709951"</f>
        <v>1578728506709951</v>
      </c>
      <c r="C4101" t="s">
        <v>37</v>
      </c>
      <c r="D4101">
        <v>5.5580879999999997</v>
      </c>
      <c r="E4101">
        <v>0.56161930000000004</v>
      </c>
      <c r="F4101" t="s">
        <v>38</v>
      </c>
      <c r="G4101">
        <v>-349.75240000000002</v>
      </c>
      <c r="H4101">
        <v>1.0297449999999999</v>
      </c>
      <c r="I4101">
        <v>17.50816</v>
      </c>
      <c r="J4101">
        <v>-350.51479999999998</v>
      </c>
      <c r="K4101">
        <v>1.1105179999999999</v>
      </c>
      <c r="L4101">
        <v>17.640809999999998</v>
      </c>
      <c r="M4101">
        <v>0.99987409999999999</v>
      </c>
      <c r="N4101">
        <v>0</v>
      </c>
      <c r="O4101">
        <v>9.199179E-3</v>
      </c>
      <c r="P4101">
        <v>0.99896569999999996</v>
      </c>
      <c r="Q4101">
        <v>3.4547599999999998E-2</v>
      </c>
      <c r="R4101">
        <v>2.9564799999999902E-2</v>
      </c>
      <c r="S4101">
        <v>3.0243229999999999</v>
      </c>
      <c r="T4101">
        <v>-0.25109199999999998</v>
      </c>
      <c r="U4101">
        <v>-0.40579219999999999</v>
      </c>
      <c r="V4101">
        <v>-2.04030999999999E-2</v>
      </c>
      <c r="W4101">
        <v>4.745543E-2</v>
      </c>
      <c r="X4101">
        <v>0.99866499999999903</v>
      </c>
      <c r="Y4101">
        <v>0.1415874</v>
      </c>
      <c r="Z4101">
        <v>-6.6006850000000002E-3</v>
      </c>
      <c r="AA4101">
        <v>0.98990370000000005</v>
      </c>
      <c r="AB4101">
        <v>40</v>
      </c>
      <c r="AC4101">
        <v>0.762399999999956</v>
      </c>
      <c r="AD4101">
        <v>-8.07729999999999E-2</v>
      </c>
      <c r="AE4101">
        <v>-0.13265000000000099</v>
      </c>
      <c r="AF4101">
        <v>0.138153290451203</v>
      </c>
      <c r="AG4101">
        <v>-8.07729999999999E-2</v>
      </c>
      <c r="AH4101">
        <v>0.75294427391371199</v>
      </c>
      <c r="AI4101">
        <v>96.023262810454398</v>
      </c>
      <c r="AJ4101">
        <v>79.602785898889493</v>
      </c>
      <c r="AK4101">
        <v>0.76976339794182302</v>
      </c>
    </row>
    <row r="4102" spans="1:37" x14ac:dyDescent="0.2">
      <c r="A4102" t="str">
        <f>"20200111154146734"</f>
        <v>20200111154146734</v>
      </c>
      <c r="B4102" t="str">
        <f>"1578728506730446"</f>
        <v>1578728506730446</v>
      </c>
      <c r="C4102" t="s">
        <v>37</v>
      </c>
      <c r="D4102">
        <v>5.5616500000000002</v>
      </c>
      <c r="E4102">
        <v>0.56150859999999903</v>
      </c>
      <c r="F4102" t="s">
        <v>38</v>
      </c>
      <c r="G4102">
        <v>-349.74220000000003</v>
      </c>
      <c r="H4102">
        <v>1.0463229999999999</v>
      </c>
      <c r="I4102">
        <v>17.53642</v>
      </c>
      <c r="J4102">
        <v>-350.2842</v>
      </c>
      <c r="K4102">
        <v>1.1105399999999901</v>
      </c>
      <c r="L4102">
        <v>17.643039999999999</v>
      </c>
      <c r="M4102">
        <v>0.99987139999999997</v>
      </c>
      <c r="N4102">
        <v>0</v>
      </c>
      <c r="O4102">
        <v>9.3459370000000003E-3</v>
      </c>
      <c r="P4102">
        <v>0.99899749999999998</v>
      </c>
      <c r="Q4102">
        <v>3.4472419999999997E-2</v>
      </c>
      <c r="R4102">
        <v>2.8560120000000001E-2</v>
      </c>
      <c r="S4102">
        <v>3.023895</v>
      </c>
      <c r="T4102">
        <v>-0.2512934</v>
      </c>
      <c r="U4102">
        <v>-0.40820309999999999</v>
      </c>
      <c r="V4102">
        <v>-1.9251609999999999E-2</v>
      </c>
      <c r="W4102">
        <v>4.7476379999999999E-2</v>
      </c>
      <c r="X4102">
        <v>0.99868690000000004</v>
      </c>
      <c r="Y4102">
        <v>0.1425216</v>
      </c>
      <c r="Z4102">
        <v>-6.6572439999999997E-3</v>
      </c>
      <c r="AA4102">
        <v>0.98976929999999996</v>
      </c>
      <c r="AB4102">
        <v>40</v>
      </c>
      <c r="AC4102">
        <v>0.54199999999997295</v>
      </c>
      <c r="AD4102">
        <v>-6.4216999999999899E-2</v>
      </c>
      <c r="AE4102">
        <v>-0.10661999999999899</v>
      </c>
      <c r="AF4102">
        <v>0.110192037444614</v>
      </c>
      <c r="AG4102">
        <v>-6.4216999999999899E-2</v>
      </c>
      <c r="AH4102">
        <v>0.53376598743058201</v>
      </c>
      <c r="AI4102">
        <v>96.719876522136204</v>
      </c>
      <c r="AJ4102">
        <v>78.335575003539702</v>
      </c>
      <c r="AK4102">
        <v>0.54879161577318203</v>
      </c>
    </row>
    <row r="4103" spans="1:37" x14ac:dyDescent="0.2">
      <c r="A4103" t="str">
        <f>"20200111154146751"</f>
        <v>20200111154146751</v>
      </c>
      <c r="B4103" t="str">
        <f>"1578728506740208"</f>
        <v>1578728506740208</v>
      </c>
      <c r="C4103" t="s">
        <v>37</v>
      </c>
      <c r="D4103">
        <v>5.4806210000000002</v>
      </c>
      <c r="E4103">
        <v>0.561467099999999</v>
      </c>
      <c r="F4103" t="s">
        <v>38</v>
      </c>
      <c r="G4103">
        <v>-349.39170000000001</v>
      </c>
      <c r="H4103">
        <v>1.036524</v>
      </c>
      <c r="I4103">
        <v>17.521929999999902</v>
      </c>
      <c r="J4103">
        <v>-349.96890000000002</v>
      </c>
      <c r="K4103">
        <v>1.1105799999999999</v>
      </c>
      <c r="L4103">
        <v>17.646179999999902</v>
      </c>
      <c r="M4103">
        <v>0.99986799999999998</v>
      </c>
      <c r="N4103">
        <v>0</v>
      </c>
      <c r="O4103">
        <v>9.546878E-3</v>
      </c>
      <c r="P4103">
        <v>0.99904139999999997</v>
      </c>
      <c r="Q4103">
        <v>3.4731360000000003E-2</v>
      </c>
      <c r="R4103">
        <v>2.6644149999999998E-2</v>
      </c>
      <c r="S4103">
        <v>3.0234380000000001</v>
      </c>
      <c r="T4103">
        <v>-0.25077470000000002</v>
      </c>
      <c r="U4103">
        <v>-0.41027829999999899</v>
      </c>
      <c r="V4103">
        <v>-1.71345E-2</v>
      </c>
      <c r="W4103">
        <v>4.7858369999999997E-2</v>
      </c>
      <c r="X4103">
        <v>0.99870720000000002</v>
      </c>
      <c r="Y4103">
        <v>0.1434058</v>
      </c>
      <c r="Z4103">
        <v>-6.69725099999999E-3</v>
      </c>
      <c r="AA4103">
        <v>0.98964129999999995</v>
      </c>
      <c r="AB4103">
        <v>40</v>
      </c>
      <c r="AC4103">
        <v>0.57720000000000404</v>
      </c>
      <c r="AD4103">
        <v>-7.40559999999999E-2</v>
      </c>
      <c r="AE4103">
        <v>-0.124249999999999</v>
      </c>
      <c r="AF4103">
        <v>0.12774552373991899</v>
      </c>
      <c r="AG4103">
        <v>-7.40559999999999E-2</v>
      </c>
      <c r="AH4103">
        <v>0.56706606332255904</v>
      </c>
      <c r="AI4103">
        <v>97.260498719577797</v>
      </c>
      <c r="AJ4103">
        <v>77.304647558984996</v>
      </c>
      <c r="AK4103">
        <v>0.58597536649908</v>
      </c>
    </row>
    <row r="4104" spans="1:37" x14ac:dyDescent="0.2">
      <c r="A4104" t="str">
        <f>"20200111154146764"</f>
        <v>20200111154146764</v>
      </c>
      <c r="B4104" t="str">
        <f>"1578728506760702"</f>
        <v>1578728506760702</v>
      </c>
      <c r="C4104" t="s">
        <v>37</v>
      </c>
      <c r="D4104">
        <v>5.6109</v>
      </c>
      <c r="E4104">
        <v>0.56141759999999996</v>
      </c>
      <c r="F4104" t="s">
        <v>38</v>
      </c>
      <c r="G4104">
        <v>-349.0367</v>
      </c>
      <c r="H4104">
        <v>1.0331969999999999</v>
      </c>
      <c r="I4104">
        <v>17.51756</v>
      </c>
      <c r="J4104">
        <v>-349.74380000000002</v>
      </c>
      <c r="K4104">
        <v>1.1105989999999999</v>
      </c>
      <c r="L4104">
        <v>17.648409999999998</v>
      </c>
      <c r="M4104">
        <v>0.99986569999999997</v>
      </c>
      <c r="N4104">
        <v>0</v>
      </c>
      <c r="O4104">
        <v>9.69030699999999E-3</v>
      </c>
      <c r="P4104">
        <v>0.99905159999999904</v>
      </c>
      <c r="Q4104">
        <v>3.5302880000000002E-2</v>
      </c>
      <c r="R4104">
        <v>2.549794E-2</v>
      </c>
      <c r="S4104">
        <v>3.022675</v>
      </c>
      <c r="T4104">
        <v>-0.25098399999999998</v>
      </c>
      <c r="U4104">
        <v>-0.41567989999999999</v>
      </c>
      <c r="V4104">
        <v>-1.5845809999999998E-2</v>
      </c>
      <c r="W4104">
        <v>4.8512310000000003E-2</v>
      </c>
      <c r="X4104">
        <v>0.9986969</v>
      </c>
      <c r="Y4104">
        <v>0.14530899999999999</v>
      </c>
      <c r="Z4104">
        <v>-6.7940400000000003E-3</v>
      </c>
      <c r="AA4104">
        <v>0.98936299999999899</v>
      </c>
      <c r="AB4104">
        <v>40</v>
      </c>
      <c r="AC4104">
        <v>0.70710000000002504</v>
      </c>
      <c r="AD4104">
        <v>-7.7401999999999901E-2</v>
      </c>
      <c r="AE4104">
        <v>-0.13085000000000199</v>
      </c>
      <c r="AF4104">
        <v>0.136119440441892</v>
      </c>
      <c r="AG4104">
        <v>-7.7401999999999901E-2</v>
      </c>
      <c r="AH4104">
        <v>0.69771523665526003</v>
      </c>
      <c r="AI4104">
        <v>96.214090542692901</v>
      </c>
      <c r="AJ4104">
        <v>78.9606513039476</v>
      </c>
      <c r="AK4104">
        <v>0.71507071197967598</v>
      </c>
    </row>
    <row r="4105" spans="1:37" x14ac:dyDescent="0.2">
      <c r="A4105" t="str">
        <f>"20200111154146776"</f>
        <v>20200111154146776</v>
      </c>
      <c r="B4105" t="str">
        <f>"1578728506770463"</f>
        <v>1578728506770463</v>
      </c>
      <c r="C4105" t="s">
        <v>37</v>
      </c>
      <c r="D4105">
        <v>5.6323259999999999</v>
      </c>
      <c r="E4105">
        <v>0.56139280000000003</v>
      </c>
      <c r="F4105" t="s">
        <v>38</v>
      </c>
      <c r="G4105">
        <v>-348.68439999999998</v>
      </c>
      <c r="H4105">
        <v>1.023531</v>
      </c>
      <c r="I4105">
        <v>17.50149</v>
      </c>
      <c r="J4105">
        <v>-349.52890000000002</v>
      </c>
      <c r="K4105">
        <v>1.1106149999999999</v>
      </c>
      <c r="L4105">
        <v>17.65063</v>
      </c>
      <c r="M4105">
        <v>0.99986319999999995</v>
      </c>
      <c r="N4105">
        <v>0</v>
      </c>
      <c r="O4105">
        <v>9.8282560000000005E-3</v>
      </c>
      <c r="P4105">
        <v>0.99906810000000001</v>
      </c>
      <c r="Q4105">
        <v>3.539312E-2</v>
      </c>
      <c r="R4105">
        <v>2.4706189999999999E-2</v>
      </c>
      <c r="S4105">
        <v>3.0222470000000001</v>
      </c>
      <c r="T4105">
        <v>-0.2484171</v>
      </c>
      <c r="U4105">
        <v>-0.418853799999999</v>
      </c>
      <c r="V4105">
        <v>-1.491611E-2</v>
      </c>
      <c r="W4105">
        <v>4.8673290000000001E-2</v>
      </c>
      <c r="X4105">
        <v>0.99870340000000002</v>
      </c>
      <c r="Y4105">
        <v>0.14649010000000001</v>
      </c>
      <c r="Z4105">
        <v>-6.7847489999999996E-3</v>
      </c>
      <c r="AA4105">
        <v>0.98918879999999998</v>
      </c>
      <c r="AB4105">
        <v>40</v>
      </c>
      <c r="AC4105">
        <v>0.844500000000039</v>
      </c>
      <c r="AD4105">
        <v>-8.7083999999999898E-2</v>
      </c>
      <c r="AE4105">
        <v>-0.149139999999999</v>
      </c>
      <c r="AF4105">
        <v>0.15582662062106101</v>
      </c>
      <c r="AG4105">
        <v>-8.7083999999999898E-2</v>
      </c>
      <c r="AH4105">
        <v>0.83438913485723798</v>
      </c>
      <c r="AI4105">
        <v>95.857752710524295</v>
      </c>
      <c r="AJ4105">
        <v>79.421567517238699</v>
      </c>
      <c r="AK4105">
        <v>0.85327064119070095</v>
      </c>
    </row>
    <row r="4106" spans="1:37" x14ac:dyDescent="0.2">
      <c r="A4106" t="str">
        <f>"20200111154146789"</f>
        <v>20200111154146789</v>
      </c>
      <c r="B4106" t="str">
        <f>"1578728506780224"</f>
        <v>1578728506780224</v>
      </c>
      <c r="C4106" t="s">
        <v>37</v>
      </c>
      <c r="D4106">
        <v>5.5743199999999904</v>
      </c>
      <c r="E4106">
        <v>0.56136839999999999</v>
      </c>
      <c r="F4106" t="s">
        <v>38</v>
      </c>
      <c r="G4106">
        <v>-348.67559999999997</v>
      </c>
      <c r="H4106">
        <v>1.040689</v>
      </c>
      <c r="I4106">
        <v>17.531589999999898</v>
      </c>
      <c r="J4106">
        <v>-349.31029999999998</v>
      </c>
      <c r="K4106">
        <v>1.110636</v>
      </c>
      <c r="L4106">
        <v>17.652889999999999</v>
      </c>
      <c r="M4106">
        <v>0.99986090000000005</v>
      </c>
      <c r="N4106">
        <v>0</v>
      </c>
      <c r="O4106">
        <v>9.9687189999999992E-3</v>
      </c>
      <c r="P4106">
        <v>0.99910189999999999</v>
      </c>
      <c r="Q4106">
        <v>3.5199689999999999E-2</v>
      </c>
      <c r="R4106">
        <v>2.359321E-2</v>
      </c>
      <c r="S4106">
        <v>3.0220340000000001</v>
      </c>
      <c r="T4106">
        <v>-0.2476497</v>
      </c>
      <c r="U4106">
        <v>-0.42126459999999999</v>
      </c>
      <c r="V4106">
        <v>-1.3662779999999999E-2</v>
      </c>
      <c r="W4106">
        <v>4.854899E-2</v>
      </c>
      <c r="X4106">
        <v>0.99872739999999904</v>
      </c>
      <c r="Y4106">
        <v>0.1474124</v>
      </c>
      <c r="Z4106">
        <v>-6.8129499999999999E-3</v>
      </c>
      <c r="AA4106">
        <v>0.98905159999999903</v>
      </c>
      <c r="AB4106">
        <v>40</v>
      </c>
      <c r="AC4106">
        <v>0.63470000000000903</v>
      </c>
      <c r="AD4106">
        <v>-6.9946999999999898E-2</v>
      </c>
      <c r="AE4106">
        <v>-0.121300000000001</v>
      </c>
      <c r="AF4106">
        <v>0.126143640695</v>
      </c>
      <c r="AG4106">
        <v>-6.9946999999999898E-2</v>
      </c>
      <c r="AH4106">
        <v>0.62612277509382397</v>
      </c>
      <c r="AI4106">
        <v>96.249788023482594</v>
      </c>
      <c r="AJ4106">
        <v>78.609220709708296</v>
      </c>
      <c r="AK4106">
        <v>0.64252200770711398</v>
      </c>
    </row>
    <row r="4107" spans="1:37" x14ac:dyDescent="0.2">
      <c r="A4107" t="str">
        <f>"20200111154146800"</f>
        <v>20200111154146800</v>
      </c>
      <c r="B4107" t="str">
        <f>"1578728506789983"</f>
        <v>1578728506789983</v>
      </c>
      <c r="C4107" t="s">
        <v>37</v>
      </c>
      <c r="D4107">
        <v>5.6245830000000003</v>
      </c>
      <c r="E4107">
        <v>0.56138350000000004</v>
      </c>
      <c r="F4107" t="s">
        <v>38</v>
      </c>
      <c r="G4107">
        <v>-348.32510000000002</v>
      </c>
      <c r="H4107">
        <v>1.029798</v>
      </c>
      <c r="I4107">
        <v>17.514129999999899</v>
      </c>
      <c r="J4107">
        <v>-349.09429999999998</v>
      </c>
      <c r="K4107">
        <v>1.1106499999999999</v>
      </c>
      <c r="L4107">
        <v>17.655149999999999</v>
      </c>
      <c r="M4107">
        <v>0.99985869999999999</v>
      </c>
      <c r="N4107">
        <v>0</v>
      </c>
      <c r="O4107">
        <v>1.0108020000000001E-2</v>
      </c>
      <c r="P4107">
        <v>0.99912209999999901</v>
      </c>
      <c r="Q4107">
        <v>3.5363279999999997E-2</v>
      </c>
      <c r="R4107">
        <v>2.246163E-2</v>
      </c>
      <c r="S4107">
        <v>3.0214840000000001</v>
      </c>
      <c r="T4107">
        <v>-0.247948999999999</v>
      </c>
      <c r="U4107">
        <v>-0.42449949999999997</v>
      </c>
      <c r="V4107">
        <v>-1.2391569999999999E-2</v>
      </c>
      <c r="W4107">
        <v>4.8776180000000002E-2</v>
      </c>
      <c r="X4107">
        <v>0.99873289999999904</v>
      </c>
      <c r="Y4107">
        <v>0.148607399999999</v>
      </c>
      <c r="Z4107">
        <v>-6.8819569999999898E-3</v>
      </c>
      <c r="AA4107">
        <v>0.98887230000000004</v>
      </c>
      <c r="AB4107">
        <v>40</v>
      </c>
      <c r="AC4107">
        <v>0.76919999999995503</v>
      </c>
      <c r="AD4107">
        <v>-8.0851999999999896E-2</v>
      </c>
      <c r="AE4107">
        <v>-0.14102000000000101</v>
      </c>
      <c r="AF4107">
        <v>0.14721497228973099</v>
      </c>
      <c r="AG4107">
        <v>-8.0851999999999896E-2</v>
      </c>
      <c r="AH4107">
        <v>0.75961544213794097</v>
      </c>
      <c r="AI4107">
        <v>95.965404805252405</v>
      </c>
      <c r="AJ4107">
        <v>79.031933185641506</v>
      </c>
      <c r="AK4107">
        <v>0.77796202600428099</v>
      </c>
    </row>
    <row r="4108" spans="1:37" x14ac:dyDescent="0.2">
      <c r="A4108" t="str">
        <f>"20200111154146812"</f>
        <v>20200111154146812</v>
      </c>
      <c r="B4108" t="str">
        <f>"1578728506800719"</f>
        <v>1578728506800719</v>
      </c>
      <c r="C4108" t="s">
        <v>37</v>
      </c>
      <c r="D4108">
        <v>5.648968</v>
      </c>
      <c r="E4108">
        <v>0.56135800000000002</v>
      </c>
      <c r="F4108" t="s">
        <v>38</v>
      </c>
      <c r="G4108">
        <v>-348.31060000000002</v>
      </c>
      <c r="H4108">
        <v>1.0464610000000001</v>
      </c>
      <c r="I4108">
        <v>17.543749999999999</v>
      </c>
      <c r="J4108">
        <v>-348.88810000000001</v>
      </c>
      <c r="K4108">
        <v>1.110657</v>
      </c>
      <c r="L4108">
        <v>17.65738</v>
      </c>
      <c r="M4108">
        <v>0.99985659999999899</v>
      </c>
      <c r="N4108">
        <v>0</v>
      </c>
      <c r="O4108">
        <v>1.024134E-2</v>
      </c>
      <c r="P4108">
        <v>0.999143</v>
      </c>
      <c r="Q4108">
        <v>3.5365760000000003E-2</v>
      </c>
      <c r="R4108">
        <v>2.1509589999999999E-2</v>
      </c>
      <c r="S4108">
        <v>3.0210569999999999</v>
      </c>
      <c r="T4108">
        <v>-0.2475348</v>
      </c>
      <c r="U4108">
        <v>-0.428100599999999</v>
      </c>
      <c r="V4108">
        <v>-1.1306190000000001E-2</v>
      </c>
      <c r="W4108">
        <v>4.8834269999999999E-2</v>
      </c>
      <c r="X4108">
        <v>0.99874289999999999</v>
      </c>
      <c r="Y4108">
        <v>0.14991109999999999</v>
      </c>
      <c r="Z4108">
        <v>-6.9348040000000001E-3</v>
      </c>
      <c r="AA4108">
        <v>0.98867519999999998</v>
      </c>
      <c r="AB4108">
        <v>40</v>
      </c>
      <c r="AC4108">
        <v>0.57749999999998602</v>
      </c>
      <c r="AD4108">
        <v>-6.4195999999999906E-2</v>
      </c>
      <c r="AE4108">
        <v>-0.11362999999999999</v>
      </c>
      <c r="AF4108">
        <v>0.11813358746566301</v>
      </c>
      <c r="AG4108">
        <v>-6.4195999999999906E-2</v>
      </c>
      <c r="AH4108">
        <v>0.56953051761598095</v>
      </c>
      <c r="AI4108">
        <v>96.298139106190405</v>
      </c>
      <c r="AJ4108">
        <v>78.281722364726505</v>
      </c>
      <c r="AK4108">
        <v>0.58518516847185598</v>
      </c>
    </row>
    <row r="4109" spans="1:37" x14ac:dyDescent="0.2">
      <c r="A4109" t="str">
        <f>"20200111154146830"</f>
        <v>20200111154146830</v>
      </c>
      <c r="B4109" t="str">
        <f>"1578728506820238"</f>
        <v>1578728506820238</v>
      </c>
      <c r="C4109" t="s">
        <v>37</v>
      </c>
      <c r="D4109">
        <v>5.6395770000000001</v>
      </c>
      <c r="E4109">
        <v>0.56143019999999999</v>
      </c>
      <c r="F4109" t="s">
        <v>38</v>
      </c>
      <c r="G4109">
        <v>-347.9667</v>
      </c>
      <c r="H4109">
        <v>1.0351330000000001</v>
      </c>
      <c r="I4109">
        <v>17.526009999999999</v>
      </c>
      <c r="J4109">
        <v>-348.55959999999999</v>
      </c>
      <c r="K4109">
        <v>1.1106780000000001</v>
      </c>
      <c r="L4109">
        <v>17.660920000000001</v>
      </c>
      <c r="M4109">
        <v>0.99985329999999994</v>
      </c>
      <c r="N4109">
        <v>0</v>
      </c>
      <c r="O4109">
        <v>1.045395E-2</v>
      </c>
      <c r="P4109">
        <v>0.99918759999999995</v>
      </c>
      <c r="Q4109">
        <v>3.554417E-2</v>
      </c>
      <c r="R4109">
        <v>1.9000199999999998E-2</v>
      </c>
      <c r="S4109">
        <v>3.0205989999999998</v>
      </c>
      <c r="T4109">
        <v>-0.24761999999999901</v>
      </c>
      <c r="U4109">
        <v>-0.43066409999999899</v>
      </c>
      <c r="V4109">
        <v>-8.5843450000000002E-3</v>
      </c>
      <c r="W4109">
        <v>4.9095270000000003E-2</v>
      </c>
      <c r="X4109">
        <v>0.99875720000000001</v>
      </c>
      <c r="Y4109">
        <v>0.15095999999999901</v>
      </c>
      <c r="Z4109">
        <v>-6.9978359999999899E-3</v>
      </c>
      <c r="AA4109">
        <v>0.98851509999999998</v>
      </c>
      <c r="AB4109">
        <v>40</v>
      </c>
      <c r="AC4109">
        <v>0.59289999999998599</v>
      </c>
      <c r="AD4109">
        <v>-7.5544999999999904E-2</v>
      </c>
      <c r="AE4109">
        <v>-0.134910000000001</v>
      </c>
      <c r="AF4109">
        <v>0.13895645832338999</v>
      </c>
      <c r="AG4109">
        <v>-7.5544999999999904E-2</v>
      </c>
      <c r="AH4109">
        <v>0.58246636554750497</v>
      </c>
      <c r="AI4109">
        <v>97.190340390042707</v>
      </c>
      <c r="AJ4109">
        <v>76.581999107104295</v>
      </c>
      <c r="AK4109">
        <v>0.60355862294304097</v>
      </c>
    </row>
    <row r="4110" spans="1:37" x14ac:dyDescent="0.2">
      <c r="A4110" t="str">
        <f>"20200111154146841"</f>
        <v>20200111154146841</v>
      </c>
      <c r="B4110" t="str">
        <f>"1578728506829999"</f>
        <v>1578728506829999</v>
      </c>
      <c r="C4110" t="s">
        <v>37</v>
      </c>
      <c r="D4110">
        <v>5.5754269999999897</v>
      </c>
      <c r="E4110">
        <v>0.56155749999999904</v>
      </c>
      <c r="F4110" t="s">
        <v>38</v>
      </c>
      <c r="G4110">
        <v>-347.6114</v>
      </c>
      <c r="H4110">
        <v>1.033247</v>
      </c>
      <c r="I4110">
        <v>17.52281</v>
      </c>
      <c r="J4110">
        <v>-348.35379999999998</v>
      </c>
      <c r="K4110">
        <v>1.110689</v>
      </c>
      <c r="L4110">
        <v>17.663180000000001</v>
      </c>
      <c r="M4110">
        <v>0.9998513</v>
      </c>
      <c r="N4110">
        <v>0</v>
      </c>
      <c r="O4110">
        <v>1.05869E-2</v>
      </c>
      <c r="P4110">
        <v>0.99921229999999905</v>
      </c>
      <c r="Q4110">
        <v>3.5432400000000003E-2</v>
      </c>
      <c r="R4110">
        <v>1.7870339999999998E-2</v>
      </c>
      <c r="S4110">
        <v>3.0195310000000002</v>
      </c>
      <c r="T4110">
        <v>-0.2465955</v>
      </c>
      <c r="U4110">
        <v>-0.43835449999999998</v>
      </c>
      <c r="V4110">
        <v>-7.3208850000000001E-3</v>
      </c>
      <c r="W4110">
        <v>4.9031440000000003E-2</v>
      </c>
      <c r="X4110">
        <v>0.99877039999999995</v>
      </c>
      <c r="Y4110">
        <v>0.1536015</v>
      </c>
      <c r="Z4110">
        <v>-7.0880739999999998E-3</v>
      </c>
      <c r="AA4110">
        <v>0.98810739999999997</v>
      </c>
      <c r="AB4110">
        <v>40</v>
      </c>
      <c r="AC4110">
        <v>0.74239999999997497</v>
      </c>
      <c r="AD4110">
        <v>-7.7441999999999997E-2</v>
      </c>
      <c r="AE4110">
        <v>-0.14036999999999999</v>
      </c>
      <c r="AF4110">
        <v>0.14668159118597801</v>
      </c>
      <c r="AG4110">
        <v>-7.7441999999999997E-2</v>
      </c>
      <c r="AH4110">
        <v>0.73316975039058196</v>
      </c>
      <c r="AI4110">
        <v>95.913257070494694</v>
      </c>
      <c r="AJ4110">
        <v>78.686487706066799</v>
      </c>
      <c r="AK4110">
        <v>0.75169850036077501</v>
      </c>
    </row>
    <row r="4111" spans="1:37" x14ac:dyDescent="0.2">
      <c r="A4111" t="str">
        <f>"20200111154146855"</f>
        <v>20200111154146855</v>
      </c>
      <c r="B4111" t="str">
        <f>"1578728506850495"</f>
        <v>1578728506850495</v>
      </c>
      <c r="C4111" t="s">
        <v>37</v>
      </c>
      <c r="D4111">
        <v>5.5682109999999998</v>
      </c>
      <c r="E4111">
        <v>0.561616</v>
      </c>
      <c r="F4111" t="s">
        <v>39</v>
      </c>
      <c r="G4111">
        <v>-334.78250000000003</v>
      </c>
      <c r="H4111" s="1">
        <v>-2.91995299999999E-6</v>
      </c>
      <c r="I4111">
        <v>15.673639999999899</v>
      </c>
      <c r="J4111">
        <v>-348.1318</v>
      </c>
      <c r="K4111">
        <v>1.110698</v>
      </c>
      <c r="L4111">
        <v>17.665679999999998</v>
      </c>
      <c r="M4111">
        <v>0.99984910000000005</v>
      </c>
      <c r="N4111">
        <v>0</v>
      </c>
      <c r="O4111">
        <v>1.0730480000000001E-2</v>
      </c>
      <c r="P4111">
        <v>0.99924249999999903</v>
      </c>
      <c r="Q4111">
        <v>3.5227139999999997E-2</v>
      </c>
      <c r="R4111">
        <v>1.6545219999999999E-2</v>
      </c>
      <c r="S4111">
        <v>3.019012</v>
      </c>
      <c r="T4111">
        <v>-0.24707970000000001</v>
      </c>
      <c r="U4111">
        <v>-0.44256590000000001</v>
      </c>
      <c r="V4111">
        <v>-5.8521650000000003E-3</v>
      </c>
      <c r="W4111">
        <v>4.8872369999999998E-2</v>
      </c>
      <c r="X4111">
        <v>0.99878789999999995</v>
      </c>
      <c r="Y4111">
        <v>0.15510940000000001</v>
      </c>
      <c r="Z4111">
        <v>-7.1753980000000004E-3</v>
      </c>
      <c r="AA4111">
        <v>0.98787119999999995</v>
      </c>
      <c r="AB4111">
        <v>40</v>
      </c>
      <c r="AC4111">
        <v>13.3492999999999</v>
      </c>
      <c r="AD4111">
        <v>-1.110700919953</v>
      </c>
      <c r="AE4111">
        <v>-1.99204</v>
      </c>
      <c r="AF4111">
        <v>2.1208210014971001</v>
      </c>
      <c r="AG4111">
        <v>-1.110700919953</v>
      </c>
      <c r="AH4111">
        <v>13.2375102409587</v>
      </c>
      <c r="AI4111">
        <v>94.736082867606598</v>
      </c>
      <c r="AJ4111">
        <v>80.897825054584501</v>
      </c>
      <c r="AK4111">
        <v>13.4522568973931</v>
      </c>
    </row>
    <row r="4112" spans="1:37" x14ac:dyDescent="0.2">
      <c r="A4112" t="str">
        <f>"20200111154146868"</f>
        <v>20200111154146868</v>
      </c>
      <c r="B4112" t="str">
        <f>"1578728506860254"</f>
        <v>1578728506860254</v>
      </c>
      <c r="C4112" t="s">
        <v>37</v>
      </c>
      <c r="D4112">
        <v>5.6027079999999998</v>
      </c>
      <c r="E4112">
        <v>0.56170209999999998</v>
      </c>
      <c r="F4112" t="s">
        <v>38</v>
      </c>
      <c r="G4112">
        <v>-347.25349999999997</v>
      </c>
      <c r="H4112">
        <v>1.0387850000000001</v>
      </c>
      <c r="I4112">
        <v>17.535609999999998</v>
      </c>
      <c r="J4112">
        <v>-347.91</v>
      </c>
      <c r="K4112">
        <v>1.1107069999999899</v>
      </c>
      <c r="L4112">
        <v>17.668150000000001</v>
      </c>
      <c r="M4112">
        <v>0.99984709999999999</v>
      </c>
      <c r="N4112">
        <v>0</v>
      </c>
      <c r="O4112">
        <v>1.08738999999999E-2</v>
      </c>
      <c r="P4112">
        <v>0.99928530000000004</v>
      </c>
      <c r="Q4112">
        <v>3.4661780000000003E-2</v>
      </c>
      <c r="R4112">
        <v>1.5099629999999999E-2</v>
      </c>
      <c r="S4112">
        <v>3.018402</v>
      </c>
      <c r="T4112">
        <v>-0.2471643</v>
      </c>
      <c r="U4112">
        <v>-0.44699099999999897</v>
      </c>
      <c r="V4112">
        <v>-4.2625140000000002E-3</v>
      </c>
      <c r="W4112">
        <v>4.8351329999999998E-2</v>
      </c>
      <c r="X4112">
        <v>0.99882130000000002</v>
      </c>
      <c r="Y4112">
        <v>0.15669089999999999</v>
      </c>
      <c r="Z4112">
        <v>-7.2544799999999998E-3</v>
      </c>
      <c r="AA4112">
        <v>0.98762109999999903</v>
      </c>
      <c r="AB4112">
        <v>40</v>
      </c>
      <c r="AC4112">
        <v>0.65650000000005004</v>
      </c>
      <c r="AD4112">
        <v>-7.1921999999999806E-2</v>
      </c>
      <c r="AE4112">
        <v>-0.13253999999999799</v>
      </c>
      <c r="AF4112">
        <v>0.13807922058936001</v>
      </c>
      <c r="AG4112">
        <v>-7.1921999999999806E-2</v>
      </c>
      <c r="AH4112">
        <v>0.64755225790959803</v>
      </c>
      <c r="AI4112">
        <v>96.199471810358403</v>
      </c>
      <c r="AJ4112">
        <v>77.9629479514861</v>
      </c>
      <c r="AK4112">
        <v>0.66600493389042104</v>
      </c>
    </row>
    <row r="4113" spans="1:37" x14ac:dyDescent="0.2">
      <c r="A4113" t="str">
        <f>"20200111154146886"</f>
        <v>20200111154146886</v>
      </c>
      <c r="B4113" t="str">
        <f>"1578728506879774"</f>
        <v>1578728506879774</v>
      </c>
      <c r="C4113" t="s">
        <v>37</v>
      </c>
      <c r="D4113">
        <v>5.5736780000000001</v>
      </c>
      <c r="E4113">
        <v>0.56184919999999905</v>
      </c>
      <c r="F4113" t="s">
        <v>38</v>
      </c>
      <c r="G4113">
        <v>-346.9033</v>
      </c>
      <c r="H4113">
        <v>1.027714</v>
      </c>
      <c r="I4113">
        <v>17.517299999999999</v>
      </c>
      <c r="J4113">
        <v>-347.56580000000002</v>
      </c>
      <c r="K4113">
        <v>1.110724</v>
      </c>
      <c r="L4113">
        <v>17.67212</v>
      </c>
      <c r="M4113">
        <v>0.99984379999999995</v>
      </c>
      <c r="N4113">
        <v>0</v>
      </c>
      <c r="O4113">
        <v>1.109629E-2</v>
      </c>
      <c r="P4113">
        <v>0.99937169999999897</v>
      </c>
      <c r="Q4113">
        <v>3.3372970000000002E-2</v>
      </c>
      <c r="R4113">
        <v>1.1948820000000001E-2</v>
      </c>
      <c r="S4113">
        <v>3.0175779999999999</v>
      </c>
      <c r="T4113">
        <v>-0.2487695</v>
      </c>
      <c r="U4113">
        <v>-0.45193479999999903</v>
      </c>
      <c r="V4113">
        <v>-8.8766229999999999E-4</v>
      </c>
      <c r="W4113">
        <v>4.7124869999999999E-2</v>
      </c>
      <c r="X4113">
        <v>0.99888860000000002</v>
      </c>
      <c r="Y4113">
        <v>0.1585183</v>
      </c>
      <c r="Z4113">
        <v>-7.395525E-3</v>
      </c>
      <c r="AA4113">
        <v>0.98732839999999999</v>
      </c>
      <c r="AB4113">
        <v>40</v>
      </c>
      <c r="AC4113">
        <v>0.66250000000002196</v>
      </c>
      <c r="AD4113">
        <v>-8.301E-2</v>
      </c>
      <c r="AE4113">
        <v>-0.15482000000000001</v>
      </c>
      <c r="AF4113">
        <v>0.15978381055472399</v>
      </c>
      <c r="AG4113">
        <v>-8.301E-2</v>
      </c>
      <c r="AH4113">
        <v>0.65104918081764696</v>
      </c>
      <c r="AI4113">
        <v>97.058841027794898</v>
      </c>
      <c r="AJ4113">
        <v>76.210724324771306</v>
      </c>
      <c r="AK4113">
        <v>0.67548986821322199</v>
      </c>
    </row>
    <row r="4114" spans="1:37" x14ac:dyDescent="0.2">
      <c r="A4114" t="str">
        <f>"20200111154146899"</f>
        <v>20200111154146899</v>
      </c>
      <c r="B4114" t="str">
        <f>"1578728506890511"</f>
        <v>1578728506890511</v>
      </c>
      <c r="C4114" t="s">
        <v>37</v>
      </c>
      <c r="D4114">
        <v>5.6141769999999998</v>
      </c>
      <c r="E4114">
        <v>0.56190050000000002</v>
      </c>
      <c r="F4114" t="s">
        <v>38</v>
      </c>
      <c r="G4114">
        <v>-346.54930000000002</v>
      </c>
      <c r="H4114">
        <v>1.0258069999999999</v>
      </c>
      <c r="I4114">
        <v>17.516310000000001</v>
      </c>
      <c r="J4114">
        <v>-347.34289999999999</v>
      </c>
      <c r="K4114">
        <v>1.1107290000000001</v>
      </c>
      <c r="L4114">
        <v>17.674679999999999</v>
      </c>
      <c r="M4114">
        <v>0.99984169999999895</v>
      </c>
      <c r="N4114">
        <v>0</v>
      </c>
      <c r="O4114">
        <v>1.1240409999999999E-2</v>
      </c>
      <c r="P4114">
        <v>0.99941119999999894</v>
      </c>
      <c r="Q4114">
        <v>3.2855950000000002E-2</v>
      </c>
      <c r="R4114">
        <v>9.8965370000000004E-3</v>
      </c>
      <c r="S4114">
        <v>3.0158390000000002</v>
      </c>
      <c r="T4114">
        <v>-0.25192680000000001</v>
      </c>
      <c r="U4114">
        <v>-0.46234129999999901</v>
      </c>
      <c r="V4114">
        <v>1.3094719999999999E-3</v>
      </c>
      <c r="W4114">
        <v>4.6643799999999999E-2</v>
      </c>
      <c r="X4114">
        <v>0.99891070000000004</v>
      </c>
      <c r="Y4114">
        <v>0.1620462</v>
      </c>
      <c r="Z4114">
        <v>-7.6496139999999999E-3</v>
      </c>
      <c r="AA4114">
        <v>0.98675349999999995</v>
      </c>
      <c r="AB4114">
        <v>40</v>
      </c>
      <c r="AC4114">
        <v>0.793599999999969</v>
      </c>
      <c r="AD4114">
        <v>-8.4922000000000095E-2</v>
      </c>
      <c r="AE4114">
        <v>-0.15836999999999701</v>
      </c>
      <c r="AF4114">
        <v>0.16545914800087499</v>
      </c>
      <c r="AG4114">
        <v>-8.4922000000000095E-2</v>
      </c>
      <c r="AH4114">
        <v>0.78314532347629495</v>
      </c>
      <c r="AI4114">
        <v>96.056143307937504</v>
      </c>
      <c r="AJ4114">
        <v>78.070263870312701</v>
      </c>
      <c r="AK4114">
        <v>0.80492550799683704</v>
      </c>
    </row>
    <row r="4115" spans="1:37" x14ac:dyDescent="0.2">
      <c r="A4115" t="str">
        <f>"20200111154146911"</f>
        <v>20200111154146911</v>
      </c>
      <c r="B4115" t="str">
        <f>"1578728506900271"</f>
        <v>1578728506900271</v>
      </c>
      <c r="C4115" t="s">
        <v>37</v>
      </c>
      <c r="D4115">
        <v>5.6362079999999999</v>
      </c>
      <c r="E4115">
        <v>0.56193280000000001</v>
      </c>
      <c r="F4115" t="s">
        <v>39</v>
      </c>
      <c r="G4115">
        <v>-334.1302</v>
      </c>
      <c r="H4115" s="1">
        <v>-3.2092039999999998E-6</v>
      </c>
      <c r="I4115">
        <v>15.620609999999999</v>
      </c>
      <c r="J4115">
        <v>-347.12110000000001</v>
      </c>
      <c r="K4115">
        <v>1.1107279999999999</v>
      </c>
      <c r="L4115">
        <v>17.677340000000001</v>
      </c>
      <c r="M4115">
        <v>0.999839699999999</v>
      </c>
      <c r="N4115">
        <v>0</v>
      </c>
      <c r="O4115">
        <v>1.138366E-2</v>
      </c>
      <c r="P4115">
        <v>0.99944109999999997</v>
      </c>
      <c r="Q4115">
        <v>3.2533840000000001E-2</v>
      </c>
      <c r="R4115">
        <v>7.6857419999999997E-3</v>
      </c>
      <c r="S4115">
        <v>3.0147400000000002</v>
      </c>
      <c r="T4115">
        <v>-0.25343490000000002</v>
      </c>
      <c r="U4115">
        <v>-0.46865839999999998</v>
      </c>
      <c r="V4115">
        <v>3.6641009999999999E-3</v>
      </c>
      <c r="W4115">
        <v>4.6355140000000003E-2</v>
      </c>
      <c r="X4115">
        <v>0.99891830000000004</v>
      </c>
      <c r="Y4115">
        <v>0.16424520000000001</v>
      </c>
      <c r="Z4115">
        <v>-7.8004719999999897E-3</v>
      </c>
      <c r="AA4115">
        <v>0.98638869999999901</v>
      </c>
      <c r="AB4115">
        <v>40</v>
      </c>
      <c r="AC4115">
        <v>12.9909</v>
      </c>
      <c r="AD4115">
        <v>-1.110731209204</v>
      </c>
      <c r="AE4115">
        <v>-2.0567299999999999</v>
      </c>
      <c r="AF4115">
        <v>2.18888453865473</v>
      </c>
      <c r="AG4115">
        <v>-1.110731209204</v>
      </c>
      <c r="AH4115">
        <v>12.8748244453766</v>
      </c>
      <c r="AI4115">
        <v>94.861372216300595</v>
      </c>
      <c r="AJ4115">
        <v>80.351243693106099</v>
      </c>
      <c r="AK4115">
        <v>13.1067175082828</v>
      </c>
    </row>
    <row r="4116" spans="1:37" x14ac:dyDescent="0.2">
      <c r="A4116" t="str">
        <f>"20200111154146930"</f>
        <v>20200111154146930</v>
      </c>
      <c r="B4116" t="str">
        <f>"1578728506919790"</f>
        <v>1578728506919790</v>
      </c>
      <c r="C4116" t="s">
        <v>37</v>
      </c>
      <c r="D4116">
        <v>5.6302649999999996</v>
      </c>
      <c r="E4116">
        <v>0.56202339999999995</v>
      </c>
      <c r="F4116" t="s">
        <v>39</v>
      </c>
      <c r="G4116">
        <v>-333.97910000000002</v>
      </c>
      <c r="H4116" s="1">
        <v>-3.276973E-6</v>
      </c>
      <c r="I4116">
        <v>15.60407</v>
      </c>
      <c r="J4116">
        <v>-346.78730000000002</v>
      </c>
      <c r="K4116">
        <v>1.1107320000000001</v>
      </c>
      <c r="L4116">
        <v>17.681339999999999</v>
      </c>
      <c r="M4116">
        <v>0.99983659999999996</v>
      </c>
      <c r="N4116">
        <v>0</v>
      </c>
      <c r="O4116">
        <v>1.1599430000000001E-2</v>
      </c>
      <c r="P4116">
        <v>0.99949659999999996</v>
      </c>
      <c r="Q4116">
        <v>3.1548050000000001E-2</v>
      </c>
      <c r="R4116">
        <v>3.3789059999999901E-3</v>
      </c>
      <c r="S4116">
        <v>3.013611</v>
      </c>
      <c r="T4116">
        <v>-0.25470219999999999</v>
      </c>
      <c r="U4116">
        <v>-0.47540280000000001</v>
      </c>
      <c r="V4116">
        <v>8.187382E-3</v>
      </c>
      <c r="W4116">
        <v>4.5415339999999998E-2</v>
      </c>
      <c r="X4116">
        <v>0.99893460000000001</v>
      </c>
      <c r="Y4116">
        <v>0.16665289999999999</v>
      </c>
      <c r="Z4116">
        <v>-7.9599400000000004E-3</v>
      </c>
      <c r="AA4116">
        <v>0.98598349999999901</v>
      </c>
      <c r="AB4116">
        <v>40</v>
      </c>
      <c r="AC4116">
        <v>12.808199999999999</v>
      </c>
      <c r="AD4116">
        <v>-1.1107352769729999</v>
      </c>
      <c r="AE4116">
        <v>-2.0772699999999902</v>
      </c>
      <c r="AF4116">
        <v>2.2095215557427301</v>
      </c>
      <c r="AG4116">
        <v>-1.1107352769729999</v>
      </c>
      <c r="AH4116">
        <v>12.6902500159526</v>
      </c>
      <c r="AI4116">
        <v>94.928390154742004</v>
      </c>
      <c r="AJ4116">
        <v>80.1231429839182</v>
      </c>
      <c r="AK4116">
        <v>12.928966077308299</v>
      </c>
    </row>
    <row r="4117" spans="1:37" x14ac:dyDescent="0.2">
      <c r="A4117" t="str">
        <f>"20200111154146944"</f>
        <v>20200111154146944</v>
      </c>
      <c r="B4117" t="str">
        <f>"1578728506940287"</f>
        <v>1578728506940287</v>
      </c>
      <c r="C4117" t="s">
        <v>37</v>
      </c>
      <c r="D4117">
        <v>5.6114269999999999</v>
      </c>
      <c r="E4117">
        <v>0.56207159999999901</v>
      </c>
      <c r="F4117" t="s">
        <v>39</v>
      </c>
      <c r="G4117">
        <v>-333.76990000000001</v>
      </c>
      <c r="H4117" s="1">
        <v>-3.37323199999999E-6</v>
      </c>
      <c r="I4117">
        <v>15.567179999999899</v>
      </c>
      <c r="J4117">
        <v>-346.5598</v>
      </c>
      <c r="K4117">
        <v>1.110733</v>
      </c>
      <c r="L4117">
        <v>17.684079999999899</v>
      </c>
      <c r="M4117">
        <v>0.99983449999999996</v>
      </c>
      <c r="N4117">
        <v>0</v>
      </c>
      <c r="O4117">
        <v>1.1746400000000001E-2</v>
      </c>
      <c r="P4117">
        <v>0.99952229999999997</v>
      </c>
      <c r="Q4117">
        <v>3.0881479999999999E-2</v>
      </c>
      <c r="R4117">
        <v>1.3115959999999999E-3</v>
      </c>
      <c r="S4117">
        <v>3.0112919999999899</v>
      </c>
      <c r="T4117">
        <v>-0.25694410000000001</v>
      </c>
      <c r="U4117">
        <v>-0.48904419999999998</v>
      </c>
      <c r="V4117">
        <v>1.0402349999999999E-2</v>
      </c>
      <c r="W4117">
        <v>4.4777499999999998E-2</v>
      </c>
      <c r="X4117">
        <v>0.99894289999999997</v>
      </c>
      <c r="Y4117">
        <v>0.17123959999999999</v>
      </c>
      <c r="Z4117">
        <v>-8.2395190000000007E-3</v>
      </c>
      <c r="AA4117">
        <v>0.98519500000000004</v>
      </c>
      <c r="AB4117">
        <v>40</v>
      </c>
      <c r="AC4117">
        <v>12.7898999999999</v>
      </c>
      <c r="AD4117">
        <v>-1.1107363732319999</v>
      </c>
      <c r="AE4117">
        <v>-2.1168999999999998</v>
      </c>
      <c r="AF4117">
        <v>2.25048309294997</v>
      </c>
      <c r="AG4117">
        <v>-1.1107363732319999</v>
      </c>
      <c r="AH4117">
        <v>12.671131347085799</v>
      </c>
      <c r="AI4117">
        <v>94.932866850044505</v>
      </c>
      <c r="AJ4117">
        <v>79.928880928326805</v>
      </c>
      <c r="AK4117">
        <v>12.917274443843599</v>
      </c>
    </row>
    <row r="4118" spans="1:37" x14ac:dyDescent="0.2">
      <c r="A4118" t="str">
        <f>"20200111154146955"</f>
        <v>20200111154146955</v>
      </c>
      <c r="B4118" t="str">
        <f>"1578728506950048"</f>
        <v>1578728506950048</v>
      </c>
      <c r="C4118" t="s">
        <v>37</v>
      </c>
      <c r="D4118">
        <v>5.6093830000000002</v>
      </c>
      <c r="E4118">
        <v>0.5620986</v>
      </c>
      <c r="F4118" t="s">
        <v>39</v>
      </c>
      <c r="G4118">
        <v>-333.64260000000002</v>
      </c>
      <c r="H4118" s="1">
        <v>-3.42961E-6</v>
      </c>
      <c r="I4118">
        <v>15.557179999999899</v>
      </c>
      <c r="J4118">
        <v>-346.3349</v>
      </c>
      <c r="K4118">
        <v>1.1107340000000001</v>
      </c>
      <c r="L4118">
        <v>17.686859999999999</v>
      </c>
      <c r="M4118">
        <v>0.99983250000000001</v>
      </c>
      <c r="N4118">
        <v>0</v>
      </c>
      <c r="O4118">
        <v>1.1891840000000001E-2</v>
      </c>
      <c r="P4118">
        <v>0.99954779999999999</v>
      </c>
      <c r="Q4118">
        <v>3.0068230000000001E-2</v>
      </c>
      <c r="R4118">
        <v>-7.8777410000000002E-4</v>
      </c>
      <c r="S4118">
        <v>3.01004</v>
      </c>
      <c r="T4118">
        <v>-0.25883079999999897</v>
      </c>
      <c r="U4118">
        <v>-0.49560549999999998</v>
      </c>
      <c r="V4118">
        <v>1.264759E-2</v>
      </c>
      <c r="W4118">
        <v>4.3988640000000002E-2</v>
      </c>
      <c r="X4118">
        <v>0.99895199999999995</v>
      </c>
      <c r="Y4118">
        <v>0.17352029999999999</v>
      </c>
      <c r="Z4118">
        <v>-8.411389E-3</v>
      </c>
      <c r="AA4118">
        <v>0.98479439999999996</v>
      </c>
      <c r="AB4118">
        <v>40</v>
      </c>
      <c r="AC4118">
        <v>12.6922999999999</v>
      </c>
      <c r="AD4118">
        <v>-1.1107374296100001</v>
      </c>
      <c r="AE4118">
        <v>-2.12968</v>
      </c>
      <c r="AF4118">
        <v>2.2636176539754298</v>
      </c>
      <c r="AG4118">
        <v>-1.1107374296100001</v>
      </c>
      <c r="AH4118">
        <v>12.572425151233601</v>
      </c>
      <c r="AI4118">
        <v>94.969315939449103</v>
      </c>
      <c r="AJ4118">
        <v>79.793461068133396</v>
      </c>
      <c r="AK4118">
        <v>12.8227757020193</v>
      </c>
    </row>
    <row r="4119" spans="1:37" x14ac:dyDescent="0.2">
      <c r="A4119" t="str">
        <f>"20200111154146968"</f>
        <v>20200111154146968</v>
      </c>
      <c r="B4119" t="str">
        <f>"1578728506959806"</f>
        <v>1578728506959806</v>
      </c>
      <c r="C4119" t="s">
        <v>37</v>
      </c>
      <c r="D4119">
        <v>5.6018530000000002</v>
      </c>
      <c r="E4119">
        <v>0.56208440000000004</v>
      </c>
      <c r="F4119" t="s">
        <v>39</v>
      </c>
      <c r="G4119">
        <v>-333.54349999999999</v>
      </c>
      <c r="H4119" s="1">
        <v>-3.47295799999999E-6</v>
      </c>
      <c r="I4119">
        <v>15.552589999999901</v>
      </c>
      <c r="J4119">
        <v>-346.12079999999997</v>
      </c>
      <c r="K4119">
        <v>1.1107320000000001</v>
      </c>
      <c r="L4119">
        <v>17.689509999999999</v>
      </c>
      <c r="M4119">
        <v>0.99983049999999996</v>
      </c>
      <c r="N4119">
        <v>0</v>
      </c>
      <c r="O4119">
        <v>1.2030269999999999E-2</v>
      </c>
      <c r="P4119">
        <v>0.99957669999999998</v>
      </c>
      <c r="Q4119">
        <v>2.891819E-2</v>
      </c>
      <c r="R4119">
        <v>-3.2091200000000002E-3</v>
      </c>
      <c r="S4119">
        <v>3.0088499999999998</v>
      </c>
      <c r="T4119">
        <v>-0.26127250000000002</v>
      </c>
      <c r="U4119">
        <v>-0.50201419999999997</v>
      </c>
      <c r="V4119">
        <v>1.520848E-2</v>
      </c>
      <c r="W4119">
        <v>4.2861040000000003E-2</v>
      </c>
      <c r="X4119">
        <v>0.99896529999999994</v>
      </c>
      <c r="Y4119">
        <v>0.17573859999999999</v>
      </c>
      <c r="Z4119">
        <v>-8.5996909999999996E-3</v>
      </c>
      <c r="AA4119">
        <v>0.98439929999999998</v>
      </c>
      <c r="AB4119">
        <v>40</v>
      </c>
      <c r="AC4119">
        <v>12.5772999999999</v>
      </c>
      <c r="AD4119">
        <v>-1.1107354729579999</v>
      </c>
      <c r="AE4119">
        <v>-2.1369199999999999</v>
      </c>
      <c r="AF4119">
        <v>2.2708743999280898</v>
      </c>
      <c r="AG4119">
        <v>-1.1107354729579999</v>
      </c>
      <c r="AH4119">
        <v>12.4562570866155</v>
      </c>
      <c r="AI4119">
        <v>95.013436790789299</v>
      </c>
      <c r="AJ4119">
        <v>79.667993507332895</v>
      </c>
      <c r="AK4119">
        <v>12.710190574456201</v>
      </c>
    </row>
    <row r="4120" spans="1:37" x14ac:dyDescent="0.2">
      <c r="A4120" t="str">
        <f>"20200111154146979"</f>
        <v>20200111154146979</v>
      </c>
      <c r="B4120" t="str">
        <f>"1578728506970543"</f>
        <v>1578728506970543</v>
      </c>
      <c r="C4120" t="s">
        <v>37</v>
      </c>
      <c r="D4120">
        <v>5.6280199999999896</v>
      </c>
      <c r="E4120">
        <v>0.56208340000000001</v>
      </c>
      <c r="F4120" t="s">
        <v>39</v>
      </c>
      <c r="G4120">
        <v>-333.49849999999998</v>
      </c>
      <c r="H4120" s="1">
        <v>-3.49215199999999E-6</v>
      </c>
      <c r="I4120">
        <v>15.553239999999899</v>
      </c>
      <c r="J4120">
        <v>-345.91390000000001</v>
      </c>
      <c r="K4120">
        <v>1.110722</v>
      </c>
      <c r="L4120">
        <v>17.692079999999901</v>
      </c>
      <c r="M4120">
        <v>0.99982850000000001</v>
      </c>
      <c r="N4120">
        <v>0</v>
      </c>
      <c r="O4120">
        <v>1.216419E-2</v>
      </c>
      <c r="P4120">
        <v>0.99959619999999905</v>
      </c>
      <c r="Q4120">
        <v>2.7925330000000002E-2</v>
      </c>
      <c r="R4120">
        <v>-5.276513E-3</v>
      </c>
      <c r="S4120">
        <v>3.0072329999999998</v>
      </c>
      <c r="T4120">
        <v>-0.26462940000000001</v>
      </c>
      <c r="U4120">
        <v>-0.50894170000000005</v>
      </c>
      <c r="V4120">
        <v>1.7410140000000001E-2</v>
      </c>
      <c r="W4120">
        <v>4.1888679999999998E-2</v>
      </c>
      <c r="X4120">
        <v>0.99897060000000004</v>
      </c>
      <c r="Y4120">
        <v>0.1781336</v>
      </c>
      <c r="Z4120">
        <v>-8.8288510000000004E-3</v>
      </c>
      <c r="AA4120">
        <v>0.98396669999999997</v>
      </c>
      <c r="AB4120">
        <v>40</v>
      </c>
      <c r="AC4120">
        <v>12.4154</v>
      </c>
      <c r="AD4120">
        <v>-1.110725492152</v>
      </c>
      <c r="AE4120">
        <v>-2.1388399999999899</v>
      </c>
      <c r="AF4120">
        <v>2.2720589429079201</v>
      </c>
      <c r="AG4120">
        <v>-1.110725492152</v>
      </c>
      <c r="AH4120">
        <v>12.2929082552405</v>
      </c>
      <c r="AI4120">
        <v>95.077404129230601</v>
      </c>
      <c r="AJ4120">
        <v>79.528377171634602</v>
      </c>
      <c r="AK4120">
        <v>12.550360804802599</v>
      </c>
    </row>
    <row r="4121" spans="1:37" x14ac:dyDescent="0.2">
      <c r="A4121" t="str">
        <f>"20200111154146998"</f>
        <v>20200111154146998</v>
      </c>
      <c r="B4121" t="str">
        <f>"1578728506990062"</f>
        <v>1578728506990062</v>
      </c>
      <c r="C4121" t="s">
        <v>37</v>
      </c>
      <c r="D4121">
        <v>5.6158279999999996</v>
      </c>
      <c r="E4121">
        <v>0.56207410000000002</v>
      </c>
      <c r="F4121" t="s">
        <v>39</v>
      </c>
      <c r="G4121">
        <v>-333.4436</v>
      </c>
      <c r="H4121" s="1">
        <v>-3.5152569999999999E-6</v>
      </c>
      <c r="I4121">
        <v>15.555729999999899</v>
      </c>
      <c r="J4121">
        <v>-345.58420000000001</v>
      </c>
      <c r="K4121">
        <v>1.110711</v>
      </c>
      <c r="L4121">
        <v>17.696290000000001</v>
      </c>
      <c r="M4121">
        <v>0.99982549999999903</v>
      </c>
      <c r="N4121">
        <v>0</v>
      </c>
      <c r="O4121">
        <v>1.2377610000000001E-2</v>
      </c>
      <c r="P4121">
        <v>0.99961840000000002</v>
      </c>
      <c r="Q4121">
        <v>2.5975939999999999E-2</v>
      </c>
      <c r="R4121">
        <v>-9.4084909999999997E-3</v>
      </c>
      <c r="S4121">
        <v>3.0060119999999899</v>
      </c>
      <c r="T4121">
        <v>-0.26774320000000001</v>
      </c>
      <c r="U4121">
        <v>-0.51495360000000001</v>
      </c>
      <c r="V4121">
        <v>2.1756899999999999E-2</v>
      </c>
      <c r="W4121">
        <v>3.9968160000000003E-2</v>
      </c>
      <c r="X4121">
        <v>0.99896409999999902</v>
      </c>
      <c r="Y4121">
        <v>0.18029500000000001</v>
      </c>
      <c r="Z4121">
        <v>-9.0486460000000005E-3</v>
      </c>
      <c r="AA4121">
        <v>0.98357099999999897</v>
      </c>
      <c r="AB4121">
        <v>40</v>
      </c>
      <c r="AC4121">
        <v>12.140599999999999</v>
      </c>
      <c r="AD4121">
        <v>-1.1107145152569999</v>
      </c>
      <c r="AE4121">
        <v>-2.1405599999999998</v>
      </c>
      <c r="AF4121">
        <v>2.27223712510779</v>
      </c>
      <c r="AG4121">
        <v>-1.1107145152569999</v>
      </c>
      <c r="AH4121">
        <v>12.015633665701399</v>
      </c>
      <c r="AI4121">
        <v>95.189894071402193</v>
      </c>
      <c r="AJ4121">
        <v>79.291438653954401</v>
      </c>
      <c r="AK4121">
        <v>12.278933205920501</v>
      </c>
    </row>
    <row r="4122" spans="1:37" x14ac:dyDescent="0.2">
      <c r="A4122" t="str">
        <f>"20200111154147011"</f>
        <v>20200111154147011</v>
      </c>
      <c r="B4122" t="str">
        <f>"1578728506999822"</f>
        <v>1578728506999822</v>
      </c>
      <c r="C4122" t="s">
        <v>37</v>
      </c>
      <c r="D4122">
        <v>5.6137870000000003</v>
      </c>
      <c r="E4122">
        <v>0.56207289999999999</v>
      </c>
      <c r="F4122" t="s">
        <v>39</v>
      </c>
      <c r="G4122">
        <v>-333.34410000000003</v>
      </c>
      <c r="H4122" s="1">
        <v>-3.5592370000000001E-6</v>
      </c>
      <c r="I4122">
        <v>15.54848</v>
      </c>
      <c r="J4122">
        <v>-345.36270000000002</v>
      </c>
      <c r="K4122">
        <v>1.1107069999999899</v>
      </c>
      <c r="L4122">
        <v>17.699159999999999</v>
      </c>
      <c r="M4122">
        <v>0.99982359999999904</v>
      </c>
      <c r="N4122">
        <v>0</v>
      </c>
      <c r="O4122">
        <v>1.252108E-2</v>
      </c>
      <c r="P4122">
        <v>0.999613999999999</v>
      </c>
      <c r="Q4122">
        <v>2.5460590000000002E-2</v>
      </c>
      <c r="R4122">
        <v>-1.1128000000000001E-2</v>
      </c>
      <c r="S4122">
        <v>3.00329599999999</v>
      </c>
      <c r="T4122">
        <v>-0.27252979999999999</v>
      </c>
      <c r="U4122">
        <v>-0.52697749999999999</v>
      </c>
      <c r="V4122">
        <v>2.3619950000000001E-2</v>
      </c>
      <c r="W4122">
        <v>3.9469789999999998E-2</v>
      </c>
      <c r="X4122">
        <v>0.99894150000000004</v>
      </c>
      <c r="Y4122">
        <v>0.1843611</v>
      </c>
      <c r="Z4122">
        <v>-9.4104719999999996E-3</v>
      </c>
      <c r="AA4122">
        <v>0.98281350000000001</v>
      </c>
      <c r="AB4122">
        <v>40</v>
      </c>
      <c r="AC4122">
        <v>12.0185999999999</v>
      </c>
      <c r="AD4122">
        <v>-1.1107105592369999</v>
      </c>
      <c r="AE4122">
        <v>-2.1506799999999902</v>
      </c>
      <c r="AF4122">
        <v>2.2821257631186702</v>
      </c>
      <c r="AG4122">
        <v>-1.1107105592369999</v>
      </c>
      <c r="AH4122">
        <v>11.8923088888319</v>
      </c>
      <c r="AI4122">
        <v>95.240720821675296</v>
      </c>
      <c r="AJ4122">
        <v>79.137039261269194</v>
      </c>
      <c r="AK4122">
        <v>12.160131029412501</v>
      </c>
    </row>
    <row r="4123" spans="1:37" x14ac:dyDescent="0.2">
      <c r="A4123" t="str">
        <f>"20200111154147024"</f>
        <v>20200111154147024</v>
      </c>
      <c r="B4123" t="str">
        <f>"1578728507020318"</f>
        <v>1578728507020318</v>
      </c>
      <c r="C4123" t="s">
        <v>37</v>
      </c>
      <c r="D4123">
        <v>5.6213119999999996</v>
      </c>
      <c r="E4123">
        <v>0.56209699999999996</v>
      </c>
      <c r="F4123" t="s">
        <v>39</v>
      </c>
      <c r="G4123">
        <v>-333.1746</v>
      </c>
      <c r="H4123" s="1">
        <v>-3.6335859999999999E-6</v>
      </c>
      <c r="I4123">
        <v>15.539129999999901</v>
      </c>
      <c r="J4123">
        <v>-345.14659999999998</v>
      </c>
      <c r="K4123">
        <v>1.1107020000000001</v>
      </c>
      <c r="L4123">
        <v>17.701969999999999</v>
      </c>
      <c r="M4123">
        <v>0.99982150000000003</v>
      </c>
      <c r="N4123">
        <v>0</v>
      </c>
      <c r="O4123">
        <v>1.2661159999999999E-2</v>
      </c>
      <c r="P4123">
        <v>0.99960450000000001</v>
      </c>
      <c r="Q4123">
        <v>2.5171499999999999E-2</v>
      </c>
      <c r="R4123">
        <v>-1.2558339999999999E-2</v>
      </c>
      <c r="S4123">
        <v>3.0021969999999998</v>
      </c>
      <c r="T4123">
        <v>-0.27359329999999998</v>
      </c>
      <c r="U4123">
        <v>-0.5320435</v>
      </c>
      <c r="V4123">
        <v>2.5190069999999998E-2</v>
      </c>
      <c r="W4123">
        <v>3.9195809999999998E-2</v>
      </c>
      <c r="X4123">
        <v>0.99891399999999997</v>
      </c>
      <c r="Y4123">
        <v>0.18615390000000001</v>
      </c>
      <c r="Z4123">
        <v>-9.5426179999999992E-3</v>
      </c>
      <c r="AA4123">
        <v>0.98247430000000002</v>
      </c>
      <c r="AB4123">
        <v>39</v>
      </c>
      <c r="AC4123">
        <v>11.9719999999999</v>
      </c>
      <c r="AD4123">
        <v>-1.1107056335859999</v>
      </c>
      <c r="AE4123">
        <v>-2.1628400000000001</v>
      </c>
      <c r="AF4123">
        <v>2.29513051560633</v>
      </c>
      <c r="AG4123">
        <v>-1.1107056335859999</v>
      </c>
      <c r="AH4123">
        <v>11.8449234738158</v>
      </c>
      <c r="AI4123">
        <v>95.259731174129598</v>
      </c>
      <c r="AJ4123">
        <v>79.033980016793706</v>
      </c>
      <c r="AK4123">
        <v>12.1162495512721</v>
      </c>
    </row>
    <row r="4124" spans="1:37" x14ac:dyDescent="0.2">
      <c r="A4124" t="str">
        <f>"20200111154147040"</f>
        <v>20200111154147040</v>
      </c>
      <c r="B4124" t="str">
        <f>"1578728507030079"</f>
        <v>1578728507030079</v>
      </c>
      <c r="C4124" t="s">
        <v>37</v>
      </c>
      <c r="D4124">
        <v>5.609413</v>
      </c>
      <c r="E4124">
        <v>0.56207079999999998</v>
      </c>
      <c r="F4124" t="s">
        <v>39</v>
      </c>
      <c r="G4124">
        <v>-333.00740000000002</v>
      </c>
      <c r="H4124" s="1">
        <v>-3.7066070000000002E-6</v>
      </c>
      <c r="I4124">
        <v>15.532</v>
      </c>
      <c r="J4124">
        <v>-344.83260000000001</v>
      </c>
      <c r="K4124">
        <v>1.110689</v>
      </c>
      <c r="L4124">
        <v>17.706119999999999</v>
      </c>
      <c r="M4124">
        <v>0.99981869999999995</v>
      </c>
      <c r="N4124">
        <v>0</v>
      </c>
      <c r="O4124">
        <v>1.286439E-2</v>
      </c>
      <c r="P4124">
        <v>0.99961480000000003</v>
      </c>
      <c r="Q4124">
        <v>2.3499409999999998E-2</v>
      </c>
      <c r="R4124">
        <v>-1.476806E-2</v>
      </c>
      <c r="S4124">
        <v>3.001404</v>
      </c>
      <c r="T4124">
        <v>-0.27461869999999999</v>
      </c>
      <c r="U4124">
        <v>-0.53649899999999995</v>
      </c>
      <c r="V4124">
        <v>2.7603860000000001E-2</v>
      </c>
      <c r="W4124">
        <v>3.7543840000000002E-2</v>
      </c>
      <c r="X4124">
        <v>0.99891359999999996</v>
      </c>
      <c r="Y4124">
        <v>0.18779799999999999</v>
      </c>
      <c r="Z4124">
        <v>-9.6723880000000005E-3</v>
      </c>
      <c r="AA4124">
        <v>0.98216000000000003</v>
      </c>
      <c r="AB4124">
        <v>39</v>
      </c>
      <c r="AC4124">
        <v>11.825199999999899</v>
      </c>
      <c r="AD4124">
        <v>-1.110692706607</v>
      </c>
      <c r="AE4124">
        <v>-2.1741199999999998</v>
      </c>
      <c r="AF4124">
        <v>2.3063971199539699</v>
      </c>
      <c r="AG4124">
        <v>-1.110692706607</v>
      </c>
      <c r="AH4124">
        <v>11.696436859393099</v>
      </c>
      <c r="AI4124">
        <v>95.322648509253995</v>
      </c>
      <c r="AJ4124">
        <v>78.845069335632203</v>
      </c>
      <c r="AK4124">
        <v>11.973292829009599</v>
      </c>
    </row>
    <row r="4125" spans="1:37" x14ac:dyDescent="0.2">
      <c r="A4125" t="str">
        <f>"20200111154147052"</f>
        <v>20200111154147052</v>
      </c>
      <c r="B4125" t="str">
        <f>"1578728507050575"</f>
        <v>1578728507050575</v>
      </c>
      <c r="C4125" t="s">
        <v>37</v>
      </c>
      <c r="D4125">
        <v>5.5216329999999996</v>
      </c>
      <c r="E4125">
        <v>0.56200269999999997</v>
      </c>
      <c r="F4125" t="s">
        <v>39</v>
      </c>
      <c r="G4125">
        <v>-332.89749999999998</v>
      </c>
      <c r="H4125" s="1">
        <v>-3.7512169999999899E-6</v>
      </c>
      <c r="I4125">
        <v>15.5462899999999</v>
      </c>
      <c r="J4125">
        <v>-344.63619999999997</v>
      </c>
      <c r="K4125">
        <v>1.1106819999999999</v>
      </c>
      <c r="L4125">
        <v>17.708770000000001</v>
      </c>
      <c r="M4125">
        <v>0.99981699999999996</v>
      </c>
      <c r="N4125">
        <v>0</v>
      </c>
      <c r="O4125">
        <v>1.299145E-2</v>
      </c>
      <c r="P4125">
        <v>0.99962189999999995</v>
      </c>
      <c r="Q4125">
        <v>2.279869E-2</v>
      </c>
      <c r="R4125">
        <v>-1.538022E-2</v>
      </c>
      <c r="S4125">
        <v>2.999695</v>
      </c>
      <c r="T4125">
        <v>-0.27915380000000001</v>
      </c>
      <c r="U4125">
        <v>-0.54281619999999997</v>
      </c>
      <c r="V4125">
        <v>2.8343719999999999E-2</v>
      </c>
      <c r="W4125">
        <v>3.6854329999999998E-2</v>
      </c>
      <c r="X4125">
        <v>0.99891859999999999</v>
      </c>
      <c r="Y4125">
        <v>0.1899855</v>
      </c>
      <c r="Z4125">
        <v>-9.9476100000000008E-3</v>
      </c>
      <c r="AA4125">
        <v>0.98173650000000001</v>
      </c>
      <c r="AB4125">
        <v>39</v>
      </c>
      <c r="AC4125">
        <v>11.7386999999999</v>
      </c>
      <c r="AD4125">
        <v>-1.1106857512170001</v>
      </c>
      <c r="AE4125">
        <v>-2.16248</v>
      </c>
      <c r="AF4125">
        <v>2.2949441923399898</v>
      </c>
      <c r="AG4125">
        <v>-1.1106857512170001</v>
      </c>
      <c r="AH4125">
        <v>11.6090939071048</v>
      </c>
      <c r="AI4125">
        <v>95.361924868695297</v>
      </c>
      <c r="AJ4125">
        <v>78.817660120229604</v>
      </c>
      <c r="AK4125">
        <v>11.8857668254046</v>
      </c>
    </row>
    <row r="4126" spans="1:37" x14ac:dyDescent="0.2">
      <c r="A4126" t="str">
        <f>"20200111154147064"</f>
        <v>20200111154147064</v>
      </c>
      <c r="B4126" t="str">
        <f>"1578728507060334"</f>
        <v>1578728507060334</v>
      </c>
      <c r="C4126" t="s">
        <v>37</v>
      </c>
      <c r="D4126">
        <v>5.571161</v>
      </c>
      <c r="E4126">
        <v>0.56197810000000004</v>
      </c>
      <c r="F4126" t="s">
        <v>39</v>
      </c>
      <c r="G4126">
        <v>-332.77749999999997</v>
      </c>
      <c r="H4126" s="1">
        <v>-3.800674E-6</v>
      </c>
      <c r="I4126">
        <v>15.557689999999999</v>
      </c>
      <c r="J4126">
        <v>-344.43310000000002</v>
      </c>
      <c r="K4126">
        <v>1.1106750000000001</v>
      </c>
      <c r="L4126">
        <v>17.71152</v>
      </c>
      <c r="M4126">
        <v>0.99981500000000001</v>
      </c>
      <c r="N4126">
        <v>0</v>
      </c>
      <c r="O4126">
        <v>1.312316E-2</v>
      </c>
      <c r="P4126">
        <v>0.99963740000000001</v>
      </c>
      <c r="Q4126">
        <v>2.1891620000000001E-2</v>
      </c>
      <c r="R4126">
        <v>-1.568319E-2</v>
      </c>
      <c r="S4126">
        <v>2.9991759999999998</v>
      </c>
      <c r="T4126">
        <v>-0.28090159999999997</v>
      </c>
      <c r="U4126">
        <v>-0.54400630000000005</v>
      </c>
      <c r="V4126">
        <v>2.8779010000000001E-2</v>
      </c>
      <c r="W4126">
        <v>3.5957999999999997E-2</v>
      </c>
      <c r="X4126">
        <v>0.99893889999999996</v>
      </c>
      <c r="Y4126">
        <v>0.19050810000000001</v>
      </c>
      <c r="Z4126">
        <v>-1.004741E-2</v>
      </c>
      <c r="AA4126">
        <v>0.98163419999999901</v>
      </c>
      <c r="AB4126">
        <v>39</v>
      </c>
      <c r="AC4126">
        <v>11.6556</v>
      </c>
      <c r="AD4126">
        <v>-1.110678800674</v>
      </c>
      <c r="AE4126">
        <v>-2.1538300000000001</v>
      </c>
      <c r="AF4126">
        <v>2.2865406673738899</v>
      </c>
      <c r="AG4126">
        <v>-1.110678800674</v>
      </c>
      <c r="AH4126">
        <v>11.5251304213061</v>
      </c>
      <c r="AI4126">
        <v>95.399996677367596</v>
      </c>
      <c r="AJ4126">
        <v>78.778458175772101</v>
      </c>
      <c r="AK4126">
        <v>11.8021399267225</v>
      </c>
    </row>
    <row r="4127" spans="1:37" x14ac:dyDescent="0.2">
      <c r="A4127" t="str">
        <f>"20200111154147075"</f>
        <v>20200111154147075</v>
      </c>
      <c r="B4127" t="str">
        <f>"1578728507070095"</f>
        <v>1578728507070095</v>
      </c>
      <c r="C4127" t="s">
        <v>37</v>
      </c>
      <c r="D4127">
        <v>5.6246980000000004</v>
      </c>
      <c r="E4127">
        <v>0.56195989999999996</v>
      </c>
      <c r="F4127" t="s">
        <v>39</v>
      </c>
      <c r="G4127">
        <v>-332.66559999999998</v>
      </c>
      <c r="H4127" s="1">
        <v>-3.8457030000000002E-6</v>
      </c>
      <c r="I4127">
        <v>15.5742799999999</v>
      </c>
      <c r="J4127">
        <v>-344.22320000000002</v>
      </c>
      <c r="K4127">
        <v>1.11067</v>
      </c>
      <c r="L4127">
        <v>17.714389999999899</v>
      </c>
      <c r="M4127">
        <v>0.99981309999999901</v>
      </c>
      <c r="N4127">
        <v>0</v>
      </c>
      <c r="O4127">
        <v>1.325904E-2</v>
      </c>
      <c r="P4127">
        <v>0.99964279999999905</v>
      </c>
      <c r="Q4127">
        <v>2.1164229999999999E-2</v>
      </c>
      <c r="R4127">
        <v>-1.6325389999999999E-2</v>
      </c>
      <c r="S4127">
        <v>2.9987490000000001</v>
      </c>
      <c r="T4127">
        <v>-0.2830376</v>
      </c>
      <c r="U4127">
        <v>-0.54461669999999995</v>
      </c>
      <c r="V4127">
        <v>2.9557429999999999E-2</v>
      </c>
      <c r="W4127">
        <v>3.524033E-2</v>
      </c>
      <c r="X4127">
        <v>0.99894169999999904</v>
      </c>
      <c r="Y4127">
        <v>0.19084409999999999</v>
      </c>
      <c r="Z4127">
        <v>-1.015312E-2</v>
      </c>
      <c r="AA4127">
        <v>0.98156790000000005</v>
      </c>
      <c r="AB4127">
        <v>39</v>
      </c>
      <c r="AC4127">
        <v>11.557600000000001</v>
      </c>
      <c r="AD4127">
        <v>-1.1106738457030001</v>
      </c>
      <c r="AE4127">
        <v>-2.14011</v>
      </c>
      <c r="AF4127">
        <v>2.2728853913465401</v>
      </c>
      <c r="AG4127">
        <v>-1.1106738457030001</v>
      </c>
      <c r="AH4127">
        <v>11.4261823283603</v>
      </c>
      <c r="AI4127">
        <v>95.445914177598596</v>
      </c>
      <c r="AJ4127">
        <v>78.749631410084405</v>
      </c>
      <c r="AK4127">
        <v>11.7028734503394</v>
      </c>
    </row>
    <row r="4128" spans="1:37" x14ac:dyDescent="0.2">
      <c r="A4128" t="str">
        <f>"20200111154147087"</f>
        <v>20200111154147087</v>
      </c>
      <c r="B4128" t="str">
        <f>"1578728507079855"</f>
        <v>1578728507079855</v>
      </c>
      <c r="C4128" t="s">
        <v>37</v>
      </c>
      <c r="D4128">
        <v>5.6382059999999896</v>
      </c>
      <c r="E4128">
        <v>0.56194560000000005</v>
      </c>
      <c r="F4128" t="s">
        <v>39</v>
      </c>
      <c r="G4128">
        <v>-332.51420000000002</v>
      </c>
      <c r="H4128" s="1">
        <v>-3.909615E-6</v>
      </c>
      <c r="I4128">
        <v>15.580329999999901</v>
      </c>
      <c r="J4128">
        <v>-344.02050000000003</v>
      </c>
      <c r="K4128">
        <v>1.110665</v>
      </c>
      <c r="L4128">
        <v>17.717189999999999</v>
      </c>
      <c r="M4128">
        <v>0.99981129999999996</v>
      </c>
      <c r="N4128">
        <v>0</v>
      </c>
      <c r="O4128">
        <v>1.3390279999999999E-2</v>
      </c>
      <c r="P4128">
        <v>0.99964509999999995</v>
      </c>
      <c r="Q4128">
        <v>2.0482170000000001E-2</v>
      </c>
      <c r="R4128">
        <v>-1.703882E-2</v>
      </c>
      <c r="S4128">
        <v>2.9981689999999999</v>
      </c>
      <c r="T4128">
        <v>-0.28439500000000001</v>
      </c>
      <c r="U4128">
        <v>-0.54641719999999905</v>
      </c>
      <c r="V4128">
        <v>3.040267E-2</v>
      </c>
      <c r="W4128">
        <v>3.4566979999999997E-2</v>
      </c>
      <c r="X4128">
        <v>0.99893980000000004</v>
      </c>
      <c r="Y4128">
        <v>0.1915644</v>
      </c>
      <c r="Z4128">
        <v>-1.024913E-2</v>
      </c>
      <c r="AA4128">
        <v>0.98142649999999998</v>
      </c>
      <c r="AB4128">
        <v>39</v>
      </c>
      <c r="AC4128">
        <v>11.5063</v>
      </c>
      <c r="AD4128">
        <v>-1.110668909615</v>
      </c>
      <c r="AE4128">
        <v>-2.13686</v>
      </c>
      <c r="AF4128">
        <v>2.2703079460562101</v>
      </c>
      <c r="AG4128">
        <v>-1.110668909615</v>
      </c>
      <c r="AH4128">
        <v>11.374206679080199</v>
      </c>
      <c r="AI4128">
        <v>95.4699140121065</v>
      </c>
      <c r="AJ4128">
        <v>78.7120271299992</v>
      </c>
      <c r="AK4128">
        <v>11.651629121077599</v>
      </c>
    </row>
    <row r="4129" spans="1:37" x14ac:dyDescent="0.2">
      <c r="A4129" t="str">
        <f>"20200111154147099"</f>
        <v>20200111154147099</v>
      </c>
      <c r="B4129" t="str">
        <f>"1578728507090590"</f>
        <v>1578728507090590</v>
      </c>
      <c r="C4129" t="s">
        <v>37</v>
      </c>
      <c r="D4129">
        <v>5.5605849999999997</v>
      </c>
      <c r="E4129">
        <v>0.56190989999999996</v>
      </c>
      <c r="F4129" t="s">
        <v>39</v>
      </c>
      <c r="G4129">
        <v>-332.36430000000001</v>
      </c>
      <c r="H4129" s="1">
        <v>-3.9732509999999998E-6</v>
      </c>
      <c r="I4129">
        <v>15.583909999999999</v>
      </c>
      <c r="J4129">
        <v>-343.81150000000002</v>
      </c>
      <c r="K4129">
        <v>1.1106609999999999</v>
      </c>
      <c r="L4129">
        <v>17.720089999999999</v>
      </c>
      <c r="M4129">
        <v>0.99980939999999996</v>
      </c>
      <c r="N4129">
        <v>0</v>
      </c>
      <c r="O4129">
        <v>1.35257E-2</v>
      </c>
      <c r="P4129">
        <v>0.99964050000000004</v>
      </c>
      <c r="Q4129">
        <v>1.9821829999999999E-2</v>
      </c>
      <c r="R4129">
        <v>-1.806367E-2</v>
      </c>
      <c r="S4129">
        <v>2.9975589999999999</v>
      </c>
      <c r="T4129">
        <v>-0.28562500000000002</v>
      </c>
      <c r="U4129">
        <v>-0.54858399999999996</v>
      </c>
      <c r="V4129">
        <v>3.1563099999999997E-2</v>
      </c>
      <c r="W4129">
        <v>3.3915519999999998E-2</v>
      </c>
      <c r="X4129">
        <v>0.99892619999999899</v>
      </c>
      <c r="Y4129">
        <v>0.19240679999999999</v>
      </c>
      <c r="Z4129">
        <v>-1.0347149999999999E-2</v>
      </c>
      <c r="AA4129">
        <v>0.98126069999999999</v>
      </c>
      <c r="AB4129">
        <v>39</v>
      </c>
      <c r="AC4129">
        <v>11.4472</v>
      </c>
      <c r="AD4129">
        <v>-1.1106649732510001</v>
      </c>
      <c r="AE4129">
        <v>-2.1361799999999902</v>
      </c>
      <c r="AF4129">
        <v>2.2701793288849799</v>
      </c>
      <c r="AG4129">
        <v>-1.1106649732510001</v>
      </c>
      <c r="AH4129">
        <v>11.3143292907881</v>
      </c>
      <c r="AI4129">
        <v>95.497566697516405</v>
      </c>
      <c r="AJ4129">
        <v>78.654460970034904</v>
      </c>
      <c r="AK4129">
        <v>11.593159110806999</v>
      </c>
    </row>
    <row r="4130" spans="1:37" x14ac:dyDescent="0.2">
      <c r="A4130" t="str">
        <f>"20200111154147111"</f>
        <v>20200111154147111</v>
      </c>
      <c r="B4130" t="str">
        <f>"1578728507100351"</f>
        <v>1578728507100351</v>
      </c>
      <c r="C4130" t="s">
        <v>37</v>
      </c>
      <c r="D4130">
        <v>5.5680050000000003</v>
      </c>
      <c r="E4130">
        <v>0.56185589999999996</v>
      </c>
      <c r="F4130" t="s">
        <v>39</v>
      </c>
      <c r="G4130">
        <v>-332.20830000000001</v>
      </c>
      <c r="H4130" s="1">
        <v>-4.0399659999999998E-6</v>
      </c>
      <c r="I4130">
        <v>15.585229999999999</v>
      </c>
      <c r="J4130">
        <v>-343.61759999999998</v>
      </c>
      <c r="K4130">
        <v>1.1106609999999999</v>
      </c>
      <c r="L4130">
        <v>17.722809999999999</v>
      </c>
      <c r="M4130">
        <v>0.99980749999999996</v>
      </c>
      <c r="N4130">
        <v>0</v>
      </c>
      <c r="O4130">
        <v>1.365135E-2</v>
      </c>
      <c r="P4130">
        <v>0.99963060000000004</v>
      </c>
      <c r="Q4130">
        <v>1.9203830000000002E-2</v>
      </c>
      <c r="R4130">
        <v>-1.9234480000000002E-2</v>
      </c>
      <c r="S4130">
        <v>2.996826</v>
      </c>
      <c r="T4130">
        <v>-0.28685659999999902</v>
      </c>
      <c r="U4130">
        <v>-0.55136109999999905</v>
      </c>
      <c r="V4130">
        <v>3.285971E-2</v>
      </c>
      <c r="W4130">
        <v>3.3304090000000001E-2</v>
      </c>
      <c r="X4130">
        <v>0.99890489999999998</v>
      </c>
      <c r="Y4130">
        <v>0.193439</v>
      </c>
      <c r="Z4130">
        <v>-1.045399E-2</v>
      </c>
      <c r="AA4130">
        <v>0.98105659999999895</v>
      </c>
      <c r="AB4130">
        <v>39</v>
      </c>
      <c r="AC4130">
        <v>11.409299999999901</v>
      </c>
      <c r="AD4130">
        <v>-1.1106650399660001</v>
      </c>
      <c r="AE4130">
        <v>-2.1375799999999998</v>
      </c>
      <c r="AF4130">
        <v>2.2723449409257799</v>
      </c>
      <c r="AG4130">
        <v>-1.1106650399660001</v>
      </c>
      <c r="AH4130">
        <v>11.275821095714599</v>
      </c>
      <c r="AI4130">
        <v>95.515296777608</v>
      </c>
      <c r="AJ4130">
        <v>78.606149554965299</v>
      </c>
      <c r="AK4130">
        <v>11.556005786781</v>
      </c>
    </row>
    <row r="4131" spans="1:37" x14ac:dyDescent="0.2">
      <c r="A4131" t="str">
        <f>"20200111154147124"</f>
        <v>20200111154147124</v>
      </c>
      <c r="B4131" t="str">
        <f>"1578728507119871"</f>
        <v>1578728507119871</v>
      </c>
      <c r="C4131" t="s">
        <v>37</v>
      </c>
      <c r="D4131">
        <v>5.4518069999999996</v>
      </c>
      <c r="E4131">
        <v>0.56178269999999997</v>
      </c>
      <c r="F4131" t="s">
        <v>39</v>
      </c>
      <c r="G4131">
        <v>-332.05099999999999</v>
      </c>
      <c r="H4131" s="1">
        <v>-4.1078779999999999E-6</v>
      </c>
      <c r="I4131">
        <v>15.58278</v>
      </c>
      <c r="J4131">
        <v>-343.37560000000002</v>
      </c>
      <c r="K4131">
        <v>1.11066</v>
      </c>
      <c r="L4131">
        <v>17.72626</v>
      </c>
      <c r="M4131">
        <v>0.99980530000000001</v>
      </c>
      <c r="N4131">
        <v>0</v>
      </c>
      <c r="O4131">
        <v>1.3808340000000001E-2</v>
      </c>
      <c r="P4131">
        <v>0.99961880000000003</v>
      </c>
      <c r="Q4131">
        <v>1.8598819999999999E-2</v>
      </c>
      <c r="R4131">
        <v>-2.0409400000000001E-2</v>
      </c>
      <c r="S4131">
        <v>2.9960019999999998</v>
      </c>
      <c r="T4131">
        <v>-0.28768470000000002</v>
      </c>
      <c r="U4131">
        <v>-0.55429079999999997</v>
      </c>
      <c r="V4131">
        <v>3.4191489999999998E-2</v>
      </c>
      <c r="W4131">
        <v>3.2707409999999999E-2</v>
      </c>
      <c r="X4131">
        <v>0.99887999999999899</v>
      </c>
      <c r="Y4131">
        <v>0.19455739999999999</v>
      </c>
      <c r="Z4131">
        <v>-1.0553999999999999E-2</v>
      </c>
      <c r="AA4131">
        <v>0.9808344</v>
      </c>
      <c r="AB4131">
        <v>39</v>
      </c>
      <c r="AC4131">
        <v>11.3246</v>
      </c>
      <c r="AD4131">
        <v>-1.110664107878</v>
      </c>
      <c r="AE4131">
        <v>-2.1434799999999998</v>
      </c>
      <c r="AF4131">
        <v>2.2785066370803002</v>
      </c>
      <c r="AG4131">
        <v>-1.110664107878</v>
      </c>
      <c r="AH4131">
        <v>11.190007789192499</v>
      </c>
      <c r="AI4131">
        <v>95.555071752265604</v>
      </c>
      <c r="AJ4131">
        <v>78.490787198100506</v>
      </c>
      <c r="AK4131">
        <v>11.4735104295911</v>
      </c>
    </row>
    <row r="4132" spans="1:37" x14ac:dyDescent="0.2">
      <c r="A4132" t="str">
        <f>"20200111154147142"</f>
        <v>20200111154147142</v>
      </c>
      <c r="B4132" t="str">
        <f>"1578728507130606"</f>
        <v>1578728507130606</v>
      </c>
      <c r="C4132" t="s">
        <v>37</v>
      </c>
      <c r="D4132">
        <v>5.5524449999999996</v>
      </c>
      <c r="E4132">
        <v>0.56176649999999995</v>
      </c>
      <c r="F4132" t="s">
        <v>39</v>
      </c>
      <c r="G4132">
        <v>-331.88060000000002</v>
      </c>
      <c r="H4132" s="1">
        <v>-4.1800370000000002E-6</v>
      </c>
      <c r="I4132">
        <v>15.588100000000001</v>
      </c>
      <c r="J4132">
        <v>-343.05340000000001</v>
      </c>
      <c r="K4132">
        <v>1.1106659999999999</v>
      </c>
      <c r="L4132">
        <v>17.730869999999999</v>
      </c>
      <c r="M4132">
        <v>0.99980239999999998</v>
      </c>
      <c r="N4132">
        <v>0</v>
      </c>
      <c r="O4132">
        <v>1.4016999999999899E-2</v>
      </c>
      <c r="P4132">
        <v>0.99959430000000005</v>
      </c>
      <c r="Q4132">
        <v>1.7797380000000002E-2</v>
      </c>
      <c r="R4132">
        <v>-2.2239729999999999E-2</v>
      </c>
      <c r="S4132">
        <v>2.9951479999999999</v>
      </c>
      <c r="T4132">
        <v>-0.28939540000000002</v>
      </c>
      <c r="U4132">
        <v>-0.55709839999999999</v>
      </c>
      <c r="V4132">
        <v>3.6230430000000001E-2</v>
      </c>
      <c r="W4132">
        <v>3.1915789999999999E-2</v>
      </c>
      <c r="X4132">
        <v>0.99883369999999905</v>
      </c>
      <c r="Y4132">
        <v>0.19568350000000001</v>
      </c>
      <c r="Z4132">
        <v>-1.069232E-2</v>
      </c>
      <c r="AA4132">
        <v>0.98060879999999995</v>
      </c>
      <c r="AB4132">
        <v>39</v>
      </c>
      <c r="AC4132">
        <v>11.172799999999899</v>
      </c>
      <c r="AD4132">
        <v>-1.110670180037</v>
      </c>
      <c r="AE4132">
        <v>-2.1427699999999898</v>
      </c>
      <c r="AF4132">
        <v>2.2774764883771201</v>
      </c>
      <c r="AG4132">
        <v>-1.110670180037</v>
      </c>
      <c r="AH4132">
        <v>11.0364703650949</v>
      </c>
      <c r="AI4132">
        <v>95.628875362818107</v>
      </c>
      <c r="AJ4132">
        <v>78.340161659263899</v>
      </c>
      <c r="AK4132">
        <v>11.323610975459699</v>
      </c>
    </row>
    <row r="4133" spans="1:37" x14ac:dyDescent="0.2">
      <c r="A4133" t="str">
        <f>"20200111154147154"</f>
        <v>20200111154147154</v>
      </c>
      <c r="B4133" t="str">
        <f>"1578728507150126"</f>
        <v>1578728507150126</v>
      </c>
      <c r="C4133" t="s">
        <v>37</v>
      </c>
      <c r="D4133">
        <v>5.5633119999999998</v>
      </c>
      <c r="E4133">
        <v>0.56174139999999995</v>
      </c>
      <c r="F4133" t="s">
        <v>39</v>
      </c>
      <c r="G4133">
        <v>-331.64429999999999</v>
      </c>
      <c r="H4133" s="1">
        <v>-4.2813790000000003E-6</v>
      </c>
      <c r="I4133">
        <v>15.58835</v>
      </c>
      <c r="J4133">
        <v>-342.85320000000002</v>
      </c>
      <c r="K4133">
        <v>1.1106689999999999</v>
      </c>
      <c r="L4133">
        <v>17.733799999999999</v>
      </c>
      <c r="M4133">
        <v>0.99980040000000003</v>
      </c>
      <c r="N4133">
        <v>0</v>
      </c>
      <c r="O4133">
        <v>1.4146890000000001E-2</v>
      </c>
      <c r="P4133">
        <v>0.99957819999999997</v>
      </c>
      <c r="Q4133">
        <v>1.7645049999999999E-2</v>
      </c>
      <c r="R4133">
        <v>-2.3067230000000001E-2</v>
      </c>
      <c r="S4133">
        <v>2.9938660000000001</v>
      </c>
      <c r="T4133">
        <v>-0.2914504</v>
      </c>
      <c r="U4133">
        <v>-0.56219479999999999</v>
      </c>
      <c r="V4133">
        <v>3.718751E-2</v>
      </c>
      <c r="W4133">
        <v>3.1768520000000001E-2</v>
      </c>
      <c r="X4133">
        <v>0.998803199999999</v>
      </c>
      <c r="Y4133">
        <v>0.19747629999999999</v>
      </c>
      <c r="Z4133">
        <v>-1.086958E-2</v>
      </c>
      <c r="AA4133">
        <v>0.98024739999999999</v>
      </c>
      <c r="AB4133">
        <v>39</v>
      </c>
      <c r="AC4133">
        <v>11.2089</v>
      </c>
      <c r="AD4133">
        <v>-1.1106732813789999</v>
      </c>
      <c r="AE4133">
        <v>-2.1454499999999901</v>
      </c>
      <c r="AF4133">
        <v>2.2822061242134399</v>
      </c>
      <c r="AG4133">
        <v>-1.1106732813789999</v>
      </c>
      <c r="AH4133">
        <v>11.0725495922677</v>
      </c>
      <c r="AI4133">
        <v>95.610937285957604</v>
      </c>
      <c r="AJ4133">
        <v>78.353640655280799</v>
      </c>
      <c r="AK4133">
        <v>11.359727743418601</v>
      </c>
    </row>
    <row r="4134" spans="1:37" x14ac:dyDescent="0.2">
      <c r="A4134" t="str">
        <f>"20200111154147166"</f>
        <v>20200111154147166</v>
      </c>
      <c r="B4134" t="str">
        <f>"1578728507159887"</f>
        <v>1578728507159887</v>
      </c>
      <c r="C4134" t="s">
        <v>37</v>
      </c>
      <c r="D4134">
        <v>5.5502690000000001</v>
      </c>
      <c r="E4134">
        <v>0.56173379999999995</v>
      </c>
      <c r="F4134" t="s">
        <v>39</v>
      </c>
      <c r="G4134">
        <v>-331.42579999999998</v>
      </c>
      <c r="H4134" s="1">
        <v>-4.3766090000000002E-6</v>
      </c>
      <c r="I4134">
        <v>15.579800000000001</v>
      </c>
      <c r="J4134">
        <v>-342.64</v>
      </c>
      <c r="K4134">
        <v>1.1106739999999999</v>
      </c>
      <c r="L4134">
        <v>17.736910000000002</v>
      </c>
      <c r="M4134">
        <v>0.99979839999999998</v>
      </c>
      <c r="N4134">
        <v>0</v>
      </c>
      <c r="O4134">
        <v>1.428507E-2</v>
      </c>
      <c r="P4134">
        <v>0.99955869999999902</v>
      </c>
      <c r="Q4134">
        <v>1.788056E-2</v>
      </c>
      <c r="R4134">
        <v>-2.37267E-2</v>
      </c>
      <c r="S4134">
        <v>2.9933779999999999</v>
      </c>
      <c r="T4134">
        <v>-0.29093659999999999</v>
      </c>
      <c r="U4134">
        <v>-0.56420899999999996</v>
      </c>
      <c r="V4134">
        <v>3.7984610000000002E-2</v>
      </c>
      <c r="W4134">
        <v>3.2009200000000002E-2</v>
      </c>
      <c r="X4134">
        <v>0.99876549999999997</v>
      </c>
      <c r="Y4134">
        <v>0.1982766</v>
      </c>
      <c r="Z4134">
        <v>-1.0903329999999999E-2</v>
      </c>
      <c r="AA4134">
        <v>0.980085399999999</v>
      </c>
      <c r="AB4134">
        <v>39</v>
      </c>
      <c r="AC4134">
        <v>11.2142</v>
      </c>
      <c r="AD4134">
        <v>-1.110678376609</v>
      </c>
      <c r="AE4134">
        <v>-2.1571099999999999</v>
      </c>
      <c r="AF4134">
        <v>2.2953885610649198</v>
      </c>
      <c r="AG4134">
        <v>-1.110678376609</v>
      </c>
      <c r="AH4134">
        <v>11.0774525317689</v>
      </c>
      <c r="AI4134">
        <v>95.607281757735905</v>
      </c>
      <c r="AJ4134">
        <v>78.293262937405302</v>
      </c>
      <c r="AK4134">
        <v>11.3671619015534</v>
      </c>
    </row>
    <row r="4135" spans="1:37" x14ac:dyDescent="0.2">
      <c r="A4135" t="str">
        <f>"20200111154147177"</f>
        <v>20200111154147177</v>
      </c>
      <c r="B4135" t="str">
        <f>"1578728507170622"</f>
        <v>1578728507170622</v>
      </c>
      <c r="C4135" t="s">
        <v>37</v>
      </c>
      <c r="D4135">
        <v>5.5528190000000004</v>
      </c>
      <c r="E4135">
        <v>0.56172519999999904</v>
      </c>
      <c r="F4135" t="s">
        <v>39</v>
      </c>
      <c r="G4135">
        <v>-331.16890000000001</v>
      </c>
      <c r="H4135" s="1">
        <v>-4.4889079999999997E-6</v>
      </c>
      <c r="I4135">
        <v>15.567929999999899</v>
      </c>
      <c r="J4135">
        <v>-342.44330000000002</v>
      </c>
      <c r="K4135">
        <v>1.1106780000000001</v>
      </c>
      <c r="L4135">
        <v>17.739840000000001</v>
      </c>
      <c r="M4135">
        <v>0.99979640000000003</v>
      </c>
      <c r="N4135">
        <v>0</v>
      </c>
      <c r="O4135">
        <v>1.441277E-2</v>
      </c>
      <c r="P4135">
        <v>0.99953630000000004</v>
      </c>
      <c r="Q4135">
        <v>1.8473699999999999E-2</v>
      </c>
      <c r="R4135">
        <v>-2.4207289999999999E-2</v>
      </c>
      <c r="S4135">
        <v>2.9930729999999999</v>
      </c>
      <c r="T4135">
        <v>-0.28980259999999902</v>
      </c>
      <c r="U4135">
        <v>-0.56591800000000003</v>
      </c>
      <c r="V4135">
        <v>3.8592019999999998E-2</v>
      </c>
      <c r="W4135">
        <v>3.2605889999999998E-2</v>
      </c>
      <c r="X4135">
        <v>0.99872289999999997</v>
      </c>
      <c r="Y4135">
        <v>0.198964</v>
      </c>
      <c r="Z4135">
        <v>-1.090669E-2</v>
      </c>
      <c r="AA4135">
        <v>0.97994609999999904</v>
      </c>
      <c r="AB4135">
        <v>39</v>
      </c>
      <c r="AC4135">
        <v>11.2744</v>
      </c>
      <c r="AD4135">
        <v>-1.110682488908</v>
      </c>
      <c r="AE4135">
        <v>-2.17191</v>
      </c>
      <c r="AF4135">
        <v>2.31255575548583</v>
      </c>
      <c r="AG4135">
        <v>-1.110682488908</v>
      </c>
      <c r="AH4135">
        <v>11.1376993733072</v>
      </c>
      <c r="AI4135">
        <v>95.576699300223197</v>
      </c>
      <c r="AJ4135">
        <v>78.270164460886306</v>
      </c>
      <c r="AK4135">
        <v>11.429342808909199</v>
      </c>
    </row>
    <row r="4136" spans="1:37" x14ac:dyDescent="0.2">
      <c r="A4136" t="str">
        <f>"20200111154147189"</f>
        <v>20200111154147189</v>
      </c>
      <c r="B4136" t="str">
        <f>"1578728507180383"</f>
        <v>1578728507180383</v>
      </c>
      <c r="C4136" t="s">
        <v>37</v>
      </c>
      <c r="D4136">
        <v>5.5255780000000003</v>
      </c>
      <c r="E4136">
        <v>0.56171579999999999</v>
      </c>
      <c r="F4136" t="s">
        <v>39</v>
      </c>
      <c r="G4136">
        <v>-330.89400000000001</v>
      </c>
      <c r="H4136" s="1">
        <v>-4.6096659999999996E-6</v>
      </c>
      <c r="I4136">
        <v>15.552020000000001</v>
      </c>
      <c r="J4136">
        <v>-342.24400000000003</v>
      </c>
      <c r="K4136">
        <v>1.1106830000000001</v>
      </c>
      <c r="L4136">
        <v>17.742829999999898</v>
      </c>
      <c r="M4136">
        <v>0.99979449999999903</v>
      </c>
      <c r="N4136">
        <v>0</v>
      </c>
      <c r="O4136">
        <v>1.4542070000000001E-2</v>
      </c>
      <c r="P4136">
        <v>0.99950640000000002</v>
      </c>
      <c r="Q4136">
        <v>1.931072E-2</v>
      </c>
      <c r="R4136">
        <v>-2.4788569999999999E-2</v>
      </c>
      <c r="S4136">
        <v>2.9930110000000001</v>
      </c>
      <c r="T4136">
        <v>-0.28783550000000002</v>
      </c>
      <c r="U4136">
        <v>-0.5669556</v>
      </c>
      <c r="V4136">
        <v>3.9301379999999997E-2</v>
      </c>
      <c r="W4136">
        <v>3.3446099999999999E-2</v>
      </c>
      <c r="X4136">
        <v>0.99866749999999904</v>
      </c>
      <c r="Y4136">
        <v>0.19943269999999999</v>
      </c>
      <c r="Z4136">
        <v>-1.0867460000000001E-2</v>
      </c>
      <c r="AA4136">
        <v>0.97985119999999903</v>
      </c>
      <c r="AB4136">
        <v>39</v>
      </c>
      <c r="AC4136">
        <v>11.35</v>
      </c>
      <c r="AD4136">
        <v>-1.1106876096660001</v>
      </c>
      <c r="AE4136">
        <v>-2.1908099999999902</v>
      </c>
      <c r="AF4136">
        <v>2.33409838106944</v>
      </c>
      <c r="AG4136">
        <v>-1.1106876096660001</v>
      </c>
      <c r="AH4136">
        <v>11.213412985082901</v>
      </c>
      <c r="AI4136">
        <v>95.538735930516197</v>
      </c>
      <c r="AJ4136">
        <v>78.241649089673203</v>
      </c>
      <c r="AK4136">
        <v>11.5074876924897</v>
      </c>
    </row>
    <row r="4137" spans="1:37" x14ac:dyDescent="0.2">
      <c r="A4137" t="str">
        <f>"20200111154147199"</f>
        <v>20200111154147199</v>
      </c>
      <c r="B4137" t="str">
        <f>"1578728507190143"</f>
        <v>1578728507190143</v>
      </c>
      <c r="C4137" t="s">
        <v>37</v>
      </c>
      <c r="D4137">
        <v>5.7575789999999998</v>
      </c>
      <c r="E4137">
        <v>0.56171579999999999</v>
      </c>
      <c r="F4137" t="s">
        <v>39</v>
      </c>
      <c r="G4137">
        <v>-330.58460000000002</v>
      </c>
      <c r="H4137" s="1">
        <v>-4.7464349999999999E-6</v>
      </c>
      <c r="I4137">
        <v>15.529310000000001</v>
      </c>
      <c r="J4137">
        <v>-342.03</v>
      </c>
      <c r="K4137">
        <v>1.11069</v>
      </c>
      <c r="L4137">
        <v>17.746029999999902</v>
      </c>
      <c r="M4137">
        <v>0.99979249999999997</v>
      </c>
      <c r="N4137">
        <v>0</v>
      </c>
      <c r="O4137">
        <v>1.46807999999999E-2</v>
      </c>
      <c r="P4137">
        <v>0.9994885</v>
      </c>
      <c r="Q4137">
        <v>1.97284E-2</v>
      </c>
      <c r="R4137">
        <v>-2.5179690000000001E-2</v>
      </c>
      <c r="S4137">
        <v>2.9928889999999999</v>
      </c>
      <c r="T4137">
        <v>-0.2851071</v>
      </c>
      <c r="U4137">
        <v>-0.56817629999999997</v>
      </c>
      <c r="V4137">
        <v>3.9830659999999997E-2</v>
      </c>
      <c r="W4137">
        <v>3.3867389999999997E-2</v>
      </c>
      <c r="X4137">
        <v>0.99863230000000003</v>
      </c>
      <c r="Y4137">
        <v>0.19997670000000001</v>
      </c>
      <c r="Z4137">
        <v>-1.080364E-2</v>
      </c>
      <c r="AA4137">
        <v>0.97974110000000003</v>
      </c>
      <c r="AB4137">
        <v>39</v>
      </c>
      <c r="AC4137">
        <v>11.4453999999999</v>
      </c>
      <c r="AD4137">
        <v>-1.1106947464350001</v>
      </c>
      <c r="AE4137">
        <v>-2.2167199999999898</v>
      </c>
      <c r="AF4137">
        <v>2.36307617786998</v>
      </c>
      <c r="AG4137">
        <v>-1.1106947464350001</v>
      </c>
      <c r="AH4137">
        <v>11.3089701036255</v>
      </c>
      <c r="AI4137">
        <v>95.491381268937801</v>
      </c>
      <c r="AJ4137">
        <v>78.197527937220798</v>
      </c>
      <c r="AK4137">
        <v>11.606488557995</v>
      </c>
    </row>
    <row r="4138" spans="1:37" x14ac:dyDescent="0.2">
      <c r="A4138" t="str">
        <f>"20200111154147211"</f>
        <v>20200111154147211</v>
      </c>
      <c r="B4138" t="str">
        <f>"1578728507199902"</f>
        <v>1578728507199902</v>
      </c>
      <c r="C4138" t="s">
        <v>37</v>
      </c>
      <c r="D4138">
        <v>5.6184260000000004</v>
      </c>
      <c r="E4138">
        <v>0.57548199999999905</v>
      </c>
      <c r="F4138" t="s">
        <v>39</v>
      </c>
      <c r="G4138">
        <v>-330.33710000000002</v>
      </c>
      <c r="H4138" s="1">
        <v>-4.8538279999999999E-6</v>
      </c>
      <c r="I4138">
        <v>15.52261</v>
      </c>
      <c r="J4138">
        <v>-341.84829999999999</v>
      </c>
      <c r="K4138">
        <v>1.110697</v>
      </c>
      <c r="L4138">
        <v>17.748809999999999</v>
      </c>
      <c r="M4138">
        <v>0.99979069999999903</v>
      </c>
      <c r="N4138">
        <v>0</v>
      </c>
      <c r="O4138">
        <v>1.479873E-2</v>
      </c>
      <c r="P4138">
        <v>0.99945680000000003</v>
      </c>
      <c r="Q4138">
        <v>2.0191980000000002E-2</v>
      </c>
      <c r="R4138">
        <v>-2.6050589999999998E-2</v>
      </c>
      <c r="S4138">
        <v>2.9927980000000001</v>
      </c>
      <c r="T4138">
        <v>-0.28428009999999998</v>
      </c>
      <c r="U4138">
        <v>-0.56906129999999999</v>
      </c>
      <c r="V4138">
        <v>4.081854E-2</v>
      </c>
      <c r="W4138">
        <v>3.4333929999999999E-2</v>
      </c>
      <c r="X4138">
        <v>0.99857649999999998</v>
      </c>
      <c r="Y4138">
        <v>0.20038049999999999</v>
      </c>
      <c r="Z4138">
        <v>-1.0802519999999999E-2</v>
      </c>
      <c r="AA4138">
        <v>0.97965859999999905</v>
      </c>
      <c r="AB4138">
        <v>39</v>
      </c>
      <c r="AC4138">
        <v>11.511199999999899</v>
      </c>
      <c r="AD4138">
        <v>-1.110701853828</v>
      </c>
      <c r="AE4138">
        <v>-2.2261999999999902</v>
      </c>
      <c r="AF4138">
        <v>2.37500994071147</v>
      </c>
      <c r="AG4138">
        <v>-1.110701853828</v>
      </c>
      <c r="AH4138">
        <v>11.3749076293375</v>
      </c>
      <c r="AI4138">
        <v>95.459952821571093</v>
      </c>
      <c r="AJ4138">
        <v>78.206429247997406</v>
      </c>
      <c r="AK4138">
        <v>11.6731681390501</v>
      </c>
    </row>
    <row r="4139" spans="1:37" x14ac:dyDescent="0.2">
      <c r="A4139" t="str">
        <f>"20200111154147222"</f>
        <v>20200111154147222</v>
      </c>
      <c r="B4139" t="str">
        <f>"1578728507210639"</f>
        <v>1578728507210639</v>
      </c>
      <c r="C4139" t="s">
        <v>37</v>
      </c>
      <c r="D4139">
        <v>5.5566490000000002</v>
      </c>
      <c r="E4139">
        <v>0.58095909999999995</v>
      </c>
      <c r="F4139" t="s">
        <v>39</v>
      </c>
      <c r="G4139">
        <v>-320.41460000000001</v>
      </c>
      <c r="H4139" s="1">
        <v>-5.7093440000000001E-6</v>
      </c>
      <c r="I4139">
        <v>12.8636699999999</v>
      </c>
      <c r="J4139">
        <v>-341.65750000000003</v>
      </c>
      <c r="K4139">
        <v>1.1106989999999901</v>
      </c>
      <c r="L4139">
        <v>17.75177</v>
      </c>
      <c r="M4139">
        <v>0.99978880000000003</v>
      </c>
      <c r="N4139">
        <v>0</v>
      </c>
      <c r="O4139">
        <v>1.49225E-2</v>
      </c>
      <c r="P4139">
        <v>0.99944719999999998</v>
      </c>
      <c r="Q4139">
        <v>2.001373E-2</v>
      </c>
      <c r="R4139">
        <v>-2.6555240000000001E-2</v>
      </c>
      <c r="S4139">
        <v>2.98696899999999</v>
      </c>
      <c r="T4139">
        <v>-0.15478620000000001</v>
      </c>
      <c r="U4139">
        <v>-0.68078609999999995</v>
      </c>
      <c r="V4139">
        <v>4.1446940000000002E-2</v>
      </c>
      <c r="W4139">
        <v>3.4158090000000002E-2</v>
      </c>
      <c r="X4139">
        <v>0.99855669999999996</v>
      </c>
      <c r="Y4139">
        <v>0.2364252</v>
      </c>
      <c r="Z4139">
        <v>-6.8077629999999997E-3</v>
      </c>
      <c r="AA4139">
        <v>0.97162590000000004</v>
      </c>
      <c r="AB4139">
        <v>39</v>
      </c>
      <c r="AC4139">
        <v>21.242899999999999</v>
      </c>
      <c r="AD4139">
        <v>-1.1107047093439999</v>
      </c>
      <c r="AE4139">
        <v>-4.8880999999999997</v>
      </c>
      <c r="AF4139">
        <v>5.1911065376705903</v>
      </c>
      <c r="AG4139">
        <v>-1.1107047093439999</v>
      </c>
      <c r="AH4139">
        <v>21.112768196934301</v>
      </c>
      <c r="AI4139">
        <v>92.924506789010707</v>
      </c>
      <c r="AJ4139">
        <v>76.186402040784301</v>
      </c>
      <c r="AK4139">
        <v>21.769938745304</v>
      </c>
    </row>
    <row r="4140" spans="1:37" x14ac:dyDescent="0.2">
      <c r="A4140" t="str">
        <f>"20200111154147234"</f>
        <v>20200111154147234</v>
      </c>
      <c r="B4140" t="str">
        <f>"1578728507230159"</f>
        <v>1578728507230159</v>
      </c>
      <c r="C4140" t="s">
        <v>37</v>
      </c>
      <c r="D4140">
        <v>5.5154399999999999</v>
      </c>
      <c r="E4140">
        <v>0.58422479999999999</v>
      </c>
      <c r="F4140" t="s">
        <v>39</v>
      </c>
      <c r="G4140">
        <v>-320.71620000000001</v>
      </c>
      <c r="H4140" s="1">
        <v>-5.6028529999999999E-6</v>
      </c>
      <c r="I4140">
        <v>12.66025</v>
      </c>
      <c r="J4140">
        <v>-341.452</v>
      </c>
      <c r="K4140">
        <v>1.1106989999999901</v>
      </c>
      <c r="L4140">
        <v>17.754909999999999</v>
      </c>
      <c r="M4140">
        <v>0.99978670000000003</v>
      </c>
      <c r="N4140">
        <v>0</v>
      </c>
      <c r="O4140">
        <v>1.505767E-2</v>
      </c>
      <c r="P4140">
        <v>0.99942039999999999</v>
      </c>
      <c r="Q4140">
        <v>2.0138409999999999E-2</v>
      </c>
      <c r="R4140">
        <v>-2.7447610000000001E-2</v>
      </c>
      <c r="S4140">
        <v>2.9855649999999998</v>
      </c>
      <c r="T4140">
        <v>-0.15835179999999999</v>
      </c>
      <c r="U4140">
        <v>-0.72589110000000001</v>
      </c>
      <c r="V4140">
        <v>4.2473860000000002E-2</v>
      </c>
      <c r="W4140">
        <v>3.4285330000000003E-2</v>
      </c>
      <c r="X4140">
        <v>0.99850910000000004</v>
      </c>
      <c r="Y4140">
        <v>0.25050429999999901</v>
      </c>
      <c r="Z4140">
        <v>-7.3305459999999899E-3</v>
      </c>
      <c r="AA4140">
        <v>0.9680877</v>
      </c>
      <c r="AB4140">
        <v>39</v>
      </c>
      <c r="AC4140">
        <v>20.735799999999902</v>
      </c>
      <c r="AD4140">
        <v>-1.1107046028530001</v>
      </c>
      <c r="AE4140">
        <v>-5.0946599999999904</v>
      </c>
      <c r="AF4140">
        <v>5.3917571606059003</v>
      </c>
      <c r="AG4140">
        <v>-1.1107046028530001</v>
      </c>
      <c r="AH4140">
        <v>20.6009845805529</v>
      </c>
      <c r="AI4140">
        <v>92.9857454865829</v>
      </c>
      <c r="AJ4140">
        <v>75.333338222618906</v>
      </c>
      <c r="AK4140">
        <v>21.323819444037699</v>
      </c>
    </row>
    <row r="4141" spans="1:37" x14ac:dyDescent="0.2">
      <c r="A4141" t="str">
        <f>"20200111154147245"</f>
        <v>20200111154147245</v>
      </c>
      <c r="B4141" t="str">
        <f>"1578728507239919"</f>
        <v>1578728507239919</v>
      </c>
      <c r="C4141" t="s">
        <v>37</v>
      </c>
      <c r="D4141">
        <v>5.5299290000000001</v>
      </c>
      <c r="E4141">
        <v>0.58387749999999905</v>
      </c>
      <c r="F4141" t="s">
        <v>40</v>
      </c>
      <c r="G4141">
        <v>-314.99259999999998</v>
      </c>
      <c r="H4141">
        <v>-0.05</v>
      </c>
      <c r="I4141">
        <v>11.06429</v>
      </c>
      <c r="J4141">
        <v>-341.2441</v>
      </c>
      <c r="K4141">
        <v>1.110703</v>
      </c>
      <c r="L4141">
        <v>17.758179999999999</v>
      </c>
      <c r="M4141">
        <v>0.99978459999999902</v>
      </c>
      <c r="N4141">
        <v>0</v>
      </c>
      <c r="O4141">
        <v>1.5194869999999999E-2</v>
      </c>
      <c r="P4141">
        <v>0.99941270000000004</v>
      </c>
      <c r="Q4141">
        <v>1.9609379999999999E-2</v>
      </c>
      <c r="R4141">
        <v>-2.8108870000000001E-2</v>
      </c>
      <c r="S4141">
        <v>2.9836429999999998</v>
      </c>
      <c r="T4141">
        <v>-0.13088379999999999</v>
      </c>
      <c r="U4141">
        <v>-0.7544556</v>
      </c>
      <c r="V4141">
        <v>4.3272119999999997E-2</v>
      </c>
      <c r="W4141">
        <v>3.3758730000000001E-2</v>
      </c>
      <c r="X4141">
        <v>0.99849279999999996</v>
      </c>
      <c r="Y4141">
        <v>0.25960369999999999</v>
      </c>
      <c r="Z4141">
        <v>-6.2595250000000002E-3</v>
      </c>
      <c r="AA4141">
        <v>0.96569499999999997</v>
      </c>
      <c r="AB4141">
        <v>39</v>
      </c>
      <c r="AC4141">
        <v>26.2515</v>
      </c>
      <c r="AD4141">
        <v>-1.160703</v>
      </c>
      <c r="AE4141">
        <v>-6.6938899999999997</v>
      </c>
      <c r="AF4141">
        <v>7.0790507962925702</v>
      </c>
      <c r="AG4141">
        <v>-1.160703</v>
      </c>
      <c r="AH4141">
        <v>26.098838925935901</v>
      </c>
      <c r="AI4141">
        <v>92.457766602886693</v>
      </c>
      <c r="AJ4141">
        <v>74.824222660775803</v>
      </c>
      <c r="AK4141">
        <v>27.066761625888098</v>
      </c>
    </row>
    <row r="4142" spans="1:37" x14ac:dyDescent="0.2">
      <c r="A4142" t="str">
        <f>"20200111154147257"</f>
        <v>20200111154147257</v>
      </c>
      <c r="B4142" t="str">
        <f>"1578728507250654"</f>
        <v>1578728507250654</v>
      </c>
      <c r="C4142" t="s">
        <v>37</v>
      </c>
      <c r="D4142">
        <v>5.5461980000000004</v>
      </c>
      <c r="E4142">
        <v>0.58342930000000004</v>
      </c>
      <c r="F4142" t="s">
        <v>40</v>
      </c>
      <c r="G4142">
        <v>-314.4008</v>
      </c>
      <c r="H4142">
        <v>-0.05</v>
      </c>
      <c r="I4142">
        <v>10.97748</v>
      </c>
      <c r="J4142">
        <v>-341.03590000000003</v>
      </c>
      <c r="K4142">
        <v>1.1106989999999901</v>
      </c>
      <c r="L4142">
        <v>17.76144</v>
      </c>
      <c r="M4142">
        <v>0.99978239999999996</v>
      </c>
      <c r="N4142">
        <v>0</v>
      </c>
      <c r="O4142">
        <v>1.533386E-2</v>
      </c>
      <c r="P4142">
        <v>0.99939979999999995</v>
      </c>
      <c r="Q4142">
        <v>1.8940410000000001E-2</v>
      </c>
      <c r="R4142">
        <v>-2.9012420000000001E-2</v>
      </c>
      <c r="S4142">
        <v>2.9830930000000002</v>
      </c>
      <c r="T4142">
        <v>-0.12898899999999999</v>
      </c>
      <c r="U4142">
        <v>-0.75353999999999999</v>
      </c>
      <c r="V4142">
        <v>4.431446E-2</v>
      </c>
      <c r="W4142">
        <v>3.3092490000000002E-2</v>
      </c>
      <c r="X4142">
        <v>0.99846939999999995</v>
      </c>
      <c r="Y4142">
        <v>0.25950859999999998</v>
      </c>
      <c r="Z4142">
        <v>-6.1742150000000003E-3</v>
      </c>
      <c r="AA4142">
        <v>0.965721099999999</v>
      </c>
      <c r="AB4142">
        <v>39</v>
      </c>
      <c r="AC4142">
        <v>26.635100000000001</v>
      </c>
      <c r="AD4142">
        <v>-1.1606989999999999</v>
      </c>
      <c r="AE4142">
        <v>-6.7839600000000004</v>
      </c>
      <c r="AF4142">
        <v>7.1788197484462497</v>
      </c>
      <c r="AG4142">
        <v>-1.1606989999999999</v>
      </c>
      <c r="AH4142">
        <v>26.480709177096099</v>
      </c>
      <c r="AI4142">
        <v>92.422446010315397</v>
      </c>
      <c r="AJ4142">
        <v>74.831900743429003</v>
      </c>
      <c r="AK4142">
        <v>27.461074881934699</v>
      </c>
    </row>
    <row r="4143" spans="1:37" x14ac:dyDescent="0.2">
      <c r="A4143" t="str">
        <f>"20200111154147269"</f>
        <v>20200111154147269</v>
      </c>
      <c r="B4143" t="str">
        <f>"1578728507260414"</f>
        <v>1578728507260414</v>
      </c>
      <c r="C4143" t="s">
        <v>37</v>
      </c>
      <c r="D4143">
        <v>5.5919359999999996</v>
      </c>
      <c r="E4143">
        <v>0.58316179999999995</v>
      </c>
      <c r="F4143" t="s">
        <v>40</v>
      </c>
      <c r="G4143">
        <v>-316.24110000000002</v>
      </c>
      <c r="H4143">
        <v>-0.05</v>
      </c>
      <c r="I4143">
        <v>11.50531</v>
      </c>
      <c r="J4143">
        <v>-340.83940000000001</v>
      </c>
      <c r="K4143">
        <v>1.110697</v>
      </c>
      <c r="L4143">
        <v>17.764589999999998</v>
      </c>
      <c r="M4143">
        <v>0.99978040000000001</v>
      </c>
      <c r="N4143">
        <v>0</v>
      </c>
      <c r="O4143">
        <v>1.5465710000000001E-2</v>
      </c>
      <c r="P4143">
        <v>0.99938539999999998</v>
      </c>
      <c r="Q4143">
        <v>1.8332169999999998E-2</v>
      </c>
      <c r="R4143">
        <v>-2.9884500000000001E-2</v>
      </c>
      <c r="S4143">
        <v>2.982605</v>
      </c>
      <c r="T4143">
        <v>-0.13962289999999999</v>
      </c>
      <c r="U4143">
        <v>-0.75256350000000005</v>
      </c>
      <c r="V4143">
        <v>4.5318199999999899E-2</v>
      </c>
      <c r="W4143">
        <v>3.2486260000000003E-2</v>
      </c>
      <c r="X4143">
        <v>0.99844429999999995</v>
      </c>
      <c r="Y4143">
        <v>0.25933469999999997</v>
      </c>
      <c r="Z4143">
        <v>-6.6861000000000004E-3</v>
      </c>
      <c r="AA4143">
        <v>0.96576430000000002</v>
      </c>
      <c r="AB4143">
        <v>39</v>
      </c>
      <c r="AC4143">
        <v>24.598299999999899</v>
      </c>
      <c r="AD4143">
        <v>-1.1606970000000001</v>
      </c>
      <c r="AE4143">
        <v>-6.2592799999999897</v>
      </c>
      <c r="AF4143">
        <v>6.6251454424837704</v>
      </c>
      <c r="AG4143">
        <v>-1.1606970000000001</v>
      </c>
      <c r="AH4143">
        <v>24.447420925729201</v>
      </c>
      <c r="AI4143">
        <v>92.623711724219106</v>
      </c>
      <c r="AJ4143">
        <v>74.837266225263093</v>
      </c>
      <c r="AK4143">
        <v>25.355791440608801</v>
      </c>
    </row>
    <row r="4144" spans="1:37" x14ac:dyDescent="0.2">
      <c r="A4144" t="str">
        <f>"20200111154147279"</f>
        <v>20200111154147279</v>
      </c>
      <c r="B4144" t="str">
        <f>"1578728507270175"</f>
        <v>1578728507270175</v>
      </c>
      <c r="C4144" t="s">
        <v>37</v>
      </c>
      <c r="D4144">
        <v>5.5439059999999998</v>
      </c>
      <c r="E4144">
        <v>0.58290540000000002</v>
      </c>
      <c r="F4144" t="s">
        <v>40</v>
      </c>
      <c r="G4144">
        <v>-317.5455</v>
      </c>
      <c r="H4144">
        <v>-0.05</v>
      </c>
      <c r="I4144">
        <v>11.881839999999899</v>
      </c>
      <c r="J4144">
        <v>-340.63709999999998</v>
      </c>
      <c r="K4144">
        <v>1.110695</v>
      </c>
      <c r="L4144">
        <v>17.76782</v>
      </c>
      <c r="M4144">
        <v>0.99977830000000001</v>
      </c>
      <c r="N4144">
        <v>0</v>
      </c>
      <c r="O4144">
        <v>1.560221E-2</v>
      </c>
      <c r="P4144">
        <v>0.99937019999999999</v>
      </c>
      <c r="Q4144">
        <v>1.784322E-2</v>
      </c>
      <c r="R4144">
        <v>-3.0679069999999999E-2</v>
      </c>
      <c r="S4144">
        <v>2.9820859999999998</v>
      </c>
      <c r="T4144">
        <v>-0.14859249999999999</v>
      </c>
      <c r="U4144">
        <v>-0.75311280000000003</v>
      </c>
      <c r="V4144">
        <v>4.6248980000000002E-2</v>
      </c>
      <c r="W4144">
        <v>3.1999189999999997E-2</v>
      </c>
      <c r="X4144">
        <v>0.99841729999999995</v>
      </c>
      <c r="Y4144">
        <v>0.25963550000000002</v>
      </c>
      <c r="Z4144">
        <v>-7.1302519999999897E-3</v>
      </c>
      <c r="AA4144">
        <v>0.96568039999999999</v>
      </c>
      <c r="AB4144">
        <v>39</v>
      </c>
      <c r="AC4144">
        <v>23.0915999999999</v>
      </c>
      <c r="AD4144">
        <v>-1.160695</v>
      </c>
      <c r="AE4144">
        <v>-5.88598</v>
      </c>
      <c r="AF4144">
        <v>6.2307974084636903</v>
      </c>
      <c r="AG4144">
        <v>-1.160695</v>
      </c>
      <c r="AH4144">
        <v>22.942516147827199</v>
      </c>
      <c r="AI4144">
        <v>92.795129363883504</v>
      </c>
      <c r="AJ4144">
        <v>74.805921988869997</v>
      </c>
      <c r="AK4144">
        <v>23.801871699966298</v>
      </c>
    </row>
    <row r="4145" spans="1:37" x14ac:dyDescent="0.2">
      <c r="A4145" t="str">
        <f>"20200111154147292"</f>
        <v>20200111154147292</v>
      </c>
      <c r="B4145" t="str">
        <f>"1578728507279935"</f>
        <v>1578728507279935</v>
      </c>
      <c r="C4145" t="s">
        <v>37</v>
      </c>
      <c r="D4145">
        <v>5.5792890000000002</v>
      </c>
      <c r="E4145">
        <v>0.58266370000000001</v>
      </c>
      <c r="F4145" t="s">
        <v>40</v>
      </c>
      <c r="G4145">
        <v>-318.2011</v>
      </c>
      <c r="H4145">
        <v>-0.05</v>
      </c>
      <c r="I4145">
        <v>12.0969199999999</v>
      </c>
      <c r="J4145">
        <v>-340.42689999999999</v>
      </c>
      <c r="K4145">
        <v>1.110695</v>
      </c>
      <c r="L4145">
        <v>17.77121</v>
      </c>
      <c r="M4145">
        <v>0.99977609999999995</v>
      </c>
      <c r="N4145">
        <v>0</v>
      </c>
      <c r="O4145">
        <v>1.574503E-2</v>
      </c>
      <c r="P4145">
        <v>0.99935479999999999</v>
      </c>
      <c r="Q4145">
        <v>1.7358620000000002E-2</v>
      </c>
      <c r="R4145">
        <v>-3.144769E-2</v>
      </c>
      <c r="S4145">
        <v>2.981506</v>
      </c>
      <c r="T4145">
        <v>-0.15424389999999999</v>
      </c>
      <c r="U4145">
        <v>-0.75360109999999902</v>
      </c>
      <c r="V4145">
        <v>4.7160210000000001E-2</v>
      </c>
      <c r="W4145">
        <v>3.1516410000000002E-2</v>
      </c>
      <c r="X4145">
        <v>0.99839</v>
      </c>
      <c r="Y4145">
        <v>0.25994119999999998</v>
      </c>
      <c r="Z4145">
        <v>-7.4174009999999997E-3</v>
      </c>
      <c r="AA4145">
        <v>0.96559599999999901</v>
      </c>
      <c r="AB4145">
        <v>39</v>
      </c>
      <c r="AC4145">
        <v>22.2257999999999</v>
      </c>
      <c r="AD4145">
        <v>-1.160695</v>
      </c>
      <c r="AE4145">
        <v>-5.6742900000000001</v>
      </c>
      <c r="AF4145">
        <v>6.0081842955216596</v>
      </c>
      <c r="AG4145">
        <v>-1.160695</v>
      </c>
      <c r="AH4145">
        <v>22.077168322328099</v>
      </c>
      <c r="AI4145">
        <v>92.9040923227181</v>
      </c>
      <c r="AJ4145">
        <v>74.775954128068804</v>
      </c>
      <c r="AK4145">
        <v>22.9095362795581</v>
      </c>
    </row>
    <row r="4146" spans="1:37" x14ac:dyDescent="0.2">
      <c r="A4146" t="str">
        <f>"20200111154147305"</f>
        <v>20200111154147305</v>
      </c>
      <c r="B4146" t="str">
        <f>"1578728507300430"</f>
        <v>1578728507300430</v>
      </c>
      <c r="C4146" t="s">
        <v>37</v>
      </c>
      <c r="D4146">
        <v>5.5782920000000003</v>
      </c>
      <c r="E4146">
        <v>0.58228930000000001</v>
      </c>
      <c r="F4146" t="s">
        <v>40</v>
      </c>
      <c r="G4146">
        <v>-318.64530000000002</v>
      </c>
      <c r="H4146">
        <v>-0.05</v>
      </c>
      <c r="I4146">
        <v>12.26276</v>
      </c>
      <c r="J4146">
        <v>-340.21159999999998</v>
      </c>
      <c r="K4146">
        <v>1.1106929999999999</v>
      </c>
      <c r="L4146">
        <v>17.774750000000001</v>
      </c>
      <c r="M4146">
        <v>0.99977359999999904</v>
      </c>
      <c r="N4146">
        <v>0</v>
      </c>
      <c r="O4146">
        <v>1.5891249999999999E-2</v>
      </c>
      <c r="P4146">
        <v>0.99934029999999996</v>
      </c>
      <c r="Q4146">
        <v>1.6965589999999999E-2</v>
      </c>
      <c r="R4146">
        <v>-3.2114400000000001E-2</v>
      </c>
      <c r="S4146">
        <v>2.980988</v>
      </c>
      <c r="T4146">
        <v>-0.15885009999999999</v>
      </c>
      <c r="U4146">
        <v>-0.75387569999999904</v>
      </c>
      <c r="V4146">
        <v>4.7972809999999998E-2</v>
      </c>
      <c r="W4146">
        <v>3.112463E-2</v>
      </c>
      <c r="X4146">
        <v>0.99836360000000002</v>
      </c>
      <c r="Y4146">
        <v>0.26018419999999998</v>
      </c>
      <c r="Z4146">
        <v>-7.6538580000000004E-3</v>
      </c>
      <c r="AA4146">
        <v>0.96552870000000002</v>
      </c>
      <c r="AB4146">
        <v>39</v>
      </c>
      <c r="AC4146">
        <v>21.566299999999899</v>
      </c>
      <c r="AD4146">
        <v>-1.160693</v>
      </c>
      <c r="AE4146">
        <v>-5.5119899999999999</v>
      </c>
      <c r="AF4146">
        <v>5.8381698919834601</v>
      </c>
      <c r="AG4146">
        <v>-1.160693</v>
      </c>
      <c r="AH4146">
        <v>21.417741117552001</v>
      </c>
      <c r="AI4146">
        <v>92.9930065120612</v>
      </c>
      <c r="AJ4146">
        <v>74.752431678036601</v>
      </c>
      <c r="AK4146">
        <v>22.229509002818499</v>
      </c>
    </row>
    <row r="4147" spans="1:37" x14ac:dyDescent="0.2">
      <c r="A4147" t="str">
        <f>"20200111154147320"</f>
        <v>20200111154147320</v>
      </c>
      <c r="B4147" t="str">
        <f>"1578728507310191"</f>
        <v>1578728507310191</v>
      </c>
      <c r="C4147" t="s">
        <v>37</v>
      </c>
      <c r="D4147">
        <v>5.5471560000000002</v>
      </c>
      <c r="E4147">
        <v>0.58226869999999997</v>
      </c>
      <c r="F4147" t="s">
        <v>39</v>
      </c>
      <c r="G4147">
        <v>-320.28660000000002</v>
      </c>
      <c r="H4147" s="1">
        <v>-5.791541E-6</v>
      </c>
      <c r="I4147">
        <v>12.741529999999999</v>
      </c>
      <c r="J4147">
        <v>-339.93450000000001</v>
      </c>
      <c r="K4147">
        <v>1.1106830000000001</v>
      </c>
      <c r="L4147">
        <v>17.779299999999999</v>
      </c>
      <c r="M4147">
        <v>0.99977079999999996</v>
      </c>
      <c r="N4147">
        <v>0</v>
      </c>
      <c r="O4147">
        <v>1.6073110000000002E-2</v>
      </c>
      <c r="P4147">
        <v>0.99931479999999995</v>
      </c>
      <c r="Q4147">
        <v>1.641227E-2</v>
      </c>
      <c r="R4147">
        <v>-3.3177440000000002E-2</v>
      </c>
      <c r="S4147">
        <v>2.98062099999999</v>
      </c>
      <c r="T4147">
        <v>-0.16615179999999999</v>
      </c>
      <c r="U4147">
        <v>-0.75292969999999904</v>
      </c>
      <c r="V4147">
        <v>4.9217520000000001E-2</v>
      </c>
      <c r="W4147">
        <v>3.0572720000000001E-2</v>
      </c>
      <c r="X4147">
        <v>0.99831999999999999</v>
      </c>
      <c r="Y4147">
        <v>0.26006509999999999</v>
      </c>
      <c r="Z4147">
        <v>-8.013137E-3</v>
      </c>
      <c r="AA4147">
        <v>0.96555780000000002</v>
      </c>
      <c r="AB4147">
        <v>39</v>
      </c>
      <c r="AC4147">
        <v>19.6479</v>
      </c>
      <c r="AD4147">
        <v>-1.110688791541</v>
      </c>
      <c r="AE4147">
        <v>-5.0377699999999903</v>
      </c>
      <c r="AF4147">
        <v>5.3369508204147103</v>
      </c>
      <c r="AG4147">
        <v>-1.110688791541</v>
      </c>
      <c r="AH4147">
        <v>19.505892713742799</v>
      </c>
      <c r="AI4147">
        <v>93.143670051347797</v>
      </c>
      <c r="AJ4147">
        <v>74.697971120589102</v>
      </c>
      <c r="AK4147">
        <v>20.253308969430801</v>
      </c>
    </row>
    <row r="4148" spans="1:37" x14ac:dyDescent="0.2">
      <c r="A4148" t="str">
        <f>"20200111154147332"</f>
        <v>20200111154147332</v>
      </c>
      <c r="B4148" t="str">
        <f>"1578728507319952"</f>
        <v>1578728507319952</v>
      </c>
      <c r="C4148" t="s">
        <v>37</v>
      </c>
      <c r="D4148">
        <v>5.4230179999999999</v>
      </c>
      <c r="E4148">
        <v>0.58243710000000004</v>
      </c>
      <c r="F4148" t="s">
        <v>39</v>
      </c>
      <c r="G4148">
        <v>-320.54750000000001</v>
      </c>
      <c r="H4148" s="1">
        <v>-5.6472139999999999E-6</v>
      </c>
      <c r="I4148">
        <v>12.859970000000001</v>
      </c>
      <c r="J4148">
        <v>-339.7414</v>
      </c>
      <c r="K4148">
        <v>1.1106750000000001</v>
      </c>
      <c r="L4148">
        <v>17.782529999999898</v>
      </c>
      <c r="M4148">
        <v>0.99976880000000001</v>
      </c>
      <c r="N4148">
        <v>0</v>
      </c>
      <c r="O4148">
        <v>1.6191919999999999E-2</v>
      </c>
      <c r="P4148">
        <v>0.99929609999999902</v>
      </c>
      <c r="Q4148">
        <v>1.64575E-2</v>
      </c>
      <c r="R4148">
        <v>-3.3712739999999998E-2</v>
      </c>
      <c r="S4148">
        <v>2.979797</v>
      </c>
      <c r="T4148">
        <v>-0.17071339999999999</v>
      </c>
      <c r="U4148">
        <v>-0.75610350000000004</v>
      </c>
      <c r="V4148">
        <v>4.9871520000000003E-2</v>
      </c>
      <c r="W4148">
        <v>3.0617999999999999E-2</v>
      </c>
      <c r="X4148">
        <v>0.99828619999999901</v>
      </c>
      <c r="Y4148">
        <v>0.2611851</v>
      </c>
      <c r="Z4148">
        <v>-8.272204E-3</v>
      </c>
      <c r="AA4148">
        <v>0.96525329999999998</v>
      </c>
      <c r="AB4148">
        <v>39</v>
      </c>
      <c r="AC4148">
        <v>19.1938999999999</v>
      </c>
      <c r="AD4148">
        <v>-1.1106806472139901</v>
      </c>
      <c r="AE4148">
        <v>-4.9225599999999901</v>
      </c>
      <c r="AF4148">
        <v>5.2163427214859297</v>
      </c>
      <c r="AG4148">
        <v>-1.1106806472139901</v>
      </c>
      <c r="AH4148">
        <v>19.051811429847401</v>
      </c>
      <c r="AI4148">
        <v>93.218261230652701</v>
      </c>
      <c r="AJ4148">
        <v>74.687810249931999</v>
      </c>
      <c r="AK4148">
        <v>19.784220016128</v>
      </c>
    </row>
    <row r="4149" spans="1:37" x14ac:dyDescent="0.2">
      <c r="A4149" t="str">
        <f>"20200111154147345"</f>
        <v>20200111154147345</v>
      </c>
      <c r="B4149" t="str">
        <f>"1578728507340447"</f>
        <v>1578728507340447</v>
      </c>
      <c r="C4149" t="s">
        <v>37</v>
      </c>
      <c r="D4149">
        <v>5.6005690000000001</v>
      </c>
      <c r="E4149">
        <v>0.58260630000000002</v>
      </c>
      <c r="F4149" t="s">
        <v>39</v>
      </c>
      <c r="G4149">
        <v>-320.291</v>
      </c>
      <c r="H4149" s="1">
        <v>-5.7742940000000002E-6</v>
      </c>
      <c r="I4149">
        <v>12.82685</v>
      </c>
      <c r="J4149">
        <v>-339.52749999999997</v>
      </c>
      <c r="K4149">
        <v>1.1106670000000001</v>
      </c>
      <c r="L4149">
        <v>17.786069999999999</v>
      </c>
      <c r="M4149">
        <v>0.99976669999999901</v>
      </c>
      <c r="N4149">
        <v>0</v>
      </c>
      <c r="O4149">
        <v>1.6318679999999999E-2</v>
      </c>
      <c r="P4149">
        <v>0.99927849999999996</v>
      </c>
      <c r="Q4149">
        <v>1.6494519999999999E-2</v>
      </c>
      <c r="R4149">
        <v>-3.4208420000000003E-2</v>
      </c>
      <c r="S4149">
        <v>2.9793400000000001</v>
      </c>
      <c r="T4149">
        <v>-0.17013010000000001</v>
      </c>
      <c r="U4149">
        <v>-0.75909419999999905</v>
      </c>
      <c r="V4149">
        <v>5.049406E-2</v>
      </c>
      <c r="W4149">
        <v>3.0654219999999999E-2</v>
      </c>
      <c r="X4149">
        <v>0.99825379999999997</v>
      </c>
      <c r="Y4149">
        <v>0.26225379999999998</v>
      </c>
      <c r="Z4149">
        <v>-8.2813479999999991E-3</v>
      </c>
      <c r="AA4149">
        <v>0.96496340000000003</v>
      </c>
      <c r="AB4149">
        <v>39</v>
      </c>
      <c r="AC4149">
        <v>19.2364999999999</v>
      </c>
      <c r="AD4149">
        <v>-1.1106727742939999</v>
      </c>
      <c r="AE4149">
        <v>-4.9592200000000002</v>
      </c>
      <c r="AF4149">
        <v>5.2560752774983497</v>
      </c>
      <c r="AG4149">
        <v>-1.1106727742939999</v>
      </c>
      <c r="AH4149">
        <v>19.093318206878401</v>
      </c>
      <c r="AI4149">
        <v>93.210041738155496</v>
      </c>
      <c r="AJ4149">
        <v>74.6086490459072</v>
      </c>
      <c r="AK4149">
        <v>19.834684809277899</v>
      </c>
    </row>
    <row r="4150" spans="1:37" x14ac:dyDescent="0.2">
      <c r="A4150" t="str">
        <f>"20200111154147357"</f>
        <v>20200111154147357</v>
      </c>
      <c r="B4150" t="str">
        <f>"1578728507350208"</f>
        <v>1578728507350208</v>
      </c>
      <c r="C4150" t="s">
        <v>37</v>
      </c>
      <c r="D4150">
        <v>5.5958449999999997</v>
      </c>
      <c r="E4150">
        <v>0.5825089</v>
      </c>
      <c r="F4150" t="s">
        <v>39</v>
      </c>
      <c r="G4150">
        <v>-320.19319999999999</v>
      </c>
      <c r="H4150" s="1">
        <v>-5.8181089999999999E-6</v>
      </c>
      <c r="I4150">
        <v>12.840669999999999</v>
      </c>
      <c r="J4150">
        <v>-339.30419999999998</v>
      </c>
      <c r="K4150">
        <v>1.1106510000000001</v>
      </c>
      <c r="L4150">
        <v>17.789860000000001</v>
      </c>
      <c r="M4150">
        <v>0.99976500000000001</v>
      </c>
      <c r="N4150">
        <v>0</v>
      </c>
      <c r="O4150">
        <v>1.6429570000000001E-2</v>
      </c>
      <c r="P4150">
        <v>0.99925940000000002</v>
      </c>
      <c r="Q4150">
        <v>1.6908260000000001E-2</v>
      </c>
      <c r="R4150">
        <v>-3.4571810000000001E-2</v>
      </c>
      <c r="S4150">
        <v>2.9789430000000001</v>
      </c>
      <c r="T4150">
        <v>-0.1711271</v>
      </c>
      <c r="U4150">
        <v>-0.7619629</v>
      </c>
      <c r="V4150">
        <v>5.0968670000000001E-2</v>
      </c>
      <c r="W4150">
        <v>3.106602E-2</v>
      </c>
      <c r="X4150">
        <v>0.99821700000000002</v>
      </c>
      <c r="Y4150">
        <v>0.26325709999999902</v>
      </c>
      <c r="Z4150">
        <v>-8.364514E-3</v>
      </c>
      <c r="AA4150">
        <v>0.96468940000000003</v>
      </c>
      <c r="AB4150">
        <v>39</v>
      </c>
      <c r="AC4150">
        <v>19.110999999999901</v>
      </c>
      <c r="AD4150">
        <v>-1.110656818109</v>
      </c>
      <c r="AE4150">
        <v>-4.9491899999999998</v>
      </c>
      <c r="AF4150">
        <v>5.2459343165307999</v>
      </c>
      <c r="AG4150">
        <v>-1.110656818109</v>
      </c>
      <c r="AH4150">
        <v>18.967064159294399</v>
      </c>
      <c r="AI4150">
        <v>93.230245097580706</v>
      </c>
      <c r="AJ4150">
        <v>74.539553718446498</v>
      </c>
      <c r="AK4150">
        <v>19.710477118622901</v>
      </c>
    </row>
    <row r="4151" spans="1:37" x14ac:dyDescent="0.2">
      <c r="A4151" t="str">
        <f>"20200111154147368"</f>
        <v>20200111154147368</v>
      </c>
      <c r="B4151" t="str">
        <f>"1578728507359967"</f>
        <v>1578728507359967</v>
      </c>
      <c r="C4151" t="s">
        <v>37</v>
      </c>
      <c r="D4151">
        <v>5.6288140000000002</v>
      </c>
      <c r="E4151">
        <v>0.58226719999999998</v>
      </c>
      <c r="F4151" t="s">
        <v>39</v>
      </c>
      <c r="G4151">
        <v>-320.06779999999998</v>
      </c>
      <c r="H4151" s="1">
        <v>-5.8727219999999999E-6</v>
      </c>
      <c r="I4151">
        <v>12.86684</v>
      </c>
      <c r="J4151">
        <v>-339.09300000000002</v>
      </c>
      <c r="K4151">
        <v>1.1106320000000001</v>
      </c>
      <c r="L4151">
        <v>17.793399999999998</v>
      </c>
      <c r="M4151">
        <v>0.99976350000000003</v>
      </c>
      <c r="N4151">
        <v>0</v>
      </c>
      <c r="O4151">
        <v>1.652141E-2</v>
      </c>
      <c r="P4151">
        <v>0.99922849999999996</v>
      </c>
      <c r="Q4151">
        <v>1.7625579999999998E-2</v>
      </c>
      <c r="R4151">
        <v>-3.5101229999999997E-2</v>
      </c>
      <c r="S4151">
        <v>2.9787599999999999</v>
      </c>
      <c r="T4151">
        <v>-0.17198529999999901</v>
      </c>
      <c r="U4151">
        <v>-0.76232909999999998</v>
      </c>
      <c r="V4151">
        <v>5.1590259999999999E-2</v>
      </c>
      <c r="W4151">
        <v>3.1780919999999997E-2</v>
      </c>
      <c r="X4151">
        <v>0.99816249999999995</v>
      </c>
      <c r="Y4151">
        <v>0.26346639999999999</v>
      </c>
      <c r="Z4151">
        <v>-8.4179270000000004E-3</v>
      </c>
      <c r="AA4151">
        <v>0.96463189999999999</v>
      </c>
      <c r="AB4151">
        <v>39</v>
      </c>
      <c r="AC4151">
        <v>19.025200000000002</v>
      </c>
      <c r="AD4151">
        <v>-1.1106378727220001</v>
      </c>
      <c r="AE4151">
        <v>-4.9265599999999896</v>
      </c>
      <c r="AF4151">
        <v>5.2235593141973897</v>
      </c>
      <c r="AG4151">
        <v>-1.1106378727220001</v>
      </c>
      <c r="AH4151">
        <v>18.8809001922241</v>
      </c>
      <c r="AI4151">
        <v>93.244835648740604</v>
      </c>
      <c r="AJ4151">
        <v>74.535448466328305</v>
      </c>
      <c r="AK4151">
        <v>19.621607489244902</v>
      </c>
    </row>
    <row r="4152" spans="1:37" x14ac:dyDescent="0.2">
      <c r="A4152" t="str">
        <f>"20200111154147382"</f>
        <v>20200111154147382</v>
      </c>
      <c r="B4152" t="str">
        <f>"1578728507370704"</f>
        <v>1578728507370704</v>
      </c>
      <c r="C4152" t="s">
        <v>37</v>
      </c>
      <c r="D4152">
        <v>5.5980559999999997</v>
      </c>
      <c r="E4152">
        <v>0.58223649999999905</v>
      </c>
      <c r="F4152" t="s">
        <v>40</v>
      </c>
      <c r="G4152">
        <v>-318.99759999999998</v>
      </c>
      <c r="H4152">
        <v>-0.05</v>
      </c>
      <c r="I4152">
        <v>12.65198</v>
      </c>
      <c r="J4152">
        <v>-338.86799999999999</v>
      </c>
      <c r="K4152">
        <v>1.1106119999999999</v>
      </c>
      <c r="L4152">
        <v>17.797179999999901</v>
      </c>
      <c r="M4152">
        <v>0.99976209999999899</v>
      </c>
      <c r="N4152">
        <v>0</v>
      </c>
      <c r="O4152">
        <v>1.660613E-2</v>
      </c>
      <c r="P4152">
        <v>0.99920989999999998</v>
      </c>
      <c r="Q4152">
        <v>1.8453899999999999E-2</v>
      </c>
      <c r="R4152">
        <v>-3.5207049999999997E-2</v>
      </c>
      <c r="S4152">
        <v>2.9786380000000001</v>
      </c>
      <c r="T4152">
        <v>-0.17203460000000001</v>
      </c>
      <c r="U4152">
        <v>-0.76208500000000001</v>
      </c>
      <c r="V4152">
        <v>5.178166E-2</v>
      </c>
      <c r="W4152">
        <v>3.2606370000000003E-2</v>
      </c>
      <c r="X4152">
        <v>0.99812599999999996</v>
      </c>
      <c r="Y4152">
        <v>0.26348290000000002</v>
      </c>
      <c r="Z4152">
        <v>-8.4260410000000004E-3</v>
      </c>
      <c r="AA4152">
        <v>0.96462729999999997</v>
      </c>
      <c r="AB4152">
        <v>39</v>
      </c>
      <c r="AC4152">
        <v>19.8704</v>
      </c>
      <c r="AD4152">
        <v>-1.160612</v>
      </c>
      <c r="AE4152">
        <v>-5.1451999999999902</v>
      </c>
      <c r="AF4152">
        <v>5.4570462829405697</v>
      </c>
      <c r="AG4152">
        <v>-1.160612</v>
      </c>
      <c r="AH4152">
        <v>19.719162001919699</v>
      </c>
      <c r="AI4152">
        <v>93.246624761501806</v>
      </c>
      <c r="AJ4152">
        <v>74.531198124300701</v>
      </c>
      <c r="AK4152">
        <v>20.493211666467801</v>
      </c>
    </row>
    <row r="4153" spans="1:37" x14ac:dyDescent="0.2">
      <c r="A4153" t="str">
        <f>"20200111154147400"</f>
        <v>20200111154147400</v>
      </c>
      <c r="B4153" t="str">
        <f>"1578728507390222"</f>
        <v>1578728507390222</v>
      </c>
      <c r="C4153" t="s">
        <v>37</v>
      </c>
      <c r="D4153">
        <v>5.6205410000000002</v>
      </c>
      <c r="E4153">
        <v>0.58193459999999997</v>
      </c>
      <c r="F4153" t="s">
        <v>40</v>
      </c>
      <c r="G4153">
        <v>-318.70080000000002</v>
      </c>
      <c r="H4153">
        <v>-0.05</v>
      </c>
      <c r="I4153">
        <v>12.636060000000001</v>
      </c>
      <c r="J4153">
        <v>-338.551999999999</v>
      </c>
      <c r="K4153">
        <v>1.110573</v>
      </c>
      <c r="L4153">
        <v>17.802520000000001</v>
      </c>
      <c r="M4153">
        <v>0.99976069999999995</v>
      </c>
      <c r="N4153">
        <v>0</v>
      </c>
      <c r="O4153">
        <v>1.6689059999999999E-2</v>
      </c>
      <c r="P4153">
        <v>0.99913700000000005</v>
      </c>
      <c r="Q4153">
        <v>1.9922039999999998E-2</v>
      </c>
      <c r="R4153">
        <v>-3.6449559999999999E-2</v>
      </c>
      <c r="S4153">
        <v>2.9786990000000002</v>
      </c>
      <c r="T4153">
        <v>-0.17142270000000001</v>
      </c>
      <c r="U4153">
        <v>-0.76229859999999905</v>
      </c>
      <c r="V4153">
        <v>5.3108250000000003E-2</v>
      </c>
      <c r="W4153">
        <v>3.4068500000000002E-2</v>
      </c>
      <c r="X4153">
        <v>0.99800739999999999</v>
      </c>
      <c r="Y4153">
        <v>0.26362590000000002</v>
      </c>
      <c r="Z4153">
        <v>-8.4046219999999901E-3</v>
      </c>
      <c r="AA4153">
        <v>0.96458829999999995</v>
      </c>
      <c r="AB4153">
        <v>39</v>
      </c>
      <c r="AC4153">
        <v>19.851199999999899</v>
      </c>
      <c r="AD4153">
        <v>-1.1605730000000001</v>
      </c>
      <c r="AE4153">
        <v>-5.1664599999999998</v>
      </c>
      <c r="AF4153">
        <v>5.47953044150153</v>
      </c>
      <c r="AG4153">
        <v>-1.1605730000000001</v>
      </c>
      <c r="AH4153">
        <v>19.699142554297499</v>
      </c>
      <c r="AI4153">
        <v>93.248619874982495</v>
      </c>
      <c r="AJ4153">
        <v>74.455514280106001</v>
      </c>
      <c r="AK4153">
        <v>20.479951194331601</v>
      </c>
    </row>
    <row r="4154" spans="1:37" x14ac:dyDescent="0.2">
      <c r="A4154" t="str">
        <f>"20200111154147413"</f>
        <v>20200111154147413</v>
      </c>
      <c r="B4154" t="str">
        <f>"1578728507409742"</f>
        <v>1578728507409742</v>
      </c>
      <c r="C4154" t="s">
        <v>37</v>
      </c>
      <c r="D4154">
        <v>5.6156069999999998</v>
      </c>
      <c r="E4154">
        <v>0.58093640000000002</v>
      </c>
      <c r="F4154" t="s">
        <v>40</v>
      </c>
      <c r="G4154">
        <v>-318.21030000000002</v>
      </c>
      <c r="H4154">
        <v>-0.05</v>
      </c>
      <c r="I4154">
        <v>12.586349999999999</v>
      </c>
      <c r="J4154">
        <v>-338.33640000000003</v>
      </c>
      <c r="K4154">
        <v>1.1105499999999999</v>
      </c>
      <c r="L4154">
        <v>17.80612</v>
      </c>
      <c r="M4154">
        <v>0.99975979999999998</v>
      </c>
      <c r="N4154">
        <v>0</v>
      </c>
      <c r="O4154">
        <v>1.6713749999999999E-2</v>
      </c>
      <c r="P4154">
        <v>0.99910390000000004</v>
      </c>
      <c r="Q4154">
        <v>2.0054280000000001E-2</v>
      </c>
      <c r="R4154">
        <v>-3.7276419999999998E-2</v>
      </c>
      <c r="S4154">
        <v>2.978119</v>
      </c>
      <c r="T4154">
        <v>-0.16991310000000001</v>
      </c>
      <c r="U4154">
        <v>-0.76367189999999996</v>
      </c>
      <c r="V4154">
        <v>5.3961469999999997E-2</v>
      </c>
      <c r="W4154">
        <v>3.4230049999999998E-2</v>
      </c>
      <c r="X4154">
        <v>0.99795619999999996</v>
      </c>
      <c r="Y4154">
        <v>0.26411899999999999</v>
      </c>
      <c r="Z4154">
        <v>-8.3470439999999996E-3</v>
      </c>
      <c r="AA4154">
        <v>0.96445400000000003</v>
      </c>
      <c r="AB4154">
        <v>39</v>
      </c>
      <c r="AC4154">
        <v>20.126100000000001</v>
      </c>
      <c r="AD4154">
        <v>-1.16055</v>
      </c>
      <c r="AE4154">
        <v>-5.2197699999999996</v>
      </c>
      <c r="AF4154">
        <v>5.5382025274645397</v>
      </c>
      <c r="AG4154">
        <v>-1.16055</v>
      </c>
      <c r="AH4154">
        <v>19.973807773300599</v>
      </c>
      <c r="AI4154">
        <v>93.204709383609099</v>
      </c>
      <c r="AJ4154">
        <v>74.502729264349497</v>
      </c>
      <c r="AK4154">
        <v>20.759854539530799</v>
      </c>
    </row>
    <row r="4155" spans="1:37" x14ac:dyDescent="0.2">
      <c r="A4155" t="str">
        <f>"20200111154147426"</f>
        <v>20200111154147426</v>
      </c>
      <c r="B4155" t="str">
        <f>"1578728507420478"</f>
        <v>1578728507420478</v>
      </c>
      <c r="C4155" t="s">
        <v>37</v>
      </c>
      <c r="D4155">
        <v>5.6063049999999999</v>
      </c>
      <c r="E4155">
        <v>0.58110220000000001</v>
      </c>
      <c r="F4155" t="s">
        <v>39</v>
      </c>
      <c r="G4155">
        <v>-320.3218</v>
      </c>
      <c r="H4155" s="1">
        <v>-5.6899850000000004E-6</v>
      </c>
      <c r="I4155">
        <v>13.2202299999999</v>
      </c>
      <c r="J4155">
        <v>-338.11160000000001</v>
      </c>
      <c r="K4155">
        <v>1.1105309999999999</v>
      </c>
      <c r="L4155">
        <v>17.809940000000001</v>
      </c>
      <c r="M4155">
        <v>0.99975890000000001</v>
      </c>
      <c r="N4155">
        <v>0</v>
      </c>
      <c r="O4155">
        <v>1.672104E-2</v>
      </c>
      <c r="P4155">
        <v>0.99907109999999899</v>
      </c>
      <c r="Q4155">
        <v>2.000592E-2</v>
      </c>
      <c r="R4155">
        <v>-3.8171190000000001E-2</v>
      </c>
      <c r="S4155">
        <v>2.9780880000000001</v>
      </c>
      <c r="T4155">
        <v>-0.1835917</v>
      </c>
      <c r="U4155">
        <v>-0.75811770000000001</v>
      </c>
      <c r="V4155">
        <v>5.4865450000000003E-2</v>
      </c>
      <c r="W4155">
        <v>3.4232909999999998E-2</v>
      </c>
      <c r="X4155">
        <v>0.99790669999999904</v>
      </c>
      <c r="Y4155">
        <v>0.26237050000000001</v>
      </c>
      <c r="Z4155">
        <v>-8.9674139999999999E-3</v>
      </c>
      <c r="AA4155">
        <v>0.96492549999999899</v>
      </c>
      <c r="AB4155">
        <v>39</v>
      </c>
      <c r="AC4155">
        <v>17.7898</v>
      </c>
      <c r="AD4155">
        <v>-1.110536689985</v>
      </c>
      <c r="AE4155">
        <v>-4.5897100000000002</v>
      </c>
      <c r="AF4155">
        <v>4.8687730632212096</v>
      </c>
      <c r="AG4155">
        <v>-1.110536689985</v>
      </c>
      <c r="AH4155">
        <v>17.646085688404099</v>
      </c>
      <c r="AI4155">
        <v>93.471708974539496</v>
      </c>
      <c r="AJ4155">
        <v>74.575161276733894</v>
      </c>
      <c r="AK4155">
        <v>18.3390998416894</v>
      </c>
    </row>
    <row r="4156" spans="1:37" x14ac:dyDescent="0.2">
      <c r="A4156" t="str">
        <f>"20200111154147438"</f>
        <v>20200111154147438</v>
      </c>
      <c r="B4156" t="str">
        <f>"1578728507430239"</f>
        <v>1578728507430239</v>
      </c>
      <c r="C4156" t="s">
        <v>37</v>
      </c>
      <c r="D4156">
        <v>5.6187389999999997</v>
      </c>
      <c r="E4156">
        <v>0.58125519999999997</v>
      </c>
      <c r="F4156" t="s">
        <v>39</v>
      </c>
      <c r="G4156">
        <v>-320.30270000000002</v>
      </c>
      <c r="H4156" s="1">
        <v>-5.6934389999999996E-6</v>
      </c>
      <c r="I4156">
        <v>13.2516</v>
      </c>
      <c r="J4156">
        <v>-337.88850000000002</v>
      </c>
      <c r="K4156">
        <v>1.11052</v>
      </c>
      <c r="L4156">
        <v>17.81363</v>
      </c>
      <c r="M4156">
        <v>0.99975789999999998</v>
      </c>
      <c r="N4156">
        <v>0</v>
      </c>
      <c r="O4156">
        <v>1.669174E-2</v>
      </c>
      <c r="P4156">
        <v>0.99903759999999997</v>
      </c>
      <c r="Q4156">
        <v>1.9758629999999999E-2</v>
      </c>
      <c r="R4156">
        <v>-3.9162919999999997E-2</v>
      </c>
      <c r="S4156">
        <v>2.9773860000000001</v>
      </c>
      <c r="T4156">
        <v>-0.1856651</v>
      </c>
      <c r="U4156">
        <v>-0.76208500000000001</v>
      </c>
      <c r="V4156">
        <v>5.5830299999999999E-2</v>
      </c>
      <c r="W4156">
        <v>3.4083740000000001E-2</v>
      </c>
      <c r="X4156">
        <v>0.99785829999999998</v>
      </c>
      <c r="Y4156">
        <v>0.26358999999999999</v>
      </c>
      <c r="Z4156">
        <v>-9.1046959999999903E-3</v>
      </c>
      <c r="AA4156">
        <v>0.9645918</v>
      </c>
      <c r="AB4156">
        <v>39</v>
      </c>
      <c r="AC4156">
        <v>17.585799999999999</v>
      </c>
      <c r="AD4156">
        <v>-1.110525693439</v>
      </c>
      <c r="AE4156">
        <v>-4.56203</v>
      </c>
      <c r="AF4156">
        <v>4.8368897450919199</v>
      </c>
      <c r="AG4156">
        <v>-1.110525693439</v>
      </c>
      <c r="AH4156">
        <v>17.442023894673301</v>
      </c>
      <c r="AI4156">
        <v>93.5109301085986</v>
      </c>
      <c r="AJ4156">
        <v>74.500645387667106</v>
      </c>
      <c r="AK4156">
        <v>18.134303605717001</v>
      </c>
    </row>
    <row r="4157" spans="1:37" x14ac:dyDescent="0.2">
      <c r="A4157" t="str">
        <f>"20200111154147455"</f>
        <v>20200111154147455</v>
      </c>
      <c r="B4157" t="str">
        <f>"1578728507449759"</f>
        <v>1578728507449759</v>
      </c>
      <c r="C4157" t="s">
        <v>37</v>
      </c>
      <c r="D4157">
        <v>5.6191680000000002</v>
      </c>
      <c r="E4157">
        <v>0.58143909999999999</v>
      </c>
      <c r="F4157" t="s">
        <v>39</v>
      </c>
      <c r="G4157">
        <v>-320.35090000000002</v>
      </c>
      <c r="H4157" s="1">
        <v>-5.6623230000000004E-6</v>
      </c>
      <c r="I4157">
        <v>13.2987299999999</v>
      </c>
      <c r="J4157">
        <v>-337.5994</v>
      </c>
      <c r="K4157">
        <v>1.110501</v>
      </c>
      <c r="L4157">
        <v>17.81842</v>
      </c>
      <c r="M4157">
        <v>0.99975689999999995</v>
      </c>
      <c r="N4157">
        <v>0</v>
      </c>
      <c r="O4157">
        <v>1.661029E-2</v>
      </c>
      <c r="P4157">
        <v>0.99899740000000004</v>
      </c>
      <c r="Q4157">
        <v>1.8988339999999999E-2</v>
      </c>
      <c r="R4157">
        <v>-4.0541309999999997E-2</v>
      </c>
      <c r="S4157">
        <v>2.9765929999999998</v>
      </c>
      <c r="T4157">
        <v>-0.18848529999999999</v>
      </c>
      <c r="U4157">
        <v>-0.76629639999999999</v>
      </c>
      <c r="V4157">
        <v>5.7130830000000001E-2</v>
      </c>
      <c r="W4157">
        <v>3.3465160000000001E-2</v>
      </c>
      <c r="X4157">
        <v>0.99780569999999902</v>
      </c>
      <c r="Y4157">
        <v>0.2648355</v>
      </c>
      <c r="Z4157">
        <v>-9.277212E-3</v>
      </c>
      <c r="AA4157">
        <v>0.96424900000000002</v>
      </c>
      <c r="AB4157">
        <v>39</v>
      </c>
      <c r="AC4157">
        <v>17.2484999999999</v>
      </c>
      <c r="AD4157">
        <v>-1.110506662323</v>
      </c>
      <c r="AE4157">
        <v>-4.5196899999999998</v>
      </c>
      <c r="AF4157">
        <v>4.7870310166900598</v>
      </c>
      <c r="AG4157">
        <v>-1.110506662323</v>
      </c>
      <c r="AH4157">
        <v>17.104692642836699</v>
      </c>
      <c r="AI4157">
        <v>93.577574685254802</v>
      </c>
      <c r="AJ4157">
        <v>74.3648449732449</v>
      </c>
      <c r="AK4157">
        <v>17.7966120766771</v>
      </c>
    </row>
    <row r="4158" spans="1:37" x14ac:dyDescent="0.2">
      <c r="A4158" t="str">
        <f>"20200111154147467"</f>
        <v>20200111154147467</v>
      </c>
      <c r="B4158" t="str">
        <f>"1578728507460495"</f>
        <v>1578728507460495</v>
      </c>
      <c r="C4158" t="s">
        <v>37</v>
      </c>
      <c r="D4158">
        <v>5.6463789999999996</v>
      </c>
      <c r="E4158">
        <v>0.58153109999999997</v>
      </c>
      <c r="F4158" t="s">
        <v>39</v>
      </c>
      <c r="G4158">
        <v>-320.35520000000002</v>
      </c>
      <c r="H4158" s="1">
        <v>-5.6521359999999998E-6</v>
      </c>
      <c r="I4158">
        <v>13.344489999999899</v>
      </c>
      <c r="J4158">
        <v>-337.39670000000001</v>
      </c>
      <c r="K4158">
        <v>1.110484</v>
      </c>
      <c r="L4158">
        <v>17.821750000000002</v>
      </c>
      <c r="M4158">
        <v>0.999756599999999</v>
      </c>
      <c r="N4158">
        <v>0</v>
      </c>
      <c r="O4158">
        <v>1.6527110000000001E-2</v>
      </c>
      <c r="P4158">
        <v>0.99896509999999905</v>
      </c>
      <c r="Q4158">
        <v>1.8823619999999999E-2</v>
      </c>
      <c r="R4158">
        <v>-4.1406560000000002E-2</v>
      </c>
      <c r="S4158">
        <v>2.9753419999999999</v>
      </c>
      <c r="T4158">
        <v>-0.19160929999999901</v>
      </c>
      <c r="U4158">
        <v>-0.77194209999999996</v>
      </c>
      <c r="V4158">
        <v>5.7915359999999999E-2</v>
      </c>
      <c r="W4158">
        <v>3.3413699999999998E-2</v>
      </c>
      <c r="X4158">
        <v>0.99776209999999899</v>
      </c>
      <c r="Y4158">
        <v>0.26654679999999997</v>
      </c>
      <c r="Z4158">
        <v>-9.4811949999999996E-3</v>
      </c>
      <c r="AA4158">
        <v>0.9637753</v>
      </c>
      <c r="AB4158">
        <v>39</v>
      </c>
      <c r="AC4158">
        <v>17.0414999999999</v>
      </c>
      <c r="AD4158">
        <v>-1.1104896521359999</v>
      </c>
      <c r="AE4158">
        <v>-4.4772600000000002</v>
      </c>
      <c r="AF4158">
        <v>4.7394991954408301</v>
      </c>
      <c r="AG4158">
        <v>-1.1104896521359999</v>
      </c>
      <c r="AH4158">
        <v>16.898046335598998</v>
      </c>
      <c r="AI4158">
        <v>93.620581923501604</v>
      </c>
      <c r="AJ4158">
        <v>74.332457969822102</v>
      </c>
      <c r="AK4158">
        <v>17.585221347800498</v>
      </c>
    </row>
    <row r="4159" spans="1:37" x14ac:dyDescent="0.2">
      <c r="A4159" t="str">
        <f>"20200111154147478"</f>
        <v>20200111154147478</v>
      </c>
      <c r="B4159" t="str">
        <f>"1578728507470254"</f>
        <v>1578728507470254</v>
      </c>
      <c r="C4159" t="s">
        <v>37</v>
      </c>
      <c r="D4159">
        <v>5.6035120000000003</v>
      </c>
      <c r="E4159">
        <v>0.58169150000000003</v>
      </c>
      <c r="F4159" t="s">
        <v>39</v>
      </c>
      <c r="G4159">
        <v>-320.25450000000001</v>
      </c>
      <c r="H4159" s="1">
        <v>-5.6980409999999898E-6</v>
      </c>
      <c r="I4159">
        <v>13.35417</v>
      </c>
      <c r="J4159">
        <v>-337.19369999999998</v>
      </c>
      <c r="K4159">
        <v>1.110465</v>
      </c>
      <c r="L4159">
        <v>17.825009999999999</v>
      </c>
      <c r="M4159">
        <v>0.9997568</v>
      </c>
      <c r="N4159">
        <v>0</v>
      </c>
      <c r="O4159">
        <v>1.64149E-2</v>
      </c>
      <c r="P4159">
        <v>0.99893619999999905</v>
      </c>
      <c r="Q4159">
        <v>1.8433700000000001E-2</v>
      </c>
      <c r="R4159">
        <v>-4.2272270000000001E-2</v>
      </c>
      <c r="S4159">
        <v>2.9746090000000001</v>
      </c>
      <c r="T4159">
        <v>-0.19269819999999999</v>
      </c>
      <c r="U4159">
        <v>-0.77523799999999998</v>
      </c>
      <c r="V4159">
        <v>5.8671969999999997E-2</v>
      </c>
      <c r="W4159">
        <v>3.3139189999999999E-2</v>
      </c>
      <c r="X4159">
        <v>0.99772709999999998</v>
      </c>
      <c r="Y4159">
        <v>0.26748860000000002</v>
      </c>
      <c r="Z4159">
        <v>-9.5587659999999998E-3</v>
      </c>
      <c r="AA4159">
        <v>0.96351359999999997</v>
      </c>
      <c r="AB4159">
        <v>39</v>
      </c>
      <c r="AC4159">
        <v>16.9391999999999</v>
      </c>
      <c r="AD4159">
        <v>-1.110470698041</v>
      </c>
      <c r="AE4159">
        <v>-4.4708399999999902</v>
      </c>
      <c r="AF4159">
        <v>4.7293217343126104</v>
      </c>
      <c r="AG4159">
        <v>-1.110470698041</v>
      </c>
      <c r="AH4159">
        <v>16.796038720185201</v>
      </c>
      <c r="AI4159">
        <v>93.641411608374696</v>
      </c>
      <c r="AJ4159">
        <v>74.274179771788098</v>
      </c>
      <c r="AK4159">
        <v>17.484465846225099</v>
      </c>
    </row>
    <row r="4160" spans="1:37" x14ac:dyDescent="0.2">
      <c r="A4160" t="str">
        <f>"20200111154147489"</f>
        <v>20200111154147489</v>
      </c>
      <c r="B4160" t="str">
        <f>"1578728507480014"</f>
        <v>1578728507480014</v>
      </c>
      <c r="C4160" t="s">
        <v>37</v>
      </c>
      <c r="D4160">
        <v>5.6396879999999996</v>
      </c>
      <c r="E4160">
        <v>0.58186530000000003</v>
      </c>
      <c r="F4160" t="s">
        <v>39</v>
      </c>
      <c r="G4160">
        <v>-320.15719999999999</v>
      </c>
      <c r="H4160" s="1">
        <v>-5.7427930000000003E-6</v>
      </c>
      <c r="I4160">
        <v>13.3612</v>
      </c>
      <c r="J4160">
        <v>-337.00799999999998</v>
      </c>
      <c r="K4160">
        <v>1.110441</v>
      </c>
      <c r="L4160">
        <v>17.827999999999999</v>
      </c>
      <c r="M4160">
        <v>0.99975700000000001</v>
      </c>
      <c r="N4160">
        <v>0</v>
      </c>
      <c r="O4160">
        <v>1.628868E-2</v>
      </c>
      <c r="P4160">
        <v>0.99890599999999996</v>
      </c>
      <c r="Q4160">
        <v>1.816941E-2</v>
      </c>
      <c r="R4160">
        <v>-4.3095420000000002E-2</v>
      </c>
      <c r="S4160">
        <v>2.9737849999999999</v>
      </c>
      <c r="T4160">
        <v>-0.19383699999999901</v>
      </c>
      <c r="U4160">
        <v>-0.77917479999999995</v>
      </c>
      <c r="V4160">
        <v>5.9371880000000002E-2</v>
      </c>
      <c r="W4160">
        <v>3.2981440000000001E-2</v>
      </c>
      <c r="X4160">
        <v>0.99769089999999905</v>
      </c>
      <c r="Y4160">
        <v>0.2686172</v>
      </c>
      <c r="Z4160">
        <v>-9.6441849999999996E-3</v>
      </c>
      <c r="AA4160">
        <v>0.96319869999999996</v>
      </c>
      <c r="AB4160">
        <v>39</v>
      </c>
      <c r="AC4160">
        <v>16.8508</v>
      </c>
      <c r="AD4160">
        <v>-1.110446742793</v>
      </c>
      <c r="AE4160">
        <v>-4.4667999999999903</v>
      </c>
      <c r="AF4160">
        <v>4.7215569518141303</v>
      </c>
      <c r="AG4160">
        <v>-1.110446742793</v>
      </c>
      <c r="AH4160">
        <v>16.708004310497699</v>
      </c>
      <c r="AI4160">
        <v>93.659495683235207</v>
      </c>
      <c r="AJ4160">
        <v>74.220105231543002</v>
      </c>
      <c r="AK4160">
        <v>17.3978044608339</v>
      </c>
    </row>
    <row r="4161" spans="1:37" x14ac:dyDescent="0.2">
      <c r="A4161" t="str">
        <f>"20200111154147500"</f>
        <v>20200111154147500</v>
      </c>
      <c r="B4161" t="str">
        <f>"1578728507489774"</f>
        <v>1578728507489774</v>
      </c>
      <c r="C4161" t="s">
        <v>37</v>
      </c>
      <c r="D4161">
        <v>5.6117509999999999</v>
      </c>
      <c r="E4161">
        <v>0.58203729999999998</v>
      </c>
      <c r="F4161" t="s">
        <v>39</v>
      </c>
      <c r="G4161">
        <v>-320.10860000000002</v>
      </c>
      <c r="H4161" s="1">
        <v>-5.7630069999999997E-6</v>
      </c>
      <c r="I4161">
        <v>13.376799999999999</v>
      </c>
      <c r="J4161">
        <v>-336.80889999999999</v>
      </c>
      <c r="K4161">
        <v>1.110414</v>
      </c>
      <c r="L4161">
        <v>17.831150000000001</v>
      </c>
      <c r="M4161">
        <v>0.99975749999999997</v>
      </c>
      <c r="N4161">
        <v>0</v>
      </c>
      <c r="O4161">
        <v>1.61374E-2</v>
      </c>
      <c r="P4161">
        <v>0.99886140000000001</v>
      </c>
      <c r="Q4161">
        <v>1.81843E-2</v>
      </c>
      <c r="R4161">
        <v>-4.4101799999999997E-2</v>
      </c>
      <c r="S4161">
        <v>2.97305299999999</v>
      </c>
      <c r="T4161">
        <v>-0.19535620000000001</v>
      </c>
      <c r="U4161">
        <v>-0.78308109999999997</v>
      </c>
      <c r="V4161">
        <v>6.0230619999999999E-2</v>
      </c>
      <c r="W4161">
        <v>3.3111059999999998E-2</v>
      </c>
      <c r="X4161">
        <v>0.99763519999999895</v>
      </c>
      <c r="Y4161">
        <v>0.26970250000000001</v>
      </c>
      <c r="Z4161">
        <v>-9.7455919999999904E-3</v>
      </c>
      <c r="AA4161">
        <v>0.96289439999999904</v>
      </c>
      <c r="AB4161">
        <v>39</v>
      </c>
      <c r="AC4161">
        <v>16.700299999999899</v>
      </c>
      <c r="AD4161">
        <v>-1.1104197630069901</v>
      </c>
      <c r="AE4161">
        <v>-4.4543499999999998</v>
      </c>
      <c r="AF4161">
        <v>4.7038845919851298</v>
      </c>
      <c r="AG4161">
        <v>-1.1104197630069901</v>
      </c>
      <c r="AH4161">
        <v>16.557893700833599</v>
      </c>
      <c r="AI4161">
        <v>93.691047882463195</v>
      </c>
      <c r="AJ4161">
        <v>74.140833795793895</v>
      </c>
      <c r="AK4161">
        <v>17.248866806631</v>
      </c>
    </row>
    <row r="4162" spans="1:37" x14ac:dyDescent="0.2">
      <c r="A4162" t="str">
        <f>"20200111154147512"</f>
        <v>20200111154147512</v>
      </c>
      <c r="B4162" t="str">
        <f>"1578728507500511"</f>
        <v>1578728507500511</v>
      </c>
      <c r="C4162" t="s">
        <v>37</v>
      </c>
      <c r="D4162">
        <v>5.7559670000000001</v>
      </c>
      <c r="E4162">
        <v>0.58198640000000001</v>
      </c>
      <c r="F4162" t="s">
        <v>40</v>
      </c>
      <c r="G4162">
        <v>-319.1918</v>
      </c>
      <c r="H4162">
        <v>-0.05</v>
      </c>
      <c r="I4162">
        <v>13.16394</v>
      </c>
      <c r="J4162">
        <v>-336.61779999999999</v>
      </c>
      <c r="K4162">
        <v>1.1103879999999999</v>
      </c>
      <c r="L4162">
        <v>17.83408</v>
      </c>
      <c r="M4162">
        <v>0.99975840000000005</v>
      </c>
      <c r="N4162">
        <v>0</v>
      </c>
      <c r="O4162">
        <v>1.5954860000000001E-2</v>
      </c>
      <c r="P4162">
        <v>0.99881699999999995</v>
      </c>
      <c r="Q4162">
        <v>1.8237639999999999E-2</v>
      </c>
      <c r="R4162">
        <v>-4.5079920000000002E-2</v>
      </c>
      <c r="S4162">
        <v>2.972229</v>
      </c>
      <c r="T4162">
        <v>-0.195775799999999</v>
      </c>
      <c r="U4162">
        <v>-0.78741459999999996</v>
      </c>
      <c r="V4162">
        <v>6.1029420000000001E-2</v>
      </c>
      <c r="W4162">
        <v>3.3287879999999999E-2</v>
      </c>
      <c r="X4162">
        <v>0.99758080000000005</v>
      </c>
      <c r="Y4162">
        <v>0.27089999999999997</v>
      </c>
      <c r="Z4162">
        <v>-9.7942250000000002E-3</v>
      </c>
      <c r="AA4162">
        <v>0.96255769999999996</v>
      </c>
      <c r="AB4162">
        <v>39</v>
      </c>
      <c r="AC4162">
        <v>17.425999999999899</v>
      </c>
      <c r="AD4162">
        <v>-1.160388</v>
      </c>
      <c r="AE4162">
        <v>-4.67014</v>
      </c>
      <c r="AF4162">
        <v>4.9272225570283901</v>
      </c>
      <c r="AG4162">
        <v>-1.160388</v>
      </c>
      <c r="AH4162">
        <v>17.277782863332501</v>
      </c>
      <c r="AI4162">
        <v>93.6953603542633</v>
      </c>
      <c r="AJ4162">
        <v>74.083080432792897</v>
      </c>
      <c r="AK4162">
        <v>18.004049630833102</v>
      </c>
    </row>
    <row r="4163" spans="1:37" x14ac:dyDescent="0.2">
      <c r="A4163" t="str">
        <f>"20200111154147523"</f>
        <v>20200111154147523</v>
      </c>
      <c r="B4163" t="str">
        <f>"1578728507520030"</f>
        <v>1578728507520030</v>
      </c>
      <c r="C4163" t="s">
        <v>37</v>
      </c>
      <c r="D4163">
        <v>5.6490580000000001</v>
      </c>
      <c r="E4163">
        <v>0.58243290000000003</v>
      </c>
      <c r="F4163" t="s">
        <v>40</v>
      </c>
      <c r="G4163">
        <v>-319.11410000000001</v>
      </c>
      <c r="H4163">
        <v>-0.05</v>
      </c>
      <c r="I4163">
        <v>13.180529999999999</v>
      </c>
      <c r="J4163">
        <v>-336.41950000000003</v>
      </c>
      <c r="K4163">
        <v>1.110363</v>
      </c>
      <c r="L4163">
        <v>17.837070000000001</v>
      </c>
      <c r="M4163">
        <v>0.99975949999999902</v>
      </c>
      <c r="N4163">
        <v>0</v>
      </c>
      <c r="O4163">
        <v>1.5754069999999998E-2</v>
      </c>
      <c r="P4163">
        <v>0.99877439999999995</v>
      </c>
      <c r="Q4163">
        <v>1.802548E-2</v>
      </c>
      <c r="R4163">
        <v>-4.6096570000000003E-2</v>
      </c>
      <c r="S4163">
        <v>2.9714969999999998</v>
      </c>
      <c r="T4163">
        <v>-0.1969928</v>
      </c>
      <c r="U4163">
        <v>-0.7900085</v>
      </c>
      <c r="V4163">
        <v>6.1849109999999999E-2</v>
      </c>
      <c r="W4163">
        <v>3.320733E-2</v>
      </c>
      <c r="X4163">
        <v>0.997533</v>
      </c>
      <c r="Y4163">
        <v>0.27154210000000001</v>
      </c>
      <c r="Z4163">
        <v>-9.8640559999999995E-3</v>
      </c>
      <c r="AA4163">
        <v>0.96237600000000001</v>
      </c>
      <c r="AB4163">
        <v>39</v>
      </c>
      <c r="AC4163">
        <v>17.305399999999999</v>
      </c>
      <c r="AD4163">
        <v>-1.16036299999999</v>
      </c>
      <c r="AE4163">
        <v>-4.6565399999999997</v>
      </c>
      <c r="AF4163">
        <v>4.90804753741154</v>
      </c>
      <c r="AG4163">
        <v>-1.16036299999999</v>
      </c>
      <c r="AH4163">
        <v>17.157950319040399</v>
      </c>
      <c r="AI4163">
        <v>93.720160419088799</v>
      </c>
      <c r="AJ4163">
        <v>74.036773443134607</v>
      </c>
      <c r="AK4163">
        <v>17.883809215933798</v>
      </c>
    </row>
    <row r="4164" spans="1:37" x14ac:dyDescent="0.2">
      <c r="A4164" t="str">
        <f>"20200111154147534"</f>
        <v>20200111154147534</v>
      </c>
      <c r="B4164" t="str">
        <f>"1578728507529791"</f>
        <v>1578728507529791</v>
      </c>
      <c r="C4164" t="s">
        <v>37</v>
      </c>
      <c r="D4164">
        <v>5.6823230000000002</v>
      </c>
      <c r="E4164">
        <v>0.58268900000000001</v>
      </c>
      <c r="F4164" t="s">
        <v>40</v>
      </c>
      <c r="G4164">
        <v>-319.01979999999998</v>
      </c>
      <c r="H4164">
        <v>-0.05</v>
      </c>
      <c r="I4164">
        <v>13.171329999999999</v>
      </c>
      <c r="J4164">
        <v>-336.23180000000002</v>
      </c>
      <c r="K4164">
        <v>1.1103399999999899</v>
      </c>
      <c r="L4164">
        <v>17.839839999999999</v>
      </c>
      <c r="M4164">
        <v>0.99976089999999995</v>
      </c>
      <c r="N4164">
        <v>0</v>
      </c>
      <c r="O4164">
        <v>1.5520620000000001E-2</v>
      </c>
      <c r="P4164">
        <v>0.998726</v>
      </c>
      <c r="Q4164">
        <v>1.790311E-2</v>
      </c>
      <c r="R4164">
        <v>-4.7181099999999997E-2</v>
      </c>
      <c r="S4164">
        <v>2.9704899999999999</v>
      </c>
      <c r="T4164">
        <v>-0.19809779999999999</v>
      </c>
      <c r="U4164">
        <v>-0.79653929999999995</v>
      </c>
      <c r="V4164">
        <v>6.2703620000000002E-2</v>
      </c>
      <c r="W4164">
        <v>3.322497E-2</v>
      </c>
      <c r="X4164">
        <v>0.997479</v>
      </c>
      <c r="Y4164">
        <v>0.27336309999999903</v>
      </c>
      <c r="Z4164">
        <v>-9.9640749999999993E-3</v>
      </c>
      <c r="AA4164">
        <v>0.96185929999999997</v>
      </c>
      <c r="AB4164">
        <v>38</v>
      </c>
      <c r="AC4164">
        <v>17.212</v>
      </c>
      <c r="AD4164">
        <v>-1.1603399999999999</v>
      </c>
      <c r="AE4164">
        <v>-4.6685099999999897</v>
      </c>
      <c r="AF4164">
        <v>4.91431641852241</v>
      </c>
      <c r="AG4164">
        <v>-1.1603399999999999</v>
      </c>
      <c r="AH4164">
        <v>17.0652175164612</v>
      </c>
      <c r="AI4164">
        <v>93.738344607035401</v>
      </c>
      <c r="AJ4164">
        <v>73.935044920059298</v>
      </c>
      <c r="AK4164">
        <v>17.7965879780674</v>
      </c>
    </row>
    <row r="4165" spans="1:37" x14ac:dyDescent="0.2">
      <c r="A4165" t="str">
        <f>"20200111154147546"</f>
        <v>20200111154147546</v>
      </c>
      <c r="B4165" t="str">
        <f>"1578728507540527"</f>
        <v>1578728507540527</v>
      </c>
      <c r="C4165" t="s">
        <v>37</v>
      </c>
      <c r="D4165">
        <v>5.652857</v>
      </c>
      <c r="E4165">
        <v>0.58287319999999998</v>
      </c>
      <c r="F4165" t="s">
        <v>40</v>
      </c>
      <c r="G4165">
        <v>-318.9563</v>
      </c>
      <c r="H4165">
        <v>-0.05</v>
      </c>
      <c r="I4165">
        <v>13.174910000000001</v>
      </c>
      <c r="J4165">
        <v>-336.04219999999998</v>
      </c>
      <c r="K4165">
        <v>1.1103190000000001</v>
      </c>
      <c r="L4165">
        <v>17.842559999999999</v>
      </c>
      <c r="M4165">
        <v>0.99976239999999905</v>
      </c>
      <c r="N4165">
        <v>0</v>
      </c>
      <c r="O4165">
        <v>1.5273399999999999E-2</v>
      </c>
      <c r="P4165">
        <v>0.99867090000000003</v>
      </c>
      <c r="Q4165">
        <v>1.7710340000000001E-2</v>
      </c>
      <c r="R4165">
        <v>-4.8406409999999997E-2</v>
      </c>
      <c r="S4165">
        <v>2.9694820000000002</v>
      </c>
      <c r="T4165">
        <v>-0.19945009999999999</v>
      </c>
      <c r="U4165">
        <v>-0.80184940000000005</v>
      </c>
      <c r="V4165">
        <v>6.3684959999999999E-2</v>
      </c>
      <c r="W4165">
        <v>3.3174460000000003E-2</v>
      </c>
      <c r="X4165">
        <v>0.99741849999999999</v>
      </c>
      <c r="Y4165">
        <v>0.27479969999999998</v>
      </c>
      <c r="Z4165">
        <v>-1.006398E-2</v>
      </c>
      <c r="AA4165">
        <v>0.96144879999999999</v>
      </c>
      <c r="AB4165">
        <v>38</v>
      </c>
      <c r="AC4165">
        <v>17.085899999999899</v>
      </c>
      <c r="AD4165">
        <v>-1.1603190000000001</v>
      </c>
      <c r="AE4165">
        <v>-4.6676499999999903</v>
      </c>
      <c r="AF4165">
        <v>4.90703769774339</v>
      </c>
      <c r="AG4165">
        <v>-1.1603190000000001</v>
      </c>
      <c r="AH4165">
        <v>16.939907650870001</v>
      </c>
      <c r="AI4165">
        <v>93.764149167241499</v>
      </c>
      <c r="AJ4165">
        <v>73.845112828124897</v>
      </c>
      <c r="AK4165">
        <v>17.6744400298522</v>
      </c>
    </row>
    <row r="4166" spans="1:37" x14ac:dyDescent="0.2">
      <c r="A4166" t="str">
        <f>"20200111154147558"</f>
        <v>20200111154147558</v>
      </c>
      <c r="B4166" t="str">
        <f>"1578728507550286"</f>
        <v>1578728507550286</v>
      </c>
      <c r="C4166" t="s">
        <v>37</v>
      </c>
      <c r="D4166">
        <v>5.6614309999999897</v>
      </c>
      <c r="E4166">
        <v>0.58309359999999999</v>
      </c>
      <c r="F4166" t="s">
        <v>40</v>
      </c>
      <c r="G4166">
        <v>-318.84269999999998</v>
      </c>
      <c r="H4166">
        <v>-0.05</v>
      </c>
      <c r="I4166">
        <v>13.16727</v>
      </c>
      <c r="J4166">
        <v>-335.8236</v>
      </c>
      <c r="K4166">
        <v>1.110298</v>
      </c>
      <c r="L4166">
        <v>17.84564</v>
      </c>
      <c r="M4166">
        <v>0.99976449999999994</v>
      </c>
      <c r="N4166">
        <v>0</v>
      </c>
      <c r="O4166">
        <v>1.4950079999999999E-2</v>
      </c>
      <c r="P4166">
        <v>0.99861480000000002</v>
      </c>
      <c r="Q4166">
        <v>1.7601160000000001E-2</v>
      </c>
      <c r="R4166">
        <v>-4.9590189999999999E-2</v>
      </c>
      <c r="S4166">
        <v>2.9685060000000001</v>
      </c>
      <c r="T4166">
        <v>-0.20026160000000001</v>
      </c>
      <c r="U4166">
        <v>-0.8069153</v>
      </c>
      <c r="V4166">
        <v>6.4549540000000002E-2</v>
      </c>
      <c r="W4166">
        <v>3.3236889999999998E-2</v>
      </c>
      <c r="X4166">
        <v>0.99736080000000005</v>
      </c>
      <c r="Y4166">
        <v>0.27608959999999999</v>
      </c>
      <c r="Z4166">
        <v>-1.012711E-2</v>
      </c>
      <c r="AA4166">
        <v>0.96107849999999995</v>
      </c>
      <c r="AB4166">
        <v>38</v>
      </c>
      <c r="AC4166">
        <v>16.980899999999998</v>
      </c>
      <c r="AD4166">
        <v>-1.1602980000000001</v>
      </c>
      <c r="AE4166">
        <v>-4.6783699999999904</v>
      </c>
      <c r="AF4166">
        <v>4.9104352076166196</v>
      </c>
      <c r="AG4166">
        <v>-1.1602980000000001</v>
      </c>
      <c r="AH4166">
        <v>16.835990610699099</v>
      </c>
      <c r="AI4166">
        <v>93.785233595701598</v>
      </c>
      <c r="AJ4166">
        <v>73.739989915285705</v>
      </c>
      <c r="AK4166">
        <v>17.575814212165302</v>
      </c>
    </row>
    <row r="4167" spans="1:37" x14ac:dyDescent="0.2">
      <c r="A4167" t="str">
        <f>"20200111154147568"</f>
        <v>20200111154147568</v>
      </c>
      <c r="B4167" t="str">
        <f>"1578728507560046"</f>
        <v>1578728507560046</v>
      </c>
      <c r="C4167" t="s">
        <v>37</v>
      </c>
      <c r="D4167">
        <v>5.6309889999999996</v>
      </c>
      <c r="E4167">
        <v>0.58328080000000004</v>
      </c>
      <c r="F4167" t="s">
        <v>40</v>
      </c>
      <c r="G4167">
        <v>-318.70310000000001</v>
      </c>
      <c r="H4167">
        <v>-0.05</v>
      </c>
      <c r="I4167">
        <v>13.16037</v>
      </c>
      <c r="J4167">
        <v>-335.64139999999998</v>
      </c>
      <c r="K4167">
        <v>1.1102799999999999</v>
      </c>
      <c r="L4167">
        <v>17.848109999999998</v>
      </c>
      <c r="M4167">
        <v>0.9997663</v>
      </c>
      <c r="N4167">
        <v>0</v>
      </c>
      <c r="O4167">
        <v>1.465693E-2</v>
      </c>
      <c r="P4167">
        <v>0.99855169999999904</v>
      </c>
      <c r="Q4167">
        <v>1.7768590000000001E-2</v>
      </c>
      <c r="R4167">
        <v>-5.078307E-2</v>
      </c>
      <c r="S4167">
        <v>2.9674070000000001</v>
      </c>
      <c r="T4167">
        <v>-0.20110799999999901</v>
      </c>
      <c r="U4167">
        <v>-0.81207280000000004</v>
      </c>
      <c r="V4167">
        <v>6.5452750000000004E-2</v>
      </c>
      <c r="W4167">
        <v>3.3544749999999998E-2</v>
      </c>
      <c r="X4167">
        <v>0.997291699999999</v>
      </c>
      <c r="Y4167">
        <v>0.27744479999999999</v>
      </c>
      <c r="Z4167">
        <v>-1.0196709999999999E-2</v>
      </c>
      <c r="AA4167">
        <v>0.96068750000000003</v>
      </c>
      <c r="AB4167">
        <v>38</v>
      </c>
      <c r="AC4167">
        <v>16.938299999999899</v>
      </c>
      <c r="AD4167">
        <v>-1.16028</v>
      </c>
      <c r="AE4167">
        <v>-4.6877399999999998</v>
      </c>
      <c r="AF4167">
        <v>4.9141131133630704</v>
      </c>
      <c r="AG4167">
        <v>-1.16028</v>
      </c>
      <c r="AH4167">
        <v>16.794564811126801</v>
      </c>
      <c r="AI4167">
        <v>93.793528877440394</v>
      </c>
      <c r="AJ4167">
        <v>73.69045043637</v>
      </c>
      <c r="AK4167">
        <v>17.5371652374169</v>
      </c>
    </row>
    <row r="4168" spans="1:37" x14ac:dyDescent="0.2">
      <c r="A4168" t="str">
        <f>"20200111154147580"</f>
        <v>20200111154147580</v>
      </c>
      <c r="B4168" t="str">
        <f>"1578728507569807"</f>
        <v>1578728507569807</v>
      </c>
      <c r="C4168" t="s">
        <v>37</v>
      </c>
      <c r="D4168">
        <v>5.6925509999999999</v>
      </c>
      <c r="E4168">
        <v>0.58346399999999998</v>
      </c>
      <c r="F4168" t="s">
        <v>40</v>
      </c>
      <c r="G4168">
        <v>-318.46109999999999</v>
      </c>
      <c r="H4168">
        <v>-0.05</v>
      </c>
      <c r="I4168">
        <v>13.115329999999901</v>
      </c>
      <c r="J4168">
        <v>-335.4461</v>
      </c>
      <c r="K4168">
        <v>1.1102590000000001</v>
      </c>
      <c r="L4168">
        <v>17.850680000000001</v>
      </c>
      <c r="M4168">
        <v>0.99976869999999995</v>
      </c>
      <c r="N4168">
        <v>0</v>
      </c>
      <c r="O4168">
        <v>1.432429E-2</v>
      </c>
      <c r="P4168">
        <v>0.99848559999999997</v>
      </c>
      <c r="Q4168">
        <v>1.8106130000000002E-2</v>
      </c>
      <c r="R4168">
        <v>-5.1951850000000001E-2</v>
      </c>
      <c r="S4168">
        <v>2.96637</v>
      </c>
      <c r="T4168">
        <v>-0.20033499999999901</v>
      </c>
      <c r="U4168">
        <v>-0.81716919999999904</v>
      </c>
      <c r="V4168">
        <v>6.6292779999999996E-2</v>
      </c>
      <c r="W4168">
        <v>3.4031800000000001E-2</v>
      </c>
      <c r="X4168">
        <v>0.99721970000000004</v>
      </c>
      <c r="Y4168">
        <v>0.278748</v>
      </c>
      <c r="Z4168">
        <v>-1.0179870000000001E-2</v>
      </c>
      <c r="AA4168">
        <v>0.96031029999999995</v>
      </c>
      <c r="AB4168">
        <v>38</v>
      </c>
      <c r="AC4168">
        <v>16.984999999999999</v>
      </c>
      <c r="AD4168">
        <v>-1.1602589999999999</v>
      </c>
      <c r="AE4168">
        <v>-4.7353500000000004</v>
      </c>
      <c r="AF4168">
        <v>4.9567316565577499</v>
      </c>
      <c r="AG4168">
        <v>-1.1602589999999999</v>
      </c>
      <c r="AH4168">
        <v>16.842492690613099</v>
      </c>
      <c r="AI4168">
        <v>93.780967198272705</v>
      </c>
      <c r="AJ4168">
        <v>73.6008875873801</v>
      </c>
      <c r="AK4168">
        <v>17.595026277205601</v>
      </c>
    </row>
    <row r="4169" spans="1:37" x14ac:dyDescent="0.2">
      <c r="A4169" t="str">
        <f>"20200111154147591"</f>
        <v>20200111154147591</v>
      </c>
      <c r="B4169" t="str">
        <f>"1578728507580543"</f>
        <v>1578728507580543</v>
      </c>
      <c r="C4169" t="s">
        <v>37</v>
      </c>
      <c r="D4169">
        <v>5.6918689999999996</v>
      </c>
      <c r="E4169">
        <v>0.58362849999999999</v>
      </c>
      <c r="F4169" t="s">
        <v>40</v>
      </c>
      <c r="G4169">
        <v>-318.25650000000002</v>
      </c>
      <c r="H4169">
        <v>-0.05</v>
      </c>
      <c r="I4169">
        <v>13.085100000000001</v>
      </c>
      <c r="J4169">
        <v>-335.26960000000003</v>
      </c>
      <c r="K4169">
        <v>1.110241</v>
      </c>
      <c r="L4169">
        <v>17.85294</v>
      </c>
      <c r="M4169">
        <v>0.99977099999999997</v>
      </c>
      <c r="N4169">
        <v>0</v>
      </c>
      <c r="O4169">
        <v>1.3994090000000001E-2</v>
      </c>
      <c r="P4169">
        <v>0.99841650000000004</v>
      </c>
      <c r="Q4169">
        <v>1.8511139999999999E-2</v>
      </c>
      <c r="R4169">
        <v>-5.3123339999999998E-2</v>
      </c>
      <c r="S4169">
        <v>2.9653930000000002</v>
      </c>
      <c r="T4169">
        <v>-0.20015759999999999</v>
      </c>
      <c r="U4169">
        <v>-0.82211299999999898</v>
      </c>
      <c r="V4169">
        <v>6.7137820000000001E-2</v>
      </c>
      <c r="W4169">
        <v>3.457317E-2</v>
      </c>
      <c r="X4169">
        <v>0.99714449999999999</v>
      </c>
      <c r="Y4169">
        <v>0.27999819999999997</v>
      </c>
      <c r="Z4169">
        <v>-1.019138E-2</v>
      </c>
      <c r="AA4169">
        <v>0.95994650000000004</v>
      </c>
      <c r="AB4169">
        <v>38</v>
      </c>
      <c r="AC4169">
        <v>17.013100000000001</v>
      </c>
      <c r="AD4169">
        <v>-1.1602410000000001</v>
      </c>
      <c r="AE4169">
        <v>-4.7678399999999996</v>
      </c>
      <c r="AF4169">
        <v>4.9839953045081398</v>
      </c>
      <c r="AG4169">
        <v>-1.1602410000000001</v>
      </c>
      <c r="AH4169">
        <v>16.871948828577199</v>
      </c>
      <c r="AI4169">
        <v>93.773201886004401</v>
      </c>
      <c r="AJ4169">
        <v>73.542792017196604</v>
      </c>
      <c r="AK4169">
        <v>17.6309110838768</v>
      </c>
    </row>
    <row r="4170" spans="1:37" x14ac:dyDescent="0.2">
      <c r="A4170" t="str">
        <f>"20200111154147602"</f>
        <v>20200111154147602</v>
      </c>
      <c r="B4170" t="str">
        <f>"1578728507590303"</f>
        <v>1578728507590303</v>
      </c>
      <c r="C4170" t="s">
        <v>37</v>
      </c>
      <c r="D4170">
        <v>5.6738099999999996</v>
      </c>
      <c r="E4170">
        <v>0.58380619999999905</v>
      </c>
      <c r="F4170" t="s">
        <v>40</v>
      </c>
      <c r="G4170">
        <v>-317.99560000000002</v>
      </c>
      <c r="H4170">
        <v>-0.05</v>
      </c>
      <c r="I4170">
        <v>13.03471</v>
      </c>
      <c r="J4170">
        <v>-335.07229999999998</v>
      </c>
      <c r="K4170">
        <v>1.1102209999999999</v>
      </c>
      <c r="L4170">
        <v>17.85538</v>
      </c>
      <c r="M4170">
        <v>0.99977359999999904</v>
      </c>
      <c r="N4170">
        <v>0</v>
      </c>
      <c r="O4170">
        <v>1.3615810000000001E-2</v>
      </c>
      <c r="P4170">
        <v>0.99834109999999998</v>
      </c>
      <c r="Q4170">
        <v>1.8972159999999998E-2</v>
      </c>
      <c r="R4170">
        <v>-5.4362519999999998E-2</v>
      </c>
      <c r="S4170">
        <v>2.9644469999999998</v>
      </c>
      <c r="T4170">
        <v>-0.19911300000000001</v>
      </c>
      <c r="U4170">
        <v>-0.82687379999999999</v>
      </c>
      <c r="V4170">
        <v>6.8003179999999996E-2</v>
      </c>
      <c r="W4170">
        <v>3.518744E-2</v>
      </c>
      <c r="X4170">
        <v>0.99706439999999996</v>
      </c>
      <c r="Y4170">
        <v>0.2811495</v>
      </c>
      <c r="Z4170">
        <v>-1.015226E-2</v>
      </c>
      <c r="AA4170">
        <v>0.95961030000000003</v>
      </c>
      <c r="AB4170">
        <v>38</v>
      </c>
      <c r="AC4170">
        <v>17.076699999999899</v>
      </c>
      <c r="AD4170">
        <v>-1.1602209999999999</v>
      </c>
      <c r="AE4170">
        <v>-4.8206699999999998</v>
      </c>
      <c r="AF4170">
        <v>5.0312566877593197</v>
      </c>
      <c r="AG4170">
        <v>-1.1602209999999999</v>
      </c>
      <c r="AH4170">
        <v>16.937058193694401</v>
      </c>
      <c r="AI4170">
        <v>93.756985353640502</v>
      </c>
      <c r="AJ4170">
        <v>73.455626054808405</v>
      </c>
      <c r="AK4170">
        <v>17.706597552425301</v>
      </c>
    </row>
    <row r="4171" spans="1:37" x14ac:dyDescent="0.2">
      <c r="A4171" t="str">
        <f>"20200111154147614"</f>
        <v>20200111154147614</v>
      </c>
      <c r="B4171" t="str">
        <f>"1578728507609822"</f>
        <v>1578728507609822</v>
      </c>
      <c r="C4171" t="s">
        <v>37</v>
      </c>
      <c r="D4171">
        <v>5.6695630000000001</v>
      </c>
      <c r="E4171">
        <v>0.58416990000000002</v>
      </c>
      <c r="F4171" t="s">
        <v>40</v>
      </c>
      <c r="G4171">
        <v>-317.70510000000002</v>
      </c>
      <c r="H4171">
        <v>-0.05</v>
      </c>
      <c r="I4171">
        <v>12.979100000000001</v>
      </c>
      <c r="J4171">
        <v>-334.8759</v>
      </c>
      <c r="K4171">
        <v>1.1101989999999999</v>
      </c>
      <c r="L4171">
        <v>17.857700000000001</v>
      </c>
      <c r="M4171">
        <v>0.99977649999999996</v>
      </c>
      <c r="N4171">
        <v>0</v>
      </c>
      <c r="O4171">
        <v>1.3198440000000001E-2</v>
      </c>
      <c r="P4171">
        <v>0.9982626</v>
      </c>
      <c r="Q4171">
        <v>1.967963E-2</v>
      </c>
      <c r="R4171">
        <v>-5.553963E-2</v>
      </c>
      <c r="S4171">
        <v>2.9634399999999999</v>
      </c>
      <c r="T4171">
        <v>-0.1979736</v>
      </c>
      <c r="U4171">
        <v>-0.83206179999999996</v>
      </c>
      <c r="V4171">
        <v>6.8768120000000002E-2</v>
      </c>
      <c r="W4171">
        <v>3.6049959999999999E-2</v>
      </c>
      <c r="X4171">
        <v>0.99698109999999995</v>
      </c>
      <c r="Y4171">
        <v>0.28239629999999999</v>
      </c>
      <c r="Z4171">
        <v>-1.010872E-2</v>
      </c>
      <c r="AA4171">
        <v>0.9592446</v>
      </c>
      <c r="AB4171">
        <v>38</v>
      </c>
      <c r="AC4171">
        <v>17.1707999999999</v>
      </c>
      <c r="AD4171">
        <v>-1.160199</v>
      </c>
      <c r="AE4171">
        <v>-4.8785999999999996</v>
      </c>
      <c r="AF4171">
        <v>5.0833593084542201</v>
      </c>
      <c r="AG4171">
        <v>-1.160199</v>
      </c>
      <c r="AH4171">
        <v>17.032950677157899</v>
      </c>
      <c r="AI4171">
        <v>93.734411177139407</v>
      </c>
      <c r="AJ4171">
        <v>73.382651669652404</v>
      </c>
      <c r="AK4171">
        <v>17.813141563153401</v>
      </c>
    </row>
    <row r="4172" spans="1:37" x14ac:dyDescent="0.2">
      <c r="A4172" t="str">
        <f>"20200111154147626"</f>
        <v>20200111154147626</v>
      </c>
      <c r="B4172" t="str">
        <f>"1578728507620558"</f>
        <v>1578728507620558</v>
      </c>
      <c r="C4172" t="s">
        <v>37</v>
      </c>
      <c r="D4172">
        <v>5.681095</v>
      </c>
      <c r="E4172">
        <v>0.58430729999999997</v>
      </c>
      <c r="F4172" t="s">
        <v>40</v>
      </c>
      <c r="G4172">
        <v>-317.36930000000001</v>
      </c>
      <c r="H4172">
        <v>-0.05</v>
      </c>
      <c r="I4172">
        <v>12.90292</v>
      </c>
      <c r="J4172">
        <v>-334.68329999999997</v>
      </c>
      <c r="K4172">
        <v>1.110177</v>
      </c>
      <c r="L4172">
        <v>17.85989</v>
      </c>
      <c r="M4172">
        <v>0.99977919999999998</v>
      </c>
      <c r="N4172">
        <v>0</v>
      </c>
      <c r="O4172">
        <v>1.2778390000000001E-2</v>
      </c>
      <c r="P4172">
        <v>0.99816450000000001</v>
      </c>
      <c r="Q4172">
        <v>2.035236E-2</v>
      </c>
      <c r="R4172">
        <v>-5.703797E-2</v>
      </c>
      <c r="S4172">
        <v>2.9624329999999999</v>
      </c>
      <c r="T4172">
        <v>-0.1963271</v>
      </c>
      <c r="U4172">
        <v>-0.83843989999999902</v>
      </c>
      <c r="V4172">
        <v>6.9851380000000005E-2</v>
      </c>
      <c r="W4172">
        <v>3.6873389999999999E-2</v>
      </c>
      <c r="X4172">
        <v>0.99687569999999903</v>
      </c>
      <c r="Y4172">
        <v>0.28399869999999999</v>
      </c>
      <c r="Z4172">
        <v>-1.004996E-2</v>
      </c>
      <c r="AA4172">
        <v>0.95877199999999996</v>
      </c>
      <c r="AB4172">
        <v>38</v>
      </c>
      <c r="AC4172">
        <v>17.313999999999901</v>
      </c>
      <c r="AD4172">
        <v>-1.160177</v>
      </c>
      <c r="AE4172">
        <v>-4.9569700000000001</v>
      </c>
      <c r="AF4172">
        <v>5.1564421747670197</v>
      </c>
      <c r="AG4172">
        <v>-1.160177</v>
      </c>
      <c r="AH4172">
        <v>17.177947945059</v>
      </c>
      <c r="AI4172">
        <v>93.701147614438995</v>
      </c>
      <c r="AJ4172">
        <v>73.291399309459294</v>
      </c>
      <c r="AK4172">
        <v>17.972668198578699</v>
      </c>
    </row>
    <row r="4173" spans="1:37" x14ac:dyDescent="0.2">
      <c r="A4173" t="str">
        <f>"20200111154147637"</f>
        <v>20200111154147637</v>
      </c>
      <c r="B4173" t="str">
        <f>"1578728507630320"</f>
        <v>1578728507630320</v>
      </c>
      <c r="C4173" t="s">
        <v>37</v>
      </c>
      <c r="D4173">
        <v>5.6738980000000003</v>
      </c>
      <c r="E4173">
        <v>0.58446909999999996</v>
      </c>
      <c r="F4173" t="s">
        <v>40</v>
      </c>
      <c r="G4173">
        <v>-317.12189999999998</v>
      </c>
      <c r="H4173">
        <v>-0.05</v>
      </c>
      <c r="I4173">
        <v>12.85637</v>
      </c>
      <c r="J4173">
        <v>-334.48390000000001</v>
      </c>
      <c r="K4173">
        <v>1.1101490000000001</v>
      </c>
      <c r="L4173">
        <v>17.862029999999901</v>
      </c>
      <c r="M4173">
        <v>0.99978230000000001</v>
      </c>
      <c r="N4173">
        <v>0</v>
      </c>
      <c r="O4173">
        <v>1.2310440000000001E-2</v>
      </c>
      <c r="P4173">
        <v>0.99806030000000001</v>
      </c>
      <c r="Q4173">
        <v>2.0681720000000001E-2</v>
      </c>
      <c r="R4173">
        <v>-5.8723060000000001E-2</v>
      </c>
      <c r="S4173">
        <v>2.9613040000000002</v>
      </c>
      <c r="T4173">
        <v>-0.1956348</v>
      </c>
      <c r="U4173">
        <v>-0.84371949999999996</v>
      </c>
      <c r="V4173">
        <v>7.1073319999999995E-2</v>
      </c>
      <c r="W4173">
        <v>3.7358469999999998E-2</v>
      </c>
      <c r="X4173">
        <v>0.99677130000000003</v>
      </c>
      <c r="Y4173">
        <v>0.28522999999999998</v>
      </c>
      <c r="Z4173">
        <v>-1.002541E-2</v>
      </c>
      <c r="AA4173">
        <v>0.95840669999999994</v>
      </c>
      <c r="AB4173">
        <v>38</v>
      </c>
      <c r="AC4173">
        <v>17.361999999999998</v>
      </c>
      <c r="AD4173">
        <v>-1.1601490000000001</v>
      </c>
      <c r="AE4173">
        <v>-5.00565999999999</v>
      </c>
      <c r="AF4173">
        <v>5.1976181171424596</v>
      </c>
      <c r="AG4173">
        <v>-1.1601490000000001</v>
      </c>
      <c r="AH4173">
        <v>17.2280325369587</v>
      </c>
      <c r="AI4173">
        <v>93.688788139272503</v>
      </c>
      <c r="AJ4173">
        <v>73.211678965229098</v>
      </c>
      <c r="AK4173">
        <v>18.032367700564301</v>
      </c>
    </row>
    <row r="4174" spans="1:37" x14ac:dyDescent="0.2">
      <c r="A4174" t="str">
        <f>"20200111154147648"</f>
        <v>20200111154147648</v>
      </c>
      <c r="B4174" t="str">
        <f>"1578728507640080"</f>
        <v>1578728507640080</v>
      </c>
      <c r="C4174" t="s">
        <v>37</v>
      </c>
      <c r="D4174">
        <v>5.6481859999999999</v>
      </c>
      <c r="E4174">
        <v>0.58465029999999996</v>
      </c>
      <c r="F4174" t="s">
        <v>40</v>
      </c>
      <c r="G4174">
        <v>-316.92309999999998</v>
      </c>
      <c r="H4174">
        <v>-0.05</v>
      </c>
      <c r="I4174">
        <v>12.81921</v>
      </c>
      <c r="J4174">
        <v>-334.28730000000002</v>
      </c>
      <c r="K4174">
        <v>1.1101219999999901</v>
      </c>
      <c r="L4174">
        <v>17.86401</v>
      </c>
      <c r="M4174">
        <v>0.99978539999999905</v>
      </c>
      <c r="N4174">
        <v>0</v>
      </c>
      <c r="O4174">
        <v>1.1827799999999999E-2</v>
      </c>
      <c r="P4174">
        <v>0.99796180000000001</v>
      </c>
      <c r="Q4174">
        <v>2.0858290000000002E-2</v>
      </c>
      <c r="R4174">
        <v>-6.0313760000000001E-2</v>
      </c>
      <c r="S4174">
        <v>2.9599000000000002</v>
      </c>
      <c r="T4174">
        <v>-0.19554449999999901</v>
      </c>
      <c r="U4174">
        <v>-0.84997559999999905</v>
      </c>
      <c r="V4174">
        <v>7.2186199999999895E-2</v>
      </c>
      <c r="W4174">
        <v>3.7684879999999997E-2</v>
      </c>
      <c r="X4174">
        <v>0.99667899999999998</v>
      </c>
      <c r="Y4174">
        <v>0.286757599999999</v>
      </c>
      <c r="Z4174">
        <v>-1.004067E-2</v>
      </c>
      <c r="AA4174">
        <v>0.95795049999999904</v>
      </c>
      <c r="AB4174">
        <v>38</v>
      </c>
      <c r="AC4174">
        <v>17.3642</v>
      </c>
      <c r="AD4174">
        <v>-1.1601219999999901</v>
      </c>
      <c r="AE4174">
        <v>-5.0448000000000004</v>
      </c>
      <c r="AF4174">
        <v>5.22833568370877</v>
      </c>
      <c r="AG4174">
        <v>-1.1601219999999901</v>
      </c>
      <c r="AH4174">
        <v>17.232374122967698</v>
      </c>
      <c r="AI4174">
        <v>93.686036601803806</v>
      </c>
      <c r="AJ4174">
        <v>73.122101036999894</v>
      </c>
      <c r="AK4174">
        <v>18.0453898542081</v>
      </c>
    </row>
    <row r="4175" spans="1:37" x14ac:dyDescent="0.2">
      <c r="A4175" t="str">
        <f>"20200111154147659"</f>
        <v>20200111154147659</v>
      </c>
      <c r="B4175" t="str">
        <f>"1578728507649838"</f>
        <v>1578728507649838</v>
      </c>
      <c r="C4175" t="s">
        <v>37</v>
      </c>
      <c r="D4175">
        <v>5.6567480000000003</v>
      </c>
      <c r="E4175">
        <v>0.58483419999999997</v>
      </c>
      <c r="F4175" t="s">
        <v>40</v>
      </c>
      <c r="G4175">
        <v>-316.75229999999999</v>
      </c>
      <c r="H4175">
        <v>-0.05</v>
      </c>
      <c r="I4175">
        <v>12.791309999999999</v>
      </c>
      <c r="J4175">
        <v>-334.09410000000003</v>
      </c>
      <c r="K4175">
        <v>1.11009</v>
      </c>
      <c r="L4175">
        <v>17.86591</v>
      </c>
      <c r="M4175">
        <v>0.99978849999999997</v>
      </c>
      <c r="N4175">
        <v>0</v>
      </c>
      <c r="O4175">
        <v>1.133471E-2</v>
      </c>
      <c r="P4175">
        <v>0.99783120000000003</v>
      </c>
      <c r="Q4175">
        <v>2.0965830000000001E-2</v>
      </c>
      <c r="R4175">
        <v>-6.24001E-2</v>
      </c>
      <c r="S4175">
        <v>2.9584959999999998</v>
      </c>
      <c r="T4175">
        <v>-0.1957352</v>
      </c>
      <c r="U4175">
        <v>-0.85586549999999995</v>
      </c>
      <c r="V4175">
        <v>7.3784020000000006E-2</v>
      </c>
      <c r="W4175">
        <v>3.7935040000000003E-2</v>
      </c>
      <c r="X4175">
        <v>0.99655249999999995</v>
      </c>
      <c r="Y4175">
        <v>0.28816320000000001</v>
      </c>
      <c r="Z4175">
        <v>-1.0065859999999999E-2</v>
      </c>
      <c r="AA4175">
        <v>0.95752839999999995</v>
      </c>
      <c r="AB4175">
        <v>38</v>
      </c>
      <c r="AC4175">
        <v>17.341799999999999</v>
      </c>
      <c r="AD4175">
        <v>-1.1600900000000001</v>
      </c>
      <c r="AE4175">
        <v>-5.0745999999999896</v>
      </c>
      <c r="AF4175">
        <v>5.2492295097627899</v>
      </c>
      <c r="AG4175">
        <v>-1.1600900000000001</v>
      </c>
      <c r="AH4175">
        <v>17.212208337143</v>
      </c>
      <c r="AI4175">
        <v>93.688634077969795</v>
      </c>
      <c r="AJ4175">
        <v>73.039798694000496</v>
      </c>
      <c r="AK4175">
        <v>18.0322027244449</v>
      </c>
    </row>
    <row r="4176" spans="1:37" x14ac:dyDescent="0.2">
      <c r="A4176" t="str">
        <f>"20200111154147671"</f>
        <v>20200111154147671</v>
      </c>
      <c r="B4176" t="str">
        <f>"1578728507660575"</f>
        <v>1578728507660575</v>
      </c>
      <c r="C4176" t="s">
        <v>37</v>
      </c>
      <c r="D4176">
        <v>5.9760869999999997</v>
      </c>
      <c r="E4176">
        <v>0.58454169999999905</v>
      </c>
      <c r="F4176" t="s">
        <v>40</v>
      </c>
      <c r="G4176">
        <v>-316.60489999999999</v>
      </c>
      <c r="H4176">
        <v>-0.05</v>
      </c>
      <c r="I4176">
        <v>12.758179999999999</v>
      </c>
      <c r="J4176">
        <v>-333.90899999999999</v>
      </c>
      <c r="K4176">
        <v>1.110055</v>
      </c>
      <c r="L4176">
        <v>17.867519999999999</v>
      </c>
      <c r="M4176">
        <v>0.999791599999999</v>
      </c>
      <c r="N4176">
        <v>0</v>
      </c>
      <c r="O4176">
        <v>1.083019E-2</v>
      </c>
      <c r="P4176">
        <v>0.99771860000000001</v>
      </c>
      <c r="Q4176">
        <v>2.0512499999999999E-2</v>
      </c>
      <c r="R4176">
        <v>-6.4321660000000003E-2</v>
      </c>
      <c r="S4176">
        <v>2.9566650000000001</v>
      </c>
      <c r="T4176">
        <v>-0.19612109999999999</v>
      </c>
      <c r="U4176">
        <v>-0.86349489999999995</v>
      </c>
      <c r="V4176">
        <v>7.5204670000000001E-2</v>
      </c>
      <c r="W4176">
        <v>3.7610070000000002E-2</v>
      </c>
      <c r="X4176">
        <v>0.99645859999999997</v>
      </c>
      <c r="Y4176">
        <v>0.29011049999999999</v>
      </c>
      <c r="Z4176">
        <v>-1.0118530000000001E-2</v>
      </c>
      <c r="AA4176">
        <v>0.9569396</v>
      </c>
      <c r="AB4176">
        <v>38</v>
      </c>
      <c r="AC4176">
        <v>17.304099999999998</v>
      </c>
      <c r="AD4176">
        <v>-1.1600549999999901</v>
      </c>
      <c r="AE4176">
        <v>-5.1093400000000004</v>
      </c>
      <c r="AF4176">
        <v>5.27467022941123</v>
      </c>
      <c r="AG4176">
        <v>-1.1600549999999901</v>
      </c>
      <c r="AH4176">
        <v>17.176735093500199</v>
      </c>
      <c r="AI4176">
        <v>93.6939429603093</v>
      </c>
      <c r="AJ4176">
        <v>72.929207912951597</v>
      </c>
      <c r="AK4176">
        <v>18.005779686099299</v>
      </c>
    </row>
    <row r="4177" spans="1:37" x14ac:dyDescent="0.2">
      <c r="A4177" t="str">
        <f>"20200111154147683"</f>
        <v>20200111154147683</v>
      </c>
      <c r="B4177" t="str">
        <f>"1578728507680095"</f>
        <v>1578728507680095</v>
      </c>
      <c r="C4177" t="s">
        <v>37</v>
      </c>
      <c r="D4177">
        <v>5.6617360000000003</v>
      </c>
      <c r="E4177">
        <v>0.58445939999999996</v>
      </c>
      <c r="F4177" t="s">
        <v>40</v>
      </c>
      <c r="G4177">
        <v>-317.05349999999999</v>
      </c>
      <c r="H4177">
        <v>-0.05</v>
      </c>
      <c r="I4177">
        <v>12.92441</v>
      </c>
      <c r="J4177">
        <v>-333.7011</v>
      </c>
      <c r="K4177">
        <v>1.110015</v>
      </c>
      <c r="L4177">
        <v>17.869289999999999</v>
      </c>
      <c r="M4177">
        <v>0.99979499999999999</v>
      </c>
      <c r="N4177">
        <v>0</v>
      </c>
      <c r="O4177">
        <v>1.0249599999999999E-2</v>
      </c>
      <c r="P4177">
        <v>0.9976062</v>
      </c>
      <c r="Q4177">
        <v>2.001928E-2</v>
      </c>
      <c r="R4177">
        <v>-6.6189529999999996E-2</v>
      </c>
      <c r="S4177">
        <v>2.955139</v>
      </c>
      <c r="T4177">
        <v>-0.2033838</v>
      </c>
      <c r="U4177">
        <v>-0.86663819999999903</v>
      </c>
      <c r="V4177">
        <v>7.6496469999999997E-2</v>
      </c>
      <c r="W4177">
        <v>3.725792E-2</v>
      </c>
      <c r="X4177">
        <v>0.99637350000000002</v>
      </c>
      <c r="Y4177">
        <v>0.29057929999999998</v>
      </c>
      <c r="Z4177">
        <v>-1.0472739999999999E-2</v>
      </c>
      <c r="AA4177">
        <v>0.95679360000000002</v>
      </c>
      <c r="AB4177">
        <v>38</v>
      </c>
      <c r="AC4177">
        <v>16.647600000000001</v>
      </c>
      <c r="AD4177">
        <v>-1.160015</v>
      </c>
      <c r="AE4177">
        <v>-4.9448800000000004</v>
      </c>
      <c r="AF4177">
        <v>5.0925557922341698</v>
      </c>
      <c r="AG4177">
        <v>-1.160015</v>
      </c>
      <c r="AH4177">
        <v>16.5223162699331</v>
      </c>
      <c r="AI4177">
        <v>93.838464865793895</v>
      </c>
      <c r="AJ4177">
        <v>72.8695051277533</v>
      </c>
      <c r="AK4177">
        <v>17.328205164440401</v>
      </c>
    </row>
    <row r="4178" spans="1:37" x14ac:dyDescent="0.2">
      <c r="A4178" t="str">
        <f>"20200111154147700"</f>
        <v>20200111154147700</v>
      </c>
      <c r="B4178" t="str">
        <f>"1578728507689854"</f>
        <v>1578728507689854</v>
      </c>
      <c r="C4178" t="s">
        <v>37</v>
      </c>
      <c r="D4178">
        <v>5.6835149999999999</v>
      </c>
      <c r="E4178">
        <v>0.58464189999999905</v>
      </c>
      <c r="F4178" t="s">
        <v>40</v>
      </c>
      <c r="G4178">
        <v>-317.40249999999997</v>
      </c>
      <c r="H4178">
        <v>-0.05</v>
      </c>
      <c r="I4178">
        <v>13.05997</v>
      </c>
      <c r="J4178">
        <v>-333.42140000000001</v>
      </c>
      <c r="K4178">
        <v>1.1099429999999999</v>
      </c>
      <c r="L4178">
        <v>17.87134</v>
      </c>
      <c r="M4178">
        <v>0.99979979999999902</v>
      </c>
      <c r="N4178">
        <v>0</v>
      </c>
      <c r="O4178">
        <v>9.4026690000000007E-3</v>
      </c>
      <c r="P4178">
        <v>0.99736740000000002</v>
      </c>
      <c r="Q4178">
        <v>1.8392059999999998E-2</v>
      </c>
      <c r="R4178">
        <v>-7.0144120000000004E-2</v>
      </c>
      <c r="S4178">
        <v>2.9535520000000002</v>
      </c>
      <c r="T4178">
        <v>-0.21021219999999999</v>
      </c>
      <c r="U4178">
        <v>-0.87152099999999899</v>
      </c>
      <c r="V4178">
        <v>7.9607239999999996E-2</v>
      </c>
      <c r="W4178">
        <v>3.5799789999999998E-2</v>
      </c>
      <c r="X4178">
        <v>0.99618329999999999</v>
      </c>
      <c r="Y4178">
        <v>0.29131859999999998</v>
      </c>
      <c r="Z4178">
        <v>-1.079336E-2</v>
      </c>
      <c r="AA4178">
        <v>0.9565652</v>
      </c>
      <c r="AB4178">
        <v>38</v>
      </c>
      <c r="AC4178">
        <v>16.018899999999999</v>
      </c>
      <c r="AD4178">
        <v>-1.1599429999999999</v>
      </c>
      <c r="AE4178">
        <v>-4.8113700000000001</v>
      </c>
      <c r="AF4178">
        <v>4.9380517925663696</v>
      </c>
      <c r="AG4178">
        <v>-1.1599429999999999</v>
      </c>
      <c r="AH4178">
        <v>15.896491330818501</v>
      </c>
      <c r="AI4178">
        <v>93.986144371341098</v>
      </c>
      <c r="AJ4178">
        <v>72.743228193706798</v>
      </c>
      <c r="AK4178">
        <v>16.686169719264601</v>
      </c>
    </row>
    <row r="4179" spans="1:37" x14ac:dyDescent="0.2">
      <c r="A4179" t="str">
        <f>"20200111154147712"</f>
        <v>20200111154147712</v>
      </c>
      <c r="B4179" t="str">
        <f>"1578728507710350"</f>
        <v>1578728507710350</v>
      </c>
      <c r="C4179" t="s">
        <v>37</v>
      </c>
      <c r="D4179">
        <v>5.6770300000000002</v>
      </c>
      <c r="E4179">
        <v>0.58495390000000003</v>
      </c>
      <c r="F4179" t="s">
        <v>40</v>
      </c>
      <c r="G4179">
        <v>-317.47469999999998</v>
      </c>
      <c r="H4179">
        <v>-0.05</v>
      </c>
      <c r="I4179">
        <v>13.089259999999999</v>
      </c>
      <c r="J4179">
        <v>-333.2242</v>
      </c>
      <c r="K4179">
        <v>1.109896</v>
      </c>
      <c r="L4179">
        <v>17.872589999999999</v>
      </c>
      <c r="M4179">
        <v>0.99980340000000001</v>
      </c>
      <c r="N4179">
        <v>0</v>
      </c>
      <c r="O4179">
        <v>8.765307E-3</v>
      </c>
      <c r="P4179">
        <v>0.99721709999999997</v>
      </c>
      <c r="Q4179">
        <v>1.752811E-2</v>
      </c>
      <c r="R4179">
        <v>-7.2466569999999994E-2</v>
      </c>
      <c r="S4179">
        <v>2.9497070000000001</v>
      </c>
      <c r="T4179">
        <v>-0.21455769999999999</v>
      </c>
      <c r="U4179">
        <v>-0.884552</v>
      </c>
      <c r="V4179">
        <v>8.1295519999999996E-2</v>
      </c>
      <c r="W4179">
        <v>3.5051150000000003E-2</v>
      </c>
      <c r="X4179">
        <v>0.99607349999999995</v>
      </c>
      <c r="Y4179">
        <v>0.29489019999999999</v>
      </c>
      <c r="Z4179">
        <v>-1.110451E-2</v>
      </c>
      <c r="AA4179">
        <v>0.95546659999999894</v>
      </c>
      <c r="AB4179">
        <v>38</v>
      </c>
      <c r="AC4179">
        <v>15.749499999999999</v>
      </c>
      <c r="AD4179">
        <v>-1.15989599999999</v>
      </c>
      <c r="AE4179">
        <v>-4.7833299999999896</v>
      </c>
      <c r="AF4179">
        <v>4.8969003902989501</v>
      </c>
      <c r="AG4179">
        <v>-1.15989599999999</v>
      </c>
      <c r="AH4179">
        <v>15.6293491724376</v>
      </c>
      <c r="AI4179">
        <v>94.050814503066505</v>
      </c>
      <c r="AJ4179">
        <v>72.603474163733694</v>
      </c>
      <c r="AK4179">
        <v>16.419547731813498</v>
      </c>
    </row>
    <row r="4180" spans="1:37" x14ac:dyDescent="0.2">
      <c r="A4180" t="str">
        <f>"20200111154147724"</f>
        <v>20200111154147724</v>
      </c>
      <c r="B4180" t="str">
        <f>"1578728507720110"</f>
        <v>1578728507720110</v>
      </c>
      <c r="C4180" t="s">
        <v>37</v>
      </c>
      <c r="D4180">
        <v>5.6749320000000001</v>
      </c>
      <c r="E4180">
        <v>0.58512310000000001</v>
      </c>
      <c r="F4180" t="s">
        <v>40</v>
      </c>
      <c r="G4180">
        <v>-317.38780000000003</v>
      </c>
      <c r="H4180">
        <v>-0.05</v>
      </c>
      <c r="I4180">
        <v>13.06842</v>
      </c>
      <c r="J4180">
        <v>-333.03469999999999</v>
      </c>
      <c r="K4180">
        <v>1.1098520000000001</v>
      </c>
      <c r="L4180">
        <v>17.873750000000001</v>
      </c>
      <c r="M4180">
        <v>0.99980630000000004</v>
      </c>
      <c r="N4180">
        <v>0</v>
      </c>
      <c r="O4180">
        <v>8.139528E-3</v>
      </c>
      <c r="P4180">
        <v>0.9970521</v>
      </c>
      <c r="Q4180">
        <v>1.676033E-2</v>
      </c>
      <c r="R4180">
        <v>-7.4877109999999997E-2</v>
      </c>
      <c r="S4180">
        <v>2.9472049999999999</v>
      </c>
      <c r="T4180">
        <v>-0.21586159999999999</v>
      </c>
      <c r="U4180">
        <v>-0.89407349999999997</v>
      </c>
      <c r="V4180">
        <v>8.3083290000000004E-2</v>
      </c>
      <c r="W4180">
        <v>3.439064E-2</v>
      </c>
      <c r="X4180">
        <v>0.99594899999999997</v>
      </c>
      <c r="Y4180">
        <v>0.29732999999999998</v>
      </c>
      <c r="Z4180">
        <v>-1.1218280000000001E-2</v>
      </c>
      <c r="AA4180">
        <v>0.95470889999999997</v>
      </c>
      <c r="AB4180">
        <v>37</v>
      </c>
      <c r="AC4180">
        <v>15.646899999999899</v>
      </c>
      <c r="AD4180">
        <v>-1.1598520000000001</v>
      </c>
      <c r="AE4180">
        <v>-4.8053299999999997</v>
      </c>
      <c r="AF4180">
        <v>4.90790614042767</v>
      </c>
      <c r="AG4180">
        <v>-1.1598520000000001</v>
      </c>
      <c r="AH4180">
        <v>15.529286831669801</v>
      </c>
      <c r="AI4180">
        <v>94.073502134784903</v>
      </c>
      <c r="AJ4180">
        <v>72.461278354319006</v>
      </c>
      <c r="AK4180">
        <v>16.327631452400698</v>
      </c>
    </row>
    <row r="4181" spans="1:37" x14ac:dyDescent="0.2">
      <c r="A4181" t="str">
        <f>"20200111154147735"</f>
        <v>20200111154147735</v>
      </c>
      <c r="B4181" t="str">
        <f>"1578728507729871"</f>
        <v>1578728507729871</v>
      </c>
      <c r="C4181" t="s">
        <v>37</v>
      </c>
      <c r="D4181">
        <v>5.6638120000000001</v>
      </c>
      <c r="E4181">
        <v>0.58528000000000002</v>
      </c>
      <c r="F4181" t="s">
        <v>40</v>
      </c>
      <c r="G4181">
        <v>-317.34010000000001</v>
      </c>
      <c r="H4181">
        <v>-0.05</v>
      </c>
      <c r="I4181">
        <v>13.063419999999899</v>
      </c>
      <c r="J4181">
        <v>-332.84350000000001</v>
      </c>
      <c r="K4181">
        <v>1.1098030000000001</v>
      </c>
      <c r="L4181">
        <v>17.87463</v>
      </c>
      <c r="M4181">
        <v>0.99980949999999902</v>
      </c>
      <c r="N4181">
        <v>0</v>
      </c>
      <c r="O4181">
        <v>7.4548599999999998E-3</v>
      </c>
      <c r="P4181">
        <v>0.99687150000000002</v>
      </c>
      <c r="Q4181">
        <v>1.587481E-2</v>
      </c>
      <c r="R4181">
        <v>-7.7428579999999997E-2</v>
      </c>
      <c r="S4181">
        <v>2.944763</v>
      </c>
      <c r="T4181">
        <v>-0.21762190000000001</v>
      </c>
      <c r="U4181">
        <v>-0.90255739999999995</v>
      </c>
      <c r="V4181">
        <v>8.4953710000000002E-2</v>
      </c>
      <c r="W4181">
        <v>3.360527E-2</v>
      </c>
      <c r="X4181">
        <v>0.99581799999999998</v>
      </c>
      <c r="Y4181">
        <v>0.29939569999999999</v>
      </c>
      <c r="Z4181">
        <v>-1.1338930000000001E-2</v>
      </c>
      <c r="AA4181">
        <v>0.95406159999999995</v>
      </c>
      <c r="AB4181">
        <v>37</v>
      </c>
      <c r="AC4181">
        <v>15.503399999999999</v>
      </c>
      <c r="AD4181">
        <v>-1.1598029999999999</v>
      </c>
      <c r="AE4181">
        <v>-4.81121</v>
      </c>
      <c r="AF4181">
        <v>4.9016485870741597</v>
      </c>
      <c r="AG4181">
        <v>-1.1598029999999999</v>
      </c>
      <c r="AH4181">
        <v>15.388540193049799</v>
      </c>
      <c r="AI4181">
        <v>94.107526892591295</v>
      </c>
      <c r="AJ4181">
        <v>72.331975614092997</v>
      </c>
      <c r="AK4181">
        <v>16.191926109733899</v>
      </c>
    </row>
    <row r="4182" spans="1:37" x14ac:dyDescent="0.2">
      <c r="A4182" t="str">
        <f>"20200111154147747"</f>
        <v>20200111154147747</v>
      </c>
      <c r="B4182" t="str">
        <f>"1578728507740607"</f>
        <v>1578728507740607</v>
      </c>
      <c r="C4182" t="s">
        <v>37</v>
      </c>
      <c r="D4182">
        <v>5.7050939999999999</v>
      </c>
      <c r="E4182">
        <v>0.58545150000000001</v>
      </c>
      <c r="F4182" t="s">
        <v>40</v>
      </c>
      <c r="G4182">
        <v>-317.34199999999998</v>
      </c>
      <c r="H4182">
        <v>-0.05</v>
      </c>
      <c r="I4182">
        <v>13.07213</v>
      </c>
      <c r="J4182">
        <v>-332.64839999999998</v>
      </c>
      <c r="K4182">
        <v>1.1097539999999999</v>
      </c>
      <c r="L4182">
        <v>17.875429999999898</v>
      </c>
      <c r="M4182">
        <v>0.9998127</v>
      </c>
      <c r="N4182">
        <v>0</v>
      </c>
      <c r="O4182">
        <v>6.7351349999999997E-3</v>
      </c>
      <c r="P4182">
        <v>0.99665219999999899</v>
      </c>
      <c r="Q4182">
        <v>1.544158E-2</v>
      </c>
      <c r="R4182">
        <v>-8.0289949999999999E-2</v>
      </c>
      <c r="S4182">
        <v>2.9421390000000001</v>
      </c>
      <c r="T4182">
        <v>-0.22012670000000001</v>
      </c>
      <c r="U4182">
        <v>-0.91149899999999995</v>
      </c>
      <c r="V4182">
        <v>8.7099750000000004E-2</v>
      </c>
      <c r="W4182">
        <v>3.326834E-2</v>
      </c>
      <c r="X4182">
        <v>0.99564390000000003</v>
      </c>
      <c r="Y4182">
        <v>0.30157270000000003</v>
      </c>
      <c r="Z4182">
        <v>-1.1500750000000001E-2</v>
      </c>
      <c r="AA4182">
        <v>0.95337380000000005</v>
      </c>
      <c r="AB4182">
        <v>37</v>
      </c>
      <c r="AC4182">
        <v>15.306399999999901</v>
      </c>
      <c r="AD4182">
        <v>-1.159754</v>
      </c>
      <c r="AE4182">
        <v>-4.8032999999999904</v>
      </c>
      <c r="AF4182">
        <v>4.8807901612022304</v>
      </c>
      <c r="AG4182">
        <v>-1.159754</v>
      </c>
      <c r="AH4182">
        <v>15.1942865306274</v>
      </c>
      <c r="AI4182">
        <v>94.156436128285705</v>
      </c>
      <c r="AJ4182">
        <v>72.191664581694795</v>
      </c>
      <c r="AK4182">
        <v>16.001046375565799</v>
      </c>
    </row>
    <row r="4183" spans="1:37" x14ac:dyDescent="0.2">
      <c r="A4183" t="str">
        <f>"20200111154147759"</f>
        <v>20200111154147759</v>
      </c>
      <c r="B4183" t="str">
        <f>"1578728507750366"</f>
        <v>1578728507750366</v>
      </c>
      <c r="C4183" t="s">
        <v>37</v>
      </c>
      <c r="D4183">
        <v>5.6640480000000002</v>
      </c>
      <c r="E4183">
        <v>0.58561059999999998</v>
      </c>
      <c r="F4183" t="s">
        <v>40</v>
      </c>
      <c r="G4183">
        <v>-317.20850000000002</v>
      </c>
      <c r="H4183">
        <v>-0.05</v>
      </c>
      <c r="I4183">
        <v>13.03534</v>
      </c>
      <c r="J4183">
        <v>-332.43740000000003</v>
      </c>
      <c r="K4183">
        <v>1.1096979999999901</v>
      </c>
      <c r="L4183">
        <v>17.87613</v>
      </c>
      <c r="M4183">
        <v>0.99981559999999903</v>
      </c>
      <c r="N4183">
        <v>0</v>
      </c>
      <c r="O4183">
        <v>5.9140950000000003E-3</v>
      </c>
      <c r="P4183">
        <v>0.99641069999999998</v>
      </c>
      <c r="Q4183">
        <v>1.5085609999999999E-2</v>
      </c>
      <c r="R4183">
        <v>-8.3296250000000002E-2</v>
      </c>
      <c r="S4183">
        <v>2.9392399999999999</v>
      </c>
      <c r="T4183">
        <v>-0.22077749999999999</v>
      </c>
      <c r="U4183">
        <v>-0.9213867</v>
      </c>
      <c r="V4183">
        <v>8.9291190000000006E-2</v>
      </c>
      <c r="W4183">
        <v>3.3008599999999999E-2</v>
      </c>
      <c r="X4183">
        <v>0.99545839999999997</v>
      </c>
      <c r="Y4183">
        <v>0.30396869999999998</v>
      </c>
      <c r="Z4183">
        <v>-1.156746E-2</v>
      </c>
      <c r="AA4183">
        <v>0.95261180000000001</v>
      </c>
      <c r="AB4183">
        <v>37</v>
      </c>
      <c r="AC4183">
        <v>15.228899999999999</v>
      </c>
      <c r="AD4183">
        <v>-1.1596979999999999</v>
      </c>
      <c r="AE4183">
        <v>-4.8407900000000001</v>
      </c>
      <c r="AF4183">
        <v>4.9049519529975401</v>
      </c>
      <c r="AG4183">
        <v>-1.1596979999999999</v>
      </c>
      <c r="AH4183">
        <v>15.120363497527901</v>
      </c>
      <c r="AI4183">
        <v>94.1726310184102</v>
      </c>
      <c r="AJ4183">
        <v>72.027259282513498</v>
      </c>
      <c r="AK4183">
        <v>15.938282385809099</v>
      </c>
    </row>
    <row r="4184" spans="1:37" x14ac:dyDescent="0.2">
      <c r="A4184" t="str">
        <f>"20200111154147771"</f>
        <v>20200111154147771</v>
      </c>
      <c r="B4184" t="str">
        <f>"1578728507760126"</f>
        <v>1578728507760126</v>
      </c>
      <c r="C4184" t="s">
        <v>37</v>
      </c>
      <c r="D4184">
        <v>5.9843330000000003</v>
      </c>
      <c r="E4184">
        <v>0.58536690000000002</v>
      </c>
      <c r="F4184" t="s">
        <v>40</v>
      </c>
      <c r="G4184">
        <v>-317.01330000000002</v>
      </c>
      <c r="H4184">
        <v>-0.05</v>
      </c>
      <c r="I4184">
        <v>12.98291</v>
      </c>
      <c r="J4184">
        <v>-332.24400000000003</v>
      </c>
      <c r="K4184">
        <v>1.1096429999999999</v>
      </c>
      <c r="L4184">
        <v>17.8765</v>
      </c>
      <c r="M4184">
        <v>0.99981819999999899</v>
      </c>
      <c r="N4184">
        <v>0</v>
      </c>
      <c r="O4184">
        <v>5.1121259999999998E-3</v>
      </c>
      <c r="P4184">
        <v>0.99617230000000001</v>
      </c>
      <c r="Q4184">
        <v>1.478147E-2</v>
      </c>
      <c r="R4184">
        <v>-8.6155270000000006E-2</v>
      </c>
      <c r="S4184">
        <v>2.9362789999999999</v>
      </c>
      <c r="T4184">
        <v>-0.22077169999999999</v>
      </c>
      <c r="U4184">
        <v>-0.93151859999999997</v>
      </c>
      <c r="V4184">
        <v>9.1354089999999999E-2</v>
      </c>
      <c r="W4184">
        <v>3.27789E-2</v>
      </c>
      <c r="X4184">
        <v>0.99527880000000002</v>
      </c>
      <c r="Y4184">
        <v>0.30646250000000003</v>
      </c>
      <c r="Z4184">
        <v>-1.1604980000000001E-2</v>
      </c>
      <c r="AA4184">
        <v>0.95181199999999999</v>
      </c>
      <c r="AB4184">
        <v>37</v>
      </c>
      <c r="AC4184">
        <v>15.230700000000001</v>
      </c>
      <c r="AD4184">
        <v>-1.159643</v>
      </c>
      <c r="AE4184">
        <v>-4.8935899999999997</v>
      </c>
      <c r="AF4184">
        <v>4.9454141216832301</v>
      </c>
      <c r="AG4184">
        <v>-1.159643</v>
      </c>
      <c r="AH4184">
        <v>15.1259985535324</v>
      </c>
      <c r="AI4184">
        <v>94.167760426451693</v>
      </c>
      <c r="AJ4184">
        <v>71.894949792766198</v>
      </c>
      <c r="AK4184">
        <v>15.956118731190699</v>
      </c>
    </row>
    <row r="4185" spans="1:37" x14ac:dyDescent="0.2">
      <c r="A4185" t="str">
        <f>"20200111154147783"</f>
        <v>20200111154147783</v>
      </c>
      <c r="B4185" t="str">
        <f>"1578728507780622"</f>
        <v>1578728507780622</v>
      </c>
      <c r="C4185" t="s">
        <v>37</v>
      </c>
      <c r="D4185">
        <v>5.991625</v>
      </c>
      <c r="E4185">
        <v>0.58489290000000005</v>
      </c>
      <c r="F4185" t="s">
        <v>40</v>
      </c>
      <c r="G4185">
        <v>-317.2201</v>
      </c>
      <c r="H4185">
        <v>-0.05</v>
      </c>
      <c r="I4185">
        <v>13.07166</v>
      </c>
      <c r="J4185">
        <v>-332.05399999999997</v>
      </c>
      <c r="K4185">
        <v>1.109586</v>
      </c>
      <c r="L4185">
        <v>17.876829999999899</v>
      </c>
      <c r="M4185">
        <v>0.99982019999999905</v>
      </c>
      <c r="N4185">
        <v>0</v>
      </c>
      <c r="O4185">
        <v>4.3057720000000002E-3</v>
      </c>
      <c r="P4185">
        <v>0.99592250000000004</v>
      </c>
      <c r="Q4185">
        <v>1.443608E-2</v>
      </c>
      <c r="R4185">
        <v>-8.9051630000000007E-2</v>
      </c>
      <c r="S4185">
        <v>2.9338069999999998</v>
      </c>
      <c r="T4185">
        <v>-0.2264494</v>
      </c>
      <c r="U4185">
        <v>-0.93826290000000001</v>
      </c>
      <c r="V4185">
        <v>9.3450430000000001E-2</v>
      </c>
      <c r="W4185">
        <v>3.2501049999999997E-2</v>
      </c>
      <c r="X4185">
        <v>0.99509329999999996</v>
      </c>
      <c r="Y4185">
        <v>0.30786839999999999</v>
      </c>
      <c r="Z4185">
        <v>-1.1900310000000001E-2</v>
      </c>
      <c r="AA4185">
        <v>0.95135460000000005</v>
      </c>
      <c r="AB4185">
        <v>37</v>
      </c>
      <c r="AC4185">
        <v>14.8339</v>
      </c>
      <c r="AD4185">
        <v>-1.159586</v>
      </c>
      <c r="AE4185">
        <v>-4.8051699999999897</v>
      </c>
      <c r="AF4185">
        <v>4.8422280682867997</v>
      </c>
      <c r="AG4185">
        <v>-1.159586</v>
      </c>
      <c r="AH4185">
        <v>14.7315967181384</v>
      </c>
      <c r="AI4185">
        <v>94.276517082316502</v>
      </c>
      <c r="AJ4185">
        <v>71.804473439463493</v>
      </c>
      <c r="AK4185">
        <v>15.5502975605795</v>
      </c>
    </row>
    <row r="4186" spans="1:37" x14ac:dyDescent="0.2">
      <c r="A4186" t="str">
        <f>"20200111154147794"</f>
        <v>20200111154147794</v>
      </c>
      <c r="B4186" t="str">
        <f>"1578728507790383"</f>
        <v>1578728507790383</v>
      </c>
      <c r="C4186" t="s">
        <v>37</v>
      </c>
      <c r="D4186">
        <v>5.676793</v>
      </c>
      <c r="E4186">
        <v>0.58504089999999997</v>
      </c>
      <c r="F4186" t="s">
        <v>40</v>
      </c>
      <c r="G4186">
        <v>-317.64830000000001</v>
      </c>
      <c r="H4186">
        <v>-0.05</v>
      </c>
      <c r="I4186">
        <v>13.242660000000001</v>
      </c>
      <c r="J4186">
        <v>-331.8605</v>
      </c>
      <c r="K4186">
        <v>1.1095159999999999</v>
      </c>
      <c r="L4186">
        <v>17.87677</v>
      </c>
      <c r="M4186">
        <v>0.9998224</v>
      </c>
      <c r="N4186">
        <v>0</v>
      </c>
      <c r="O4186">
        <v>3.4063639999999998E-3</v>
      </c>
      <c r="P4186">
        <v>0.99564330000000001</v>
      </c>
      <c r="Q4186">
        <v>1.393758E-2</v>
      </c>
      <c r="R4186">
        <v>-9.2199649999999994E-2</v>
      </c>
      <c r="S4186">
        <v>2.9313660000000001</v>
      </c>
      <c r="T4186">
        <v>-0.23596109999999901</v>
      </c>
      <c r="U4186">
        <v>-0.94299319999999898</v>
      </c>
      <c r="V4186">
        <v>9.5705910000000005E-2</v>
      </c>
      <c r="W4186">
        <v>3.204924E-2</v>
      </c>
      <c r="X4186">
        <v>0.99489359999999905</v>
      </c>
      <c r="Y4186">
        <v>0.308562</v>
      </c>
      <c r="Z4186">
        <v>-1.236218E-2</v>
      </c>
      <c r="AA4186">
        <v>0.95112389999999902</v>
      </c>
      <c r="AB4186">
        <v>37</v>
      </c>
      <c r="AC4186">
        <v>14.2121999999999</v>
      </c>
      <c r="AD4186">
        <v>-1.159516</v>
      </c>
      <c r="AE4186">
        <v>-4.6341099999999997</v>
      </c>
      <c r="AF4186">
        <v>4.6544991267500002</v>
      </c>
      <c r="AG4186">
        <v>-1.159516</v>
      </c>
      <c r="AH4186">
        <v>14.111426639264099</v>
      </c>
      <c r="AI4186">
        <v>94.461941578654006</v>
      </c>
      <c r="AJ4186">
        <v>71.745428160251507</v>
      </c>
      <c r="AK4186">
        <v>14.904402076920301</v>
      </c>
    </row>
    <row r="4187" spans="1:37" x14ac:dyDescent="0.2">
      <c r="A4187" t="str">
        <f>"20200111154147805"</f>
        <v>20200111154147805</v>
      </c>
      <c r="B4187" t="str">
        <f>"1578728507800144"</f>
        <v>1578728507800144</v>
      </c>
      <c r="C4187" t="s">
        <v>37</v>
      </c>
      <c r="D4187">
        <v>5.9883680000000004</v>
      </c>
      <c r="E4187">
        <v>0.58481759999999905</v>
      </c>
      <c r="F4187" t="s">
        <v>40</v>
      </c>
      <c r="G4187">
        <v>-317.51499999999999</v>
      </c>
      <c r="H4187">
        <v>-0.05</v>
      </c>
      <c r="I4187">
        <v>13.20477</v>
      </c>
      <c r="J4187">
        <v>-331.68630000000002</v>
      </c>
      <c r="K4187">
        <v>1.109451</v>
      </c>
      <c r="L4187">
        <v>17.876650000000001</v>
      </c>
      <c r="M4187">
        <v>0.99982369999999898</v>
      </c>
      <c r="N4187">
        <v>0</v>
      </c>
      <c r="O4187">
        <v>2.580167E-3</v>
      </c>
      <c r="P4187">
        <v>0.99535830000000003</v>
      </c>
      <c r="Q4187">
        <v>1.375849E-2</v>
      </c>
      <c r="R4187">
        <v>-9.5252329999999996E-2</v>
      </c>
      <c r="S4187">
        <v>2.9281009999999998</v>
      </c>
      <c r="T4187">
        <v>-0.2366723</v>
      </c>
      <c r="U4187">
        <v>-0.9536133</v>
      </c>
      <c r="V4187">
        <v>9.7940199999999894E-2</v>
      </c>
      <c r="W4187">
        <v>3.190627E-2</v>
      </c>
      <c r="X4187">
        <v>0.99468069999999897</v>
      </c>
      <c r="Y4187">
        <v>0.311195</v>
      </c>
      <c r="Z4187">
        <v>-1.244427E-2</v>
      </c>
      <c r="AA4187">
        <v>0.95026460000000001</v>
      </c>
      <c r="AB4187">
        <v>37</v>
      </c>
      <c r="AC4187">
        <v>14.1713</v>
      </c>
      <c r="AD4187">
        <v>-1.159451</v>
      </c>
      <c r="AE4187">
        <v>-4.6718799999999998</v>
      </c>
      <c r="AF4187">
        <v>4.6801771764727302</v>
      </c>
      <c r="AG4187">
        <v>-1.159451</v>
      </c>
      <c r="AH4187">
        <v>14.0742193563997</v>
      </c>
      <c r="AI4187">
        <v>94.469855787476604</v>
      </c>
      <c r="AJ4187">
        <v>71.606203699414607</v>
      </c>
      <c r="AK4187">
        <v>14.8772321187993</v>
      </c>
    </row>
    <row r="4188" spans="1:37" x14ac:dyDescent="0.2">
      <c r="A4188" t="str">
        <f>"20200111154147816"</f>
        <v>20200111154147816</v>
      </c>
      <c r="B4188" t="str">
        <f>"1578728507809903"</f>
        <v>1578728507809903</v>
      </c>
      <c r="C4188" t="s">
        <v>37</v>
      </c>
      <c r="D4188">
        <v>5.6750429999999996</v>
      </c>
      <c r="E4188">
        <v>0.58496990000000004</v>
      </c>
      <c r="F4188" t="s">
        <v>40</v>
      </c>
      <c r="G4188">
        <v>-317.62470000000002</v>
      </c>
      <c r="H4188">
        <v>-0.05</v>
      </c>
      <c r="I4188">
        <v>13.258850000000001</v>
      </c>
      <c r="J4188">
        <v>-331.49540000000002</v>
      </c>
      <c r="K4188">
        <v>1.109375</v>
      </c>
      <c r="L4188">
        <v>17.87622</v>
      </c>
      <c r="M4188">
        <v>0.9998245</v>
      </c>
      <c r="N4188">
        <v>0</v>
      </c>
      <c r="O4188">
        <v>1.614482E-3</v>
      </c>
      <c r="P4188">
        <v>0.99501070000000003</v>
      </c>
      <c r="Q4188">
        <v>1.3170899999999999E-2</v>
      </c>
      <c r="R4188">
        <v>-9.8893720000000004E-2</v>
      </c>
      <c r="S4188">
        <v>2.9253849999999999</v>
      </c>
      <c r="T4188">
        <v>-0.2412137</v>
      </c>
      <c r="U4188">
        <v>-0.96069340000000003</v>
      </c>
      <c r="V4188">
        <v>0.10062359999999999</v>
      </c>
      <c r="W4188">
        <v>3.134054E-2</v>
      </c>
      <c r="X4188">
        <v>0.99443079999999995</v>
      </c>
      <c r="Y4188">
        <v>0.31257639999999998</v>
      </c>
      <c r="Z4188">
        <v>-1.2666760000000001E-2</v>
      </c>
      <c r="AA4188">
        <v>0.94980819999999999</v>
      </c>
      <c r="AB4188">
        <v>37</v>
      </c>
      <c r="AC4188">
        <v>13.870699999999999</v>
      </c>
      <c r="AD4188">
        <v>-1.159375</v>
      </c>
      <c r="AE4188">
        <v>-4.6173699999999904</v>
      </c>
      <c r="AF4188">
        <v>4.6107628952660296</v>
      </c>
      <c r="AG4188">
        <v>-1.159375</v>
      </c>
      <c r="AH4188">
        <v>13.776579389321499</v>
      </c>
      <c r="AI4188">
        <v>94.562796261146801</v>
      </c>
      <c r="AJ4188">
        <v>71.495572048002003</v>
      </c>
      <c r="AK4188">
        <v>14.573861003085799</v>
      </c>
    </row>
    <row r="4189" spans="1:37" x14ac:dyDescent="0.2">
      <c r="A4189" t="str">
        <f>"20200111154147828"</f>
        <v>20200111154147828</v>
      </c>
      <c r="B4189" t="str">
        <f>"1578728507820639"</f>
        <v>1578728507820639</v>
      </c>
      <c r="C4189" t="s">
        <v>37</v>
      </c>
      <c r="D4189">
        <v>5.9863809999999997</v>
      </c>
      <c r="E4189">
        <v>0.58477029999999997</v>
      </c>
      <c r="F4189" t="s">
        <v>40</v>
      </c>
      <c r="G4189">
        <v>-317.5247</v>
      </c>
      <c r="H4189">
        <v>-0.05</v>
      </c>
      <c r="I4189">
        <v>13.22476</v>
      </c>
      <c r="J4189">
        <v>-331.31290000000001</v>
      </c>
      <c r="K4189">
        <v>1.1093</v>
      </c>
      <c r="L4189">
        <v>17.87567</v>
      </c>
      <c r="M4189">
        <v>0.99982490000000002</v>
      </c>
      <c r="N4189">
        <v>0</v>
      </c>
      <c r="O4189">
        <v>6.5321519999999905E-4</v>
      </c>
      <c r="P4189">
        <v>0.99456730000000004</v>
      </c>
      <c r="Q4189">
        <v>1.2856279999999999E-2</v>
      </c>
      <c r="R4189">
        <v>-0.103299499999999</v>
      </c>
      <c r="S4189">
        <v>2.92157</v>
      </c>
      <c r="T4189">
        <v>-0.242449899999999</v>
      </c>
      <c r="U4189">
        <v>-0.97271730000000001</v>
      </c>
      <c r="V4189">
        <v>0.1040769</v>
      </c>
      <c r="W4189">
        <v>3.1031699999999999E-2</v>
      </c>
      <c r="X4189">
        <v>0.994085</v>
      </c>
      <c r="Y4189">
        <v>0.31553589999999998</v>
      </c>
      <c r="Z4189">
        <v>-1.278104E-2</v>
      </c>
      <c r="AA4189">
        <v>0.94882759999999999</v>
      </c>
      <c r="AB4189">
        <v>37</v>
      </c>
      <c r="AC4189">
        <v>13.7882</v>
      </c>
      <c r="AD4189">
        <v>-1.1593</v>
      </c>
      <c r="AE4189">
        <v>-4.6509099999999997</v>
      </c>
      <c r="AF4189">
        <v>4.6305266731986601</v>
      </c>
      <c r="AG4189">
        <v>-1.1593</v>
      </c>
      <c r="AH4189">
        <v>13.6982140858908</v>
      </c>
      <c r="AI4189">
        <v>94.583859582576906</v>
      </c>
      <c r="AJ4189">
        <v>71.322756044679807</v>
      </c>
      <c r="AK4189">
        <v>14.506096060074301</v>
      </c>
    </row>
    <row r="4190" spans="1:37" x14ac:dyDescent="0.2">
      <c r="A4190" t="str">
        <f>"20200111154147839"</f>
        <v>20200111154147839</v>
      </c>
      <c r="B4190" t="str">
        <f>"1578728507830399"</f>
        <v>1578728507830399</v>
      </c>
      <c r="C4190" t="s">
        <v>37</v>
      </c>
      <c r="D4190">
        <v>5.9752010000000002</v>
      </c>
      <c r="E4190">
        <v>0.58457440000000005</v>
      </c>
      <c r="F4190" t="s">
        <v>40</v>
      </c>
      <c r="G4190">
        <v>-317.65460000000002</v>
      </c>
      <c r="H4190">
        <v>-0.05</v>
      </c>
      <c r="I4190">
        <v>13.2702299999999</v>
      </c>
      <c r="J4190">
        <v>-331.1268</v>
      </c>
      <c r="K4190">
        <v>1.10921</v>
      </c>
      <c r="L4190">
        <v>17.874879999999902</v>
      </c>
      <c r="M4190">
        <v>0.9998243</v>
      </c>
      <c r="N4190">
        <v>0</v>
      </c>
      <c r="O4190">
        <v>-3.7167549999999998E-4</v>
      </c>
      <c r="P4190">
        <v>0.9940426</v>
      </c>
      <c r="Q4190">
        <v>1.273675E-2</v>
      </c>
      <c r="R4190">
        <v>-0.108246</v>
      </c>
      <c r="S4190">
        <v>2.9174500000000001</v>
      </c>
      <c r="T4190">
        <v>-0.24762989999999999</v>
      </c>
      <c r="U4190">
        <v>-0.98373409999999994</v>
      </c>
      <c r="V4190">
        <v>0.1080096</v>
      </c>
      <c r="W4190">
        <v>3.0903010000000002E-2</v>
      </c>
      <c r="X4190">
        <v>0.99366949999999998</v>
      </c>
      <c r="Y4190">
        <v>0.31813629999999998</v>
      </c>
      <c r="Z4190">
        <v>-1.308574E-2</v>
      </c>
      <c r="AA4190">
        <v>0.94795469999999904</v>
      </c>
      <c r="AB4190">
        <v>37</v>
      </c>
      <c r="AC4190">
        <v>13.4721999999999</v>
      </c>
      <c r="AD4190">
        <v>-1.1592100000000001</v>
      </c>
      <c r="AE4190">
        <v>-4.6046500000000004</v>
      </c>
      <c r="AF4190">
        <v>4.5693501705578896</v>
      </c>
      <c r="AG4190">
        <v>-1.1592100000000001</v>
      </c>
      <c r="AH4190">
        <v>13.385177176961101</v>
      </c>
      <c r="AI4190">
        <v>94.685485581646603</v>
      </c>
      <c r="AJ4190">
        <v>71.151434475659102</v>
      </c>
      <c r="AK4190">
        <v>14.1910428391968</v>
      </c>
    </row>
    <row r="4191" spans="1:37" x14ac:dyDescent="0.2">
      <c r="A4191" t="str">
        <f>"20200111154147849"</f>
        <v>20200111154147849</v>
      </c>
      <c r="B4191" t="str">
        <f>"1578728507840158"</f>
        <v>1578728507840158</v>
      </c>
      <c r="C4191" t="s">
        <v>37</v>
      </c>
      <c r="D4191">
        <v>5.9947309999999998</v>
      </c>
      <c r="E4191">
        <v>0.58433500000000005</v>
      </c>
      <c r="F4191" t="s">
        <v>40</v>
      </c>
      <c r="G4191">
        <v>-317.75439999999998</v>
      </c>
      <c r="H4191">
        <v>-0.05</v>
      </c>
      <c r="I4191">
        <v>13.300079999999999</v>
      </c>
      <c r="J4191">
        <v>-330.95359999999999</v>
      </c>
      <c r="K4191">
        <v>1.109127</v>
      </c>
      <c r="L4191">
        <v>17.873839999999898</v>
      </c>
      <c r="M4191">
        <v>0.99982299999999902</v>
      </c>
      <c r="N4191">
        <v>0</v>
      </c>
      <c r="O4191">
        <v>-1.3838920000000001E-3</v>
      </c>
      <c r="P4191">
        <v>0.993475</v>
      </c>
      <c r="Q4191">
        <v>1.280507E-2</v>
      </c>
      <c r="R4191">
        <v>-0.11332979999999999</v>
      </c>
      <c r="S4191">
        <v>2.9127200000000002</v>
      </c>
      <c r="T4191">
        <v>-0.25249349999999998</v>
      </c>
      <c r="U4191">
        <v>-0.99646000000000001</v>
      </c>
      <c r="V4191">
        <v>0.11209369999999901</v>
      </c>
      <c r="W4191">
        <v>3.0943999999999999E-2</v>
      </c>
      <c r="X4191">
        <v>0.99321569999999904</v>
      </c>
      <c r="Y4191">
        <v>0.3213046</v>
      </c>
      <c r="Z4191">
        <v>-1.3401359999999999E-2</v>
      </c>
      <c r="AA4191">
        <v>0.94688109999999903</v>
      </c>
      <c r="AB4191">
        <v>37</v>
      </c>
      <c r="AC4191">
        <v>13.199199999999999</v>
      </c>
      <c r="AD4191">
        <v>-1.159127</v>
      </c>
      <c r="AE4191">
        <v>-4.5737599999999903</v>
      </c>
      <c r="AF4191">
        <v>4.5243349492629399</v>
      </c>
      <c r="AG4191">
        <v>-1.159127</v>
      </c>
      <c r="AH4191">
        <v>13.1152164908763</v>
      </c>
      <c r="AI4191">
        <v>94.775898172276399</v>
      </c>
      <c r="AJ4191">
        <v>70.967184797201199</v>
      </c>
      <c r="AK4191">
        <v>13.9220000624122</v>
      </c>
    </row>
    <row r="4192" spans="1:37" x14ac:dyDescent="0.2">
      <c r="A4192" t="str">
        <f>"20200111154147861"</f>
        <v>20200111154147861</v>
      </c>
      <c r="B4192" t="str">
        <f>"1578728507849919"</f>
        <v>1578728507849919</v>
      </c>
      <c r="C4192" t="s">
        <v>37</v>
      </c>
      <c r="D4192">
        <v>5.9617769999999997</v>
      </c>
      <c r="E4192">
        <v>0.58410810000000002</v>
      </c>
      <c r="F4192" t="s">
        <v>40</v>
      </c>
      <c r="G4192">
        <v>-317.84539999999998</v>
      </c>
      <c r="H4192">
        <v>-0.05</v>
      </c>
      <c r="I4192">
        <v>13.325469999999999</v>
      </c>
      <c r="J4192">
        <v>-330.75940000000003</v>
      </c>
      <c r="K4192">
        <v>1.1090309999999901</v>
      </c>
      <c r="L4192">
        <v>17.872589999999999</v>
      </c>
      <c r="M4192">
        <v>0.99982059999999995</v>
      </c>
      <c r="N4192">
        <v>0</v>
      </c>
      <c r="O4192">
        <v>-2.5516990000000002E-3</v>
      </c>
      <c r="P4192">
        <v>0.9927513</v>
      </c>
      <c r="Q4192">
        <v>1.271072E-2</v>
      </c>
      <c r="R4192">
        <v>-0.119514699999999</v>
      </c>
      <c r="S4192">
        <v>2.9079280000000001</v>
      </c>
      <c r="T4192">
        <v>-0.25713930000000002</v>
      </c>
      <c r="U4192">
        <v>-1.0090030000000001</v>
      </c>
      <c r="V4192">
        <v>0.1171257</v>
      </c>
      <c r="W4192">
        <v>3.080579E-2</v>
      </c>
      <c r="X4192">
        <v>0.99263919999999894</v>
      </c>
      <c r="Y4192">
        <v>0.3242776</v>
      </c>
      <c r="Z4192">
        <v>-1.368631E-2</v>
      </c>
      <c r="AA4192">
        <v>0.94586289999999995</v>
      </c>
      <c r="AB4192">
        <v>37</v>
      </c>
      <c r="AC4192">
        <v>12.914</v>
      </c>
      <c r="AD4192">
        <v>-1.1590309999999999</v>
      </c>
      <c r="AE4192">
        <v>-4.5471199999999898</v>
      </c>
      <c r="AF4192">
        <v>4.4820260910882403</v>
      </c>
      <c r="AG4192">
        <v>-1.1590309999999999</v>
      </c>
      <c r="AH4192">
        <v>12.8335903307799</v>
      </c>
      <c r="AI4192">
        <v>94.873375059456805</v>
      </c>
      <c r="AJ4192">
        <v>70.748664121024504</v>
      </c>
      <c r="AK4192">
        <v>13.643055065433201</v>
      </c>
    </row>
    <row r="4193" spans="1:37" x14ac:dyDescent="0.2">
      <c r="A4193" t="str">
        <f>"20200111154147874"</f>
        <v>20200111154147874</v>
      </c>
      <c r="B4193" t="str">
        <f>"1578728507870414"</f>
        <v>1578728507870414</v>
      </c>
      <c r="C4193" t="s">
        <v>37</v>
      </c>
      <c r="D4193">
        <v>5.6841559999999998</v>
      </c>
      <c r="E4193">
        <v>0.58400379999999996</v>
      </c>
      <c r="F4193" t="s">
        <v>40</v>
      </c>
      <c r="G4193">
        <v>-317.93400000000003</v>
      </c>
      <c r="H4193">
        <v>-0.05</v>
      </c>
      <c r="I4193">
        <v>13.34357</v>
      </c>
      <c r="J4193">
        <v>-330.5677</v>
      </c>
      <c r="K4193">
        <v>1.1089310000000001</v>
      </c>
      <c r="L4193">
        <v>17.87088</v>
      </c>
      <c r="M4193">
        <v>0.999816699999999</v>
      </c>
      <c r="N4193">
        <v>0</v>
      </c>
      <c r="O4193">
        <v>-3.8005270000000002E-3</v>
      </c>
      <c r="P4193">
        <v>0.99195639999999996</v>
      </c>
      <c r="Q4193">
        <v>1.235458E-2</v>
      </c>
      <c r="R4193">
        <v>-0.12597729999999999</v>
      </c>
      <c r="S4193">
        <v>2.9019169999999899</v>
      </c>
      <c r="T4193">
        <v>-0.2622466</v>
      </c>
      <c r="U4193">
        <v>-1.02475</v>
      </c>
      <c r="V4193">
        <v>0.1223559</v>
      </c>
      <c r="W4193">
        <v>3.0382079999999999E-2</v>
      </c>
      <c r="X4193">
        <v>0.99202109999999899</v>
      </c>
      <c r="Y4193">
        <v>0.32821539999999999</v>
      </c>
      <c r="Z4193">
        <v>-1.403531E-2</v>
      </c>
      <c r="AA4193">
        <v>0.94449869999999903</v>
      </c>
      <c r="AB4193">
        <v>37</v>
      </c>
      <c r="AC4193">
        <v>12.6336999999999</v>
      </c>
      <c r="AD4193">
        <v>-1.1589309999999999</v>
      </c>
      <c r="AE4193">
        <v>-4.5273099999999902</v>
      </c>
      <c r="AF4193">
        <v>4.44609799014549</v>
      </c>
      <c r="AG4193">
        <v>-1.1589309999999999</v>
      </c>
      <c r="AH4193">
        <v>12.5571746199863</v>
      </c>
      <c r="AI4193">
        <v>94.972210972009194</v>
      </c>
      <c r="AJ4193">
        <v>70.502557382610206</v>
      </c>
      <c r="AK4193">
        <v>13.371370267761099</v>
      </c>
    </row>
    <row r="4194" spans="1:37" x14ac:dyDescent="0.2">
      <c r="A4194" t="str">
        <f>"20200111154147891"</f>
        <v>20200111154147891</v>
      </c>
      <c r="B4194" t="str">
        <f>"1578728507880175"</f>
        <v>1578728507880175</v>
      </c>
      <c r="C4194" t="s">
        <v>37</v>
      </c>
      <c r="D4194">
        <v>5.6592789999999997</v>
      </c>
      <c r="E4194">
        <v>0.58425229999999995</v>
      </c>
      <c r="F4194" t="s">
        <v>40</v>
      </c>
      <c r="G4194">
        <v>-317.9966</v>
      </c>
      <c r="H4194">
        <v>-0.05</v>
      </c>
      <c r="I4194">
        <v>13.345379999999899</v>
      </c>
      <c r="J4194">
        <v>-330.28899999999999</v>
      </c>
      <c r="K4194">
        <v>1.108781</v>
      </c>
      <c r="L4194">
        <v>17.868010000000002</v>
      </c>
      <c r="M4194">
        <v>0.99980800000000003</v>
      </c>
      <c r="N4194">
        <v>0</v>
      </c>
      <c r="O4194">
        <v>-5.7057899999999996E-3</v>
      </c>
      <c r="P4194">
        <v>0.99039549999999998</v>
      </c>
      <c r="Q4194">
        <v>1.180409E-2</v>
      </c>
      <c r="R4194">
        <v>-0.13775870000000001</v>
      </c>
      <c r="S4194">
        <v>2.8952640000000001</v>
      </c>
      <c r="T4194">
        <v>-0.26691340000000002</v>
      </c>
      <c r="U4194">
        <v>-1.0422670000000001</v>
      </c>
      <c r="V4194">
        <v>0.13226179999999901</v>
      </c>
      <c r="W4194">
        <v>2.9690970000000001E-2</v>
      </c>
      <c r="X4194">
        <v>0.99077000000000004</v>
      </c>
      <c r="Y4194">
        <v>0.3321114</v>
      </c>
      <c r="Z4194">
        <v>-1.430477E-2</v>
      </c>
      <c r="AA4194">
        <v>0.94313169999999902</v>
      </c>
      <c r="AB4194">
        <v>36</v>
      </c>
      <c r="AC4194">
        <v>12.292399999999899</v>
      </c>
      <c r="AD4194">
        <v>-1.1587809999999901</v>
      </c>
      <c r="AE4194">
        <v>-4.5226300000000004</v>
      </c>
      <c r="AF4194">
        <v>4.4178279744556201</v>
      </c>
      <c r="AG4194">
        <v>-1.1587809999999901</v>
      </c>
      <c r="AH4194">
        <v>12.2223456315254</v>
      </c>
      <c r="AI4194">
        <v>95.095167516114103</v>
      </c>
      <c r="AJ4194">
        <v>70.127356971915106</v>
      </c>
      <c r="AK4194">
        <v>13.0478239624204</v>
      </c>
    </row>
    <row r="4195" spans="1:37" x14ac:dyDescent="0.2">
      <c r="A4195" t="str">
        <f>"20200111154147903"</f>
        <v>20200111154147903</v>
      </c>
      <c r="B4195" t="str">
        <f>"1578728507900670"</f>
        <v>1578728507900670</v>
      </c>
      <c r="C4195" t="s">
        <v>37</v>
      </c>
      <c r="D4195">
        <v>6.0260169999999897</v>
      </c>
      <c r="E4195">
        <v>0.58416049999999997</v>
      </c>
      <c r="F4195" t="s">
        <v>40</v>
      </c>
      <c r="G4195">
        <v>-317.8399</v>
      </c>
      <c r="H4195">
        <v>-0.05</v>
      </c>
      <c r="I4195">
        <v>13.21158</v>
      </c>
      <c r="J4195">
        <v>-330.09160000000003</v>
      </c>
      <c r="K4195">
        <v>1.108668</v>
      </c>
      <c r="L4195">
        <v>17.865690000000001</v>
      </c>
      <c r="M4195">
        <v>0.99979959999999901</v>
      </c>
      <c r="N4195">
        <v>0</v>
      </c>
      <c r="O4195">
        <v>-7.1181380000000004E-3</v>
      </c>
      <c r="P4195">
        <v>0.98954279999999994</v>
      </c>
      <c r="Q4195">
        <v>1.1790810000000001E-2</v>
      </c>
      <c r="R4195">
        <v>-0.14375689999999999</v>
      </c>
      <c r="S4195">
        <v>2.8823240000000001</v>
      </c>
      <c r="T4195">
        <v>-0.2682909</v>
      </c>
      <c r="U4195">
        <v>-1.0780940000000001</v>
      </c>
      <c r="V4195">
        <v>0.13687289999999999</v>
      </c>
      <c r="W4195">
        <v>2.9578489999999999E-2</v>
      </c>
      <c r="X4195">
        <v>0.99014690000000005</v>
      </c>
      <c r="Y4195">
        <v>0.34238420000000003</v>
      </c>
      <c r="Z4195">
        <v>-1.474369E-2</v>
      </c>
      <c r="AA4195">
        <v>0.93944439999999996</v>
      </c>
      <c r="AB4195">
        <v>36</v>
      </c>
      <c r="AC4195">
        <v>12.2517</v>
      </c>
      <c r="AD4195">
        <v>-1.158668</v>
      </c>
      <c r="AE4195">
        <v>-4.6541100000000002</v>
      </c>
      <c r="AF4195">
        <v>4.5313505291882503</v>
      </c>
      <c r="AG4195">
        <v>-1.158668</v>
      </c>
      <c r="AH4195">
        <v>12.189252904088701</v>
      </c>
      <c r="AI4195">
        <v>95.0915543509239</v>
      </c>
      <c r="AJ4195">
        <v>69.607400188858904</v>
      </c>
      <c r="AK4195">
        <v>13.0557855187818</v>
      </c>
    </row>
    <row r="4196" spans="1:37" x14ac:dyDescent="0.2">
      <c r="A4196" t="str">
        <f>"20200111154147916"</f>
        <v>20200111154147916</v>
      </c>
      <c r="B4196" t="str">
        <f>"1578728507910431"</f>
        <v>1578728507910431</v>
      </c>
      <c r="C4196" t="s">
        <v>37</v>
      </c>
      <c r="D4196">
        <v>5.6699529999999996</v>
      </c>
      <c r="E4196">
        <v>0.58442780000000005</v>
      </c>
      <c r="F4196" t="s">
        <v>40</v>
      </c>
      <c r="G4196">
        <v>-317.72289999999998</v>
      </c>
      <c r="H4196">
        <v>-0.05</v>
      </c>
      <c r="I4196">
        <v>13.1562</v>
      </c>
      <c r="J4196">
        <v>-329.87900000000002</v>
      </c>
      <c r="K4196">
        <v>1.1085399999999901</v>
      </c>
      <c r="L4196">
        <v>17.862549999999999</v>
      </c>
      <c r="M4196">
        <v>0.9997876</v>
      </c>
      <c r="N4196">
        <v>0</v>
      </c>
      <c r="O4196">
        <v>-8.7603179999999996E-3</v>
      </c>
      <c r="P4196">
        <v>0.9886684</v>
      </c>
      <c r="Q4196">
        <v>1.198951E-2</v>
      </c>
      <c r="R4196">
        <v>-0.14963679999999999</v>
      </c>
      <c r="S4196">
        <v>2.8758539999999999</v>
      </c>
      <c r="T4196">
        <v>-0.26940199999999997</v>
      </c>
      <c r="U4196">
        <v>-1.0950009999999999</v>
      </c>
      <c r="V4196">
        <v>0.14114189999999999</v>
      </c>
      <c r="W4196">
        <v>2.964808E-2</v>
      </c>
      <c r="X4196">
        <v>0.98954529999999996</v>
      </c>
      <c r="Y4196">
        <v>0.34634359999999997</v>
      </c>
      <c r="Z4196">
        <v>-1.4851349999999999E-2</v>
      </c>
      <c r="AA4196">
        <v>0.9379902</v>
      </c>
      <c r="AB4196">
        <v>36</v>
      </c>
      <c r="AC4196">
        <v>12.1561</v>
      </c>
      <c r="AD4196">
        <v>-1.1585399999999999</v>
      </c>
      <c r="AE4196">
        <v>-4.7063499999999898</v>
      </c>
      <c r="AF4196">
        <v>4.56361119509336</v>
      </c>
      <c r="AG4196">
        <v>-1.1585399999999999</v>
      </c>
      <c r="AH4196">
        <v>12.101280741607001</v>
      </c>
      <c r="AI4196">
        <v>95.118824045870795</v>
      </c>
      <c r="AJ4196">
        <v>69.337636059225503</v>
      </c>
      <c r="AK4196">
        <v>12.9849820045609</v>
      </c>
    </row>
    <row r="4197" spans="1:37" x14ac:dyDescent="0.2">
      <c r="A4197" t="str">
        <f>"20200111154147927"</f>
        <v>20200111154147927</v>
      </c>
      <c r="B4197" t="str">
        <f>"1578728507920190"</f>
        <v>1578728507920190</v>
      </c>
      <c r="C4197" t="s">
        <v>37</v>
      </c>
      <c r="D4197">
        <v>5.6540989999999898</v>
      </c>
      <c r="E4197">
        <v>0.58451330000000001</v>
      </c>
      <c r="F4197" t="s">
        <v>40</v>
      </c>
      <c r="G4197">
        <v>-317.44229999999999</v>
      </c>
      <c r="H4197">
        <v>-0.05</v>
      </c>
      <c r="I4197">
        <v>13.032209999999999</v>
      </c>
      <c r="J4197">
        <v>-329.676999999999</v>
      </c>
      <c r="K4197">
        <v>1.108414</v>
      </c>
      <c r="L4197">
        <v>17.859310000000001</v>
      </c>
      <c r="M4197">
        <v>0.99977309999999997</v>
      </c>
      <c r="N4197">
        <v>0</v>
      </c>
      <c r="O4197">
        <v>-1.0374929999999999E-2</v>
      </c>
      <c r="P4197">
        <v>0.98772969999999904</v>
      </c>
      <c r="Q4197">
        <v>1.2292529999999999E-2</v>
      </c>
      <c r="R4197">
        <v>-0.1556891</v>
      </c>
      <c r="S4197">
        <v>2.8689580000000001</v>
      </c>
      <c r="T4197">
        <v>-0.26725870000000002</v>
      </c>
      <c r="U4197">
        <v>-1.1142879999999999</v>
      </c>
      <c r="V4197">
        <v>0.14561379999999999</v>
      </c>
      <c r="W4197">
        <v>2.9812990000000001E-2</v>
      </c>
      <c r="X4197">
        <v>0.988892199999999</v>
      </c>
      <c r="Y4197">
        <v>0.35107319999999997</v>
      </c>
      <c r="Z4197">
        <v>-1.4816930000000001E-2</v>
      </c>
      <c r="AA4197">
        <v>0.93623080000000003</v>
      </c>
      <c r="AB4197">
        <v>36</v>
      </c>
      <c r="AC4197">
        <v>12.234699999999901</v>
      </c>
      <c r="AD4197">
        <v>-1.1584139999999901</v>
      </c>
      <c r="AE4197">
        <v>-4.8270999999999997</v>
      </c>
      <c r="AF4197">
        <v>4.6637062903995004</v>
      </c>
      <c r="AG4197">
        <v>-1.1584139999999901</v>
      </c>
      <c r="AH4197">
        <v>12.189572809465499</v>
      </c>
      <c r="AI4197">
        <v>95.072205169385498</v>
      </c>
      <c r="AJ4197">
        <v>69.063248827345404</v>
      </c>
      <c r="AK4197">
        <v>13.102586181199801</v>
      </c>
    </row>
    <row r="4198" spans="1:37" x14ac:dyDescent="0.2">
      <c r="A4198" t="str">
        <f>"20200111154147938"</f>
        <v>20200111154147938</v>
      </c>
      <c r="B4198" t="str">
        <f>"1578728507929952"</f>
        <v>1578728507929952</v>
      </c>
      <c r="C4198" t="s">
        <v>37</v>
      </c>
      <c r="D4198">
        <v>5.6365679999999996</v>
      </c>
      <c r="E4198">
        <v>0.58470180000000005</v>
      </c>
      <c r="F4198" t="s">
        <v>40</v>
      </c>
      <c r="G4198">
        <v>-317.18079999999998</v>
      </c>
      <c r="H4198">
        <v>-0.05</v>
      </c>
      <c r="I4198">
        <v>12.91473</v>
      </c>
      <c r="J4198">
        <v>-329.49790000000002</v>
      </c>
      <c r="K4198">
        <v>1.1082989999999999</v>
      </c>
      <c r="L4198">
        <v>17.85614</v>
      </c>
      <c r="M4198">
        <v>0.99975780000000003</v>
      </c>
      <c r="N4198">
        <v>0</v>
      </c>
      <c r="O4198">
        <v>-1.1867519999999999E-2</v>
      </c>
      <c r="P4198">
        <v>0.98675979999999996</v>
      </c>
      <c r="Q4198">
        <v>1.2291430000000001E-2</v>
      </c>
      <c r="R4198">
        <v>-0.161722799999999</v>
      </c>
      <c r="S4198">
        <v>2.8620610000000002</v>
      </c>
      <c r="T4198">
        <v>-0.265316099999999</v>
      </c>
      <c r="U4198">
        <v>-1.132477</v>
      </c>
      <c r="V4198">
        <v>0.15018819999999999</v>
      </c>
      <c r="W4198">
        <v>2.9671909999999999E-2</v>
      </c>
      <c r="X4198">
        <v>0.98821199999999998</v>
      </c>
      <c r="Y4198">
        <v>0.35559390000000002</v>
      </c>
      <c r="Z4198">
        <v>-1.4794740000000001E-2</v>
      </c>
      <c r="AA4198">
        <v>0.93452349999999995</v>
      </c>
      <c r="AB4198">
        <v>36</v>
      </c>
      <c r="AC4198">
        <v>12.3171</v>
      </c>
      <c r="AD4198">
        <v>-1.158299</v>
      </c>
      <c r="AE4198">
        <v>-4.9414099999999896</v>
      </c>
      <c r="AF4198">
        <v>4.7586146675503898</v>
      </c>
      <c r="AG4198">
        <v>-1.158299</v>
      </c>
      <c r="AH4198">
        <v>12.281331775841</v>
      </c>
      <c r="AI4198">
        <v>95.025836269318006</v>
      </c>
      <c r="AJ4198">
        <v>68.820278662060105</v>
      </c>
      <c r="AK4198">
        <v>13.22184481515</v>
      </c>
    </row>
    <row r="4199" spans="1:37" x14ac:dyDescent="0.2">
      <c r="A4199" t="str">
        <f>"20200111154147950"</f>
        <v>20200111154147950</v>
      </c>
      <c r="B4199" t="str">
        <f>"1578728507940687"</f>
        <v>1578728507940687</v>
      </c>
      <c r="C4199" t="s">
        <v>37</v>
      </c>
      <c r="D4199">
        <v>5.6481469999999998</v>
      </c>
      <c r="E4199">
        <v>0.58484360000000002</v>
      </c>
      <c r="F4199" t="s">
        <v>40</v>
      </c>
      <c r="G4199">
        <v>-317.01499999999999</v>
      </c>
      <c r="H4199">
        <v>-0.05</v>
      </c>
      <c r="I4199">
        <v>12.82184</v>
      </c>
      <c r="J4199">
        <v>-329.3252</v>
      </c>
      <c r="K4199">
        <v>1.1081859999999999</v>
      </c>
      <c r="L4199">
        <v>17.852720000000001</v>
      </c>
      <c r="M4199">
        <v>0.99974010000000002</v>
      </c>
      <c r="N4199">
        <v>0</v>
      </c>
      <c r="O4199">
        <v>-1.337822E-2</v>
      </c>
      <c r="P4199">
        <v>0.98573759999999999</v>
      </c>
      <c r="Q4199">
        <v>1.2100380000000001E-2</v>
      </c>
      <c r="R4199">
        <v>-0.16785600000000001</v>
      </c>
      <c r="S4199">
        <v>2.854889</v>
      </c>
      <c r="T4199">
        <v>-0.26490779999999903</v>
      </c>
      <c r="U4199">
        <v>-1.151367</v>
      </c>
      <c r="V4199">
        <v>0.15484539999999999</v>
      </c>
      <c r="W4199">
        <v>2.9334929999999999E-2</v>
      </c>
      <c r="X4199">
        <v>0.98750309999999897</v>
      </c>
      <c r="Y4199">
        <v>0.360301599999999</v>
      </c>
      <c r="Z4199">
        <v>-1.486433E-2</v>
      </c>
      <c r="AA4199">
        <v>0.93271740000000003</v>
      </c>
      <c r="AB4199">
        <v>36</v>
      </c>
      <c r="AC4199">
        <v>12.3102</v>
      </c>
      <c r="AD4199">
        <v>-1.1581859999999999</v>
      </c>
      <c r="AE4199">
        <v>-5.0308799999999998</v>
      </c>
      <c r="AF4199">
        <v>4.8290848826434898</v>
      </c>
      <c r="AG4199">
        <v>-1.1581859999999999</v>
      </c>
      <c r="AH4199">
        <v>12.2832464937444</v>
      </c>
      <c r="AI4199">
        <v>95.014966789327602</v>
      </c>
      <c r="AJ4199">
        <v>68.538025938911304</v>
      </c>
      <c r="AK4199">
        <v>13.249135822402</v>
      </c>
    </row>
    <row r="4200" spans="1:37" x14ac:dyDescent="0.2">
      <c r="A4200" t="str">
        <f>"20200111154147962"</f>
        <v>20200111154147962</v>
      </c>
      <c r="B4200" t="str">
        <f>"1578728507950446"</f>
        <v>1578728507950446</v>
      </c>
      <c r="C4200" t="s">
        <v>37</v>
      </c>
      <c r="D4200">
        <v>5.6789009999999998</v>
      </c>
      <c r="E4200">
        <v>0.58492900000000003</v>
      </c>
      <c r="F4200" t="s">
        <v>40</v>
      </c>
      <c r="G4200">
        <v>-316.8929</v>
      </c>
      <c r="H4200">
        <v>-0.05</v>
      </c>
      <c r="I4200">
        <v>12.74457</v>
      </c>
      <c r="J4200">
        <v>-329.13299999999998</v>
      </c>
      <c r="K4200">
        <v>1.108061</v>
      </c>
      <c r="L4200">
        <v>17.848689999999898</v>
      </c>
      <c r="M4200">
        <v>0.99971710000000003</v>
      </c>
      <c r="N4200">
        <v>0</v>
      </c>
      <c r="O4200">
        <v>-1.509546E-2</v>
      </c>
      <c r="P4200">
        <v>0.98464099999999999</v>
      </c>
      <c r="Q4200">
        <v>1.1819430000000001E-2</v>
      </c>
      <c r="R4200">
        <v>-0.17419189999999901</v>
      </c>
      <c r="S4200">
        <v>2.8474430000000002</v>
      </c>
      <c r="T4200">
        <v>-0.26526640000000001</v>
      </c>
      <c r="U4200">
        <v>-1.1699520000000001</v>
      </c>
      <c r="V4200">
        <v>0.15950539999999999</v>
      </c>
      <c r="W4200">
        <v>2.888928E-2</v>
      </c>
      <c r="X4200">
        <v>0.98677429999999999</v>
      </c>
      <c r="Y4200">
        <v>0.36474649999999997</v>
      </c>
      <c r="Z4200">
        <v>-1.494813E-2</v>
      </c>
      <c r="AA4200">
        <v>0.93098689999999995</v>
      </c>
      <c r="AB4200">
        <v>36</v>
      </c>
      <c r="AC4200">
        <v>12.2401</v>
      </c>
      <c r="AD4200">
        <v>-1.158061</v>
      </c>
      <c r="AE4200">
        <v>-5.1041199999999902</v>
      </c>
      <c r="AF4200">
        <v>4.8815132891118704</v>
      </c>
      <c r="AG4200">
        <v>-1.158061</v>
      </c>
      <c r="AH4200">
        <v>12.222564259528699</v>
      </c>
      <c r="AI4200">
        <v>95.028491077433898</v>
      </c>
      <c r="AJ4200">
        <v>68.228955555396595</v>
      </c>
      <c r="AK4200">
        <v>13.2121669059169</v>
      </c>
    </row>
    <row r="4201" spans="1:37" x14ac:dyDescent="0.2">
      <c r="A4201" t="str">
        <f>"20200111154147974"</f>
        <v>20200111154147974</v>
      </c>
      <c r="B4201" t="str">
        <f>"1578728507969966"</f>
        <v>1578728507969966</v>
      </c>
      <c r="C4201" t="s">
        <v>37</v>
      </c>
      <c r="D4201">
        <v>5.6813330000000004</v>
      </c>
      <c r="E4201">
        <v>0.58512010000000003</v>
      </c>
      <c r="F4201" t="s">
        <v>40</v>
      </c>
      <c r="G4201">
        <v>-316.79610000000002</v>
      </c>
      <c r="H4201">
        <v>-0.05</v>
      </c>
      <c r="I4201">
        <v>12.684659999999999</v>
      </c>
      <c r="J4201">
        <v>-328.9513</v>
      </c>
      <c r="K4201">
        <v>1.1079399999999999</v>
      </c>
      <c r="L4201">
        <v>17.8443</v>
      </c>
      <c r="M4201">
        <v>0.99969089999999905</v>
      </c>
      <c r="N4201">
        <v>0</v>
      </c>
      <c r="O4201">
        <v>-1.682405E-2</v>
      </c>
      <c r="P4201">
        <v>0.98347989999999996</v>
      </c>
      <c r="Q4201">
        <v>1.129206E-2</v>
      </c>
      <c r="R4201">
        <v>-0.18066589999999999</v>
      </c>
      <c r="S4201">
        <v>2.8397220000000001</v>
      </c>
      <c r="T4201">
        <v>-0.26656289999999999</v>
      </c>
      <c r="U4201">
        <v>-1.18866</v>
      </c>
      <c r="V4201">
        <v>0.16429349999999901</v>
      </c>
      <c r="W4201">
        <v>2.819671E-2</v>
      </c>
      <c r="X4201">
        <v>0.98600840000000001</v>
      </c>
      <c r="Y4201">
        <v>0.36922830000000001</v>
      </c>
      <c r="Z4201">
        <v>-1.508669E-2</v>
      </c>
      <c r="AA4201">
        <v>0.9292163</v>
      </c>
      <c r="AB4201">
        <v>36</v>
      </c>
      <c r="AC4201">
        <v>12.155199999999899</v>
      </c>
      <c r="AD4201">
        <v>-1.15794</v>
      </c>
      <c r="AE4201">
        <v>-5.1596399999999996</v>
      </c>
      <c r="AF4201">
        <v>4.9165695389212196</v>
      </c>
      <c r="AG4201">
        <v>-1.15794</v>
      </c>
      <c r="AH4201">
        <v>12.146896006518</v>
      </c>
      <c r="AI4201">
        <v>95.049775032338502</v>
      </c>
      <c r="AJ4201">
        <v>67.963899614599796</v>
      </c>
      <c r="AK4201">
        <v>13.1552485217046</v>
      </c>
    </row>
    <row r="4202" spans="1:37" x14ac:dyDescent="0.2">
      <c r="A4202" t="str">
        <f>"20200111154147985"</f>
        <v>20200111154147985</v>
      </c>
      <c r="B4202" t="str">
        <f>"1578728507980702"</f>
        <v>1578728507980702</v>
      </c>
      <c r="C4202" t="s">
        <v>37</v>
      </c>
      <c r="D4202">
        <v>5.6633089999999999</v>
      </c>
      <c r="E4202">
        <v>0.58521129999999999</v>
      </c>
      <c r="F4202" t="s">
        <v>40</v>
      </c>
      <c r="G4202">
        <v>-316.72669999999999</v>
      </c>
      <c r="H4202">
        <v>-0.05</v>
      </c>
      <c r="I4202">
        <v>12.62689</v>
      </c>
      <c r="J4202">
        <v>-328.76389999999998</v>
      </c>
      <c r="K4202">
        <v>1.1078159999999999</v>
      </c>
      <c r="L4202">
        <v>17.83963</v>
      </c>
      <c r="M4202">
        <v>0.99966029999999995</v>
      </c>
      <c r="N4202">
        <v>0</v>
      </c>
      <c r="O4202">
        <v>-1.8635120000000002E-2</v>
      </c>
      <c r="P4202">
        <v>0.98232809999999904</v>
      </c>
      <c r="Q4202">
        <v>1.067807E-2</v>
      </c>
      <c r="R4202">
        <v>-0.18686269999999999</v>
      </c>
      <c r="S4202">
        <v>2.8314819999999998</v>
      </c>
      <c r="T4202">
        <v>-0.26820429999999901</v>
      </c>
      <c r="U4202">
        <v>-1.208466</v>
      </c>
      <c r="V4202">
        <v>0.1687256</v>
      </c>
      <c r="W4202">
        <v>2.7414049999999999E-2</v>
      </c>
      <c r="X4202">
        <v>0.98528179999999999</v>
      </c>
      <c r="Y4202">
        <v>0.37398579999999998</v>
      </c>
      <c r="Z4202">
        <v>-1.525177E-2</v>
      </c>
      <c r="AA4202">
        <v>0.92730900000000005</v>
      </c>
      <c r="AB4202">
        <v>36</v>
      </c>
      <c r="AC4202">
        <v>12.037199999999901</v>
      </c>
      <c r="AD4202">
        <v>-1.157816</v>
      </c>
      <c r="AE4202">
        <v>-5.2127400000000002</v>
      </c>
      <c r="AF4202">
        <v>4.9489265154133797</v>
      </c>
      <c r="AG4202">
        <v>-1.157816</v>
      </c>
      <c r="AH4202">
        <v>12.0384758988034</v>
      </c>
      <c r="AI4202">
        <v>95.083260971242495</v>
      </c>
      <c r="AJ4202">
        <v>67.652806425749603</v>
      </c>
      <c r="AK4202">
        <v>13.0674141860923</v>
      </c>
    </row>
    <row r="4203" spans="1:37" x14ac:dyDescent="0.2">
      <c r="A4203" t="str">
        <f>"20200111154148001"</f>
        <v>20200111154148001</v>
      </c>
      <c r="B4203" t="str">
        <f>"1578728507990463"</f>
        <v>1578728507990463</v>
      </c>
      <c r="C4203" t="s">
        <v>37</v>
      </c>
      <c r="D4203">
        <v>5.7112129999999999</v>
      </c>
      <c r="E4203">
        <v>0.58527209999999996</v>
      </c>
      <c r="F4203" t="s">
        <v>40</v>
      </c>
      <c r="G4203">
        <v>-316.66559999999998</v>
      </c>
      <c r="H4203">
        <v>-0.05</v>
      </c>
      <c r="I4203">
        <v>12.58253</v>
      </c>
      <c r="J4203">
        <v>-328.50049999999999</v>
      </c>
      <c r="K4203">
        <v>1.1076379999999999</v>
      </c>
      <c r="L4203">
        <v>17.832239999999999</v>
      </c>
      <c r="M4203">
        <v>0.99960869999999902</v>
      </c>
      <c r="N4203">
        <v>0</v>
      </c>
      <c r="O4203">
        <v>-2.1317929999999999E-2</v>
      </c>
      <c r="P4203">
        <v>0.98011789999999999</v>
      </c>
      <c r="Q4203">
        <v>9.6744280000000005E-3</v>
      </c>
      <c r="R4203">
        <v>-0.19818129999999901</v>
      </c>
      <c r="S4203">
        <v>2.8234859999999999</v>
      </c>
      <c r="T4203">
        <v>-0.270209599999999</v>
      </c>
      <c r="U4203">
        <v>-1.226898</v>
      </c>
      <c r="V4203">
        <v>0.1774442</v>
      </c>
      <c r="W4203">
        <v>2.6141830000000001E-2</v>
      </c>
      <c r="X4203">
        <v>0.98378359999999998</v>
      </c>
      <c r="Y4203">
        <v>0.37752170000000002</v>
      </c>
      <c r="Z4203">
        <v>-1.5303199999999999E-2</v>
      </c>
      <c r="AA4203">
        <v>0.92587430000000004</v>
      </c>
      <c r="AB4203">
        <v>36</v>
      </c>
      <c r="AC4203">
        <v>11.834899999999999</v>
      </c>
      <c r="AD4203">
        <v>-1.1576379999999999</v>
      </c>
      <c r="AE4203">
        <v>-5.2497099999999897</v>
      </c>
      <c r="AF4203">
        <v>4.95655290689254</v>
      </c>
      <c r="AG4203">
        <v>-1.1576379999999999</v>
      </c>
      <c r="AH4203">
        <v>11.849407067096401</v>
      </c>
      <c r="AI4203">
        <v>95.150072832265394</v>
      </c>
      <c r="AJ4203">
        <v>67.300664373832205</v>
      </c>
      <c r="AK4203">
        <v>12.8963556983987</v>
      </c>
    </row>
    <row r="4204" spans="1:37" x14ac:dyDescent="0.2">
      <c r="A4204" t="str">
        <f>"20200111154148013"</f>
        <v>20200111154148013</v>
      </c>
      <c r="B4204" t="str">
        <f>"1578728508000223"</f>
        <v>1578728508000223</v>
      </c>
      <c r="C4204" t="s">
        <v>37</v>
      </c>
      <c r="D4204">
        <v>5.700323</v>
      </c>
      <c r="E4204">
        <v>0.5852366</v>
      </c>
      <c r="F4204" t="s">
        <v>40</v>
      </c>
      <c r="G4204">
        <v>-316.62889999999999</v>
      </c>
      <c r="H4204">
        <v>-0.05</v>
      </c>
      <c r="I4204">
        <v>12.50986</v>
      </c>
      <c r="J4204">
        <v>-328.31009999999998</v>
      </c>
      <c r="K4204">
        <v>1.107513</v>
      </c>
      <c r="L4204">
        <v>17.82629</v>
      </c>
      <c r="M4204">
        <v>0.99956449999999997</v>
      </c>
      <c r="N4204">
        <v>0</v>
      </c>
      <c r="O4204">
        <v>-2.33572999999999E-2</v>
      </c>
      <c r="P4204">
        <v>0.97885259999999996</v>
      </c>
      <c r="Q4204">
        <v>8.7768759999999994E-3</v>
      </c>
      <c r="R4204">
        <v>-0.20437829999999901</v>
      </c>
      <c r="S4204">
        <v>2.8089599999999999</v>
      </c>
      <c r="T4204">
        <v>-0.27391090000000001</v>
      </c>
      <c r="U4204">
        <v>-1.2593379999999901</v>
      </c>
      <c r="V4204">
        <v>0.18166009999999999</v>
      </c>
      <c r="W4204">
        <v>2.5067869999999999E-2</v>
      </c>
      <c r="X4204">
        <v>0.98304179999999997</v>
      </c>
      <c r="Y4204">
        <v>0.38623790000000002</v>
      </c>
      <c r="Z4204">
        <v>-1.5766490000000001E-2</v>
      </c>
      <c r="AA4204">
        <v>0.92226450000000004</v>
      </c>
      <c r="AB4204">
        <v>36</v>
      </c>
      <c r="AC4204">
        <v>11.681199999999899</v>
      </c>
      <c r="AD4204">
        <v>-1.157513</v>
      </c>
      <c r="AE4204">
        <v>-5.3164300000000004</v>
      </c>
      <c r="AF4204">
        <v>5.0014105711389298</v>
      </c>
      <c r="AG4204">
        <v>-1.157513</v>
      </c>
      <c r="AH4204">
        <v>11.706981923453</v>
      </c>
      <c r="AI4204">
        <v>95.195268193771398</v>
      </c>
      <c r="AJ4204">
        <v>66.867048858963997</v>
      </c>
      <c r="AK4204">
        <v>12.7830892120146</v>
      </c>
    </row>
    <row r="4205" spans="1:37" x14ac:dyDescent="0.2">
      <c r="A4205" t="str">
        <f>"20200111154148025"</f>
        <v>20200111154148025</v>
      </c>
      <c r="B4205" t="str">
        <f>"1578728508020720"</f>
        <v>1578728508020720</v>
      </c>
      <c r="C4205" t="s">
        <v>37</v>
      </c>
      <c r="D4205">
        <v>5.8357510000000001</v>
      </c>
      <c r="E4205">
        <v>0.58540509999999901</v>
      </c>
      <c r="F4205" t="s">
        <v>40</v>
      </c>
      <c r="G4205">
        <v>-316.56790000000001</v>
      </c>
      <c r="H4205">
        <v>-0.05</v>
      </c>
      <c r="I4205">
        <v>12.473750000000001</v>
      </c>
      <c r="J4205">
        <v>-328.11360000000002</v>
      </c>
      <c r="K4205">
        <v>1.1073809999999999</v>
      </c>
      <c r="L4205">
        <v>17.819890000000001</v>
      </c>
      <c r="M4205">
        <v>0.99951380000000001</v>
      </c>
      <c r="N4205">
        <v>0</v>
      </c>
      <c r="O4205">
        <v>-2.5502520000000001E-2</v>
      </c>
      <c r="P4205">
        <v>0.97752839999999996</v>
      </c>
      <c r="Q4205">
        <v>8.1835069999999996E-3</v>
      </c>
      <c r="R4205">
        <v>-0.2106461</v>
      </c>
      <c r="S4205">
        <v>2.8007200000000001</v>
      </c>
      <c r="T4205">
        <v>-0.27608680000000002</v>
      </c>
      <c r="U4205">
        <v>-1.276672</v>
      </c>
      <c r="V4205">
        <v>0.18584979999999901</v>
      </c>
      <c r="W4205">
        <v>2.4289430000000001E-2</v>
      </c>
      <c r="X4205">
        <v>0.98227790000000004</v>
      </c>
      <c r="Y4205">
        <v>0.38997379999999998</v>
      </c>
      <c r="Z4205">
        <v>-1.588902E-2</v>
      </c>
      <c r="AA4205">
        <v>0.92068890000000003</v>
      </c>
      <c r="AB4205">
        <v>36</v>
      </c>
      <c r="AC4205">
        <v>11.5457</v>
      </c>
      <c r="AD4205">
        <v>-1.157381</v>
      </c>
      <c r="AE4205">
        <v>-5.3461400000000001</v>
      </c>
      <c r="AF4205">
        <v>5.00846570396702</v>
      </c>
      <c r="AG4205">
        <v>-1.157381</v>
      </c>
      <c r="AH4205">
        <v>11.5824652087022</v>
      </c>
      <c r="AI4205">
        <v>95.240369967591803</v>
      </c>
      <c r="AJ4205">
        <v>66.615478662602001</v>
      </c>
      <c r="AK4205">
        <v>12.6719280221193</v>
      </c>
    </row>
    <row r="4206" spans="1:37" x14ac:dyDescent="0.2">
      <c r="A4206" t="str">
        <f>"20200111154148036"</f>
        <v>20200111154148036</v>
      </c>
      <c r="B4206" t="str">
        <f>"1578728508030478"</f>
        <v>1578728508030478</v>
      </c>
      <c r="C4206" t="s">
        <v>37</v>
      </c>
      <c r="D4206">
        <v>5.9362370000000002</v>
      </c>
      <c r="E4206">
        <v>0.58244649999999998</v>
      </c>
      <c r="F4206" t="s">
        <v>40</v>
      </c>
      <c r="G4206">
        <v>-316.47210000000001</v>
      </c>
      <c r="H4206">
        <v>-0.05</v>
      </c>
      <c r="I4206">
        <v>12.41747</v>
      </c>
      <c r="J4206">
        <v>-327.94080000000002</v>
      </c>
      <c r="K4206">
        <v>1.1072599999999999</v>
      </c>
      <c r="L4206">
        <v>17.813690000000001</v>
      </c>
      <c r="M4206">
        <v>0.99946279999999998</v>
      </c>
      <c r="N4206">
        <v>0</v>
      </c>
      <c r="O4206">
        <v>-2.7475369999999999E-2</v>
      </c>
      <c r="P4206">
        <v>0.9762885</v>
      </c>
      <c r="Q4206">
        <v>7.4530680000000002E-3</v>
      </c>
      <c r="R4206">
        <v>-0.21634619999999999</v>
      </c>
      <c r="S4206">
        <v>2.792084</v>
      </c>
      <c r="T4206">
        <v>-0.27758660000000002</v>
      </c>
      <c r="U4206">
        <v>-1.295715</v>
      </c>
      <c r="V4206">
        <v>0.189641</v>
      </c>
      <c r="W4206">
        <v>2.3388470000000001E-2</v>
      </c>
      <c r="X4206">
        <v>0.98157490000000003</v>
      </c>
      <c r="Y4206">
        <v>0.39437879999999997</v>
      </c>
      <c r="Z4206">
        <v>-1.602042E-2</v>
      </c>
      <c r="AA4206">
        <v>0.91880830000000002</v>
      </c>
      <c r="AB4206">
        <v>36</v>
      </c>
      <c r="AC4206">
        <v>11.4687</v>
      </c>
      <c r="AD4206">
        <v>-1.15726</v>
      </c>
      <c r="AE4206">
        <v>-5.3962199999999996</v>
      </c>
      <c r="AF4206">
        <v>5.0370341775887599</v>
      </c>
      <c r="AG4206">
        <v>-1.15726</v>
      </c>
      <c r="AH4206">
        <v>11.5166479732888</v>
      </c>
      <c r="AI4206">
        <v>95.260121323261899</v>
      </c>
      <c r="AJ4206">
        <v>66.376883346773198</v>
      </c>
      <c r="AK4206">
        <v>12.6231590560546</v>
      </c>
    </row>
    <row r="4207" spans="1:37" x14ac:dyDescent="0.2">
      <c r="A4207" t="str">
        <f>"20200111154148047"</f>
        <v>20200111154148047</v>
      </c>
      <c r="B4207" t="str">
        <f>"1578728508040238"</f>
        <v>1578728508040238</v>
      </c>
      <c r="C4207" t="s">
        <v>37</v>
      </c>
      <c r="D4207">
        <v>5.9185840000000001</v>
      </c>
      <c r="E4207">
        <v>0.58341750000000003</v>
      </c>
      <c r="F4207" t="s">
        <v>39</v>
      </c>
      <c r="G4207">
        <v>-321.63799999999998</v>
      </c>
      <c r="H4207" s="1">
        <v>-4.7686350000000003E-6</v>
      </c>
      <c r="I4207">
        <v>14.90676</v>
      </c>
      <c r="J4207">
        <v>-327.76870000000002</v>
      </c>
      <c r="K4207">
        <v>1.107143</v>
      </c>
      <c r="L4207">
        <v>17.80725</v>
      </c>
      <c r="M4207">
        <v>0.99940739999999995</v>
      </c>
      <c r="N4207">
        <v>0</v>
      </c>
      <c r="O4207">
        <v>-2.9479809999999999E-2</v>
      </c>
      <c r="P4207">
        <v>0.97499309999999995</v>
      </c>
      <c r="Q4207">
        <v>7.092063E-3</v>
      </c>
      <c r="R4207">
        <v>-0.22212280000000001</v>
      </c>
      <c r="S4207">
        <v>2.7913509999999899</v>
      </c>
      <c r="T4207">
        <v>-0.49038359999999898</v>
      </c>
      <c r="U4207">
        <v>-1.287415</v>
      </c>
      <c r="V4207">
        <v>0.19348589999999999</v>
      </c>
      <c r="W4207">
        <v>2.285264E-2</v>
      </c>
      <c r="X4207">
        <v>0.98083690000000001</v>
      </c>
      <c r="Y4207">
        <v>0.38735039999999998</v>
      </c>
      <c r="Z4207">
        <v>-2.7282879999999999E-2</v>
      </c>
      <c r="AA4207">
        <v>0.92152880000000004</v>
      </c>
      <c r="AB4207">
        <v>36</v>
      </c>
      <c r="AC4207">
        <v>6.13070000000004</v>
      </c>
      <c r="AD4207">
        <v>-1.107147768635</v>
      </c>
      <c r="AE4207">
        <v>-2.90049</v>
      </c>
      <c r="AF4207">
        <v>2.6479064160365402</v>
      </c>
      <c r="AG4207">
        <v>-1.107147768635</v>
      </c>
      <c r="AH4207">
        <v>6.0522713913167596</v>
      </c>
      <c r="AI4207">
        <v>99.513963355043799</v>
      </c>
      <c r="AJ4207">
        <v>66.370322849083394</v>
      </c>
      <c r="AK4207">
        <v>6.6982963180074604</v>
      </c>
    </row>
    <row r="4208" spans="1:37" x14ac:dyDescent="0.2">
      <c r="A4208" t="str">
        <f>"20200111154148057"</f>
        <v>20200111154148057</v>
      </c>
      <c r="B4208" t="str">
        <f>"1578728508049998"</f>
        <v>1578728508049998</v>
      </c>
      <c r="C4208" t="s">
        <v>37</v>
      </c>
      <c r="D4208">
        <v>5.863448</v>
      </c>
      <c r="E4208">
        <v>0.58431679999999997</v>
      </c>
      <c r="F4208" t="s">
        <v>39</v>
      </c>
      <c r="G4208">
        <v>-321.23899999999998</v>
      </c>
      <c r="H4208" s="1">
        <v>-4.9888670000000004E-6</v>
      </c>
      <c r="I4208">
        <v>14.728529999999999</v>
      </c>
      <c r="J4208">
        <v>-327.58679999999998</v>
      </c>
      <c r="K4208">
        <v>1.10702099999999</v>
      </c>
      <c r="L4208">
        <v>17.799990000000001</v>
      </c>
      <c r="M4208">
        <v>0.99934179999999995</v>
      </c>
      <c r="N4208">
        <v>0</v>
      </c>
      <c r="O4208">
        <v>-3.166571E-2</v>
      </c>
      <c r="P4208">
        <v>0.97373019999999999</v>
      </c>
      <c r="Q4208">
        <v>6.76210599999999E-3</v>
      </c>
      <c r="R4208">
        <v>-0.22760520000000001</v>
      </c>
      <c r="S4208">
        <v>2.7816160000000001</v>
      </c>
      <c r="T4208">
        <v>-0.47164060000000002</v>
      </c>
      <c r="U4208">
        <v>-1.311523</v>
      </c>
      <c r="V4208">
        <v>0.19686110000000001</v>
      </c>
      <c r="W4208">
        <v>2.2342560000000001E-2</v>
      </c>
      <c r="X4208">
        <v>0.98017679999999996</v>
      </c>
      <c r="Y4208">
        <v>0.39339600000000002</v>
      </c>
      <c r="Z4208">
        <v>-2.642572E-2</v>
      </c>
      <c r="AA4208">
        <v>0.91898919999999995</v>
      </c>
      <c r="AB4208">
        <v>36</v>
      </c>
      <c r="AC4208">
        <v>6.3477999999999497</v>
      </c>
      <c r="AD4208">
        <v>-1.10702598886699</v>
      </c>
      <c r="AE4208">
        <v>-3.0714600000000001</v>
      </c>
      <c r="AF4208">
        <v>2.7998799543933499</v>
      </c>
      <c r="AG4208">
        <v>-1.10702598886699</v>
      </c>
      <c r="AH4208">
        <v>6.2869552695091704</v>
      </c>
      <c r="AI4208">
        <v>99.137908735747402</v>
      </c>
      <c r="AJ4208">
        <v>65.994317796691107</v>
      </c>
      <c r="AK4208">
        <v>6.9706987354102301</v>
      </c>
    </row>
    <row r="4209" spans="1:37" x14ac:dyDescent="0.2">
      <c r="A4209" t="str">
        <f>"20200111154148069"</f>
        <v>20200111154148069</v>
      </c>
      <c r="B4209" t="str">
        <f>"1578728508059759"</f>
        <v>1578728508059759</v>
      </c>
      <c r="C4209" t="s">
        <v>37</v>
      </c>
      <c r="D4209">
        <v>5.889958</v>
      </c>
      <c r="E4209">
        <v>0.58448149999999999</v>
      </c>
      <c r="F4209" t="s">
        <v>39</v>
      </c>
      <c r="G4209">
        <v>-320.75670000000002</v>
      </c>
      <c r="H4209" s="1">
        <v>-5.2552140000000001E-6</v>
      </c>
      <c r="I4209">
        <v>14.51216</v>
      </c>
      <c r="J4209">
        <v>-327.41129999999998</v>
      </c>
      <c r="K4209">
        <v>1.1068959999999901</v>
      </c>
      <c r="L4209">
        <v>17.79251</v>
      </c>
      <c r="M4209">
        <v>0.99927219999999894</v>
      </c>
      <c r="N4209">
        <v>0</v>
      </c>
      <c r="O4209">
        <v>-3.3836669999999999E-2</v>
      </c>
      <c r="P4209">
        <v>0.97254099999999999</v>
      </c>
      <c r="Q4209">
        <v>6.6000299999999998E-3</v>
      </c>
      <c r="R4209">
        <v>-0.2326384</v>
      </c>
      <c r="S4209">
        <v>2.772125</v>
      </c>
      <c r="T4209">
        <v>-0.44931320000000002</v>
      </c>
      <c r="U4209">
        <v>-1.3344419999999999</v>
      </c>
      <c r="V4209">
        <v>0.19980479999999901</v>
      </c>
      <c r="W4209">
        <v>2.2009330000000001E-2</v>
      </c>
      <c r="X4209">
        <v>0.97958849999999997</v>
      </c>
      <c r="Y4209">
        <v>0.39913969999999999</v>
      </c>
      <c r="Z4209">
        <v>-2.5332609999999998E-2</v>
      </c>
      <c r="AA4209">
        <v>0.91654009999999997</v>
      </c>
      <c r="AB4209">
        <v>36</v>
      </c>
      <c r="AC4209">
        <v>6.6545999999999497</v>
      </c>
      <c r="AD4209">
        <v>-1.1069012552139901</v>
      </c>
      <c r="AE4209">
        <v>-3.2803499999999999</v>
      </c>
      <c r="AF4209">
        <v>2.9867839108200598</v>
      </c>
      <c r="AG4209">
        <v>-1.1069012552139901</v>
      </c>
      <c r="AH4209">
        <v>6.6145682385825699</v>
      </c>
      <c r="AI4209">
        <v>98.671654752103095</v>
      </c>
      <c r="AJ4209">
        <v>65.698619743579798</v>
      </c>
      <c r="AK4209">
        <v>7.3415680546865003</v>
      </c>
    </row>
    <row r="4210" spans="1:37" x14ac:dyDescent="0.2">
      <c r="A4210" t="str">
        <f>"20200111154148080"</f>
        <v>20200111154148080</v>
      </c>
      <c r="B4210" t="str">
        <f>"1578728508070494"</f>
        <v>1578728508070494</v>
      </c>
      <c r="C4210" t="s">
        <v>37</v>
      </c>
      <c r="D4210">
        <v>5.8965100000000001</v>
      </c>
      <c r="E4210">
        <v>0.58420289999999997</v>
      </c>
      <c r="F4210" t="s">
        <v>39</v>
      </c>
      <c r="G4210">
        <v>-320.3689</v>
      </c>
      <c r="H4210" s="1">
        <v>-5.467009E-6</v>
      </c>
      <c r="I4210">
        <v>14.35181</v>
      </c>
      <c r="J4210">
        <v>-327.23660000000001</v>
      </c>
      <c r="K4210">
        <v>1.1067769999999999</v>
      </c>
      <c r="L4210">
        <v>17.784759999999999</v>
      </c>
      <c r="M4210">
        <v>0.99919639999999998</v>
      </c>
      <c r="N4210">
        <v>0</v>
      </c>
      <c r="O4210">
        <v>-3.6044260000000002E-2</v>
      </c>
      <c r="P4210">
        <v>0.9713444</v>
      </c>
      <c r="Q4210">
        <v>6.3437509999999999E-3</v>
      </c>
      <c r="R4210">
        <v>-0.23759240000000001</v>
      </c>
      <c r="S4210">
        <v>2.764526</v>
      </c>
      <c r="T4210">
        <v>-0.43451430000000002</v>
      </c>
      <c r="U4210">
        <v>-1.3506469999999999</v>
      </c>
      <c r="V4210">
        <v>0.2026357</v>
      </c>
      <c r="W4210">
        <v>2.1582179999999999E-2</v>
      </c>
      <c r="X4210">
        <v>0.97901640000000001</v>
      </c>
      <c r="Y4210">
        <v>0.40267609999999998</v>
      </c>
      <c r="Z4210">
        <v>-2.4474269999999999E-2</v>
      </c>
      <c r="AA4210">
        <v>0.91501529999999998</v>
      </c>
      <c r="AB4210">
        <v>36</v>
      </c>
      <c r="AC4210">
        <v>6.8677000000000099</v>
      </c>
      <c r="AD4210">
        <v>-1.1067824670090001</v>
      </c>
      <c r="AE4210">
        <v>-3.4329499999999999</v>
      </c>
      <c r="AF4210">
        <v>3.1183414248491599</v>
      </c>
      <c r="AG4210">
        <v>-1.1067824670090001</v>
      </c>
      <c r="AH4210">
        <v>6.84476163392267</v>
      </c>
      <c r="AI4210">
        <v>98.370817705886196</v>
      </c>
      <c r="AJ4210">
        <v>65.506905022074406</v>
      </c>
      <c r="AK4210">
        <v>7.6026168189925603</v>
      </c>
    </row>
    <row r="4211" spans="1:37" x14ac:dyDescent="0.2">
      <c r="A4211" t="str">
        <f>"20200111154148091"</f>
        <v>20200111154148091</v>
      </c>
      <c r="B4211" t="str">
        <f>"1578728508080255"</f>
        <v>1578728508080255</v>
      </c>
      <c r="C4211" t="s">
        <v>37</v>
      </c>
      <c r="D4211">
        <v>5.9143099999999897</v>
      </c>
      <c r="E4211">
        <v>0.58392169999999999</v>
      </c>
      <c r="F4211" t="s">
        <v>39</v>
      </c>
      <c r="G4211">
        <v>-320.16109999999998</v>
      </c>
      <c r="H4211" s="1">
        <v>-5.5765220000000001E-6</v>
      </c>
      <c r="I4211">
        <v>14.2881</v>
      </c>
      <c r="J4211">
        <v>-327.05709999999999</v>
      </c>
      <c r="K4211">
        <v>1.106654</v>
      </c>
      <c r="L4211">
        <v>17.776150000000001</v>
      </c>
      <c r="M4211">
        <v>0.9991101</v>
      </c>
      <c r="N4211">
        <v>0</v>
      </c>
      <c r="O4211">
        <v>-3.8403800000000002E-2</v>
      </c>
      <c r="P4211">
        <v>0.97006139999999996</v>
      </c>
      <c r="Q4211">
        <v>6.0153719999999997E-3</v>
      </c>
      <c r="R4211">
        <v>-0.24278649999999999</v>
      </c>
      <c r="S4211">
        <v>2.7579349999999998</v>
      </c>
      <c r="T4211">
        <v>-0.43140709999999999</v>
      </c>
      <c r="U4211">
        <v>-1.362946</v>
      </c>
      <c r="V4211">
        <v>0.20556369999999999</v>
      </c>
      <c r="W4211">
        <v>2.1075900000000002E-2</v>
      </c>
      <c r="X4211">
        <v>0.97841669999999903</v>
      </c>
      <c r="Y4211">
        <v>0.40471360000000001</v>
      </c>
      <c r="Z4211">
        <v>-2.4134860000000001E-2</v>
      </c>
      <c r="AA4211">
        <v>0.91412499999999997</v>
      </c>
      <c r="AB4211">
        <v>36</v>
      </c>
      <c r="AC4211">
        <v>6.8960000000000097</v>
      </c>
      <c r="AD4211">
        <v>-1.106659576522</v>
      </c>
      <c r="AE4211">
        <v>-3.4880499999999999</v>
      </c>
      <c r="AF4211">
        <v>3.15588594686337</v>
      </c>
      <c r="AG4211">
        <v>-1.106659576522</v>
      </c>
      <c r="AH4211">
        <v>6.88372262746846</v>
      </c>
      <c r="AI4211">
        <v>98.314277397867897</v>
      </c>
      <c r="AJ4211">
        <v>65.370613522694597</v>
      </c>
      <c r="AK4211">
        <v>7.65310059647976</v>
      </c>
    </row>
    <row r="4212" spans="1:37" x14ac:dyDescent="0.2">
      <c r="A4212" t="str">
        <f>"20200111154148102"</f>
        <v>20200111154148102</v>
      </c>
      <c r="B4212" t="str">
        <f>"1578728508090015"</f>
        <v>1578728508090015</v>
      </c>
      <c r="C4212" t="s">
        <v>37</v>
      </c>
      <c r="D4212">
        <v>5.9588960000000002</v>
      </c>
      <c r="E4212">
        <v>0.58305600000000002</v>
      </c>
      <c r="F4212" t="s">
        <v>39</v>
      </c>
      <c r="G4212">
        <v>-319.96480000000003</v>
      </c>
      <c r="H4212" s="1">
        <v>-5.6798530000000002E-6</v>
      </c>
      <c r="I4212">
        <v>14.22884</v>
      </c>
      <c r="J4212">
        <v>-326.88010000000003</v>
      </c>
      <c r="K4212">
        <v>1.1065290000000001</v>
      </c>
      <c r="L4212">
        <v>17.767489999999999</v>
      </c>
      <c r="M4212">
        <v>0.99901830000000003</v>
      </c>
      <c r="N4212">
        <v>0</v>
      </c>
      <c r="O4212">
        <v>-4.0759179999999999E-2</v>
      </c>
      <c r="P4212">
        <v>0.96880049999999995</v>
      </c>
      <c r="Q4212">
        <v>5.6631829999999996E-3</v>
      </c>
      <c r="R4212">
        <v>-0.24777739999999901</v>
      </c>
      <c r="S4212">
        <v>2.7508849999999998</v>
      </c>
      <c r="T4212">
        <v>-0.42923640000000002</v>
      </c>
      <c r="U4212">
        <v>-1.375885</v>
      </c>
      <c r="V4212">
        <v>0.20829529999999999</v>
      </c>
      <c r="W4212">
        <v>2.0547679999999999E-2</v>
      </c>
      <c r="X4212">
        <v>0.97785010000000006</v>
      </c>
      <c r="Y4212">
        <v>0.40696659999999901</v>
      </c>
      <c r="Z4212">
        <v>-2.3867550000000001E-2</v>
      </c>
      <c r="AA4212">
        <v>0.91313120000000003</v>
      </c>
      <c r="AB4212">
        <v>36</v>
      </c>
      <c r="AC4212">
        <v>6.9153000000000002</v>
      </c>
      <c r="AD4212">
        <v>-1.106534679853</v>
      </c>
      <c r="AE4212">
        <v>-3.5386499999999899</v>
      </c>
      <c r="AF4212">
        <v>3.18909465993146</v>
      </c>
      <c r="AG4212">
        <v>-1.106534679853</v>
      </c>
      <c r="AH4212">
        <v>6.9135245803857401</v>
      </c>
      <c r="AI4212">
        <v>98.269257508179095</v>
      </c>
      <c r="AJ4212">
        <v>65.236904538463804</v>
      </c>
      <c r="AK4212">
        <v>7.6936055183066498</v>
      </c>
    </row>
    <row r="4213" spans="1:37" x14ac:dyDescent="0.2">
      <c r="A4213" t="str">
        <f>"20200111154148114"</f>
        <v>20200111154148114</v>
      </c>
      <c r="B4213" t="str">
        <f>"1578728508110511"</f>
        <v>1578728508110511</v>
      </c>
      <c r="C4213" t="s">
        <v>37</v>
      </c>
      <c r="D4213">
        <v>5.9296290000000003</v>
      </c>
      <c r="E4213">
        <v>0.58142019999999905</v>
      </c>
      <c r="F4213" t="s">
        <v>40</v>
      </c>
      <c r="G4213">
        <v>-319.50790000000001</v>
      </c>
      <c r="H4213">
        <v>-0.05</v>
      </c>
      <c r="I4213">
        <v>14.052060000000001</v>
      </c>
      <c r="J4213">
        <v>-326.7047</v>
      </c>
      <c r="K4213">
        <v>1.1064020000000001</v>
      </c>
      <c r="L4213">
        <v>17.75806</v>
      </c>
      <c r="M4213">
        <v>0.99891640000000004</v>
      </c>
      <c r="N4213">
        <v>0</v>
      </c>
      <c r="O4213">
        <v>-4.3213889999999998E-2</v>
      </c>
      <c r="P4213">
        <v>0.96749019999999997</v>
      </c>
      <c r="Q4213">
        <v>5.5513740000000004E-3</v>
      </c>
      <c r="R4213">
        <v>-0.25284820000000002</v>
      </c>
      <c r="S4213">
        <v>2.7452999999999999</v>
      </c>
      <c r="T4213">
        <v>-0.43067669999999902</v>
      </c>
      <c r="U4213">
        <v>-1.383575</v>
      </c>
      <c r="V4213">
        <v>0.21101779999999901</v>
      </c>
      <c r="W4213">
        <v>2.0260210000000001E-2</v>
      </c>
      <c r="X4213">
        <v>0.97727219999999904</v>
      </c>
      <c r="Y4213">
        <v>0.40749970000000002</v>
      </c>
      <c r="Z4213">
        <v>-2.3655799999999901E-2</v>
      </c>
      <c r="AA4213">
        <v>0.91289889999999996</v>
      </c>
      <c r="AB4213">
        <v>36</v>
      </c>
      <c r="AC4213">
        <v>7.1967999999999899</v>
      </c>
      <c r="AD4213">
        <v>-1.1564019999999999</v>
      </c>
      <c r="AE4213">
        <v>-3.706</v>
      </c>
      <c r="AF4213">
        <v>3.32366142749808</v>
      </c>
      <c r="AG4213">
        <v>-1.1564019999999999</v>
      </c>
      <c r="AH4213">
        <v>7.2032498240543399</v>
      </c>
      <c r="AI4213">
        <v>98.293584666432807</v>
      </c>
      <c r="AJ4213">
        <v>65.230862394968696</v>
      </c>
      <c r="AK4213">
        <v>8.0169070655697094</v>
      </c>
    </row>
    <row r="4214" spans="1:37" x14ac:dyDescent="0.2">
      <c r="A4214" t="str">
        <f>"20200111154148136"</f>
        <v>20200111154148136</v>
      </c>
      <c r="B4214" t="str">
        <f>"1578728508130033"</f>
        <v>1578728508130033</v>
      </c>
      <c r="C4214" t="s">
        <v>37</v>
      </c>
      <c r="D4214">
        <v>5.6771699999999896</v>
      </c>
      <c r="E4214">
        <v>0.58445849999999999</v>
      </c>
      <c r="F4214" t="s">
        <v>40</v>
      </c>
      <c r="G4214">
        <v>-319.38830000000002</v>
      </c>
      <c r="H4214">
        <v>-0.05</v>
      </c>
      <c r="I4214">
        <v>14.059710000000001</v>
      </c>
      <c r="J4214">
        <v>-326.34100000000001</v>
      </c>
      <c r="K4214">
        <v>1.106134</v>
      </c>
      <c r="L4214">
        <v>17.73734</v>
      </c>
      <c r="M4214">
        <v>0.9986775</v>
      </c>
      <c r="N4214">
        <v>0</v>
      </c>
      <c r="O4214">
        <v>-4.8481639999999999E-2</v>
      </c>
      <c r="P4214">
        <v>0.96451350000000002</v>
      </c>
      <c r="Q4214">
        <v>5.3400979999999997E-3</v>
      </c>
      <c r="R4214">
        <v>-0.26397959999999998</v>
      </c>
      <c r="S4214">
        <v>2.7411500000000002</v>
      </c>
      <c r="T4214">
        <v>-0.43325649999999899</v>
      </c>
      <c r="U4214">
        <v>-1.3856200000000001</v>
      </c>
      <c r="V4214">
        <v>0.21712999999999999</v>
      </c>
      <c r="W4214">
        <v>1.966714E-2</v>
      </c>
      <c r="X4214">
        <v>0.97594449999999999</v>
      </c>
      <c r="Y4214">
        <v>0.40382639999999997</v>
      </c>
      <c r="Z4214">
        <v>-2.2775380000000001E-2</v>
      </c>
      <c r="AA4214">
        <v>0.91455209999999998</v>
      </c>
      <c r="AB4214">
        <v>36</v>
      </c>
      <c r="AC4214">
        <v>6.9526999999999903</v>
      </c>
      <c r="AD4214">
        <v>-1.156134</v>
      </c>
      <c r="AE4214">
        <v>-3.67762999999999</v>
      </c>
      <c r="AF4214">
        <v>3.2656199661216201</v>
      </c>
      <c r="AG4214">
        <v>-1.156134</v>
      </c>
      <c r="AH4214">
        <v>6.9722049771285697</v>
      </c>
      <c r="AI4214">
        <v>98.540017279049707</v>
      </c>
      <c r="AJ4214">
        <v>64.902692297349404</v>
      </c>
      <c r="AK4214">
        <v>7.7854069792262397</v>
      </c>
    </row>
    <row r="4215" spans="1:37" x14ac:dyDescent="0.2">
      <c r="A4215" t="str">
        <f>"20200111154148147"</f>
        <v>20200111154148147</v>
      </c>
      <c r="B4215" t="str">
        <f>"1578728508140767"</f>
        <v>1578728508140767</v>
      </c>
      <c r="C4215" t="s">
        <v>37</v>
      </c>
      <c r="D4215">
        <v>5.6523519999999996</v>
      </c>
      <c r="E4215">
        <v>0.58554300000000004</v>
      </c>
      <c r="F4215" t="s">
        <v>40</v>
      </c>
      <c r="G4215">
        <v>-318.3218</v>
      </c>
      <c r="H4215">
        <v>-0.05</v>
      </c>
      <c r="I4215">
        <v>13.486179999999999</v>
      </c>
      <c r="J4215">
        <v>-326.16359999999997</v>
      </c>
      <c r="K4215">
        <v>1.105993</v>
      </c>
      <c r="L4215">
        <v>17.72644</v>
      </c>
      <c r="M4215">
        <v>0.99854489999999996</v>
      </c>
      <c r="N4215">
        <v>0</v>
      </c>
      <c r="O4215">
        <v>-5.1164319999999999E-2</v>
      </c>
      <c r="P4215">
        <v>0.96297730000000004</v>
      </c>
      <c r="Q4215">
        <v>5.192973E-3</v>
      </c>
      <c r="R4215">
        <v>-0.26953329999999998</v>
      </c>
      <c r="S4215">
        <v>2.71814</v>
      </c>
      <c r="T4215">
        <v>-0.3918758</v>
      </c>
      <c r="U4215">
        <v>-1.4409479999999999</v>
      </c>
      <c r="V4215">
        <v>0.220135</v>
      </c>
      <c r="W4215">
        <v>1.9328169999999999E-2</v>
      </c>
      <c r="X4215">
        <v>0.97527790000000003</v>
      </c>
      <c r="Y4215">
        <v>0.41959600000000002</v>
      </c>
      <c r="Z4215">
        <v>-2.1387389999999999E-2</v>
      </c>
      <c r="AA4215">
        <v>0.90745900000000002</v>
      </c>
      <c r="AB4215">
        <v>35</v>
      </c>
      <c r="AC4215">
        <v>7.8417999999999699</v>
      </c>
      <c r="AD4215">
        <v>-1.155993</v>
      </c>
      <c r="AE4215">
        <v>-4.2402600000000001</v>
      </c>
      <c r="AF4215">
        <v>3.7700343485019201</v>
      </c>
      <c r="AG4215">
        <v>-1.155993</v>
      </c>
      <c r="AH4215">
        <v>7.9154129719630504</v>
      </c>
      <c r="AI4215">
        <v>97.511214041369996</v>
      </c>
      <c r="AJ4215">
        <v>64.531993257714504</v>
      </c>
      <c r="AK4215">
        <v>8.8432596547683904</v>
      </c>
    </row>
    <row r="4216" spans="1:37" x14ac:dyDescent="0.2">
      <c r="A4216" t="str">
        <f>"20200111154148158"</f>
        <v>20200111154148158</v>
      </c>
      <c r="B4216" t="str">
        <f>"1578728508150526"</f>
        <v>1578728508150526</v>
      </c>
      <c r="C4216" t="s">
        <v>37</v>
      </c>
      <c r="D4216">
        <v>5.7275679999999998</v>
      </c>
      <c r="E4216">
        <v>0.58646999999999905</v>
      </c>
      <c r="F4216" t="s">
        <v>40</v>
      </c>
      <c r="G4216">
        <v>-317.8383</v>
      </c>
      <c r="H4216">
        <v>-0.05</v>
      </c>
      <c r="I4216">
        <v>13.22115</v>
      </c>
      <c r="J4216">
        <v>-325.98770000000002</v>
      </c>
      <c r="K4216">
        <v>1.1058490000000001</v>
      </c>
      <c r="L4216">
        <v>17.715119999999999</v>
      </c>
      <c r="M4216">
        <v>0.99840219999999902</v>
      </c>
      <c r="N4216">
        <v>0</v>
      </c>
      <c r="O4216">
        <v>-5.3902989999999998E-2</v>
      </c>
      <c r="P4216">
        <v>0.96157130000000002</v>
      </c>
      <c r="Q4216">
        <v>4.9181470000000003E-3</v>
      </c>
      <c r="R4216">
        <v>-0.27451120000000001</v>
      </c>
      <c r="S4216">
        <v>2.707306</v>
      </c>
      <c r="T4216">
        <v>-0.37592039999999999</v>
      </c>
      <c r="U4216">
        <v>-1.4650879999999999</v>
      </c>
      <c r="V4216">
        <v>0.22250700000000001</v>
      </c>
      <c r="W4216">
        <v>1.886811E-2</v>
      </c>
      <c r="X4216">
        <v>0.97474850000000002</v>
      </c>
      <c r="Y4216">
        <v>0.42509570000000002</v>
      </c>
      <c r="Z4216">
        <v>-2.0559850000000001E-2</v>
      </c>
      <c r="AA4216">
        <v>0.90491489999999997</v>
      </c>
      <c r="AB4216">
        <v>35</v>
      </c>
      <c r="AC4216">
        <v>8.1494000000000106</v>
      </c>
      <c r="AD4216">
        <v>-1.1558489999999999</v>
      </c>
      <c r="AE4216">
        <v>-4.49397</v>
      </c>
      <c r="AF4216">
        <v>3.9865988581417899</v>
      </c>
      <c r="AG4216">
        <v>-1.1558489999999999</v>
      </c>
      <c r="AH4216">
        <v>8.25252204390255</v>
      </c>
      <c r="AI4216">
        <v>97.187946259213106</v>
      </c>
      <c r="AJ4216">
        <v>64.215906895018193</v>
      </c>
      <c r="AK4216">
        <v>9.2375904570204792</v>
      </c>
    </row>
    <row r="4217" spans="1:37" x14ac:dyDescent="0.2">
      <c r="A4217" t="str">
        <f>"20200111154148170"</f>
        <v>20200111154148170</v>
      </c>
      <c r="B4217" t="str">
        <f>"1578728508160286"</f>
        <v>1578728508160286</v>
      </c>
      <c r="C4217" t="s">
        <v>37</v>
      </c>
      <c r="D4217">
        <v>5.7241140000000001</v>
      </c>
      <c r="E4217">
        <v>0.58701309999999995</v>
      </c>
      <c r="F4217" t="s">
        <v>40</v>
      </c>
      <c r="G4217">
        <v>-317.43549999999999</v>
      </c>
      <c r="H4217">
        <v>-0.05</v>
      </c>
      <c r="I4217">
        <v>13.002269999999999</v>
      </c>
      <c r="J4217">
        <v>-325.81110000000001</v>
      </c>
      <c r="K4217">
        <v>1.1056999999999999</v>
      </c>
      <c r="L4217">
        <v>17.703060000000001</v>
      </c>
      <c r="M4217">
        <v>0.99824639999999998</v>
      </c>
      <c r="N4217">
        <v>0</v>
      </c>
      <c r="O4217">
        <v>-5.6741229999999997E-2</v>
      </c>
      <c r="P4217">
        <v>0.960170999999999</v>
      </c>
      <c r="Q4217">
        <v>4.361574E-3</v>
      </c>
      <c r="R4217">
        <v>-0.27938000000000002</v>
      </c>
      <c r="S4217">
        <v>2.6973880000000001</v>
      </c>
      <c r="T4217">
        <v>-0.36455859999999901</v>
      </c>
      <c r="U4217">
        <v>-1.48645</v>
      </c>
      <c r="V4217">
        <v>0.22467309999999999</v>
      </c>
      <c r="W4217">
        <v>1.812389E-2</v>
      </c>
      <c r="X4217">
        <v>0.97426559999999995</v>
      </c>
      <c r="Y4217">
        <v>0.42957519999999999</v>
      </c>
      <c r="Z4217">
        <v>-1.9899960000000001E-2</v>
      </c>
      <c r="AA4217">
        <v>0.90281180000000005</v>
      </c>
      <c r="AB4217">
        <v>35</v>
      </c>
      <c r="AC4217">
        <v>8.3756000000000199</v>
      </c>
      <c r="AD4217">
        <v>-1.1556999999999999</v>
      </c>
      <c r="AE4217">
        <v>-4.7007899999999996</v>
      </c>
      <c r="AF4217">
        <v>4.1577063806646004</v>
      </c>
      <c r="AG4217">
        <v>-1.1556999999999999</v>
      </c>
      <c r="AH4217">
        <v>8.5057163200122403</v>
      </c>
      <c r="AI4217">
        <v>96.959670054136694</v>
      </c>
      <c r="AJ4217">
        <v>63.950005057422402</v>
      </c>
      <c r="AK4217">
        <v>9.5377866905452304</v>
      </c>
    </row>
    <row r="4218" spans="1:37" x14ac:dyDescent="0.2">
      <c r="A4218" t="str">
        <f>"20200111154148181"</f>
        <v>20200111154148181</v>
      </c>
      <c r="B4218" t="str">
        <f>"1578728508170047"</f>
        <v>1578728508170047</v>
      </c>
      <c r="C4218" t="s">
        <v>37</v>
      </c>
      <c r="D4218">
        <v>5.6813909999999996</v>
      </c>
      <c r="E4218">
        <v>0.58758290000000002</v>
      </c>
      <c r="F4218" t="s">
        <v>40</v>
      </c>
      <c r="G4218">
        <v>-317.07490000000001</v>
      </c>
      <c r="H4218">
        <v>-0.05</v>
      </c>
      <c r="I4218">
        <v>12.813800000000001</v>
      </c>
      <c r="J4218">
        <v>-325.63209999999998</v>
      </c>
      <c r="K4218">
        <v>1.105545</v>
      </c>
      <c r="L4218">
        <v>17.690519999999999</v>
      </c>
      <c r="M4218">
        <v>0.99807679999999999</v>
      </c>
      <c r="N4218">
        <v>0</v>
      </c>
      <c r="O4218">
        <v>-5.9672240000000001E-2</v>
      </c>
      <c r="P4218">
        <v>0.9588295</v>
      </c>
      <c r="Q4218">
        <v>3.7486540000000001E-3</v>
      </c>
      <c r="R4218">
        <v>-0.28395740000000003</v>
      </c>
      <c r="S4218">
        <v>2.6883240000000002</v>
      </c>
      <c r="T4218">
        <v>-0.35563699999999998</v>
      </c>
      <c r="U4218">
        <v>-1.5045469999999901</v>
      </c>
      <c r="V4218">
        <v>0.22645749999999901</v>
      </c>
      <c r="W4218">
        <v>1.7324840000000001E-2</v>
      </c>
      <c r="X4218">
        <v>0.97386689999999998</v>
      </c>
      <c r="Y4218">
        <v>0.43296859999999998</v>
      </c>
      <c r="Z4218">
        <v>-1.929577E-2</v>
      </c>
      <c r="AA4218">
        <v>0.90120250000000002</v>
      </c>
      <c r="AB4218">
        <v>35</v>
      </c>
      <c r="AC4218">
        <v>8.5571999999999608</v>
      </c>
      <c r="AD4218">
        <v>-1.155545</v>
      </c>
      <c r="AE4218">
        <v>-4.8767199999999997</v>
      </c>
      <c r="AF4218">
        <v>4.29816522937102</v>
      </c>
      <c r="AG4218">
        <v>-1.155545</v>
      </c>
      <c r="AH4218">
        <v>8.7130603910213509</v>
      </c>
      <c r="AI4218">
        <v>96.782773080789497</v>
      </c>
      <c r="AJ4218">
        <v>63.742810176522902</v>
      </c>
      <c r="AK4218">
        <v>9.7840140005819798</v>
      </c>
    </row>
    <row r="4219" spans="1:37" x14ac:dyDescent="0.2">
      <c r="A4219" t="str">
        <f>"20200111154148192"</f>
        <v>20200111154148192</v>
      </c>
      <c r="B4219" t="str">
        <f>"1578728508180313"</f>
        <v>1578728508180313</v>
      </c>
      <c r="C4219" t="s">
        <v>37</v>
      </c>
      <c r="D4219">
        <v>5.6911680000000002</v>
      </c>
      <c r="E4219">
        <v>0.58810059999999997</v>
      </c>
      <c r="F4219" t="s">
        <v>40</v>
      </c>
      <c r="G4219">
        <v>-316.68920000000003</v>
      </c>
      <c r="H4219">
        <v>-0.05</v>
      </c>
      <c r="I4219">
        <v>12.609310000000001</v>
      </c>
      <c r="J4219">
        <v>-325.46679999999998</v>
      </c>
      <c r="K4219">
        <v>1.1053930000000001</v>
      </c>
      <c r="L4219">
        <v>17.678129999999999</v>
      </c>
      <c r="M4219">
        <v>0.99790499999999904</v>
      </c>
      <c r="N4219">
        <v>0</v>
      </c>
      <c r="O4219">
        <v>-6.2501619999999994E-2</v>
      </c>
      <c r="P4219">
        <v>0.95745519999999995</v>
      </c>
      <c r="Q4219">
        <v>3.3520609999999999E-3</v>
      </c>
      <c r="R4219">
        <v>-0.28856290000000001</v>
      </c>
      <c r="S4219">
        <v>2.6793520000000002</v>
      </c>
      <c r="T4219">
        <v>-0.34621069999999998</v>
      </c>
      <c r="U4219">
        <v>-1.5223690000000001</v>
      </c>
      <c r="V4219">
        <v>0.22837660000000001</v>
      </c>
      <c r="W4219">
        <v>1.6738409999999999E-2</v>
      </c>
      <c r="X4219">
        <v>0.97342899999999999</v>
      </c>
      <c r="Y4219">
        <v>0.43636409999999998</v>
      </c>
      <c r="Z4219">
        <v>-1.868187E-2</v>
      </c>
      <c r="AA4219">
        <v>0.89957619999999905</v>
      </c>
      <c r="AB4219">
        <v>35</v>
      </c>
      <c r="AC4219">
        <v>8.7775999999999499</v>
      </c>
      <c r="AD4219">
        <v>-1.1553929999999999</v>
      </c>
      <c r="AE4219">
        <v>-5.0688199999999899</v>
      </c>
      <c r="AF4219">
        <v>4.4523647580493</v>
      </c>
      <c r="AG4219">
        <v>-1.1553929999999999</v>
      </c>
      <c r="AH4219">
        <v>8.9608553706666392</v>
      </c>
      <c r="AI4219">
        <v>96.586759020198599</v>
      </c>
      <c r="AJ4219">
        <v>63.578676229363701</v>
      </c>
      <c r="AK4219">
        <v>10.0725078256198</v>
      </c>
    </row>
    <row r="4220" spans="1:37" x14ac:dyDescent="0.2">
      <c r="A4220" t="str">
        <f>"20200111154148201"</f>
        <v>20200111154148201</v>
      </c>
      <c r="B4220" t="str">
        <f>"1578728508190074"</f>
        <v>1578728508190074</v>
      </c>
      <c r="C4220" t="s">
        <v>37</v>
      </c>
      <c r="D4220">
        <v>5.7277279999999999</v>
      </c>
      <c r="E4220">
        <v>0.58844879999999999</v>
      </c>
      <c r="F4220" t="s">
        <v>40</v>
      </c>
      <c r="G4220">
        <v>-316.3168</v>
      </c>
      <c r="H4220">
        <v>-0.05</v>
      </c>
      <c r="I4220">
        <v>12.403169999999999</v>
      </c>
      <c r="J4220">
        <v>-325.2937</v>
      </c>
      <c r="K4220">
        <v>1.1052360000000001</v>
      </c>
      <c r="L4220">
        <v>17.664919999999999</v>
      </c>
      <c r="M4220">
        <v>0.99771480000000001</v>
      </c>
      <c r="N4220">
        <v>0</v>
      </c>
      <c r="O4220">
        <v>-6.5494659999999996E-2</v>
      </c>
      <c r="P4220">
        <v>0.95606049999999998</v>
      </c>
      <c r="Q4220">
        <v>2.5427700000000002E-3</v>
      </c>
      <c r="R4220">
        <v>-0.29315849999999999</v>
      </c>
      <c r="S4220">
        <v>2.6705320000000001</v>
      </c>
      <c r="T4220">
        <v>-0.33721259999999997</v>
      </c>
      <c r="U4220">
        <v>-1.5395509999999999</v>
      </c>
      <c r="V4220">
        <v>0.2301262</v>
      </c>
      <c r="W4220">
        <v>1.5729079999999999E-2</v>
      </c>
      <c r="X4220">
        <v>0.9730337</v>
      </c>
      <c r="Y4220">
        <v>0.43941269999999999</v>
      </c>
      <c r="Z4220">
        <v>-1.8056699999999998E-2</v>
      </c>
      <c r="AA4220">
        <v>0.89810380000000001</v>
      </c>
      <c r="AB4220">
        <v>35</v>
      </c>
      <c r="AC4220">
        <v>8.9769000000000005</v>
      </c>
      <c r="AD4220">
        <v>-1.1552359999999999</v>
      </c>
      <c r="AE4220">
        <v>-5.2617500000000001</v>
      </c>
      <c r="AF4220">
        <v>4.6056590103252599</v>
      </c>
      <c r="AG4220">
        <v>-1.1552359999999999</v>
      </c>
      <c r="AH4220">
        <v>9.1890186212209297</v>
      </c>
      <c r="AI4220">
        <v>96.412679548296197</v>
      </c>
      <c r="AJ4220">
        <v>63.379358936158901</v>
      </c>
      <c r="AK4220">
        <v>10.343342223683299</v>
      </c>
    </row>
    <row r="4221" spans="1:37" x14ac:dyDescent="0.2">
      <c r="A4221" t="str">
        <f>"20200111154148213"</f>
        <v>20200111154148213</v>
      </c>
      <c r="B4221" t="str">
        <f>"1578728508210569"</f>
        <v>1578728508210569</v>
      </c>
      <c r="C4221" t="s">
        <v>37</v>
      </c>
      <c r="D4221">
        <v>5.7262719999999998</v>
      </c>
      <c r="E4221">
        <v>0.58912129999999996</v>
      </c>
      <c r="F4221" t="s">
        <v>40</v>
      </c>
      <c r="G4221">
        <v>-316.04129999999998</v>
      </c>
      <c r="H4221">
        <v>-0.05</v>
      </c>
      <c r="I4221">
        <v>12.25943</v>
      </c>
      <c r="J4221">
        <v>-325.11799999999999</v>
      </c>
      <c r="K4221">
        <v>1.105065</v>
      </c>
      <c r="L4221">
        <v>17.650479999999899</v>
      </c>
      <c r="M4221">
        <v>0.99750190000000005</v>
      </c>
      <c r="N4221">
        <v>0</v>
      </c>
      <c r="O4221">
        <v>-6.8687979999999996E-2</v>
      </c>
      <c r="P4221">
        <v>0.95453080000000001</v>
      </c>
      <c r="Q4221">
        <v>2.1252929999999999E-3</v>
      </c>
      <c r="R4221">
        <v>-0.29810520000000001</v>
      </c>
      <c r="S4221">
        <v>2.661896</v>
      </c>
      <c r="T4221">
        <v>-0.3323585</v>
      </c>
      <c r="U4221">
        <v>-1.555145</v>
      </c>
      <c r="V4221">
        <v>0.2320489</v>
      </c>
      <c r="W4221">
        <v>1.509258E-2</v>
      </c>
      <c r="X4221">
        <v>0.97258699999999998</v>
      </c>
      <c r="Y4221">
        <v>0.44179609999999903</v>
      </c>
      <c r="Z4221">
        <v>-1.759734E-2</v>
      </c>
      <c r="AA4221">
        <v>0.89694289999999999</v>
      </c>
      <c r="AB4221">
        <v>35</v>
      </c>
      <c r="AC4221">
        <v>9.0767000000000095</v>
      </c>
      <c r="AD4221">
        <v>-1.155065</v>
      </c>
      <c r="AE4221">
        <v>-5.3910499999999901</v>
      </c>
      <c r="AF4221">
        <v>4.6985225680687597</v>
      </c>
      <c r="AG4221">
        <v>-1.155065</v>
      </c>
      <c r="AH4221">
        <v>9.3141075467005994</v>
      </c>
      <c r="AI4221">
        <v>96.318179150704594</v>
      </c>
      <c r="AJ4221">
        <v>63.2312360756451</v>
      </c>
      <c r="AK4221">
        <v>10.495851031163699</v>
      </c>
    </row>
    <row r="4222" spans="1:37" x14ac:dyDescent="0.2">
      <c r="A4222" t="str">
        <f>"20200111154148226"</f>
        <v>20200111154148226</v>
      </c>
      <c r="B4222" t="str">
        <f>"1578728508220329"</f>
        <v>1578728508220329</v>
      </c>
      <c r="C4222" t="s">
        <v>37</v>
      </c>
      <c r="D4222">
        <v>5.6860580000000001</v>
      </c>
      <c r="E4222">
        <v>0.58946359999999998</v>
      </c>
      <c r="F4222" t="s">
        <v>40</v>
      </c>
      <c r="G4222">
        <v>-315.66370000000001</v>
      </c>
      <c r="H4222">
        <v>-0.05</v>
      </c>
      <c r="I4222">
        <v>12.03838</v>
      </c>
      <c r="J4222">
        <v>-324.93340000000001</v>
      </c>
      <c r="K4222">
        <v>1.1048830000000001</v>
      </c>
      <c r="L4222">
        <v>17.634979999999999</v>
      </c>
      <c r="M4222">
        <v>0.99726380000000003</v>
      </c>
      <c r="N4222">
        <v>0</v>
      </c>
      <c r="O4222">
        <v>-7.2084129999999996E-2</v>
      </c>
      <c r="P4222">
        <v>0.95288729999999999</v>
      </c>
      <c r="Q4222">
        <v>1.5946459999999999E-3</v>
      </c>
      <c r="R4222">
        <v>-0.3033208</v>
      </c>
      <c r="S4222">
        <v>2.65197799999999</v>
      </c>
      <c r="T4222">
        <v>-0.32400009999999901</v>
      </c>
      <c r="U4222">
        <v>-1.574219</v>
      </c>
      <c r="V4222">
        <v>0.23405239999999999</v>
      </c>
      <c r="W4222">
        <v>1.4329720000000001E-2</v>
      </c>
      <c r="X4222">
        <v>0.97211840000000005</v>
      </c>
      <c r="Y4222">
        <v>0.44509019999999999</v>
      </c>
      <c r="Z4222">
        <v>-1.699144E-2</v>
      </c>
      <c r="AA4222">
        <v>0.89532449999999997</v>
      </c>
      <c r="AB4222">
        <v>35</v>
      </c>
      <c r="AC4222">
        <v>9.2697000000000003</v>
      </c>
      <c r="AD4222">
        <v>-1.1548830000000001</v>
      </c>
      <c r="AE4222">
        <v>-5.5965999999999898</v>
      </c>
      <c r="AF4222">
        <v>4.8584816893900298</v>
      </c>
      <c r="AG4222">
        <v>-1.1548830000000001</v>
      </c>
      <c r="AH4222">
        <v>9.5405320116653094</v>
      </c>
      <c r="AI4222">
        <v>96.1566139877323</v>
      </c>
      <c r="AJ4222">
        <v>63.012693955710397</v>
      </c>
      <c r="AK4222">
        <v>10.768488758198</v>
      </c>
    </row>
    <row r="4223" spans="1:37" x14ac:dyDescent="0.2">
      <c r="A4223" t="str">
        <f>"20200111154148236"</f>
        <v>20200111154148236</v>
      </c>
      <c r="B4223" t="str">
        <f>"1578728508230089"</f>
        <v>1578728508230089</v>
      </c>
      <c r="C4223" t="s">
        <v>37</v>
      </c>
      <c r="D4223">
        <v>5.6883839999999903</v>
      </c>
      <c r="E4223">
        <v>0.5897232</v>
      </c>
      <c r="F4223" t="s">
        <v>40</v>
      </c>
      <c r="G4223">
        <v>-315.47820000000002</v>
      </c>
      <c r="H4223">
        <v>-0.05</v>
      </c>
      <c r="I4223">
        <v>11.94031</v>
      </c>
      <c r="J4223">
        <v>-324.74689999999998</v>
      </c>
      <c r="K4223">
        <v>1.1047020000000001</v>
      </c>
      <c r="L4223">
        <v>17.618379999999998</v>
      </c>
      <c r="M4223">
        <v>0.99700100000000003</v>
      </c>
      <c r="N4223">
        <v>0</v>
      </c>
      <c r="O4223">
        <v>-7.5657260000000004E-2</v>
      </c>
      <c r="P4223">
        <v>0.95121540000000004</v>
      </c>
      <c r="Q4223">
        <v>1.0253319999999999E-3</v>
      </c>
      <c r="R4223">
        <v>-0.30852659999999998</v>
      </c>
      <c r="S4223">
        <v>2.6423030000000001</v>
      </c>
      <c r="T4223">
        <v>-0.32273629999999998</v>
      </c>
      <c r="U4223">
        <v>-1.5913999999999999</v>
      </c>
      <c r="V4223">
        <v>0.23588029999999999</v>
      </c>
      <c r="W4223">
        <v>1.3525850000000001E-2</v>
      </c>
      <c r="X4223">
        <v>0.971687999999999</v>
      </c>
      <c r="Y4223">
        <v>0.4476231</v>
      </c>
      <c r="Z4223">
        <v>-1.6698649999999999E-2</v>
      </c>
      <c r="AA4223">
        <v>0.89406640000000004</v>
      </c>
      <c r="AB4223">
        <v>35</v>
      </c>
      <c r="AC4223">
        <v>9.26869999999996</v>
      </c>
      <c r="AD4223">
        <v>-1.1547019999999999</v>
      </c>
      <c r="AE4223">
        <v>-5.6780699999999902</v>
      </c>
      <c r="AF4223">
        <v>4.9050993254836399</v>
      </c>
      <c r="AG4223">
        <v>-1.1547019999999999</v>
      </c>
      <c r="AH4223">
        <v>9.5638421614758702</v>
      </c>
      <c r="AI4223">
        <v>96.131802767918899</v>
      </c>
      <c r="AJ4223">
        <v>62.847638882740199</v>
      </c>
      <c r="AK4223">
        <v>10.810199488968101</v>
      </c>
    </row>
    <row r="4224" spans="1:37" x14ac:dyDescent="0.2">
      <c r="A4224" t="str">
        <f>"20200111154148247"</f>
        <v>20200111154148247</v>
      </c>
      <c r="B4224" t="str">
        <f>"1578728508240825"</f>
        <v>1578728508240825</v>
      </c>
      <c r="C4224" t="s">
        <v>37</v>
      </c>
      <c r="D4224">
        <v>5.6913599999999898</v>
      </c>
      <c r="E4224">
        <v>0.59002109999999997</v>
      </c>
      <c r="F4224" t="s">
        <v>40</v>
      </c>
      <c r="G4224">
        <v>-315.21589999999998</v>
      </c>
      <c r="H4224">
        <v>-0.05</v>
      </c>
      <c r="I4224">
        <v>11.797969999999999</v>
      </c>
      <c r="J4224">
        <v>-324.57330000000002</v>
      </c>
      <c r="K4224">
        <v>1.104533</v>
      </c>
      <c r="L4224">
        <v>17.602329999999998</v>
      </c>
      <c r="M4224">
        <v>0.99673899999999904</v>
      </c>
      <c r="N4224">
        <v>0</v>
      </c>
      <c r="O4224">
        <v>-7.9053689999999996E-2</v>
      </c>
      <c r="P4224">
        <v>0.9496502</v>
      </c>
      <c r="Q4224">
        <v>1.2050549999999999E-4</v>
      </c>
      <c r="R4224">
        <v>-0.31331239999999999</v>
      </c>
      <c r="S4224">
        <v>2.6326900000000002</v>
      </c>
      <c r="T4224">
        <v>-0.31895459999999998</v>
      </c>
      <c r="U4224">
        <v>-1.6077269999999999</v>
      </c>
      <c r="V4224">
        <v>0.23745289999999999</v>
      </c>
      <c r="W4224">
        <v>1.2406810000000001E-2</v>
      </c>
      <c r="X4224">
        <v>0.97131979999999996</v>
      </c>
      <c r="Y4224">
        <v>0.45011709999999899</v>
      </c>
      <c r="Z4224">
        <v>-1.6297309999999999E-2</v>
      </c>
      <c r="AA4224">
        <v>0.89282079999999997</v>
      </c>
      <c r="AB4224">
        <v>35</v>
      </c>
      <c r="AC4224">
        <v>9.3574000000000392</v>
      </c>
      <c r="AD4224">
        <v>-1.154533</v>
      </c>
      <c r="AE4224">
        <v>-5.8043599999999902</v>
      </c>
      <c r="AF4224">
        <v>4.9914832525177797</v>
      </c>
      <c r="AG4224">
        <v>-1.154533</v>
      </c>
      <c r="AH4224">
        <v>9.6806020668429298</v>
      </c>
      <c r="AI4224">
        <v>96.050828852739002</v>
      </c>
      <c r="AJ4224">
        <v>62.723597514295697</v>
      </c>
      <c r="AK4224">
        <v>10.9527123528748</v>
      </c>
    </row>
    <row r="4225" spans="1:37" x14ac:dyDescent="0.2">
      <c r="A4225" t="str">
        <f>"20200111154148258"</f>
        <v>20200111154148258</v>
      </c>
      <c r="B4225" t="str">
        <f>"1578728508250585"</f>
        <v>1578728508250585</v>
      </c>
      <c r="C4225" t="s">
        <v>37</v>
      </c>
      <c r="D4225">
        <v>5.690925</v>
      </c>
      <c r="E4225">
        <v>0.59018740000000003</v>
      </c>
      <c r="F4225" t="s">
        <v>40</v>
      </c>
      <c r="G4225">
        <v>-315.029</v>
      </c>
      <c r="H4225">
        <v>-0.05</v>
      </c>
      <c r="I4225">
        <v>11.69717</v>
      </c>
      <c r="J4225">
        <v>-324.39370000000002</v>
      </c>
      <c r="K4225">
        <v>1.1043540000000001</v>
      </c>
      <c r="L4225">
        <v>17.585049999999999</v>
      </c>
      <c r="M4225">
        <v>0.99644859999999902</v>
      </c>
      <c r="N4225">
        <v>0</v>
      </c>
      <c r="O4225">
        <v>-8.2654920000000007E-2</v>
      </c>
      <c r="P4225">
        <v>0.94800649999999997</v>
      </c>
      <c r="Q4225">
        <v>-1.707228E-4</v>
      </c>
      <c r="R4225">
        <v>-0.31825179999999997</v>
      </c>
      <c r="S4225">
        <v>2.6235659999999998</v>
      </c>
      <c r="T4225">
        <v>-0.31736239999999999</v>
      </c>
      <c r="U4225">
        <v>-1.62323</v>
      </c>
      <c r="V4225">
        <v>0.23899809999999999</v>
      </c>
      <c r="W4225">
        <v>1.1898540000000001E-2</v>
      </c>
      <c r="X4225">
        <v>0.97094709999999995</v>
      </c>
      <c r="Y4225">
        <v>0.45212269999999999</v>
      </c>
      <c r="Z4225">
        <v>-1.5959190000000002E-2</v>
      </c>
      <c r="AA4225">
        <v>0.89181299999999997</v>
      </c>
      <c r="AB4225">
        <v>35</v>
      </c>
      <c r="AC4225">
        <v>9.3647000000000205</v>
      </c>
      <c r="AD4225">
        <v>-1.1543540000000001</v>
      </c>
      <c r="AE4225">
        <v>-5.8878799999999902</v>
      </c>
      <c r="AF4225">
        <v>5.0387183969883802</v>
      </c>
      <c r="AG4225">
        <v>-1.1543540000000001</v>
      </c>
      <c r="AH4225">
        <v>9.7135934251038201</v>
      </c>
      <c r="AI4225">
        <v>96.021907300157906</v>
      </c>
      <c r="AJ4225">
        <v>62.582940584665501</v>
      </c>
      <c r="AK4225">
        <v>11.0034137189185</v>
      </c>
    </row>
    <row r="4226" spans="1:37" x14ac:dyDescent="0.2">
      <c r="A4226" t="str">
        <f>"20200111154148270"</f>
        <v>20200111154148270</v>
      </c>
      <c r="B4226" t="str">
        <f>"1578728508260345"</f>
        <v>1578728508260345</v>
      </c>
      <c r="C4226" t="s">
        <v>37</v>
      </c>
      <c r="D4226">
        <v>5.7024970000000001</v>
      </c>
      <c r="E4226">
        <v>0.59035859999999996</v>
      </c>
      <c r="F4226" t="s">
        <v>40</v>
      </c>
      <c r="G4226">
        <v>-314.78489999999999</v>
      </c>
      <c r="H4226">
        <v>-0.05</v>
      </c>
      <c r="I4226">
        <v>11.56467</v>
      </c>
      <c r="J4226">
        <v>-324.22739999999999</v>
      </c>
      <c r="K4226">
        <v>1.1041939999999999</v>
      </c>
      <c r="L4226">
        <v>17.56833</v>
      </c>
      <c r="M4226">
        <v>0.99615929999999997</v>
      </c>
      <c r="N4226">
        <v>0</v>
      </c>
      <c r="O4226">
        <v>-8.6087079999999996E-2</v>
      </c>
      <c r="P4226">
        <v>0.94655900000000004</v>
      </c>
      <c r="Q4226">
        <v>-6.0789820000000001E-4</v>
      </c>
      <c r="R4226">
        <v>-0.32253090000000001</v>
      </c>
      <c r="S4226">
        <v>2.614563</v>
      </c>
      <c r="T4226">
        <v>-0.31410120000000002</v>
      </c>
      <c r="U4226">
        <v>-1.638153</v>
      </c>
      <c r="V4226">
        <v>0.24003539999999901</v>
      </c>
      <c r="W4226">
        <v>1.12725E-2</v>
      </c>
      <c r="X4226">
        <v>0.97069869999999903</v>
      </c>
      <c r="Y4226">
        <v>0.45413290000000001</v>
      </c>
      <c r="Z4226">
        <v>-1.555959E-2</v>
      </c>
      <c r="AA4226">
        <v>0.89079809999999904</v>
      </c>
      <c r="AB4226">
        <v>35</v>
      </c>
      <c r="AC4226">
        <v>9.4424999999999901</v>
      </c>
      <c r="AD4226">
        <v>-1.1541939999999999</v>
      </c>
      <c r="AE4226">
        <v>-6.00366</v>
      </c>
      <c r="AF4226">
        <v>5.1139731403291</v>
      </c>
      <c r="AG4226">
        <v>-1.1541939999999999</v>
      </c>
      <c r="AH4226">
        <v>9.8198583323468096</v>
      </c>
      <c r="AI4226">
        <v>95.951433984861893</v>
      </c>
      <c r="AJ4226">
        <v>62.490459360514997</v>
      </c>
      <c r="AK4226">
        <v>11.131689123264399</v>
      </c>
    </row>
    <row r="4227" spans="1:37" x14ac:dyDescent="0.2">
      <c r="A4227" t="str">
        <f>"20200111154148280"</f>
        <v>20200111154148280</v>
      </c>
      <c r="B4227" t="str">
        <f>"1578728508270106"</f>
        <v>1578728508270106</v>
      </c>
      <c r="C4227" t="s">
        <v>37</v>
      </c>
      <c r="D4227">
        <v>5.7012140000000002</v>
      </c>
      <c r="E4227">
        <v>0.59053529999999999</v>
      </c>
      <c r="F4227" t="s">
        <v>40</v>
      </c>
      <c r="G4227">
        <v>-314.56150000000002</v>
      </c>
      <c r="H4227">
        <v>-0.05</v>
      </c>
      <c r="I4227">
        <v>11.44563</v>
      </c>
      <c r="J4227">
        <v>-324.0548</v>
      </c>
      <c r="K4227">
        <v>1.1040319999999999</v>
      </c>
      <c r="L4227">
        <v>17.550509999999999</v>
      </c>
      <c r="M4227">
        <v>0.99584169999999905</v>
      </c>
      <c r="N4227">
        <v>0</v>
      </c>
      <c r="O4227">
        <v>-8.9701359999999994E-2</v>
      </c>
      <c r="P4227">
        <v>0.94511610000000001</v>
      </c>
      <c r="Q4227">
        <v>-9.7591799999999999E-4</v>
      </c>
      <c r="R4227">
        <v>-0.32673340000000001</v>
      </c>
      <c r="S4227">
        <v>2.6065669999999899</v>
      </c>
      <c r="T4227">
        <v>-0.3112491</v>
      </c>
      <c r="U4227">
        <v>-1.6510929999999999</v>
      </c>
      <c r="V4227">
        <v>0.24082289999999901</v>
      </c>
      <c r="W4227">
        <v>1.071511E-2</v>
      </c>
      <c r="X4227">
        <v>0.97050990000000004</v>
      </c>
      <c r="Y4227">
        <v>0.45533760000000001</v>
      </c>
      <c r="Z4227">
        <v>-1.5118400000000001E-2</v>
      </c>
      <c r="AA4227">
        <v>0.8901905</v>
      </c>
      <c r="AB4227">
        <v>35</v>
      </c>
      <c r="AC4227">
        <v>9.4932999999999694</v>
      </c>
      <c r="AD4227">
        <v>-1.1540319999999999</v>
      </c>
      <c r="AE4227">
        <v>-6.1048799999999996</v>
      </c>
      <c r="AF4227">
        <v>5.1744980987398401</v>
      </c>
      <c r="AG4227">
        <v>-1.1540319999999999</v>
      </c>
      <c r="AH4227">
        <v>9.8992165485686101</v>
      </c>
      <c r="AI4227">
        <v>95.898579315563794</v>
      </c>
      <c r="AJ4227">
        <v>62.403124027654201</v>
      </c>
      <c r="AK4227">
        <v>11.2295017122907</v>
      </c>
    </row>
    <row r="4228" spans="1:37" x14ac:dyDescent="0.2">
      <c r="A4228" t="str">
        <f>"20200111154148292"</f>
        <v>20200111154148292</v>
      </c>
      <c r="B4228" t="str">
        <f>"1578728508280332"</f>
        <v>1578728508280332</v>
      </c>
      <c r="C4228" t="s">
        <v>37</v>
      </c>
      <c r="D4228">
        <v>5.7061029999999997</v>
      </c>
      <c r="E4228">
        <v>0.59069280000000002</v>
      </c>
      <c r="F4228" t="s">
        <v>40</v>
      </c>
      <c r="G4228">
        <v>-314.33589999999998</v>
      </c>
      <c r="H4228">
        <v>-0.05</v>
      </c>
      <c r="I4228">
        <v>11.32663</v>
      </c>
      <c r="J4228">
        <v>-323.8768</v>
      </c>
      <c r="K4228">
        <v>1.103864</v>
      </c>
      <c r="L4228">
        <v>17.53107</v>
      </c>
      <c r="M4228">
        <v>0.99548799999999904</v>
      </c>
      <c r="N4228">
        <v>0</v>
      </c>
      <c r="O4228">
        <v>-9.3560470000000007E-2</v>
      </c>
      <c r="P4228">
        <v>0.94356260000000003</v>
      </c>
      <c r="Q4228">
        <v>-1.0520869999999999E-3</v>
      </c>
      <c r="R4228">
        <v>-0.33119320000000002</v>
      </c>
      <c r="S4228">
        <v>2.598633</v>
      </c>
      <c r="T4228">
        <v>-0.30856209999999901</v>
      </c>
      <c r="U4228">
        <v>-1.6641239999999999</v>
      </c>
      <c r="V4228">
        <v>0.2416461</v>
      </c>
      <c r="W4228">
        <v>1.0449999999999999E-2</v>
      </c>
      <c r="X4228">
        <v>0.97030819999999995</v>
      </c>
      <c r="Y4228">
        <v>0.45633379999999901</v>
      </c>
      <c r="Z4228">
        <v>-1.465209E-2</v>
      </c>
      <c r="AA4228">
        <v>0.88968799999999904</v>
      </c>
      <c r="AB4228">
        <v>35</v>
      </c>
      <c r="AC4228">
        <v>9.5409000000000201</v>
      </c>
      <c r="AD4228">
        <v>-1.153864</v>
      </c>
      <c r="AE4228">
        <v>-6.20444</v>
      </c>
      <c r="AF4228">
        <v>5.2306879773679196</v>
      </c>
      <c r="AG4228">
        <v>-1.153864</v>
      </c>
      <c r="AH4228">
        <v>9.9770461178629493</v>
      </c>
      <c r="AI4228">
        <v>95.848329645807198</v>
      </c>
      <c r="AJ4228">
        <v>62.333226469043403</v>
      </c>
      <c r="AK4228">
        <v>11.3239987674426</v>
      </c>
    </row>
    <row r="4229" spans="1:37" x14ac:dyDescent="0.2">
      <c r="A4229" t="str">
        <f>"20200111154148303"</f>
        <v>20200111154148303</v>
      </c>
      <c r="B4229" t="str">
        <f>"1578728508300827"</f>
        <v>1578728508300827</v>
      </c>
      <c r="C4229" t="s">
        <v>37</v>
      </c>
      <c r="D4229">
        <v>5.7162829999999998</v>
      </c>
      <c r="E4229">
        <v>0.59103839999999996</v>
      </c>
      <c r="F4229" t="s">
        <v>40</v>
      </c>
      <c r="G4229">
        <v>-314.09199999999998</v>
      </c>
      <c r="H4229">
        <v>-0.05</v>
      </c>
      <c r="I4229">
        <v>11.19478</v>
      </c>
      <c r="J4229">
        <v>-323.70060000000001</v>
      </c>
      <c r="K4229">
        <v>1.1036979999999901</v>
      </c>
      <c r="L4229">
        <v>17.51154</v>
      </c>
      <c r="M4229">
        <v>0.99511930000000004</v>
      </c>
      <c r="N4229">
        <v>0</v>
      </c>
      <c r="O4229">
        <v>-9.7416760000000005E-2</v>
      </c>
      <c r="P4229">
        <v>0.94210930000000004</v>
      </c>
      <c r="Q4229">
        <v>-1.3200569999999999E-3</v>
      </c>
      <c r="R4229">
        <v>-0.3353044</v>
      </c>
      <c r="S4229">
        <v>2.5903320000000001</v>
      </c>
      <c r="T4229">
        <v>-0.3054616</v>
      </c>
      <c r="U4229">
        <v>-1.6773990000000001</v>
      </c>
      <c r="V4229">
        <v>0.24211559999999999</v>
      </c>
      <c r="W4229">
        <v>1.0002270000000001E-2</v>
      </c>
      <c r="X4229">
        <v>0.97019580000000005</v>
      </c>
      <c r="Y4229">
        <v>0.457449299999999</v>
      </c>
      <c r="Z4229">
        <v>-1.417993E-2</v>
      </c>
      <c r="AA4229">
        <v>0.88912259999999999</v>
      </c>
      <c r="AB4229">
        <v>35</v>
      </c>
      <c r="AC4229">
        <v>9.6086000000000205</v>
      </c>
      <c r="AD4229">
        <v>-1.1536979999999999</v>
      </c>
      <c r="AE4229">
        <v>-6.3167600000000004</v>
      </c>
      <c r="AF4229">
        <v>5.2972304769397303</v>
      </c>
      <c r="AG4229">
        <v>-1.1536979999999999</v>
      </c>
      <c r="AH4229">
        <v>10.076885634780499</v>
      </c>
      <c r="AI4229">
        <v>95.786620056080395</v>
      </c>
      <c r="AJ4229">
        <v>62.269933997152201</v>
      </c>
      <c r="AK4229">
        <v>11.442696093905001</v>
      </c>
    </row>
    <row r="4230" spans="1:37" x14ac:dyDescent="0.2">
      <c r="A4230" t="str">
        <f>"20200111154148314"</f>
        <v>20200111154148314</v>
      </c>
      <c r="B4230" t="str">
        <f>"1578728508310587"</f>
        <v>1578728508310587</v>
      </c>
      <c r="C4230" t="s">
        <v>37</v>
      </c>
      <c r="D4230">
        <v>5.7143100000000002</v>
      </c>
      <c r="E4230">
        <v>0.59115309999999999</v>
      </c>
      <c r="F4230" t="s">
        <v>40</v>
      </c>
      <c r="G4230">
        <v>-313.84050000000002</v>
      </c>
      <c r="H4230">
        <v>-0.05</v>
      </c>
      <c r="I4230">
        <v>11.05406</v>
      </c>
      <c r="J4230">
        <v>-323.529</v>
      </c>
      <c r="K4230">
        <v>1.10354</v>
      </c>
      <c r="L4230">
        <v>17.491209999999999</v>
      </c>
      <c r="M4230">
        <v>0.99473049999999996</v>
      </c>
      <c r="N4230">
        <v>0</v>
      </c>
      <c r="O4230">
        <v>-0.1013211</v>
      </c>
      <c r="P4230">
        <v>0.9407529</v>
      </c>
      <c r="Q4230">
        <v>-1.2841689999999999E-3</v>
      </c>
      <c r="R4230">
        <v>-0.33909089999999997</v>
      </c>
      <c r="S4230">
        <v>2.5820919999999998</v>
      </c>
      <c r="T4230">
        <v>-0.30212309999999998</v>
      </c>
      <c r="U4230">
        <v>-1.6910400000000001</v>
      </c>
      <c r="V4230">
        <v>0.24221390000000001</v>
      </c>
      <c r="W4230">
        <v>9.8792540000000005E-3</v>
      </c>
      <c r="X4230">
        <v>0.97017260000000005</v>
      </c>
      <c r="Y4230">
        <v>0.4585999</v>
      </c>
      <c r="Z4230">
        <v>-1.3699039999999999E-2</v>
      </c>
      <c r="AA4230">
        <v>0.88853729999999997</v>
      </c>
      <c r="AB4230">
        <v>35</v>
      </c>
      <c r="AC4230">
        <v>9.6884999999999692</v>
      </c>
      <c r="AD4230">
        <v>-1.15354</v>
      </c>
      <c r="AE4230">
        <v>-6.4371499999999902</v>
      </c>
      <c r="AF4230">
        <v>5.3694388860103803</v>
      </c>
      <c r="AG4230">
        <v>-1.15354</v>
      </c>
      <c r="AH4230">
        <v>10.1907065515437</v>
      </c>
      <c r="AI4230">
        <v>95.718797822364095</v>
      </c>
      <c r="AJ4230">
        <v>62.215449194547098</v>
      </c>
      <c r="AK4230">
        <v>11.5763564432803</v>
      </c>
    </row>
    <row r="4231" spans="1:37" x14ac:dyDescent="0.2">
      <c r="A4231" t="str">
        <f>"20200111154148326"</f>
        <v>20200111154148326</v>
      </c>
      <c r="B4231" t="str">
        <f>"1578728508320347"</f>
        <v>1578728508320347</v>
      </c>
      <c r="C4231" t="s">
        <v>37</v>
      </c>
      <c r="D4231">
        <v>5.6951869999999998</v>
      </c>
      <c r="E4231">
        <v>0.59128150000000002</v>
      </c>
      <c r="F4231" t="s">
        <v>40</v>
      </c>
      <c r="G4231">
        <v>-313.61630000000002</v>
      </c>
      <c r="H4231">
        <v>-0.05</v>
      </c>
      <c r="I4231">
        <v>10.93938</v>
      </c>
      <c r="J4231">
        <v>-323.35160000000002</v>
      </c>
      <c r="K4231">
        <v>1.10338</v>
      </c>
      <c r="L4231">
        <v>17.469909999999999</v>
      </c>
      <c r="M4231">
        <v>0.99430929999999995</v>
      </c>
      <c r="N4231">
        <v>0</v>
      </c>
      <c r="O4231">
        <v>-0.1053847</v>
      </c>
      <c r="P4231">
        <v>0.93940759999999901</v>
      </c>
      <c r="Q4231">
        <v>-9.6135999999999997E-4</v>
      </c>
      <c r="R4231">
        <v>-0.34280060000000001</v>
      </c>
      <c r="S4231">
        <v>2.575043</v>
      </c>
      <c r="T4231">
        <v>-0.29965929999999902</v>
      </c>
      <c r="U4231">
        <v>-1.7019959999999901</v>
      </c>
      <c r="V4231">
        <v>0.24208649999999901</v>
      </c>
      <c r="W4231">
        <v>1.0044229999999999E-2</v>
      </c>
      <c r="X4231">
        <v>0.97020269999999997</v>
      </c>
      <c r="Y4231">
        <v>0.45876600000000001</v>
      </c>
      <c r="Z4231">
        <v>-1.319297E-2</v>
      </c>
      <c r="AA4231">
        <v>0.88845919999999901</v>
      </c>
      <c r="AB4231">
        <v>35</v>
      </c>
      <c r="AC4231">
        <v>9.7352999999999899</v>
      </c>
      <c r="AD4231">
        <v>-1.1533799999999901</v>
      </c>
      <c r="AE4231">
        <v>-6.5305299999999997</v>
      </c>
      <c r="AF4231">
        <v>5.4156552591249199</v>
      </c>
      <c r="AG4231">
        <v>-1.1533799999999901</v>
      </c>
      <c r="AH4231">
        <v>10.2699627513044</v>
      </c>
      <c r="AI4231">
        <v>95.673162450052004</v>
      </c>
      <c r="AJ4231">
        <v>62.195991968441199</v>
      </c>
      <c r="AK4231">
        <v>11.667550823684801</v>
      </c>
    </row>
    <row r="4232" spans="1:37" x14ac:dyDescent="0.2">
      <c r="A4232" t="str">
        <f>"20200111154148336"</f>
        <v>20200111154148336</v>
      </c>
      <c r="B4232" t="str">
        <f>"1578728508330108"</f>
        <v>1578728508330108</v>
      </c>
      <c r="C4232" t="s">
        <v>37</v>
      </c>
      <c r="D4232">
        <v>5.7136899999999997</v>
      </c>
      <c r="E4232">
        <v>0.59141440000000001</v>
      </c>
      <c r="F4232" t="s">
        <v>40</v>
      </c>
      <c r="G4232">
        <v>-313.37130000000002</v>
      </c>
      <c r="H4232">
        <v>-0.05</v>
      </c>
      <c r="I4232">
        <v>10.81198</v>
      </c>
      <c r="J4232">
        <v>-323.1644</v>
      </c>
      <c r="K4232">
        <v>1.103216</v>
      </c>
      <c r="L4232">
        <v>17.446290000000001</v>
      </c>
      <c r="M4232">
        <v>0.99383310000000002</v>
      </c>
      <c r="N4232">
        <v>0</v>
      </c>
      <c r="O4232">
        <v>-0.10979419999999999</v>
      </c>
      <c r="P4232">
        <v>0.93794840000000002</v>
      </c>
      <c r="Q4232">
        <v>-9.3900869999999999E-4</v>
      </c>
      <c r="R4232">
        <v>-0.34677409999999997</v>
      </c>
      <c r="S4232">
        <v>2.5680540000000001</v>
      </c>
      <c r="T4232">
        <v>-0.29677919999999902</v>
      </c>
      <c r="U4232">
        <v>-1.713165</v>
      </c>
      <c r="V4232">
        <v>0.24189269999999999</v>
      </c>
      <c r="W4232">
        <v>9.9112019999999992E-3</v>
      </c>
      <c r="X4232">
        <v>0.97025239999999902</v>
      </c>
      <c r="Y4232">
        <v>0.4586691</v>
      </c>
      <c r="Z4232">
        <v>-1.2625340000000001E-2</v>
      </c>
      <c r="AA4232">
        <v>0.88851740000000001</v>
      </c>
      <c r="AB4232">
        <v>35</v>
      </c>
      <c r="AC4232">
        <v>9.7930999999999795</v>
      </c>
      <c r="AD4232">
        <v>-1.153216</v>
      </c>
      <c r="AE4232">
        <v>-6.6343100000000002</v>
      </c>
      <c r="AF4232">
        <v>5.4668745699901402</v>
      </c>
      <c r="AG4232">
        <v>-1.153216</v>
      </c>
      <c r="AH4232">
        <v>10.3638695320377</v>
      </c>
      <c r="AI4232">
        <v>95.620916669862694</v>
      </c>
      <c r="AJ4232">
        <v>62.188641209194898</v>
      </c>
      <c r="AK4232">
        <v>11.7739719884057</v>
      </c>
    </row>
    <row r="4233" spans="1:37" x14ac:dyDescent="0.2">
      <c r="A4233" t="str">
        <f>"20200111154148348"</f>
        <v>20200111154148348</v>
      </c>
      <c r="B4233" t="str">
        <f>"1578728508340843"</f>
        <v>1578728508340843</v>
      </c>
      <c r="C4233" t="s">
        <v>37</v>
      </c>
      <c r="D4233">
        <v>5.7273230000000002</v>
      </c>
      <c r="E4233">
        <v>0.59155049999999998</v>
      </c>
      <c r="F4233" t="s">
        <v>40</v>
      </c>
      <c r="G4233">
        <v>-313.16399999999999</v>
      </c>
      <c r="H4233">
        <v>-0.05</v>
      </c>
      <c r="I4233">
        <v>10.71049</v>
      </c>
      <c r="J4233">
        <v>-322.99119999999999</v>
      </c>
      <c r="K4233">
        <v>1.103065</v>
      </c>
      <c r="L4233">
        <v>17.42371</v>
      </c>
      <c r="M4233">
        <v>0.99336769999999996</v>
      </c>
      <c r="N4233">
        <v>0</v>
      </c>
      <c r="O4233">
        <v>-0.11393689999999999</v>
      </c>
      <c r="P4233">
        <v>0.93659409999999899</v>
      </c>
      <c r="Q4233">
        <v>-5.3121989999999997E-4</v>
      </c>
      <c r="R4233">
        <v>-0.35041650000000002</v>
      </c>
      <c r="S4233">
        <v>2.5605470000000001</v>
      </c>
      <c r="T4233">
        <v>-0.29527540000000002</v>
      </c>
      <c r="U4233">
        <v>-1.7246699999999999</v>
      </c>
      <c r="V4233">
        <v>0.2416277</v>
      </c>
      <c r="W4233">
        <v>1.0181549999999999E-2</v>
      </c>
      <c r="X4233">
        <v>0.97031559999999994</v>
      </c>
      <c r="Y4233">
        <v>0.45895259999999999</v>
      </c>
      <c r="Z4233">
        <v>-1.217058E-2</v>
      </c>
      <c r="AA4233">
        <v>0.88837739999999998</v>
      </c>
      <c r="AB4233">
        <v>35</v>
      </c>
      <c r="AC4233">
        <v>9.8271999999999995</v>
      </c>
      <c r="AD4233">
        <v>-1.153065</v>
      </c>
      <c r="AE4233">
        <v>-6.7132199999999997</v>
      </c>
      <c r="AF4233">
        <v>5.4980690899109499</v>
      </c>
      <c r="AG4233">
        <v>-1.153065</v>
      </c>
      <c r="AH4233">
        <v>10.4302578534282</v>
      </c>
      <c r="AI4233">
        <v>95.585479591006106</v>
      </c>
      <c r="AJ4233">
        <v>62.205081025649797</v>
      </c>
      <c r="AK4233">
        <v>11.8468815095222</v>
      </c>
    </row>
    <row r="4234" spans="1:37" x14ac:dyDescent="0.2">
      <c r="A4234" t="str">
        <f>"20200111154148359"</f>
        <v>20200111154148359</v>
      </c>
      <c r="B4234" t="str">
        <f>"1578728508350606"</f>
        <v>1578728508350606</v>
      </c>
      <c r="C4234" t="s">
        <v>37</v>
      </c>
      <c r="D4234">
        <v>5.7076469999999997</v>
      </c>
      <c r="E4234">
        <v>0.59167609999999904</v>
      </c>
      <c r="F4234" t="s">
        <v>40</v>
      </c>
      <c r="G4234">
        <v>-312.90469999999999</v>
      </c>
      <c r="H4234">
        <v>-0.05</v>
      </c>
      <c r="I4234">
        <v>10.567550000000001</v>
      </c>
      <c r="J4234">
        <v>-322.81619999999998</v>
      </c>
      <c r="K4234">
        <v>1.1029139999999999</v>
      </c>
      <c r="L4234">
        <v>17.40015</v>
      </c>
      <c r="M4234">
        <v>0.99287109999999901</v>
      </c>
      <c r="N4234">
        <v>0</v>
      </c>
      <c r="O4234">
        <v>-0.1181942</v>
      </c>
      <c r="P4234">
        <v>0.9352239</v>
      </c>
      <c r="Q4234">
        <v>-1.8621840000000001E-4</v>
      </c>
      <c r="R4234">
        <v>-0.35405740000000002</v>
      </c>
      <c r="S4234">
        <v>2.553528</v>
      </c>
      <c r="T4234">
        <v>-0.29191269999999903</v>
      </c>
      <c r="U4234">
        <v>-1.7357180000000001</v>
      </c>
      <c r="V4234">
        <v>0.24125189999999999</v>
      </c>
      <c r="W4234">
        <v>1.039469E-2</v>
      </c>
      <c r="X4234">
        <v>0.97040680000000001</v>
      </c>
      <c r="Y4234">
        <v>0.45896399999999998</v>
      </c>
      <c r="Z4234">
        <v>-1.1618440000000001E-2</v>
      </c>
      <c r="AA4234">
        <v>0.88837889999999997</v>
      </c>
      <c r="AB4234">
        <v>35</v>
      </c>
      <c r="AC4234">
        <v>9.9114999999999895</v>
      </c>
      <c r="AD4234">
        <v>-1.152914</v>
      </c>
      <c r="AE4234">
        <v>-6.8325999999999896</v>
      </c>
      <c r="AF4234">
        <v>5.5620601688204898</v>
      </c>
      <c r="AG4234">
        <v>-1.152914</v>
      </c>
      <c r="AH4234">
        <v>10.5528883354689</v>
      </c>
      <c r="AI4234">
        <v>95.520397562880802</v>
      </c>
      <c r="AJ4234">
        <v>62.2078459747244</v>
      </c>
      <c r="AK4234">
        <v>11.9845390497028</v>
      </c>
    </row>
    <row r="4235" spans="1:37" x14ac:dyDescent="0.2">
      <c r="A4235" t="str">
        <f>"20200111154148371"</f>
        <v>20200111154148371</v>
      </c>
      <c r="B4235" t="str">
        <f>"1578728508360364"</f>
        <v>1578728508360364</v>
      </c>
      <c r="C4235" t="s">
        <v>37</v>
      </c>
      <c r="D4235">
        <v>5.7381500000000001</v>
      </c>
      <c r="E4235">
        <v>0.59178260000000005</v>
      </c>
      <c r="F4235" t="s">
        <v>40</v>
      </c>
      <c r="G4235">
        <v>-312.64710000000002</v>
      </c>
      <c r="H4235">
        <v>-0.05</v>
      </c>
      <c r="I4235">
        <v>10.42511</v>
      </c>
      <c r="J4235">
        <v>-322.64330000000001</v>
      </c>
      <c r="K4235">
        <v>1.1027670000000001</v>
      </c>
      <c r="L4235">
        <v>17.375889999999998</v>
      </c>
      <c r="M4235">
        <v>0.99235019999999996</v>
      </c>
      <c r="N4235">
        <v>0</v>
      </c>
      <c r="O4235">
        <v>-0.1224956</v>
      </c>
      <c r="P4235">
        <v>0.93386239999999998</v>
      </c>
      <c r="Q4235">
        <v>1.3735970000000001E-4</v>
      </c>
      <c r="R4235">
        <v>-0.35763279999999997</v>
      </c>
      <c r="S4235">
        <v>2.546478</v>
      </c>
      <c r="T4235">
        <v>-0.2887052</v>
      </c>
      <c r="U4235">
        <v>-1.7466429999999999</v>
      </c>
      <c r="V4235">
        <v>0.24076790000000001</v>
      </c>
      <c r="W4235">
        <v>1.059733E-2</v>
      </c>
      <c r="X4235">
        <v>0.97052479999999997</v>
      </c>
      <c r="Y4235">
        <v>0.4589066</v>
      </c>
      <c r="Z4235">
        <v>-1.107349E-2</v>
      </c>
      <c r="AA4235">
        <v>0.88841550000000002</v>
      </c>
      <c r="AB4235">
        <v>35</v>
      </c>
      <c r="AC4235">
        <v>9.9961999999999804</v>
      </c>
      <c r="AD4235">
        <v>-1.1527670000000001</v>
      </c>
      <c r="AE4235">
        <v>-6.9507799999999902</v>
      </c>
      <c r="AF4235">
        <v>5.6233760160292796</v>
      </c>
      <c r="AG4235">
        <v>-1.1527670000000001</v>
      </c>
      <c r="AH4235">
        <v>10.6767303632032</v>
      </c>
      <c r="AI4235">
        <v>95.456891240159806</v>
      </c>
      <c r="AJ4235">
        <v>62.224466777520597</v>
      </c>
      <c r="AK4235">
        <v>12.122037816410501</v>
      </c>
    </row>
    <row r="4236" spans="1:37" x14ac:dyDescent="0.2">
      <c r="A4236" t="str">
        <f>"20200111154148382"</f>
        <v>20200111154148382</v>
      </c>
      <c r="B4236" t="str">
        <f>"1578728508370123"</f>
        <v>1578728508370123</v>
      </c>
      <c r="C4236" t="s">
        <v>37</v>
      </c>
      <c r="D4236">
        <v>5.7194459999999996</v>
      </c>
      <c r="E4236">
        <v>0.59189759999999902</v>
      </c>
      <c r="F4236" t="s">
        <v>40</v>
      </c>
      <c r="G4236">
        <v>-312.40550000000002</v>
      </c>
      <c r="H4236">
        <v>-0.05</v>
      </c>
      <c r="I4236">
        <v>10.292909999999999</v>
      </c>
      <c r="J4236">
        <v>-322.45830000000001</v>
      </c>
      <c r="K4236">
        <v>1.1026100000000001</v>
      </c>
      <c r="L4236">
        <v>17.349429999999899</v>
      </c>
      <c r="M4236">
        <v>0.99176679999999995</v>
      </c>
      <c r="N4236">
        <v>0</v>
      </c>
      <c r="O4236">
        <v>-0.12714049999999999</v>
      </c>
      <c r="P4236">
        <v>0.93230959999999996</v>
      </c>
      <c r="Q4236">
        <v>8.4091350000000005E-4</v>
      </c>
      <c r="R4236">
        <v>-0.3616606</v>
      </c>
      <c r="S4236">
        <v>2.53964199999999</v>
      </c>
      <c r="T4236">
        <v>-0.28596279999999902</v>
      </c>
      <c r="U4236">
        <v>-1.75705</v>
      </c>
      <c r="V4236">
        <v>0.2404299</v>
      </c>
      <c r="W4236">
        <v>1.1168549999999999E-2</v>
      </c>
      <c r="X4236">
        <v>0.97060230000000003</v>
      </c>
      <c r="Y4236">
        <v>0.45837869999999997</v>
      </c>
      <c r="Z4236">
        <v>-1.049633E-2</v>
      </c>
      <c r="AA4236">
        <v>0.88869500000000001</v>
      </c>
      <c r="AB4236">
        <v>35</v>
      </c>
      <c r="AC4236">
        <v>10.0527999999999</v>
      </c>
      <c r="AD4236">
        <v>-1.1526099999999999</v>
      </c>
      <c r="AE4236">
        <v>-7.0565199999999901</v>
      </c>
      <c r="AF4236">
        <v>5.6710306656986704</v>
      </c>
      <c r="AG4236">
        <v>-1.1526099999999999</v>
      </c>
      <c r="AH4236">
        <v>10.773594821247</v>
      </c>
      <c r="AI4236">
        <v>95.408080644552001</v>
      </c>
      <c r="AJ4236">
        <v>62.238470990746002</v>
      </c>
      <c r="AK4236">
        <v>12.2294498648057</v>
      </c>
    </row>
    <row r="4237" spans="1:37" x14ac:dyDescent="0.2">
      <c r="A4237" t="str">
        <f>"20200111154148394"</f>
        <v>20200111154148394</v>
      </c>
      <c r="B4237" t="str">
        <f>"1578728508389943"</f>
        <v>1578728508389943</v>
      </c>
      <c r="C4237" t="s">
        <v>37</v>
      </c>
      <c r="D4237">
        <v>5.7073140000000002</v>
      </c>
      <c r="E4237">
        <v>0.59215839999999997</v>
      </c>
      <c r="F4237" t="s">
        <v>40</v>
      </c>
      <c r="G4237">
        <v>-312.13650000000001</v>
      </c>
      <c r="H4237">
        <v>-0.05</v>
      </c>
      <c r="I4237">
        <v>10.13649</v>
      </c>
      <c r="J4237">
        <v>-322.2663</v>
      </c>
      <c r="K4237">
        <v>1.1024479999999901</v>
      </c>
      <c r="L4237">
        <v>17.32037</v>
      </c>
      <c r="M4237">
        <v>0.9911181</v>
      </c>
      <c r="N4237">
        <v>0</v>
      </c>
      <c r="O4237">
        <v>-0.13210659999999999</v>
      </c>
      <c r="P4237">
        <v>0.93065799999999999</v>
      </c>
      <c r="Q4237">
        <v>1.3985619999999999E-3</v>
      </c>
      <c r="R4237">
        <v>-0.36588749999999998</v>
      </c>
      <c r="S4237">
        <v>2.5317379999999998</v>
      </c>
      <c r="T4237">
        <v>-0.2827132</v>
      </c>
      <c r="U4237">
        <v>-1.769196</v>
      </c>
      <c r="V4237">
        <v>0.2399869</v>
      </c>
      <c r="W4237">
        <v>1.160101E-2</v>
      </c>
      <c r="X4237">
        <v>0.97070679999999998</v>
      </c>
      <c r="Y4237">
        <v>0.45814959999999999</v>
      </c>
      <c r="Z4237">
        <v>-9.8953879999999998E-3</v>
      </c>
      <c r="AA4237">
        <v>0.88882000000000005</v>
      </c>
      <c r="AB4237">
        <v>35</v>
      </c>
      <c r="AC4237">
        <v>10.1297999999999</v>
      </c>
      <c r="AD4237">
        <v>-1.1524479999999999</v>
      </c>
      <c r="AE4237">
        <v>-7.1838800000000003</v>
      </c>
      <c r="AF4237">
        <v>5.73315963952584</v>
      </c>
      <c r="AG4237">
        <v>-1.1524479999999999</v>
      </c>
      <c r="AH4237">
        <v>10.8963072278043</v>
      </c>
      <c r="AI4237">
        <v>95.347279124075499</v>
      </c>
      <c r="AJ4237">
        <v>62.248620059639997</v>
      </c>
      <c r="AK4237">
        <v>12.3663562558942</v>
      </c>
    </row>
    <row r="4238" spans="1:37" x14ac:dyDescent="0.2">
      <c r="A4238" t="str">
        <f>"20200111154148406"</f>
        <v>20200111154148406</v>
      </c>
      <c r="B4238" t="str">
        <f>"1578728508400679"</f>
        <v>1578728508400679</v>
      </c>
      <c r="C4238" t="s">
        <v>37</v>
      </c>
      <c r="D4238">
        <v>5.7209570000000003</v>
      </c>
      <c r="E4238">
        <v>0.59231369999999905</v>
      </c>
      <c r="F4238" t="s">
        <v>40</v>
      </c>
      <c r="G4238">
        <v>-311.77760000000001</v>
      </c>
      <c r="H4238">
        <v>-0.05</v>
      </c>
      <c r="I4238">
        <v>9.9094239999999996</v>
      </c>
      <c r="J4238">
        <v>-322.08920000000001</v>
      </c>
      <c r="K4238">
        <v>1.1023019999999999</v>
      </c>
      <c r="L4238">
        <v>17.293060000000001</v>
      </c>
      <c r="M4238">
        <v>0.99049120000000002</v>
      </c>
      <c r="N4238">
        <v>0</v>
      </c>
      <c r="O4238">
        <v>-0.13673260000000001</v>
      </c>
      <c r="P4238">
        <v>0.92913449999999997</v>
      </c>
      <c r="Q4238">
        <v>1.8742729999999899E-3</v>
      </c>
      <c r="R4238">
        <v>-0.36973729999999999</v>
      </c>
      <c r="S4238">
        <v>2.5230709999999998</v>
      </c>
      <c r="T4238">
        <v>-0.2772231</v>
      </c>
      <c r="U4238">
        <v>-1.782715</v>
      </c>
      <c r="V4238">
        <v>0.23948620000000001</v>
      </c>
      <c r="W4238">
        <v>1.196529E-2</v>
      </c>
      <c r="X4238">
        <v>0.97082599999999997</v>
      </c>
      <c r="Y4238">
        <v>0.45868490000000001</v>
      </c>
      <c r="Z4238">
        <v>-9.3019439999999995E-3</v>
      </c>
      <c r="AA4238">
        <v>0.88855030000000002</v>
      </c>
      <c r="AB4238">
        <v>35</v>
      </c>
      <c r="AC4238">
        <v>10.3116</v>
      </c>
      <c r="AD4238">
        <v>-1.1523019999999999</v>
      </c>
      <c r="AE4238">
        <v>-7.3836359999999903</v>
      </c>
      <c r="AF4238">
        <v>5.8558375199739503</v>
      </c>
      <c r="AG4238">
        <v>-1.1523019999999999</v>
      </c>
      <c r="AH4238">
        <v>11.1325319298526</v>
      </c>
      <c r="AI4238">
        <v>95.234101916966594</v>
      </c>
      <c r="AJ4238">
        <v>62.255122994851597</v>
      </c>
      <c r="AK4238">
        <v>12.631385518965301</v>
      </c>
    </row>
    <row r="4239" spans="1:37" x14ac:dyDescent="0.2">
      <c r="A4239" t="str">
        <f>"20200111154148417"</f>
        <v>20200111154148417</v>
      </c>
      <c r="B4239" t="str">
        <f>"1578728508410439"</f>
        <v>1578728508410439</v>
      </c>
      <c r="C4239" t="s">
        <v>37</v>
      </c>
      <c r="D4239">
        <v>5.7428280000000003</v>
      </c>
      <c r="E4239">
        <v>0.59244909999999995</v>
      </c>
      <c r="F4239" t="s">
        <v>40</v>
      </c>
      <c r="G4239">
        <v>-311.53890000000001</v>
      </c>
      <c r="H4239">
        <v>-0.05</v>
      </c>
      <c r="I4239">
        <v>9.7661440000000006</v>
      </c>
      <c r="J4239">
        <v>-321.90050000000002</v>
      </c>
      <c r="K4239">
        <v>1.102144</v>
      </c>
      <c r="L4239">
        <v>17.26276</v>
      </c>
      <c r="M4239">
        <v>0.989784</v>
      </c>
      <c r="N4239">
        <v>0</v>
      </c>
      <c r="O4239">
        <v>-0.14176429999999901</v>
      </c>
      <c r="P4239">
        <v>0.92742610000000003</v>
      </c>
      <c r="Q4239">
        <v>2.3092049999999999E-3</v>
      </c>
      <c r="R4239">
        <v>-0.37399929999999998</v>
      </c>
      <c r="S4239">
        <v>2.5152890000000001</v>
      </c>
      <c r="T4239">
        <v>-0.27472049999999998</v>
      </c>
      <c r="U4239">
        <v>-1.794495</v>
      </c>
      <c r="V4239">
        <v>0.2390225</v>
      </c>
      <c r="W4239">
        <v>1.228666E-2</v>
      </c>
      <c r="X4239">
        <v>0.97093629999999997</v>
      </c>
      <c r="Y4239">
        <v>0.45827279999999998</v>
      </c>
      <c r="Z4239">
        <v>-8.7333020000000001E-3</v>
      </c>
      <c r="AA4239">
        <v>0.88876869999999997</v>
      </c>
      <c r="AB4239">
        <v>35</v>
      </c>
      <c r="AC4239">
        <v>10.361599999999999</v>
      </c>
      <c r="AD4239">
        <v>-1.1521440000000001</v>
      </c>
      <c r="AE4239">
        <v>-7.4966159999999897</v>
      </c>
      <c r="AF4239">
        <v>5.9038968158927903</v>
      </c>
      <c r="AG4239">
        <v>-1.1521440000000001</v>
      </c>
      <c r="AH4239">
        <v>11.2286735716745</v>
      </c>
      <c r="AI4239">
        <v>95.189300460896803</v>
      </c>
      <c r="AJ4239">
        <v>62.265164986097297</v>
      </c>
      <c r="AK4239">
        <v>12.7383885789634</v>
      </c>
    </row>
    <row r="4240" spans="1:37" x14ac:dyDescent="0.2">
      <c r="A4240" t="str">
        <f>"20200111154148428"</f>
        <v>20200111154148428</v>
      </c>
      <c r="B4240" t="str">
        <f>"1578728508420199"</f>
        <v>1578728508420199</v>
      </c>
      <c r="C4240" t="s">
        <v>37</v>
      </c>
      <c r="D4240">
        <v>5.7191339999999897</v>
      </c>
      <c r="E4240">
        <v>0.59257629999999994</v>
      </c>
      <c r="F4240" t="s">
        <v>40</v>
      </c>
      <c r="G4240">
        <v>-311.29750000000001</v>
      </c>
      <c r="H4240">
        <v>-0.05</v>
      </c>
      <c r="I4240">
        <v>9.6179959999999998</v>
      </c>
      <c r="J4240">
        <v>-321.72379999999998</v>
      </c>
      <c r="K4240">
        <v>1.1019950000000001</v>
      </c>
      <c r="L4240">
        <v>17.2334</v>
      </c>
      <c r="M4240">
        <v>0.98908689999999999</v>
      </c>
      <c r="N4240">
        <v>0</v>
      </c>
      <c r="O4240">
        <v>-0.14655360000000001</v>
      </c>
      <c r="P4240">
        <v>0.92575819999999998</v>
      </c>
      <c r="Q4240">
        <v>2.6972390000000001E-3</v>
      </c>
      <c r="R4240">
        <v>-0.37810729999999998</v>
      </c>
      <c r="S4240">
        <v>2.506653</v>
      </c>
      <c r="T4240">
        <v>-0.2723756</v>
      </c>
      <c r="U4240">
        <v>-1.8072809999999999</v>
      </c>
      <c r="V4240">
        <v>0.23863899999999999</v>
      </c>
      <c r="W4240">
        <v>1.2572740000000001E-2</v>
      </c>
      <c r="X4240">
        <v>0.97102699999999997</v>
      </c>
      <c r="Y4240">
        <v>0.45844669999999998</v>
      </c>
      <c r="Z4240">
        <v>-8.230411E-3</v>
      </c>
      <c r="AA4240">
        <v>0.88868380000000002</v>
      </c>
      <c r="AB4240">
        <v>35</v>
      </c>
      <c r="AC4240">
        <v>10.4262999999999</v>
      </c>
      <c r="AD4240">
        <v>-1.1519950000000001</v>
      </c>
      <c r="AE4240">
        <v>-7.6154039999999901</v>
      </c>
      <c r="AF4240">
        <v>5.9575453875014999</v>
      </c>
      <c r="AG4240">
        <v>-1.1519950000000001</v>
      </c>
      <c r="AH4240">
        <v>11.339618118148399</v>
      </c>
      <c r="AI4240">
        <v>95.139011106294305</v>
      </c>
      <c r="AJ4240">
        <v>62.283712012689797</v>
      </c>
      <c r="AK4240">
        <v>12.861041116084101</v>
      </c>
    </row>
    <row r="4241" spans="1:37" x14ac:dyDescent="0.2">
      <c r="A4241" t="str">
        <f>"20200111154148440"</f>
        <v>20200111154148440</v>
      </c>
      <c r="B4241" t="str">
        <f>"1578728508429959"</f>
        <v>1578728508429959</v>
      </c>
      <c r="C4241" t="s">
        <v>37</v>
      </c>
      <c r="D4241">
        <v>6.0533109999999999</v>
      </c>
      <c r="E4241">
        <v>0.59257629999999994</v>
      </c>
      <c r="F4241" t="s">
        <v>40</v>
      </c>
      <c r="G4241">
        <v>-311.03570000000002</v>
      </c>
      <c r="H4241">
        <v>-0.05</v>
      </c>
      <c r="I4241">
        <v>9.4491879999999995</v>
      </c>
      <c r="J4241">
        <v>-321.54730000000001</v>
      </c>
      <c r="K4241">
        <v>1.10185</v>
      </c>
      <c r="L4241">
        <v>17.20337</v>
      </c>
      <c r="M4241">
        <v>0.98835830000000002</v>
      </c>
      <c r="N4241">
        <v>0</v>
      </c>
      <c r="O4241">
        <v>-0.15139149999999901</v>
      </c>
      <c r="P4241">
        <v>0.92398649999999904</v>
      </c>
      <c r="Q4241">
        <v>2.7176229999999902E-3</v>
      </c>
      <c r="R4241">
        <v>-0.38241579999999997</v>
      </c>
      <c r="S4241">
        <v>2.498291</v>
      </c>
      <c r="T4241">
        <v>-0.26927269999999998</v>
      </c>
      <c r="U4241">
        <v>-1.8195189999999899</v>
      </c>
      <c r="V4241">
        <v>0.2384155</v>
      </c>
      <c r="W4241">
        <v>1.2489770000000001E-2</v>
      </c>
      <c r="X4241">
        <v>0.97108289999999997</v>
      </c>
      <c r="Y4241">
        <v>0.4584048</v>
      </c>
      <c r="Z4241">
        <v>-7.6974590000000002E-3</v>
      </c>
      <c r="AA4241">
        <v>0.88871019999999901</v>
      </c>
      <c r="AB4241">
        <v>35</v>
      </c>
      <c r="AC4241">
        <v>10.5115999999999</v>
      </c>
      <c r="AD4241">
        <v>-1.15185</v>
      </c>
      <c r="AE4241">
        <v>-7.7541819999999904</v>
      </c>
      <c r="AF4241">
        <v>6.02637569425357</v>
      </c>
      <c r="AG4241">
        <v>-1.15185</v>
      </c>
      <c r="AH4241">
        <v>11.4752335582009</v>
      </c>
      <c r="AI4241">
        <v>95.078399688905705</v>
      </c>
      <c r="AJ4241">
        <v>62.293176604797303</v>
      </c>
      <c r="AK4241">
        <v>13.012491984475901</v>
      </c>
    </row>
    <row r="4242" spans="1:37" x14ac:dyDescent="0.2">
      <c r="A4242" t="str">
        <f>"20200111154148452"</f>
        <v>20200111154148452</v>
      </c>
      <c r="B4242" t="str">
        <f>"1578728508440695"</f>
        <v>1578728508440695</v>
      </c>
      <c r="C4242" t="s">
        <v>37</v>
      </c>
      <c r="D4242">
        <v>6.0108930000000003</v>
      </c>
      <c r="E4242">
        <v>0.58020719999999903</v>
      </c>
      <c r="F4242" t="s">
        <v>40</v>
      </c>
      <c r="G4242">
        <v>-310.87630000000001</v>
      </c>
      <c r="H4242">
        <v>-0.05</v>
      </c>
      <c r="I4242">
        <v>9.3544459999999994</v>
      </c>
      <c r="J4242">
        <v>-321.36880000000002</v>
      </c>
      <c r="K4242">
        <v>1.1017059999999901</v>
      </c>
      <c r="L4242">
        <v>17.171659999999999</v>
      </c>
      <c r="M4242">
        <v>0.98758009999999996</v>
      </c>
      <c r="N4242">
        <v>0</v>
      </c>
      <c r="O4242">
        <v>-0.1563901</v>
      </c>
      <c r="P4242">
        <v>0.92215040000000004</v>
      </c>
      <c r="Q4242">
        <v>2.5221319999999998E-3</v>
      </c>
      <c r="R4242">
        <v>-0.38682369999999999</v>
      </c>
      <c r="S4242">
        <v>2.489655</v>
      </c>
      <c r="T4242">
        <v>-0.2687389</v>
      </c>
      <c r="U4242">
        <v>-1.8312379999999999</v>
      </c>
      <c r="V4242">
        <v>0.2381393</v>
      </c>
      <c r="W4242">
        <v>1.219845E-2</v>
      </c>
      <c r="X4242">
        <v>0.97115439999999997</v>
      </c>
      <c r="Y4242">
        <v>0.4581192</v>
      </c>
      <c r="Z4242">
        <v>-7.2173569999999998E-3</v>
      </c>
      <c r="AA4242">
        <v>0.88886149999999997</v>
      </c>
      <c r="AB4242">
        <v>35</v>
      </c>
      <c r="AC4242">
        <v>10.4925</v>
      </c>
      <c r="AD4242">
        <v>-1.1517059999999999</v>
      </c>
      <c r="AE4242">
        <v>-7.8172139999999901</v>
      </c>
      <c r="AF4242">
        <v>6.0331506593898396</v>
      </c>
      <c r="AG4242">
        <v>-1.1517059999999999</v>
      </c>
      <c r="AH4242">
        <v>11.496962456775901</v>
      </c>
      <c r="AI4242">
        <v>95.069058142425604</v>
      </c>
      <c r="AJ4242">
        <v>62.311289927220002</v>
      </c>
      <c r="AK4242">
        <v>13.0347796038846</v>
      </c>
    </row>
    <row r="4243" spans="1:37" x14ac:dyDescent="0.2">
      <c r="A4243" t="str">
        <f>"20200111154148465"</f>
        <v>20200111154148465</v>
      </c>
      <c r="B4243" t="str">
        <f>"1578728508460216"</f>
        <v>1578728508460216</v>
      </c>
      <c r="C4243" t="s">
        <v>37</v>
      </c>
      <c r="D4243">
        <v>5.9809489999999998</v>
      </c>
      <c r="E4243">
        <v>0.57934809999999903</v>
      </c>
      <c r="F4243" t="s">
        <v>40</v>
      </c>
      <c r="G4243">
        <v>-314.92349999999999</v>
      </c>
      <c r="H4243">
        <v>-0.05</v>
      </c>
      <c r="I4243">
        <v>12.68454</v>
      </c>
      <c r="J4243">
        <v>-321.18189999999998</v>
      </c>
      <c r="K4243">
        <v>1.1015549999999901</v>
      </c>
      <c r="L4243">
        <v>17.137910000000002</v>
      </c>
      <c r="M4243">
        <v>0.98671869999999995</v>
      </c>
      <c r="N4243">
        <v>0</v>
      </c>
      <c r="O4243">
        <v>-0.16174179999999999</v>
      </c>
      <c r="P4243">
        <v>0.9201454</v>
      </c>
      <c r="Q4243">
        <v>2.29715E-3</v>
      </c>
      <c r="R4243">
        <v>-0.3915708</v>
      </c>
      <c r="S4243">
        <v>2.5188599999999899</v>
      </c>
      <c r="T4243">
        <v>-0.4500942</v>
      </c>
      <c r="U4243">
        <v>-1.75360099999999</v>
      </c>
      <c r="V4243">
        <v>0.2378768</v>
      </c>
      <c r="W4243">
        <v>1.1841320000000001E-2</v>
      </c>
      <c r="X4243">
        <v>0.97122319999999995</v>
      </c>
      <c r="Y4243">
        <v>0.42829349999999999</v>
      </c>
      <c r="Z4243">
        <v>-8.7949220000000002E-3</v>
      </c>
      <c r="AA4243">
        <v>0.90359690000000004</v>
      </c>
      <c r="AB4243">
        <v>35</v>
      </c>
      <c r="AC4243">
        <v>6.2583999999999902</v>
      </c>
      <c r="AD4243">
        <v>-1.1515549999999899</v>
      </c>
      <c r="AE4243">
        <v>-4.4533699999999996</v>
      </c>
      <c r="AF4243">
        <v>3.3080100076362702</v>
      </c>
      <c r="AG4243">
        <v>-1.1515549999999899</v>
      </c>
      <c r="AH4243">
        <v>6.7447605598489702</v>
      </c>
      <c r="AI4243">
        <v>98.714984804734002</v>
      </c>
      <c r="AJ4243">
        <v>63.874069630374301</v>
      </c>
      <c r="AK4243">
        <v>7.60005290365409</v>
      </c>
    </row>
    <row r="4244" spans="1:37" x14ac:dyDescent="0.2">
      <c r="A4244" t="str">
        <f>"20200111154148475"</f>
        <v>20200111154148475</v>
      </c>
      <c r="B4244" t="str">
        <f>"1578728508469975"</f>
        <v>1578728508469975</v>
      </c>
      <c r="C4244" t="s">
        <v>37</v>
      </c>
      <c r="D4244">
        <v>6.0050610000000004</v>
      </c>
      <c r="E4244">
        <v>0.57890989999999998</v>
      </c>
      <c r="F4244" t="s">
        <v>40</v>
      </c>
      <c r="G4244">
        <v>-314.82940000000002</v>
      </c>
      <c r="H4244">
        <v>-0.05</v>
      </c>
      <c r="I4244">
        <v>12.686999999999999</v>
      </c>
      <c r="J4244">
        <v>-321.0034</v>
      </c>
      <c r="K4244">
        <v>1.1013930000000001</v>
      </c>
      <c r="L4244">
        <v>17.104340000000001</v>
      </c>
      <c r="M4244">
        <v>0.98575449999999998</v>
      </c>
      <c r="N4244">
        <v>0</v>
      </c>
      <c r="O4244">
        <v>-0.16754669999999999</v>
      </c>
      <c r="P4244">
        <v>0.91792050000000003</v>
      </c>
      <c r="Q4244">
        <v>2.2888560000000001E-3</v>
      </c>
      <c r="R4244">
        <v>-0.396758099999999</v>
      </c>
      <c r="S4244">
        <v>2.5123899999999999</v>
      </c>
      <c r="T4244">
        <v>-0.45543279999999903</v>
      </c>
      <c r="U4244">
        <v>-1.7603150000000001</v>
      </c>
      <c r="V4244">
        <v>0.23763799999999999</v>
      </c>
      <c r="W4244">
        <v>1.148038E-2</v>
      </c>
      <c r="X4244">
        <v>0.97128590000000004</v>
      </c>
      <c r="Y4244">
        <v>0.42571179999999997</v>
      </c>
      <c r="Z4244">
        <v>-7.794095E-3</v>
      </c>
      <c r="AA4244">
        <v>0.9048252</v>
      </c>
      <c r="AB4244">
        <v>35</v>
      </c>
      <c r="AC4244">
        <v>6.1739999999999702</v>
      </c>
      <c r="AD4244">
        <v>-1.1513930000000001</v>
      </c>
      <c r="AE4244">
        <v>-4.4173399999999896</v>
      </c>
      <c r="AF4244">
        <v>3.2456771377338001</v>
      </c>
      <c r="AG4244">
        <v>-1.1513930000000001</v>
      </c>
      <c r="AH4244">
        <v>6.67338715922389</v>
      </c>
      <c r="AI4244">
        <v>98.819527630956898</v>
      </c>
      <c r="AJ4244">
        <v>64.063505585184899</v>
      </c>
      <c r="AK4244">
        <v>7.5096086515710798</v>
      </c>
    </row>
    <row r="4245" spans="1:37" x14ac:dyDescent="0.2">
      <c r="A4245" t="str">
        <f>"20200111154148487"</f>
        <v>20200111154148487</v>
      </c>
      <c r="B4245" t="str">
        <f>"1578728508480230"</f>
        <v>1578728508480230</v>
      </c>
      <c r="C4245" t="s">
        <v>37</v>
      </c>
      <c r="D4245">
        <v>6.0143469999999999</v>
      </c>
      <c r="E4245">
        <v>0.57874919999999996</v>
      </c>
      <c r="F4245" t="s">
        <v>40</v>
      </c>
      <c r="G4245">
        <v>-314.77330000000001</v>
      </c>
      <c r="H4245">
        <v>-0.05</v>
      </c>
      <c r="I4245">
        <v>12.696949999999999</v>
      </c>
      <c r="J4245">
        <v>-320.82819999999998</v>
      </c>
      <c r="K4245">
        <v>1.101186</v>
      </c>
      <c r="L4245">
        <v>17.070740000000001</v>
      </c>
      <c r="M4245">
        <v>0.984774699999999</v>
      </c>
      <c r="N4245">
        <v>0</v>
      </c>
      <c r="O4245">
        <v>-0.17323829999999901</v>
      </c>
      <c r="P4245">
        <v>0.91575260000000003</v>
      </c>
      <c r="Q4245">
        <v>2.412366E-3</v>
      </c>
      <c r="R4245">
        <v>-0.40173579999999998</v>
      </c>
      <c r="S4245">
        <v>2.503784</v>
      </c>
      <c r="T4245">
        <v>-0.46272839999999998</v>
      </c>
      <c r="U4245">
        <v>-1.77127099999999</v>
      </c>
      <c r="V4245">
        <v>0.237300599999999</v>
      </c>
      <c r="W4245">
        <v>1.124722E-2</v>
      </c>
      <c r="X4245">
        <v>0.97137119999999999</v>
      </c>
      <c r="Y4245">
        <v>0.4245777</v>
      </c>
      <c r="Z4245">
        <v>-6.9348589999999998E-3</v>
      </c>
      <c r="AA4245">
        <v>0.90536489999999903</v>
      </c>
      <c r="AB4245">
        <v>35</v>
      </c>
      <c r="AC4245">
        <v>6.0548999999999698</v>
      </c>
      <c r="AD4245">
        <v>-1.151186</v>
      </c>
      <c r="AE4245">
        <v>-4.3737899999999996</v>
      </c>
      <c r="AF4245">
        <v>3.1829890508121998</v>
      </c>
      <c r="AG4245">
        <v>-1.151186</v>
      </c>
      <c r="AH4245">
        <v>6.5651736962313398</v>
      </c>
      <c r="AI4245">
        <v>98.966281175197807</v>
      </c>
      <c r="AJ4245">
        <v>64.1345297905861</v>
      </c>
      <c r="AK4245">
        <v>7.3863491770883796</v>
      </c>
    </row>
    <row r="4246" spans="1:37" x14ac:dyDescent="0.2">
      <c r="A4246" t="str">
        <f>"20200111154148498"</f>
        <v>20200111154148498</v>
      </c>
      <c r="B4246" t="str">
        <f>"1578728508489990"</f>
        <v>1578728508489990</v>
      </c>
      <c r="C4246" t="s">
        <v>37</v>
      </c>
      <c r="D4246">
        <v>6.0546769999999999</v>
      </c>
      <c r="E4246">
        <v>0.57872380000000001</v>
      </c>
      <c r="F4246" t="s">
        <v>40</v>
      </c>
      <c r="G4246">
        <v>-314.63170000000002</v>
      </c>
      <c r="H4246">
        <v>-0.05</v>
      </c>
      <c r="I4246">
        <v>12.64073</v>
      </c>
      <c r="J4246">
        <v>-320.642</v>
      </c>
      <c r="K4246">
        <v>1.1008659999999999</v>
      </c>
      <c r="L4246">
        <v>17.033909999999999</v>
      </c>
      <c r="M4246">
        <v>0.98369869999999904</v>
      </c>
      <c r="N4246">
        <v>0</v>
      </c>
      <c r="O4246">
        <v>-0.17927089999999901</v>
      </c>
      <c r="P4246">
        <v>0.91336719999999905</v>
      </c>
      <c r="Q4246">
        <v>2.991409E-3</v>
      </c>
      <c r="R4246">
        <v>-0.40712589999999999</v>
      </c>
      <c r="S4246">
        <v>2.4947810000000001</v>
      </c>
      <c r="T4246">
        <v>-0.46348</v>
      </c>
      <c r="U4246">
        <v>-1.783569</v>
      </c>
      <c r="V4246">
        <v>0.23708499999999999</v>
      </c>
      <c r="W4246">
        <v>1.142173E-2</v>
      </c>
      <c r="X4246">
        <v>0.9714218</v>
      </c>
      <c r="Y4246">
        <v>0.42359920000000001</v>
      </c>
      <c r="Z4246">
        <v>-5.91930199999999E-3</v>
      </c>
      <c r="AA4246">
        <v>0.90583040000000004</v>
      </c>
      <c r="AB4246">
        <v>35</v>
      </c>
      <c r="AC4246">
        <v>6.0102999999999698</v>
      </c>
      <c r="AD4246">
        <v>-1.1508659999999999</v>
      </c>
      <c r="AE4246">
        <v>-4.3931800000000001</v>
      </c>
      <c r="AF4246">
        <v>3.1686920591110699</v>
      </c>
      <c r="AG4246">
        <v>-1.1508659999999999</v>
      </c>
      <c r="AH4246">
        <v>6.5441699866548202</v>
      </c>
      <c r="AI4246">
        <v>98.994311657039901</v>
      </c>
      <c r="AJ4246">
        <v>64.163699224048699</v>
      </c>
      <c r="AK4246">
        <v>7.3614715057292299</v>
      </c>
    </row>
    <row r="4247" spans="1:37" x14ac:dyDescent="0.2">
      <c r="A4247" t="str">
        <f>"20200111154148509"</f>
        <v>20200111154148509</v>
      </c>
      <c r="B4247" t="str">
        <f>"1578728508500726"</f>
        <v>1578728508500726</v>
      </c>
      <c r="C4247" t="s">
        <v>37</v>
      </c>
      <c r="D4247">
        <v>6.0254300000000001</v>
      </c>
      <c r="E4247">
        <v>0.57868730000000002</v>
      </c>
      <c r="F4247" t="s">
        <v>40</v>
      </c>
      <c r="G4247">
        <v>-314.54169999999999</v>
      </c>
      <c r="H4247">
        <v>-0.05</v>
      </c>
      <c r="I4247">
        <v>12.61772</v>
      </c>
      <c r="J4247">
        <v>-320.47149999999999</v>
      </c>
      <c r="K4247">
        <v>1.1005419999999999</v>
      </c>
      <c r="L4247">
        <v>16.999110000000002</v>
      </c>
      <c r="M4247">
        <v>0.98270170000000001</v>
      </c>
      <c r="N4247">
        <v>0</v>
      </c>
      <c r="O4247">
        <v>-0.1846641</v>
      </c>
      <c r="P4247">
        <v>0.91127990000000003</v>
      </c>
      <c r="Q4247">
        <v>2.9835609999999901E-3</v>
      </c>
      <c r="R4247">
        <v>-0.41177649999999999</v>
      </c>
      <c r="S4247">
        <v>2.4844360000000001</v>
      </c>
      <c r="T4247">
        <v>-0.46870590000000001</v>
      </c>
      <c r="U4247">
        <v>-1.7985529999999901</v>
      </c>
      <c r="V4247">
        <v>0.236712799999999</v>
      </c>
      <c r="W4247">
        <v>1.121671E-2</v>
      </c>
      <c r="X4247">
        <v>0.97151489999999996</v>
      </c>
      <c r="Y4247">
        <v>0.42400450000000001</v>
      </c>
      <c r="Z4247">
        <v>-5.1660930000000001E-3</v>
      </c>
      <c r="AA4247">
        <v>0.90564539999999905</v>
      </c>
      <c r="AB4247">
        <v>35</v>
      </c>
      <c r="AC4247">
        <v>5.9298000000000002</v>
      </c>
      <c r="AD4247">
        <v>-1.150542</v>
      </c>
      <c r="AE4247">
        <v>-4.3813899999999997</v>
      </c>
      <c r="AF4247">
        <v>3.1345612829418399</v>
      </c>
      <c r="AG4247">
        <v>-1.150542</v>
      </c>
      <c r="AH4247">
        <v>6.47918190971762</v>
      </c>
      <c r="AI4247">
        <v>99.081955580358894</v>
      </c>
      <c r="AJ4247">
        <v>64.1827824400266</v>
      </c>
      <c r="AK4247">
        <v>7.2889656021615403</v>
      </c>
    </row>
    <row r="4248" spans="1:37" x14ac:dyDescent="0.2">
      <c r="A4248" t="str">
        <f>"20200111154148520"</f>
        <v>20200111154148520</v>
      </c>
      <c r="B4248" t="str">
        <f>"1578728508510486"</f>
        <v>1578728508510486</v>
      </c>
      <c r="C4248" t="s">
        <v>37</v>
      </c>
      <c r="D4248">
        <v>6.042751</v>
      </c>
      <c r="E4248">
        <v>0.57868219999999904</v>
      </c>
      <c r="F4248" t="s">
        <v>40</v>
      </c>
      <c r="G4248">
        <v>-314.42840000000001</v>
      </c>
      <c r="H4248">
        <v>-0.05</v>
      </c>
      <c r="I4248">
        <v>12.57719</v>
      </c>
      <c r="J4248">
        <v>-320.30689999999998</v>
      </c>
      <c r="K4248">
        <v>1.100204</v>
      </c>
      <c r="L4248">
        <v>16.964970000000001</v>
      </c>
      <c r="M4248">
        <v>0.98172440000000005</v>
      </c>
      <c r="N4248">
        <v>0</v>
      </c>
      <c r="O4248">
        <v>-0.18978970000000001</v>
      </c>
      <c r="P4248">
        <v>0.90932029999999997</v>
      </c>
      <c r="Q4248">
        <v>3.520652E-3</v>
      </c>
      <c r="R4248">
        <v>-0.41608240000000002</v>
      </c>
      <c r="S4248">
        <v>2.4751889999999999</v>
      </c>
      <c r="T4248">
        <v>-0.47125329999999899</v>
      </c>
      <c r="U4248">
        <v>-1.811188</v>
      </c>
      <c r="V4248">
        <v>0.23625839999999901</v>
      </c>
      <c r="W4248">
        <v>1.165918E-2</v>
      </c>
      <c r="X4248">
        <v>0.97162029999999999</v>
      </c>
      <c r="Y4248">
        <v>0.4239327</v>
      </c>
      <c r="Z4248">
        <v>-4.3710279999999999E-3</v>
      </c>
      <c r="AA4248">
        <v>0.90568320000000002</v>
      </c>
      <c r="AB4248">
        <v>35</v>
      </c>
      <c r="AC4248">
        <v>5.8784999999999696</v>
      </c>
      <c r="AD4248">
        <v>-1.150204</v>
      </c>
      <c r="AE4248">
        <v>-4.3877800000000002</v>
      </c>
      <c r="AF4248">
        <v>3.1156250529367799</v>
      </c>
      <c r="AG4248">
        <v>-1.150204</v>
      </c>
      <c r="AH4248">
        <v>6.4459905921526497</v>
      </c>
      <c r="AI4248">
        <v>99.126868511165</v>
      </c>
      <c r="AJ4248">
        <v>64.203520050493296</v>
      </c>
      <c r="AK4248">
        <v>7.2512677116642097</v>
      </c>
    </row>
    <row r="4249" spans="1:37" x14ac:dyDescent="0.2">
      <c r="A4249" t="str">
        <f>"20200111154148530"</f>
        <v>20200111154148530</v>
      </c>
      <c r="B4249" t="str">
        <f>"1578728508520246"</f>
        <v>1578728508520246</v>
      </c>
      <c r="C4249" t="s">
        <v>37</v>
      </c>
      <c r="D4249">
        <v>6.0803399999999996</v>
      </c>
      <c r="E4249">
        <v>0.57853880000000002</v>
      </c>
      <c r="F4249" t="s">
        <v>40</v>
      </c>
      <c r="G4249">
        <v>-314.2901</v>
      </c>
      <c r="H4249">
        <v>-0.05</v>
      </c>
      <c r="I4249">
        <v>12.5184199999999</v>
      </c>
      <c r="J4249">
        <v>-320.14830000000001</v>
      </c>
      <c r="K4249">
        <v>1.0998030000000001</v>
      </c>
      <c r="L4249">
        <v>16.93085</v>
      </c>
      <c r="M4249">
        <v>0.98075119999999905</v>
      </c>
      <c r="N4249">
        <v>0</v>
      </c>
      <c r="O4249">
        <v>-0.19474439999999901</v>
      </c>
      <c r="P4249">
        <v>0.90735809999999995</v>
      </c>
      <c r="Q4249">
        <v>3.6123919999999999E-3</v>
      </c>
      <c r="R4249">
        <v>-0.42034389999999999</v>
      </c>
      <c r="S4249">
        <v>2.4668269999999999</v>
      </c>
      <c r="T4249">
        <v>-0.47156890000000001</v>
      </c>
      <c r="U4249">
        <v>-1.823029</v>
      </c>
      <c r="V4249">
        <v>0.23592299999999999</v>
      </c>
      <c r="W4249">
        <v>1.177457E-2</v>
      </c>
      <c r="X4249">
        <v>0.97170040000000002</v>
      </c>
      <c r="Y4249">
        <v>0.42369620000000002</v>
      </c>
      <c r="Z4249">
        <v>-3.5621509999999999E-3</v>
      </c>
      <c r="AA4249">
        <v>0.90579739999999997</v>
      </c>
      <c r="AB4249">
        <v>35</v>
      </c>
      <c r="AC4249">
        <v>5.8582000000000098</v>
      </c>
      <c r="AD4249">
        <v>-1.1498029999999999</v>
      </c>
      <c r="AE4249">
        <v>-4.4124299999999996</v>
      </c>
      <c r="AF4249">
        <v>3.11051304446302</v>
      </c>
      <c r="AG4249">
        <v>-1.1498029999999999</v>
      </c>
      <c r="AH4249">
        <v>6.4469406847045096</v>
      </c>
      <c r="AI4249">
        <v>99.125453741412301</v>
      </c>
      <c r="AJ4249">
        <v>64.243670035302102</v>
      </c>
      <c r="AK4249">
        <v>7.2498539661624797</v>
      </c>
    </row>
    <row r="4250" spans="1:37" x14ac:dyDescent="0.2">
      <c r="A4250" t="str">
        <f>"20200111154148540"</f>
        <v>20200111154148540</v>
      </c>
      <c r="B4250" t="str">
        <f>"1578728508530006"</f>
        <v>1578728508530006</v>
      </c>
      <c r="C4250" t="s">
        <v>37</v>
      </c>
      <c r="D4250">
        <v>6.1200010000000002</v>
      </c>
      <c r="E4250">
        <v>0.57853880000000002</v>
      </c>
      <c r="F4250" t="s">
        <v>40</v>
      </c>
      <c r="G4250">
        <v>-314.22250000000003</v>
      </c>
      <c r="H4250">
        <v>-0.05</v>
      </c>
      <c r="I4250">
        <v>12.511060000000001</v>
      </c>
      <c r="J4250">
        <v>-319.98129999999998</v>
      </c>
      <c r="K4250">
        <v>1.099362</v>
      </c>
      <c r="L4250">
        <v>16.89453</v>
      </c>
      <c r="M4250">
        <v>0.97969810000000002</v>
      </c>
      <c r="N4250">
        <v>0</v>
      </c>
      <c r="O4250">
        <v>-0.1999599</v>
      </c>
      <c r="P4250">
        <v>0.90525469999999897</v>
      </c>
      <c r="Q4250">
        <v>3.8803459999999998E-3</v>
      </c>
      <c r="R4250">
        <v>-0.42485230000000002</v>
      </c>
      <c r="S4250">
        <v>2.4586790000000001</v>
      </c>
      <c r="T4250">
        <v>-0.47706949999999998</v>
      </c>
      <c r="U4250">
        <v>-1.8338319999999999</v>
      </c>
      <c r="V4250">
        <v>0.2356058</v>
      </c>
      <c r="W4250">
        <v>1.210309E-2</v>
      </c>
      <c r="X4250">
        <v>0.97177329999999995</v>
      </c>
      <c r="Y4250">
        <v>0.42288290000000001</v>
      </c>
      <c r="Z4250">
        <v>-2.6889499999999998E-3</v>
      </c>
      <c r="AA4250">
        <v>0.9061804</v>
      </c>
      <c r="AB4250">
        <v>35</v>
      </c>
      <c r="AC4250">
        <v>5.7587999999999502</v>
      </c>
      <c r="AD4250">
        <v>-1.149362</v>
      </c>
      <c r="AE4250">
        <v>-4.3834699999999902</v>
      </c>
      <c r="AF4250">
        <v>3.06594869596741</v>
      </c>
      <c r="AG4250">
        <v>-1.149362</v>
      </c>
      <c r="AH4250">
        <v>6.3587084917789998</v>
      </c>
      <c r="AI4250">
        <v>99.247531302581194</v>
      </c>
      <c r="AJ4250">
        <v>64.258247516759596</v>
      </c>
      <c r="AK4250">
        <v>7.15221980204542</v>
      </c>
    </row>
    <row r="4251" spans="1:37" x14ac:dyDescent="0.2">
      <c r="A4251" t="str">
        <f>"20200111154148552"</f>
        <v>20200111154148552</v>
      </c>
      <c r="B4251" t="str">
        <f>"1578728508540742"</f>
        <v>1578728508540742</v>
      </c>
      <c r="C4251" t="s">
        <v>37</v>
      </c>
      <c r="D4251">
        <v>6.0411519999999896</v>
      </c>
      <c r="E4251">
        <v>0.57884089999999999</v>
      </c>
      <c r="F4251" t="s">
        <v>40</v>
      </c>
      <c r="G4251">
        <v>-314.06990000000002</v>
      </c>
      <c r="H4251">
        <v>-0.05</v>
      </c>
      <c r="I4251">
        <v>12.440060000000001</v>
      </c>
      <c r="J4251">
        <v>-319.81720000000001</v>
      </c>
      <c r="K4251">
        <v>1.0988229999999899</v>
      </c>
      <c r="L4251">
        <v>16.857420000000001</v>
      </c>
      <c r="M4251">
        <v>0.97865530000000001</v>
      </c>
      <c r="N4251">
        <v>0</v>
      </c>
      <c r="O4251">
        <v>-0.20497579999999899</v>
      </c>
      <c r="P4251">
        <v>0.90315270000000003</v>
      </c>
      <c r="Q4251">
        <v>3.9862250000000004E-3</v>
      </c>
      <c r="R4251">
        <v>-0.42930159999999901</v>
      </c>
      <c r="S4251">
        <v>2.4497070000000001</v>
      </c>
      <c r="T4251">
        <v>-0.47629890000000003</v>
      </c>
      <c r="U4251">
        <v>-1.845947</v>
      </c>
      <c r="V4251">
        <v>0.2354291</v>
      </c>
      <c r="W4251">
        <v>1.2423979999999999E-2</v>
      </c>
      <c r="X4251">
        <v>0.97181209999999996</v>
      </c>
      <c r="Y4251">
        <v>0.4227629</v>
      </c>
      <c r="Z4251">
        <v>-1.86374E-3</v>
      </c>
      <c r="AA4251">
        <v>0.9062384</v>
      </c>
      <c r="AB4251">
        <v>35</v>
      </c>
      <c r="AC4251">
        <v>5.7472999999999903</v>
      </c>
      <c r="AD4251">
        <v>-1.1488229999999999</v>
      </c>
      <c r="AE4251">
        <v>-4.4173600000000004</v>
      </c>
      <c r="AF4251">
        <v>3.0682911445716701</v>
      </c>
      <c r="AG4251">
        <v>-1.1488229999999999</v>
      </c>
      <c r="AH4251">
        <v>6.3707730125286197</v>
      </c>
      <c r="AI4251">
        <v>99.228000756014097</v>
      </c>
      <c r="AJ4251">
        <v>64.283607706289501</v>
      </c>
      <c r="AK4251">
        <v>7.1638644327170997</v>
      </c>
    </row>
    <row r="4252" spans="1:37" x14ac:dyDescent="0.2">
      <c r="A4252" t="str">
        <f>"20200111154148564"</f>
        <v>20200111154148564</v>
      </c>
      <c r="B4252" t="str">
        <f>"1578728508560263"</f>
        <v>1578728508560263</v>
      </c>
      <c r="C4252" t="s">
        <v>37</v>
      </c>
      <c r="D4252">
        <v>6.0840709999999998</v>
      </c>
      <c r="E4252">
        <v>0.57924279999999995</v>
      </c>
      <c r="F4252" t="s">
        <v>40</v>
      </c>
      <c r="G4252">
        <v>-313.9556</v>
      </c>
      <c r="H4252">
        <v>-0.05</v>
      </c>
      <c r="I4252">
        <v>12.388030000000001</v>
      </c>
      <c r="J4252">
        <v>-319.649</v>
      </c>
      <c r="K4252">
        <v>1.0982529999999999</v>
      </c>
      <c r="L4252">
        <v>16.819120000000002</v>
      </c>
      <c r="M4252">
        <v>0.9775623</v>
      </c>
      <c r="N4252">
        <v>0</v>
      </c>
      <c r="O4252">
        <v>-0.21009639999999999</v>
      </c>
      <c r="P4252">
        <v>0.90096209999999899</v>
      </c>
      <c r="Q4252">
        <v>4.0707929999999996E-3</v>
      </c>
      <c r="R4252">
        <v>-0.43387890000000001</v>
      </c>
      <c r="S4252">
        <v>2.439575</v>
      </c>
      <c r="T4252">
        <v>-0.47813329999999998</v>
      </c>
      <c r="U4252">
        <v>-1.8601380000000001</v>
      </c>
      <c r="V4252">
        <v>0.23529339999999899</v>
      </c>
      <c r="W4252">
        <v>1.275106E-2</v>
      </c>
      <c r="X4252">
        <v>0.971840699999999</v>
      </c>
      <c r="Y4252">
        <v>0.42320279999999999</v>
      </c>
      <c r="Z4252">
        <v>-1.0778980000000001E-3</v>
      </c>
      <c r="AA4252">
        <v>0.90603440000000002</v>
      </c>
      <c r="AB4252">
        <v>35</v>
      </c>
      <c r="AC4252">
        <v>5.6933999999999898</v>
      </c>
      <c r="AD4252">
        <v>-1.148253</v>
      </c>
      <c r="AE4252">
        <v>-4.4310900000000002</v>
      </c>
      <c r="AF4252">
        <v>3.0583931290263</v>
      </c>
      <c r="AG4252">
        <v>-1.148253</v>
      </c>
      <c r="AH4252">
        <v>6.33683997416796</v>
      </c>
      <c r="AI4252">
        <v>99.268411866658099</v>
      </c>
      <c r="AJ4252">
        <v>64.2363261723618</v>
      </c>
      <c r="AK4252">
        <v>7.1293614259551497</v>
      </c>
    </row>
    <row r="4253" spans="1:37" x14ac:dyDescent="0.2">
      <c r="A4253" t="str">
        <f>"20200111154148575"</f>
        <v>20200111154148575</v>
      </c>
      <c r="B4253" t="str">
        <f>"1578728508570022"</f>
        <v>1578728508570022</v>
      </c>
      <c r="C4253" t="s">
        <v>37</v>
      </c>
      <c r="D4253">
        <v>6.0044190000000004</v>
      </c>
      <c r="E4253">
        <v>0.57940069999999999</v>
      </c>
      <c r="F4253" t="s">
        <v>40</v>
      </c>
      <c r="G4253">
        <v>-313.84530000000001</v>
      </c>
      <c r="H4253">
        <v>-0.05</v>
      </c>
      <c r="I4253">
        <v>12.33783</v>
      </c>
      <c r="J4253">
        <v>-319.45769999999999</v>
      </c>
      <c r="K4253">
        <v>1.097477</v>
      </c>
      <c r="L4253">
        <v>16.773589999999999</v>
      </c>
      <c r="M4253">
        <v>0.97631699999999999</v>
      </c>
      <c r="N4253">
        <v>0</v>
      </c>
      <c r="O4253">
        <v>-0.21576100000000001</v>
      </c>
      <c r="P4253">
        <v>0.89847449999999995</v>
      </c>
      <c r="Q4253">
        <v>3.926204E-3</v>
      </c>
      <c r="R4253">
        <v>-0.4390077</v>
      </c>
      <c r="S4253">
        <v>2.4288020000000001</v>
      </c>
      <c r="T4253">
        <v>-0.48053809999999902</v>
      </c>
      <c r="U4253">
        <v>-1.875397</v>
      </c>
      <c r="V4253">
        <v>0.23521979999999901</v>
      </c>
      <c r="W4253">
        <v>1.3049059999999999E-2</v>
      </c>
      <c r="X4253">
        <v>0.97185460000000001</v>
      </c>
      <c r="Y4253">
        <v>0.42349829999999999</v>
      </c>
      <c r="Z4253">
        <v>-1.8385799999999999E-4</v>
      </c>
      <c r="AA4253">
        <v>0.9058969</v>
      </c>
      <c r="AB4253">
        <v>35</v>
      </c>
      <c r="AC4253">
        <v>5.6123999999999796</v>
      </c>
      <c r="AD4253">
        <v>-1.1474770000000001</v>
      </c>
      <c r="AE4253">
        <v>-4.4357599999999904</v>
      </c>
      <c r="AF4253">
        <v>3.0418982038114901</v>
      </c>
      <c r="AG4253">
        <v>-1.1474770000000001</v>
      </c>
      <c r="AH4253">
        <v>6.2758828167731302</v>
      </c>
      <c r="AI4253">
        <v>99.343226545426504</v>
      </c>
      <c r="AJ4253">
        <v>64.140695980565795</v>
      </c>
      <c r="AK4253">
        <v>7.0679949970093299</v>
      </c>
    </row>
    <row r="4254" spans="1:37" x14ac:dyDescent="0.2">
      <c r="A4254" t="str">
        <f>"20200111154148587"</f>
        <v>20200111154148587</v>
      </c>
      <c r="B4254" t="str">
        <f>"1578728508580758"</f>
        <v>1578728508580758</v>
      </c>
      <c r="C4254" t="s">
        <v>37</v>
      </c>
      <c r="D4254">
        <v>6.0416259999999999</v>
      </c>
      <c r="E4254">
        <v>0.57944949999999995</v>
      </c>
      <c r="F4254" t="s">
        <v>40</v>
      </c>
      <c r="G4254">
        <v>-313.7079</v>
      </c>
      <c r="H4254">
        <v>-0.05</v>
      </c>
      <c r="I4254">
        <v>12.277389999999899</v>
      </c>
      <c r="J4254">
        <v>-319.27449999999999</v>
      </c>
      <c r="K4254">
        <v>1.0966910000000001</v>
      </c>
      <c r="L4254">
        <v>16.729220000000002</v>
      </c>
      <c r="M4254">
        <v>0.97509869999999899</v>
      </c>
      <c r="N4254">
        <v>0</v>
      </c>
      <c r="O4254">
        <v>-0.221154299999999</v>
      </c>
      <c r="P4254">
        <v>0.89608189999999999</v>
      </c>
      <c r="Q4254">
        <v>3.6198259999999901E-3</v>
      </c>
      <c r="R4254">
        <v>-0.443874299999999</v>
      </c>
      <c r="S4254">
        <v>2.41741899999999</v>
      </c>
      <c r="T4254">
        <v>-0.48244330000000002</v>
      </c>
      <c r="U4254">
        <v>-1.8903810000000001</v>
      </c>
      <c r="V4254">
        <v>0.23513589999999901</v>
      </c>
      <c r="W4254">
        <v>1.320354E-2</v>
      </c>
      <c r="X4254">
        <v>0.97187279999999998</v>
      </c>
      <c r="Y4254">
        <v>0.4240814</v>
      </c>
      <c r="Z4254">
        <v>6.493181E-4</v>
      </c>
      <c r="AA4254">
        <v>0.90562389999999904</v>
      </c>
      <c r="AB4254">
        <v>35</v>
      </c>
      <c r="AC4254">
        <v>5.5665999999999896</v>
      </c>
      <c r="AD4254">
        <v>-1.1466909999999999</v>
      </c>
      <c r="AE4254">
        <v>-4.4518300000000002</v>
      </c>
      <c r="AF4254">
        <v>3.0318540777306602</v>
      </c>
      <c r="AG4254">
        <v>-1.1466909999999999</v>
      </c>
      <c r="AH4254">
        <v>6.2516050894537596</v>
      </c>
      <c r="AI4254">
        <v>99.371560492094403</v>
      </c>
      <c r="AJ4254">
        <v>64.1279087102847</v>
      </c>
      <c r="AK4254">
        <v>7.04198875266193</v>
      </c>
    </row>
    <row r="4255" spans="1:37" x14ac:dyDescent="0.2">
      <c r="A4255" t="str">
        <f>"20200111154148599"</f>
        <v>20200111154148599</v>
      </c>
      <c r="B4255" t="str">
        <f>"1578728508590518"</f>
        <v>1578728508590518</v>
      </c>
      <c r="C4255" t="s">
        <v>37</v>
      </c>
      <c r="D4255">
        <v>5.9820900000000004</v>
      </c>
      <c r="E4255">
        <v>0.5796076</v>
      </c>
      <c r="F4255" t="s">
        <v>40</v>
      </c>
      <c r="G4255">
        <v>-313.57530000000003</v>
      </c>
      <c r="H4255">
        <v>-0.05</v>
      </c>
      <c r="I4255">
        <v>12.22139</v>
      </c>
      <c r="J4255">
        <v>-319.08159999999998</v>
      </c>
      <c r="K4255">
        <v>1.095793</v>
      </c>
      <c r="L4255">
        <v>16.681179999999902</v>
      </c>
      <c r="M4255">
        <v>0.97379210000000005</v>
      </c>
      <c r="N4255">
        <v>0</v>
      </c>
      <c r="O4255">
        <v>-0.22678129999999999</v>
      </c>
      <c r="P4255">
        <v>0.89361039999999903</v>
      </c>
      <c r="Q4255">
        <v>3.570925E-3</v>
      </c>
      <c r="R4255">
        <v>-0.44882919999999998</v>
      </c>
      <c r="S4255">
        <v>2.40686</v>
      </c>
      <c r="T4255">
        <v>-0.48426219999999998</v>
      </c>
      <c r="U4255">
        <v>-1.9037169999999899</v>
      </c>
      <c r="V4255">
        <v>0.23493240000000001</v>
      </c>
      <c r="W4255">
        <v>1.370942E-2</v>
      </c>
      <c r="X4255">
        <v>0.97191510000000003</v>
      </c>
      <c r="Y4255">
        <v>0.42392029999999897</v>
      </c>
      <c r="Z4255">
        <v>1.594491E-3</v>
      </c>
      <c r="AA4255">
        <v>0.90569809999999995</v>
      </c>
      <c r="AB4255">
        <v>35</v>
      </c>
      <c r="AC4255">
        <v>5.5062999999999498</v>
      </c>
      <c r="AD4255">
        <v>-1.1457930000000001</v>
      </c>
      <c r="AE4255">
        <v>-4.4597899999999902</v>
      </c>
      <c r="AF4255">
        <v>3.0157900014364301</v>
      </c>
      <c r="AG4255">
        <v>-1.1457930000000001</v>
      </c>
      <c r="AH4255">
        <v>6.21191597185984</v>
      </c>
      <c r="AI4255">
        <v>99.421249522985804</v>
      </c>
      <c r="AJ4255">
        <v>64.104137493818001</v>
      </c>
      <c r="AK4255">
        <v>6.9996950628623997</v>
      </c>
    </row>
    <row r="4256" spans="1:37" x14ac:dyDescent="0.2">
      <c r="A4256" t="str">
        <f>"20200111154148611"</f>
        <v>20200111154148611</v>
      </c>
      <c r="B4256" t="str">
        <f>"1578728508600278"</f>
        <v>1578728508600278</v>
      </c>
      <c r="C4256" t="s">
        <v>37</v>
      </c>
      <c r="D4256">
        <v>6.0088089999999896</v>
      </c>
      <c r="E4256">
        <v>0.5798352</v>
      </c>
      <c r="F4256" t="s">
        <v>40</v>
      </c>
      <c r="G4256">
        <v>-313.41300000000001</v>
      </c>
      <c r="H4256">
        <v>-0.05</v>
      </c>
      <c r="I4256">
        <v>12.141389999999999</v>
      </c>
      <c r="J4256">
        <v>-318.91669999999999</v>
      </c>
      <c r="K4256">
        <v>1.094981</v>
      </c>
      <c r="L4256">
        <v>16.638670000000001</v>
      </c>
      <c r="M4256">
        <v>0.97264340000000005</v>
      </c>
      <c r="N4256">
        <v>0</v>
      </c>
      <c r="O4256">
        <v>-0.2316066</v>
      </c>
      <c r="P4256">
        <v>0.89137169999999899</v>
      </c>
      <c r="Q4256">
        <v>3.5009450000000001E-3</v>
      </c>
      <c r="R4256">
        <v>-0.4532602</v>
      </c>
      <c r="S4256">
        <v>2.395508</v>
      </c>
      <c r="T4256">
        <v>-0.484205099999999</v>
      </c>
      <c r="U4256">
        <v>-1.918488</v>
      </c>
      <c r="V4256">
        <v>0.23496120000000001</v>
      </c>
      <c r="W4256">
        <v>1.4157599999999999E-2</v>
      </c>
      <c r="X4256">
        <v>0.97190169999999998</v>
      </c>
      <c r="Y4256">
        <v>0.42496919999999999</v>
      </c>
      <c r="Z4256">
        <v>2.2983890000000001E-3</v>
      </c>
      <c r="AA4256">
        <v>0.90520489999999998</v>
      </c>
      <c r="AB4256">
        <v>35</v>
      </c>
      <c r="AC4256">
        <v>5.5036999999999798</v>
      </c>
      <c r="AD4256">
        <v>-1.144981</v>
      </c>
      <c r="AE4256">
        <v>-4.4972799999999999</v>
      </c>
      <c r="AF4256">
        <v>3.0216408088520899</v>
      </c>
      <c r="AG4256">
        <v>-1.144981</v>
      </c>
      <c r="AH4256">
        <v>6.2339883568476804</v>
      </c>
      <c r="AI4256">
        <v>99.3847764113805</v>
      </c>
      <c r="AJ4256">
        <v>64.140333524091403</v>
      </c>
      <c r="AK4256">
        <v>7.0216739814230698</v>
      </c>
    </row>
    <row r="4257" spans="1:37" x14ac:dyDescent="0.2">
      <c r="A4257" t="str">
        <f>"20200111154148628"</f>
        <v>20200111154148628</v>
      </c>
      <c r="B4257" t="str">
        <f>"1578728508620774"</f>
        <v>1578728508620774</v>
      </c>
      <c r="C4257" t="s">
        <v>37</v>
      </c>
      <c r="D4257">
        <v>6.0593379999999897</v>
      </c>
      <c r="E4257">
        <v>0.58008439999999994</v>
      </c>
      <c r="F4257" t="s">
        <v>40</v>
      </c>
      <c r="G4257">
        <v>-313.26369999999997</v>
      </c>
      <c r="H4257">
        <v>-0.05</v>
      </c>
      <c r="I4257">
        <v>12.0584899999999</v>
      </c>
      <c r="J4257">
        <v>-318.65350000000001</v>
      </c>
      <c r="K4257">
        <v>1.093691</v>
      </c>
      <c r="L4257">
        <v>16.569269999999999</v>
      </c>
      <c r="M4257">
        <v>0.97067700000000001</v>
      </c>
      <c r="N4257">
        <v>0</v>
      </c>
      <c r="O4257">
        <v>-0.23963379999999901</v>
      </c>
      <c r="P4257">
        <v>0.88728399999999996</v>
      </c>
      <c r="Q4257">
        <v>3.6088380000000001E-3</v>
      </c>
      <c r="R4257">
        <v>-0.46121009999999901</v>
      </c>
      <c r="S4257">
        <v>2.3849179999999999</v>
      </c>
      <c r="T4257">
        <v>-0.48305039999999999</v>
      </c>
      <c r="U4257">
        <v>-1.93231199999999</v>
      </c>
      <c r="V4257">
        <v>0.2356596</v>
      </c>
      <c r="W4257">
        <v>1.5086860000000001E-2</v>
      </c>
      <c r="X4257">
        <v>0.97171849999999904</v>
      </c>
      <c r="Y4257">
        <v>0.42275479999999999</v>
      </c>
      <c r="Z4257">
        <v>3.8120630000000001E-3</v>
      </c>
      <c r="AA4257">
        <v>0.90623609999999899</v>
      </c>
      <c r="AB4257">
        <v>35</v>
      </c>
      <c r="AC4257">
        <v>5.3898000000000303</v>
      </c>
      <c r="AD4257">
        <v>-1.143691</v>
      </c>
      <c r="AE4257">
        <v>-4.5107799999999996</v>
      </c>
      <c r="AF4257">
        <v>3.0078433732695502</v>
      </c>
      <c r="AG4257">
        <v>-1.143691</v>
      </c>
      <c r="AH4257">
        <v>6.1509559162154002</v>
      </c>
      <c r="AI4257">
        <v>99.482876556942301</v>
      </c>
      <c r="AJ4257">
        <v>63.941171864812098</v>
      </c>
      <c r="AK4257">
        <v>6.9418592282491502</v>
      </c>
    </row>
    <row r="4258" spans="1:37" x14ac:dyDescent="0.2">
      <c r="A4258" t="str">
        <f>"20200111154148640"</f>
        <v>20200111154148640</v>
      </c>
      <c r="B4258" t="str">
        <f>"1578728508630534"</f>
        <v>1578728508630534</v>
      </c>
      <c r="C4258" t="s">
        <v>37</v>
      </c>
      <c r="D4258">
        <v>6.0138339999999904</v>
      </c>
      <c r="E4258">
        <v>0.58059939999999999</v>
      </c>
      <c r="F4258" t="s">
        <v>40</v>
      </c>
      <c r="G4258">
        <v>-313.04860000000002</v>
      </c>
      <c r="H4258">
        <v>-0.05</v>
      </c>
      <c r="I4258">
        <v>11.93854</v>
      </c>
      <c r="J4258">
        <v>-318.46550000000002</v>
      </c>
      <c r="K4258">
        <v>1.0928059999999999</v>
      </c>
      <c r="L4258">
        <v>16.518249999999998</v>
      </c>
      <c r="M4258">
        <v>0.9690955</v>
      </c>
      <c r="N4258">
        <v>0</v>
      </c>
      <c r="O4258">
        <v>-0.24589929999999999</v>
      </c>
      <c r="P4258">
        <v>0.88402719999999901</v>
      </c>
      <c r="Q4258">
        <v>3.2998979999999999E-3</v>
      </c>
      <c r="R4258">
        <v>-0.46742339999999999</v>
      </c>
      <c r="S4258">
        <v>2.3666990000000001</v>
      </c>
      <c r="T4258">
        <v>-0.48292170000000001</v>
      </c>
      <c r="U4258">
        <v>-1.955322</v>
      </c>
      <c r="V4258">
        <v>0.23620909999999901</v>
      </c>
      <c r="W4258">
        <v>1.53467E-2</v>
      </c>
      <c r="X4258">
        <v>0.97158099999999903</v>
      </c>
      <c r="Y4258">
        <v>0.42559849999999999</v>
      </c>
      <c r="Z4258">
        <v>4.5954960000000001E-3</v>
      </c>
      <c r="AA4258">
        <v>0.90490040000000005</v>
      </c>
      <c r="AB4258">
        <v>35</v>
      </c>
      <c r="AC4258">
        <v>5.4168999999999903</v>
      </c>
      <c r="AD4258">
        <v>-1.142806</v>
      </c>
      <c r="AE4258">
        <v>-4.5797099999999897</v>
      </c>
      <c r="AF4258">
        <v>3.02816786949474</v>
      </c>
      <c r="AG4258">
        <v>-1.142806</v>
      </c>
      <c r="AH4258">
        <v>6.21554696204349</v>
      </c>
      <c r="AI4258">
        <v>99.385541747894706</v>
      </c>
      <c r="AJ4258">
        <v>64.0250034298722</v>
      </c>
      <c r="AK4258">
        <v>7.0077692767987401</v>
      </c>
    </row>
    <row r="4259" spans="1:37" x14ac:dyDescent="0.2">
      <c r="A4259" t="str">
        <f>"20200111154148652"</f>
        <v>20200111154148652</v>
      </c>
      <c r="B4259" t="str">
        <f>"1578728508640295"</f>
        <v>1578728508640295</v>
      </c>
      <c r="C4259" t="s">
        <v>37</v>
      </c>
      <c r="D4259">
        <v>6.0229619999999997</v>
      </c>
      <c r="E4259">
        <v>0.58078750000000001</v>
      </c>
      <c r="F4259" t="s">
        <v>40</v>
      </c>
      <c r="G4259">
        <v>-312.94900000000001</v>
      </c>
      <c r="H4259">
        <v>-0.05</v>
      </c>
      <c r="I4259">
        <v>11.88232</v>
      </c>
      <c r="J4259">
        <v>-318.29390000000001</v>
      </c>
      <c r="K4259">
        <v>1.09195</v>
      </c>
      <c r="L4259">
        <v>16.47025</v>
      </c>
      <c r="M4259">
        <v>0.96752549999999904</v>
      </c>
      <c r="N4259">
        <v>0</v>
      </c>
      <c r="O4259">
        <v>-0.2519615</v>
      </c>
      <c r="P4259">
        <v>0.88086629999999999</v>
      </c>
      <c r="Q4259">
        <v>2.9803500000000001E-3</v>
      </c>
      <c r="R4259">
        <v>-0.47335630000000001</v>
      </c>
      <c r="S4259">
        <v>2.3508</v>
      </c>
      <c r="T4259">
        <v>-0.48699529999999902</v>
      </c>
      <c r="U4259">
        <v>-1.9755549999999999</v>
      </c>
      <c r="V4259">
        <v>0.2366636</v>
      </c>
      <c r="W4259">
        <v>1.552454E-2</v>
      </c>
      <c r="X4259">
        <v>0.97146759999999999</v>
      </c>
      <c r="Y4259">
        <v>0.42752279999999998</v>
      </c>
      <c r="Z4259">
        <v>5.4733230000000004E-3</v>
      </c>
      <c r="AA4259">
        <v>0.90398789999999996</v>
      </c>
      <c r="AB4259">
        <v>35</v>
      </c>
      <c r="AC4259">
        <v>5.3448999999999902</v>
      </c>
      <c r="AD4259">
        <v>-1.14195</v>
      </c>
      <c r="AE4259">
        <v>-4.5879300000000001</v>
      </c>
      <c r="AF4259">
        <v>3.0136582197242099</v>
      </c>
      <c r="AG4259">
        <v>-1.14195</v>
      </c>
      <c r="AH4259">
        <v>6.1665350139668096</v>
      </c>
      <c r="AI4259">
        <v>99.446282902175696</v>
      </c>
      <c r="AJ4259">
        <v>63.9546959523922</v>
      </c>
      <c r="AK4259">
        <v>6.9578976527604999</v>
      </c>
    </row>
    <row r="4260" spans="1:37" x14ac:dyDescent="0.2">
      <c r="A4260" t="str">
        <f>"20200111154148663"</f>
        <v>20200111154148663</v>
      </c>
      <c r="B4260" t="str">
        <f>"1578728508660791"</f>
        <v>1578728508660791</v>
      </c>
      <c r="C4260" t="s">
        <v>37</v>
      </c>
      <c r="D4260">
        <v>5.974405</v>
      </c>
      <c r="E4260">
        <v>0.58109250000000001</v>
      </c>
      <c r="F4260" t="s">
        <v>40</v>
      </c>
      <c r="G4260">
        <v>-312.84350000000001</v>
      </c>
      <c r="H4260">
        <v>-0.05</v>
      </c>
      <c r="I4260">
        <v>11.822850000000001</v>
      </c>
      <c r="J4260">
        <v>-318.11329999999998</v>
      </c>
      <c r="K4260">
        <v>1.0910200000000001</v>
      </c>
      <c r="L4260">
        <v>16.419219999999999</v>
      </c>
      <c r="M4260">
        <v>0.9658021</v>
      </c>
      <c r="N4260">
        <v>0</v>
      </c>
      <c r="O4260">
        <v>-0.25844349999999999</v>
      </c>
      <c r="P4260">
        <v>0.87720569999999898</v>
      </c>
      <c r="Q4260">
        <v>2.8076289999999999E-3</v>
      </c>
      <c r="R4260">
        <v>-0.4801069</v>
      </c>
      <c r="S4260">
        <v>2.3367</v>
      </c>
      <c r="T4260">
        <v>-0.48957650000000003</v>
      </c>
      <c r="U4260">
        <v>-1.992432</v>
      </c>
      <c r="V4260">
        <v>0.2376199</v>
      </c>
      <c r="W4260">
        <v>1.5847320000000002E-2</v>
      </c>
      <c r="X4260">
        <v>0.97122900000000001</v>
      </c>
      <c r="Y4260">
        <v>0.427981</v>
      </c>
      <c r="Z4260">
        <v>6.5494809999999898E-3</v>
      </c>
      <c r="AA4260">
        <v>0.90376399999999901</v>
      </c>
      <c r="AB4260">
        <v>35</v>
      </c>
      <c r="AC4260">
        <v>5.2697999999999698</v>
      </c>
      <c r="AD4260">
        <v>-1.1410199999999999</v>
      </c>
      <c r="AE4260">
        <v>-4.5963700000000003</v>
      </c>
      <c r="AF4260">
        <v>2.99807919311829</v>
      </c>
      <c r="AG4260">
        <v>-1.1410199999999999</v>
      </c>
      <c r="AH4260">
        <v>6.11600345876652</v>
      </c>
      <c r="AI4260">
        <v>99.509796102340204</v>
      </c>
      <c r="AJ4260">
        <v>63.885798219194399</v>
      </c>
      <c r="AK4260">
        <v>6.9062221073646999</v>
      </c>
    </row>
    <row r="4261" spans="1:37" x14ac:dyDescent="0.2">
      <c r="A4261" t="str">
        <f>"20200111154148675"</f>
        <v>20200111154148675</v>
      </c>
      <c r="B4261" t="str">
        <f>"1578728508670550"</f>
        <v>1578728508670550</v>
      </c>
      <c r="C4261" t="s">
        <v>37</v>
      </c>
      <c r="D4261">
        <v>5.9721890000000002</v>
      </c>
      <c r="E4261">
        <v>0.58109250000000001</v>
      </c>
      <c r="F4261" t="s">
        <v>40</v>
      </c>
      <c r="G4261">
        <v>-312.74299999999999</v>
      </c>
      <c r="H4261">
        <v>-0.05</v>
      </c>
      <c r="I4261">
        <v>11.76042</v>
      </c>
      <c r="J4261">
        <v>-317.92919999999998</v>
      </c>
      <c r="K4261">
        <v>1.0898600000000001</v>
      </c>
      <c r="L4261">
        <v>16.365259999999999</v>
      </c>
      <c r="M4261">
        <v>0.96395710000000001</v>
      </c>
      <c r="N4261">
        <v>0</v>
      </c>
      <c r="O4261">
        <v>-0.26519690000000001</v>
      </c>
      <c r="P4261">
        <v>0.87331510000000001</v>
      </c>
      <c r="Q4261">
        <v>2.58801E-3</v>
      </c>
      <c r="R4261">
        <v>-0.48714970000000002</v>
      </c>
      <c r="S4261">
        <v>2.3200069999999999</v>
      </c>
      <c r="T4261">
        <v>-0.49292979999999997</v>
      </c>
      <c r="U4261">
        <v>-2.0126339999999998</v>
      </c>
      <c r="V4261">
        <v>0.2386498</v>
      </c>
      <c r="W4261">
        <v>1.6058059999999999E-2</v>
      </c>
      <c r="X4261">
        <v>0.97097289999999903</v>
      </c>
      <c r="Y4261">
        <v>0.42939769999999999</v>
      </c>
      <c r="Z4261">
        <v>7.6093749999999998E-3</v>
      </c>
      <c r="AA4261">
        <v>0.90308339999999998</v>
      </c>
      <c r="AB4261">
        <v>35</v>
      </c>
      <c r="AC4261">
        <v>5.1861999999999799</v>
      </c>
      <c r="AD4261">
        <v>-1.1398600000000001</v>
      </c>
      <c r="AE4261">
        <v>-4.6048399999999896</v>
      </c>
      <c r="AF4261">
        <v>2.9836132427518098</v>
      </c>
      <c r="AG4261">
        <v>-1.1398600000000001</v>
      </c>
      <c r="AH4261">
        <v>6.0582448358446204</v>
      </c>
      <c r="AI4261">
        <v>99.580694712246896</v>
      </c>
      <c r="AJ4261">
        <v>63.780304361602496</v>
      </c>
      <c r="AK4261">
        <v>6.84861732709326</v>
      </c>
    </row>
    <row r="4262" spans="1:37" x14ac:dyDescent="0.2">
      <c r="A4262" t="str">
        <f>"20200111154148687"</f>
        <v>20200111154148687</v>
      </c>
      <c r="B4262" t="str">
        <f>"1578728508680310"</f>
        <v>1578728508680310</v>
      </c>
      <c r="C4262" t="s">
        <v>37</v>
      </c>
      <c r="D4262">
        <v>6.0361599999999997</v>
      </c>
      <c r="E4262">
        <v>0.59837890000000005</v>
      </c>
      <c r="F4262" t="s">
        <v>40</v>
      </c>
      <c r="G4262">
        <v>-312.6071</v>
      </c>
      <c r="H4262">
        <v>-0.05</v>
      </c>
      <c r="I4262">
        <v>11.6731</v>
      </c>
      <c r="J4262">
        <v>-317.75119999999998</v>
      </c>
      <c r="K4262">
        <v>1.0886400000000001</v>
      </c>
      <c r="L4262">
        <v>16.312159999999999</v>
      </c>
      <c r="M4262">
        <v>0.96212330000000001</v>
      </c>
      <c r="N4262">
        <v>0</v>
      </c>
      <c r="O4262">
        <v>-0.2717309</v>
      </c>
      <c r="P4262">
        <v>0.86959819999999999</v>
      </c>
      <c r="Q4262">
        <v>2.3786929999999999E-3</v>
      </c>
      <c r="R4262">
        <v>-0.49375479999999999</v>
      </c>
      <c r="S4262">
        <v>2.3037109999999998</v>
      </c>
      <c r="T4262">
        <v>-0.49339529999999898</v>
      </c>
      <c r="U4262">
        <v>-2.0310359999999998</v>
      </c>
      <c r="V4262">
        <v>0.2394355</v>
      </c>
      <c r="W4262">
        <v>1.6223979999999999E-2</v>
      </c>
      <c r="X4262">
        <v>0.97077669999999905</v>
      </c>
      <c r="Y4262">
        <v>0.43055399999999999</v>
      </c>
      <c r="Z4262">
        <v>8.6226979999999998E-3</v>
      </c>
      <c r="AA4262">
        <v>0.90252359999999898</v>
      </c>
      <c r="AB4262">
        <v>35</v>
      </c>
      <c r="AC4262">
        <v>5.1440999999999804</v>
      </c>
      <c r="AD4262">
        <v>-1.1386400000000001</v>
      </c>
      <c r="AE4262">
        <v>-4.6390599999999997</v>
      </c>
      <c r="AF4262">
        <v>2.9856028204376099</v>
      </c>
      <c r="AG4262">
        <v>-1.1386400000000001</v>
      </c>
      <c r="AH4262">
        <v>6.0479127793125498</v>
      </c>
      <c r="AI4262">
        <v>99.582310602472006</v>
      </c>
      <c r="AJ4262">
        <v>63.726364017985397</v>
      </c>
      <c r="AK4262">
        <v>6.8401443140607103</v>
      </c>
    </row>
    <row r="4263" spans="1:37" x14ac:dyDescent="0.2">
      <c r="A4263" t="str">
        <f>"20200111154148698"</f>
        <v>20200111154148698</v>
      </c>
      <c r="B4263" t="str">
        <f>"1578728508690070"</f>
        <v>1578728508690070</v>
      </c>
      <c r="C4263" t="s">
        <v>37</v>
      </c>
      <c r="D4263">
        <v>6.0218480000000003</v>
      </c>
      <c r="E4263">
        <v>0.60138959999999997</v>
      </c>
      <c r="F4263" t="s">
        <v>40</v>
      </c>
      <c r="G4263">
        <v>-312.72980000000001</v>
      </c>
      <c r="H4263">
        <v>-0.05</v>
      </c>
      <c r="I4263">
        <v>11.40588</v>
      </c>
      <c r="J4263">
        <v>-317.56560000000002</v>
      </c>
      <c r="K4263">
        <v>1.0872040000000001</v>
      </c>
      <c r="L4263">
        <v>16.25543</v>
      </c>
      <c r="M4263">
        <v>0.96015729999999999</v>
      </c>
      <c r="N4263">
        <v>0</v>
      </c>
      <c r="O4263">
        <v>-0.27855580000000002</v>
      </c>
      <c r="P4263">
        <v>0.86553849999999999</v>
      </c>
      <c r="Q4263">
        <v>2.5479489999999999E-3</v>
      </c>
      <c r="R4263">
        <v>-0.50083630000000001</v>
      </c>
      <c r="S4263">
        <v>2.2197269999999998</v>
      </c>
      <c r="T4263">
        <v>-0.50334279999999998</v>
      </c>
      <c r="U4263">
        <v>-2.1688540000000001</v>
      </c>
      <c r="V4263">
        <v>0.24049599999999999</v>
      </c>
      <c r="W4263">
        <v>1.6694549999999999E-2</v>
      </c>
      <c r="X4263">
        <v>0.97050650000000005</v>
      </c>
      <c r="Y4263">
        <v>0.46947919999999999</v>
      </c>
      <c r="Z4263">
        <v>6.3125339999999999E-3</v>
      </c>
      <c r="AA4263">
        <v>0.88292099999999996</v>
      </c>
      <c r="AB4263">
        <v>35</v>
      </c>
      <c r="AC4263">
        <v>4.8357999999999999</v>
      </c>
      <c r="AD4263">
        <v>-1.1372040000000001</v>
      </c>
      <c r="AE4263">
        <v>-4.8495499999999998</v>
      </c>
      <c r="AF4263">
        <v>3.22130669560481</v>
      </c>
      <c r="AG4263">
        <v>-1.1372040000000001</v>
      </c>
      <c r="AH4263">
        <v>5.8346367017648504</v>
      </c>
      <c r="AI4263">
        <v>99.683007690624393</v>
      </c>
      <c r="AJ4263">
        <v>61.096882715681303</v>
      </c>
      <c r="AK4263">
        <v>6.76114156088643</v>
      </c>
    </row>
    <row r="4264" spans="1:37" x14ac:dyDescent="0.2">
      <c r="A4264" t="str">
        <f>"20200111154148710"</f>
        <v>20200111154148710</v>
      </c>
      <c r="B4264" t="str">
        <f>"1578728508700806"</f>
        <v>1578728508700806</v>
      </c>
      <c r="C4264" t="s">
        <v>37</v>
      </c>
      <c r="D4264">
        <v>6.039847</v>
      </c>
      <c r="E4264">
        <v>0.60563959999999994</v>
      </c>
      <c r="F4264" t="s">
        <v>40</v>
      </c>
      <c r="G4264">
        <v>-312.59550000000002</v>
      </c>
      <c r="H4264">
        <v>-0.05</v>
      </c>
      <c r="I4264">
        <v>11.243869999999999</v>
      </c>
      <c r="J4264">
        <v>-317.40030000000002</v>
      </c>
      <c r="K4264">
        <v>1.0857699999999999</v>
      </c>
      <c r="L4264">
        <v>16.203399999999998</v>
      </c>
      <c r="M4264">
        <v>0.95836529999999998</v>
      </c>
      <c r="N4264">
        <v>0</v>
      </c>
      <c r="O4264">
        <v>-0.28462759999999998</v>
      </c>
      <c r="P4264">
        <v>0.86193390000000003</v>
      </c>
      <c r="Q4264">
        <v>2.4447879999999998E-3</v>
      </c>
      <c r="R4264">
        <v>-0.50701499999999999</v>
      </c>
      <c r="S4264">
        <v>2.18978899999999</v>
      </c>
      <c r="T4264">
        <v>-0.5010462</v>
      </c>
      <c r="U4264">
        <v>-2.2080690000000001</v>
      </c>
      <c r="V4264">
        <v>0.2413158</v>
      </c>
      <c r="W4264">
        <v>1.6758439999999999E-2</v>
      </c>
      <c r="X4264">
        <v>0.97030190000000005</v>
      </c>
      <c r="Y4264">
        <v>0.47776619999999997</v>
      </c>
      <c r="Z4264">
        <v>6.5475069999999897E-3</v>
      </c>
      <c r="AA4264">
        <v>0.87846259999999998</v>
      </c>
      <c r="AB4264">
        <v>35</v>
      </c>
      <c r="AC4264">
        <v>4.8048000000000002</v>
      </c>
      <c r="AD4264">
        <v>-1.1357699999999999</v>
      </c>
      <c r="AE4264">
        <v>-4.9595299999999902</v>
      </c>
      <c r="AF4264">
        <v>3.2971504464457899</v>
      </c>
      <c r="AG4264">
        <v>-1.1357699999999999</v>
      </c>
      <c r="AH4264">
        <v>5.85943115175683</v>
      </c>
      <c r="AI4264">
        <v>99.588331825732695</v>
      </c>
      <c r="AJ4264">
        <v>60.633181846065597</v>
      </c>
      <c r="AK4264">
        <v>6.8186588110548598</v>
      </c>
    </row>
    <row r="4265" spans="1:37" x14ac:dyDescent="0.2">
      <c r="A4265" t="str">
        <f>"20200111154148721"</f>
        <v>20200111154148721</v>
      </c>
      <c r="B4265" t="str">
        <f>"1578728508710566"</f>
        <v>1578728508710566</v>
      </c>
      <c r="C4265" t="s">
        <v>37</v>
      </c>
      <c r="D4265">
        <v>5.9783499999999998</v>
      </c>
      <c r="E4265">
        <v>0.61028899999999997</v>
      </c>
      <c r="F4265" t="s">
        <v>40</v>
      </c>
      <c r="G4265">
        <v>-312.4914</v>
      </c>
      <c r="H4265">
        <v>-0.05</v>
      </c>
      <c r="I4265">
        <v>11.07465</v>
      </c>
      <c r="J4265">
        <v>-317.23919999999998</v>
      </c>
      <c r="K4265">
        <v>1.0843149999999999</v>
      </c>
      <c r="L4265">
        <v>16.152010000000001</v>
      </c>
      <c r="M4265">
        <v>0.95658019999999999</v>
      </c>
      <c r="N4265">
        <v>0</v>
      </c>
      <c r="O4265">
        <v>-0.29054089999999999</v>
      </c>
      <c r="P4265">
        <v>0.85829109999999997</v>
      </c>
      <c r="Q4265">
        <v>2.4882929999999999E-3</v>
      </c>
      <c r="R4265">
        <v>-0.51315679999999997</v>
      </c>
      <c r="S4265">
        <v>2.156555</v>
      </c>
      <c r="T4265">
        <v>-0.49896200000000002</v>
      </c>
      <c r="U4265">
        <v>-2.2531430000000001</v>
      </c>
      <c r="V4265">
        <v>0.24227699999999999</v>
      </c>
      <c r="W4265">
        <v>1.691196E-2</v>
      </c>
      <c r="X4265">
        <v>0.97005969999999997</v>
      </c>
      <c r="Y4265">
        <v>0.48786479999999999</v>
      </c>
      <c r="Z4265">
        <v>6.5793099999999997E-3</v>
      </c>
      <c r="AA4265">
        <v>0.87289439999999996</v>
      </c>
      <c r="AB4265">
        <v>35</v>
      </c>
      <c r="AC4265">
        <v>4.7477999999999803</v>
      </c>
      <c r="AD4265">
        <v>-1.134315</v>
      </c>
      <c r="AE4265">
        <v>-5.0773599999999997</v>
      </c>
      <c r="AF4265">
        <v>3.3881928227532598</v>
      </c>
      <c r="AG4265">
        <v>-1.134315</v>
      </c>
      <c r="AH4265">
        <v>5.8623586255210602</v>
      </c>
      <c r="AI4265">
        <v>99.510124775647597</v>
      </c>
      <c r="AJ4265">
        <v>59.973922655251101</v>
      </c>
      <c r="AK4265">
        <v>6.8654038320846702</v>
      </c>
    </row>
    <row r="4266" spans="1:37" x14ac:dyDescent="0.2">
      <c r="A4266" t="str">
        <f>"20200111154148732"</f>
        <v>20200111154148732</v>
      </c>
      <c r="B4266" t="str">
        <f>"1578728508720326"</f>
        <v>1578728508720326</v>
      </c>
      <c r="C4266" t="s">
        <v>37</v>
      </c>
      <c r="D4266">
        <v>6.0090019999999997</v>
      </c>
      <c r="E4266">
        <v>0.61415189999999997</v>
      </c>
      <c r="F4266" t="s">
        <v>40</v>
      </c>
      <c r="G4266">
        <v>-312.41930000000002</v>
      </c>
      <c r="H4266">
        <v>-0.05</v>
      </c>
      <c r="I4266">
        <v>10.923739999999899</v>
      </c>
      <c r="J4266">
        <v>-317.08319999999998</v>
      </c>
      <c r="K4266">
        <v>1.0827910000000001</v>
      </c>
      <c r="L4266">
        <v>16.100339999999999</v>
      </c>
      <c r="M4266">
        <v>0.95484369999999996</v>
      </c>
      <c r="N4266">
        <v>0</v>
      </c>
      <c r="O4266">
        <v>-0.29617259999999901</v>
      </c>
      <c r="P4266">
        <v>0.85479039999999995</v>
      </c>
      <c r="Q4266">
        <v>2.6880229999999999E-3</v>
      </c>
      <c r="R4266">
        <v>-0.51896629999999999</v>
      </c>
      <c r="S4266">
        <v>2.121124</v>
      </c>
      <c r="T4266">
        <v>-0.49918559999999901</v>
      </c>
      <c r="U4266">
        <v>-2.3008419999999998</v>
      </c>
      <c r="V4266">
        <v>0.24317159999999999</v>
      </c>
      <c r="W4266">
        <v>1.7163689999999999E-2</v>
      </c>
      <c r="X4266">
        <v>0.96983140000000001</v>
      </c>
      <c r="Y4266">
        <v>0.49895439999999902</v>
      </c>
      <c r="Z4266">
        <v>6.492846E-3</v>
      </c>
      <c r="AA4266">
        <v>0.86660400000000004</v>
      </c>
      <c r="AB4266">
        <v>35</v>
      </c>
      <c r="AC4266">
        <v>4.6638999999999502</v>
      </c>
      <c r="AD4266">
        <v>-1.1327910000000001</v>
      </c>
      <c r="AE4266">
        <v>-5.1765999999999996</v>
      </c>
      <c r="AF4266">
        <v>3.47077675800743</v>
      </c>
      <c r="AG4266">
        <v>-1.1327910000000001</v>
      </c>
      <c r="AH4266">
        <v>5.8339273683568598</v>
      </c>
      <c r="AI4266">
        <v>99.473883656169704</v>
      </c>
      <c r="AJ4266">
        <v>59.250328578647</v>
      </c>
      <c r="AK4266">
        <v>6.8821664679713201</v>
      </c>
    </row>
    <row r="4267" spans="1:37" x14ac:dyDescent="0.2">
      <c r="A4267" t="str">
        <f>"20200111154148743"</f>
        <v>20200111154148743</v>
      </c>
      <c r="B4267" t="str">
        <f>"1578728508740822"</f>
        <v>1578728508740822</v>
      </c>
      <c r="C4267" t="s">
        <v>37</v>
      </c>
      <c r="D4267">
        <v>6.0521199999999897</v>
      </c>
      <c r="E4267">
        <v>0.61866140000000003</v>
      </c>
      <c r="F4267" t="s">
        <v>40</v>
      </c>
      <c r="G4267">
        <v>-312.29880000000003</v>
      </c>
      <c r="H4267">
        <v>-0.05</v>
      </c>
      <c r="I4267">
        <v>10.73906</v>
      </c>
      <c r="J4267">
        <v>-316.9126</v>
      </c>
      <c r="K4267">
        <v>1.0810949999999999</v>
      </c>
      <c r="L4267">
        <v>16.043399999999998</v>
      </c>
      <c r="M4267">
        <v>0.95291320000000002</v>
      </c>
      <c r="N4267">
        <v>0</v>
      </c>
      <c r="O4267">
        <v>-0.30229919999999999</v>
      </c>
      <c r="P4267">
        <v>0.8509698</v>
      </c>
      <c r="Q4267">
        <v>2.6701809999999898E-3</v>
      </c>
      <c r="R4267">
        <v>-0.52520819999999901</v>
      </c>
      <c r="S4267">
        <v>2.0895999999999999</v>
      </c>
      <c r="T4267">
        <v>-0.49474869999999999</v>
      </c>
      <c r="U4267">
        <v>-2.34155299999999</v>
      </c>
      <c r="V4267">
        <v>0.2440667</v>
      </c>
      <c r="W4267">
        <v>1.7187060000000001E-2</v>
      </c>
      <c r="X4267">
        <v>0.96960609999999903</v>
      </c>
      <c r="Y4267">
        <v>0.50740169999999996</v>
      </c>
      <c r="Z4267">
        <v>6.6757090000000002E-3</v>
      </c>
      <c r="AA4267">
        <v>0.8616838</v>
      </c>
      <c r="AB4267">
        <v>35</v>
      </c>
      <c r="AC4267">
        <v>4.6137999999999604</v>
      </c>
      <c r="AD4267">
        <v>-1.131095</v>
      </c>
      <c r="AE4267">
        <v>-5.3043399999999901</v>
      </c>
      <c r="AF4267">
        <v>3.5684993066515398</v>
      </c>
      <c r="AG4267">
        <v>-1.131095</v>
      </c>
      <c r="AH4267">
        <v>5.8503219530713499</v>
      </c>
      <c r="AI4267">
        <v>99.372542974017094</v>
      </c>
      <c r="AJ4267">
        <v>58.618215692477598</v>
      </c>
      <c r="AK4267">
        <v>6.9454899146990403</v>
      </c>
    </row>
    <row r="4268" spans="1:37" x14ac:dyDescent="0.2">
      <c r="A4268" t="str">
        <f>"20200111154148753"</f>
        <v>20200111154148753</v>
      </c>
      <c r="B4268" t="str">
        <f>"1578728508750582"</f>
        <v>1578728508750582</v>
      </c>
      <c r="C4268" t="s">
        <v>37</v>
      </c>
      <c r="D4268">
        <v>6.0629309999999998</v>
      </c>
      <c r="E4268">
        <v>0.62094189999999905</v>
      </c>
      <c r="F4268" t="s">
        <v>40</v>
      </c>
      <c r="G4268">
        <v>-312.29840000000002</v>
      </c>
      <c r="H4268">
        <v>-0.05</v>
      </c>
      <c r="I4268">
        <v>10.67639</v>
      </c>
      <c r="J4268">
        <v>-316.75209999999998</v>
      </c>
      <c r="K4268">
        <v>1.079447</v>
      </c>
      <c r="L4268">
        <v>15.98761</v>
      </c>
      <c r="M4268">
        <v>0.95107980000000003</v>
      </c>
      <c r="N4268">
        <v>0</v>
      </c>
      <c r="O4268">
        <v>-0.30799660000000001</v>
      </c>
      <c r="P4268">
        <v>0.84747220000000001</v>
      </c>
      <c r="Q4268">
        <v>2.781408E-3</v>
      </c>
      <c r="R4268">
        <v>-0.53083279999999999</v>
      </c>
      <c r="S4268">
        <v>2.05307</v>
      </c>
      <c r="T4268">
        <v>-0.50327579999999905</v>
      </c>
      <c r="U4268">
        <v>-2.3880309999999998</v>
      </c>
      <c r="V4268">
        <v>0.24471399999999999</v>
      </c>
      <c r="W4268">
        <v>1.7298609999999999E-2</v>
      </c>
      <c r="X4268">
        <v>0.969441</v>
      </c>
      <c r="Y4268">
        <v>0.51798959999999905</v>
      </c>
      <c r="Z4268">
        <v>6.7482849999999997E-3</v>
      </c>
      <c r="AA4268">
        <v>0.85536029999999996</v>
      </c>
      <c r="AB4268">
        <v>35</v>
      </c>
      <c r="AC4268">
        <v>4.4536999999999596</v>
      </c>
      <c r="AD4268">
        <v>-1.1294470000000001</v>
      </c>
      <c r="AE4268">
        <v>-5.3112199999999996</v>
      </c>
      <c r="AF4268">
        <v>3.5855455570413999</v>
      </c>
      <c r="AG4268">
        <v>-1.1294470000000001</v>
      </c>
      <c r="AH4268">
        <v>5.7214677417638402</v>
      </c>
      <c r="AI4268">
        <v>99.496096231099799</v>
      </c>
      <c r="AJ4268">
        <v>57.925334455426999</v>
      </c>
      <c r="AK4268">
        <v>6.8459462886786202</v>
      </c>
    </row>
    <row r="4269" spans="1:37" x14ac:dyDescent="0.2">
      <c r="A4269" t="str">
        <f>"20200111154148766"</f>
        <v>20200111154148766</v>
      </c>
      <c r="B4269" t="str">
        <f>"1578728508760342"</f>
        <v>1578728508760342</v>
      </c>
      <c r="C4269" t="s">
        <v>37</v>
      </c>
      <c r="D4269">
        <v>5.9886140000000001</v>
      </c>
      <c r="E4269">
        <v>0.62188089999999996</v>
      </c>
      <c r="F4269" t="s">
        <v>40</v>
      </c>
      <c r="G4269">
        <v>-312.02890000000002</v>
      </c>
      <c r="H4269">
        <v>-0.05</v>
      </c>
      <c r="I4269">
        <v>10.355930000000001</v>
      </c>
      <c r="J4269">
        <v>-316.58620000000002</v>
      </c>
      <c r="K4269">
        <v>1.0777410000000001</v>
      </c>
      <c r="L4269">
        <v>15.929349999999999</v>
      </c>
      <c r="M4269">
        <v>0.94914779999999999</v>
      </c>
      <c r="N4269">
        <v>0</v>
      </c>
      <c r="O4269">
        <v>-0.31387999999999999</v>
      </c>
      <c r="P4269">
        <v>0.84386419999999995</v>
      </c>
      <c r="Q4269">
        <v>3.2542349999999999E-3</v>
      </c>
      <c r="R4269">
        <v>-0.53654740000000001</v>
      </c>
      <c r="S4269">
        <v>2.0274049999999999</v>
      </c>
      <c r="T4269">
        <v>-0.48481359999999901</v>
      </c>
      <c r="U4269">
        <v>-2.417389</v>
      </c>
      <c r="V4269">
        <v>0.24530460000000001</v>
      </c>
      <c r="W4269">
        <v>1.7758220000000002E-2</v>
      </c>
      <c r="X4269">
        <v>0.96928340000000002</v>
      </c>
      <c r="Y4269">
        <v>0.52333679999999905</v>
      </c>
      <c r="Z4269">
        <v>6.9833209999999998E-3</v>
      </c>
      <c r="AA4269">
        <v>0.85209729999999995</v>
      </c>
      <c r="AB4269">
        <v>35</v>
      </c>
      <c r="AC4269">
        <v>4.5572999999999899</v>
      </c>
      <c r="AD4269">
        <v>-1.1277410000000001</v>
      </c>
      <c r="AE4269">
        <v>-5.5734199999999898</v>
      </c>
      <c r="AF4269">
        <v>3.7682468083103799</v>
      </c>
      <c r="AG4269">
        <v>-1.1277410000000001</v>
      </c>
      <c r="AH4269">
        <v>5.9312188465429703</v>
      </c>
      <c r="AI4269">
        <v>99.117443953620295</v>
      </c>
      <c r="AJ4269">
        <v>57.571217455997399</v>
      </c>
      <c r="AK4269">
        <v>7.1169404084205201</v>
      </c>
    </row>
    <row r="4270" spans="1:37" x14ac:dyDescent="0.2">
      <c r="A4270" t="str">
        <f>"20200111154148776"</f>
        <v>20200111154148776</v>
      </c>
      <c r="B4270" t="str">
        <f>"1578728508770102"</f>
        <v>1578728508770102</v>
      </c>
      <c r="C4270" t="s">
        <v>37</v>
      </c>
      <c r="D4270">
        <v>5.9780309999999997</v>
      </c>
      <c r="E4270">
        <v>0.62268919999999905</v>
      </c>
      <c r="F4270" t="s">
        <v>40</v>
      </c>
      <c r="G4270">
        <v>-311.923</v>
      </c>
      <c r="H4270">
        <v>-0.05</v>
      </c>
      <c r="I4270">
        <v>10.26543</v>
      </c>
      <c r="J4270">
        <v>-316.41019999999997</v>
      </c>
      <c r="K4270">
        <v>1.0759449999999999</v>
      </c>
      <c r="L4270">
        <v>15.865449999999999</v>
      </c>
      <c r="M4270">
        <v>0.94705620000000001</v>
      </c>
      <c r="N4270">
        <v>0</v>
      </c>
      <c r="O4270">
        <v>-0.32011889999999998</v>
      </c>
      <c r="P4270">
        <v>0.84007860000000001</v>
      </c>
      <c r="Q4270">
        <v>3.499219E-3</v>
      </c>
      <c r="R4270">
        <v>-0.54245379999999999</v>
      </c>
      <c r="S4270">
        <v>2.0070189999999899</v>
      </c>
      <c r="T4270">
        <v>-0.48537629999999998</v>
      </c>
      <c r="U4270">
        <v>-2.4377439999999999</v>
      </c>
      <c r="V4270">
        <v>0.245758</v>
      </c>
      <c r="W4270">
        <v>1.7952739999999998E-2</v>
      </c>
      <c r="X4270">
        <v>0.96916499999999906</v>
      </c>
      <c r="Y4270">
        <v>0.52551029999999999</v>
      </c>
      <c r="Z4270">
        <v>7.8300009999999996E-3</v>
      </c>
      <c r="AA4270">
        <v>0.85075119999999904</v>
      </c>
      <c r="AB4270">
        <v>34</v>
      </c>
      <c r="AC4270">
        <v>4.4871999999999703</v>
      </c>
      <c r="AD4270">
        <v>-1.125945</v>
      </c>
      <c r="AE4270">
        <v>-5.60001999999999</v>
      </c>
      <c r="AF4270">
        <v>3.7753288821435702</v>
      </c>
      <c r="AG4270">
        <v>-1.125945</v>
      </c>
      <c r="AH4270">
        <v>5.8989173213134096</v>
      </c>
      <c r="AI4270">
        <v>99.133105948319695</v>
      </c>
      <c r="AJ4270">
        <v>57.380606738977399</v>
      </c>
      <c r="AK4270">
        <v>7.0935242210810801</v>
      </c>
    </row>
    <row r="4271" spans="1:37" x14ac:dyDescent="0.2">
      <c r="A4271" t="str">
        <f>"20200111154148788"</f>
        <v>20200111154148788</v>
      </c>
      <c r="B4271" t="str">
        <f>"1578728508780530"</f>
        <v>1578728508780530</v>
      </c>
      <c r="C4271" t="s">
        <v>37</v>
      </c>
      <c r="D4271">
        <v>5.9711360000000004</v>
      </c>
      <c r="E4271">
        <v>0.62308839999999999</v>
      </c>
      <c r="F4271" t="s">
        <v>40</v>
      </c>
      <c r="G4271">
        <v>-311.80689999999998</v>
      </c>
      <c r="H4271">
        <v>-0.05</v>
      </c>
      <c r="I4271">
        <v>10.16966</v>
      </c>
      <c r="J4271">
        <v>-316.24579999999997</v>
      </c>
      <c r="K4271">
        <v>1.074301</v>
      </c>
      <c r="L4271">
        <v>15.804500000000001</v>
      </c>
      <c r="M4271">
        <v>0.94504979999999905</v>
      </c>
      <c r="N4271">
        <v>0</v>
      </c>
      <c r="O4271">
        <v>-0.3259841</v>
      </c>
      <c r="P4271">
        <v>0.83663169999999898</v>
      </c>
      <c r="Q4271">
        <v>4.2031539999999997E-3</v>
      </c>
      <c r="R4271">
        <v>-0.54775010000000002</v>
      </c>
      <c r="S4271">
        <v>1.9862059999999999</v>
      </c>
      <c r="T4271">
        <v>-0.48581560000000001</v>
      </c>
      <c r="U4271">
        <v>-2.4575809999999998</v>
      </c>
      <c r="V4271">
        <v>0.245919</v>
      </c>
      <c r="W4271">
        <v>1.8597789999999999E-2</v>
      </c>
      <c r="X4271">
        <v>0.96911199999999997</v>
      </c>
      <c r="Y4271">
        <v>0.52798489999999998</v>
      </c>
      <c r="Z4271">
        <v>8.5880049999999993E-3</v>
      </c>
      <c r="AA4271">
        <v>0.84921029999999997</v>
      </c>
      <c r="AB4271">
        <v>34</v>
      </c>
      <c r="AC4271">
        <v>4.4388999999999896</v>
      </c>
      <c r="AD4271">
        <v>-1.124301</v>
      </c>
      <c r="AE4271">
        <v>-5.6348399999999996</v>
      </c>
      <c r="AF4271">
        <v>3.7863709528213998</v>
      </c>
      <c r="AG4271">
        <v>-1.124301</v>
      </c>
      <c r="AH4271">
        <v>5.8890357935951601</v>
      </c>
      <c r="AI4271">
        <v>99.123011445392095</v>
      </c>
      <c r="AJ4271">
        <v>57.260903392203502</v>
      </c>
      <c r="AK4271">
        <v>7.09093790053302</v>
      </c>
    </row>
    <row r="4272" spans="1:37" x14ac:dyDescent="0.2">
      <c r="A4272" t="str">
        <f>"20200111154148800"</f>
        <v>20200111154148800</v>
      </c>
      <c r="B4272" t="str">
        <f>"1578728508790290"</f>
        <v>1578728508790290</v>
      </c>
      <c r="C4272" t="s">
        <v>37</v>
      </c>
      <c r="D4272">
        <v>5.9679010000000003</v>
      </c>
      <c r="E4272">
        <v>0.62352569999999996</v>
      </c>
      <c r="F4272" t="s">
        <v>40</v>
      </c>
      <c r="G4272">
        <v>-311.68200000000002</v>
      </c>
      <c r="H4272">
        <v>-0.05</v>
      </c>
      <c r="I4272">
        <v>10.07211</v>
      </c>
      <c r="J4272">
        <v>-316.06959999999998</v>
      </c>
      <c r="K4272">
        <v>1.0725769999999999</v>
      </c>
      <c r="L4272">
        <v>15.73776</v>
      </c>
      <c r="M4272">
        <v>0.94284020000000002</v>
      </c>
      <c r="N4272">
        <v>0</v>
      </c>
      <c r="O4272">
        <v>-0.332314</v>
      </c>
      <c r="P4272">
        <v>0.83295030000000003</v>
      </c>
      <c r="Q4272">
        <v>4.8267129999999998E-3</v>
      </c>
      <c r="R4272">
        <v>-0.55332749999999997</v>
      </c>
      <c r="S4272">
        <v>1.969025</v>
      </c>
      <c r="T4272">
        <v>-0.48506689999999902</v>
      </c>
      <c r="U4272">
        <v>-2.4731749999999999</v>
      </c>
      <c r="V4272">
        <v>0.24593699999999999</v>
      </c>
      <c r="W4272">
        <v>1.9143670000000002E-2</v>
      </c>
      <c r="X4272">
        <v>0.96909669999999903</v>
      </c>
      <c r="Y4272">
        <v>0.52858090000000002</v>
      </c>
      <c r="Z4272">
        <v>9.5784849999999994E-3</v>
      </c>
      <c r="AA4272">
        <v>0.8488289</v>
      </c>
      <c r="AB4272">
        <v>34</v>
      </c>
      <c r="AC4272">
        <v>4.38759999999996</v>
      </c>
      <c r="AD4272">
        <v>-1.1225769999999999</v>
      </c>
      <c r="AE4272">
        <v>-5.6656499999999896</v>
      </c>
      <c r="AF4272">
        <v>3.7918901756671102</v>
      </c>
      <c r="AG4272">
        <v>-1.1225769999999999</v>
      </c>
      <c r="AH4272">
        <v>5.8772158373489498</v>
      </c>
      <c r="AI4272">
        <v>99.1181548686817</v>
      </c>
      <c r="AJ4272">
        <v>57.170508125428498</v>
      </c>
      <c r="AK4272">
        <v>7.0838037962689997</v>
      </c>
    </row>
    <row r="4273" spans="1:37" x14ac:dyDescent="0.2">
      <c r="A4273" t="str">
        <f>"20200111154148811"</f>
        <v>20200111154148811</v>
      </c>
      <c r="B4273" t="str">
        <f>"1578728508800050"</f>
        <v>1578728508800050</v>
      </c>
      <c r="C4273" t="s">
        <v>37</v>
      </c>
      <c r="D4273">
        <v>5.9936210000000001</v>
      </c>
      <c r="E4273">
        <v>0.62377369999999899</v>
      </c>
      <c r="F4273" t="s">
        <v>40</v>
      </c>
      <c r="G4273">
        <v>-311.54450000000003</v>
      </c>
      <c r="H4273">
        <v>-0.05</v>
      </c>
      <c r="I4273">
        <v>9.9626619999999999</v>
      </c>
      <c r="J4273">
        <v>-315.9076</v>
      </c>
      <c r="K4273">
        <v>1.0710949999999999</v>
      </c>
      <c r="L4273">
        <v>15.674439999999899</v>
      </c>
      <c r="M4273">
        <v>0.94072520000000004</v>
      </c>
      <c r="N4273">
        <v>0</v>
      </c>
      <c r="O4273">
        <v>-0.33825349999999998</v>
      </c>
      <c r="P4273">
        <v>0.82947899999999997</v>
      </c>
      <c r="Q4273">
        <v>5.3064319999999998E-3</v>
      </c>
      <c r="R4273">
        <v>-0.55851289999999998</v>
      </c>
      <c r="S4273">
        <v>1.950623</v>
      </c>
      <c r="T4273">
        <v>-0.48390850000000002</v>
      </c>
      <c r="U4273">
        <v>-2.489471</v>
      </c>
      <c r="V4273">
        <v>0.24590010000000001</v>
      </c>
      <c r="W4273">
        <v>1.953746E-2</v>
      </c>
      <c r="X4273">
        <v>0.96909829999999997</v>
      </c>
      <c r="Y4273">
        <v>0.529873699999999</v>
      </c>
      <c r="Z4273">
        <v>1.0429310000000001E-2</v>
      </c>
      <c r="AA4273">
        <v>0.8480124</v>
      </c>
      <c r="AB4273">
        <v>34</v>
      </c>
      <c r="AC4273">
        <v>4.36309999999997</v>
      </c>
      <c r="AD4273">
        <v>-1.121095</v>
      </c>
      <c r="AE4273">
        <v>-5.71177799999999</v>
      </c>
      <c r="AF4273">
        <v>3.8059942395217701</v>
      </c>
      <c r="AG4273">
        <v>-1.121095</v>
      </c>
      <c r="AH4273">
        <v>5.8949635331536099</v>
      </c>
      <c r="AI4273">
        <v>99.077529586980305</v>
      </c>
      <c r="AJ4273">
        <v>57.152301439381198</v>
      </c>
      <c r="AK4273">
        <v>7.10584556597657</v>
      </c>
    </row>
    <row r="4274" spans="1:37" x14ac:dyDescent="0.2">
      <c r="A4274" t="str">
        <f>"20200111154148824"</f>
        <v>20200111154148824</v>
      </c>
      <c r="B4274" t="str">
        <f>"1578728508820546"</f>
        <v>1578728508820546</v>
      </c>
      <c r="C4274" t="s">
        <v>37</v>
      </c>
      <c r="D4274">
        <v>5.958456</v>
      </c>
      <c r="E4274">
        <v>0.62395540000000005</v>
      </c>
      <c r="F4274" t="s">
        <v>40</v>
      </c>
      <c r="G4274">
        <v>-311.42239999999998</v>
      </c>
      <c r="H4274">
        <v>-0.05</v>
      </c>
      <c r="I4274">
        <v>9.8677829999999993</v>
      </c>
      <c r="J4274">
        <v>-315.73689999999999</v>
      </c>
      <c r="K4274">
        <v>1.0695619999999999</v>
      </c>
      <c r="L4274">
        <v>15.6070299999999</v>
      </c>
      <c r="M4274">
        <v>0.93843920000000003</v>
      </c>
      <c r="N4274">
        <v>0</v>
      </c>
      <c r="O4274">
        <v>-0.3445452</v>
      </c>
      <c r="P4274">
        <v>0.82577690000000004</v>
      </c>
      <c r="Q4274">
        <v>5.6553799999999998E-3</v>
      </c>
      <c r="R4274">
        <v>-0.56396880000000005</v>
      </c>
      <c r="S4274">
        <v>1.933929</v>
      </c>
      <c r="T4274">
        <v>-0.48339969999999999</v>
      </c>
      <c r="U4274">
        <v>-2.5037539999999998</v>
      </c>
      <c r="V4274">
        <v>0.24582089999999901</v>
      </c>
      <c r="W4274">
        <v>1.9789660000000001E-2</v>
      </c>
      <c r="X4274">
        <v>0.96911320000000001</v>
      </c>
      <c r="Y4274">
        <v>0.53014589999999995</v>
      </c>
      <c r="Z4274">
        <v>1.144568E-2</v>
      </c>
      <c r="AA4274">
        <v>0.84782919999999995</v>
      </c>
      <c r="AB4274">
        <v>34</v>
      </c>
      <c r="AC4274">
        <v>4.3144999999999998</v>
      </c>
      <c r="AD4274">
        <v>-1.1195619999999999</v>
      </c>
      <c r="AE4274">
        <v>-5.73924699999999</v>
      </c>
      <c r="AF4274">
        <v>3.8080207322215802</v>
      </c>
      <c r="AG4274">
        <v>-1.1195619999999999</v>
      </c>
      <c r="AH4274">
        <v>5.8851127942524704</v>
      </c>
      <c r="AI4274">
        <v>99.074445418598501</v>
      </c>
      <c r="AJ4274">
        <v>57.094711981991999</v>
      </c>
      <c r="AK4274">
        <v>7.0985205197947803</v>
      </c>
    </row>
    <row r="4275" spans="1:37" x14ac:dyDescent="0.2">
      <c r="A4275" t="str">
        <f>"20200111154148837"</f>
        <v>20200111154148837</v>
      </c>
      <c r="B4275" t="str">
        <f>"1578728508830306"</f>
        <v>1578728508830306</v>
      </c>
      <c r="C4275" t="s">
        <v>37</v>
      </c>
      <c r="D4275">
        <v>5.9624839999999999</v>
      </c>
      <c r="E4275">
        <v>0.62411759999999905</v>
      </c>
      <c r="F4275" t="s">
        <v>40</v>
      </c>
      <c r="G4275">
        <v>-311.29759999999999</v>
      </c>
      <c r="H4275">
        <v>-0.05</v>
      </c>
      <c r="I4275">
        <v>9.7755429999999901</v>
      </c>
      <c r="J4275">
        <v>-315.54790000000003</v>
      </c>
      <c r="K4275">
        <v>1.0680209999999899</v>
      </c>
      <c r="L4275">
        <v>15.5296</v>
      </c>
      <c r="M4275">
        <v>0.93577119999999903</v>
      </c>
      <c r="N4275">
        <v>0</v>
      </c>
      <c r="O4275">
        <v>-0.35173399999999999</v>
      </c>
      <c r="P4275">
        <v>0.82151249999999998</v>
      </c>
      <c r="Q4275">
        <v>5.8920569999999896E-3</v>
      </c>
      <c r="R4275">
        <v>-0.57016020000000001</v>
      </c>
      <c r="S4275">
        <v>1.9167179999999999</v>
      </c>
      <c r="T4275">
        <v>-0.4833809</v>
      </c>
      <c r="U4275">
        <v>-2.517792</v>
      </c>
      <c r="V4275">
        <v>0.24568110000000001</v>
      </c>
      <c r="W4275">
        <v>1.9913139999999999E-2</v>
      </c>
      <c r="X4275">
        <v>0.96914609999999901</v>
      </c>
      <c r="Y4275">
        <v>0.52967120000000001</v>
      </c>
      <c r="Z4275">
        <v>1.269373E-2</v>
      </c>
      <c r="AA4275">
        <v>0.84810810000000003</v>
      </c>
      <c r="AB4275">
        <v>34</v>
      </c>
      <c r="AC4275">
        <v>4.2503000000000304</v>
      </c>
      <c r="AD4275">
        <v>-1.1180209999999999</v>
      </c>
      <c r="AE4275">
        <v>-5.7540570000000004</v>
      </c>
      <c r="AF4275">
        <v>3.79793567254413</v>
      </c>
      <c r="AG4275">
        <v>-1.1180209999999999</v>
      </c>
      <c r="AH4275">
        <v>5.8599202054836903</v>
      </c>
      <c r="AI4275">
        <v>99.096141605320199</v>
      </c>
      <c r="AJ4275">
        <v>57.0518917324097</v>
      </c>
      <c r="AK4275">
        <v>7.0719835367356598</v>
      </c>
    </row>
    <row r="4276" spans="1:37" x14ac:dyDescent="0.2">
      <c r="A4276" t="str">
        <f>"20200111154148849"</f>
        <v>20200111154148849</v>
      </c>
      <c r="B4276" t="str">
        <f>"1578728508840066"</f>
        <v>1578728508840066</v>
      </c>
      <c r="C4276" t="s">
        <v>37</v>
      </c>
      <c r="D4276">
        <v>5.9334769999999999</v>
      </c>
      <c r="E4276">
        <v>0.62413790000000002</v>
      </c>
      <c r="F4276" t="s">
        <v>40</v>
      </c>
      <c r="G4276">
        <v>-311.17419999999998</v>
      </c>
      <c r="H4276">
        <v>-0.05</v>
      </c>
      <c r="I4276">
        <v>9.6892399999999999</v>
      </c>
      <c r="J4276">
        <v>-315.35989999999998</v>
      </c>
      <c r="K4276">
        <v>1.066576</v>
      </c>
      <c r="L4276">
        <v>15.45111</v>
      </c>
      <c r="M4276">
        <v>0.93301019999999901</v>
      </c>
      <c r="N4276">
        <v>0</v>
      </c>
      <c r="O4276">
        <v>-0.35900300000000002</v>
      </c>
      <c r="P4276">
        <v>0.81715019999999905</v>
      </c>
      <c r="Q4276">
        <v>6.3129340000000001E-3</v>
      </c>
      <c r="R4276">
        <v>-0.57639019999999996</v>
      </c>
      <c r="S4276">
        <v>1.897125</v>
      </c>
      <c r="T4276">
        <v>-0.48494269999999901</v>
      </c>
      <c r="U4276">
        <v>-2.533264</v>
      </c>
      <c r="V4276">
        <v>0.2455242</v>
      </c>
      <c r="W4276">
        <v>2.0219210000000001E-2</v>
      </c>
      <c r="X4276">
        <v>0.96917960000000003</v>
      </c>
      <c r="Y4276">
        <v>0.52982289999999999</v>
      </c>
      <c r="Z4276">
        <v>1.3945849999999999E-2</v>
      </c>
      <c r="AA4276">
        <v>0.84799360000000001</v>
      </c>
      <c r="AB4276">
        <v>34</v>
      </c>
      <c r="AC4276">
        <v>4.18569999999999</v>
      </c>
      <c r="AD4276">
        <v>-1.116576</v>
      </c>
      <c r="AE4276">
        <v>-5.76187</v>
      </c>
      <c r="AF4276">
        <v>3.7814318771403301</v>
      </c>
      <c r="AG4276">
        <v>-1.116576</v>
      </c>
      <c r="AH4276">
        <v>5.83228389711297</v>
      </c>
      <c r="AI4276">
        <v>99.125917202094101</v>
      </c>
      <c r="AJ4276">
        <v>57.042153247524297</v>
      </c>
      <c r="AK4276">
        <v>7.0399932146098196</v>
      </c>
    </row>
    <row r="4277" spans="1:37" x14ac:dyDescent="0.2">
      <c r="A4277" t="str">
        <f>"20200111154148865"</f>
        <v>20200111154148865</v>
      </c>
      <c r="B4277" t="str">
        <f>"1578728508860562"</f>
        <v>1578728508860562</v>
      </c>
      <c r="C4277" t="s">
        <v>37</v>
      </c>
      <c r="D4277">
        <v>5.9865699999999897</v>
      </c>
      <c r="E4277">
        <v>0.62402659999999999</v>
      </c>
      <c r="F4277" t="s">
        <v>40</v>
      </c>
      <c r="G4277">
        <v>-311.0496</v>
      </c>
      <c r="H4277">
        <v>-0.05</v>
      </c>
      <c r="I4277">
        <v>9.6053619999999995</v>
      </c>
      <c r="J4277">
        <v>-315.14940000000001</v>
      </c>
      <c r="K4277">
        <v>1.065053</v>
      </c>
      <c r="L4277">
        <v>15.3613</v>
      </c>
      <c r="M4277">
        <v>0.9297839</v>
      </c>
      <c r="N4277">
        <v>0</v>
      </c>
      <c r="O4277">
        <v>-0.36729139999999999</v>
      </c>
      <c r="P4277">
        <v>0.81209430000000005</v>
      </c>
      <c r="Q4277">
        <v>6.8793489999999999E-3</v>
      </c>
      <c r="R4277">
        <v>-0.58348580000000005</v>
      </c>
      <c r="S4277">
        <v>1.8782650000000001</v>
      </c>
      <c r="T4277">
        <v>-0.48655169999999998</v>
      </c>
      <c r="U4277">
        <v>-2.5473020000000002</v>
      </c>
      <c r="V4277">
        <v>0.24535609999999999</v>
      </c>
      <c r="W4277">
        <v>2.0653040000000001E-2</v>
      </c>
      <c r="X4277">
        <v>0.96921299999999899</v>
      </c>
      <c r="Y4277">
        <v>0.52866109999999999</v>
      </c>
      <c r="Z4277">
        <v>1.5504189999999999E-2</v>
      </c>
      <c r="AA4277">
        <v>0.84869139999999998</v>
      </c>
      <c r="AB4277">
        <v>34</v>
      </c>
      <c r="AC4277">
        <v>4.0998000000000099</v>
      </c>
      <c r="AD4277">
        <v>-1.1150530000000001</v>
      </c>
      <c r="AE4277">
        <v>-5.7559380000000004</v>
      </c>
      <c r="AF4277">
        <v>3.7536541594274802</v>
      </c>
      <c r="AG4277">
        <v>-1.1150530000000001</v>
      </c>
      <c r="AH4277">
        <v>5.7838096255792104</v>
      </c>
      <c r="AI4277">
        <v>99.1861600482694</v>
      </c>
      <c r="AJ4277">
        <v>57.016695956620602</v>
      </c>
      <c r="AK4277">
        <v>6.9846772671569397</v>
      </c>
    </row>
    <row r="4278" spans="1:37" x14ac:dyDescent="0.2">
      <c r="A4278" t="str">
        <f>"20200111154148877"</f>
        <v>20200111154148877</v>
      </c>
      <c r="B4278" t="str">
        <f>"1578728508870322"</f>
        <v>1578728508870322</v>
      </c>
      <c r="C4278" t="s">
        <v>37</v>
      </c>
      <c r="D4278">
        <v>5.9800909999999998</v>
      </c>
      <c r="E4278">
        <v>0.62399439999999995</v>
      </c>
      <c r="F4278" t="s">
        <v>40</v>
      </c>
      <c r="G4278">
        <v>-310.89080000000001</v>
      </c>
      <c r="H4278">
        <v>-0.05</v>
      </c>
      <c r="I4278">
        <v>9.4836270000000003</v>
      </c>
      <c r="J4278">
        <v>-314.9667</v>
      </c>
      <c r="K4278">
        <v>1.0638449999999999</v>
      </c>
      <c r="L4278">
        <v>15.280939999999999</v>
      </c>
      <c r="M4278">
        <v>0.92683879999999996</v>
      </c>
      <c r="N4278">
        <v>0</v>
      </c>
      <c r="O4278">
        <v>-0.37467519999999999</v>
      </c>
      <c r="P4278">
        <v>0.80759289999999995</v>
      </c>
      <c r="Q4278">
        <v>7.107393E-3</v>
      </c>
      <c r="R4278">
        <v>-0.58969749999999999</v>
      </c>
      <c r="S4278">
        <v>1.856873</v>
      </c>
      <c r="T4278">
        <v>-0.48620239999999998</v>
      </c>
      <c r="U4278">
        <v>-2.5628660000000001</v>
      </c>
      <c r="V4278">
        <v>0.245077299999999</v>
      </c>
      <c r="W4278">
        <v>2.0763159999999999E-2</v>
      </c>
      <c r="X4278">
        <v>0.96928119999999995</v>
      </c>
      <c r="Y4278">
        <v>0.52907749999999998</v>
      </c>
      <c r="Z4278">
        <v>1.6711520000000001E-2</v>
      </c>
      <c r="AA4278">
        <v>0.84840890000000002</v>
      </c>
      <c r="AB4278">
        <v>34</v>
      </c>
      <c r="AC4278">
        <v>4.0758999999999901</v>
      </c>
      <c r="AD4278">
        <v>-1.113845</v>
      </c>
      <c r="AE4278">
        <v>-5.7973129999999902</v>
      </c>
      <c r="AF4278">
        <v>3.7544207811149102</v>
      </c>
      <c r="AG4278">
        <v>-1.113845</v>
      </c>
      <c r="AH4278">
        <v>5.8080831079694599</v>
      </c>
      <c r="AI4278">
        <v>99.149259387499498</v>
      </c>
      <c r="AJ4278">
        <v>57.120844866107902</v>
      </c>
      <c r="AK4278">
        <v>7.0050093129683102</v>
      </c>
    </row>
    <row r="4279" spans="1:37" x14ac:dyDescent="0.2">
      <c r="A4279" t="str">
        <f>"20200111154148891"</f>
        <v>20200111154148891</v>
      </c>
      <c r="B4279" t="str">
        <f>"1578728508880083"</f>
        <v>1578728508880083</v>
      </c>
      <c r="C4279" t="s">
        <v>37</v>
      </c>
      <c r="D4279">
        <v>5.9606050000000002</v>
      </c>
      <c r="E4279">
        <v>0.62379619999999902</v>
      </c>
      <c r="F4279" t="s">
        <v>40</v>
      </c>
      <c r="G4279">
        <v>-310.7749</v>
      </c>
      <c r="H4279">
        <v>-0.05</v>
      </c>
      <c r="I4279">
        <v>9.4030909999999999</v>
      </c>
      <c r="J4279">
        <v>-314.77699999999999</v>
      </c>
      <c r="K4279">
        <v>1.0626610000000001</v>
      </c>
      <c r="L4279">
        <v>15.195739999999899</v>
      </c>
      <c r="M4279">
        <v>0.92366029999999999</v>
      </c>
      <c r="N4279">
        <v>0</v>
      </c>
      <c r="O4279">
        <v>-0.38246049999999998</v>
      </c>
      <c r="P4279">
        <v>0.80269179999999996</v>
      </c>
      <c r="Q4279">
        <v>7.7827879999999997E-3</v>
      </c>
      <c r="R4279">
        <v>-0.59634359999999997</v>
      </c>
      <c r="S4279">
        <v>1.83758499999999</v>
      </c>
      <c r="T4279">
        <v>-0.48827959999999898</v>
      </c>
      <c r="U4279">
        <v>-2.5766909999999998</v>
      </c>
      <c r="V4279">
        <v>0.2449356</v>
      </c>
      <c r="W4279">
        <v>2.129996E-2</v>
      </c>
      <c r="X4279">
        <v>0.96930530000000004</v>
      </c>
      <c r="Y4279">
        <v>0.52837179999999995</v>
      </c>
      <c r="Z4279">
        <v>1.81785E-2</v>
      </c>
      <c r="AA4279">
        <v>0.84881849999999903</v>
      </c>
      <c r="AB4279">
        <v>34</v>
      </c>
      <c r="AC4279">
        <v>4.00209999999998</v>
      </c>
      <c r="AD4279">
        <v>-1.1126609999999999</v>
      </c>
      <c r="AE4279">
        <v>-5.7926489999999902</v>
      </c>
      <c r="AF4279">
        <v>3.7277955920023298</v>
      </c>
      <c r="AG4279">
        <v>-1.1126609999999999</v>
      </c>
      <c r="AH4279">
        <v>5.7696497607211699</v>
      </c>
      <c r="AI4279">
        <v>99.200815458177004</v>
      </c>
      <c r="AJ4279">
        <v>57.1333232563424</v>
      </c>
      <c r="AK4279">
        <v>6.9586875801448898</v>
      </c>
    </row>
    <row r="4280" spans="1:37" x14ac:dyDescent="0.2">
      <c r="A4280" t="str">
        <f>"20200111154148906"</f>
        <v>20200111154148906</v>
      </c>
      <c r="B4280" t="str">
        <f>"1578728508900577"</f>
        <v>1578728508900577</v>
      </c>
      <c r="C4280" t="s">
        <v>37</v>
      </c>
      <c r="D4280">
        <v>5.9302029999999997</v>
      </c>
      <c r="E4280">
        <v>0.62372950000000005</v>
      </c>
      <c r="F4280" t="s">
        <v>40</v>
      </c>
      <c r="G4280">
        <v>-310.63240000000002</v>
      </c>
      <c r="H4280">
        <v>-0.05</v>
      </c>
      <c r="I4280">
        <v>9.2876740000000009</v>
      </c>
      <c r="J4280">
        <v>-314.56560000000002</v>
      </c>
      <c r="K4280">
        <v>1.06141</v>
      </c>
      <c r="L4280">
        <v>15.09882</v>
      </c>
      <c r="M4280">
        <v>0.91997280000000003</v>
      </c>
      <c r="N4280">
        <v>0</v>
      </c>
      <c r="O4280">
        <v>-0.391266</v>
      </c>
      <c r="P4280">
        <v>0.79695899999999997</v>
      </c>
      <c r="Q4280">
        <v>8.3330019999999904E-3</v>
      </c>
      <c r="R4280">
        <v>-0.60397599999999996</v>
      </c>
      <c r="S4280">
        <v>1.8174439999999901</v>
      </c>
      <c r="T4280">
        <v>-0.48790939999999999</v>
      </c>
      <c r="U4280">
        <v>-2.5907290000000001</v>
      </c>
      <c r="V4280">
        <v>0.244929799999999</v>
      </c>
      <c r="W4280">
        <v>2.1680870000000001E-2</v>
      </c>
      <c r="X4280">
        <v>0.9692984</v>
      </c>
      <c r="Y4280">
        <v>0.52695400000000003</v>
      </c>
      <c r="Z4280">
        <v>1.9802719999999999E-2</v>
      </c>
      <c r="AA4280">
        <v>0.84966309999999901</v>
      </c>
      <c r="AB4280">
        <v>34</v>
      </c>
      <c r="AC4280">
        <v>3.9331999999999998</v>
      </c>
      <c r="AD4280">
        <v>-1.11141</v>
      </c>
      <c r="AE4280">
        <v>-5.8111459999999999</v>
      </c>
      <c r="AF4280">
        <v>3.7150408056680901</v>
      </c>
      <c r="AG4280">
        <v>-1.11141</v>
      </c>
      <c r="AH4280">
        <v>5.7495595176269703</v>
      </c>
      <c r="AI4280">
        <v>99.222048519908199</v>
      </c>
      <c r="AJ4280">
        <v>57.131737181573101</v>
      </c>
      <c r="AK4280">
        <v>6.9349978386884796</v>
      </c>
    </row>
    <row r="4281" spans="1:37" x14ac:dyDescent="0.2">
      <c r="A4281" t="str">
        <f>"20200111154148919"</f>
        <v>20200111154148919</v>
      </c>
      <c r="B4281" t="str">
        <f>"1578728508910338"</f>
        <v>1578728508910338</v>
      </c>
      <c r="C4281" t="s">
        <v>37</v>
      </c>
      <c r="D4281">
        <v>5.9538279999999997</v>
      </c>
      <c r="E4281">
        <v>0.62360479999999996</v>
      </c>
      <c r="F4281" t="s">
        <v>40</v>
      </c>
      <c r="G4281">
        <v>-310.495</v>
      </c>
      <c r="H4281">
        <v>-0.05</v>
      </c>
      <c r="I4281">
        <v>9.1802670000000006</v>
      </c>
      <c r="J4281">
        <v>-314.37880000000001</v>
      </c>
      <c r="K4281">
        <v>1.060381</v>
      </c>
      <c r="L4281">
        <v>15.010829999999901</v>
      </c>
      <c r="M4281">
        <v>0.91656009999999999</v>
      </c>
      <c r="N4281">
        <v>0</v>
      </c>
      <c r="O4281">
        <v>-0.39921200000000001</v>
      </c>
      <c r="P4281">
        <v>0.79172670000000001</v>
      </c>
      <c r="Q4281">
        <v>9.1902330000000008E-3</v>
      </c>
      <c r="R4281">
        <v>-0.61080630000000002</v>
      </c>
      <c r="S4281">
        <v>1.7933650000000001</v>
      </c>
      <c r="T4281">
        <v>-0.4896451</v>
      </c>
      <c r="U4281">
        <v>-2.6074830000000002</v>
      </c>
      <c r="V4281">
        <v>0.24489469999999999</v>
      </c>
      <c r="W4281">
        <v>2.238594E-2</v>
      </c>
      <c r="X4281">
        <v>0.96929120000000002</v>
      </c>
      <c r="Y4281">
        <v>0.52753809999999901</v>
      </c>
      <c r="Z4281">
        <v>2.1190029999999999E-2</v>
      </c>
      <c r="AA4281">
        <v>0.84926710000000005</v>
      </c>
      <c r="AB4281">
        <v>34</v>
      </c>
      <c r="AC4281">
        <v>3.8837999999999999</v>
      </c>
      <c r="AD4281">
        <v>-1.1103809999999901</v>
      </c>
      <c r="AE4281">
        <v>-5.8305629999999899</v>
      </c>
      <c r="AF4281">
        <v>3.70164961601794</v>
      </c>
      <c r="AG4281">
        <v>-1.1103809999999901</v>
      </c>
      <c r="AH4281">
        <v>5.7446643297505897</v>
      </c>
      <c r="AI4281">
        <v>99.228727283862497</v>
      </c>
      <c r="AJ4281">
        <v>57.203762611760197</v>
      </c>
      <c r="AK4281">
        <v>6.9236062934308702</v>
      </c>
    </row>
    <row r="4282" spans="1:37" x14ac:dyDescent="0.2">
      <c r="A4282" t="str">
        <f>"20200111154148932"</f>
        <v>20200111154148932</v>
      </c>
      <c r="B4282" t="str">
        <f>"1578728508930834"</f>
        <v>1578728508930834</v>
      </c>
      <c r="C4282" t="s">
        <v>37</v>
      </c>
      <c r="D4282">
        <v>6.0040940000000003</v>
      </c>
      <c r="E4282">
        <v>0.62379289999999998</v>
      </c>
      <c r="F4282" t="s">
        <v>40</v>
      </c>
      <c r="G4282">
        <v>-310.3587</v>
      </c>
      <c r="H4282">
        <v>-0.05</v>
      </c>
      <c r="I4282">
        <v>9.0624850000000006</v>
      </c>
      <c r="J4282">
        <v>-314.19569999999999</v>
      </c>
      <c r="K4282">
        <v>1.05942</v>
      </c>
      <c r="L4282">
        <v>14.92252</v>
      </c>
      <c r="M4282">
        <v>0.91307129999999903</v>
      </c>
      <c r="N4282">
        <v>0</v>
      </c>
      <c r="O4282">
        <v>-0.40714450000000002</v>
      </c>
      <c r="P4282">
        <v>0.78636130000000004</v>
      </c>
      <c r="Q4282">
        <v>9.6541359999999903E-3</v>
      </c>
      <c r="R4282">
        <v>-0.61769149999999995</v>
      </c>
      <c r="S4282">
        <v>1.77200299999999</v>
      </c>
      <c r="T4282">
        <v>-0.48944589999999999</v>
      </c>
      <c r="U4282">
        <v>-2.6219790000000001</v>
      </c>
      <c r="V4282">
        <v>0.24494829999999901</v>
      </c>
      <c r="W4282">
        <v>2.2693890000000001E-2</v>
      </c>
      <c r="X4282">
        <v>0.96927050000000003</v>
      </c>
      <c r="Y4282">
        <v>0.52718480000000001</v>
      </c>
      <c r="Z4282">
        <v>2.2584360000000001E-2</v>
      </c>
      <c r="AA4282">
        <v>0.849450499999999</v>
      </c>
      <c r="AB4282">
        <v>34</v>
      </c>
      <c r="AC4282">
        <v>3.8369999999999802</v>
      </c>
      <c r="AD4282">
        <v>-1.1094200000000001</v>
      </c>
      <c r="AE4282">
        <v>-5.8600349999999999</v>
      </c>
      <c r="AF4282">
        <v>3.6966911692535702</v>
      </c>
      <c r="AG4282">
        <v>-1.1094200000000001</v>
      </c>
      <c r="AH4282">
        <v>5.7467429679916</v>
      </c>
      <c r="AI4282">
        <v>99.222119281925998</v>
      </c>
      <c r="AJ4282">
        <v>57.248153157412403</v>
      </c>
      <c r="AK4282">
        <v>6.92252793980626</v>
      </c>
    </row>
    <row r="4283" spans="1:37" x14ac:dyDescent="0.2">
      <c r="A4283" t="str">
        <f>"20200111154148946"</f>
        <v>20200111154148946</v>
      </c>
      <c r="B4283" t="str">
        <f>"1578728508940595"</f>
        <v>1578728508940595</v>
      </c>
      <c r="C4283" t="s">
        <v>37</v>
      </c>
      <c r="D4283">
        <v>5.920445</v>
      </c>
      <c r="E4283">
        <v>0.62379289999999998</v>
      </c>
      <c r="F4283" t="s">
        <v>40</v>
      </c>
      <c r="G4283">
        <v>-310.18549999999999</v>
      </c>
      <c r="H4283">
        <v>-0.05</v>
      </c>
      <c r="I4283">
        <v>8.87210099999999</v>
      </c>
      <c r="J4283">
        <v>-314.0025</v>
      </c>
      <c r="K4283">
        <v>1.0584340000000001</v>
      </c>
      <c r="L4283">
        <v>14.827729999999899</v>
      </c>
      <c r="M4283">
        <v>0.90925529999999999</v>
      </c>
      <c r="N4283">
        <v>0</v>
      </c>
      <c r="O4283">
        <v>-0.41561350000000002</v>
      </c>
      <c r="P4283">
        <v>0.78051870000000001</v>
      </c>
      <c r="Q4283">
        <v>9.8274829999999997E-3</v>
      </c>
      <c r="R4283">
        <v>-0.62505529999999998</v>
      </c>
      <c r="S4283">
        <v>1.7486269999999999</v>
      </c>
      <c r="T4283">
        <v>-0.48374989999999901</v>
      </c>
      <c r="U4283">
        <v>-2.6382140000000001</v>
      </c>
      <c r="V4283">
        <v>0.24503720000000001</v>
      </c>
      <c r="W4283">
        <v>2.269819E-2</v>
      </c>
      <c r="X4283">
        <v>0.96924789999999905</v>
      </c>
      <c r="Y4283">
        <v>0.52704340000000005</v>
      </c>
      <c r="Z4283">
        <v>2.3784059999999999E-2</v>
      </c>
      <c r="AA4283">
        <v>0.84950550000000002</v>
      </c>
      <c r="AB4283">
        <v>34</v>
      </c>
      <c r="AC4283">
        <v>3.8170000000000002</v>
      </c>
      <c r="AD4283">
        <v>-1.1084339999999999</v>
      </c>
      <c r="AE4283">
        <v>-5.9556290000000001</v>
      </c>
      <c r="AF4283">
        <v>3.73800616849298</v>
      </c>
      <c r="AG4283">
        <v>-1.1084339999999999</v>
      </c>
      <c r="AH4283">
        <v>5.8048850150743299</v>
      </c>
      <c r="AI4283">
        <v>99.120582789808907</v>
      </c>
      <c r="AJ4283">
        <v>57.220835397003</v>
      </c>
      <c r="AK4283">
        <v>6.9927109254052597</v>
      </c>
    </row>
    <row r="4284" spans="1:37" x14ac:dyDescent="0.2">
      <c r="A4284" t="str">
        <f>"20200111154148961"</f>
        <v>20200111154148961</v>
      </c>
      <c r="B4284" t="str">
        <f>"1578728508950354"</f>
        <v>1578728508950354</v>
      </c>
      <c r="C4284" t="s">
        <v>37</v>
      </c>
      <c r="D4284">
        <v>5.5475769999999898</v>
      </c>
      <c r="E4284">
        <v>0.66753200000000001</v>
      </c>
      <c r="F4284" t="s">
        <v>40</v>
      </c>
      <c r="G4284">
        <v>-310.05149999999998</v>
      </c>
      <c r="H4284">
        <v>-0.05</v>
      </c>
      <c r="I4284">
        <v>8.743271</v>
      </c>
      <c r="J4284">
        <v>-313.79700000000003</v>
      </c>
      <c r="K4284">
        <v>1.0574299999999901</v>
      </c>
      <c r="L4284">
        <v>14.724299999999999</v>
      </c>
      <c r="M4284">
        <v>0.90502179999999999</v>
      </c>
      <c r="N4284">
        <v>0</v>
      </c>
      <c r="O4284">
        <v>-0.424770799999999</v>
      </c>
      <c r="P4284">
        <v>0.77371099999999904</v>
      </c>
      <c r="Q4284">
        <v>9.6167849999999992E-3</v>
      </c>
      <c r="R4284">
        <v>-0.63346590000000003</v>
      </c>
      <c r="S4284">
        <v>1.723816</v>
      </c>
      <c r="T4284">
        <v>-0.48360169999999902</v>
      </c>
      <c r="U4284">
        <v>-2.6546020000000001</v>
      </c>
      <c r="V4284">
        <v>0.24571370000000001</v>
      </c>
      <c r="W4284">
        <v>2.2268659999999999E-2</v>
      </c>
      <c r="X4284">
        <v>0.96908660000000002</v>
      </c>
      <c r="Y4284">
        <v>0.52653930000000004</v>
      </c>
      <c r="Z4284">
        <v>2.5392140000000001E-2</v>
      </c>
      <c r="AA4284">
        <v>0.84977150000000001</v>
      </c>
      <c r="AB4284">
        <v>34</v>
      </c>
      <c r="AC4284">
        <v>3.7455000000000398</v>
      </c>
      <c r="AD4284">
        <v>-1.1074299999999999</v>
      </c>
      <c r="AE4284">
        <v>-5.9810290000000004</v>
      </c>
      <c r="AF4284">
        <v>3.7310680737386099</v>
      </c>
      <c r="AG4284">
        <v>-1.1074299999999999</v>
      </c>
      <c r="AH4284">
        <v>5.78925937714207</v>
      </c>
      <c r="AI4284">
        <v>99.134434662543896</v>
      </c>
      <c r="AJ4284">
        <v>57.198986072904098</v>
      </c>
      <c r="AK4284">
        <v>6.9758722975409304</v>
      </c>
    </row>
    <row r="4285" spans="1:37" x14ac:dyDescent="0.2">
      <c r="A4285" t="str">
        <f>"20200111154148974"</f>
        <v>20200111154148974</v>
      </c>
      <c r="B4285" t="str">
        <f>"1578728508970850"</f>
        <v>1578728508970850</v>
      </c>
      <c r="C4285" t="s">
        <v>37</v>
      </c>
      <c r="D4285">
        <v>5.7640459999999996</v>
      </c>
      <c r="E4285">
        <v>0.67110289999999995</v>
      </c>
      <c r="F4285" t="s">
        <v>39</v>
      </c>
      <c r="G4285">
        <v>-302.99900000000002</v>
      </c>
      <c r="H4285" s="1">
        <v>-2.064219E-6</v>
      </c>
      <c r="I4285">
        <v>-6.7839309999999999</v>
      </c>
      <c r="J4285">
        <v>-313.61959999999999</v>
      </c>
      <c r="K4285">
        <v>1.0566</v>
      </c>
      <c r="L4285">
        <v>14.63242</v>
      </c>
      <c r="M4285">
        <v>0.90122009999999897</v>
      </c>
      <c r="N4285">
        <v>0</v>
      </c>
      <c r="O4285">
        <v>-0.43279279999999998</v>
      </c>
      <c r="P4285">
        <v>0.76773179999999996</v>
      </c>
      <c r="Q4285">
        <v>9.5621379999999995E-3</v>
      </c>
      <c r="R4285">
        <v>-0.6407003</v>
      </c>
      <c r="S4285">
        <v>1.474518</v>
      </c>
      <c r="T4285">
        <v>-0.14439679999999999</v>
      </c>
      <c r="U4285">
        <v>-2.9370419999999999</v>
      </c>
      <c r="V4285">
        <v>0.24618419999999999</v>
      </c>
      <c r="W4285">
        <v>2.2008380000000001E-2</v>
      </c>
      <c r="X4285">
        <v>0.96897319999999998</v>
      </c>
      <c r="Y4285">
        <v>0.61121579999999998</v>
      </c>
      <c r="Z4285">
        <v>5.5045349999999996E-3</v>
      </c>
      <c r="AA4285">
        <v>0.79144479999999995</v>
      </c>
      <c r="AB4285">
        <v>34</v>
      </c>
      <c r="AC4285">
        <v>10.6205999999999</v>
      </c>
      <c r="AD4285">
        <v>-1.0566020642189999</v>
      </c>
      <c r="AE4285">
        <v>-21.416350999999999</v>
      </c>
      <c r="AF4285">
        <v>14.6792730412485</v>
      </c>
      <c r="AG4285">
        <v>-1.0566020642189999</v>
      </c>
      <c r="AH4285">
        <v>18.808239889635502</v>
      </c>
      <c r="AI4285">
        <v>92.535748379305701</v>
      </c>
      <c r="AJ4285">
        <v>52.029018742583602</v>
      </c>
      <c r="AK4285">
        <v>23.881946166251101</v>
      </c>
    </row>
    <row r="4286" spans="1:37" x14ac:dyDescent="0.2">
      <c r="A4286" t="str">
        <f>"20200111154148988"</f>
        <v>20200111154148988</v>
      </c>
      <c r="B4286" t="str">
        <f>"1578728508980613"</f>
        <v>1578728508980613</v>
      </c>
      <c r="C4286" t="s">
        <v>37</v>
      </c>
      <c r="D4286">
        <v>5.9520119999999999</v>
      </c>
      <c r="E4286">
        <v>0.66790609999999995</v>
      </c>
      <c r="F4286" t="s">
        <v>40</v>
      </c>
      <c r="G4286">
        <v>-306.20679999999999</v>
      </c>
      <c r="H4286">
        <v>-0.05</v>
      </c>
      <c r="I4286">
        <v>-0.80056759999999905</v>
      </c>
      <c r="J4286">
        <v>-313.42309999999998</v>
      </c>
      <c r="K4286">
        <v>1.055698</v>
      </c>
      <c r="L4286">
        <v>14.5289299999999</v>
      </c>
      <c r="M4286">
        <v>0.89688729999999905</v>
      </c>
      <c r="N4286">
        <v>0</v>
      </c>
      <c r="O4286">
        <v>-0.44171709999999897</v>
      </c>
      <c r="P4286">
        <v>0.76120639999999995</v>
      </c>
      <c r="Q4286">
        <v>9.4391459999999903E-3</v>
      </c>
      <c r="R4286">
        <v>-0.6484413</v>
      </c>
      <c r="S4286">
        <v>1.428436</v>
      </c>
      <c r="T4286">
        <v>-0.2132397</v>
      </c>
      <c r="U4286">
        <v>-2.9739070000000001</v>
      </c>
      <c r="V4286">
        <v>0.24635689999999999</v>
      </c>
      <c r="W4286">
        <v>2.1658940000000002E-2</v>
      </c>
      <c r="X4286">
        <v>0.968937099999999</v>
      </c>
      <c r="Y4286">
        <v>0.61699959999999998</v>
      </c>
      <c r="Z4286">
        <v>8.5271059999999996E-3</v>
      </c>
      <c r="AA4286">
        <v>0.78691730000000004</v>
      </c>
      <c r="AB4286">
        <v>34</v>
      </c>
      <c r="AC4286">
        <v>7.2162999999999897</v>
      </c>
      <c r="AD4286">
        <v>-1.1056979999999901</v>
      </c>
      <c r="AE4286">
        <v>-15.3294976</v>
      </c>
      <c r="AF4286">
        <v>10.519001506528699</v>
      </c>
      <c r="AG4286">
        <v>-1.1056979999999901</v>
      </c>
      <c r="AH4286">
        <v>13.190507394776301</v>
      </c>
      <c r="AI4286">
        <v>93.749655890280593</v>
      </c>
      <c r="AJ4286">
        <v>51.428776211246998</v>
      </c>
      <c r="AK4286">
        <v>16.907437596904099</v>
      </c>
    </row>
    <row r="4287" spans="1:37" x14ac:dyDescent="0.2">
      <c r="A4287" t="str">
        <f>"20200111154149001"</f>
        <v>20200111154149001</v>
      </c>
      <c r="B4287" t="str">
        <f>"1578728508990370"</f>
        <v>1578728508990370</v>
      </c>
      <c r="C4287" t="s">
        <v>37</v>
      </c>
      <c r="D4287">
        <v>5.9511719999999997</v>
      </c>
      <c r="E4287">
        <v>0.66578879999999996</v>
      </c>
      <c r="F4287" t="s">
        <v>40</v>
      </c>
      <c r="G4287">
        <v>-307.80419999999998</v>
      </c>
      <c r="H4287">
        <v>-0.05</v>
      </c>
      <c r="I4287">
        <v>2.7336429999999998</v>
      </c>
      <c r="J4287">
        <v>-313.24799999999999</v>
      </c>
      <c r="K4287">
        <v>1.0549139999999999</v>
      </c>
      <c r="L4287">
        <v>14.434939999999999</v>
      </c>
      <c r="M4287">
        <v>0.89291390000000004</v>
      </c>
      <c r="N4287">
        <v>0</v>
      </c>
      <c r="O4287">
        <v>-0.44970840000000001</v>
      </c>
      <c r="P4287">
        <v>0.75513419999999998</v>
      </c>
      <c r="Q4287">
        <v>9.7671649999999995E-3</v>
      </c>
      <c r="R4287">
        <v>-0.65549760000000001</v>
      </c>
      <c r="S4287">
        <v>1.414703</v>
      </c>
      <c r="T4287">
        <v>-0.27838959999999902</v>
      </c>
      <c r="U4287">
        <v>-2.9697879999999999</v>
      </c>
      <c r="V4287">
        <v>0.2467241</v>
      </c>
      <c r="W4287">
        <v>2.1760959999999999E-2</v>
      </c>
      <c r="X4287">
        <v>0.96884139999999996</v>
      </c>
      <c r="Y4287">
        <v>0.61227810000000005</v>
      </c>
      <c r="Z4287">
        <v>1.2199369999999999E-2</v>
      </c>
      <c r="AA4287">
        <v>0.79054840000000004</v>
      </c>
      <c r="AB4287">
        <v>34</v>
      </c>
      <c r="AC4287">
        <v>5.4438000000000004</v>
      </c>
      <c r="AD4287">
        <v>-1.104914</v>
      </c>
      <c r="AE4287">
        <v>-11.701297</v>
      </c>
      <c r="AF4287">
        <v>7.9437702271148103</v>
      </c>
      <c r="AG4287">
        <v>-1.104914</v>
      </c>
      <c r="AH4287">
        <v>10.0517033601067</v>
      </c>
      <c r="AI4287">
        <v>94.929130593393097</v>
      </c>
      <c r="AJ4287">
        <v>51.681001507684599</v>
      </c>
      <c r="AK4287">
        <v>12.8592791714066</v>
      </c>
    </row>
    <row r="4288" spans="1:37" x14ac:dyDescent="0.2">
      <c r="A4288" t="str">
        <f>"20200111154149015"</f>
        <v>20200111154149015</v>
      </c>
      <c r="B4288" t="str">
        <f>"1578728509010477"</f>
        <v>1578728509010477</v>
      </c>
      <c r="C4288" t="s">
        <v>37</v>
      </c>
      <c r="D4288">
        <v>5.7009299999999996</v>
      </c>
      <c r="E4288">
        <v>0.66579709999999903</v>
      </c>
      <c r="F4288" t="s">
        <v>40</v>
      </c>
      <c r="G4288">
        <v>-308.32549999999998</v>
      </c>
      <c r="H4288">
        <v>-0.05</v>
      </c>
      <c r="I4288">
        <v>3.9756010000000002</v>
      </c>
      <c r="J4288">
        <v>-313.07130000000001</v>
      </c>
      <c r="K4288">
        <v>1.0541639999999901</v>
      </c>
      <c r="L4288">
        <v>14.33722</v>
      </c>
      <c r="M4288">
        <v>0.88877759999999995</v>
      </c>
      <c r="N4288">
        <v>0</v>
      </c>
      <c r="O4288">
        <v>-0.45784229999999998</v>
      </c>
      <c r="P4288">
        <v>0.74908379999999997</v>
      </c>
      <c r="Q4288">
        <v>9.778363E-3</v>
      </c>
      <c r="R4288">
        <v>-0.66240339999999998</v>
      </c>
      <c r="S4288">
        <v>1.3981319999999999</v>
      </c>
      <c r="T4288">
        <v>-0.31382549999999998</v>
      </c>
      <c r="U4288">
        <v>-2.9707340000000002</v>
      </c>
      <c r="V4288">
        <v>0.2467635</v>
      </c>
      <c r="W4288">
        <v>2.154023E-2</v>
      </c>
      <c r="X4288">
        <v>0.96883629999999998</v>
      </c>
      <c r="Y4288">
        <v>0.60863789999999995</v>
      </c>
      <c r="Z4288">
        <v>1.489852E-2</v>
      </c>
      <c r="AA4288">
        <v>0.79330819999999902</v>
      </c>
      <c r="AB4288">
        <v>34</v>
      </c>
      <c r="AC4288">
        <v>4.7458000000000302</v>
      </c>
      <c r="AD4288">
        <v>-1.1041639999999999</v>
      </c>
      <c r="AE4288">
        <v>-10.361618999999999</v>
      </c>
      <c r="AF4288">
        <v>6.9724998526486504</v>
      </c>
      <c r="AG4288">
        <v>-1.1041639999999999</v>
      </c>
      <c r="AH4288">
        <v>8.8806284900854795</v>
      </c>
      <c r="AI4288">
        <v>95.585398698221596</v>
      </c>
      <c r="AJ4288">
        <v>51.863270491215502</v>
      </c>
      <c r="AK4288">
        <v>11.344624044586</v>
      </c>
    </row>
    <row r="4289" spans="1:37" x14ac:dyDescent="0.2">
      <c r="A4289" t="str">
        <f>"20200111154149029"</f>
        <v>20200111154149029</v>
      </c>
      <c r="B4289" t="str">
        <f>"1578728509020237"</f>
        <v>1578728509020237</v>
      </c>
      <c r="C4289" t="s">
        <v>37</v>
      </c>
      <c r="D4289">
        <v>5.8018739999999998</v>
      </c>
      <c r="E4289">
        <v>0.66539329999999997</v>
      </c>
      <c r="F4289" t="s">
        <v>40</v>
      </c>
      <c r="G4289">
        <v>-308.4504</v>
      </c>
      <c r="H4289">
        <v>-0.05</v>
      </c>
      <c r="I4289">
        <v>4.2791600000000001</v>
      </c>
      <c r="J4289">
        <v>-312.88529999999997</v>
      </c>
      <c r="K4289">
        <v>1.053401</v>
      </c>
      <c r="L4289">
        <v>14.232670000000001</v>
      </c>
      <c r="M4289">
        <v>0.8843164</v>
      </c>
      <c r="N4289">
        <v>0</v>
      </c>
      <c r="O4289">
        <v>-0.46641389999999999</v>
      </c>
      <c r="P4289">
        <v>0.74269439999999998</v>
      </c>
      <c r="Q4289">
        <v>1.010877E-2</v>
      </c>
      <c r="R4289">
        <v>-0.66955439999999999</v>
      </c>
      <c r="S4289">
        <v>1.3707579999999999</v>
      </c>
      <c r="T4289">
        <v>-0.32754459999999902</v>
      </c>
      <c r="U4289">
        <v>-2.983673</v>
      </c>
      <c r="V4289">
        <v>0.2466884</v>
      </c>
      <c r="W4289">
        <v>2.1624609999999999E-2</v>
      </c>
      <c r="X4289">
        <v>0.96885350000000003</v>
      </c>
      <c r="Y4289">
        <v>0.60825549999999995</v>
      </c>
      <c r="Z4289">
        <v>1.6572079999999999E-2</v>
      </c>
      <c r="AA4289">
        <v>0.7935683</v>
      </c>
      <c r="AB4289">
        <v>34</v>
      </c>
      <c r="AC4289">
        <v>4.4348999999999696</v>
      </c>
      <c r="AD4289">
        <v>-1.1034010000000001</v>
      </c>
      <c r="AE4289">
        <v>-9.9535099999999996</v>
      </c>
      <c r="AF4289">
        <v>6.6666875879190304</v>
      </c>
      <c r="AG4289">
        <v>-1.1034010000000001</v>
      </c>
      <c r="AH4289">
        <v>8.4792648962587105</v>
      </c>
      <c r="AI4289">
        <v>95.840881825595403</v>
      </c>
      <c r="AJ4289">
        <v>51.824361633339002</v>
      </c>
      <c r="AK4289">
        <v>10.8425158677605</v>
      </c>
    </row>
    <row r="4290" spans="1:37" x14ac:dyDescent="0.2">
      <c r="A4290" t="str">
        <f>"20200111154149040"</f>
        <v>20200111154149040</v>
      </c>
      <c r="B4290" t="str">
        <f>"1578728509029997"</f>
        <v>1578728509029997</v>
      </c>
      <c r="C4290" t="s">
        <v>37</v>
      </c>
      <c r="D4290">
        <v>5.832109</v>
      </c>
      <c r="E4290">
        <v>0.66470890000000005</v>
      </c>
      <c r="F4290" t="s">
        <v>40</v>
      </c>
      <c r="G4290">
        <v>-308.12329999999997</v>
      </c>
      <c r="H4290">
        <v>-0.05</v>
      </c>
      <c r="I4290">
        <v>3.6255489999999999</v>
      </c>
      <c r="J4290">
        <v>-312.71890000000002</v>
      </c>
      <c r="K4290">
        <v>1.052751</v>
      </c>
      <c r="L4290">
        <v>14.137329999999899</v>
      </c>
      <c r="M4290">
        <v>0.88022459999999902</v>
      </c>
      <c r="N4290">
        <v>0</v>
      </c>
      <c r="O4290">
        <v>-0.47410249999999998</v>
      </c>
      <c r="P4290">
        <v>0.73700880000000002</v>
      </c>
      <c r="Q4290">
        <v>1.010138E-2</v>
      </c>
      <c r="R4290">
        <v>-0.67580810000000002</v>
      </c>
      <c r="S4290">
        <v>1.3442379999999901</v>
      </c>
      <c r="T4290">
        <v>-0.311471</v>
      </c>
      <c r="U4290">
        <v>-2.994202</v>
      </c>
      <c r="V4290">
        <v>0.2464257</v>
      </c>
      <c r="W4290">
        <v>2.1399599999999901E-2</v>
      </c>
      <c r="X4290">
        <v>0.96892540000000005</v>
      </c>
      <c r="Y4290">
        <v>0.60832540000000002</v>
      </c>
      <c r="Z4290">
        <v>1.662427E-2</v>
      </c>
      <c r="AA4290">
        <v>0.79351349999999998</v>
      </c>
      <c r="AB4290">
        <v>34</v>
      </c>
      <c r="AC4290">
        <v>4.5956000000000401</v>
      </c>
      <c r="AD4290">
        <v>-1.102751</v>
      </c>
      <c r="AE4290">
        <v>-10.511780999999999</v>
      </c>
      <c r="AF4290">
        <v>7.0106949278495101</v>
      </c>
      <c r="AG4290">
        <v>-1.102751</v>
      </c>
      <c r="AH4290">
        <v>8.9480954760968494</v>
      </c>
      <c r="AI4290">
        <v>95.540912755604893</v>
      </c>
      <c r="AJ4290">
        <v>51.921847679485602</v>
      </c>
      <c r="AK4290">
        <v>11.420784377122301</v>
      </c>
    </row>
    <row r="4291" spans="1:37" x14ac:dyDescent="0.2">
      <c r="A4291" t="str">
        <f>"20200111154149054"</f>
        <v>20200111154149054</v>
      </c>
      <c r="B4291" t="str">
        <f>"1578728509050493"</f>
        <v>1578728509050493</v>
      </c>
      <c r="C4291" t="s">
        <v>37</v>
      </c>
      <c r="D4291">
        <v>5.8649769999999997</v>
      </c>
      <c r="E4291">
        <v>0.66348030000000002</v>
      </c>
      <c r="F4291" t="s">
        <v>40</v>
      </c>
      <c r="G4291">
        <v>-307.8886</v>
      </c>
      <c r="H4291">
        <v>-0.05</v>
      </c>
      <c r="I4291">
        <v>3.1739809999999999</v>
      </c>
      <c r="J4291">
        <v>-312.55</v>
      </c>
      <c r="K4291">
        <v>1.0521389999999999</v>
      </c>
      <c r="L4291">
        <v>14.037839999999999</v>
      </c>
      <c r="M4291">
        <v>0.87595409999999996</v>
      </c>
      <c r="N4291">
        <v>0</v>
      </c>
      <c r="O4291">
        <v>-0.48195840000000001</v>
      </c>
      <c r="P4291">
        <v>0.73151129999999998</v>
      </c>
      <c r="Q4291">
        <v>1.0324430000000001E-2</v>
      </c>
      <c r="R4291">
        <v>-0.68175109999999906</v>
      </c>
      <c r="S4291">
        <v>1.3224180000000001</v>
      </c>
      <c r="T4291">
        <v>-0.30190319999999998</v>
      </c>
      <c r="U4291">
        <v>-3.001465</v>
      </c>
      <c r="V4291">
        <v>0.2456015</v>
      </c>
      <c r="W4291">
        <v>2.1422960000000001E-2</v>
      </c>
      <c r="X4291">
        <v>0.9691341</v>
      </c>
      <c r="Y4291">
        <v>0.60682959999999997</v>
      </c>
      <c r="Z4291">
        <v>1.7065400000000001E-2</v>
      </c>
      <c r="AA4291">
        <v>0.79464869999999899</v>
      </c>
      <c r="AB4291">
        <v>34</v>
      </c>
      <c r="AC4291">
        <v>4.6614000000000102</v>
      </c>
      <c r="AD4291">
        <v>-1.102139</v>
      </c>
      <c r="AE4291">
        <v>-10.863859</v>
      </c>
      <c r="AF4291">
        <v>7.2085142805619098</v>
      </c>
      <c r="AG4291">
        <v>-1.102139</v>
      </c>
      <c r="AH4291">
        <v>9.2407410264709497</v>
      </c>
      <c r="AI4291">
        <v>95.372334191374506</v>
      </c>
      <c r="AJ4291">
        <v>52.042930892549798</v>
      </c>
      <c r="AK4291">
        <v>11.771520004939401</v>
      </c>
    </row>
    <row r="4292" spans="1:37" x14ac:dyDescent="0.2">
      <c r="A4292" t="str">
        <f>"20200111154149068"</f>
        <v>20200111154149068</v>
      </c>
      <c r="B4292" t="str">
        <f>"1578728509060254"</f>
        <v>1578728509060254</v>
      </c>
      <c r="C4292" t="s">
        <v>37</v>
      </c>
      <c r="D4292">
        <v>5.8778030000000001</v>
      </c>
      <c r="E4292">
        <v>0.66296699999999997</v>
      </c>
      <c r="F4292" t="s">
        <v>40</v>
      </c>
      <c r="G4292">
        <v>-307.59300000000002</v>
      </c>
      <c r="H4292">
        <v>-0.05</v>
      </c>
      <c r="I4292">
        <v>2.62280299999999</v>
      </c>
      <c r="J4292">
        <v>-312.37079999999997</v>
      </c>
      <c r="K4292">
        <v>1.0515209999999999</v>
      </c>
      <c r="L4292">
        <v>13.93066</v>
      </c>
      <c r="M4292">
        <v>0.87132089999999995</v>
      </c>
      <c r="N4292">
        <v>0</v>
      </c>
      <c r="O4292">
        <v>-0.49029609999999901</v>
      </c>
      <c r="P4292">
        <v>0.72553239999999997</v>
      </c>
      <c r="Q4292">
        <v>1.060784E-2</v>
      </c>
      <c r="R4292">
        <v>-0.68810649999999995</v>
      </c>
      <c r="S4292">
        <v>1.30481</v>
      </c>
      <c r="T4292">
        <v>-0.29011700000000001</v>
      </c>
      <c r="U4292">
        <v>-3.004791</v>
      </c>
      <c r="V4292">
        <v>0.2448109</v>
      </c>
      <c r="W4292">
        <v>2.149351E-2</v>
      </c>
      <c r="X4292">
        <v>0.96933259999999899</v>
      </c>
      <c r="Y4292">
        <v>0.60355300000000001</v>
      </c>
      <c r="Z4292">
        <v>1.747336E-2</v>
      </c>
      <c r="AA4292">
        <v>0.79713140000000005</v>
      </c>
      <c r="AB4292">
        <v>34</v>
      </c>
      <c r="AC4292">
        <v>4.7777999999999503</v>
      </c>
      <c r="AD4292">
        <v>-1.101521</v>
      </c>
      <c r="AE4292">
        <v>-11.307857</v>
      </c>
      <c r="AF4292">
        <v>7.4517747549727904</v>
      </c>
      <c r="AG4292">
        <v>-1.101521</v>
      </c>
      <c r="AH4292">
        <v>9.6316330772742607</v>
      </c>
      <c r="AI4292">
        <v>95.168547594069096</v>
      </c>
      <c r="AJ4292">
        <v>52.271697398600701</v>
      </c>
      <c r="AK4292">
        <v>12.2274548147819</v>
      </c>
    </row>
    <row r="4293" spans="1:37" x14ac:dyDescent="0.2">
      <c r="A4293" t="str">
        <f>"20200111154149084"</f>
        <v>20200111154149084</v>
      </c>
      <c r="B4293" t="str">
        <f>"1578728509080749"</f>
        <v>1578728509080749</v>
      </c>
      <c r="C4293" t="s">
        <v>37</v>
      </c>
      <c r="D4293">
        <v>5.8900430000000004</v>
      </c>
      <c r="E4293">
        <v>0.66198219999999997</v>
      </c>
      <c r="F4293" t="s">
        <v>40</v>
      </c>
      <c r="G4293">
        <v>-307.46600000000001</v>
      </c>
      <c r="H4293">
        <v>-0.05</v>
      </c>
      <c r="I4293">
        <v>2.3986049999999999</v>
      </c>
      <c r="J4293">
        <v>-312.15109999999999</v>
      </c>
      <c r="K4293">
        <v>1.050826</v>
      </c>
      <c r="L4293">
        <v>13.79617</v>
      </c>
      <c r="M4293">
        <v>0.86547700000000005</v>
      </c>
      <c r="N4293">
        <v>0</v>
      </c>
      <c r="O4293">
        <v>-0.50055289999999997</v>
      </c>
      <c r="P4293">
        <v>0.71905699999999995</v>
      </c>
      <c r="Q4293">
        <v>1.0863619999999999E-2</v>
      </c>
      <c r="R4293">
        <v>-0.69486669999999995</v>
      </c>
      <c r="S4293">
        <v>1.2814939999999999</v>
      </c>
      <c r="T4293">
        <v>-0.28779909999999997</v>
      </c>
      <c r="U4293">
        <v>-3.0130309999999998</v>
      </c>
      <c r="V4293">
        <v>0.24243589999999901</v>
      </c>
      <c r="W4293">
        <v>2.1550719999999999E-2</v>
      </c>
      <c r="X4293">
        <v>0.96992800000000001</v>
      </c>
      <c r="Y4293">
        <v>0.60018559999999999</v>
      </c>
      <c r="Z4293">
        <v>1.859208E-2</v>
      </c>
      <c r="AA4293">
        <v>0.79964460000000004</v>
      </c>
      <c r="AB4293">
        <v>34</v>
      </c>
      <c r="AC4293">
        <v>4.6850999999999701</v>
      </c>
      <c r="AD4293">
        <v>-1.1008260000000001</v>
      </c>
      <c r="AE4293">
        <v>-11.397565</v>
      </c>
      <c r="AF4293">
        <v>7.4611397868833702</v>
      </c>
      <c r="AG4293">
        <v>-1.1008260000000001</v>
      </c>
      <c r="AH4293">
        <v>9.6845811972247091</v>
      </c>
      <c r="AI4293">
        <v>95.145286719389702</v>
      </c>
      <c r="AJ4293">
        <v>52.388829894278402</v>
      </c>
      <c r="AK4293">
        <v>12.274833512815</v>
      </c>
    </row>
    <row r="4294" spans="1:37" x14ac:dyDescent="0.2">
      <c r="A4294" t="str">
        <f>"20200111154149097"</f>
        <v>20200111154149097</v>
      </c>
      <c r="B4294" t="str">
        <f>"1578728509090510"</f>
        <v>1578728509090510</v>
      </c>
      <c r="C4294" t="s">
        <v>37</v>
      </c>
      <c r="D4294">
        <v>5.8968360000000004</v>
      </c>
      <c r="E4294">
        <v>0.66142840000000003</v>
      </c>
      <c r="F4294" t="s">
        <v>40</v>
      </c>
      <c r="G4294">
        <v>-307.28570000000002</v>
      </c>
      <c r="H4294">
        <v>-0.05</v>
      </c>
      <c r="I4294">
        <v>2.1228180000000001</v>
      </c>
      <c r="J4294">
        <v>-311.98329999999999</v>
      </c>
      <c r="K4294">
        <v>1.050351</v>
      </c>
      <c r="L4294">
        <v>13.690489999999899</v>
      </c>
      <c r="M4294">
        <v>0.86088099999999901</v>
      </c>
      <c r="N4294">
        <v>0</v>
      </c>
      <c r="O4294">
        <v>-0.50842569999999998</v>
      </c>
      <c r="P4294">
        <v>0.71348259999999997</v>
      </c>
      <c r="Q4294">
        <v>1.1120379999999999E-2</v>
      </c>
      <c r="R4294">
        <v>-0.70058509999999996</v>
      </c>
      <c r="S4294">
        <v>1.2585139999999999</v>
      </c>
      <c r="T4294">
        <v>-0.28474919999999998</v>
      </c>
      <c r="U4294">
        <v>-3.0195310000000002</v>
      </c>
      <c r="V4294">
        <v>0.24133769999999999</v>
      </c>
      <c r="W4294">
        <v>2.1636059999999999E-2</v>
      </c>
      <c r="X4294">
        <v>0.97019999999999995</v>
      </c>
      <c r="Y4294">
        <v>0.5987169</v>
      </c>
      <c r="Z4294">
        <v>1.9304979999999999E-2</v>
      </c>
      <c r="AA4294">
        <v>0.80072809999999905</v>
      </c>
      <c r="AB4294">
        <v>34</v>
      </c>
      <c r="AC4294">
        <v>4.6975999999999596</v>
      </c>
      <c r="AD4294">
        <v>-1.1003510000000001</v>
      </c>
      <c r="AE4294">
        <v>-11.5676719999999</v>
      </c>
      <c r="AF4294">
        <v>7.5131170210445601</v>
      </c>
      <c r="AG4294">
        <v>-1.1003510000000001</v>
      </c>
      <c r="AH4294">
        <v>9.8507833981093196</v>
      </c>
      <c r="AI4294">
        <v>95.075548748914201</v>
      </c>
      <c r="AJ4294">
        <v>52.667511583299003</v>
      </c>
      <c r="AK4294">
        <v>12.437669928550701</v>
      </c>
    </row>
    <row r="4295" spans="1:37" x14ac:dyDescent="0.2">
      <c r="A4295" t="str">
        <f>"20200111154149109"</f>
        <v>20200111154149109</v>
      </c>
      <c r="B4295" t="str">
        <f>"1578728509100269"</f>
        <v>1578728509100269</v>
      </c>
      <c r="C4295" t="s">
        <v>37</v>
      </c>
      <c r="D4295">
        <v>5.9106629999999996</v>
      </c>
      <c r="E4295">
        <v>0.66084430000000005</v>
      </c>
      <c r="F4295" t="s">
        <v>40</v>
      </c>
      <c r="G4295">
        <v>-307.17540000000002</v>
      </c>
      <c r="H4295">
        <v>-0.05</v>
      </c>
      <c r="I4295">
        <v>1.9295040000000001</v>
      </c>
      <c r="J4295">
        <v>-311.83679999999998</v>
      </c>
      <c r="K4295">
        <v>1.0499529999999999</v>
      </c>
      <c r="L4295">
        <v>13.59671</v>
      </c>
      <c r="M4295">
        <v>0.85677809999999899</v>
      </c>
      <c r="N4295">
        <v>0</v>
      </c>
      <c r="O4295">
        <v>-0.51531740000000004</v>
      </c>
      <c r="P4295">
        <v>0.70859859999999997</v>
      </c>
      <c r="Q4295">
        <v>1.12487E-2</v>
      </c>
      <c r="R4295">
        <v>-0.7055226</v>
      </c>
      <c r="S4295">
        <v>1.237274</v>
      </c>
      <c r="T4295">
        <v>-0.28316149999999901</v>
      </c>
      <c r="U4295">
        <v>-3.0265499999999999</v>
      </c>
      <c r="V4295">
        <v>0.24028959999999999</v>
      </c>
      <c r="W4295">
        <v>2.1623179999999999E-2</v>
      </c>
      <c r="X4295">
        <v>0.970460399999999</v>
      </c>
      <c r="Y4295">
        <v>0.59777849999999999</v>
      </c>
      <c r="Z4295">
        <v>1.9968400000000001E-2</v>
      </c>
      <c r="AA4295">
        <v>0.80141260000000003</v>
      </c>
      <c r="AB4295">
        <v>34</v>
      </c>
      <c r="AC4295">
        <v>4.6613999999999498</v>
      </c>
      <c r="AD4295">
        <v>-1.099953</v>
      </c>
      <c r="AE4295">
        <v>-11.667206</v>
      </c>
      <c r="AF4295">
        <v>7.5377715273384096</v>
      </c>
      <c r="AG4295">
        <v>-1.099953</v>
      </c>
      <c r="AH4295">
        <v>9.9318725324633608</v>
      </c>
      <c r="AI4295">
        <v>95.041554010730707</v>
      </c>
      <c r="AJ4295">
        <v>52.803404217125902</v>
      </c>
      <c r="AK4295">
        <v>12.516788254247199</v>
      </c>
    </row>
    <row r="4296" spans="1:37" x14ac:dyDescent="0.2">
      <c r="A4296" t="str">
        <f>"20200111154149122"</f>
        <v>20200111154149122</v>
      </c>
      <c r="B4296" t="str">
        <f>"1578728509110030"</f>
        <v>1578728509110030</v>
      </c>
      <c r="C4296" t="s">
        <v>37</v>
      </c>
      <c r="D4296">
        <v>5.6531409999999997</v>
      </c>
      <c r="E4296">
        <v>0.66110469999999999</v>
      </c>
      <c r="F4296" t="s">
        <v>40</v>
      </c>
      <c r="G4296">
        <v>-307.11219999999997</v>
      </c>
      <c r="H4296">
        <v>-0.05</v>
      </c>
      <c r="I4296">
        <v>1.8484799999999999</v>
      </c>
      <c r="J4296">
        <v>-311.65660000000003</v>
      </c>
      <c r="K4296">
        <v>1.0495030000000001</v>
      </c>
      <c r="L4296">
        <v>13.479579999999901</v>
      </c>
      <c r="M4296">
        <v>0.85162729999999998</v>
      </c>
      <c r="N4296">
        <v>0</v>
      </c>
      <c r="O4296">
        <v>-0.5237948</v>
      </c>
      <c r="P4296">
        <v>0.70239960000000001</v>
      </c>
      <c r="Q4296">
        <v>1.169007E-2</v>
      </c>
      <c r="R4296">
        <v>-0.71168739999999997</v>
      </c>
      <c r="S4296">
        <v>1.21933</v>
      </c>
      <c r="T4296">
        <v>-0.2838813</v>
      </c>
      <c r="U4296">
        <v>-3.0320429999999998</v>
      </c>
      <c r="V4296">
        <v>0.23915139999999999</v>
      </c>
      <c r="W4296">
        <v>2.189205E-2</v>
      </c>
      <c r="X4296">
        <v>0.97073549999999997</v>
      </c>
      <c r="Y4296">
        <v>0.59443190000000001</v>
      </c>
      <c r="Z4296">
        <v>2.108198E-2</v>
      </c>
      <c r="AA4296">
        <v>0.80386950000000001</v>
      </c>
      <c r="AB4296">
        <v>34</v>
      </c>
      <c r="AC4296">
        <v>4.5444000000000502</v>
      </c>
      <c r="AD4296">
        <v>-1.0995029999999999</v>
      </c>
      <c r="AE4296">
        <v>-11.631099999999901</v>
      </c>
      <c r="AF4296">
        <v>7.4685204773653</v>
      </c>
      <c r="AG4296">
        <v>-1.0995029999999999</v>
      </c>
      <c r="AH4296">
        <v>9.8876324622500302</v>
      </c>
      <c r="AI4296">
        <v>95.070684703363597</v>
      </c>
      <c r="AJ4296">
        <v>52.934803800969398</v>
      </c>
      <c r="AK4296">
        <v>12.439975107546401</v>
      </c>
    </row>
    <row r="4297" spans="1:37" x14ac:dyDescent="0.2">
      <c r="A4297" t="str">
        <f>"20200111154149136"</f>
        <v>20200111154149136</v>
      </c>
      <c r="B4297" t="str">
        <f>"1578728509130525"</f>
        <v>1578728509130525</v>
      </c>
      <c r="C4297" t="s">
        <v>37</v>
      </c>
      <c r="D4297">
        <v>5.9375080000000002</v>
      </c>
      <c r="E4297">
        <v>0.65989709999999902</v>
      </c>
      <c r="F4297" t="s">
        <v>40</v>
      </c>
      <c r="G4297">
        <v>-306.97469999999998</v>
      </c>
      <c r="H4297">
        <v>-0.05</v>
      </c>
      <c r="I4297">
        <v>1.520081</v>
      </c>
      <c r="J4297">
        <v>-311.48149999999998</v>
      </c>
      <c r="K4297">
        <v>1.0491189999999999</v>
      </c>
      <c r="L4297">
        <v>13.36224</v>
      </c>
      <c r="M4297">
        <v>0.84647129999999904</v>
      </c>
      <c r="N4297">
        <v>0</v>
      </c>
      <c r="O4297">
        <v>-0.53209469999999903</v>
      </c>
      <c r="P4297">
        <v>0.69623740000000001</v>
      </c>
      <c r="Q4297">
        <v>1.199886E-2</v>
      </c>
      <c r="R4297">
        <v>-0.71771169999999995</v>
      </c>
      <c r="S4297">
        <v>1.1916199999999999</v>
      </c>
      <c r="T4297">
        <v>-0.27983819999999998</v>
      </c>
      <c r="U4297">
        <v>-3.0438540000000001</v>
      </c>
      <c r="V4297">
        <v>0.23803240000000001</v>
      </c>
      <c r="W4297">
        <v>2.2046509999999998E-2</v>
      </c>
      <c r="X4297">
        <v>0.97100699999999995</v>
      </c>
      <c r="Y4297">
        <v>0.59401139999999997</v>
      </c>
      <c r="Z4297">
        <v>2.165282E-2</v>
      </c>
      <c r="AA4297">
        <v>0.80416519999999903</v>
      </c>
      <c r="AB4297">
        <v>34</v>
      </c>
      <c r="AC4297">
        <v>4.5067999999999904</v>
      </c>
      <c r="AD4297">
        <v>-1.099119</v>
      </c>
      <c r="AE4297">
        <v>-11.842159000000001</v>
      </c>
      <c r="AF4297">
        <v>7.5704178442969399</v>
      </c>
      <c r="AG4297">
        <v>-1.099119</v>
      </c>
      <c r="AH4297">
        <v>10.042291776156</v>
      </c>
      <c r="AI4297">
        <v>94.994804400494601</v>
      </c>
      <c r="AJ4297">
        <v>52.989054596034798</v>
      </c>
      <c r="AK4297">
        <v>12.624060877184499</v>
      </c>
    </row>
    <row r="4298" spans="1:37" x14ac:dyDescent="0.2">
      <c r="A4298" t="str">
        <f>"20200111154149151"</f>
        <v>20200111154149151</v>
      </c>
      <c r="B4298" t="str">
        <f>"1578728509140285"</f>
        <v>1578728509140285</v>
      </c>
      <c r="C4298" t="s">
        <v>37</v>
      </c>
      <c r="D4298">
        <v>5.902933</v>
      </c>
      <c r="E4298">
        <v>0.65939720000000002</v>
      </c>
      <c r="F4298" t="s">
        <v>40</v>
      </c>
      <c r="G4298">
        <v>-306.88839999999999</v>
      </c>
      <c r="H4298">
        <v>-0.05</v>
      </c>
      <c r="I4298">
        <v>1.4224699999999999</v>
      </c>
      <c r="J4298">
        <v>-311.29770000000002</v>
      </c>
      <c r="K4298">
        <v>1.048751</v>
      </c>
      <c r="L4298">
        <v>13.236939999999899</v>
      </c>
      <c r="M4298">
        <v>0.84093280000000004</v>
      </c>
      <c r="N4298">
        <v>0</v>
      </c>
      <c r="O4298">
        <v>-0.54081299999999999</v>
      </c>
      <c r="P4298">
        <v>0.69014350000000002</v>
      </c>
      <c r="Q4298">
        <v>1.1960419999999999E-2</v>
      </c>
      <c r="R4298">
        <v>-0.72357380000000004</v>
      </c>
      <c r="S4298">
        <v>1.172302</v>
      </c>
      <c r="T4298">
        <v>-0.2805318</v>
      </c>
      <c r="U4298">
        <v>-3.0474239999999999</v>
      </c>
      <c r="V4298">
        <v>0.236203</v>
      </c>
      <c r="W4298">
        <v>2.1880610000000002E-2</v>
      </c>
      <c r="X4298">
        <v>0.97145740000000003</v>
      </c>
      <c r="Y4298">
        <v>0.59047459999999996</v>
      </c>
      <c r="Z4298">
        <v>2.2808760000000001E-2</v>
      </c>
      <c r="AA4298">
        <v>0.80673379999999995</v>
      </c>
      <c r="AB4298">
        <v>34</v>
      </c>
      <c r="AC4298">
        <v>4.4093000000000302</v>
      </c>
      <c r="AD4298">
        <v>-1.098751</v>
      </c>
      <c r="AE4298">
        <v>-11.814469999999901</v>
      </c>
      <c r="AF4298">
        <v>7.4950032946003899</v>
      </c>
      <c r="AG4298">
        <v>-1.098751</v>
      </c>
      <c r="AH4298">
        <v>10.023036738441</v>
      </c>
      <c r="AI4298">
        <v>95.017225326590605</v>
      </c>
      <c r="AJ4298">
        <v>53.2116797378401</v>
      </c>
      <c r="AK4298">
        <v>12.563582037230001</v>
      </c>
    </row>
    <row r="4299" spans="1:37" x14ac:dyDescent="0.2">
      <c r="A4299" t="str">
        <f>"20200111154149164"</f>
        <v>20200111154149164</v>
      </c>
      <c r="B4299" t="str">
        <f>"1578728509160782"</f>
        <v>1578728509160782</v>
      </c>
      <c r="C4299" t="s">
        <v>37</v>
      </c>
      <c r="D4299">
        <v>5.6394289999999998</v>
      </c>
      <c r="E4299">
        <v>0.65909799999999996</v>
      </c>
      <c r="F4299" t="s">
        <v>40</v>
      </c>
      <c r="G4299">
        <v>-306.80540000000002</v>
      </c>
      <c r="H4299">
        <v>-0.05</v>
      </c>
      <c r="I4299">
        <v>1.2969820000000001</v>
      </c>
      <c r="J4299">
        <v>-311.1309</v>
      </c>
      <c r="K4299">
        <v>1.0484340000000001</v>
      </c>
      <c r="L4299">
        <v>13.121279999999899</v>
      </c>
      <c r="M4299">
        <v>0.8357888</v>
      </c>
      <c r="N4299">
        <v>0</v>
      </c>
      <c r="O4299">
        <v>-0.54873570000000005</v>
      </c>
      <c r="P4299">
        <v>0.68385600000000002</v>
      </c>
      <c r="Q4299">
        <v>1.215277E-2</v>
      </c>
      <c r="R4299">
        <v>-0.72951599999999905</v>
      </c>
      <c r="S4299">
        <v>1.1492610000000001</v>
      </c>
      <c r="T4299">
        <v>-0.28109029999999902</v>
      </c>
      <c r="U4299">
        <v>-3.0545650000000002</v>
      </c>
      <c r="V4299">
        <v>0.23542879999999999</v>
      </c>
      <c r="W4299">
        <v>2.192829E-2</v>
      </c>
      <c r="X4299">
        <v>0.97164419999999996</v>
      </c>
      <c r="Y4299">
        <v>0.5888198</v>
      </c>
      <c r="Z4299">
        <v>2.3770659999999999E-2</v>
      </c>
      <c r="AA4299">
        <v>0.80791469999999999</v>
      </c>
      <c r="AB4299">
        <v>33</v>
      </c>
      <c r="AC4299">
        <v>4.3254999999999697</v>
      </c>
      <c r="AD4299">
        <v>-1.0984339999999999</v>
      </c>
      <c r="AE4299">
        <v>-11.824297999999899</v>
      </c>
      <c r="AF4299">
        <v>7.4536287323033701</v>
      </c>
      <c r="AG4299">
        <v>-1.0984339999999999</v>
      </c>
      <c r="AH4299">
        <v>10.029035384629999</v>
      </c>
      <c r="AI4299">
        <v>95.023740156271799</v>
      </c>
      <c r="AJ4299">
        <v>53.380085878794603</v>
      </c>
      <c r="AK4299">
        <v>12.5437111445352</v>
      </c>
    </row>
    <row r="4300" spans="1:37" x14ac:dyDescent="0.2">
      <c r="A4300" t="str">
        <f>"20200111154149178"</f>
        <v>20200111154149178</v>
      </c>
      <c r="B4300" t="str">
        <f>"1578728509170541"</f>
        <v>1578728509170541</v>
      </c>
      <c r="C4300" t="s">
        <v>37</v>
      </c>
      <c r="D4300">
        <v>5.9032489999999997</v>
      </c>
      <c r="E4300">
        <v>0.65856440000000005</v>
      </c>
      <c r="F4300" t="s">
        <v>40</v>
      </c>
      <c r="G4300">
        <v>-306.65120000000002</v>
      </c>
      <c r="H4300">
        <v>-0.05</v>
      </c>
      <c r="I4300">
        <v>0.92202759999999995</v>
      </c>
      <c r="J4300">
        <v>-310.95339999999999</v>
      </c>
      <c r="K4300">
        <v>1.048138</v>
      </c>
      <c r="L4300">
        <v>12.994870000000001</v>
      </c>
      <c r="M4300">
        <v>0.83016970000000001</v>
      </c>
      <c r="N4300">
        <v>0</v>
      </c>
      <c r="O4300">
        <v>-0.55720649999999905</v>
      </c>
      <c r="P4300">
        <v>0.67710139999999996</v>
      </c>
      <c r="Q4300">
        <v>1.190688E-2</v>
      </c>
      <c r="R4300">
        <v>-0.73579329999999998</v>
      </c>
      <c r="S4300">
        <v>1.1246339999999999</v>
      </c>
      <c r="T4300">
        <v>-0.27576709999999999</v>
      </c>
      <c r="U4300">
        <v>-3.0626829999999998</v>
      </c>
      <c r="V4300">
        <v>0.2344955</v>
      </c>
      <c r="W4300">
        <v>2.1545479999999999E-2</v>
      </c>
      <c r="X4300">
        <v>0.97187839999999903</v>
      </c>
      <c r="Y4300">
        <v>0.58705149999999995</v>
      </c>
      <c r="Z4300">
        <v>2.4282149999999999E-2</v>
      </c>
      <c r="AA4300">
        <v>0.80918540000000005</v>
      </c>
      <c r="AB4300">
        <v>33</v>
      </c>
      <c r="AC4300">
        <v>4.3021999999999698</v>
      </c>
      <c r="AD4300">
        <v>-1.0981379999999901</v>
      </c>
      <c r="AE4300">
        <v>-12.072842400000001</v>
      </c>
      <c r="AF4300">
        <v>7.5710063145542001</v>
      </c>
      <c r="AG4300">
        <v>-1.0981379999999901</v>
      </c>
      <c r="AH4300">
        <v>10.2253019043041</v>
      </c>
      <c r="AI4300">
        <v>94.933011192949195</v>
      </c>
      <c r="AJ4300">
        <v>53.483055039819703</v>
      </c>
      <c r="AK4300">
        <v>12.7703892938402</v>
      </c>
    </row>
    <row r="4301" spans="1:37" x14ac:dyDescent="0.2">
      <c r="A4301" t="str">
        <f>"20200111154149190"</f>
        <v>20200111154149190</v>
      </c>
      <c r="B4301" t="str">
        <f>"1578728509180125"</f>
        <v>1578728509180125</v>
      </c>
      <c r="C4301" t="s">
        <v>37</v>
      </c>
      <c r="D4301">
        <v>5.6186249999999998</v>
      </c>
      <c r="E4301">
        <v>0.65865589999999996</v>
      </c>
      <c r="F4301" t="s">
        <v>40</v>
      </c>
      <c r="G4301">
        <v>-306.59460000000001</v>
      </c>
      <c r="H4301">
        <v>-0.05</v>
      </c>
      <c r="I4301">
        <v>0.82055659999999897</v>
      </c>
      <c r="J4301">
        <v>-310.80399999999997</v>
      </c>
      <c r="K4301">
        <v>1.0479099999999999</v>
      </c>
      <c r="L4301">
        <v>12.88635</v>
      </c>
      <c r="M4301">
        <v>0.82532950000000005</v>
      </c>
      <c r="N4301">
        <v>0</v>
      </c>
      <c r="O4301">
        <v>-0.56435559999999996</v>
      </c>
      <c r="P4301">
        <v>0.67136879999999999</v>
      </c>
      <c r="Q4301">
        <v>1.1527600000000001E-2</v>
      </c>
      <c r="R4301">
        <v>-0.74103379999999996</v>
      </c>
      <c r="S4301">
        <v>1.099243</v>
      </c>
      <c r="T4301">
        <v>-0.27693459999999998</v>
      </c>
      <c r="U4301">
        <v>-3.0701900000000002</v>
      </c>
      <c r="V4301">
        <v>0.233634499999999</v>
      </c>
      <c r="W4301">
        <v>2.1061119999999999E-2</v>
      </c>
      <c r="X4301">
        <v>0.97209639999999997</v>
      </c>
      <c r="Y4301">
        <v>0.58663180000000004</v>
      </c>
      <c r="Z4301">
        <v>2.515469E-2</v>
      </c>
      <c r="AA4301">
        <v>0.80946300000000004</v>
      </c>
      <c r="AB4301">
        <v>33</v>
      </c>
      <c r="AC4301">
        <v>4.2094000000000102</v>
      </c>
      <c r="AD4301">
        <v>-1.0979099999999999</v>
      </c>
      <c r="AE4301">
        <v>-12.0657934</v>
      </c>
      <c r="AF4301">
        <v>7.5283532322352098</v>
      </c>
      <c r="AG4301">
        <v>-1.0979099999999999</v>
      </c>
      <c r="AH4301">
        <v>10.2098940342066</v>
      </c>
      <c r="AI4301">
        <v>94.946592175216907</v>
      </c>
      <c r="AJ4301">
        <v>53.596473048756401</v>
      </c>
      <c r="AK4301">
        <v>12.7327705134088</v>
      </c>
    </row>
    <row r="4302" spans="1:37" x14ac:dyDescent="0.2">
      <c r="A4302" t="str">
        <f>"20200111154149205"</f>
        <v>20200111154149205</v>
      </c>
      <c r="B4302" t="str">
        <f>"1578728509200621"</f>
        <v>1578728509200621</v>
      </c>
      <c r="C4302" t="s">
        <v>37</v>
      </c>
      <c r="D4302">
        <v>5.6180810000000001</v>
      </c>
      <c r="E4302">
        <v>0.65816819999999998</v>
      </c>
      <c r="F4302" t="s">
        <v>40</v>
      </c>
      <c r="G4302">
        <v>-306.51679999999999</v>
      </c>
      <c r="H4302">
        <v>-0.05</v>
      </c>
      <c r="I4302">
        <v>0.6057129</v>
      </c>
      <c r="J4302">
        <v>-310.63229999999999</v>
      </c>
      <c r="K4302">
        <v>1.047663</v>
      </c>
      <c r="L4302">
        <v>12.759739999999899</v>
      </c>
      <c r="M4302">
        <v>0.81965069999999995</v>
      </c>
      <c r="N4302">
        <v>0</v>
      </c>
      <c r="O4302">
        <v>-0.57257760000000002</v>
      </c>
      <c r="P4302">
        <v>0.66441830000000002</v>
      </c>
      <c r="Q4302">
        <v>1.1519669999999999E-2</v>
      </c>
      <c r="R4302">
        <v>-0.74727239999999995</v>
      </c>
      <c r="S4302">
        <v>1.0748599999999999</v>
      </c>
      <c r="T4302">
        <v>-0.27525759999999899</v>
      </c>
      <c r="U4302">
        <v>-3.0788880000000001</v>
      </c>
      <c r="V4302">
        <v>0.23299239999999999</v>
      </c>
      <c r="W4302">
        <v>2.0924769999999999E-2</v>
      </c>
      <c r="X4302">
        <v>0.97225339999999905</v>
      </c>
      <c r="Y4302">
        <v>0.58498779999999995</v>
      </c>
      <c r="Z4302">
        <v>2.5926649999999999E-2</v>
      </c>
      <c r="AA4302">
        <v>0.8106276</v>
      </c>
      <c r="AB4302">
        <v>33</v>
      </c>
      <c r="AC4302">
        <v>4.1154999999999902</v>
      </c>
      <c r="AD4302">
        <v>-1.0976629999999901</v>
      </c>
      <c r="AE4302">
        <v>-12.154027099999899</v>
      </c>
      <c r="AF4302">
        <v>7.5516019105778698</v>
      </c>
      <c r="AG4302">
        <v>-1.0976629999999901</v>
      </c>
      <c r="AH4302">
        <v>10.259019890371301</v>
      </c>
      <c r="AI4302">
        <v>94.924878589536505</v>
      </c>
      <c r="AJ4302">
        <v>53.6434423369112</v>
      </c>
      <c r="AK4302">
        <v>12.785892404851699</v>
      </c>
    </row>
    <row r="4303" spans="1:37" x14ac:dyDescent="0.2">
      <c r="A4303" t="str">
        <f>"20200111154149218"</f>
        <v>20200111154149218</v>
      </c>
      <c r="B4303" t="str">
        <f>"1578728509210381"</f>
        <v>1578728509210381</v>
      </c>
      <c r="C4303" t="s">
        <v>37</v>
      </c>
      <c r="D4303">
        <v>5.6840970000000004</v>
      </c>
      <c r="E4303">
        <v>0.65820109999999998</v>
      </c>
      <c r="F4303" t="s">
        <v>40</v>
      </c>
      <c r="G4303">
        <v>-306.40780000000001</v>
      </c>
      <c r="H4303">
        <v>-0.05</v>
      </c>
      <c r="I4303">
        <v>0.32994079999999998</v>
      </c>
      <c r="J4303">
        <v>-310.4631</v>
      </c>
      <c r="K4303">
        <v>1.0474459999999901</v>
      </c>
      <c r="L4303">
        <v>12.631839999999899</v>
      </c>
      <c r="M4303">
        <v>0.81391340000000001</v>
      </c>
      <c r="N4303">
        <v>0</v>
      </c>
      <c r="O4303">
        <v>-0.58070869999999997</v>
      </c>
      <c r="P4303">
        <v>0.65860390000000002</v>
      </c>
      <c r="Q4303">
        <v>1.125898E-2</v>
      </c>
      <c r="R4303">
        <v>-0.75240569999999996</v>
      </c>
      <c r="S4303">
        <v>1.048889</v>
      </c>
      <c r="T4303">
        <v>-0.27254029999999901</v>
      </c>
      <c r="U4303">
        <v>-3.08621199999999</v>
      </c>
      <c r="V4303">
        <v>0.2308431</v>
      </c>
      <c r="W4303">
        <v>2.060727E-2</v>
      </c>
      <c r="X4303">
        <v>0.97277269999999905</v>
      </c>
      <c r="Y4303">
        <v>0.58363739999999997</v>
      </c>
      <c r="Z4303">
        <v>2.6578580000000001E-2</v>
      </c>
      <c r="AA4303">
        <v>0.8115793</v>
      </c>
      <c r="AB4303">
        <v>33</v>
      </c>
      <c r="AC4303">
        <v>4.0552999999999804</v>
      </c>
      <c r="AD4303">
        <v>-1.0974459999999999</v>
      </c>
      <c r="AE4303">
        <v>-12.301899199999999</v>
      </c>
      <c r="AF4303">
        <v>7.6043808871552496</v>
      </c>
      <c r="AG4303">
        <v>-1.0974459999999999</v>
      </c>
      <c r="AH4303">
        <v>10.3717157774035</v>
      </c>
      <c r="AI4303">
        <v>94.877400313673903</v>
      </c>
      <c r="AJ4303">
        <v>53.751709300661702</v>
      </c>
      <c r="AK4303">
        <v>12.9074972232067</v>
      </c>
    </row>
    <row r="4304" spans="1:37" x14ac:dyDescent="0.2">
      <c r="A4304" t="str">
        <f>"20200111154149240"</f>
        <v>20200111154149240</v>
      </c>
      <c r="B4304" t="str">
        <f>"1578728509229902"</f>
        <v>1578728509229902</v>
      </c>
      <c r="C4304" t="s">
        <v>37</v>
      </c>
      <c r="D4304">
        <v>5.9509949999999998</v>
      </c>
      <c r="E4304">
        <v>0.65702059999999995</v>
      </c>
      <c r="F4304" t="s">
        <v>40</v>
      </c>
      <c r="G4304">
        <v>-306.32310000000001</v>
      </c>
      <c r="H4304">
        <v>-0.05</v>
      </c>
      <c r="I4304">
        <v>0.12869259999999999</v>
      </c>
      <c r="J4304">
        <v>-310.20409999999998</v>
      </c>
      <c r="K4304">
        <v>1.047153</v>
      </c>
      <c r="L4304">
        <v>12.431179999999999</v>
      </c>
      <c r="M4304">
        <v>0.80486859999999905</v>
      </c>
      <c r="N4304">
        <v>0</v>
      </c>
      <c r="O4304">
        <v>-0.59318769999999998</v>
      </c>
      <c r="P4304">
        <v>0.64810599999999996</v>
      </c>
      <c r="Q4304">
        <v>1.1206239999999999E-2</v>
      </c>
      <c r="R4304">
        <v>-0.76146769999999997</v>
      </c>
      <c r="S4304">
        <v>1.024597</v>
      </c>
      <c r="T4304">
        <v>-0.27160319999999999</v>
      </c>
      <c r="U4304">
        <v>-3.09436</v>
      </c>
      <c r="V4304">
        <v>0.22933009999999901</v>
      </c>
      <c r="W4304">
        <v>2.0411809999999999E-2</v>
      </c>
      <c r="X4304">
        <v>0.97313459999999996</v>
      </c>
      <c r="Y4304">
        <v>0.5775245</v>
      </c>
      <c r="Z4304">
        <v>2.8043149999999999E-2</v>
      </c>
      <c r="AA4304">
        <v>0.81589160000000005</v>
      </c>
      <c r="AB4304">
        <v>33</v>
      </c>
      <c r="AC4304">
        <v>3.88099999999997</v>
      </c>
      <c r="AD4304">
        <v>-1.097153</v>
      </c>
      <c r="AE4304">
        <v>-12.3024874</v>
      </c>
      <c r="AF4304">
        <v>7.5463350368977498</v>
      </c>
      <c r="AG4304">
        <v>-1.097153</v>
      </c>
      <c r="AH4304">
        <v>10.3481673438594</v>
      </c>
      <c r="AI4304">
        <v>94.896287267050695</v>
      </c>
      <c r="AJ4304">
        <v>53.898837459196599</v>
      </c>
      <c r="AK4304">
        <v>12.8543955350315</v>
      </c>
    </row>
    <row r="4305" spans="1:37" x14ac:dyDescent="0.2">
      <c r="A4305" t="str">
        <f>"20200111154149259"</f>
        <v>20200111154149259</v>
      </c>
      <c r="B4305" t="str">
        <f>"1578728509250397"</f>
        <v>1578728509250397</v>
      </c>
      <c r="C4305" t="s">
        <v>37</v>
      </c>
      <c r="D4305">
        <v>5.89438</v>
      </c>
      <c r="E4305">
        <v>0.65599069999999904</v>
      </c>
      <c r="F4305" t="s">
        <v>40</v>
      </c>
      <c r="G4305">
        <v>-306.26400000000001</v>
      </c>
      <c r="H4305">
        <v>-0.05</v>
      </c>
      <c r="I4305">
        <v>7.0159910000000006E-2</v>
      </c>
      <c r="J4305">
        <v>-309.98509999999999</v>
      </c>
      <c r="K4305">
        <v>1.0469389999999901</v>
      </c>
      <c r="L4305">
        <v>12.256159999999999</v>
      </c>
      <c r="M4305">
        <v>0.79695530000000003</v>
      </c>
      <c r="N4305">
        <v>0</v>
      </c>
      <c r="O4305">
        <v>-0.60378259999999995</v>
      </c>
      <c r="P4305">
        <v>0.63827060000000002</v>
      </c>
      <c r="Q4305">
        <v>1.134839E-2</v>
      </c>
      <c r="R4305">
        <v>-0.76972869999999904</v>
      </c>
      <c r="S4305">
        <v>0.9888306</v>
      </c>
      <c r="T4305">
        <v>-0.27534619999999999</v>
      </c>
      <c r="U4305">
        <v>-3.1021730000000001</v>
      </c>
      <c r="V4305">
        <v>0.2289583</v>
      </c>
      <c r="W4305">
        <v>2.0411809999999999E-2</v>
      </c>
      <c r="X4305">
        <v>0.97322219999999904</v>
      </c>
      <c r="Y4305">
        <v>0.57586930000000003</v>
      </c>
      <c r="Z4305">
        <v>2.9639459999999999E-2</v>
      </c>
      <c r="AA4305">
        <v>0.81700430000000002</v>
      </c>
      <c r="AB4305">
        <v>33</v>
      </c>
      <c r="AC4305">
        <v>3.7210999999999701</v>
      </c>
      <c r="AD4305">
        <v>-1.0969389999999899</v>
      </c>
      <c r="AE4305">
        <v>-12.18600009</v>
      </c>
      <c r="AF4305">
        <v>7.4111844117350998</v>
      </c>
      <c r="AG4305">
        <v>-1.0969389999999899</v>
      </c>
      <c r="AH4305">
        <v>10.2488766270985</v>
      </c>
      <c r="AI4305">
        <v>94.956864523118398</v>
      </c>
      <c r="AJ4305">
        <v>54.1284943069166</v>
      </c>
      <c r="AK4305">
        <v>12.695211761603399</v>
      </c>
    </row>
    <row r="4306" spans="1:37" x14ac:dyDescent="0.2">
      <c r="A4306" t="str">
        <f>"20200111154149273"</f>
        <v>20200111154149273</v>
      </c>
      <c r="B4306" t="str">
        <f>"1578728509269917"</f>
        <v>1578728509269917</v>
      </c>
      <c r="C4306" t="s">
        <v>37</v>
      </c>
      <c r="D4306">
        <v>5.9116580000000001</v>
      </c>
      <c r="E4306">
        <v>0.65486880000000003</v>
      </c>
      <c r="F4306" t="s">
        <v>40</v>
      </c>
      <c r="G4306">
        <v>-306.19150000000002</v>
      </c>
      <c r="H4306">
        <v>-0.05</v>
      </c>
      <c r="I4306">
        <v>-9.4528199999999896E-2</v>
      </c>
      <c r="J4306">
        <v>-309.80799999999999</v>
      </c>
      <c r="K4306">
        <v>1.0467879999999901</v>
      </c>
      <c r="L4306">
        <v>12.110989999999999</v>
      </c>
      <c r="M4306">
        <v>0.79037190000000002</v>
      </c>
      <c r="N4306">
        <v>0</v>
      </c>
      <c r="O4306">
        <v>-0.61237869999999905</v>
      </c>
      <c r="P4306">
        <v>0.63057259999999904</v>
      </c>
      <c r="Q4306">
        <v>1.146229E-2</v>
      </c>
      <c r="R4306">
        <v>-0.7760456</v>
      </c>
      <c r="S4306">
        <v>0.95510859999999997</v>
      </c>
      <c r="T4306">
        <v>-0.2761787</v>
      </c>
      <c r="U4306">
        <v>-3.1095579999999998</v>
      </c>
      <c r="V4306">
        <v>0.2281107</v>
      </c>
      <c r="W4306">
        <v>2.044089E-2</v>
      </c>
      <c r="X4306">
        <v>0.97342059999999997</v>
      </c>
      <c r="Y4306">
        <v>0.57566509999999904</v>
      </c>
      <c r="Z4306">
        <v>3.066928E-2</v>
      </c>
      <c r="AA4306">
        <v>0.81711020000000001</v>
      </c>
      <c r="AB4306">
        <v>33</v>
      </c>
      <c r="AC4306">
        <v>3.6164999999999701</v>
      </c>
      <c r="AD4306">
        <v>-1.0967879999999901</v>
      </c>
      <c r="AE4306">
        <v>-12.205518199999901</v>
      </c>
      <c r="AF4306">
        <v>7.3785910382390796</v>
      </c>
      <c r="AG4306">
        <v>-1.0967879999999901</v>
      </c>
      <c r="AH4306">
        <v>10.2582054626569</v>
      </c>
      <c r="AI4306">
        <v>94.960673243667102</v>
      </c>
      <c r="AJ4306">
        <v>54.273036693375701</v>
      </c>
      <c r="AK4306">
        <v>12.683742702397</v>
      </c>
    </row>
    <row r="4307" spans="1:37" x14ac:dyDescent="0.2">
      <c r="A4307" t="str">
        <f>"20200111154149289"</f>
        <v>20200111154149289</v>
      </c>
      <c r="B4307" t="str">
        <f>"1578728509280370"</f>
        <v>1578728509280370</v>
      </c>
      <c r="C4307" t="s">
        <v>37</v>
      </c>
      <c r="D4307">
        <v>5.8838910000000002</v>
      </c>
      <c r="E4307">
        <v>0.65416509999999894</v>
      </c>
      <c r="F4307" t="s">
        <v>40</v>
      </c>
      <c r="G4307">
        <v>-306.13049999999998</v>
      </c>
      <c r="H4307">
        <v>-0.05</v>
      </c>
      <c r="I4307">
        <v>-0.1862335</v>
      </c>
      <c r="J4307">
        <v>-309.63510000000002</v>
      </c>
      <c r="K4307">
        <v>1.0466549999999999</v>
      </c>
      <c r="L4307">
        <v>11.966430000000001</v>
      </c>
      <c r="M4307">
        <v>0.78378930000000002</v>
      </c>
      <c r="N4307">
        <v>0</v>
      </c>
      <c r="O4307">
        <v>-0.62078480000000003</v>
      </c>
      <c r="P4307">
        <v>0.62240390000000001</v>
      </c>
      <c r="Q4307">
        <v>1.148158E-2</v>
      </c>
      <c r="R4307">
        <v>-0.78261210000000003</v>
      </c>
      <c r="S4307">
        <v>0.93106080000000002</v>
      </c>
      <c r="T4307">
        <v>-0.27767839999999999</v>
      </c>
      <c r="U4307">
        <v>-3.1133419999999998</v>
      </c>
      <c r="V4307">
        <v>0.2279157</v>
      </c>
      <c r="W4307">
        <v>2.0360320000000001E-2</v>
      </c>
      <c r="X4307">
        <v>0.97346790000000005</v>
      </c>
      <c r="Y4307">
        <v>0.57301089999999999</v>
      </c>
      <c r="Z4307">
        <v>3.1879159999999997E-2</v>
      </c>
      <c r="AA4307">
        <v>0.81892749999999903</v>
      </c>
      <c r="AB4307">
        <v>33</v>
      </c>
      <c r="AC4307">
        <v>3.5046000000000301</v>
      </c>
      <c r="AD4307">
        <v>-1.0966549999999999</v>
      </c>
      <c r="AE4307">
        <v>-12.152663499999999</v>
      </c>
      <c r="AF4307">
        <v>7.2957802027434999</v>
      </c>
      <c r="AG4307">
        <v>-1.0966549999999999</v>
      </c>
      <c r="AH4307">
        <v>10.2158011655003</v>
      </c>
      <c r="AI4307">
        <v>94.992588978312995</v>
      </c>
      <c r="AJ4307">
        <v>54.466855597764898</v>
      </c>
      <c r="AK4307">
        <v>12.601335421645</v>
      </c>
    </row>
    <row r="4308" spans="1:37" x14ac:dyDescent="0.2">
      <c r="A4308" t="str">
        <f>"20200111154149301"</f>
        <v>20200111154149301</v>
      </c>
      <c r="B4308" t="str">
        <f>"1578728509290131"</f>
        <v>1578728509290131</v>
      </c>
      <c r="C4308" t="s">
        <v>37</v>
      </c>
      <c r="D4308">
        <v>5.9542190000000002</v>
      </c>
      <c r="E4308">
        <v>0.65363629999999995</v>
      </c>
      <c r="F4308" t="s">
        <v>40</v>
      </c>
      <c r="G4308">
        <v>-306.1499</v>
      </c>
      <c r="H4308">
        <v>-0.05</v>
      </c>
      <c r="I4308">
        <v>-6.8664550000000005E-2</v>
      </c>
      <c r="J4308">
        <v>-309.4794</v>
      </c>
      <c r="K4308">
        <v>1.046546</v>
      </c>
      <c r="L4308">
        <v>11.8339199999999</v>
      </c>
      <c r="M4308">
        <v>0.77773029999999999</v>
      </c>
      <c r="N4308">
        <v>0</v>
      </c>
      <c r="O4308">
        <v>-0.62836159999999996</v>
      </c>
      <c r="P4308">
        <v>0.61500779999999999</v>
      </c>
      <c r="Q4308">
        <v>1.1544169999999999E-2</v>
      </c>
      <c r="R4308">
        <v>-0.78843669999999899</v>
      </c>
      <c r="S4308">
        <v>0.90325929999999999</v>
      </c>
      <c r="T4308">
        <v>-0.28421770000000002</v>
      </c>
      <c r="U4308">
        <v>-3.11911</v>
      </c>
      <c r="V4308">
        <v>0.227634</v>
      </c>
      <c r="W4308">
        <v>2.0341250000000002E-2</v>
      </c>
      <c r="X4308">
        <v>0.97353429999999996</v>
      </c>
      <c r="Y4308">
        <v>0.57220269999999995</v>
      </c>
      <c r="Z4308">
        <v>3.3513130000000002E-2</v>
      </c>
      <c r="AA4308">
        <v>0.81942729999999997</v>
      </c>
      <c r="AB4308">
        <v>33</v>
      </c>
      <c r="AC4308">
        <v>3.3294999999999901</v>
      </c>
      <c r="AD4308">
        <v>-1.096546</v>
      </c>
      <c r="AE4308">
        <v>-11.902584549999901</v>
      </c>
      <c r="AF4308">
        <v>7.1099704628981097</v>
      </c>
      <c r="AG4308">
        <v>-1.096546</v>
      </c>
      <c r="AH4308">
        <v>9.9914304244606598</v>
      </c>
      <c r="AI4308">
        <v>95.109758835298905</v>
      </c>
      <c r="AJ4308">
        <v>54.564084229212703</v>
      </c>
      <c r="AK4308">
        <v>12.311895672082199</v>
      </c>
    </row>
    <row r="4309" spans="1:37" x14ac:dyDescent="0.2">
      <c r="A4309" t="str">
        <f>"20200111154149316"</f>
        <v>20200111154149316</v>
      </c>
      <c r="B4309" t="str">
        <f>"1578728509310626"</f>
        <v>1578728509310626</v>
      </c>
      <c r="C4309" t="s">
        <v>37</v>
      </c>
      <c r="D4309">
        <v>5.9001199999999896</v>
      </c>
      <c r="E4309">
        <v>0.65268029999999999</v>
      </c>
      <c r="F4309" t="s">
        <v>40</v>
      </c>
      <c r="G4309">
        <v>-306.10180000000003</v>
      </c>
      <c r="H4309">
        <v>-0.05</v>
      </c>
      <c r="I4309">
        <v>-0.203598</v>
      </c>
      <c r="J4309">
        <v>-309.32650000000001</v>
      </c>
      <c r="K4309">
        <v>1.046443</v>
      </c>
      <c r="L4309">
        <v>11.700200000000001</v>
      </c>
      <c r="M4309">
        <v>0.77162549999999996</v>
      </c>
      <c r="N4309">
        <v>0</v>
      </c>
      <c r="O4309">
        <v>-0.63584589999999996</v>
      </c>
      <c r="P4309">
        <v>0.60770400000000002</v>
      </c>
      <c r="Q4309">
        <v>1.1727329999999999E-2</v>
      </c>
      <c r="R4309">
        <v>-0.79407759999999905</v>
      </c>
      <c r="S4309">
        <v>0.87689209999999995</v>
      </c>
      <c r="T4309">
        <v>-0.28468549999999998</v>
      </c>
      <c r="U4309">
        <v>-3.1251829999999998</v>
      </c>
      <c r="V4309">
        <v>0.22721769999999999</v>
      </c>
      <c r="W4309">
        <v>2.0458529999999999E-2</v>
      </c>
      <c r="X4309">
        <v>0.97362909999999903</v>
      </c>
      <c r="Y4309">
        <v>0.57111709999999904</v>
      </c>
      <c r="Z4309">
        <v>3.4453039999999997E-2</v>
      </c>
      <c r="AA4309">
        <v>0.82014519999999902</v>
      </c>
      <c r="AB4309">
        <v>33</v>
      </c>
      <c r="AC4309">
        <v>3.2246999999999799</v>
      </c>
      <c r="AD4309">
        <v>-1.0964430000000001</v>
      </c>
      <c r="AE4309">
        <v>-11.903798</v>
      </c>
      <c r="AF4309">
        <v>7.0799513993901799</v>
      </c>
      <c r="AG4309">
        <v>-1.0964430000000001</v>
      </c>
      <c r="AH4309">
        <v>9.9798406443098706</v>
      </c>
      <c r="AI4309">
        <v>95.120427004590397</v>
      </c>
      <c r="AJ4309">
        <v>54.647146346957697</v>
      </c>
      <c r="AK4309">
        <v>12.2851584587173</v>
      </c>
    </row>
    <row r="4310" spans="1:37" x14ac:dyDescent="0.2">
      <c r="A4310" t="str">
        <f>"20200111154149330"</f>
        <v>20200111154149330</v>
      </c>
      <c r="B4310" t="str">
        <f>"1578728509320386"</f>
        <v>1578728509320386</v>
      </c>
      <c r="C4310" t="s">
        <v>37</v>
      </c>
      <c r="D4310">
        <v>5.8441580000000002</v>
      </c>
      <c r="E4310">
        <v>0.65217150000000002</v>
      </c>
      <c r="F4310" t="s">
        <v>40</v>
      </c>
      <c r="G4310">
        <v>-306.04860000000002</v>
      </c>
      <c r="H4310">
        <v>-0.05</v>
      </c>
      <c r="I4310">
        <v>-0.31069949999999902</v>
      </c>
      <c r="J4310">
        <v>-309.16539999999998</v>
      </c>
      <c r="K4310">
        <v>1.0463530000000001</v>
      </c>
      <c r="L4310">
        <v>11.556950000000001</v>
      </c>
      <c r="M4310">
        <v>0.76505619999999996</v>
      </c>
      <c r="N4310">
        <v>0</v>
      </c>
      <c r="O4310">
        <v>-0.64373719999999901</v>
      </c>
      <c r="P4310">
        <v>0.60017619999999905</v>
      </c>
      <c r="Q4310">
        <v>1.197498E-2</v>
      </c>
      <c r="R4310">
        <v>-0.79977830000000005</v>
      </c>
      <c r="S4310">
        <v>0.85388180000000002</v>
      </c>
      <c r="T4310">
        <v>-0.28561259999999999</v>
      </c>
      <c r="U4310">
        <v>-3.1287229999999999</v>
      </c>
      <c r="V4310">
        <v>0.22641889999999901</v>
      </c>
      <c r="W4310">
        <v>2.065494E-2</v>
      </c>
      <c r="X4310">
        <v>0.97381099999999998</v>
      </c>
      <c r="Y4310">
        <v>0.56854919999999998</v>
      </c>
      <c r="Z4310">
        <v>3.5581889999999998E-2</v>
      </c>
      <c r="AA4310">
        <v>0.82187940000000004</v>
      </c>
      <c r="AB4310">
        <v>33</v>
      </c>
      <c r="AC4310">
        <v>3.1167999999999498</v>
      </c>
      <c r="AD4310">
        <v>-1.0963529999999999</v>
      </c>
      <c r="AE4310">
        <v>-11.867649500000001</v>
      </c>
      <c r="AF4310">
        <v>7.0180198427623699</v>
      </c>
      <c r="AG4310">
        <v>-1.0963529999999999</v>
      </c>
      <c r="AH4310">
        <v>9.9462279344092899</v>
      </c>
      <c r="AI4310">
        <v>95.1464527517997</v>
      </c>
      <c r="AJ4310">
        <v>54.7933544121342</v>
      </c>
      <c r="AK4310">
        <v>12.222194669421601</v>
      </c>
    </row>
    <row r="4311" spans="1:37" x14ac:dyDescent="0.2">
      <c r="A4311" t="str">
        <f>"20200111154149352"</f>
        <v>20200111154149352</v>
      </c>
      <c r="B4311" t="str">
        <f>"1578728509339907"</f>
        <v>1578728509339907</v>
      </c>
      <c r="C4311" t="s">
        <v>37</v>
      </c>
      <c r="D4311">
        <v>5.8332769999999998</v>
      </c>
      <c r="E4311">
        <v>0.65089140000000001</v>
      </c>
      <c r="F4311" t="s">
        <v>40</v>
      </c>
      <c r="G4311">
        <v>-306.01929999999999</v>
      </c>
      <c r="H4311">
        <v>-0.05</v>
      </c>
      <c r="I4311">
        <v>-0.36053469999999999</v>
      </c>
      <c r="J4311">
        <v>-308.91980000000001</v>
      </c>
      <c r="K4311">
        <v>1.0462340000000001</v>
      </c>
      <c r="L4311">
        <v>11.33264</v>
      </c>
      <c r="M4311">
        <v>0.75474259999999904</v>
      </c>
      <c r="N4311">
        <v>0</v>
      </c>
      <c r="O4311">
        <v>-0.655802</v>
      </c>
      <c r="P4311">
        <v>0.58789769999999997</v>
      </c>
      <c r="Q4311">
        <v>1.247769E-2</v>
      </c>
      <c r="R4311">
        <v>-0.80883930000000004</v>
      </c>
      <c r="S4311">
        <v>0.82745360000000001</v>
      </c>
      <c r="T4311">
        <v>-0.288350299999999</v>
      </c>
      <c r="U4311">
        <v>-3.1343990000000002</v>
      </c>
      <c r="V4311">
        <v>0.22583349999999999</v>
      </c>
      <c r="W4311">
        <v>2.1066370000000001E-2</v>
      </c>
      <c r="X4311">
        <v>0.97393809999999903</v>
      </c>
      <c r="Y4311">
        <v>0.5623515</v>
      </c>
      <c r="Z4311">
        <v>3.7565759999999997E-2</v>
      </c>
      <c r="AA4311">
        <v>0.82604460000000002</v>
      </c>
      <c r="AB4311">
        <v>33</v>
      </c>
      <c r="AC4311">
        <v>2.9005000000000201</v>
      </c>
      <c r="AD4311">
        <v>-1.0962339999999999</v>
      </c>
      <c r="AE4311">
        <v>-11.693174699999901</v>
      </c>
      <c r="AF4311">
        <v>6.8673195493244403</v>
      </c>
      <c r="AG4311">
        <v>-1.0962339999999999</v>
      </c>
      <c r="AH4311">
        <v>9.7779968522389797</v>
      </c>
      <c r="AI4311">
        <v>95.241968182410702</v>
      </c>
      <c r="AJ4311">
        <v>54.918720375737202</v>
      </c>
      <c r="AK4311">
        <v>11.998792823350399</v>
      </c>
    </row>
    <row r="4312" spans="1:37" x14ac:dyDescent="0.2">
      <c r="A4312" t="str">
        <f>"20200111154149376"</f>
        <v>20200111154149376</v>
      </c>
      <c r="B4312" t="str">
        <f>"1578728509370162"</f>
        <v>1578728509370162</v>
      </c>
      <c r="C4312" t="s">
        <v>37</v>
      </c>
      <c r="D4312">
        <v>5.7782929999999997</v>
      </c>
      <c r="E4312">
        <v>0.62080970000000002</v>
      </c>
      <c r="F4312" t="s">
        <v>40</v>
      </c>
      <c r="G4312">
        <v>-306.00330000000002</v>
      </c>
      <c r="H4312">
        <v>-0.05</v>
      </c>
      <c r="I4312">
        <v>-0.29713440000000002</v>
      </c>
      <c r="J4312">
        <v>-308.66849999999999</v>
      </c>
      <c r="K4312">
        <v>1.046144</v>
      </c>
      <c r="L4312">
        <v>11.095610000000001</v>
      </c>
      <c r="M4312">
        <v>0.74380579999999996</v>
      </c>
      <c r="N4312">
        <v>0</v>
      </c>
      <c r="O4312">
        <v>-0.66818389999999905</v>
      </c>
      <c r="P4312">
        <v>0.57489109999999999</v>
      </c>
      <c r="Q4312">
        <v>1.259333E-2</v>
      </c>
      <c r="R4312">
        <v>-0.81813340000000001</v>
      </c>
      <c r="S4312">
        <v>0.78771969999999902</v>
      </c>
      <c r="T4312">
        <v>-0.29607859999999903</v>
      </c>
      <c r="U4312">
        <v>-3.1410520000000002</v>
      </c>
      <c r="V4312">
        <v>0.22531180000000001</v>
      </c>
      <c r="W4312">
        <v>2.1097830000000001E-2</v>
      </c>
      <c r="X4312">
        <v>0.97405830000000004</v>
      </c>
      <c r="Y4312">
        <v>0.55894379999999999</v>
      </c>
      <c r="Z4312">
        <v>4.0193979999999997E-2</v>
      </c>
      <c r="AA4312">
        <v>0.82823080000000004</v>
      </c>
      <c r="AB4312">
        <v>33</v>
      </c>
      <c r="AC4312">
        <v>2.6651999999999698</v>
      </c>
      <c r="AD4312">
        <v>-1.096144</v>
      </c>
      <c r="AE4312">
        <v>-11.3927444</v>
      </c>
      <c r="AF4312">
        <v>6.6358517722085502</v>
      </c>
      <c r="AG4312">
        <v>-1.096144</v>
      </c>
      <c r="AH4312">
        <v>9.5127070112119494</v>
      </c>
      <c r="AI4312">
        <v>95.398820983363294</v>
      </c>
      <c r="AJ4312">
        <v>55.101233905175199</v>
      </c>
      <c r="AK4312">
        <v>11.6502212465094</v>
      </c>
    </row>
    <row r="4313" spans="1:37" x14ac:dyDescent="0.2">
      <c r="A4313" t="str">
        <f>"20200111154149389"</f>
        <v>20200111154149389</v>
      </c>
      <c r="B4313" t="str">
        <f>"1578728509380690"</f>
        <v>1578728509380690</v>
      </c>
      <c r="C4313" t="s">
        <v>37</v>
      </c>
      <c r="D4313">
        <v>5.8262619999999998</v>
      </c>
      <c r="E4313">
        <v>0.62003169999999996</v>
      </c>
      <c r="F4313" t="s">
        <v>40</v>
      </c>
      <c r="G4313">
        <v>-306.56830000000002</v>
      </c>
      <c r="H4313">
        <v>-0.05</v>
      </c>
      <c r="I4313">
        <v>4.2957460000000003</v>
      </c>
      <c r="J4313">
        <v>-308.51620000000003</v>
      </c>
      <c r="K4313">
        <v>1.046095</v>
      </c>
      <c r="L4313">
        <v>10.948089999999899</v>
      </c>
      <c r="M4313">
        <v>0.73698079999999999</v>
      </c>
      <c r="N4313">
        <v>0</v>
      </c>
      <c r="O4313">
        <v>-0.67570540000000001</v>
      </c>
      <c r="P4313">
        <v>0.56688950000000005</v>
      </c>
      <c r="Q4313">
        <v>1.288359E-2</v>
      </c>
      <c r="R4313">
        <v>-0.82369319999999902</v>
      </c>
      <c r="S4313">
        <v>0.93249509999999902</v>
      </c>
      <c r="T4313">
        <v>-0.48668649999999902</v>
      </c>
      <c r="U4313">
        <v>-3.0191349999999999</v>
      </c>
      <c r="V4313">
        <v>0.22491599999999901</v>
      </c>
      <c r="W4313">
        <v>2.1346210000000001E-2</v>
      </c>
      <c r="X4313">
        <v>0.97414429999999996</v>
      </c>
      <c r="Y4313">
        <v>0.50517029999999996</v>
      </c>
      <c r="Z4313">
        <v>7.2665209999999994E-2</v>
      </c>
      <c r="AA4313">
        <v>0.85995509999999997</v>
      </c>
      <c r="AB4313">
        <v>33</v>
      </c>
      <c r="AC4313">
        <v>1.9479</v>
      </c>
      <c r="AD4313">
        <v>-1.096095</v>
      </c>
      <c r="AE4313">
        <v>-6.6523439999999896</v>
      </c>
      <c r="AF4313">
        <v>3.4994456920742998</v>
      </c>
      <c r="AG4313">
        <v>-1.096095</v>
      </c>
      <c r="AH4313">
        <v>5.7867293523410099</v>
      </c>
      <c r="AI4313">
        <v>99.2065849339143</v>
      </c>
      <c r="AJ4313">
        <v>58.837120716322502</v>
      </c>
      <c r="AK4313">
        <v>6.8508233810285502</v>
      </c>
    </row>
    <row r="4314" spans="1:37" x14ac:dyDescent="0.2">
      <c r="A4314" t="str">
        <f>"20200111154149405"</f>
        <v>20200111154149405</v>
      </c>
      <c r="B4314" t="str">
        <f>"1578728509400210"</f>
        <v>1578728509400210</v>
      </c>
      <c r="C4314" t="s">
        <v>37</v>
      </c>
      <c r="D4314">
        <v>5.8597440000000001</v>
      </c>
      <c r="E4314">
        <v>0.61865969999999904</v>
      </c>
      <c r="F4314" t="s">
        <v>40</v>
      </c>
      <c r="G4314">
        <v>-306.515999999999</v>
      </c>
      <c r="H4314">
        <v>-0.05</v>
      </c>
      <c r="I4314">
        <v>4.2884060000000002</v>
      </c>
      <c r="J4314">
        <v>-308.34719999999999</v>
      </c>
      <c r="K4314">
        <v>1.046049</v>
      </c>
      <c r="L4314">
        <v>10.78116</v>
      </c>
      <c r="M4314">
        <v>0.72923890000000002</v>
      </c>
      <c r="N4314">
        <v>0</v>
      </c>
      <c r="O4314">
        <v>-0.68405509999999903</v>
      </c>
      <c r="P4314">
        <v>0.55798950000000003</v>
      </c>
      <c r="Q4314">
        <v>1.349706E-2</v>
      </c>
      <c r="R4314">
        <v>-0.82973869999999905</v>
      </c>
      <c r="S4314">
        <v>0.90844729999999996</v>
      </c>
      <c r="T4314">
        <v>-0.49782330000000002</v>
      </c>
      <c r="U4314">
        <v>-3.024689</v>
      </c>
      <c r="V4314">
        <v>0.2243214</v>
      </c>
      <c r="W4314">
        <v>2.1924470000000001E-2</v>
      </c>
      <c r="X4314">
        <v>0.97426859999999904</v>
      </c>
      <c r="Y4314">
        <v>0.50212369999999995</v>
      </c>
      <c r="Z4314">
        <v>7.6178209999999996E-2</v>
      </c>
      <c r="AA4314">
        <v>0.86143409999999998</v>
      </c>
      <c r="AB4314">
        <v>33</v>
      </c>
      <c r="AC4314">
        <v>1.8312000000000199</v>
      </c>
      <c r="AD4314">
        <v>-1.0960490000000001</v>
      </c>
      <c r="AE4314">
        <v>-6.4927539999999997</v>
      </c>
      <c r="AF4314">
        <v>3.39304577077765</v>
      </c>
      <c r="AG4314">
        <v>-1.0960490000000001</v>
      </c>
      <c r="AH4314">
        <v>5.6289995235615304</v>
      </c>
      <c r="AI4314">
        <v>99.467616752950093</v>
      </c>
      <c r="AJ4314">
        <v>58.919286911952803</v>
      </c>
      <c r="AK4314">
        <v>6.6633113876847299</v>
      </c>
    </row>
    <row r="4315" spans="1:37" x14ac:dyDescent="0.2">
      <c r="A4315" t="str">
        <f>"20200111154149418"</f>
        <v>20200111154149418</v>
      </c>
      <c r="B4315" t="str">
        <f>"1578728509409970"</f>
        <v>1578728509409970</v>
      </c>
      <c r="C4315" t="s">
        <v>37</v>
      </c>
      <c r="D4315">
        <v>5.797885</v>
      </c>
      <c r="E4315">
        <v>0.61793209999999998</v>
      </c>
      <c r="F4315" t="s">
        <v>40</v>
      </c>
      <c r="G4315">
        <v>-306.39890000000003</v>
      </c>
      <c r="H4315">
        <v>-0.05</v>
      </c>
      <c r="I4315">
        <v>4.1131440000000001</v>
      </c>
      <c r="J4315">
        <v>-308.19709999999998</v>
      </c>
      <c r="K4315">
        <v>1.0460199999999999</v>
      </c>
      <c r="L4315">
        <v>10.629</v>
      </c>
      <c r="M4315">
        <v>0.72218169999999904</v>
      </c>
      <c r="N4315">
        <v>0</v>
      </c>
      <c r="O4315">
        <v>-0.69150290000000003</v>
      </c>
      <c r="P4315">
        <v>0.55053160000000001</v>
      </c>
      <c r="Q4315">
        <v>1.4443549999999999E-2</v>
      </c>
      <c r="R4315">
        <v>-0.83468980000000004</v>
      </c>
      <c r="S4315">
        <v>0.88491819999999899</v>
      </c>
      <c r="T4315">
        <v>-0.4978224</v>
      </c>
      <c r="U4315">
        <v>-3.0285950000000001</v>
      </c>
      <c r="V4315">
        <v>0.2230742</v>
      </c>
      <c r="W4315">
        <v>2.287266E-2</v>
      </c>
      <c r="X4315">
        <v>0.97453310000000004</v>
      </c>
      <c r="Y4315">
        <v>0.49976350000000003</v>
      </c>
      <c r="Z4315">
        <v>7.786796E-2</v>
      </c>
      <c r="AA4315">
        <v>0.862654699999999</v>
      </c>
      <c r="AB4315">
        <v>33</v>
      </c>
      <c r="AC4315">
        <v>1.7981999999999501</v>
      </c>
      <c r="AD4315">
        <v>-1.09602</v>
      </c>
      <c r="AE4315">
        <v>-6.5158560000000003</v>
      </c>
      <c r="AF4315">
        <v>3.3739452725521399</v>
      </c>
      <c r="AG4315">
        <v>-1.09602</v>
      </c>
      <c r="AH4315">
        <v>5.6564485043613804</v>
      </c>
      <c r="AI4315">
        <v>99.448006937570199</v>
      </c>
      <c r="AJ4315">
        <v>59.1848668516174</v>
      </c>
      <c r="AK4315">
        <v>6.67683878980682</v>
      </c>
    </row>
    <row r="4316" spans="1:37" x14ac:dyDescent="0.2">
      <c r="A4316" t="str">
        <f>"20200111154149441"</f>
        <v>20200111154149441</v>
      </c>
      <c r="B4316" t="str">
        <f>"1578728509430466"</f>
        <v>1578728509430466</v>
      </c>
      <c r="C4316" t="s">
        <v>37</v>
      </c>
      <c r="D4316">
        <v>5.8655889999999999</v>
      </c>
      <c r="E4316">
        <v>0.61778120000000003</v>
      </c>
      <c r="F4316" t="s">
        <v>40</v>
      </c>
      <c r="G4316">
        <v>-306.3057</v>
      </c>
      <c r="H4316">
        <v>-0.05</v>
      </c>
      <c r="I4316">
        <v>3.9837039999999999</v>
      </c>
      <c r="J4316">
        <v>-307.96710000000002</v>
      </c>
      <c r="K4316">
        <v>1.0459829999999899</v>
      </c>
      <c r="L4316">
        <v>10.39026</v>
      </c>
      <c r="M4316">
        <v>0.71107379999999998</v>
      </c>
      <c r="N4316">
        <v>0</v>
      </c>
      <c r="O4316">
        <v>-0.70292169999999998</v>
      </c>
      <c r="P4316">
        <v>0.53861490000000001</v>
      </c>
      <c r="Q4316">
        <v>1.503171E-2</v>
      </c>
      <c r="R4316">
        <v>-0.84241809999999995</v>
      </c>
      <c r="S4316">
        <v>0.86337280000000005</v>
      </c>
      <c r="T4316">
        <v>-0.50029619999999997</v>
      </c>
      <c r="U4316">
        <v>-3.0333559999999999</v>
      </c>
      <c r="V4316">
        <v>0.2214063</v>
      </c>
      <c r="W4316">
        <v>2.345997E-2</v>
      </c>
      <c r="X4316">
        <v>0.97489939999999997</v>
      </c>
      <c r="Y4316">
        <v>0.49207820000000002</v>
      </c>
      <c r="Z4316">
        <v>8.1062850000000006E-2</v>
      </c>
      <c r="AA4316">
        <v>0.8667686</v>
      </c>
      <c r="AB4316">
        <v>33</v>
      </c>
      <c r="AC4316">
        <v>1.66140000000001</v>
      </c>
      <c r="AD4316">
        <v>-1.0959829999999999</v>
      </c>
      <c r="AE4316">
        <v>-6.4065560000000001</v>
      </c>
      <c r="AF4316">
        <v>3.29773712157552</v>
      </c>
      <c r="AG4316">
        <v>-1.0959829999999999</v>
      </c>
      <c r="AH4316">
        <v>5.5337242137486697</v>
      </c>
      <c r="AI4316">
        <v>99.655582287255299</v>
      </c>
      <c r="AJ4316">
        <v>59.207827562137702</v>
      </c>
      <c r="AK4316">
        <v>6.5343976411857998</v>
      </c>
    </row>
    <row r="4317" spans="1:37" x14ac:dyDescent="0.2">
      <c r="A4317" t="str">
        <f>"20200111154149465"</f>
        <v>20200111154149465</v>
      </c>
      <c r="B4317" t="str">
        <f>"1578728509460723"</f>
        <v>1578728509460723</v>
      </c>
      <c r="C4317" t="s">
        <v>37</v>
      </c>
      <c r="D4317">
        <v>5.7680790000000002</v>
      </c>
      <c r="E4317">
        <v>0.61569119999999899</v>
      </c>
      <c r="F4317" t="s">
        <v>40</v>
      </c>
      <c r="G4317">
        <v>-306.13869999999997</v>
      </c>
      <c r="H4317">
        <v>-0.05</v>
      </c>
      <c r="I4317">
        <v>3.6165769999999902</v>
      </c>
      <c r="J4317">
        <v>-307.73059999999998</v>
      </c>
      <c r="K4317">
        <v>1.0459529999999999</v>
      </c>
      <c r="L4317">
        <v>10.13626</v>
      </c>
      <c r="M4317">
        <v>0.699237</v>
      </c>
      <c r="N4317">
        <v>0</v>
      </c>
      <c r="O4317">
        <v>-0.71469899999999997</v>
      </c>
      <c r="P4317">
        <v>0.52592609999999995</v>
      </c>
      <c r="Q4317">
        <v>1.5540150000000001E-2</v>
      </c>
      <c r="R4317">
        <v>-0.85038849999999999</v>
      </c>
      <c r="S4317">
        <v>0.82180789999999904</v>
      </c>
      <c r="T4317">
        <v>-0.492604299999999</v>
      </c>
      <c r="U4317">
        <v>-3.0445250000000001</v>
      </c>
      <c r="V4317">
        <v>0.21974850000000001</v>
      </c>
      <c r="W4317">
        <v>2.397386E-2</v>
      </c>
      <c r="X4317">
        <v>0.97526190000000001</v>
      </c>
      <c r="Y4317">
        <v>0.48942740000000001</v>
      </c>
      <c r="Z4317">
        <v>8.2318749999999996E-2</v>
      </c>
      <c r="AA4317">
        <v>0.86814999999999998</v>
      </c>
      <c r="AB4317">
        <v>33</v>
      </c>
      <c r="AC4317">
        <v>1.5919000000000001</v>
      </c>
      <c r="AD4317">
        <v>-1.095953</v>
      </c>
      <c r="AE4317">
        <v>-6.5196829999999997</v>
      </c>
      <c r="AF4317">
        <v>3.3326674958995399</v>
      </c>
      <c r="AG4317">
        <v>-1.095953</v>
      </c>
      <c r="AH4317">
        <v>5.6235486090818103</v>
      </c>
      <c r="AI4317">
        <v>99.517497051529006</v>
      </c>
      <c r="AJ4317">
        <v>59.347867341381601</v>
      </c>
      <c r="AK4317">
        <v>6.6281282859598001</v>
      </c>
    </row>
    <row r="4318" spans="1:37" x14ac:dyDescent="0.2">
      <c r="A4318" t="str">
        <f>"20200111154149487"</f>
        <v>20200111154149487</v>
      </c>
      <c r="B4318" t="str">
        <f>"1578728509480750"</f>
        <v>1578728509480750</v>
      </c>
      <c r="C4318" t="s">
        <v>37</v>
      </c>
      <c r="D4318">
        <v>5.7039839999999904</v>
      </c>
      <c r="E4318">
        <v>0.59508099999999997</v>
      </c>
      <c r="F4318" t="s">
        <v>40</v>
      </c>
      <c r="G4318">
        <v>-305.9982</v>
      </c>
      <c r="H4318">
        <v>-0.05</v>
      </c>
      <c r="I4318">
        <v>3.4575650000000002</v>
      </c>
      <c r="J4318">
        <v>-307.50330000000002</v>
      </c>
      <c r="K4318">
        <v>1.0459309999999999</v>
      </c>
      <c r="L4318">
        <v>9.8836359999999992</v>
      </c>
      <c r="M4318">
        <v>0.68744430000000001</v>
      </c>
      <c r="N4318">
        <v>0</v>
      </c>
      <c r="O4318">
        <v>-0.72605059999999999</v>
      </c>
      <c r="P4318">
        <v>0.51395409999999997</v>
      </c>
      <c r="Q4318">
        <v>1.566555E-2</v>
      </c>
      <c r="R4318">
        <v>-0.85767469999999901</v>
      </c>
      <c r="S4318">
        <v>0.79061890000000001</v>
      </c>
      <c r="T4318">
        <v>-0.50016329999999998</v>
      </c>
      <c r="U4318">
        <v>-3.047974</v>
      </c>
      <c r="V4318">
        <v>0.2174537</v>
      </c>
      <c r="W4318">
        <v>2.4138320000000001E-2</v>
      </c>
      <c r="X4318">
        <v>0.97577209999999903</v>
      </c>
      <c r="Y4318">
        <v>0.48379609999999901</v>
      </c>
      <c r="Z4318">
        <v>8.6311020000000002E-2</v>
      </c>
      <c r="AA4318">
        <v>0.87091430000000003</v>
      </c>
      <c r="AB4318">
        <v>33</v>
      </c>
      <c r="AC4318">
        <v>1.5051000000000201</v>
      </c>
      <c r="AD4318">
        <v>-1.095931</v>
      </c>
      <c r="AE4318">
        <v>-6.4260709999999897</v>
      </c>
      <c r="AF4318">
        <v>3.2360114847824799</v>
      </c>
      <c r="AG4318">
        <v>-1.095931</v>
      </c>
      <c r="AH4318">
        <v>5.5481198887307599</v>
      </c>
      <c r="AI4318">
        <v>99.683078679607505</v>
      </c>
      <c r="AJ4318">
        <v>59.746581687114002</v>
      </c>
      <c r="AK4318">
        <v>6.5157094307630796</v>
      </c>
    </row>
    <row r="4319" spans="1:37" x14ac:dyDescent="0.2">
      <c r="A4319" t="str">
        <f>"20200111154149509"</f>
        <v>20200111154149509</v>
      </c>
      <c r="B4319" t="str">
        <f>"1578728509500269"</f>
        <v>1578728509500269</v>
      </c>
      <c r="C4319" t="s">
        <v>37</v>
      </c>
      <c r="D4319">
        <v>5.7765659999999999</v>
      </c>
      <c r="E4319">
        <v>0.5899993</v>
      </c>
      <c r="F4319" t="s">
        <v>40</v>
      </c>
      <c r="G4319">
        <v>-305.06119999999999</v>
      </c>
      <c r="H4319">
        <v>-0.05</v>
      </c>
      <c r="I4319">
        <v>1.718704</v>
      </c>
      <c r="J4319">
        <v>-307.28480000000002</v>
      </c>
      <c r="K4319">
        <v>1.04592</v>
      </c>
      <c r="L4319">
        <v>9.6326900000000002</v>
      </c>
      <c r="M4319">
        <v>0.67570750000000002</v>
      </c>
      <c r="N4319">
        <v>0</v>
      </c>
      <c r="O4319">
        <v>-0.73698719999999995</v>
      </c>
      <c r="P4319">
        <v>0.50210829999999995</v>
      </c>
      <c r="Q4319">
        <v>1.553203E-2</v>
      </c>
      <c r="R4319">
        <v>-0.86466529999999997</v>
      </c>
      <c r="S4319">
        <v>0.88903809999999905</v>
      </c>
      <c r="T4319">
        <v>-0.398964599999999</v>
      </c>
      <c r="U4319">
        <v>-2.9723820000000001</v>
      </c>
      <c r="V4319">
        <v>0.21521379999999901</v>
      </c>
      <c r="W4319">
        <v>2.4049649999999999E-2</v>
      </c>
      <c r="X4319">
        <v>0.97627079999999999</v>
      </c>
      <c r="Y4319">
        <v>0.43696000000000002</v>
      </c>
      <c r="Z4319">
        <v>7.4304830000000002E-2</v>
      </c>
      <c r="AA4319">
        <v>0.89640659999999905</v>
      </c>
      <c r="AB4319">
        <v>33</v>
      </c>
      <c r="AC4319">
        <v>2.22360000000003</v>
      </c>
      <c r="AD4319">
        <v>-1.09592</v>
      </c>
      <c r="AE4319">
        <v>-7.9139860000000004</v>
      </c>
      <c r="AF4319">
        <v>3.64449956573214</v>
      </c>
      <c r="AG4319">
        <v>-1.09592</v>
      </c>
      <c r="AH4319">
        <v>7.20788927275271</v>
      </c>
      <c r="AI4319">
        <v>97.727045676133599</v>
      </c>
      <c r="AJ4319">
        <v>63.177631559680499</v>
      </c>
      <c r="AK4319">
        <v>8.1508947667900404</v>
      </c>
    </row>
    <row r="4320" spans="1:37" x14ac:dyDescent="0.2">
      <c r="A4320" t="str">
        <f>"20200111154149530"</f>
        <v>20200111154149530</v>
      </c>
      <c r="B4320" t="str">
        <f>"1578728509520765"</f>
        <v>1578728509520765</v>
      </c>
      <c r="C4320" t="s">
        <v>37</v>
      </c>
      <c r="D4320">
        <v>5.7968019999999996</v>
      </c>
      <c r="E4320">
        <v>0.58918199999999998</v>
      </c>
      <c r="F4320" t="s">
        <v>40</v>
      </c>
      <c r="G4320">
        <v>-304.85489999999999</v>
      </c>
      <c r="H4320">
        <v>-0.05</v>
      </c>
      <c r="I4320">
        <v>1.4783170000000001</v>
      </c>
      <c r="J4320">
        <v>-307.07960000000003</v>
      </c>
      <c r="K4320">
        <v>1.045914</v>
      </c>
      <c r="L4320">
        <v>9.3894959999999994</v>
      </c>
      <c r="M4320">
        <v>0.66431019999999996</v>
      </c>
      <c r="N4320">
        <v>0</v>
      </c>
      <c r="O4320">
        <v>-0.74727790000000005</v>
      </c>
      <c r="P4320">
        <v>0.4901142</v>
      </c>
      <c r="Q4320">
        <v>1.5681589999999999E-2</v>
      </c>
      <c r="R4320">
        <v>-0.87151719999999899</v>
      </c>
      <c r="S4320">
        <v>0.88317869999999998</v>
      </c>
      <c r="T4320">
        <v>-0.39832919999999999</v>
      </c>
      <c r="U4320">
        <v>-2.9638369999999998</v>
      </c>
      <c r="V4320">
        <v>0.21371009999999999</v>
      </c>
      <c r="W4320">
        <v>2.4222690000000002E-2</v>
      </c>
      <c r="X4320">
        <v>0.97659680000000004</v>
      </c>
      <c r="Y4320">
        <v>0.42409799999999997</v>
      </c>
      <c r="Z4320">
        <v>7.670536E-2</v>
      </c>
      <c r="AA4320">
        <v>0.902362</v>
      </c>
      <c r="AB4320">
        <v>33</v>
      </c>
      <c r="AC4320">
        <v>2.2247000000000399</v>
      </c>
      <c r="AD4320">
        <v>-1.0959139999999901</v>
      </c>
      <c r="AE4320">
        <v>-7.9111789999999997</v>
      </c>
      <c r="AF4320">
        <v>3.5307005499442101</v>
      </c>
      <c r="AG4320">
        <v>-1.0959139999999901</v>
      </c>
      <c r="AH4320">
        <v>7.2615928748966097</v>
      </c>
      <c r="AI4320">
        <v>97.729314074676694</v>
      </c>
      <c r="AJ4320">
        <v>64.070251025248496</v>
      </c>
      <c r="AK4320">
        <v>8.1484725531550701</v>
      </c>
    </row>
    <row r="4321" spans="1:37" x14ac:dyDescent="0.2">
      <c r="A4321" t="str">
        <f>"20200111154149552"</f>
        <v>20200111154149552</v>
      </c>
      <c r="B4321" t="str">
        <f>"1578728509540286"</f>
        <v>1578728509540286</v>
      </c>
      <c r="C4321" t="s">
        <v>37</v>
      </c>
      <c r="D4321">
        <v>5.7418269999999998</v>
      </c>
      <c r="E4321">
        <v>0.58817969999999997</v>
      </c>
      <c r="F4321" t="s">
        <v>40</v>
      </c>
      <c r="G4321">
        <v>-304.74799999999999</v>
      </c>
      <c r="H4321">
        <v>-0.05</v>
      </c>
      <c r="I4321">
        <v>1.2150270000000001</v>
      </c>
      <c r="J4321">
        <v>-306.86900000000003</v>
      </c>
      <c r="K4321">
        <v>1.0459160000000001</v>
      </c>
      <c r="L4321">
        <v>9.1318049999999999</v>
      </c>
      <c r="M4321">
        <v>0.65221640000000003</v>
      </c>
      <c r="N4321">
        <v>0</v>
      </c>
      <c r="O4321">
        <v>-0.75785709999999995</v>
      </c>
      <c r="P4321">
        <v>0.47753440000000003</v>
      </c>
      <c r="Q4321">
        <v>1.5786970000000001E-2</v>
      </c>
      <c r="R4321">
        <v>-0.87847129999999995</v>
      </c>
      <c r="S4321">
        <v>0.84786989999999995</v>
      </c>
      <c r="T4321">
        <v>-0.3985262</v>
      </c>
      <c r="U4321">
        <v>-2.972626</v>
      </c>
      <c r="V4321">
        <v>0.2120563</v>
      </c>
      <c r="W4321">
        <v>2.436141E-2</v>
      </c>
      <c r="X4321">
        <v>0.97695370000000004</v>
      </c>
      <c r="Y4321">
        <v>0.420199299999999</v>
      </c>
      <c r="Z4321">
        <v>7.8660679999999997E-2</v>
      </c>
      <c r="AA4321">
        <v>0.90401609999999999</v>
      </c>
      <c r="AB4321">
        <v>33</v>
      </c>
      <c r="AC4321">
        <v>2.1210000000000302</v>
      </c>
      <c r="AD4321">
        <v>-1.0959159999999999</v>
      </c>
      <c r="AE4321">
        <v>-7.9167779999999999</v>
      </c>
      <c r="AF4321">
        <v>3.4940398890104301</v>
      </c>
      <c r="AG4321">
        <v>-1.0959159999999999</v>
      </c>
      <c r="AH4321">
        <v>7.2544162741050897</v>
      </c>
      <c r="AI4321">
        <v>97.750597253408301</v>
      </c>
      <c r="AJ4321">
        <v>64.282527122521103</v>
      </c>
      <c r="AK4321">
        <v>8.1262477259220205</v>
      </c>
    </row>
    <row r="4322" spans="1:37" x14ac:dyDescent="0.2">
      <c r="A4322" t="str">
        <f>"20200111154149575"</f>
        <v>20200111154149575</v>
      </c>
      <c r="B4322" t="str">
        <f>"1578728509570541"</f>
        <v>1578728509570541</v>
      </c>
      <c r="C4322" t="s">
        <v>37</v>
      </c>
      <c r="D4322">
        <v>5.532292</v>
      </c>
      <c r="E4322">
        <v>0.58797159999999904</v>
      </c>
      <c r="F4322" t="s">
        <v>40</v>
      </c>
      <c r="G4322">
        <v>-304.62909999999999</v>
      </c>
      <c r="H4322">
        <v>-0.05</v>
      </c>
      <c r="I4322">
        <v>0.90980530000000004</v>
      </c>
      <c r="J4322">
        <v>-306.65980000000002</v>
      </c>
      <c r="K4322">
        <v>1.045919</v>
      </c>
      <c r="L4322">
        <v>8.8671880000000005</v>
      </c>
      <c r="M4322">
        <v>0.63977439999999997</v>
      </c>
      <c r="N4322">
        <v>0</v>
      </c>
      <c r="O4322">
        <v>-0.76839040000000003</v>
      </c>
      <c r="P4322">
        <v>0.46482780000000001</v>
      </c>
      <c r="Q4322">
        <v>1.5885900000000001E-2</v>
      </c>
      <c r="R4322">
        <v>-0.88525849999999995</v>
      </c>
      <c r="S4322">
        <v>0.81204219999999905</v>
      </c>
      <c r="T4322">
        <v>-0.39730569999999998</v>
      </c>
      <c r="U4322">
        <v>-2.9807429999999999</v>
      </c>
      <c r="V4322">
        <v>0.2102041</v>
      </c>
      <c r="W4322">
        <v>2.45049E-2</v>
      </c>
      <c r="X4322">
        <v>0.97735039999999995</v>
      </c>
      <c r="Y4322">
        <v>0.4161745</v>
      </c>
      <c r="Z4322">
        <v>8.0348000000000003E-2</v>
      </c>
      <c r="AA4322">
        <v>0.90572790000000003</v>
      </c>
      <c r="AB4322">
        <v>33</v>
      </c>
      <c r="AC4322">
        <v>2.0307000000000199</v>
      </c>
      <c r="AD4322">
        <v>-1.0959190000000001</v>
      </c>
      <c r="AE4322">
        <v>-7.9573827000000001</v>
      </c>
      <c r="AF4322">
        <v>3.46924667575973</v>
      </c>
      <c r="AG4322">
        <v>-1.0959190000000001</v>
      </c>
      <c r="AH4322">
        <v>7.2848202828089201</v>
      </c>
      <c r="AI4322">
        <v>97.734759647484395</v>
      </c>
      <c r="AJ4322">
        <v>64.534830081059894</v>
      </c>
      <c r="AK4322">
        <v>8.1428077163012507</v>
      </c>
    </row>
    <row r="4323" spans="1:37" x14ac:dyDescent="0.2">
      <c r="A4323" t="str">
        <f>"20200111154149598"</f>
        <v>20200111154149598</v>
      </c>
      <c r="B4323" t="str">
        <f>"1578728509590062"</f>
        <v>1578728509590062</v>
      </c>
      <c r="C4323" t="s">
        <v>37</v>
      </c>
      <c r="D4323">
        <v>5.8029650000000004</v>
      </c>
      <c r="E4323">
        <v>0.58684919999999996</v>
      </c>
      <c r="F4323" t="s">
        <v>40</v>
      </c>
      <c r="G4323">
        <v>-304.462999999999</v>
      </c>
      <c r="H4323">
        <v>-0.05</v>
      </c>
      <c r="I4323">
        <v>0.33843990000000002</v>
      </c>
      <c r="J4323">
        <v>-306.45170000000002</v>
      </c>
      <c r="K4323">
        <v>1.045925</v>
      </c>
      <c r="L4323">
        <v>8.5949399999999994</v>
      </c>
      <c r="M4323">
        <v>0.6269517</v>
      </c>
      <c r="N4323">
        <v>0</v>
      </c>
      <c r="O4323">
        <v>-0.77888880000000005</v>
      </c>
      <c r="P4323">
        <v>0.45171349999999999</v>
      </c>
      <c r="Q4323">
        <v>1.5369509999999999E-2</v>
      </c>
      <c r="R4323">
        <v>-0.89203089999999996</v>
      </c>
      <c r="S4323">
        <v>0.77044679999999999</v>
      </c>
      <c r="T4323">
        <v>-0.38436149999999902</v>
      </c>
      <c r="U4323">
        <v>-2.9912109999999998</v>
      </c>
      <c r="V4323">
        <v>0.2084136</v>
      </c>
      <c r="W4323">
        <v>2.403535E-2</v>
      </c>
      <c r="X4323">
        <v>0.97774539999999999</v>
      </c>
      <c r="Y4323">
        <v>0.41366459999999999</v>
      </c>
      <c r="Z4323">
        <v>7.9527619999999993E-2</v>
      </c>
      <c r="AA4323">
        <v>0.90694929999999996</v>
      </c>
      <c r="AB4323">
        <v>33</v>
      </c>
      <c r="AC4323">
        <v>1.9887000000000501</v>
      </c>
      <c r="AD4323">
        <v>-1.095925</v>
      </c>
      <c r="AE4323">
        <v>-8.2565000999999896</v>
      </c>
      <c r="AF4323">
        <v>3.5685049134132498</v>
      </c>
      <c r="AG4323">
        <v>-1.095925</v>
      </c>
      <c r="AH4323">
        <v>7.5529522239864999</v>
      </c>
      <c r="AI4323">
        <v>97.474129895421299</v>
      </c>
      <c r="AJ4323">
        <v>64.710909073254001</v>
      </c>
      <c r="AK4323">
        <v>8.4251033358945904</v>
      </c>
    </row>
    <row r="4324" spans="1:37" x14ac:dyDescent="0.2">
      <c r="A4324" t="str">
        <f>"20200111154149620"</f>
        <v>20200111154149620</v>
      </c>
      <c r="B4324" t="str">
        <f>"1578728509610557"</f>
        <v>1578728509610557</v>
      </c>
      <c r="C4324" t="s">
        <v>37</v>
      </c>
      <c r="D4324">
        <v>5.8516839999999997</v>
      </c>
      <c r="E4324">
        <v>0.58601040000000004</v>
      </c>
      <c r="F4324" t="s">
        <v>40</v>
      </c>
      <c r="G4324">
        <v>-304.38490000000002</v>
      </c>
      <c r="H4324">
        <v>-0.05</v>
      </c>
      <c r="I4324">
        <v>0.15020749999999999</v>
      </c>
      <c r="J4324">
        <v>-306.26310000000001</v>
      </c>
      <c r="K4324">
        <v>1.0459350000000001</v>
      </c>
      <c r="L4324">
        <v>8.3397520000000007</v>
      </c>
      <c r="M4324">
        <v>0.61491509999999905</v>
      </c>
      <c r="N4324">
        <v>0</v>
      </c>
      <c r="O4324">
        <v>-0.78842659999999998</v>
      </c>
      <c r="P4324">
        <v>0.4400403</v>
      </c>
      <c r="Q4324">
        <v>1.514192E-2</v>
      </c>
      <c r="R4324">
        <v>-0.89785079999999995</v>
      </c>
      <c r="S4324">
        <v>0.73379519999999998</v>
      </c>
      <c r="T4324">
        <v>-0.3890942</v>
      </c>
      <c r="U4324">
        <v>-2.9981990000000001</v>
      </c>
      <c r="V4324">
        <v>0.20614150000000001</v>
      </c>
      <c r="W4324">
        <v>2.387804E-2</v>
      </c>
      <c r="X4324">
        <v>0.97823079999999996</v>
      </c>
      <c r="Y4324">
        <v>0.41067199999999998</v>
      </c>
      <c r="Z4324">
        <v>8.2197610000000004E-2</v>
      </c>
      <c r="AA4324">
        <v>0.9080705</v>
      </c>
      <c r="AB4324">
        <v>33</v>
      </c>
      <c r="AC4324">
        <v>1.8781999999999901</v>
      </c>
      <c r="AD4324">
        <v>-1.0959350000000001</v>
      </c>
      <c r="AE4324">
        <v>-8.1895445000000002</v>
      </c>
      <c r="AF4324">
        <v>3.4960400912206699</v>
      </c>
      <c r="AG4324">
        <v>-1.0959350000000001</v>
      </c>
      <c r="AH4324">
        <v>7.48543732379499</v>
      </c>
      <c r="AI4324">
        <v>97.556399934306796</v>
      </c>
      <c r="AJ4324">
        <v>64.965283488904205</v>
      </c>
      <c r="AK4324">
        <v>8.3339751482777</v>
      </c>
    </row>
    <row r="4325" spans="1:37" x14ac:dyDescent="0.2">
      <c r="A4325" t="str">
        <f>"20200111154149642"</f>
        <v>20200111154149642</v>
      </c>
      <c r="B4325" t="str">
        <f>"1578728509640815"</f>
        <v>1578728509640815</v>
      </c>
      <c r="C4325" t="s">
        <v>37</v>
      </c>
      <c r="D4325">
        <v>5.6012149999999998</v>
      </c>
      <c r="E4325">
        <v>0.59590299999999996</v>
      </c>
      <c r="F4325" t="s">
        <v>40</v>
      </c>
      <c r="G4325">
        <v>-304.30939999999998</v>
      </c>
      <c r="H4325">
        <v>-0.05</v>
      </c>
      <c r="I4325">
        <v>-4.5822139999999997E-2</v>
      </c>
      <c r="J4325">
        <v>-306.06700000000001</v>
      </c>
      <c r="K4325">
        <v>1.0459449999999999</v>
      </c>
      <c r="L4325">
        <v>8.0656739999999996</v>
      </c>
      <c r="M4325">
        <v>0.60196850000000002</v>
      </c>
      <c r="N4325">
        <v>0</v>
      </c>
      <c r="O4325">
        <v>-0.79835559999999905</v>
      </c>
      <c r="P4325">
        <v>0.42740790000000001</v>
      </c>
      <c r="Q4325">
        <v>1.4945379999999999E-2</v>
      </c>
      <c r="R4325">
        <v>-0.90393539999999994</v>
      </c>
      <c r="S4325">
        <v>0.70007319999999995</v>
      </c>
      <c r="T4325">
        <v>-0.39270899999999997</v>
      </c>
      <c r="U4325">
        <v>-3.0048219999999999</v>
      </c>
      <c r="V4325">
        <v>0.20388819999999999</v>
      </c>
      <c r="W4325">
        <v>2.375267E-2</v>
      </c>
      <c r="X4325">
        <v>0.97870599999999996</v>
      </c>
      <c r="Y4325">
        <v>0.40594459999999999</v>
      </c>
      <c r="Z4325">
        <v>8.4795460000000003E-2</v>
      </c>
      <c r="AA4325">
        <v>0.90995530000000002</v>
      </c>
      <c r="AB4325">
        <v>33</v>
      </c>
      <c r="AC4325">
        <v>1.75760000000002</v>
      </c>
      <c r="AD4325">
        <v>-1.0959449999999999</v>
      </c>
      <c r="AE4325">
        <v>-8.1114961399999999</v>
      </c>
      <c r="AF4325">
        <v>3.4204916830476999</v>
      </c>
      <c r="AG4325">
        <v>-1.0959449999999999</v>
      </c>
      <c r="AH4325">
        <v>7.4057390583291003</v>
      </c>
      <c r="AI4325">
        <v>97.651768692042793</v>
      </c>
      <c r="AJ4325">
        <v>65.209182463599006</v>
      </c>
      <c r="AK4325">
        <v>8.2307854908802405</v>
      </c>
    </row>
    <row r="4326" spans="1:37" x14ac:dyDescent="0.2">
      <c r="A4326" t="str">
        <f>"20200111154149666"</f>
        <v>20200111154149666</v>
      </c>
      <c r="B4326" t="str">
        <f>"1578728509660333"</f>
        <v>1578728509660333</v>
      </c>
      <c r="C4326" t="s">
        <v>37</v>
      </c>
      <c r="D4326">
        <v>5.6067330000000002</v>
      </c>
      <c r="E4326">
        <v>0.59447559999999999</v>
      </c>
      <c r="F4326" t="s">
        <v>39</v>
      </c>
      <c r="G4326">
        <v>-303.16820000000001</v>
      </c>
      <c r="H4326" s="1">
        <v>-2.0343140000000001E-6</v>
      </c>
      <c r="I4326">
        <v>-6.9424089999999996</v>
      </c>
      <c r="J4326">
        <v>-305.87950000000001</v>
      </c>
      <c r="K4326">
        <v>1.045968</v>
      </c>
      <c r="L4326">
        <v>7.7936100000000001</v>
      </c>
      <c r="M4326">
        <v>0.58911089999999999</v>
      </c>
      <c r="N4326">
        <v>0</v>
      </c>
      <c r="O4326">
        <v>-0.80789060000000001</v>
      </c>
      <c r="P4326">
        <v>0.41553289999999998</v>
      </c>
      <c r="Q4326">
        <v>1.458857E-2</v>
      </c>
      <c r="R4326">
        <v>-0.90946130000000003</v>
      </c>
      <c r="S4326">
        <v>0.58801269999999894</v>
      </c>
      <c r="T4326">
        <v>-0.21216269999999901</v>
      </c>
      <c r="U4326">
        <v>-3.0442809999999998</v>
      </c>
      <c r="V4326">
        <v>0.20102629999999999</v>
      </c>
      <c r="W4326">
        <v>2.3493819999999999E-2</v>
      </c>
      <c r="X4326">
        <v>0.97930409999999901</v>
      </c>
      <c r="Y4326">
        <v>0.42543439999999999</v>
      </c>
      <c r="Z4326">
        <v>4.619243E-2</v>
      </c>
      <c r="AA4326">
        <v>0.90380959999999999</v>
      </c>
      <c r="AB4326">
        <v>33</v>
      </c>
      <c r="AC4326">
        <v>2.7112999999999898</v>
      </c>
      <c r="AD4326">
        <v>-1.0459700343139999</v>
      </c>
      <c r="AE4326">
        <v>-14.736019000000001</v>
      </c>
      <c r="AF4326">
        <v>6.4600815990090599</v>
      </c>
      <c r="AG4326">
        <v>-1.0459700343139999</v>
      </c>
      <c r="AH4326">
        <v>13.438620996230799</v>
      </c>
      <c r="AI4326">
        <v>94.012663846940299</v>
      </c>
      <c r="AJ4326">
        <v>64.325933640557395</v>
      </c>
      <c r="AK4326">
        <v>14.947348991004199</v>
      </c>
    </row>
    <row r="4327" spans="1:37" x14ac:dyDescent="0.2">
      <c r="A4327" t="str">
        <f>"20200111154149687"</f>
        <v>20200111154149687</v>
      </c>
      <c r="B4327" t="str">
        <f>"1578728509679856"</f>
        <v>1578728509679856</v>
      </c>
      <c r="C4327" t="s">
        <v>37</v>
      </c>
      <c r="D4327">
        <v>5.651033</v>
      </c>
      <c r="E4327">
        <v>0.59307769999999904</v>
      </c>
      <c r="F4327" t="s">
        <v>39</v>
      </c>
      <c r="G4327">
        <v>-302.99299999999999</v>
      </c>
      <c r="H4327" s="1">
        <v>-1.502914E-6</v>
      </c>
      <c r="I4327">
        <v>-7.9679679999999902</v>
      </c>
      <c r="J4327">
        <v>-305.69639999999998</v>
      </c>
      <c r="K4327">
        <v>1.0459959999999999</v>
      </c>
      <c r="L4327">
        <v>7.5184629999999997</v>
      </c>
      <c r="M4327">
        <v>0.576092099999999</v>
      </c>
      <c r="N4327">
        <v>0</v>
      </c>
      <c r="O4327">
        <v>-0.817225599999999</v>
      </c>
      <c r="P4327">
        <v>0.40420739999999999</v>
      </c>
      <c r="Q4327">
        <v>1.4786509999999999E-2</v>
      </c>
      <c r="R4327">
        <v>-0.91454849999999999</v>
      </c>
      <c r="S4327">
        <v>0.55801389999999995</v>
      </c>
      <c r="T4327">
        <v>-0.20220070000000001</v>
      </c>
      <c r="U4327">
        <v>-3.0469360000000001</v>
      </c>
      <c r="V4327">
        <v>0.197499799999999</v>
      </c>
      <c r="W4327">
        <v>2.3817499999999998E-2</v>
      </c>
      <c r="X4327">
        <v>0.98001349999999998</v>
      </c>
      <c r="Y4327">
        <v>0.41966189999999998</v>
      </c>
      <c r="Z4327">
        <v>4.499562E-2</v>
      </c>
      <c r="AA4327">
        <v>0.9065645</v>
      </c>
      <c r="AB4327">
        <v>32</v>
      </c>
      <c r="AC4327">
        <v>2.7033999999999798</v>
      </c>
      <c r="AD4327">
        <v>-1.0459975029139901</v>
      </c>
      <c r="AE4327">
        <v>-15.486431</v>
      </c>
      <c r="AF4327">
        <v>6.6836071766653502</v>
      </c>
      <c r="AG4327">
        <v>-1.0459975029139901</v>
      </c>
      <c r="AH4327">
        <v>14.1525098915256</v>
      </c>
      <c r="AI4327">
        <v>93.823461233785096</v>
      </c>
      <c r="AJ4327">
        <v>64.7206971069606</v>
      </c>
      <c r="AK4327">
        <v>15.6862440341149</v>
      </c>
    </row>
    <row r="4328" spans="1:37" x14ac:dyDescent="0.2">
      <c r="A4328" t="str">
        <f>"20200111154149710"</f>
        <v>20200111154149710</v>
      </c>
      <c r="B4328" t="str">
        <f>"1578728509700349"</f>
        <v>1578728509700349</v>
      </c>
      <c r="C4328" t="s">
        <v>37</v>
      </c>
      <c r="D4328">
        <v>5.6991990000000001</v>
      </c>
      <c r="E4328">
        <v>0.59238480000000004</v>
      </c>
      <c r="F4328" t="s">
        <v>39</v>
      </c>
      <c r="G4328">
        <v>-302.9325</v>
      </c>
      <c r="H4328" s="1">
        <v>-1.291291E-6</v>
      </c>
      <c r="I4328">
        <v>-8.381589</v>
      </c>
      <c r="J4328">
        <v>-305.51850000000002</v>
      </c>
      <c r="K4328">
        <v>1.04603</v>
      </c>
      <c r="L4328">
        <v>7.2417299999999996</v>
      </c>
      <c r="M4328">
        <v>0.56298219999999899</v>
      </c>
      <c r="N4328">
        <v>0</v>
      </c>
      <c r="O4328">
        <v>-0.82631169999999998</v>
      </c>
      <c r="P4328">
        <v>0.39570820000000001</v>
      </c>
      <c r="Q4328">
        <v>1.580376E-2</v>
      </c>
      <c r="R4328">
        <v>-0.91824039999999996</v>
      </c>
      <c r="S4328">
        <v>0.53005979999999997</v>
      </c>
      <c r="T4328">
        <v>-0.20059969999999999</v>
      </c>
      <c r="U4328">
        <v>-3.0492859999999999</v>
      </c>
      <c r="V4328">
        <v>0.19097520000000001</v>
      </c>
      <c r="W4328">
        <v>2.5075009999999998E-2</v>
      </c>
      <c r="X4328">
        <v>0.98127450000000005</v>
      </c>
      <c r="Y4328">
        <v>0.41335659999999902</v>
      </c>
      <c r="Z4328">
        <v>4.558413E-2</v>
      </c>
      <c r="AA4328">
        <v>0.90942749999999895</v>
      </c>
      <c r="AB4328">
        <v>32</v>
      </c>
      <c r="AC4328">
        <v>2.5860000000000101</v>
      </c>
      <c r="AD4328">
        <v>-1.0460312912909999</v>
      </c>
      <c r="AE4328">
        <v>-15.623319</v>
      </c>
      <c r="AF4328">
        <v>6.6307431149677498</v>
      </c>
      <c r="AG4328">
        <v>-1.0460312912909999</v>
      </c>
      <c r="AH4328">
        <v>14.305055571163299</v>
      </c>
      <c r="AI4328">
        <v>93.795592694457895</v>
      </c>
      <c r="AJ4328">
        <v>65.131123677557596</v>
      </c>
      <c r="AK4328">
        <v>15.801757833010999</v>
      </c>
    </row>
    <row r="4329" spans="1:37" x14ac:dyDescent="0.2">
      <c r="A4329" t="str">
        <f>"20200111154149733"</f>
        <v>20200111154149733</v>
      </c>
      <c r="B4329" t="str">
        <f>"1578728509730605"</f>
        <v>1578728509730605</v>
      </c>
      <c r="C4329" t="s">
        <v>37</v>
      </c>
      <c r="D4329">
        <v>5.8445239999999998</v>
      </c>
      <c r="E4329">
        <v>0.58700649999999999</v>
      </c>
      <c r="F4329" t="s">
        <v>39</v>
      </c>
      <c r="G4329">
        <v>-302.94049999999999</v>
      </c>
      <c r="H4329" s="1">
        <v>-1.331359E-6</v>
      </c>
      <c r="I4329">
        <v>-8.3013300000000001</v>
      </c>
      <c r="J4329">
        <v>-305.33980000000003</v>
      </c>
      <c r="K4329">
        <v>1.0460670000000001</v>
      </c>
      <c r="L4329">
        <v>6.953735</v>
      </c>
      <c r="M4329">
        <v>0.54933069999999995</v>
      </c>
      <c r="N4329">
        <v>0</v>
      </c>
      <c r="O4329">
        <v>-0.83544989999999997</v>
      </c>
      <c r="P4329">
        <v>0.3848258</v>
      </c>
      <c r="Q4329">
        <v>1.5881369999999999E-2</v>
      </c>
      <c r="R4329">
        <v>-0.92285260000000002</v>
      </c>
      <c r="S4329">
        <v>0.50628660000000003</v>
      </c>
      <c r="T4329">
        <v>-0.20542729999999901</v>
      </c>
      <c r="U4329">
        <v>-3.05246</v>
      </c>
      <c r="V4329">
        <v>0.1864516</v>
      </c>
      <c r="W4329">
        <v>2.53185999999999E-2</v>
      </c>
      <c r="X4329">
        <v>0.98213790000000001</v>
      </c>
      <c r="Y4329">
        <v>0.405441099999999</v>
      </c>
      <c r="Z4329">
        <v>4.7655509999999998E-2</v>
      </c>
      <c r="AA4329">
        <v>0.91287809999999903</v>
      </c>
      <c r="AB4329">
        <v>32</v>
      </c>
      <c r="AC4329">
        <v>2.3993000000000402</v>
      </c>
      <c r="AD4329">
        <v>-1.046068331359</v>
      </c>
      <c r="AE4329">
        <v>-15.255065</v>
      </c>
      <c r="AF4329">
        <v>6.34728206877418</v>
      </c>
      <c r="AG4329">
        <v>-1.046068331359</v>
      </c>
      <c r="AH4329">
        <v>14.0004325924308</v>
      </c>
      <c r="AI4329">
        <v>93.892975729374101</v>
      </c>
      <c r="AJ4329">
        <v>65.612205510399505</v>
      </c>
      <c r="AK4329">
        <v>15.407607257119899</v>
      </c>
    </row>
    <row r="4330" spans="1:37" x14ac:dyDescent="0.2">
      <c r="A4330" t="str">
        <f>"20200111154149754"</f>
        <v>20200111154149754</v>
      </c>
      <c r="B4330" t="str">
        <f>"1578728509750125"</f>
        <v>1578728509750125</v>
      </c>
      <c r="C4330" t="s">
        <v>37</v>
      </c>
      <c r="D4330">
        <v>5.681673</v>
      </c>
      <c r="E4330">
        <v>0.5859105</v>
      </c>
      <c r="F4330" t="s">
        <v>39</v>
      </c>
      <c r="G4330">
        <v>-303.05840000000001</v>
      </c>
      <c r="H4330" s="1">
        <v>-2.13097E-6</v>
      </c>
      <c r="I4330">
        <v>-6.676158</v>
      </c>
      <c r="J4330">
        <v>-305.17809999999997</v>
      </c>
      <c r="K4330">
        <v>1.0461039999999999</v>
      </c>
      <c r="L4330">
        <v>6.6836849999999997</v>
      </c>
      <c r="M4330">
        <v>0.53653050000000002</v>
      </c>
      <c r="N4330">
        <v>0</v>
      </c>
      <c r="O4330">
        <v>-0.84372780000000003</v>
      </c>
      <c r="P4330">
        <v>0.37557040000000003</v>
      </c>
      <c r="Q4330">
        <v>1.530754E-2</v>
      </c>
      <c r="R4330">
        <v>-0.92666769999999998</v>
      </c>
      <c r="S4330">
        <v>0.5092468</v>
      </c>
      <c r="T4330">
        <v>-0.2335025</v>
      </c>
      <c r="U4330">
        <v>-3.0424500000000001</v>
      </c>
      <c r="V4330">
        <v>0.18128939999999999</v>
      </c>
      <c r="W4330">
        <v>2.493677E-2</v>
      </c>
      <c r="X4330">
        <v>0.98311360000000003</v>
      </c>
      <c r="Y4330">
        <v>0.39016600000000001</v>
      </c>
      <c r="Z4330">
        <v>5.5482389999999999E-2</v>
      </c>
      <c r="AA4330">
        <v>0.91907139999999998</v>
      </c>
      <c r="AB4330">
        <v>32</v>
      </c>
      <c r="AC4330">
        <v>2.1196999999999599</v>
      </c>
      <c r="AD4330">
        <v>-1.0461061309699999</v>
      </c>
      <c r="AE4330">
        <v>-13.359843</v>
      </c>
      <c r="AF4330">
        <v>5.3482225884553598</v>
      </c>
      <c r="AG4330">
        <v>-1.0461061309699999</v>
      </c>
      <c r="AH4330">
        <v>12.3371735590875</v>
      </c>
      <c r="AI4330">
        <v>94.448504790378493</v>
      </c>
      <c r="AJ4330">
        <v>66.563041882512294</v>
      </c>
      <c r="AK4330">
        <v>13.4871670235067</v>
      </c>
    </row>
    <row r="4331" spans="1:37" x14ac:dyDescent="0.2">
      <c r="A4331" t="str">
        <f>"20200111154149777"</f>
        <v>20200111154149777</v>
      </c>
      <c r="B4331" t="str">
        <f>"1578728509770621"</f>
        <v>1578728509770621</v>
      </c>
      <c r="C4331" t="s">
        <v>37</v>
      </c>
      <c r="D4331">
        <v>5.8375399999999997</v>
      </c>
      <c r="E4331">
        <v>0.58409299999999997</v>
      </c>
      <c r="F4331" t="s">
        <v>39</v>
      </c>
      <c r="G4331">
        <v>-303.00920000000002</v>
      </c>
      <c r="H4331" s="1">
        <v>-2.0189510000000002E-6</v>
      </c>
      <c r="I4331">
        <v>-6.8854479999999896</v>
      </c>
      <c r="J4331">
        <v>-305.00880000000001</v>
      </c>
      <c r="K4331">
        <v>1.046152</v>
      </c>
      <c r="L4331">
        <v>6.3905640000000004</v>
      </c>
      <c r="M4331">
        <v>0.52264860000000002</v>
      </c>
      <c r="N4331">
        <v>0</v>
      </c>
      <c r="O4331">
        <v>-0.85239690000000001</v>
      </c>
      <c r="P4331">
        <v>0.36533909999999897</v>
      </c>
      <c r="Q4331">
        <v>1.4711470000000001E-2</v>
      </c>
      <c r="R4331">
        <v>-0.93075869999999905</v>
      </c>
      <c r="S4331">
        <v>0.48657230000000001</v>
      </c>
      <c r="T4331">
        <v>-0.23468330000000001</v>
      </c>
      <c r="U4331">
        <v>-3.044098</v>
      </c>
      <c r="V4331">
        <v>0.17600759999999999</v>
      </c>
      <c r="W4331">
        <v>2.453922E-2</v>
      </c>
      <c r="X4331">
        <v>0.98408289999999998</v>
      </c>
      <c r="Y4331">
        <v>0.38184129999999999</v>
      </c>
      <c r="Z4331">
        <v>5.6855830000000003E-2</v>
      </c>
      <c r="AA4331">
        <v>0.922477399999999</v>
      </c>
      <c r="AB4331">
        <v>32</v>
      </c>
      <c r="AC4331">
        <v>1.9995999999999801</v>
      </c>
      <c r="AD4331">
        <v>-1.0461540189509999</v>
      </c>
      <c r="AE4331">
        <v>-13.276012</v>
      </c>
      <c r="AF4331">
        <v>5.20331825811075</v>
      </c>
      <c r="AG4331">
        <v>-1.0461540189509999</v>
      </c>
      <c r="AH4331">
        <v>12.288501646453</v>
      </c>
      <c r="AI4331">
        <v>94.482509081569404</v>
      </c>
      <c r="AJ4331">
        <v>67.050751080124996</v>
      </c>
      <c r="AK4331">
        <v>13.385672633134099</v>
      </c>
    </row>
    <row r="4332" spans="1:37" x14ac:dyDescent="0.2">
      <c r="A4332" t="str">
        <f>"20200111154149799"</f>
        <v>20200111154149799</v>
      </c>
      <c r="B4332" t="str">
        <f>"1578728509790142"</f>
        <v>1578728509790142</v>
      </c>
      <c r="C4332" t="s">
        <v>37</v>
      </c>
      <c r="D4332">
        <v>5.8826309999999999</v>
      </c>
      <c r="E4332">
        <v>0.56956490000000004</v>
      </c>
      <c r="F4332" t="s">
        <v>39</v>
      </c>
      <c r="G4332">
        <v>-302.98050000000001</v>
      </c>
      <c r="H4332" s="1">
        <v>-2.0280849999999999E-6</v>
      </c>
      <c r="I4332">
        <v>-6.8499829999999999</v>
      </c>
      <c r="J4332">
        <v>-304.84800000000001</v>
      </c>
      <c r="K4332">
        <v>1.0462089999999999</v>
      </c>
      <c r="L4332">
        <v>6.1016539999999999</v>
      </c>
      <c r="M4332">
        <v>0.50899300000000003</v>
      </c>
      <c r="N4332">
        <v>0</v>
      </c>
      <c r="O4332">
        <v>-0.86062109999999903</v>
      </c>
      <c r="P4332">
        <v>0.35554179999999902</v>
      </c>
      <c r="Q4332">
        <v>1.4331139999999999E-2</v>
      </c>
      <c r="R4332">
        <v>-0.93455049999999995</v>
      </c>
      <c r="S4332">
        <v>0.46627809999999997</v>
      </c>
      <c r="T4332">
        <v>-0.24050630000000001</v>
      </c>
      <c r="U4332">
        <v>-3.0439449999999999</v>
      </c>
      <c r="V4332">
        <v>0.1706404</v>
      </c>
      <c r="W4332">
        <v>2.436141E-2</v>
      </c>
      <c r="X4332">
        <v>0.98503209999999997</v>
      </c>
      <c r="Y4332">
        <v>0.37310859999999901</v>
      </c>
      <c r="Z4332">
        <v>5.9365550000000003E-2</v>
      </c>
      <c r="AA4332">
        <v>0.92588649999999995</v>
      </c>
      <c r="AB4332">
        <v>32</v>
      </c>
      <c r="AC4332">
        <v>1.8674999999999999</v>
      </c>
      <c r="AD4332">
        <v>-1.0462110280850001</v>
      </c>
      <c r="AE4332">
        <v>-12.951637</v>
      </c>
      <c r="AF4332">
        <v>4.9540570119389704</v>
      </c>
      <c r="AG4332">
        <v>-1.0462110280850001</v>
      </c>
      <c r="AH4332">
        <v>12.0217084409097</v>
      </c>
      <c r="AI4332">
        <v>94.600251099893498</v>
      </c>
      <c r="AJ4332">
        <v>67.603803714657005</v>
      </c>
      <c r="AK4332">
        <v>13.0444897267417</v>
      </c>
    </row>
    <row r="4333" spans="1:37" x14ac:dyDescent="0.2">
      <c r="A4333" t="str">
        <f>"20200111154149821"</f>
        <v>20200111154149821</v>
      </c>
      <c r="B4333" t="str">
        <f>"1578728509810638"</f>
        <v>1578728509810638</v>
      </c>
      <c r="C4333" t="s">
        <v>37</v>
      </c>
      <c r="D4333">
        <v>5.7333480000000003</v>
      </c>
      <c r="E4333">
        <v>0.56718269999999904</v>
      </c>
      <c r="F4333" t="s">
        <v>39</v>
      </c>
      <c r="G4333">
        <v>-302.85500000000002</v>
      </c>
      <c r="H4333" s="1">
        <v>-2.8847239999999999E-6</v>
      </c>
      <c r="I4333">
        <v>-4.9671070000000004</v>
      </c>
      <c r="J4333">
        <v>-304.70010000000002</v>
      </c>
      <c r="K4333">
        <v>1.046281</v>
      </c>
      <c r="L4333">
        <v>5.825958</v>
      </c>
      <c r="M4333">
        <v>0.49600509999999898</v>
      </c>
      <c r="N4333">
        <v>0</v>
      </c>
      <c r="O4333">
        <v>-0.86817180000000005</v>
      </c>
      <c r="P4333">
        <v>0.34662929999999997</v>
      </c>
      <c r="Q4333">
        <v>1.4154750000000001E-2</v>
      </c>
      <c r="R4333">
        <v>-0.93789549999999999</v>
      </c>
      <c r="S4333">
        <v>0.54168700000000003</v>
      </c>
      <c r="T4333">
        <v>-0.2843482</v>
      </c>
      <c r="U4333">
        <v>-3.008362</v>
      </c>
      <c r="V4333">
        <v>0.16520650000000001</v>
      </c>
      <c r="W4333">
        <v>2.4390490000000001E-2</v>
      </c>
      <c r="X4333">
        <v>0.98595739999999998</v>
      </c>
      <c r="Y4333">
        <v>0.33481749999999999</v>
      </c>
      <c r="Z4333">
        <v>7.2532089999999994E-2</v>
      </c>
      <c r="AA4333">
        <v>0.93948729999999903</v>
      </c>
      <c r="AB4333">
        <v>32</v>
      </c>
      <c r="AC4333">
        <v>1.8451</v>
      </c>
      <c r="AD4333">
        <v>-1.0462838847239999</v>
      </c>
      <c r="AE4333">
        <v>-10.793065</v>
      </c>
      <c r="AF4333">
        <v>3.7180846964770402</v>
      </c>
      <c r="AG4333">
        <v>-1.0462838847239999</v>
      </c>
      <c r="AH4333">
        <v>10.1936596715852</v>
      </c>
      <c r="AI4333">
        <v>95.5078106846872</v>
      </c>
      <c r="AJ4333">
        <v>69.960820130922002</v>
      </c>
      <c r="AK4333">
        <v>10.900897269386199</v>
      </c>
    </row>
    <row r="4334" spans="1:37" x14ac:dyDescent="0.2">
      <c r="A4334" t="str">
        <f>"20200111154149843"</f>
        <v>20200111154149843</v>
      </c>
      <c r="B4334" t="str">
        <f>"1578728509839917"</f>
        <v>1578728509839917</v>
      </c>
      <c r="C4334" t="s">
        <v>37</v>
      </c>
      <c r="D4334">
        <v>5.7639860000000001</v>
      </c>
      <c r="E4334">
        <v>0.56782080000000001</v>
      </c>
      <c r="F4334" t="s">
        <v>39</v>
      </c>
      <c r="G4334">
        <v>-302.90030000000002</v>
      </c>
      <c r="H4334" s="1">
        <v>-3.175647E-6</v>
      </c>
      <c r="I4334">
        <v>-4.3771579999999997</v>
      </c>
      <c r="J4334">
        <v>-304.548</v>
      </c>
      <c r="K4334">
        <v>1.04637</v>
      </c>
      <c r="L4334">
        <v>5.5316470000000004</v>
      </c>
      <c r="M4334">
        <v>0.48220990000000002</v>
      </c>
      <c r="N4334">
        <v>0</v>
      </c>
      <c r="O4334">
        <v>-0.87590979999999996</v>
      </c>
      <c r="P4334">
        <v>0.33690910000000002</v>
      </c>
      <c r="Q4334">
        <v>1.43735999999999E-2</v>
      </c>
      <c r="R4334">
        <v>-0.94142780000000004</v>
      </c>
      <c r="S4334">
        <v>0.53048709999999999</v>
      </c>
      <c r="T4334">
        <v>-0.30837819999999999</v>
      </c>
      <c r="U4334">
        <v>-3.0072329999999998</v>
      </c>
      <c r="V4334">
        <v>0.1598067</v>
      </c>
      <c r="W4334">
        <v>2.48157E-2</v>
      </c>
      <c r="X4334">
        <v>0.98683639999999995</v>
      </c>
      <c r="Y4334">
        <v>0.32331799999999999</v>
      </c>
      <c r="Z4334">
        <v>8.0004699999999998E-2</v>
      </c>
      <c r="AA4334">
        <v>0.94290229999999997</v>
      </c>
      <c r="AB4334">
        <v>32</v>
      </c>
      <c r="AC4334">
        <v>1.64769999999998</v>
      </c>
      <c r="AD4334">
        <v>-1.0463731756470001</v>
      </c>
      <c r="AE4334">
        <v>-9.9088049999999992</v>
      </c>
      <c r="AF4334">
        <v>3.2995094039082198</v>
      </c>
      <c r="AG4334">
        <v>-1.0463731756470001</v>
      </c>
      <c r="AH4334">
        <v>9.3732550633881697</v>
      </c>
      <c r="AI4334">
        <v>96.011112798613297</v>
      </c>
      <c r="AJ4334">
        <v>70.607259139029395</v>
      </c>
      <c r="AK4334">
        <v>9.99197526080426</v>
      </c>
    </row>
    <row r="4335" spans="1:37" x14ac:dyDescent="0.2">
      <c r="A4335" t="str">
        <f>"20200111154149867"</f>
        <v>20200111154149867</v>
      </c>
      <c r="B4335" t="str">
        <f>"1578728509860413"</f>
        <v>1578728509860413</v>
      </c>
      <c r="C4335" t="s">
        <v>37</v>
      </c>
      <c r="D4335">
        <v>5.7284569999999997</v>
      </c>
      <c r="E4335">
        <v>0.56901869999999999</v>
      </c>
      <c r="F4335" t="s">
        <v>39</v>
      </c>
      <c r="G4335">
        <v>-302.8587</v>
      </c>
      <c r="H4335" s="1">
        <v>-2.9822769999999998E-6</v>
      </c>
      <c r="I4335">
        <v>-4.7628180000000002</v>
      </c>
      <c r="J4335">
        <v>-304.3972</v>
      </c>
      <c r="K4335">
        <v>1.0464850000000001</v>
      </c>
      <c r="L4335">
        <v>5.2272639999999999</v>
      </c>
      <c r="M4335">
        <v>0.46804759999999901</v>
      </c>
      <c r="N4335">
        <v>0</v>
      </c>
      <c r="O4335">
        <v>-0.88355899999999998</v>
      </c>
      <c r="P4335">
        <v>0.32581769999999999</v>
      </c>
      <c r="Q4335">
        <v>1.450828E-2</v>
      </c>
      <c r="R4335">
        <v>-0.94532150000000004</v>
      </c>
      <c r="S4335">
        <v>0.49465940000000003</v>
      </c>
      <c r="T4335">
        <v>-0.30638749999999998</v>
      </c>
      <c r="U4335">
        <v>-3.014313</v>
      </c>
      <c r="V4335">
        <v>0.15551799999999999</v>
      </c>
      <c r="W4335">
        <v>2.5116490000000002E-2</v>
      </c>
      <c r="X4335">
        <v>0.98751369999999905</v>
      </c>
      <c r="Y4335">
        <v>0.31935770000000002</v>
      </c>
      <c r="Z4335">
        <v>8.0564659999999996E-2</v>
      </c>
      <c r="AA4335">
        <v>0.94420339999999903</v>
      </c>
      <c r="AB4335">
        <v>32</v>
      </c>
      <c r="AC4335">
        <v>1.53849999999999</v>
      </c>
      <c r="AD4335">
        <v>-1.0464879822769999</v>
      </c>
      <c r="AE4335">
        <v>-9.9900819999999992</v>
      </c>
      <c r="AF4335">
        <v>3.2817247062843702</v>
      </c>
      <c r="AG4335">
        <v>-1.0464879822769999</v>
      </c>
      <c r="AH4335">
        <v>9.4468750785849505</v>
      </c>
      <c r="AI4335">
        <v>95.973798882349698</v>
      </c>
      <c r="AJ4335">
        <v>70.843420832316298</v>
      </c>
      <c r="AK4335">
        <v>10.055262447856601</v>
      </c>
    </row>
    <row r="4336" spans="1:37" x14ac:dyDescent="0.2">
      <c r="A4336" t="str">
        <f>"20200111154149891"</f>
        <v>20200111154149891</v>
      </c>
      <c r="B4336" t="str">
        <f>"1578728509879934"</f>
        <v>1578728509879934</v>
      </c>
      <c r="C4336" t="s">
        <v>37</v>
      </c>
      <c r="D4336">
        <v>5.8160850000000002</v>
      </c>
      <c r="E4336">
        <v>0.56996069999999999</v>
      </c>
      <c r="F4336" t="s">
        <v>39</v>
      </c>
      <c r="G4336">
        <v>-302.82459999999998</v>
      </c>
      <c r="H4336" s="1">
        <v>-2.7035449999999998E-6</v>
      </c>
      <c r="I4336">
        <v>-5.333304</v>
      </c>
      <c r="J4336">
        <v>-304.24740000000003</v>
      </c>
      <c r="K4336">
        <v>1.0466150000000001</v>
      </c>
      <c r="L4336">
        <v>4.9122919999999999</v>
      </c>
      <c r="M4336">
        <v>0.45349229999999902</v>
      </c>
      <c r="N4336">
        <v>0</v>
      </c>
      <c r="O4336">
        <v>-0.89111779999999996</v>
      </c>
      <c r="P4336">
        <v>0.31480740000000001</v>
      </c>
      <c r="Q4336">
        <v>1.4684630000000001E-2</v>
      </c>
      <c r="R4336">
        <v>-0.94904200000000005</v>
      </c>
      <c r="S4336">
        <v>0.45016479999999998</v>
      </c>
      <c r="T4336">
        <v>-0.29955859999999901</v>
      </c>
      <c r="U4336">
        <v>-3.02298</v>
      </c>
      <c r="V4336">
        <v>0.15079379999999901</v>
      </c>
      <c r="W4336">
        <v>2.547162E-2</v>
      </c>
      <c r="X4336">
        <v>0.98823700000000003</v>
      </c>
      <c r="Y4336">
        <v>0.3177991</v>
      </c>
      <c r="Z4336">
        <v>7.9747419999999999E-2</v>
      </c>
      <c r="AA4336">
        <v>0.94479849999999999</v>
      </c>
      <c r="AB4336">
        <v>32</v>
      </c>
      <c r="AC4336">
        <v>1.42280000000005</v>
      </c>
      <c r="AD4336">
        <v>-1.0466177035449999</v>
      </c>
      <c r="AE4336">
        <v>-10.245596000000001</v>
      </c>
      <c r="AF4336">
        <v>3.34460394194216</v>
      </c>
      <c r="AG4336">
        <v>-1.0466177035449999</v>
      </c>
      <c r="AH4336">
        <v>9.6774270710921293</v>
      </c>
      <c r="AI4336">
        <v>95.836380089114101</v>
      </c>
      <c r="AJ4336">
        <v>70.934400093590995</v>
      </c>
      <c r="AK4336">
        <v>10.2924428034425</v>
      </c>
    </row>
    <row r="4337" spans="1:37" x14ac:dyDescent="0.2">
      <c r="A4337" t="str">
        <f>"20200111154149916"</f>
        <v>20200111154149916</v>
      </c>
      <c r="B4337" t="str">
        <f>"1578728509910192"</f>
        <v>1578728509910192</v>
      </c>
      <c r="C4337" t="s">
        <v>37</v>
      </c>
      <c r="D4337">
        <v>5.7266389999999996</v>
      </c>
      <c r="E4337">
        <v>0.57146529999999995</v>
      </c>
      <c r="F4337" t="s">
        <v>39</v>
      </c>
      <c r="G4337">
        <v>-302.78890000000001</v>
      </c>
      <c r="H4337" s="1">
        <v>-2.4150039999999999E-6</v>
      </c>
      <c r="I4337">
        <v>-5.923597</v>
      </c>
      <c r="J4337">
        <v>-304.0976</v>
      </c>
      <c r="K4337">
        <v>1.0467660000000001</v>
      </c>
      <c r="L4337">
        <v>4.5840449999999997</v>
      </c>
      <c r="M4337">
        <v>0.4384574</v>
      </c>
      <c r="N4337">
        <v>0</v>
      </c>
      <c r="O4337">
        <v>-0.89861150000000001</v>
      </c>
      <c r="P4337">
        <v>0.3039712</v>
      </c>
      <c r="Q4337">
        <v>1.4735170000000001E-2</v>
      </c>
      <c r="R4337">
        <v>-0.95256749999999901</v>
      </c>
      <c r="S4337">
        <v>0.40786739999999999</v>
      </c>
      <c r="T4337">
        <v>-0.29269109999999998</v>
      </c>
      <c r="U4337">
        <v>-3.0303040000000001</v>
      </c>
      <c r="V4337">
        <v>0.14544299999999999</v>
      </c>
      <c r="W4337">
        <v>2.572379E-2</v>
      </c>
      <c r="X4337">
        <v>0.98903209999999997</v>
      </c>
      <c r="Y4337">
        <v>0.3151178</v>
      </c>
      <c r="Z4337">
        <v>7.8908060000000002E-2</v>
      </c>
      <c r="AA4337">
        <v>0.94576649999999995</v>
      </c>
      <c r="AB4337">
        <v>32</v>
      </c>
      <c r="AC4337">
        <v>1.30869999999998</v>
      </c>
      <c r="AD4337">
        <v>-1.046768415004</v>
      </c>
      <c r="AE4337">
        <v>-10.507642000000001</v>
      </c>
      <c r="AF4337">
        <v>3.39836325287314</v>
      </c>
      <c r="AG4337">
        <v>-1.046768415004</v>
      </c>
      <c r="AH4337">
        <v>9.9204145794249996</v>
      </c>
      <c r="AI4337">
        <v>95.700496189056295</v>
      </c>
      <c r="AJ4337">
        <v>71.090456632729499</v>
      </c>
      <c r="AK4337">
        <v>10.538463945983599</v>
      </c>
    </row>
    <row r="4338" spans="1:37" x14ac:dyDescent="0.2">
      <c r="A4338" t="str">
        <f>"20200111154149957"</f>
        <v>20200111154149957</v>
      </c>
      <c r="B4338" t="str">
        <f>"1578728509950205"</f>
        <v>1578728509950205</v>
      </c>
      <c r="C4338" t="s">
        <v>37</v>
      </c>
      <c r="D4338">
        <v>5.6513089999999897</v>
      </c>
      <c r="E4338">
        <v>0.57157290000000005</v>
      </c>
      <c r="F4338" t="s">
        <v>39</v>
      </c>
      <c r="G4338">
        <v>-302.81060000000002</v>
      </c>
      <c r="H4338" s="1">
        <v>-2.2748689999999998E-6</v>
      </c>
      <c r="I4338">
        <v>-6.2322769999999998</v>
      </c>
      <c r="J4338">
        <v>-303.86309999999997</v>
      </c>
      <c r="K4338">
        <v>1.0470629999999901</v>
      </c>
      <c r="L4338">
        <v>4.0393679999999996</v>
      </c>
      <c r="M4338">
        <v>0.4139311</v>
      </c>
      <c r="N4338">
        <v>0</v>
      </c>
      <c r="O4338">
        <v>-0.9101709</v>
      </c>
      <c r="P4338">
        <v>0.28782249999999998</v>
      </c>
      <c r="Q4338">
        <v>1.4467010000000001E-2</v>
      </c>
      <c r="R4338">
        <v>-0.95757479999999995</v>
      </c>
      <c r="S4338">
        <v>0.36154169999999902</v>
      </c>
      <c r="T4338">
        <v>-0.29406329999999897</v>
      </c>
      <c r="U4338">
        <v>-3.0385740000000001</v>
      </c>
      <c r="V4338">
        <v>0.135312299999999</v>
      </c>
      <c r="W4338">
        <v>2.5829609999999999E-2</v>
      </c>
      <c r="X4338">
        <v>0.99046619999999996</v>
      </c>
      <c r="Y4338">
        <v>0.30391030000000002</v>
      </c>
      <c r="Z4338">
        <v>8.0935419999999994E-2</v>
      </c>
      <c r="AA4338">
        <v>0.94925649999999995</v>
      </c>
      <c r="AB4338">
        <v>32</v>
      </c>
      <c r="AC4338">
        <v>1.05249999999995</v>
      </c>
      <c r="AD4338">
        <v>-1.0470652748689999</v>
      </c>
      <c r="AE4338">
        <v>-10.271644999999999</v>
      </c>
      <c r="AF4338">
        <v>3.26067973919888</v>
      </c>
      <c r="AG4338">
        <v>-1.0470652748689999</v>
      </c>
      <c r="AH4338">
        <v>9.6862318648864996</v>
      </c>
      <c r="AI4338">
        <v>95.849502876419294</v>
      </c>
      <c r="AJ4338">
        <v>71.395204426622101</v>
      </c>
      <c r="AK4338">
        <v>10.2738243021671</v>
      </c>
    </row>
    <row r="4339" spans="1:37" x14ac:dyDescent="0.2">
      <c r="A4339" t="str">
        <f>"20200111154149978"</f>
        <v>20200111154149978</v>
      </c>
      <c r="B4339" t="str">
        <f>"1578728509970701"</f>
        <v>1578728509970701</v>
      </c>
      <c r="C4339" t="s">
        <v>37</v>
      </c>
      <c r="D4339">
        <v>5.6783440000000001</v>
      </c>
      <c r="E4339">
        <v>0.57188430000000001</v>
      </c>
      <c r="F4339" t="s">
        <v>39</v>
      </c>
      <c r="G4339">
        <v>-302.7946</v>
      </c>
      <c r="H4339" s="1">
        <v>-2.1417819999999999E-6</v>
      </c>
      <c r="I4339">
        <v>-6.5047709999999999</v>
      </c>
      <c r="J4339">
        <v>-303.74279999999999</v>
      </c>
      <c r="K4339">
        <v>1.0472509999999999</v>
      </c>
      <c r="L4339">
        <v>3.7435909999999999</v>
      </c>
      <c r="M4339">
        <v>0.40086050000000001</v>
      </c>
      <c r="N4339">
        <v>0</v>
      </c>
      <c r="O4339">
        <v>-0.91600349999999997</v>
      </c>
      <c r="P4339">
        <v>0.27909270000000003</v>
      </c>
      <c r="Q4339">
        <v>1.482844E-2</v>
      </c>
      <c r="R4339">
        <v>-0.9601499</v>
      </c>
      <c r="S4339">
        <v>0.30856319999999998</v>
      </c>
      <c r="T4339">
        <v>-0.3023517</v>
      </c>
      <c r="U4339">
        <v>-3.0447389999999999</v>
      </c>
      <c r="V4339">
        <v>0.130146699999999</v>
      </c>
      <c r="W4339">
        <v>2.6377299999999899E-2</v>
      </c>
      <c r="X4339">
        <v>0.99114380000000002</v>
      </c>
      <c r="Y4339">
        <v>0.30683649999999901</v>
      </c>
      <c r="Z4339">
        <v>8.3896940000000003E-2</v>
      </c>
      <c r="AA4339">
        <v>0.94805729999999999</v>
      </c>
      <c r="AB4339">
        <v>32</v>
      </c>
      <c r="AC4339">
        <v>0.94819999999998505</v>
      </c>
      <c r="AD4339">
        <v>-1.0472531417819999</v>
      </c>
      <c r="AE4339">
        <v>-10.248362</v>
      </c>
      <c r="AF4339">
        <v>3.20680939773086</v>
      </c>
      <c r="AG4339">
        <v>-1.0472531417819999</v>
      </c>
      <c r="AH4339">
        <v>9.6687384673611998</v>
      </c>
      <c r="AI4339">
        <v>95.869744975961396</v>
      </c>
      <c r="AJ4339">
        <v>71.650978306212906</v>
      </c>
      <c r="AK4339">
        <v>10.240354935576001</v>
      </c>
    </row>
    <row r="4340" spans="1:37" x14ac:dyDescent="0.2">
      <c r="A4340" t="str">
        <f>"20200111154150000"</f>
        <v>20200111154150000</v>
      </c>
      <c r="B4340" t="str">
        <f>"1578728509990222"</f>
        <v>1578728509990222</v>
      </c>
      <c r="C4340" t="s">
        <v>37</v>
      </c>
      <c r="D4340">
        <v>5.7627489999999897</v>
      </c>
      <c r="E4340">
        <v>0.57144469999999903</v>
      </c>
      <c r="F4340" t="s">
        <v>39</v>
      </c>
      <c r="G4340">
        <v>-302.77620000000002</v>
      </c>
      <c r="H4340" s="1">
        <v>-1.9774779999999999E-6</v>
      </c>
      <c r="I4340">
        <v>-6.841996</v>
      </c>
      <c r="J4340">
        <v>-303.62439999999998</v>
      </c>
      <c r="K4340">
        <v>1.0474589999999999</v>
      </c>
      <c r="L4340">
        <v>3.4407040000000002</v>
      </c>
      <c r="M4340">
        <v>0.38768779999999903</v>
      </c>
      <c r="N4340">
        <v>0</v>
      </c>
      <c r="O4340">
        <v>-0.9216569</v>
      </c>
      <c r="P4340">
        <v>0.27083579999999902</v>
      </c>
      <c r="Q4340">
        <v>1.4852590000000001E-2</v>
      </c>
      <c r="R4340">
        <v>-0.96251119999999901</v>
      </c>
      <c r="S4340">
        <v>0.27835079999999901</v>
      </c>
      <c r="T4340">
        <v>-0.30157209999999901</v>
      </c>
      <c r="U4340">
        <v>-3.048279</v>
      </c>
      <c r="V4340">
        <v>0.124434899999999</v>
      </c>
      <c r="W4340">
        <v>2.6605159999999999E-2</v>
      </c>
      <c r="X4340">
        <v>0.99187099999999995</v>
      </c>
      <c r="Y4340">
        <v>0.30261379999999999</v>
      </c>
      <c r="Z4340">
        <v>8.4507700000000005E-2</v>
      </c>
      <c r="AA4340">
        <v>0.94935939999999996</v>
      </c>
      <c r="AB4340">
        <v>32</v>
      </c>
      <c r="AC4340">
        <v>0.84819999999996298</v>
      </c>
      <c r="AD4340">
        <v>-1.0474609774779999</v>
      </c>
      <c r="AE4340">
        <v>-10.2827</v>
      </c>
      <c r="AF4340">
        <v>3.1724263828771799</v>
      </c>
      <c r="AG4340">
        <v>-1.0474609774779999</v>
      </c>
      <c r="AH4340">
        <v>9.7071205102163205</v>
      </c>
      <c r="AI4340">
        <v>95.856227505952006</v>
      </c>
      <c r="AJ4340">
        <v>71.901864669874797</v>
      </c>
      <c r="AK4340">
        <v>10.2659462425037</v>
      </c>
    </row>
    <row r="4341" spans="1:37" x14ac:dyDescent="0.2">
      <c r="A4341" t="str">
        <f>"20200111154150024"</f>
        <v>20200111154150024</v>
      </c>
      <c r="B4341" t="str">
        <f>"1578728510020478"</f>
        <v>1578728510020478</v>
      </c>
      <c r="C4341" t="s">
        <v>37</v>
      </c>
      <c r="D4341">
        <v>5.7054619999999998</v>
      </c>
      <c r="E4341">
        <v>0.57072590000000001</v>
      </c>
      <c r="F4341" t="s">
        <v>39</v>
      </c>
      <c r="G4341">
        <v>-302.7466</v>
      </c>
      <c r="H4341" s="1">
        <v>-1.8668549999999899E-6</v>
      </c>
      <c r="I4341">
        <v>-7.0594070000000002</v>
      </c>
      <c r="J4341">
        <v>-303.50659999999999</v>
      </c>
      <c r="K4341">
        <v>1.0477080000000001</v>
      </c>
      <c r="L4341">
        <v>3.126465</v>
      </c>
      <c r="M4341">
        <v>0.37429069999999998</v>
      </c>
      <c r="N4341">
        <v>0</v>
      </c>
      <c r="O4341">
        <v>-0.92717939999999999</v>
      </c>
      <c r="P4341">
        <v>0.26254240000000001</v>
      </c>
      <c r="Q4341">
        <v>1.41923E-2</v>
      </c>
      <c r="R4341">
        <v>-0.96481649999999997</v>
      </c>
      <c r="S4341">
        <v>0.2549438</v>
      </c>
      <c r="T4341">
        <v>-0.30423979999999901</v>
      </c>
      <c r="U4341">
        <v>-3.0498050000000001</v>
      </c>
      <c r="V4341">
        <v>0.11856129999999999</v>
      </c>
      <c r="W4341">
        <v>2.6150409999999999E-2</v>
      </c>
      <c r="X4341">
        <v>0.99260230000000005</v>
      </c>
      <c r="Y4341">
        <v>0.29607990000000001</v>
      </c>
      <c r="Z4341">
        <v>8.6142590000000005E-2</v>
      </c>
      <c r="AA4341">
        <v>0.95127079999999997</v>
      </c>
      <c r="AB4341">
        <v>32</v>
      </c>
      <c r="AC4341">
        <v>0.75999999999999002</v>
      </c>
      <c r="AD4341">
        <v>-1.047709866855</v>
      </c>
      <c r="AE4341">
        <v>-10.185872</v>
      </c>
      <c r="AF4341">
        <v>3.0758391226348998</v>
      </c>
      <c r="AG4341">
        <v>-1.047709866855</v>
      </c>
      <c r="AH4341">
        <v>9.6284774700528502</v>
      </c>
      <c r="AI4341">
        <v>95.917759172542901</v>
      </c>
      <c r="AJ4341">
        <v>72.283799694420395</v>
      </c>
      <c r="AK4341">
        <v>10.161990979367699</v>
      </c>
    </row>
    <row r="4342" spans="1:37" x14ac:dyDescent="0.2">
      <c r="A4342" t="str">
        <f>"20200111154150049"</f>
        <v>20200111154150049</v>
      </c>
      <c r="B4342" t="str">
        <f>"1578728510039998"</f>
        <v>1578728510039998</v>
      </c>
      <c r="C4342" t="s">
        <v>37</v>
      </c>
      <c r="D4342">
        <v>5.8006070000000003</v>
      </c>
      <c r="E4342">
        <v>0.57042660000000001</v>
      </c>
      <c r="F4342" t="s">
        <v>39</v>
      </c>
      <c r="G4342">
        <v>-302.70479999999998</v>
      </c>
      <c r="H4342" s="1">
        <v>-1.7267009999999999E-6</v>
      </c>
      <c r="I4342">
        <v>-7.33236799999999</v>
      </c>
      <c r="J4342">
        <v>-303.38200000000001</v>
      </c>
      <c r="K4342">
        <v>1.0480100000000001</v>
      </c>
      <c r="L4342">
        <v>2.7771910000000002</v>
      </c>
      <c r="M4342">
        <v>0.359774599999999</v>
      </c>
      <c r="N4342">
        <v>0</v>
      </c>
      <c r="O4342">
        <v>-0.93290899999999999</v>
      </c>
      <c r="P4342">
        <v>0.25289859999999997</v>
      </c>
      <c r="Q4342">
        <v>1.43217E-2</v>
      </c>
      <c r="R4342">
        <v>-0.96738690000000005</v>
      </c>
      <c r="S4342">
        <v>0.2338257</v>
      </c>
      <c r="T4342">
        <v>-0.30555890000000002</v>
      </c>
      <c r="U4342">
        <v>-3.050262</v>
      </c>
      <c r="V4342">
        <v>0.11295810000000001</v>
      </c>
      <c r="W4342">
        <v>2.6469779999999998E-2</v>
      </c>
      <c r="X4342">
        <v>0.99324709999999905</v>
      </c>
      <c r="Y4342">
        <v>0.287726599999999</v>
      </c>
      <c r="Z4342">
        <v>8.7493039999999994E-2</v>
      </c>
      <c r="AA4342">
        <v>0.95370769999999905</v>
      </c>
      <c r="AB4342">
        <v>32</v>
      </c>
      <c r="AC4342">
        <v>0.677200000000027</v>
      </c>
      <c r="AD4342">
        <v>-1.0480117267010001</v>
      </c>
      <c r="AE4342">
        <v>-10.1095589999999</v>
      </c>
      <c r="AF4342">
        <v>2.9739450509337702</v>
      </c>
      <c r="AG4342">
        <v>-1.0480117267010001</v>
      </c>
      <c r="AH4342">
        <v>9.5736895673131599</v>
      </c>
      <c r="AI4342">
        <v>95.968034956653895</v>
      </c>
      <c r="AJ4342">
        <v>72.743256763334202</v>
      </c>
      <c r="AK4342">
        <v>10.079593725768699</v>
      </c>
    </row>
    <row r="4343" spans="1:37" x14ac:dyDescent="0.2">
      <c r="A4343" t="str">
        <f>"20200111154150070"</f>
        <v>20200111154150070</v>
      </c>
      <c r="B4343" t="str">
        <f>"1578728510060494"</f>
        <v>1578728510060494</v>
      </c>
      <c r="C4343" t="s">
        <v>37</v>
      </c>
      <c r="D4343">
        <v>5.7555589999999999</v>
      </c>
      <c r="E4343">
        <v>0.56998260000000001</v>
      </c>
      <c r="F4343" t="s">
        <v>39</v>
      </c>
      <c r="G4343">
        <v>-302.673</v>
      </c>
      <c r="H4343" s="1">
        <v>-1.5272219999999999E-6</v>
      </c>
      <c r="I4343">
        <v>-7.7364619999999897</v>
      </c>
      <c r="J4343">
        <v>-303.28359999999998</v>
      </c>
      <c r="K4343">
        <v>1.0482629999999999</v>
      </c>
      <c r="L4343">
        <v>2.4901119999999999</v>
      </c>
      <c r="M4343">
        <v>0.34807329999999997</v>
      </c>
      <c r="N4343">
        <v>0</v>
      </c>
      <c r="O4343">
        <v>-0.93733880000000003</v>
      </c>
      <c r="P4343">
        <v>0.2460531</v>
      </c>
      <c r="Q4343">
        <v>1.5104390000000001E-2</v>
      </c>
      <c r="R4343">
        <v>-0.96913909999999903</v>
      </c>
      <c r="S4343">
        <v>0.20577999999999999</v>
      </c>
      <c r="T4343">
        <v>-0.30421159999999903</v>
      </c>
      <c r="U4343">
        <v>-3.0518489999999998</v>
      </c>
      <c r="V4343">
        <v>0.1075518</v>
      </c>
      <c r="W4343">
        <v>2.7426450000000002E-2</v>
      </c>
      <c r="X4343">
        <v>0.99382109999999901</v>
      </c>
      <c r="Y4343">
        <v>0.28449950000000002</v>
      </c>
      <c r="Z4343">
        <v>8.7789549999999994E-2</v>
      </c>
      <c r="AA4343">
        <v>0.9546481</v>
      </c>
      <c r="AB4343">
        <v>32</v>
      </c>
      <c r="AC4343">
        <v>0.61059999999997605</v>
      </c>
      <c r="AD4343">
        <v>-1.0482645272219999</v>
      </c>
      <c r="AE4343">
        <v>-10.226573999999999</v>
      </c>
      <c r="AF4343">
        <v>2.9566627512335901</v>
      </c>
      <c r="AG4343">
        <v>-1.0482645272219999</v>
      </c>
      <c r="AH4343">
        <v>9.6979438639754001</v>
      </c>
      <c r="AI4343">
        <v>95.903009697428303</v>
      </c>
      <c r="AJ4343">
        <v>73.044835337781095</v>
      </c>
      <c r="AK4343">
        <v>10.1926850403798</v>
      </c>
    </row>
    <row r="4344" spans="1:37" x14ac:dyDescent="0.2">
      <c r="A4344" t="str">
        <f>"20200111154150093"</f>
        <v>20200111154150093</v>
      </c>
      <c r="B4344" t="str">
        <f>"1578728510080014"</f>
        <v>1578728510080014</v>
      </c>
      <c r="C4344" t="s">
        <v>37</v>
      </c>
      <c r="D4344">
        <v>5.7888769999999896</v>
      </c>
      <c r="E4344">
        <v>0.56945679999999999</v>
      </c>
      <c r="F4344" t="s">
        <v>39</v>
      </c>
      <c r="G4344">
        <v>-302.637</v>
      </c>
      <c r="H4344" s="1">
        <v>-1.379764E-6</v>
      </c>
      <c r="I4344">
        <v>-8.0281310000000001</v>
      </c>
      <c r="J4344">
        <v>-303.18189999999998</v>
      </c>
      <c r="K4344">
        <v>1.0485370000000001</v>
      </c>
      <c r="L4344">
        <v>2.1807249999999998</v>
      </c>
      <c r="M4344">
        <v>0.33572639999999998</v>
      </c>
      <c r="N4344">
        <v>0</v>
      </c>
      <c r="O4344">
        <v>-0.94183269999999997</v>
      </c>
      <c r="P4344">
        <v>0.23833260000000001</v>
      </c>
      <c r="Q4344">
        <v>1.6029410000000001E-2</v>
      </c>
      <c r="R4344">
        <v>-0.97105160000000001</v>
      </c>
      <c r="S4344">
        <v>0.1876526</v>
      </c>
      <c r="T4344">
        <v>-0.30423119999999998</v>
      </c>
      <c r="U4344">
        <v>-3.0526430000000002</v>
      </c>
      <c r="V4344">
        <v>0.1024028</v>
      </c>
      <c r="W4344">
        <v>2.8513210000000001E-2</v>
      </c>
      <c r="X4344">
        <v>0.9943343</v>
      </c>
      <c r="Y4344">
        <v>0.27756179999999903</v>
      </c>
      <c r="Z4344">
        <v>8.8549489999999995E-2</v>
      </c>
      <c r="AA4344">
        <v>0.95661819999999897</v>
      </c>
      <c r="AB4344">
        <v>32</v>
      </c>
      <c r="AC4344">
        <v>0.54489999999998395</v>
      </c>
      <c r="AD4344">
        <v>-1.048538379764</v>
      </c>
      <c r="AE4344">
        <v>-10.208856000000001</v>
      </c>
      <c r="AF4344">
        <v>2.8841869876133899</v>
      </c>
      <c r="AG4344">
        <v>-1.048538379764</v>
      </c>
      <c r="AH4344">
        <v>9.6971372917813792</v>
      </c>
      <c r="AI4344">
        <v>95.917099205962401</v>
      </c>
      <c r="AJ4344">
        <v>73.436119752549899</v>
      </c>
      <c r="AK4344">
        <v>10.171157208942001</v>
      </c>
    </row>
    <row r="4345" spans="1:37" x14ac:dyDescent="0.2">
      <c r="A4345" t="str">
        <f>"20200111154150118"</f>
        <v>20200111154150118</v>
      </c>
      <c r="B4345" t="str">
        <f>"1578728510110270"</f>
        <v>1578728510110270</v>
      </c>
      <c r="C4345" t="s">
        <v>37</v>
      </c>
      <c r="D4345">
        <v>5.8287930000000001</v>
      </c>
      <c r="E4345">
        <v>0.56880249999999999</v>
      </c>
      <c r="F4345" t="s">
        <v>39</v>
      </c>
      <c r="G4345">
        <v>-302.60489999999999</v>
      </c>
      <c r="H4345" s="1">
        <v>-1.2142059999999999E-6</v>
      </c>
      <c r="I4345">
        <v>-8.3602670000000003</v>
      </c>
      <c r="J4345">
        <v>-303.07499999999999</v>
      </c>
      <c r="K4345">
        <v>1.0488409999999999</v>
      </c>
      <c r="L4345">
        <v>1.8409119999999899</v>
      </c>
      <c r="M4345">
        <v>0.32248779999999999</v>
      </c>
      <c r="N4345">
        <v>0</v>
      </c>
      <c r="O4345">
        <v>-0.94644859999999897</v>
      </c>
      <c r="P4345">
        <v>0.229436099999999</v>
      </c>
      <c r="Q4345">
        <v>1.6550860000000001E-2</v>
      </c>
      <c r="R4345">
        <v>-0.97318329999999997</v>
      </c>
      <c r="S4345">
        <v>0.16714479999999901</v>
      </c>
      <c r="T4345">
        <v>-0.30373289999999997</v>
      </c>
      <c r="U4345">
        <v>-3.053436</v>
      </c>
      <c r="V4345">
        <v>9.7548880000000004E-2</v>
      </c>
      <c r="W4345">
        <v>2.9181459999999999E-2</v>
      </c>
      <c r="X4345">
        <v>0.99480279999999999</v>
      </c>
      <c r="Y4345">
        <v>0.27050629999999998</v>
      </c>
      <c r="Z4345">
        <v>8.9176549999999993E-2</v>
      </c>
      <c r="AA4345">
        <v>0.95857909999999902</v>
      </c>
      <c r="AB4345">
        <v>32</v>
      </c>
      <c r="AC4345">
        <v>0.47010000000000202</v>
      </c>
      <c r="AD4345">
        <v>-1.0488422142059901</v>
      </c>
      <c r="AE4345">
        <v>-10.201179</v>
      </c>
      <c r="AF4345">
        <v>2.8154675073021802</v>
      </c>
      <c r="AG4345">
        <v>-1.0488422142059901</v>
      </c>
      <c r="AH4345">
        <v>9.7052758508958696</v>
      </c>
      <c r="AI4345">
        <v>95.925524219490001</v>
      </c>
      <c r="AJ4345">
        <v>73.822735812659104</v>
      </c>
      <c r="AK4345">
        <v>10.1596902815468</v>
      </c>
    </row>
    <row r="4346" spans="1:37" x14ac:dyDescent="0.2">
      <c r="A4346" t="str">
        <f>"20200111154150139"</f>
        <v>20200111154150139</v>
      </c>
      <c r="B4346" t="str">
        <f>"1578728510130766"</f>
        <v>1578728510130766</v>
      </c>
      <c r="C4346" t="s">
        <v>37</v>
      </c>
      <c r="D4346">
        <v>5.8105900000000004</v>
      </c>
      <c r="E4346">
        <v>0.56846739999999996</v>
      </c>
      <c r="F4346" t="s">
        <v>39</v>
      </c>
      <c r="G4346">
        <v>-302.57900000000001</v>
      </c>
      <c r="H4346" s="1">
        <v>-1.0629790000000001E-6</v>
      </c>
      <c r="I4346">
        <v>-8.6656519999999997</v>
      </c>
      <c r="J4346">
        <v>-302.98660000000001</v>
      </c>
      <c r="K4346">
        <v>1.0491079999999999</v>
      </c>
      <c r="L4346">
        <v>1.547272</v>
      </c>
      <c r="M4346">
        <v>0.31132459999999901</v>
      </c>
      <c r="N4346">
        <v>0</v>
      </c>
      <c r="O4346">
        <v>-0.95017989999999997</v>
      </c>
      <c r="P4346">
        <v>0.2223813</v>
      </c>
      <c r="Q4346">
        <v>1.7762119999999999E-2</v>
      </c>
      <c r="R4346">
        <v>-0.9747981</v>
      </c>
      <c r="S4346">
        <v>0.14416499999999999</v>
      </c>
      <c r="T4346">
        <v>-0.30485899999999999</v>
      </c>
      <c r="U4346">
        <v>-3.0538639999999999</v>
      </c>
      <c r="V4346">
        <v>9.3049439999999997E-2</v>
      </c>
      <c r="W4346">
        <v>3.0521719999999999E-2</v>
      </c>
      <c r="X4346">
        <v>0.99519349999999995</v>
      </c>
      <c r="Y4346">
        <v>0.26637719999999998</v>
      </c>
      <c r="Z4346">
        <v>9.011479E-2</v>
      </c>
      <c r="AA4346">
        <v>0.95964709999999998</v>
      </c>
      <c r="AB4346">
        <v>32</v>
      </c>
      <c r="AC4346">
        <v>0.40760000000000202</v>
      </c>
      <c r="AD4346">
        <v>-1.0491090629790001</v>
      </c>
      <c r="AE4346">
        <v>-10.212923999999999</v>
      </c>
      <c r="AF4346">
        <v>2.7634554777530602</v>
      </c>
      <c r="AG4346">
        <v>-1.0491090629790001</v>
      </c>
      <c r="AH4346">
        <v>9.72966149952161</v>
      </c>
      <c r="AI4346">
        <v>95.921733316850194</v>
      </c>
      <c r="AJ4346">
        <v>74.144191462399604</v>
      </c>
      <c r="AK4346">
        <v>10.168757490412499</v>
      </c>
    </row>
    <row r="4347" spans="1:37" x14ac:dyDescent="0.2">
      <c r="A4347" t="str">
        <f>"20200111154150161"</f>
        <v>20200111154150161</v>
      </c>
      <c r="B4347" t="str">
        <f>"1578728510150285"</f>
        <v>1578728510150285</v>
      </c>
      <c r="C4347" t="s">
        <v>37</v>
      </c>
      <c r="D4347">
        <v>5.7263539999999997</v>
      </c>
      <c r="E4347">
        <v>0.56816109999999997</v>
      </c>
      <c r="F4347" t="s">
        <v>39</v>
      </c>
      <c r="G4347">
        <v>-302.55610000000001</v>
      </c>
      <c r="H4347" s="1">
        <v>-8.9027969999999897E-7</v>
      </c>
      <c r="I4347">
        <v>-9.018065</v>
      </c>
      <c r="J4347">
        <v>-302.90039999999999</v>
      </c>
      <c r="K4347">
        <v>1.0493969999999999</v>
      </c>
      <c r="L4347">
        <v>1.2484440000000001</v>
      </c>
      <c r="M4347">
        <v>0.30022219999999999</v>
      </c>
      <c r="N4347">
        <v>0</v>
      </c>
      <c r="O4347">
        <v>-0.95374720000000002</v>
      </c>
      <c r="P4347">
        <v>0.21499869999999999</v>
      </c>
      <c r="Q4347">
        <v>1.8881229999999999E-2</v>
      </c>
      <c r="R4347">
        <v>-0.97643210000000003</v>
      </c>
      <c r="S4347">
        <v>0.124481199999999</v>
      </c>
      <c r="T4347">
        <v>-0.30332209999999898</v>
      </c>
      <c r="U4347">
        <v>-3.0546880000000001</v>
      </c>
      <c r="V4347">
        <v>8.8974730000000002E-2</v>
      </c>
      <c r="W4347">
        <v>3.1752799999999998E-2</v>
      </c>
      <c r="X4347">
        <v>0.99552759999999996</v>
      </c>
      <c r="Y4347">
        <v>0.26131779999999999</v>
      </c>
      <c r="Z4347">
        <v>9.0244930000000001E-2</v>
      </c>
      <c r="AA4347">
        <v>0.96102489999999996</v>
      </c>
      <c r="AB4347">
        <v>32</v>
      </c>
      <c r="AC4347">
        <v>0.34429999999997501</v>
      </c>
      <c r="AD4347">
        <v>-1.0493978902797001</v>
      </c>
      <c r="AE4347">
        <v>-10.266508999999999</v>
      </c>
      <c r="AF4347">
        <v>2.7257329416885399</v>
      </c>
      <c r="AG4347">
        <v>-1.0493978902797001</v>
      </c>
      <c r="AH4347">
        <v>9.7939605117235597</v>
      </c>
      <c r="AI4347">
        <v>95.893447938982405</v>
      </c>
      <c r="AJ4347">
        <v>74.447714634233293</v>
      </c>
      <c r="AK4347">
        <v>10.220201490515199</v>
      </c>
    </row>
    <row r="4348" spans="1:37" x14ac:dyDescent="0.2">
      <c r="A4348" t="str">
        <f>"20200111154150181"</f>
        <v>20200111154150181</v>
      </c>
      <c r="B4348" t="str">
        <f>"1578728510170782"</f>
        <v>1578728510170782</v>
      </c>
      <c r="C4348" t="s">
        <v>37</v>
      </c>
      <c r="D4348">
        <v>5.7936030000000001</v>
      </c>
      <c r="E4348">
        <v>0.56783660000000002</v>
      </c>
      <c r="F4348" t="s">
        <v>39</v>
      </c>
      <c r="G4348">
        <v>-302.53910000000002</v>
      </c>
      <c r="H4348" s="1">
        <v>-7.1830749999999996E-7</v>
      </c>
      <c r="I4348">
        <v>-9.3722770000000004</v>
      </c>
      <c r="J4348">
        <v>-302.82459999999998</v>
      </c>
      <c r="K4348">
        <v>1.0499689999999999</v>
      </c>
      <c r="L4348">
        <v>0.97628780000000004</v>
      </c>
      <c r="M4348">
        <v>0.28985609999999901</v>
      </c>
      <c r="N4348">
        <v>0</v>
      </c>
      <c r="O4348">
        <v>-0.95694400000000002</v>
      </c>
      <c r="P4348">
        <v>0.20790890000000001</v>
      </c>
      <c r="Q4348">
        <v>2.0666529999999999E-2</v>
      </c>
      <c r="R4348">
        <v>-0.97793019999999997</v>
      </c>
      <c r="S4348">
        <v>0.10394289999999901</v>
      </c>
      <c r="T4348">
        <v>-0.30189279999999902</v>
      </c>
      <c r="U4348">
        <v>-3.0553889999999999</v>
      </c>
      <c r="V4348">
        <v>8.5403229999999997E-2</v>
      </c>
      <c r="W4348">
        <v>3.4007019999999999E-2</v>
      </c>
      <c r="X4348">
        <v>0.99576589999999998</v>
      </c>
      <c r="Y4348">
        <v>0.2573047</v>
      </c>
      <c r="Z4348">
        <v>9.0334940000000002E-2</v>
      </c>
      <c r="AA4348">
        <v>0.96209869999999897</v>
      </c>
      <c r="AB4348">
        <v>32</v>
      </c>
      <c r="AC4348">
        <v>0.28549999999995601</v>
      </c>
      <c r="AD4348">
        <v>-1.0499697183075001</v>
      </c>
      <c r="AE4348">
        <v>-10.3485648</v>
      </c>
      <c r="AF4348">
        <v>2.6989540717745499</v>
      </c>
      <c r="AG4348">
        <v>-1.0499697183075001</v>
      </c>
      <c r="AH4348">
        <v>9.8852737628101099</v>
      </c>
      <c r="AI4348">
        <v>95.850399772451198</v>
      </c>
      <c r="AJ4348">
        <v>74.728858224311793</v>
      </c>
      <c r="AK4348">
        <v>10.3007488493125</v>
      </c>
    </row>
    <row r="4349" spans="1:37" x14ac:dyDescent="0.2">
      <c r="A4349" t="str">
        <f>"20200111154150207"</f>
        <v>20200111154150207</v>
      </c>
      <c r="B4349" t="str">
        <f>"1578728510200062"</f>
        <v>1578728510200062</v>
      </c>
      <c r="C4349" t="s">
        <v>37</v>
      </c>
      <c r="D4349">
        <v>5.8260930000000002</v>
      </c>
      <c r="E4349">
        <v>0.56711060000000002</v>
      </c>
      <c r="F4349" t="s">
        <v>39</v>
      </c>
      <c r="G4349">
        <v>-302.52569999999997</v>
      </c>
      <c r="H4349" s="1">
        <v>-5.2573919999999905E-7</v>
      </c>
      <c r="I4349">
        <v>-9.7721450000000001</v>
      </c>
      <c r="J4349">
        <v>-302.72579999999999</v>
      </c>
      <c r="K4349">
        <v>1.0506420000000001</v>
      </c>
      <c r="L4349">
        <v>0.60800169999999998</v>
      </c>
      <c r="M4349">
        <v>0.27504899999999999</v>
      </c>
      <c r="N4349">
        <v>0</v>
      </c>
      <c r="O4349">
        <v>-0.9612984</v>
      </c>
      <c r="P4349">
        <v>0.1966801</v>
      </c>
      <c r="Q4349">
        <v>2.2445139999999999E-2</v>
      </c>
      <c r="R4349">
        <v>-0.98021080000000005</v>
      </c>
      <c r="S4349">
        <v>8.4991460000000005E-2</v>
      </c>
      <c r="T4349">
        <v>-0.29852199999999901</v>
      </c>
      <c r="U4349">
        <v>-3.055939</v>
      </c>
      <c r="V4349">
        <v>8.1468280000000004E-2</v>
      </c>
      <c r="W4349">
        <v>3.6309189999999998E-2</v>
      </c>
      <c r="X4349">
        <v>0.99601439999999997</v>
      </c>
      <c r="Y4349">
        <v>0.2483456</v>
      </c>
      <c r="Z4349">
        <v>9.0073429999999996E-2</v>
      </c>
      <c r="AA4349">
        <v>0.96447459999999996</v>
      </c>
      <c r="AB4349">
        <v>32</v>
      </c>
      <c r="AC4349">
        <v>0.20010000000002001</v>
      </c>
      <c r="AD4349">
        <v>-1.0506425257392</v>
      </c>
      <c r="AE4349">
        <v>-10.380146699999999</v>
      </c>
      <c r="AF4349">
        <v>2.6360350442839802</v>
      </c>
      <c r="AG4349">
        <v>-1.0506425257392</v>
      </c>
      <c r="AH4349">
        <v>9.9330036559870898</v>
      </c>
      <c r="AI4349">
        <v>95.837302156184506</v>
      </c>
      <c r="AJ4349">
        <v>75.137352781142397</v>
      </c>
      <c r="AK4349">
        <v>10.3303965123047</v>
      </c>
    </row>
    <row r="4350" spans="1:37" x14ac:dyDescent="0.2">
      <c r="A4350" t="str">
        <f>"20200111154150231"</f>
        <v>20200111154150231</v>
      </c>
      <c r="B4350" t="str">
        <f>"1578728510220558"</f>
        <v>1578728510220558</v>
      </c>
      <c r="C4350" t="s">
        <v>37</v>
      </c>
      <c r="D4350">
        <v>5.7510260000000004</v>
      </c>
      <c r="E4350">
        <v>0.56668409999999902</v>
      </c>
      <c r="F4350" t="s">
        <v>39</v>
      </c>
      <c r="G4350">
        <v>-302.52550000000002</v>
      </c>
      <c r="H4350" s="1">
        <v>-2.5470360000000001E-7</v>
      </c>
      <c r="I4350">
        <v>-10.345419999999899</v>
      </c>
      <c r="J4350">
        <v>-302.6429</v>
      </c>
      <c r="K4350">
        <v>1.05077</v>
      </c>
      <c r="L4350">
        <v>0.2833252</v>
      </c>
      <c r="M4350">
        <v>0.2649513</v>
      </c>
      <c r="N4350">
        <v>0</v>
      </c>
      <c r="O4350">
        <v>-0.96412819999999899</v>
      </c>
      <c r="P4350">
        <v>0.19074140000000001</v>
      </c>
      <c r="Q4350">
        <v>2.391662E-2</v>
      </c>
      <c r="R4350">
        <v>-0.98134909999999997</v>
      </c>
      <c r="S4350">
        <v>5.5877690000000001E-2</v>
      </c>
      <c r="T4350">
        <v>-0.29313449999999902</v>
      </c>
      <c r="U4350">
        <v>-3.0560610000000001</v>
      </c>
      <c r="V4350">
        <v>7.7125009999999994E-2</v>
      </c>
      <c r="W4350">
        <v>3.7939319999999999E-2</v>
      </c>
      <c r="X4350">
        <v>0.9962993</v>
      </c>
      <c r="Y4350">
        <v>0.24736939999999999</v>
      </c>
      <c r="Z4350">
        <v>8.8882290000000003E-2</v>
      </c>
      <c r="AA4350">
        <v>0.96483589999999997</v>
      </c>
      <c r="AB4350">
        <v>31</v>
      </c>
      <c r="AC4350">
        <v>0.117399999999975</v>
      </c>
      <c r="AD4350">
        <v>-1.0507702547036</v>
      </c>
      <c r="AE4350">
        <v>-10.628745199999999</v>
      </c>
      <c r="AF4350">
        <v>2.6770979291672301</v>
      </c>
      <c r="AG4350">
        <v>-1.0507702547036</v>
      </c>
      <c r="AH4350">
        <v>10.1804160271658</v>
      </c>
      <c r="AI4350">
        <v>95.700449471940999</v>
      </c>
      <c r="AJ4350">
        <v>75.266748484031098</v>
      </c>
      <c r="AK4350">
        <v>10.5788393473337</v>
      </c>
    </row>
    <row r="4351" spans="1:37" x14ac:dyDescent="0.2">
      <c r="A4351" t="str">
        <f>"20200111154150254"</f>
        <v>20200111154150254</v>
      </c>
      <c r="B4351" t="str">
        <f>"1578728510250815"</f>
        <v>1578728510250815</v>
      </c>
      <c r="C4351" t="s">
        <v>37</v>
      </c>
      <c r="D4351">
        <v>5.819553</v>
      </c>
      <c r="E4351">
        <v>0.56604449999999995</v>
      </c>
      <c r="F4351" t="s">
        <v>39</v>
      </c>
      <c r="G4351">
        <v>-302.4973</v>
      </c>
      <c r="H4351" s="1">
        <v>-4.5337969999999998E-6</v>
      </c>
      <c r="I4351">
        <v>-10.99212</v>
      </c>
      <c r="J4351">
        <v>-302.56569999999999</v>
      </c>
      <c r="K4351">
        <v>1.0509469999999901</v>
      </c>
      <c r="L4351">
        <v>-3.6987300000000001E-2</v>
      </c>
      <c r="M4351">
        <v>0.25685140000000001</v>
      </c>
      <c r="N4351">
        <v>0</v>
      </c>
      <c r="O4351">
        <v>-0.96633389999999997</v>
      </c>
      <c r="P4351">
        <v>0.186366</v>
      </c>
      <c r="Q4351">
        <v>2.536335E-2</v>
      </c>
      <c r="R4351">
        <v>-0.98215280000000005</v>
      </c>
      <c r="S4351">
        <v>3.9489749999999997E-2</v>
      </c>
      <c r="T4351">
        <v>-0.28481849999999997</v>
      </c>
      <c r="U4351">
        <v>-3.0562740000000002</v>
      </c>
      <c r="V4351">
        <v>7.325342E-2</v>
      </c>
      <c r="W4351">
        <v>3.8385799999999998E-2</v>
      </c>
      <c r="X4351">
        <v>0.99657430000000002</v>
      </c>
      <c r="Y4351">
        <v>0.24440599999999901</v>
      </c>
      <c r="Z4351">
        <v>8.6717719999999998E-2</v>
      </c>
      <c r="AA4351">
        <v>0.96578759999999997</v>
      </c>
      <c r="AB4351">
        <v>31</v>
      </c>
      <c r="AC4351">
        <v>6.8399999999996894E-2</v>
      </c>
      <c r="AD4351">
        <v>-1.0509515337969999</v>
      </c>
      <c r="AE4351">
        <v>-10.955132699999901</v>
      </c>
      <c r="AF4351">
        <v>2.7229958960670202</v>
      </c>
      <c r="AG4351">
        <v>-1.0509515337969999</v>
      </c>
      <c r="AH4351">
        <v>10.5083790000358</v>
      </c>
      <c r="AI4351">
        <v>95.529759249753496</v>
      </c>
      <c r="AJ4351">
        <v>75.4726908843014</v>
      </c>
      <c r="AK4351">
        <v>10.906201675413</v>
      </c>
    </row>
    <row r="4352" spans="1:37" x14ac:dyDescent="0.2">
      <c r="A4352" t="str">
        <f>"20200111154150276"</f>
        <v>20200111154150276</v>
      </c>
      <c r="B4352" t="str">
        <f>"1578728510270333"</f>
        <v>1578728510270333</v>
      </c>
      <c r="C4352" t="s">
        <v>37</v>
      </c>
      <c r="D4352">
        <v>5.7970389999999998</v>
      </c>
      <c r="E4352">
        <v>0.56562190000000001</v>
      </c>
      <c r="F4352" t="s">
        <v>39</v>
      </c>
      <c r="G4352">
        <v>-302.45249999999999</v>
      </c>
      <c r="H4352" s="1">
        <v>-4.3092570000000003E-6</v>
      </c>
      <c r="I4352">
        <v>-11.62861</v>
      </c>
      <c r="J4352">
        <v>-302.49829999999997</v>
      </c>
      <c r="K4352">
        <v>1.0517319999999999</v>
      </c>
      <c r="L4352">
        <v>-0.33328249999999998</v>
      </c>
      <c r="M4352">
        <v>0.24883730000000001</v>
      </c>
      <c r="N4352">
        <v>0</v>
      </c>
      <c r="O4352">
        <v>-0.96845360000000003</v>
      </c>
      <c r="P4352">
        <v>0.18210109999999999</v>
      </c>
      <c r="Q4352">
        <v>2.6516990000000001E-2</v>
      </c>
      <c r="R4352">
        <v>-0.98292219999999997</v>
      </c>
      <c r="S4352">
        <v>2.9846190000000002E-2</v>
      </c>
      <c r="T4352">
        <v>-0.27707129999999902</v>
      </c>
      <c r="U4352">
        <v>-3.056</v>
      </c>
      <c r="V4352">
        <v>6.9303069999999994E-2</v>
      </c>
      <c r="W4352">
        <v>3.7926460000000002E-2</v>
      </c>
      <c r="X4352">
        <v>0.9968745</v>
      </c>
      <c r="Y4352">
        <v>0.23940999999999901</v>
      </c>
      <c r="Z4352">
        <v>8.4726040000000002E-2</v>
      </c>
      <c r="AA4352">
        <v>0.96721480000000004</v>
      </c>
      <c r="AB4352">
        <v>31</v>
      </c>
      <c r="AC4352">
        <v>4.5799999999985602E-2</v>
      </c>
      <c r="AD4352">
        <v>-1.05173630925699</v>
      </c>
      <c r="AE4352">
        <v>-11.295327500000001</v>
      </c>
      <c r="AF4352">
        <v>2.7428097341912001</v>
      </c>
      <c r="AG4352">
        <v>-1.05173630925699</v>
      </c>
      <c r="AH4352">
        <v>10.857239910117601</v>
      </c>
      <c r="AI4352">
        <v>95.365423845491904</v>
      </c>
      <c r="AJ4352">
        <v>75.822292388257395</v>
      </c>
      <c r="AK4352">
        <v>11.247613656595499</v>
      </c>
    </row>
    <row r="4353" spans="1:37" x14ac:dyDescent="0.2">
      <c r="A4353" t="str">
        <f>"20200111154150297"</f>
        <v>20200111154150297</v>
      </c>
      <c r="B4353" t="str">
        <f>"1578728510290830"</f>
        <v>1578728510290830</v>
      </c>
      <c r="C4353" t="s">
        <v>37</v>
      </c>
      <c r="D4353">
        <v>5.7530919999999997</v>
      </c>
      <c r="E4353">
        <v>0.5651891</v>
      </c>
      <c r="F4353" t="s">
        <v>39</v>
      </c>
      <c r="G4353">
        <v>-302.42349999999999</v>
      </c>
      <c r="H4353" s="1">
        <v>-4.124581E-6</v>
      </c>
      <c r="I4353">
        <v>-12.15616</v>
      </c>
      <c r="J4353">
        <v>-302.43509999999998</v>
      </c>
      <c r="K4353">
        <v>1.0533729999999999</v>
      </c>
      <c r="L4353">
        <v>-0.62490840000000003</v>
      </c>
      <c r="M4353">
        <v>0.23992849999999999</v>
      </c>
      <c r="N4353">
        <v>0</v>
      </c>
      <c r="O4353">
        <v>-0.97072049999999999</v>
      </c>
      <c r="P4353">
        <v>0.17665049999999999</v>
      </c>
      <c r="Q4353">
        <v>2.8269969999999998E-2</v>
      </c>
      <c r="R4353">
        <v>-0.98386790000000002</v>
      </c>
      <c r="S4353">
        <v>1.934814E-2</v>
      </c>
      <c r="T4353">
        <v>-0.27184390000000003</v>
      </c>
      <c r="U4353">
        <v>-3.0558779999999999</v>
      </c>
      <c r="V4353">
        <v>6.5612989999999996E-2</v>
      </c>
      <c r="W4353">
        <v>3.8189019999999997E-2</v>
      </c>
      <c r="X4353">
        <v>0.9971141</v>
      </c>
      <c r="Y4353">
        <v>0.23380319999999999</v>
      </c>
      <c r="Z4353">
        <v>8.3502370000000006E-2</v>
      </c>
      <c r="AA4353">
        <v>0.96869159999999899</v>
      </c>
      <c r="AB4353">
        <v>31</v>
      </c>
      <c r="AC4353">
        <v>1.15999999999871E-2</v>
      </c>
      <c r="AD4353">
        <v>-1.053377124581</v>
      </c>
      <c r="AE4353">
        <v>-11.531251599999999</v>
      </c>
      <c r="AF4353">
        <v>2.7327983874919499</v>
      </c>
      <c r="AG4353">
        <v>-1.053377124581</v>
      </c>
      <c r="AH4353">
        <v>11.104502534700099</v>
      </c>
      <c r="AI4353">
        <v>95.262778789389898</v>
      </c>
      <c r="AJ4353">
        <v>76.174353740672302</v>
      </c>
      <c r="AK4353">
        <v>11.4842399372545</v>
      </c>
    </row>
    <row r="4354" spans="1:37" x14ac:dyDescent="0.2">
      <c r="A4354" t="str">
        <f>"20200111154150318"</f>
        <v>20200111154150318</v>
      </c>
      <c r="B4354" t="str">
        <f>"1578728510310350"</f>
        <v>1578728510310350</v>
      </c>
      <c r="C4354" t="s">
        <v>37</v>
      </c>
      <c r="D4354">
        <v>5.7942749999999998</v>
      </c>
      <c r="E4354">
        <v>0.56475609999999998</v>
      </c>
      <c r="F4354" t="s">
        <v>39</v>
      </c>
      <c r="G4354">
        <v>-302.4135</v>
      </c>
      <c r="H4354" s="1">
        <v>-3.9275269999999998E-6</v>
      </c>
      <c r="I4354">
        <v>-12.73001</v>
      </c>
      <c r="J4354">
        <v>-302.37400000000002</v>
      </c>
      <c r="K4354">
        <v>1.0555639999999999</v>
      </c>
      <c r="L4354">
        <v>-0.91983029999999999</v>
      </c>
      <c r="M4354">
        <v>0.2299744</v>
      </c>
      <c r="N4354">
        <v>0</v>
      </c>
      <c r="O4354">
        <v>-0.97314469999999997</v>
      </c>
      <c r="P4354">
        <v>0.1698547</v>
      </c>
      <c r="Q4354">
        <v>3.1676320000000001E-2</v>
      </c>
      <c r="R4354">
        <v>-0.9849599</v>
      </c>
      <c r="S4354">
        <v>5.4626459999999998E-3</v>
      </c>
      <c r="T4354">
        <v>-0.26591769999999998</v>
      </c>
      <c r="U4354">
        <v>-3.055847</v>
      </c>
      <c r="V4354">
        <v>6.2232299999999997E-2</v>
      </c>
      <c r="W4354">
        <v>4.020924E-2</v>
      </c>
      <c r="X4354">
        <v>0.99725140000000001</v>
      </c>
      <c r="Y4354">
        <v>0.22824069999999999</v>
      </c>
      <c r="Z4354">
        <v>8.2066299999999995E-2</v>
      </c>
      <c r="AA4354">
        <v>0.97013989999999894</v>
      </c>
      <c r="AB4354">
        <v>31</v>
      </c>
      <c r="AC4354">
        <v>-3.9499999999975402E-2</v>
      </c>
      <c r="AD4354">
        <v>-1.055567927527</v>
      </c>
      <c r="AE4354">
        <v>-11.810179700000001</v>
      </c>
      <c r="AF4354">
        <v>2.73278721844718</v>
      </c>
      <c r="AG4354">
        <v>-1.055567927527</v>
      </c>
      <c r="AH4354">
        <v>11.3934960476443</v>
      </c>
      <c r="AI4354">
        <v>95.147952289667899</v>
      </c>
      <c r="AJ4354">
        <v>76.512121328820996</v>
      </c>
      <c r="AK4354">
        <v>11.7641022529821</v>
      </c>
    </row>
    <row r="4355" spans="1:37" x14ac:dyDescent="0.2">
      <c r="A4355" t="str">
        <f>"20200111154150359"</f>
        <v>20200111154150359</v>
      </c>
      <c r="B4355" t="str">
        <f>"1578728510350365"</f>
        <v>1578728510350365</v>
      </c>
      <c r="C4355" t="s">
        <v>37</v>
      </c>
      <c r="D4355">
        <v>5.8161839999999998</v>
      </c>
      <c r="E4355">
        <v>0.55148949999999997</v>
      </c>
      <c r="F4355" t="s">
        <v>39</v>
      </c>
      <c r="G4355">
        <v>-302.42329999999998</v>
      </c>
      <c r="H4355" s="1">
        <v>-3.598111E-6</v>
      </c>
      <c r="I4355">
        <v>-13.526619999999999</v>
      </c>
      <c r="J4355">
        <v>-302.26639999999998</v>
      </c>
      <c r="K4355">
        <v>1.0598030000000001</v>
      </c>
      <c r="L4355">
        <v>-1.4714659999999999</v>
      </c>
      <c r="M4355">
        <v>0.20990999999999899</v>
      </c>
      <c r="N4355">
        <v>0</v>
      </c>
      <c r="O4355">
        <v>-0.97769280000000003</v>
      </c>
      <c r="P4355">
        <v>0.15775790000000001</v>
      </c>
      <c r="Q4355">
        <v>3.8104949999999999E-2</v>
      </c>
      <c r="R4355">
        <v>-0.98674259999999903</v>
      </c>
      <c r="S4355">
        <v>-1.196289E-2</v>
      </c>
      <c r="T4355">
        <v>-0.25588679999999903</v>
      </c>
      <c r="U4355">
        <v>-3.0560909999999999</v>
      </c>
      <c r="V4355">
        <v>5.3854230000000003E-2</v>
      </c>
      <c r="W4355">
        <v>4.431972E-2</v>
      </c>
      <c r="X4355">
        <v>0.99756480000000003</v>
      </c>
      <c r="Y4355">
        <v>0.2137201</v>
      </c>
      <c r="Z4355">
        <v>7.9688120000000001E-2</v>
      </c>
      <c r="AA4355">
        <v>0.97363929999999999</v>
      </c>
      <c r="AB4355">
        <v>31</v>
      </c>
      <c r="AC4355">
        <v>-0.15690000000000701</v>
      </c>
      <c r="AD4355">
        <v>-1.0598065981110001</v>
      </c>
      <c r="AE4355">
        <v>-12.055154</v>
      </c>
      <c r="AF4355">
        <v>2.6633895119594202</v>
      </c>
      <c r="AG4355">
        <v>-1.0598065981110001</v>
      </c>
      <c r="AH4355">
        <v>11.6634945099427</v>
      </c>
      <c r="AI4355">
        <v>95.062331868300205</v>
      </c>
      <c r="AJ4355">
        <v>77.136913433346905</v>
      </c>
      <c r="AK4355">
        <v>12.0105760853208</v>
      </c>
    </row>
    <row r="4356" spans="1:37" x14ac:dyDescent="0.2">
      <c r="A4356" t="str">
        <f>"20200111154150383"</f>
        <v>20200111154150383</v>
      </c>
      <c r="B4356" t="str">
        <f>"1578728510370862"</f>
        <v>1578728510370862</v>
      </c>
      <c r="C4356" t="s">
        <v>37</v>
      </c>
      <c r="D4356">
        <v>5.8576030000000001</v>
      </c>
      <c r="E4356">
        <v>0.55086420000000003</v>
      </c>
      <c r="F4356" t="s">
        <v>39</v>
      </c>
      <c r="G4356">
        <v>-302.0215</v>
      </c>
      <c r="H4356" s="1">
        <v>-2.9308859999999998E-6</v>
      </c>
      <c r="I4356">
        <v>-14.832700000000001</v>
      </c>
      <c r="J4356">
        <v>-302.2029</v>
      </c>
      <c r="K4356">
        <v>1.062338</v>
      </c>
      <c r="L4356">
        <v>-1.8157349999999901</v>
      </c>
      <c r="M4356">
        <v>0.19614789999999999</v>
      </c>
      <c r="N4356">
        <v>0</v>
      </c>
      <c r="O4356">
        <v>-0.98055369999999997</v>
      </c>
      <c r="P4356">
        <v>0.1490581</v>
      </c>
      <c r="Q4356">
        <v>3.944247E-2</v>
      </c>
      <c r="R4356">
        <v>-0.98804179999999997</v>
      </c>
      <c r="S4356">
        <v>5.57251E-2</v>
      </c>
      <c r="T4356">
        <v>-0.2411875</v>
      </c>
      <c r="U4356">
        <v>-3.0407099999999998</v>
      </c>
      <c r="V4356">
        <v>4.8573749999999999E-2</v>
      </c>
      <c r="W4356">
        <v>4.4807039999999999E-2</v>
      </c>
      <c r="X4356">
        <v>0.99781409999999904</v>
      </c>
      <c r="Y4356">
        <v>0.178201</v>
      </c>
      <c r="Z4356">
        <v>7.6131829999999998E-2</v>
      </c>
      <c r="AA4356">
        <v>0.98104449999999999</v>
      </c>
      <c r="AB4356">
        <v>31</v>
      </c>
      <c r="AC4356">
        <v>0.18139999999999601</v>
      </c>
      <c r="AD4356">
        <v>-1.0623409308859999</v>
      </c>
      <c r="AE4356">
        <v>-13.016965000000001</v>
      </c>
      <c r="AF4356">
        <v>2.3597120770826301</v>
      </c>
      <c r="AG4356">
        <v>-1.0623409308859999</v>
      </c>
      <c r="AH4356">
        <v>12.7150011337342</v>
      </c>
      <c r="AI4356">
        <v>94.696161935670702</v>
      </c>
      <c r="AJ4356">
        <v>79.486382546651299</v>
      </c>
      <c r="AK4356">
        <v>12.975671973775601</v>
      </c>
    </row>
    <row r="4357" spans="1:37" x14ac:dyDescent="0.2">
      <c r="A4357" t="str">
        <f>"20200111154150405"</f>
        <v>20200111154150405</v>
      </c>
      <c r="B4357" t="str">
        <f>"1578728510400141"</f>
        <v>1578728510400141</v>
      </c>
      <c r="C4357" t="s">
        <v>37</v>
      </c>
      <c r="D4357">
        <v>5.8231839999999897</v>
      </c>
      <c r="E4357">
        <v>0.54997949999999995</v>
      </c>
      <c r="F4357" t="s">
        <v>38</v>
      </c>
      <c r="G4357">
        <v>-302.1918</v>
      </c>
      <c r="H4357">
        <v>0.98249969999999998</v>
      </c>
      <c r="I4357">
        <v>-2.834085</v>
      </c>
      <c r="J4357">
        <v>-302.1497</v>
      </c>
      <c r="K4357">
        <v>1.064244</v>
      </c>
      <c r="L4357">
        <v>-2.1212770000000001</v>
      </c>
      <c r="M4357">
        <v>0.18486429999999901</v>
      </c>
      <c r="N4357">
        <v>0</v>
      </c>
      <c r="O4357">
        <v>-0.98274479999999997</v>
      </c>
      <c r="P4357">
        <v>0.14338409999999999</v>
      </c>
      <c r="Q4357">
        <v>4.0063300000000003E-2</v>
      </c>
      <c r="R4357">
        <v>-0.98885610000000002</v>
      </c>
      <c r="S4357">
        <v>3.3599850000000001E-2</v>
      </c>
      <c r="T4357">
        <v>-0.2381364</v>
      </c>
      <c r="U4357">
        <v>-3.0407410000000001</v>
      </c>
      <c r="V4357">
        <v>4.2873880000000003E-2</v>
      </c>
      <c r="W4357">
        <v>4.5329599999999998E-2</v>
      </c>
      <c r="X4357">
        <v>0.99805159999999904</v>
      </c>
      <c r="Y4357">
        <v>0.1740255</v>
      </c>
      <c r="Z4357">
        <v>7.5462420000000002E-2</v>
      </c>
      <c r="AA4357">
        <v>0.98184550000000004</v>
      </c>
      <c r="AB4357">
        <v>31</v>
      </c>
      <c r="AC4357">
        <v>-4.2100000000004897E-2</v>
      </c>
      <c r="AD4357">
        <v>-8.1744299999999895E-2</v>
      </c>
      <c r="AE4357">
        <v>-0.712807999999999</v>
      </c>
      <c r="AF4357">
        <v>0.17090970751052101</v>
      </c>
      <c r="AG4357">
        <v>-8.1744299999999895E-2</v>
      </c>
      <c r="AH4357">
        <v>0.68377735349331104</v>
      </c>
      <c r="AI4357">
        <v>96.615612740928</v>
      </c>
      <c r="AJ4357">
        <v>75.966487694113695</v>
      </c>
      <c r="AK4357">
        <v>0.70953768599993206</v>
      </c>
    </row>
    <row r="4358" spans="1:37" x14ac:dyDescent="0.2">
      <c r="A4358" t="str">
        <f>"20200111154150430"</f>
        <v>20200111154150430</v>
      </c>
      <c r="B4358" t="str">
        <f>"1578728510420638"</f>
        <v>1578728510420638</v>
      </c>
      <c r="C4358" t="s">
        <v>37</v>
      </c>
      <c r="D4358">
        <v>5.8203209999999999</v>
      </c>
      <c r="E4358">
        <v>0.54940809999999995</v>
      </c>
      <c r="F4358" t="s">
        <v>38</v>
      </c>
      <c r="G4358">
        <v>-302.14260000000002</v>
      </c>
      <c r="H4358">
        <v>0.98700239999999995</v>
      </c>
      <c r="I4358">
        <v>-3.105486</v>
      </c>
      <c r="J4358">
        <v>-302.09550000000002</v>
      </c>
      <c r="K4358">
        <v>1.0664340000000001</v>
      </c>
      <c r="L4358">
        <v>-2.4558719999999998</v>
      </c>
      <c r="M4358">
        <v>0.17441010000000001</v>
      </c>
      <c r="N4358">
        <v>0</v>
      </c>
      <c r="O4358">
        <v>-0.98465309999999995</v>
      </c>
      <c r="P4358">
        <v>0.13905699999999999</v>
      </c>
      <c r="Q4358">
        <v>4.0671159999999998E-2</v>
      </c>
      <c r="R4358">
        <v>-0.98944929999999998</v>
      </c>
      <c r="S4358">
        <v>2.2003169999999999E-2</v>
      </c>
      <c r="T4358">
        <v>-0.23836830000000001</v>
      </c>
      <c r="U4358">
        <v>-3.0402830000000001</v>
      </c>
      <c r="V4358">
        <v>3.671642E-2</v>
      </c>
      <c r="W4358">
        <v>4.6118890000000003E-2</v>
      </c>
      <c r="X4358">
        <v>0.99826099999999995</v>
      </c>
      <c r="Y4358">
        <v>0.16730020000000001</v>
      </c>
      <c r="Z4358">
        <v>7.5816850000000005E-2</v>
      </c>
      <c r="AA4358">
        <v>0.98298649999999999</v>
      </c>
      <c r="AB4358">
        <v>31</v>
      </c>
      <c r="AC4358">
        <v>-4.7100000000000301E-2</v>
      </c>
      <c r="AD4358">
        <v>-7.9431600000000102E-2</v>
      </c>
      <c r="AE4358">
        <v>-0.64961399999999903</v>
      </c>
      <c r="AF4358">
        <v>0.157339437949749</v>
      </c>
      <c r="AG4358">
        <v>-7.9431600000000102E-2</v>
      </c>
      <c r="AH4358">
        <v>0.62218834745037799</v>
      </c>
      <c r="AI4358">
        <v>97.055547298793698</v>
      </c>
      <c r="AJ4358">
        <v>75.808517985140099</v>
      </c>
      <c r="AK4358">
        <v>0.64667102727425096</v>
      </c>
    </row>
    <row r="4359" spans="1:37" x14ac:dyDescent="0.2">
      <c r="A4359" t="str">
        <f>"20200111154150452"</f>
        <v>20200111154150452</v>
      </c>
      <c r="B4359" t="str">
        <f>"1578728510440158"</f>
        <v>1578728510440158</v>
      </c>
      <c r="C4359" t="s">
        <v>37</v>
      </c>
      <c r="D4359">
        <v>5.8199629999999898</v>
      </c>
      <c r="E4359">
        <v>0.54894049999999905</v>
      </c>
      <c r="F4359" t="s">
        <v>38</v>
      </c>
      <c r="G4359">
        <v>-302.09230000000002</v>
      </c>
      <c r="H4359">
        <v>0.9943014</v>
      </c>
      <c r="I4359">
        <v>-3.3787029999999998</v>
      </c>
      <c r="J4359">
        <v>-302.04919999999998</v>
      </c>
      <c r="K4359">
        <v>1.0689299999999999</v>
      </c>
      <c r="L4359">
        <v>-2.7673649999999999</v>
      </c>
      <c r="M4359">
        <v>0.1651368</v>
      </c>
      <c r="N4359">
        <v>0</v>
      </c>
      <c r="O4359">
        <v>-0.98625049999999903</v>
      </c>
      <c r="P4359">
        <v>0.13657040000000001</v>
      </c>
      <c r="Q4359">
        <v>4.1510369999999998E-2</v>
      </c>
      <c r="R4359">
        <v>-0.98976039999999998</v>
      </c>
      <c r="S4359">
        <v>1.1871339999999999E-2</v>
      </c>
      <c r="T4359">
        <v>-0.23663679999999901</v>
      </c>
      <c r="U4359">
        <v>-3.0400390000000002</v>
      </c>
      <c r="V4359">
        <v>2.9883369999999999E-2</v>
      </c>
      <c r="W4359">
        <v>4.7133920000000003E-2</v>
      </c>
      <c r="X4359">
        <v>0.99844149999999998</v>
      </c>
      <c r="Y4359">
        <v>0.16129549999999901</v>
      </c>
      <c r="Z4359">
        <v>7.550047E-2</v>
      </c>
      <c r="AA4359">
        <v>0.9840139</v>
      </c>
      <c r="AB4359">
        <v>31</v>
      </c>
      <c r="AC4359">
        <v>-4.3100000000038101E-2</v>
      </c>
      <c r="AD4359">
        <v>-7.4628599999999795E-2</v>
      </c>
      <c r="AE4359">
        <v>-0.61133799999999905</v>
      </c>
      <c r="AF4359">
        <v>0.14136838364162099</v>
      </c>
      <c r="AG4359">
        <v>-7.4628599999999795E-2</v>
      </c>
      <c r="AH4359">
        <v>0.58712079887686097</v>
      </c>
      <c r="AI4359">
        <v>97.044760664079803</v>
      </c>
      <c r="AJ4359">
        <v>76.461884871859397</v>
      </c>
      <c r="AK4359">
        <v>0.60849427302580905</v>
      </c>
    </row>
    <row r="4360" spans="1:37" x14ac:dyDescent="0.2">
      <c r="A4360" t="str">
        <f>"20200111154150476"</f>
        <v>20200111154150476</v>
      </c>
      <c r="B4360" t="str">
        <f>"1578728510470415"</f>
        <v>1578728510470415</v>
      </c>
      <c r="C4360" t="s">
        <v>37</v>
      </c>
      <c r="D4360">
        <v>5.8497949999999896</v>
      </c>
      <c r="E4360">
        <v>0.54862860000000002</v>
      </c>
      <c r="F4360" t="s">
        <v>38</v>
      </c>
      <c r="G4360">
        <v>-302.04739999999998</v>
      </c>
      <c r="H4360">
        <v>0.99971010000000005</v>
      </c>
      <c r="I4360">
        <v>-3.65364599999999</v>
      </c>
      <c r="J4360">
        <v>-302.00439999999998</v>
      </c>
      <c r="K4360">
        <v>1.0720809999999901</v>
      </c>
      <c r="L4360">
        <v>-3.0947879999999999</v>
      </c>
      <c r="M4360">
        <v>0.15485950000000001</v>
      </c>
      <c r="N4360">
        <v>0</v>
      </c>
      <c r="O4360">
        <v>-0.98791649999999998</v>
      </c>
      <c r="P4360">
        <v>0.1323367</v>
      </c>
      <c r="Q4360">
        <v>4.1618780000000001E-2</v>
      </c>
      <c r="R4360">
        <v>-0.99033099999999996</v>
      </c>
      <c r="S4360">
        <v>6.7749019999999898E-3</v>
      </c>
      <c r="T4360">
        <v>-0.23698269999999999</v>
      </c>
      <c r="U4360">
        <v>-3.0400390000000002</v>
      </c>
      <c r="V4360">
        <v>2.374855E-2</v>
      </c>
      <c r="W4360">
        <v>4.7378749999999997E-2</v>
      </c>
      <c r="X4360">
        <v>0.9985946</v>
      </c>
      <c r="Y4360">
        <v>0.1526642</v>
      </c>
      <c r="Z4360">
        <v>7.5857590000000003E-2</v>
      </c>
      <c r="AA4360">
        <v>0.98536250000000003</v>
      </c>
      <c r="AB4360">
        <v>31</v>
      </c>
      <c r="AC4360">
        <v>-4.3000000000006297E-2</v>
      </c>
      <c r="AD4360">
        <v>-7.2370899999999794E-2</v>
      </c>
      <c r="AE4360">
        <v>-0.55885799999999897</v>
      </c>
      <c r="AF4360">
        <v>0.126911685917934</v>
      </c>
      <c r="AG4360">
        <v>-7.2370899999999794E-2</v>
      </c>
      <c r="AH4360">
        <v>0.53651266116409102</v>
      </c>
      <c r="AI4360">
        <v>97.4783834625526</v>
      </c>
      <c r="AJ4360">
        <v>76.691356068527895</v>
      </c>
      <c r="AK4360">
        <v>0.55604852196433097</v>
      </c>
    </row>
    <row r="4361" spans="1:37" x14ac:dyDescent="0.2">
      <c r="A4361" t="str">
        <f>"20200111154150499"</f>
        <v>20200111154150499</v>
      </c>
      <c r="B4361" t="str">
        <f>"1578728510490910"</f>
        <v>1578728510490910</v>
      </c>
      <c r="C4361" t="s">
        <v>37</v>
      </c>
      <c r="D4361">
        <v>5.7392830000000004</v>
      </c>
      <c r="E4361">
        <v>0.54855880000000001</v>
      </c>
      <c r="F4361" t="s">
        <v>38</v>
      </c>
      <c r="G4361">
        <v>-302.00580000000002</v>
      </c>
      <c r="H4361">
        <v>1.005493</v>
      </c>
      <c r="I4361">
        <v>-3.9307650000000001</v>
      </c>
      <c r="J4361">
        <v>-301.9633</v>
      </c>
      <c r="K4361">
        <v>1.0755059999999901</v>
      </c>
      <c r="L4361">
        <v>-3.4211119999999999</v>
      </c>
      <c r="M4361">
        <v>0.14419860000000001</v>
      </c>
      <c r="N4361">
        <v>0</v>
      </c>
      <c r="O4361">
        <v>-0.98952779999999996</v>
      </c>
      <c r="P4361">
        <v>0.12713250000000001</v>
      </c>
      <c r="Q4361">
        <v>4.1866540000000001E-2</v>
      </c>
      <c r="R4361">
        <v>-0.99100180000000004</v>
      </c>
      <c r="S4361">
        <v>-4.699707E-3</v>
      </c>
      <c r="T4361">
        <v>-0.24164579999999999</v>
      </c>
      <c r="U4361">
        <v>-3.0400700000000001</v>
      </c>
      <c r="V4361">
        <v>1.8196819999999999E-2</v>
      </c>
      <c r="W4361">
        <v>4.7904099999999998E-2</v>
      </c>
      <c r="X4361">
        <v>0.99868619999999997</v>
      </c>
      <c r="Y4361">
        <v>0.14572399999999999</v>
      </c>
      <c r="Z4361">
        <v>7.7573039999999996E-2</v>
      </c>
      <c r="AA4361">
        <v>0.98627940000000003</v>
      </c>
      <c r="AB4361">
        <v>31</v>
      </c>
      <c r="AC4361">
        <v>-4.25000000000181E-2</v>
      </c>
      <c r="AD4361">
        <v>-7.0012999999999798E-2</v>
      </c>
      <c r="AE4361">
        <v>-0.50965299999999902</v>
      </c>
      <c r="AF4361">
        <v>0.113422891005878</v>
      </c>
      <c r="AG4361">
        <v>-7.0012999999999798E-2</v>
      </c>
      <c r="AH4361">
        <v>0.489032624315551</v>
      </c>
      <c r="AI4361">
        <v>97.939507540493594</v>
      </c>
      <c r="AJ4361">
        <v>76.942082008565606</v>
      </c>
      <c r="AK4361">
        <v>0.50687225216822296</v>
      </c>
    </row>
    <row r="4362" spans="1:37" x14ac:dyDescent="0.2">
      <c r="A4362" t="str">
        <f>"20200111154150552"</f>
        <v>20200111154150552</v>
      </c>
      <c r="B4362" t="str">
        <f>"1578728510540686"</f>
        <v>1578728510540686</v>
      </c>
      <c r="C4362" t="s">
        <v>37</v>
      </c>
      <c r="D4362">
        <v>5.6631790000000004</v>
      </c>
      <c r="E4362">
        <v>0.51732129999999998</v>
      </c>
      <c r="F4362" t="s">
        <v>38</v>
      </c>
      <c r="G4362">
        <v>-301.96850000000001</v>
      </c>
      <c r="H4362">
        <v>1.0127170000000001</v>
      </c>
      <c r="I4362">
        <v>-4.2097739999999897</v>
      </c>
      <c r="J4362">
        <v>-301.88470000000001</v>
      </c>
      <c r="K4362">
        <v>1.0828850000000001</v>
      </c>
      <c r="L4362">
        <v>-4.1489260000000003</v>
      </c>
      <c r="M4362">
        <v>0.12070879999999901</v>
      </c>
      <c r="N4362">
        <v>0</v>
      </c>
      <c r="O4362">
        <v>-0.992660399999999</v>
      </c>
      <c r="P4362">
        <v>0.1145376</v>
      </c>
      <c r="Q4362">
        <v>4.3734540000000002E-2</v>
      </c>
      <c r="R4362">
        <v>-0.99245569999999905</v>
      </c>
      <c r="S4362">
        <v>-1.9561769999999999E-2</v>
      </c>
      <c r="T4362">
        <v>-0.2416121</v>
      </c>
      <c r="U4362">
        <v>-3.0399479999999999</v>
      </c>
      <c r="V4362">
        <v>7.1668239999999996E-3</v>
      </c>
      <c r="W4362">
        <v>5.0977359999999999E-2</v>
      </c>
      <c r="X4362">
        <v>0.99867410000000001</v>
      </c>
      <c r="Y4362">
        <v>0.12707599999999999</v>
      </c>
      <c r="Z4362">
        <v>7.8038949999999996E-2</v>
      </c>
      <c r="AA4362">
        <v>0.98881830000000004</v>
      </c>
      <c r="AB4362">
        <v>31</v>
      </c>
      <c r="AC4362">
        <v>-8.3799999999996502E-2</v>
      </c>
      <c r="AD4362">
        <v>-7.0167999999999994E-2</v>
      </c>
      <c r="AE4362">
        <v>-6.0847999999999097E-2</v>
      </c>
      <c r="AF4362">
        <v>6.2047717053793201E-2</v>
      </c>
      <c r="AG4362">
        <v>-7.0167999999999994E-2</v>
      </c>
      <c r="AH4362">
        <v>3.44652325065457E-2</v>
      </c>
      <c r="AI4362">
        <v>134.67149674774799</v>
      </c>
      <c r="AJ4362">
        <v>29.050566750759501</v>
      </c>
      <c r="AK4362">
        <v>9.9806410952993599E-2</v>
      </c>
    </row>
    <row r="4363" spans="1:37" x14ac:dyDescent="0.2">
      <c r="A4363" t="str">
        <f>"20200111154150604"</f>
        <v>20200111154150604</v>
      </c>
      <c r="B4363" t="str">
        <f>"1578728510590461"</f>
        <v>1578728510590461</v>
      </c>
      <c r="C4363" t="s">
        <v>37</v>
      </c>
      <c r="D4363">
        <v>5.6166499999999999</v>
      </c>
      <c r="E4363">
        <v>0.51633419999999997</v>
      </c>
      <c r="F4363" t="s">
        <v>38</v>
      </c>
      <c r="G4363">
        <v>-301.82839999999999</v>
      </c>
      <c r="H4363">
        <v>1.018049</v>
      </c>
      <c r="I4363">
        <v>-5.0369279999999996</v>
      </c>
      <c r="J4363">
        <v>-301.8227</v>
      </c>
      <c r="K4363">
        <v>1.088992</v>
      </c>
      <c r="L4363">
        <v>-4.8677060000000001</v>
      </c>
      <c r="M4363">
        <v>9.9121909999999994E-2</v>
      </c>
      <c r="N4363">
        <v>0</v>
      </c>
      <c r="O4363">
        <v>-0.99503799999999898</v>
      </c>
      <c r="P4363">
        <v>0.1106066</v>
      </c>
      <c r="Q4363">
        <v>4.53789E-2</v>
      </c>
      <c r="R4363">
        <v>-0.99282780000000004</v>
      </c>
      <c r="S4363">
        <v>0.19119259999999999</v>
      </c>
      <c r="T4363">
        <v>-0.21953890000000001</v>
      </c>
      <c r="U4363">
        <v>-3.0104060000000001</v>
      </c>
      <c r="V4363">
        <v>-1.059889E-2</v>
      </c>
      <c r="W4363">
        <v>5.4208699999999999E-2</v>
      </c>
      <c r="X4363">
        <v>0.99847330000000001</v>
      </c>
      <c r="Y4363">
        <v>3.6021289999999997E-2</v>
      </c>
      <c r="Z4363">
        <v>7.2101670000000007E-2</v>
      </c>
      <c r="AA4363">
        <v>0.99674660000000004</v>
      </c>
      <c r="AB4363">
        <v>31</v>
      </c>
      <c r="AC4363">
        <v>-5.6999999999902597E-3</v>
      </c>
      <c r="AD4363">
        <v>-7.0942999999999895E-2</v>
      </c>
      <c r="AE4363">
        <v>-0.16922199999999901</v>
      </c>
      <c r="AF4363">
        <v>1.9094095268471001E-2</v>
      </c>
      <c r="AG4363">
        <v>-7.0942999999999895E-2</v>
      </c>
      <c r="AH4363">
        <v>0.142761135322333</v>
      </c>
      <c r="AI4363">
        <v>116.222504264626</v>
      </c>
      <c r="AJ4363">
        <v>82.381983123523696</v>
      </c>
      <c r="AK4363">
        <v>0.160556019761462</v>
      </c>
    </row>
    <row r="4364" spans="1:37" x14ac:dyDescent="0.2">
      <c r="A4364" t="str">
        <f>"20200111154150633"</f>
        <v>20200111154150633</v>
      </c>
      <c r="B4364" t="str">
        <f>"1578728510620718"</f>
        <v>1578728510620718</v>
      </c>
      <c r="C4364" t="s">
        <v>37</v>
      </c>
      <c r="D4364">
        <v>5.8597359999999998</v>
      </c>
      <c r="E4364">
        <v>0.51641519999999996</v>
      </c>
      <c r="F4364" t="s">
        <v>38</v>
      </c>
      <c r="G4364">
        <v>-301.76119999999997</v>
      </c>
      <c r="H4364">
        <v>1.013339</v>
      </c>
      <c r="I4364">
        <v>-5.867953</v>
      </c>
      <c r="J4364">
        <v>-301.79399999999998</v>
      </c>
      <c r="K4364">
        <v>1.0919379999999901</v>
      </c>
      <c r="L4364">
        <v>-5.2810360000000003</v>
      </c>
      <c r="M4364">
        <v>8.7658230000000004E-2</v>
      </c>
      <c r="N4364">
        <v>0</v>
      </c>
      <c r="O4364">
        <v>-0.99610730000000003</v>
      </c>
      <c r="P4364">
        <v>0.10435799999999899</v>
      </c>
      <c r="Q4364">
        <v>4.5507819999999997E-2</v>
      </c>
      <c r="R4364">
        <v>-0.99349829999999995</v>
      </c>
      <c r="S4364">
        <v>0.1855164</v>
      </c>
      <c r="T4364">
        <v>-0.227509499999999</v>
      </c>
      <c r="U4364">
        <v>-3.0114139999999998</v>
      </c>
      <c r="V4364">
        <v>-1.5854190000000001E-2</v>
      </c>
      <c r="W4364">
        <v>5.5095239999999997E-2</v>
      </c>
      <c r="X4364">
        <v>0.9983552</v>
      </c>
      <c r="Y4364">
        <v>2.6417960000000001E-2</v>
      </c>
      <c r="Z4364">
        <v>7.4816789999999994E-2</v>
      </c>
      <c r="AA4364">
        <v>0.99684729999999999</v>
      </c>
      <c r="AB4364">
        <v>31</v>
      </c>
      <c r="AC4364">
        <v>3.2800000000065603E-2</v>
      </c>
      <c r="AD4364">
        <v>-7.8598999999999794E-2</v>
      </c>
      <c r="AE4364">
        <v>-0.58691699999999902</v>
      </c>
      <c r="AF4364">
        <v>1.8446798454366899E-2</v>
      </c>
      <c r="AG4364">
        <v>-7.8598999999999794E-2</v>
      </c>
      <c r="AH4364">
        <v>0.57721324929018303</v>
      </c>
      <c r="AI4364">
        <v>97.750352511199495</v>
      </c>
      <c r="AJ4364">
        <v>88.169542897334196</v>
      </c>
      <c r="AK4364">
        <v>0.58283207043740104</v>
      </c>
    </row>
    <row r="4365" spans="1:37" x14ac:dyDescent="0.2">
      <c r="A4365" t="str">
        <f>"20200111154150656"</f>
        <v>20200111154150656</v>
      </c>
      <c r="B4365" t="str">
        <f>"1578728510650975"</f>
        <v>1578728510650975</v>
      </c>
      <c r="C4365" t="s">
        <v>37</v>
      </c>
      <c r="D4365">
        <v>5.6813370000000001</v>
      </c>
      <c r="E4365">
        <v>0.51644029999999996</v>
      </c>
      <c r="F4365" t="s">
        <v>38</v>
      </c>
      <c r="G4365">
        <v>-301.74639999999999</v>
      </c>
      <c r="H4365">
        <v>1.024883</v>
      </c>
      <c r="I4365">
        <v>-6.1514889999999998</v>
      </c>
      <c r="J4365">
        <v>-301.77420000000001</v>
      </c>
      <c r="K4365">
        <v>1.093996</v>
      </c>
      <c r="L4365">
        <v>-5.6069949999999897</v>
      </c>
      <c r="M4365">
        <v>7.8987199999999994E-2</v>
      </c>
      <c r="N4365">
        <v>0</v>
      </c>
      <c r="O4365">
        <v>-0.99682749999999998</v>
      </c>
      <c r="P4365">
        <v>0.10090689999999999</v>
      </c>
      <c r="Q4365">
        <v>4.505588E-2</v>
      </c>
      <c r="R4365">
        <v>-0.99387510000000001</v>
      </c>
      <c r="S4365">
        <v>0.16595460000000001</v>
      </c>
      <c r="T4365">
        <v>-0.2315507</v>
      </c>
      <c r="U4365">
        <v>-3.0128169999999899</v>
      </c>
      <c r="V4365">
        <v>-2.1114669999999999E-2</v>
      </c>
      <c r="W4365">
        <v>5.5218080000000003E-2</v>
      </c>
      <c r="X4365">
        <v>0.998251</v>
      </c>
      <c r="Y4365">
        <v>2.420419E-2</v>
      </c>
      <c r="Z4365">
        <v>7.6202270000000003E-2</v>
      </c>
      <c r="AA4365">
        <v>0.99679859999999898</v>
      </c>
      <c r="AB4365">
        <v>31</v>
      </c>
      <c r="AC4365">
        <v>2.78000000000133E-2</v>
      </c>
      <c r="AD4365">
        <v>-6.9112999999999897E-2</v>
      </c>
      <c r="AE4365">
        <v>-0.54449400000000003</v>
      </c>
      <c r="AF4365">
        <v>1.5055058498032001E-2</v>
      </c>
      <c r="AG4365">
        <v>-6.9112999999999897E-2</v>
      </c>
      <c r="AH4365">
        <v>0.53636939165803499</v>
      </c>
      <c r="AI4365">
        <v>97.339438027174396</v>
      </c>
      <c r="AJ4365">
        <v>88.392218300879094</v>
      </c>
      <c r="AK4365">
        <v>0.54101329545861399</v>
      </c>
    </row>
    <row r="4366" spans="1:37" x14ac:dyDescent="0.2">
      <c r="A4366" t="str">
        <f>"20200111154150679"</f>
        <v>20200111154150679</v>
      </c>
      <c r="B4366" t="str">
        <f>"1578728510670494"</f>
        <v>1578728510670494</v>
      </c>
      <c r="C4366" t="s">
        <v>37</v>
      </c>
      <c r="D4366">
        <v>7.1781009999999998</v>
      </c>
      <c r="E4366">
        <v>0.51618330000000001</v>
      </c>
      <c r="F4366" t="s">
        <v>38</v>
      </c>
      <c r="G4366">
        <v>-301.73169999999999</v>
      </c>
      <c r="H4366">
        <v>1.0302100000000001</v>
      </c>
      <c r="I4366">
        <v>-6.4330819999999997</v>
      </c>
      <c r="J4366">
        <v>-301.75749999999999</v>
      </c>
      <c r="K4366">
        <v>1.0957699999999999</v>
      </c>
      <c r="L4366">
        <v>-5.921265</v>
      </c>
      <c r="M4366">
        <v>7.1002960000000004E-2</v>
      </c>
      <c r="N4366">
        <v>0</v>
      </c>
      <c r="O4366">
        <v>-0.99742359999999897</v>
      </c>
      <c r="P4366">
        <v>9.7638000000000003E-2</v>
      </c>
      <c r="Q4366">
        <v>4.4278489999999997E-2</v>
      </c>
      <c r="R4366">
        <v>-0.99423669999999997</v>
      </c>
      <c r="S4366">
        <v>0.15515139999999999</v>
      </c>
      <c r="T4366">
        <v>-0.2327437</v>
      </c>
      <c r="U4366">
        <v>-3.013306</v>
      </c>
      <c r="V4366">
        <v>-2.5871979999999999E-2</v>
      </c>
      <c r="W4366">
        <v>5.4945269999999997E-2</v>
      </c>
      <c r="X4366">
        <v>0.99815409999999904</v>
      </c>
      <c r="Y4366">
        <v>1.9773570000000001E-2</v>
      </c>
      <c r="Z4366">
        <v>7.6660409999999998E-2</v>
      </c>
      <c r="AA4366">
        <v>0.996861199999999</v>
      </c>
      <c r="AB4366">
        <v>31</v>
      </c>
      <c r="AC4366">
        <v>2.5800000000003799E-2</v>
      </c>
      <c r="AD4366">
        <v>-6.5559999999999993E-2</v>
      </c>
      <c r="AE4366">
        <v>-0.51181699999999897</v>
      </c>
      <c r="AF4366">
        <v>1.04367394776672E-2</v>
      </c>
      <c r="AG4366">
        <v>-6.5559999999999993E-2</v>
      </c>
      <c r="AH4366">
        <v>0.50410678110485196</v>
      </c>
      <c r="AI4366">
        <v>97.408261447515997</v>
      </c>
      <c r="AJ4366">
        <v>88.813950277256396</v>
      </c>
      <c r="AK4366">
        <v>0.50845912902299195</v>
      </c>
    </row>
    <row r="4367" spans="1:37" x14ac:dyDescent="0.2">
      <c r="A4367" t="str">
        <f>"20200111154150700"</f>
        <v>20200111154150700</v>
      </c>
      <c r="B4367" t="str">
        <f>"1578728510690989"</f>
        <v>1578728510690989</v>
      </c>
      <c r="C4367" t="s">
        <v>37</v>
      </c>
      <c r="D4367">
        <v>5.8608690000000001</v>
      </c>
      <c r="E4367">
        <v>0.51601649999999999</v>
      </c>
      <c r="F4367" t="s">
        <v>38</v>
      </c>
      <c r="G4367">
        <v>-301.7192</v>
      </c>
      <c r="H4367">
        <v>1.033431</v>
      </c>
      <c r="I4367">
        <v>-6.7134619999999998</v>
      </c>
      <c r="J4367">
        <v>-301.74329999999998</v>
      </c>
      <c r="K4367">
        <v>1.0973109999999999</v>
      </c>
      <c r="L4367">
        <v>-6.2267150000000004</v>
      </c>
      <c r="M4367">
        <v>6.3636479999999995E-2</v>
      </c>
      <c r="N4367">
        <v>0</v>
      </c>
      <c r="O4367">
        <v>-0.99791679999999905</v>
      </c>
      <c r="P4367">
        <v>9.4824720000000001E-2</v>
      </c>
      <c r="Q4367">
        <v>4.1384949999999997E-2</v>
      </c>
      <c r="R4367">
        <v>-0.99463380000000001</v>
      </c>
      <c r="S4367">
        <v>0.1469116</v>
      </c>
      <c r="T4367">
        <v>-0.23659859999999999</v>
      </c>
      <c r="U4367">
        <v>-3.0134889999999999</v>
      </c>
      <c r="V4367">
        <v>-3.0495350000000001E-2</v>
      </c>
      <c r="W4367">
        <v>5.2495010000000002E-2</v>
      </c>
      <c r="X4367">
        <v>0.99815549999999997</v>
      </c>
      <c r="Y4367">
        <v>1.5118349999999999E-2</v>
      </c>
      <c r="Z4367">
        <v>7.7984349999999994E-2</v>
      </c>
      <c r="AA4367">
        <v>0.996839899999999</v>
      </c>
      <c r="AB4367">
        <v>31</v>
      </c>
      <c r="AC4367">
        <v>2.4099999999975801E-2</v>
      </c>
      <c r="AD4367">
        <v>-6.3880000000000103E-2</v>
      </c>
      <c r="AE4367">
        <v>-0.48674699999999899</v>
      </c>
      <c r="AF4367">
        <v>6.8084806846895702E-3</v>
      </c>
      <c r="AG4367">
        <v>-6.3880000000000103E-2</v>
      </c>
      <c r="AH4367">
        <v>0.479063049539736</v>
      </c>
      <c r="AI4367">
        <v>97.594464325205095</v>
      </c>
      <c r="AJ4367">
        <v>89.185762819035304</v>
      </c>
      <c r="AK4367">
        <v>0.48335123382851197</v>
      </c>
    </row>
    <row r="4368" spans="1:37" x14ac:dyDescent="0.2">
      <c r="A4368" t="str">
        <f>"20200111154150738"</f>
        <v>20200111154150738</v>
      </c>
      <c r="B4368" t="str">
        <f>"1578728510731008"</f>
        <v>1578728510731008</v>
      </c>
      <c r="C4368" t="s">
        <v>37</v>
      </c>
      <c r="D4368">
        <v>5.6837559999999998</v>
      </c>
      <c r="E4368">
        <v>0.51567859999999999</v>
      </c>
      <c r="F4368" t="s">
        <v>38</v>
      </c>
      <c r="G4368">
        <v>-301.7079</v>
      </c>
      <c r="H4368">
        <v>1.034049</v>
      </c>
      <c r="I4368">
        <v>-6.9913439999999998</v>
      </c>
      <c r="J4368">
        <v>-301.72370000000001</v>
      </c>
      <c r="K4368">
        <v>1.099561</v>
      </c>
      <c r="L4368">
        <v>-6.7480770000000003</v>
      </c>
      <c r="M4368">
        <v>5.1991410000000002E-2</v>
      </c>
      <c r="N4368">
        <v>0</v>
      </c>
      <c r="O4368">
        <v>-0.99858459999999905</v>
      </c>
      <c r="P4368">
        <v>9.1615150000000006E-2</v>
      </c>
      <c r="Q4368">
        <v>3.6023359999999997E-2</v>
      </c>
      <c r="R4368">
        <v>-0.99514259999999999</v>
      </c>
      <c r="S4368">
        <v>0.1398315</v>
      </c>
      <c r="T4368">
        <v>-0.24909699999999901</v>
      </c>
      <c r="U4368">
        <v>-3.0132140000000001</v>
      </c>
      <c r="V4368">
        <v>-3.9053459999999998E-2</v>
      </c>
      <c r="W4368">
        <v>4.7789310000000002E-2</v>
      </c>
      <c r="X4368">
        <v>0.99809369999999997</v>
      </c>
      <c r="Y4368">
        <v>5.8022580000000002E-3</v>
      </c>
      <c r="Z4368">
        <v>8.2175819999999997E-2</v>
      </c>
      <c r="AA4368">
        <v>0.99660099999999996</v>
      </c>
      <c r="AB4368">
        <v>31</v>
      </c>
      <c r="AC4368">
        <v>1.5800000000012901E-2</v>
      </c>
      <c r="AD4368">
        <v>-6.5512000000000001E-2</v>
      </c>
      <c r="AE4368">
        <v>-0.24326700000000001</v>
      </c>
      <c r="AF4368">
        <v>-2.9192181427211599E-3</v>
      </c>
      <c r="AG4368">
        <v>-6.5512000000000001E-2</v>
      </c>
      <c r="AH4368">
        <v>0.22734126825908199</v>
      </c>
      <c r="AI4368">
        <v>106.07392056024899</v>
      </c>
      <c r="AJ4368">
        <v>90.735676758191602</v>
      </c>
      <c r="AK4368">
        <v>0.23661022005021801</v>
      </c>
    </row>
    <row r="4369" spans="1:37" x14ac:dyDescent="0.2">
      <c r="A4369" t="str">
        <f>"20200111154150764"</f>
        <v>20200111154150764</v>
      </c>
      <c r="B4369" t="str">
        <f>"1578728510760286"</f>
        <v>1578728510760286</v>
      </c>
      <c r="C4369" t="s">
        <v>37</v>
      </c>
      <c r="D4369">
        <v>5.983555</v>
      </c>
      <c r="E4369">
        <v>0.51563510000000001</v>
      </c>
      <c r="F4369" t="s">
        <v>38</v>
      </c>
      <c r="G4369">
        <v>-301.68880000000001</v>
      </c>
      <c r="H4369">
        <v>1.0288469999999901</v>
      </c>
      <c r="I4369">
        <v>-7.5407070000000003</v>
      </c>
      <c r="J4369">
        <v>-301.7131</v>
      </c>
      <c r="K4369">
        <v>1.100848</v>
      </c>
      <c r="L4369">
        <v>-7.1026610000000003</v>
      </c>
      <c r="M4369">
        <v>4.4608250000000002E-2</v>
      </c>
      <c r="N4369">
        <v>0</v>
      </c>
      <c r="O4369">
        <v>-0.99893779999999999</v>
      </c>
      <c r="P4369">
        <v>8.7184250000000005E-2</v>
      </c>
      <c r="Q4369">
        <v>3.3248390000000003E-2</v>
      </c>
      <c r="R4369">
        <v>-0.995637199999999</v>
      </c>
      <c r="S4369">
        <v>0.13259889999999999</v>
      </c>
      <c r="T4369">
        <v>-0.26858080000000001</v>
      </c>
      <c r="U4369">
        <v>-3.012146</v>
      </c>
      <c r="V4369">
        <v>-4.2060680000000003E-2</v>
      </c>
      <c r="W4369">
        <v>4.5359610000000002E-2</v>
      </c>
      <c r="X4369">
        <v>0.99808479999999999</v>
      </c>
      <c r="Y4369">
        <v>8.0632410000000001E-4</v>
      </c>
      <c r="Z4369">
        <v>8.8638750000000002E-2</v>
      </c>
      <c r="AA4369">
        <v>0.99606349999999999</v>
      </c>
      <c r="AB4369">
        <v>31</v>
      </c>
      <c r="AC4369">
        <v>2.4299999999982402E-2</v>
      </c>
      <c r="AD4369">
        <v>-7.2001000000000204E-2</v>
      </c>
      <c r="AE4369">
        <v>-0.43804599999999999</v>
      </c>
      <c r="AF4369">
        <v>-4.6098757096613803E-3</v>
      </c>
      <c r="AG4369">
        <v>-7.2001000000000204E-2</v>
      </c>
      <c r="AH4369">
        <v>0.42718800067592</v>
      </c>
      <c r="AI4369">
        <v>99.566533459692707</v>
      </c>
      <c r="AJ4369">
        <v>90.618266828690196</v>
      </c>
      <c r="AK4369">
        <v>0.433237790222123</v>
      </c>
    </row>
    <row r="4370" spans="1:37" x14ac:dyDescent="0.2">
      <c r="A4370" t="str">
        <f>"20200111154150786"</f>
        <v>20200111154150786</v>
      </c>
      <c r="B4370" t="str">
        <f>"1578728510780781"</f>
        <v>1578728510780781</v>
      </c>
      <c r="C4370" t="s">
        <v>37</v>
      </c>
      <c r="D4370">
        <v>5.6719049999999998</v>
      </c>
      <c r="E4370">
        <v>0.51545269999999999</v>
      </c>
      <c r="F4370" t="s">
        <v>38</v>
      </c>
      <c r="G4370">
        <v>-301.67410000000001</v>
      </c>
      <c r="H4370">
        <v>1.0099479999999901</v>
      </c>
      <c r="I4370">
        <v>-8.0833440000000003</v>
      </c>
      <c r="J4370">
        <v>-301.70569999999998</v>
      </c>
      <c r="K4370">
        <v>1.101801</v>
      </c>
      <c r="L4370">
        <v>-7.4136959999999998</v>
      </c>
      <c r="M4370">
        <v>3.8516479999999999E-2</v>
      </c>
      <c r="N4370">
        <v>0</v>
      </c>
      <c r="O4370">
        <v>-0.99918830000000003</v>
      </c>
      <c r="P4370">
        <v>8.396083E-2</v>
      </c>
      <c r="Q4370">
        <v>3.1231559999999998E-2</v>
      </c>
      <c r="R4370">
        <v>-0.99597959999999996</v>
      </c>
      <c r="S4370">
        <v>0.1200256</v>
      </c>
      <c r="T4370">
        <v>-0.27897</v>
      </c>
      <c r="U4370">
        <v>-3.0119630000000002</v>
      </c>
      <c r="V4370">
        <v>-4.4967609999999998E-2</v>
      </c>
      <c r="W4370">
        <v>4.3611820000000003E-2</v>
      </c>
      <c r="X4370">
        <v>0.99803600000000003</v>
      </c>
      <c r="Y4370">
        <v>-1.130549E-3</v>
      </c>
      <c r="Z4370">
        <v>9.2087329999999995E-2</v>
      </c>
      <c r="AA4370">
        <v>0.99575029999999998</v>
      </c>
      <c r="AB4370">
        <v>31</v>
      </c>
      <c r="AC4370">
        <v>3.1599999999968903E-2</v>
      </c>
      <c r="AD4370">
        <v>-9.1853000000000101E-2</v>
      </c>
      <c r="AE4370">
        <v>-0.66964799999999902</v>
      </c>
      <c r="AF4370">
        <v>-5.6757202181425097E-3</v>
      </c>
      <c r="AG4370">
        <v>-9.1853000000000101E-2</v>
      </c>
      <c r="AH4370">
        <v>0.65801548440949398</v>
      </c>
      <c r="AI4370">
        <v>97.946330415477505</v>
      </c>
      <c r="AJ4370">
        <v>90.494193157287995</v>
      </c>
      <c r="AK4370">
        <v>0.66441972060712895</v>
      </c>
    </row>
    <row r="4371" spans="1:37" x14ac:dyDescent="0.2">
      <c r="A4371" t="str">
        <f>"20200111154150835"</f>
        <v>20200111154150835</v>
      </c>
      <c r="B4371" t="str">
        <f>"1578728510830089"</f>
        <v>1578728510830089</v>
      </c>
      <c r="C4371" t="s">
        <v>37</v>
      </c>
      <c r="D4371">
        <v>5.7693510000000003</v>
      </c>
      <c r="E4371">
        <v>0.51498129999999998</v>
      </c>
      <c r="F4371" t="s">
        <v>38</v>
      </c>
      <c r="G4371">
        <v>-301.67079999999999</v>
      </c>
      <c r="H4371">
        <v>1.0119639999999901</v>
      </c>
      <c r="I4371">
        <v>-8.3603780000000008</v>
      </c>
      <c r="J4371">
        <v>-301.69529999999997</v>
      </c>
      <c r="K4371">
        <v>1.1034520000000001</v>
      </c>
      <c r="L4371">
        <v>-8.0856320000000004</v>
      </c>
      <c r="M4371">
        <v>2.627968E-2</v>
      </c>
      <c r="N4371">
        <v>0</v>
      </c>
      <c r="O4371">
        <v>-0.99957940000000001</v>
      </c>
      <c r="P4371">
        <v>7.7751799999999996E-2</v>
      </c>
      <c r="Q4371">
        <v>2.847618E-2</v>
      </c>
      <c r="R4371">
        <v>-0.99656610000000001</v>
      </c>
      <c r="S4371">
        <v>0.1122131</v>
      </c>
      <c r="T4371">
        <v>-0.28532619999999997</v>
      </c>
      <c r="U4371">
        <v>-3.0115970000000001</v>
      </c>
      <c r="V4371">
        <v>-5.1048929999999999E-2</v>
      </c>
      <c r="W4371">
        <v>4.1338409999999999E-2</v>
      </c>
      <c r="X4371">
        <v>0.99784019999999995</v>
      </c>
      <c r="Y4371">
        <v>-1.079247E-2</v>
      </c>
      <c r="Z4371">
        <v>9.4236310000000004E-2</v>
      </c>
      <c r="AA4371">
        <v>0.99549140000000003</v>
      </c>
      <c r="AB4371">
        <v>31</v>
      </c>
      <c r="AC4371">
        <v>2.4499999999988999E-2</v>
      </c>
      <c r="AD4371">
        <v>-9.1488000000000194E-2</v>
      </c>
      <c r="AE4371">
        <v>-0.27474599999999999</v>
      </c>
      <c r="AF4371">
        <v>-1.5559123415202099E-2</v>
      </c>
      <c r="AG4371">
        <v>-9.1488000000000194E-2</v>
      </c>
      <c r="AH4371">
        <v>0.24801164166568401</v>
      </c>
      <c r="AI4371">
        <v>110.211795953444</v>
      </c>
      <c r="AJ4371">
        <v>93.589772315942398</v>
      </c>
      <c r="AK4371">
        <v>0.26480542831890203</v>
      </c>
    </row>
    <row r="4372" spans="1:37" x14ac:dyDescent="0.2">
      <c r="A4372" t="str">
        <f>"20200111154150859"</f>
        <v>20200111154150859</v>
      </c>
      <c r="B4372" t="str">
        <f>"1578728510850586"</f>
        <v>1578728510850586</v>
      </c>
      <c r="C4372" t="s">
        <v>37</v>
      </c>
      <c r="D4372">
        <v>5.4711790000000002</v>
      </c>
      <c r="E4372">
        <v>0.47769030000000001</v>
      </c>
      <c r="F4372" t="s">
        <v>38</v>
      </c>
      <c r="G4372">
        <v>-301.66860000000003</v>
      </c>
      <c r="H4372">
        <v>1.0223</v>
      </c>
      <c r="I4372">
        <v>-8.9166109999999996</v>
      </c>
      <c r="J4372">
        <v>-301.6927</v>
      </c>
      <c r="K4372">
        <v>1.10412</v>
      </c>
      <c r="L4372">
        <v>-8.4117429999999995</v>
      </c>
      <c r="M4372">
        <v>2.0771700000000001E-2</v>
      </c>
      <c r="N4372">
        <v>0</v>
      </c>
      <c r="O4372">
        <v>-0.999706599999999</v>
      </c>
      <c r="P4372">
        <v>7.514237E-2</v>
      </c>
      <c r="Q4372">
        <v>2.8744769999999999E-2</v>
      </c>
      <c r="R4372">
        <v>-0.99675840000000004</v>
      </c>
      <c r="S4372">
        <v>9.783936E-2</v>
      </c>
      <c r="T4372">
        <v>-0.29375790000000002</v>
      </c>
      <c r="U4372">
        <v>-3.0111080000000001</v>
      </c>
      <c r="V4372">
        <v>-5.3954870000000002E-2</v>
      </c>
      <c r="W4372">
        <v>4.1794339999999999E-2</v>
      </c>
      <c r="X4372">
        <v>0.99766829999999995</v>
      </c>
      <c r="Y4372">
        <v>-1.1553020000000001E-2</v>
      </c>
      <c r="Z4372">
        <v>9.7037209999999999E-2</v>
      </c>
      <c r="AA4372">
        <v>0.99521369999999898</v>
      </c>
      <c r="AB4372">
        <v>31</v>
      </c>
      <c r="AC4372">
        <v>2.4099999999975801E-2</v>
      </c>
      <c r="AD4372">
        <v>-8.1820000000000004E-2</v>
      </c>
      <c r="AE4372">
        <v>-0.50486799999999998</v>
      </c>
      <c r="AF4372">
        <v>-1.3259559465114401E-2</v>
      </c>
      <c r="AG4372">
        <v>-8.1820000000000004E-2</v>
      </c>
      <c r="AH4372">
        <v>0.49235773641140401</v>
      </c>
      <c r="AI4372">
        <v>99.431830574503707</v>
      </c>
      <c r="AJ4372">
        <v>91.542645019989195</v>
      </c>
      <c r="AK4372">
        <v>0.49928595906691597</v>
      </c>
    </row>
    <row r="4373" spans="1:37" x14ac:dyDescent="0.2">
      <c r="A4373" t="str">
        <f>"20200111154150882"</f>
        <v>20200111154150882</v>
      </c>
      <c r="B4373" t="str">
        <f>"1578728510870106"</f>
        <v>1578728510870106</v>
      </c>
      <c r="C4373" t="s">
        <v>37</v>
      </c>
      <c r="D4373">
        <v>5.8681679999999998</v>
      </c>
      <c r="E4373">
        <v>0.46564139999999998</v>
      </c>
      <c r="F4373" t="s">
        <v>39</v>
      </c>
      <c r="G4373">
        <v>-300.53339999999997</v>
      </c>
      <c r="H4373" s="1">
        <v>-1.4140049999999899E-6</v>
      </c>
      <c r="I4373">
        <v>-17.445589999999999</v>
      </c>
      <c r="J4373">
        <v>-301.69170000000003</v>
      </c>
      <c r="K4373">
        <v>1.1047290000000001</v>
      </c>
      <c r="L4373">
        <v>-8.738861</v>
      </c>
      <c r="M4373">
        <v>1.552369E-2</v>
      </c>
      <c r="N4373">
        <v>0</v>
      </c>
      <c r="O4373">
        <v>-0.99979979999999902</v>
      </c>
      <c r="P4373">
        <v>7.2805019999999998E-2</v>
      </c>
      <c r="Q4373">
        <v>2.8357859999999999E-2</v>
      </c>
      <c r="R4373">
        <v>-0.99694309999999997</v>
      </c>
      <c r="S4373">
        <v>0.38391110000000001</v>
      </c>
      <c r="T4373">
        <v>-0.36560569999999998</v>
      </c>
      <c r="U4373">
        <v>-2.9913639999999999</v>
      </c>
      <c r="V4373">
        <v>-5.6880890000000003E-2</v>
      </c>
      <c r="W4373">
        <v>4.1567090000000001E-2</v>
      </c>
      <c r="X4373">
        <v>0.99751529999999999</v>
      </c>
      <c r="Y4373">
        <v>-0.1109555</v>
      </c>
      <c r="Z4373">
        <v>0.120434999999999</v>
      </c>
      <c r="AA4373">
        <v>0.98650099999999996</v>
      </c>
      <c r="AB4373">
        <v>31</v>
      </c>
      <c r="AC4373">
        <v>1.1583000000000501</v>
      </c>
      <c r="AD4373">
        <v>-1.104730414005</v>
      </c>
      <c r="AE4373">
        <v>-8.7067289999999993</v>
      </c>
      <c r="AF4373">
        <v>-1.0070582501954299</v>
      </c>
      <c r="AG4373">
        <v>-1.104730414005</v>
      </c>
      <c r="AH4373">
        <v>8.5878102250715305</v>
      </c>
      <c r="AI4373">
        <v>97.280886373178504</v>
      </c>
      <c r="AJ4373">
        <v>96.688301490487703</v>
      </c>
      <c r="AK4373">
        <v>8.7169421283359103</v>
      </c>
    </row>
    <row r="4374" spans="1:37" x14ac:dyDescent="0.2">
      <c r="A4374" t="str">
        <f>"20200111154150908"</f>
        <v>20200111154150908</v>
      </c>
      <c r="B4374" t="str">
        <f>"1578728510900868"</f>
        <v>1578728510900868</v>
      </c>
      <c r="C4374" t="s">
        <v>37</v>
      </c>
      <c r="D4374">
        <v>5.5141489999999997</v>
      </c>
      <c r="E4374">
        <v>0.46347820000000001</v>
      </c>
      <c r="F4374" t="s">
        <v>39</v>
      </c>
      <c r="G4374">
        <v>-300.14370000000002</v>
      </c>
      <c r="H4374" s="1">
        <v>-8.6464200000000005E-7</v>
      </c>
      <c r="I4374">
        <v>-18.484500000000001</v>
      </c>
      <c r="J4374">
        <v>-301.69220000000001</v>
      </c>
      <c r="K4374">
        <v>1.1052919999999999</v>
      </c>
      <c r="L4374">
        <v>-9.0791629999999994</v>
      </c>
      <c r="M4374">
        <v>1.040458E-2</v>
      </c>
      <c r="N4374">
        <v>0</v>
      </c>
      <c r="O4374">
        <v>-0.99986430000000004</v>
      </c>
      <c r="P4374">
        <v>6.8955039999999995E-2</v>
      </c>
      <c r="Q4374">
        <v>2.846158E-2</v>
      </c>
      <c r="R4374">
        <v>-0.99721399999999905</v>
      </c>
      <c r="S4374">
        <v>0.473999</v>
      </c>
      <c r="T4374">
        <v>-0.3382772</v>
      </c>
      <c r="U4374">
        <v>-2.98419199999999</v>
      </c>
      <c r="V4374">
        <v>-5.8161709999999998E-2</v>
      </c>
      <c r="W4374">
        <v>4.1789590000000001E-2</v>
      </c>
      <c r="X4374">
        <v>0.99743210000000004</v>
      </c>
      <c r="Y4374">
        <v>-0.14560999999999999</v>
      </c>
      <c r="Z4374">
        <v>0.111336899999999</v>
      </c>
      <c r="AA4374">
        <v>0.98305739999999997</v>
      </c>
      <c r="AB4374">
        <v>31</v>
      </c>
      <c r="AC4374">
        <v>1.54849999999998</v>
      </c>
      <c r="AD4374">
        <v>-1.1052928646419999</v>
      </c>
      <c r="AE4374">
        <v>-9.4053369999999994</v>
      </c>
      <c r="AF4374">
        <v>-1.43130439894985</v>
      </c>
      <c r="AG4374">
        <v>-1.1052928646419999</v>
      </c>
      <c r="AH4374">
        <v>9.2959480462141908</v>
      </c>
      <c r="AI4374">
        <v>96.702412368650698</v>
      </c>
      <c r="AJ4374">
        <v>98.753137750201802</v>
      </c>
      <c r="AK4374">
        <v>9.4702140776750792</v>
      </c>
    </row>
    <row r="4375" spans="1:37" x14ac:dyDescent="0.2">
      <c r="A4375" t="str">
        <f>"20200111154150931"</f>
        <v>20200111154150931</v>
      </c>
      <c r="B4375" t="str">
        <f>"1578728510920388"</f>
        <v>1578728510920388</v>
      </c>
      <c r="C4375" t="s">
        <v>37</v>
      </c>
      <c r="D4375">
        <v>5.5104800000000003</v>
      </c>
      <c r="E4375">
        <v>0.46332959999999901</v>
      </c>
      <c r="F4375" t="s">
        <v>39</v>
      </c>
      <c r="G4375">
        <v>-300.02760000000001</v>
      </c>
      <c r="H4375" s="1">
        <v>-4.3551459999999902E-7</v>
      </c>
      <c r="I4375">
        <v>-19.412800000000001</v>
      </c>
      <c r="J4375">
        <v>-301.69389999999999</v>
      </c>
      <c r="K4375">
        <v>1.105761</v>
      </c>
      <c r="L4375">
        <v>-9.4075009999999999</v>
      </c>
      <c r="M4375">
        <v>5.7465669999999898E-3</v>
      </c>
      <c r="N4375">
        <v>0</v>
      </c>
      <c r="O4375">
        <v>-0.99990049999999997</v>
      </c>
      <c r="P4375">
        <v>6.3400570000000003E-2</v>
      </c>
      <c r="Q4375">
        <v>2.7345270000000001E-2</v>
      </c>
      <c r="R4375">
        <v>-0.99761369999999905</v>
      </c>
      <c r="S4375">
        <v>0.4807129</v>
      </c>
      <c r="T4375">
        <v>-0.31919749999999902</v>
      </c>
      <c r="U4375">
        <v>-2.9842529999999998</v>
      </c>
      <c r="V4375">
        <v>-5.7288070000000003E-2</v>
      </c>
      <c r="W4375">
        <v>4.0751450000000002E-2</v>
      </c>
      <c r="X4375">
        <v>0.99752559999999901</v>
      </c>
      <c r="Y4375">
        <v>-0.15247659999999999</v>
      </c>
      <c r="Z4375">
        <v>0.10506019999999899</v>
      </c>
      <c r="AA4375">
        <v>0.98270709999999994</v>
      </c>
      <c r="AB4375">
        <v>31</v>
      </c>
      <c r="AC4375">
        <v>1.6662999999999699</v>
      </c>
      <c r="AD4375">
        <v>-1.1057614355145999</v>
      </c>
      <c r="AE4375">
        <v>-10.005299000000001</v>
      </c>
      <c r="AF4375">
        <v>-1.58987669155728</v>
      </c>
      <c r="AG4375">
        <v>-1.1057614355145999</v>
      </c>
      <c r="AH4375">
        <v>9.8970880743117107</v>
      </c>
      <c r="AI4375">
        <v>96.294942302966405</v>
      </c>
      <c r="AJ4375">
        <v>99.126075106114001</v>
      </c>
      <c r="AK4375">
        <v>10.084779055453399</v>
      </c>
    </row>
    <row r="4376" spans="1:37" x14ac:dyDescent="0.2">
      <c r="A4376" t="str">
        <f>"20200111154150956"</f>
        <v>20200111154150956</v>
      </c>
      <c r="B4376" t="str">
        <f>"1578728510950645"</f>
        <v>1578728510950645</v>
      </c>
      <c r="C4376" t="s">
        <v>37</v>
      </c>
      <c r="D4376">
        <v>5.7114209999999996</v>
      </c>
      <c r="E4376">
        <v>0.46556639999999999</v>
      </c>
      <c r="F4376" t="s">
        <v>39</v>
      </c>
      <c r="G4376">
        <v>-300.09230000000002</v>
      </c>
      <c r="H4376" s="1">
        <v>-3.3043469999999998E-7</v>
      </c>
      <c r="I4376">
        <v>-19.697870000000002</v>
      </c>
      <c r="J4376">
        <v>-301.69690000000003</v>
      </c>
      <c r="K4376">
        <v>1.10615</v>
      </c>
      <c r="L4376">
        <v>-9.7393490000000007</v>
      </c>
      <c r="M4376">
        <v>1.2854629999999999E-3</v>
      </c>
      <c r="N4376">
        <v>0</v>
      </c>
      <c r="O4376">
        <v>-0.99991459999999999</v>
      </c>
      <c r="P4376">
        <v>5.6872069999999997E-2</v>
      </c>
      <c r="Q4376">
        <v>2.5102349999999999E-2</v>
      </c>
      <c r="R4376">
        <v>-0.9980658</v>
      </c>
      <c r="S4376">
        <v>0.46481319999999998</v>
      </c>
      <c r="T4376">
        <v>-0.32090839999999998</v>
      </c>
      <c r="U4376">
        <v>-2.9864199999999999</v>
      </c>
      <c r="V4376">
        <v>-5.5251689999999999E-2</v>
      </c>
      <c r="W4376">
        <v>3.8569249999999999E-2</v>
      </c>
      <c r="X4376">
        <v>0.99772729999999998</v>
      </c>
      <c r="Y4376">
        <v>-0.1516605</v>
      </c>
      <c r="Z4376">
        <v>0.10559439999999901</v>
      </c>
      <c r="AA4376">
        <v>0.98277610000000004</v>
      </c>
      <c r="AB4376">
        <v>30</v>
      </c>
      <c r="AC4376">
        <v>1.6046</v>
      </c>
      <c r="AD4376">
        <v>-1.1061503304347</v>
      </c>
      <c r="AE4376">
        <v>-9.9585209999999993</v>
      </c>
      <c r="AF4376">
        <v>-1.5728814188506399</v>
      </c>
      <c r="AG4376">
        <v>-1.1061503304347</v>
      </c>
      <c r="AH4376">
        <v>9.8422169142278602</v>
      </c>
      <c r="AI4376">
        <v>96.332776672835394</v>
      </c>
      <c r="AJ4376">
        <v>99.079643598058993</v>
      </c>
      <c r="AK4376">
        <v>10.0282978764095</v>
      </c>
    </row>
    <row r="4377" spans="1:37" x14ac:dyDescent="0.2">
      <c r="A4377" t="str">
        <f>"20200111154150982"</f>
        <v>20200111154150982</v>
      </c>
      <c r="B4377" t="str">
        <f>"1578728510980900"</f>
        <v>1578728510980900</v>
      </c>
      <c r="C4377" t="s">
        <v>37</v>
      </c>
      <c r="D4377">
        <v>5.4650400000000001</v>
      </c>
      <c r="E4377">
        <v>0.46601670000000001</v>
      </c>
      <c r="F4377" t="s">
        <v>39</v>
      </c>
      <c r="G4377">
        <v>-300.2276</v>
      </c>
      <c r="H4377" s="1">
        <v>-2.1975320000000001E-7</v>
      </c>
      <c r="I4377">
        <v>-20.0398</v>
      </c>
      <c r="J4377">
        <v>-301.70170000000002</v>
      </c>
      <c r="K4377">
        <v>1.106509</v>
      </c>
      <c r="L4377">
        <v>-10.11023</v>
      </c>
      <c r="M4377">
        <v>-3.4020859999999999E-3</v>
      </c>
      <c r="N4377">
        <v>0</v>
      </c>
      <c r="O4377">
        <v>-0.99990829999999997</v>
      </c>
      <c r="P4377">
        <v>5.3109000000000003E-2</v>
      </c>
      <c r="Q4377">
        <v>2.0605459999999999E-2</v>
      </c>
      <c r="R4377">
        <v>-0.99837629999999999</v>
      </c>
      <c r="S4377">
        <v>0.42645259999999902</v>
      </c>
      <c r="T4377">
        <v>-0.321048</v>
      </c>
      <c r="U4377">
        <v>-2.9895939999999999</v>
      </c>
      <c r="V4377">
        <v>-5.6225999999999998E-2</v>
      </c>
      <c r="W4377">
        <v>3.4153799999999998E-2</v>
      </c>
      <c r="X4377">
        <v>0.99783369999999905</v>
      </c>
      <c r="Y4377">
        <v>-0.1437927</v>
      </c>
      <c r="Z4377">
        <v>0.105689899999999</v>
      </c>
      <c r="AA4377">
        <v>0.98394780000000004</v>
      </c>
      <c r="AB4377">
        <v>30</v>
      </c>
      <c r="AC4377">
        <v>1.4741000000000199</v>
      </c>
      <c r="AD4377">
        <v>-1.1065092197532</v>
      </c>
      <c r="AE4377">
        <v>-9.92957</v>
      </c>
      <c r="AF4377">
        <v>-1.48977463362464</v>
      </c>
      <c r="AG4377">
        <v>-1.1065092197532</v>
      </c>
      <c r="AH4377">
        <v>9.8053604643346102</v>
      </c>
      <c r="AI4377">
        <v>96.365992974562005</v>
      </c>
      <c r="AJ4377">
        <v>98.639146379825803</v>
      </c>
      <c r="AK4377">
        <v>9.9794230769081391</v>
      </c>
    </row>
    <row r="4378" spans="1:37" x14ac:dyDescent="0.2">
      <c r="A4378" t="str">
        <f>"20200111154151010"</f>
        <v>20200111154151010</v>
      </c>
      <c r="B4378" t="str">
        <f>"1578728511000419"</f>
        <v>1578728511000419</v>
      </c>
      <c r="C4378" t="s">
        <v>37</v>
      </c>
      <c r="D4378">
        <v>5.7937219999999998</v>
      </c>
      <c r="E4378">
        <v>0.4676013</v>
      </c>
      <c r="F4378" t="s">
        <v>39</v>
      </c>
      <c r="G4378">
        <v>-300.37869999999998</v>
      </c>
      <c r="H4378" s="1">
        <v>-3.87180599999999E-7</v>
      </c>
      <c r="I4378">
        <v>-19.74324</v>
      </c>
      <c r="J4378">
        <v>-301.7079</v>
      </c>
      <c r="K4378">
        <v>1.1068450000000001</v>
      </c>
      <c r="L4378">
        <v>-10.474550000000001</v>
      </c>
      <c r="M4378">
        <v>-7.6548379999999997E-3</v>
      </c>
      <c r="N4378">
        <v>0</v>
      </c>
      <c r="O4378">
        <v>-0.99988379999999999</v>
      </c>
      <c r="P4378">
        <v>5.0473839999999999E-2</v>
      </c>
      <c r="Q4378">
        <v>1.6796220000000001E-2</v>
      </c>
      <c r="R4378">
        <v>-0.99858419999999903</v>
      </c>
      <c r="S4378">
        <v>0.41064449999999902</v>
      </c>
      <c r="T4378">
        <v>-0.34346329999999903</v>
      </c>
      <c r="U4378">
        <v>-2.9901119999999999</v>
      </c>
      <c r="V4378">
        <v>-5.7884919999999999E-2</v>
      </c>
      <c r="W4378">
        <v>3.0409720000000001E-2</v>
      </c>
      <c r="X4378">
        <v>0.99785999999999997</v>
      </c>
      <c r="Y4378">
        <v>-0.14276559999999999</v>
      </c>
      <c r="Z4378">
        <v>0.1130029</v>
      </c>
      <c r="AA4378">
        <v>0.98328449999999901</v>
      </c>
      <c r="AB4378">
        <v>30</v>
      </c>
      <c r="AC4378">
        <v>1.3292000000000099</v>
      </c>
      <c r="AD4378">
        <v>-1.1068453871806001</v>
      </c>
      <c r="AE4378">
        <v>-9.2686899999999994</v>
      </c>
      <c r="AF4378">
        <v>-1.3808230041902301</v>
      </c>
      <c r="AG4378">
        <v>-1.1068453871806001</v>
      </c>
      <c r="AH4378">
        <v>9.1306580822463097</v>
      </c>
      <c r="AI4378">
        <v>96.834870756969707</v>
      </c>
      <c r="AJ4378">
        <v>98.599636812301398</v>
      </c>
      <c r="AK4378">
        <v>9.3005750303362298</v>
      </c>
    </row>
    <row r="4379" spans="1:37" x14ac:dyDescent="0.2">
      <c r="A4379" t="str">
        <f>"20200111154151033"</f>
        <v>20200111154151033</v>
      </c>
      <c r="B4379" t="str">
        <f>"1578728511030675"</f>
        <v>1578728511030675</v>
      </c>
      <c r="C4379" t="s">
        <v>37</v>
      </c>
      <c r="D4379">
        <v>5.4354239999999896</v>
      </c>
      <c r="E4379">
        <v>0.46913310000000003</v>
      </c>
      <c r="F4379" t="s">
        <v>39</v>
      </c>
      <c r="G4379">
        <v>-300.47660000000002</v>
      </c>
      <c r="H4379" s="1">
        <v>-3.4946239999999998E-7</v>
      </c>
      <c r="I4379">
        <v>-19.891850000000002</v>
      </c>
      <c r="J4379">
        <v>-301.71440000000001</v>
      </c>
      <c r="K4379">
        <v>1.1071200000000001</v>
      </c>
      <c r="L4379">
        <v>-10.80222</v>
      </c>
      <c r="M4379">
        <v>-1.126923E-2</v>
      </c>
      <c r="N4379">
        <v>0</v>
      </c>
      <c r="O4379">
        <v>-0.99984879999999998</v>
      </c>
      <c r="P4379">
        <v>4.8735000000000001E-2</v>
      </c>
      <c r="Q4379">
        <v>1.4923540000000001E-2</v>
      </c>
      <c r="R4379">
        <v>-0.9987009</v>
      </c>
      <c r="S4379">
        <v>0.39099119999999998</v>
      </c>
      <c r="T4379">
        <v>-0.35147319999999999</v>
      </c>
      <c r="U4379">
        <v>-2.9904169999999999</v>
      </c>
      <c r="V4379">
        <v>-5.9782259999999997E-2</v>
      </c>
      <c r="W4379">
        <v>2.8588039999999999E-2</v>
      </c>
      <c r="X4379">
        <v>0.99780199999999997</v>
      </c>
      <c r="Y4379">
        <v>-0.13994100000000001</v>
      </c>
      <c r="Z4379">
        <v>0.1156585</v>
      </c>
      <c r="AA4379">
        <v>0.98338169999999903</v>
      </c>
      <c r="AB4379">
        <v>30</v>
      </c>
      <c r="AC4379">
        <v>1.23779999999999</v>
      </c>
      <c r="AD4379">
        <v>-1.1071203494624</v>
      </c>
      <c r="AE4379">
        <v>-9.0896299999999997</v>
      </c>
      <c r="AF4379">
        <v>-1.32092393896646</v>
      </c>
      <c r="AG4379">
        <v>-1.1071203494624</v>
      </c>
      <c r="AH4379">
        <v>8.9448190793892692</v>
      </c>
      <c r="AI4379">
        <v>96.9807946180713</v>
      </c>
      <c r="AJ4379">
        <v>98.400426119126706</v>
      </c>
      <c r="AK4379">
        <v>9.10935474573993</v>
      </c>
    </row>
    <row r="4380" spans="1:37" x14ac:dyDescent="0.2">
      <c r="A4380" t="str">
        <f>"20200111154151058"</f>
        <v>20200111154151058</v>
      </c>
      <c r="B4380" t="str">
        <f>"1578728511050197"</f>
        <v>1578728511050197</v>
      </c>
      <c r="C4380" t="s">
        <v>37</v>
      </c>
      <c r="D4380">
        <v>5.4346829999999997</v>
      </c>
      <c r="E4380">
        <v>0.46933219999999998</v>
      </c>
      <c r="F4380" t="s">
        <v>39</v>
      </c>
      <c r="G4380">
        <v>-300.52760000000001</v>
      </c>
      <c r="H4380" s="1">
        <v>-1.9235179999999999E-7</v>
      </c>
      <c r="I4380">
        <v>-20.289719999999999</v>
      </c>
      <c r="J4380">
        <v>-301.72239999999999</v>
      </c>
      <c r="K4380">
        <v>1.107375</v>
      </c>
      <c r="L4380">
        <v>-11.14874</v>
      </c>
      <c r="M4380">
        <v>-1.492155E-2</v>
      </c>
      <c r="N4380">
        <v>0</v>
      </c>
      <c r="O4380">
        <v>-0.99980020000000003</v>
      </c>
      <c r="P4380">
        <v>4.7359190000000002E-2</v>
      </c>
      <c r="Q4380">
        <v>1.556198E-2</v>
      </c>
      <c r="R4380">
        <v>-0.9987568</v>
      </c>
      <c r="S4380">
        <v>0.37414550000000002</v>
      </c>
      <c r="T4380">
        <v>-0.34901270000000001</v>
      </c>
      <c r="U4380">
        <v>-2.990875</v>
      </c>
      <c r="V4380">
        <v>-6.2059889999999999E-2</v>
      </c>
      <c r="W4380">
        <v>2.9273919999999998E-2</v>
      </c>
      <c r="X4380">
        <v>0.9976431</v>
      </c>
      <c r="Y4380">
        <v>-0.13809929999999901</v>
      </c>
      <c r="Z4380">
        <v>0.1148893</v>
      </c>
      <c r="AA4380">
        <v>0.98373219999999995</v>
      </c>
      <c r="AB4380">
        <v>30</v>
      </c>
      <c r="AC4380">
        <v>1.1947999999999801</v>
      </c>
      <c r="AD4380">
        <v>-1.1073751923518</v>
      </c>
      <c r="AE4380">
        <v>-9.1409800000000008</v>
      </c>
      <c r="AF4380">
        <v>-1.3121432296798801</v>
      </c>
      <c r="AG4380">
        <v>-1.1073751923518</v>
      </c>
      <c r="AH4380">
        <v>8.9923780519964502</v>
      </c>
      <c r="AI4380">
        <v>96.947556052728999</v>
      </c>
      <c r="AJ4380">
        <v>98.301853815522705</v>
      </c>
      <c r="AK4380">
        <v>9.1548272895701608</v>
      </c>
    </row>
    <row r="4381" spans="1:37" x14ac:dyDescent="0.2">
      <c r="A4381" t="str">
        <f>"20200111154151080"</f>
        <v>20200111154151080</v>
      </c>
      <c r="B4381" t="str">
        <f>"1578728511070692"</f>
        <v>1578728511070692</v>
      </c>
      <c r="C4381" t="s">
        <v>37</v>
      </c>
      <c r="D4381">
        <v>5.405653</v>
      </c>
      <c r="E4381">
        <v>0.4693116</v>
      </c>
      <c r="F4381" t="s">
        <v>39</v>
      </c>
      <c r="G4381">
        <v>-300.5258</v>
      </c>
      <c r="H4381" s="1">
        <v>-4.229596E-6</v>
      </c>
      <c r="I4381">
        <v>-20.858409999999999</v>
      </c>
      <c r="J4381">
        <v>-301.72980000000001</v>
      </c>
      <c r="K4381">
        <v>1.1075539999999999</v>
      </c>
      <c r="L4381">
        <v>-11.43365</v>
      </c>
      <c r="M4381">
        <v>-1.7811980000000002E-2</v>
      </c>
      <c r="N4381">
        <v>0</v>
      </c>
      <c r="O4381">
        <v>-0.99975230000000004</v>
      </c>
      <c r="P4381">
        <v>4.7041060000000003E-2</v>
      </c>
      <c r="Q4381">
        <v>1.7508880000000001E-2</v>
      </c>
      <c r="R4381">
        <v>-0.99873969999999901</v>
      </c>
      <c r="S4381">
        <v>0.36868289999999998</v>
      </c>
      <c r="T4381">
        <v>-0.34118680000000001</v>
      </c>
      <c r="U4381">
        <v>-2.9915769999999999</v>
      </c>
      <c r="V4381">
        <v>-6.4621330000000005E-2</v>
      </c>
      <c r="W4381">
        <v>3.1260469999999999E-2</v>
      </c>
      <c r="X4381">
        <v>0.99742009999999903</v>
      </c>
      <c r="Y4381">
        <v>-0.13920070000000001</v>
      </c>
      <c r="Z4381">
        <v>0.1123162</v>
      </c>
      <c r="AA4381">
        <v>0.98387409999999997</v>
      </c>
      <c r="AB4381">
        <v>30</v>
      </c>
      <c r="AC4381">
        <v>1.204</v>
      </c>
      <c r="AD4381">
        <v>-1.107558229596</v>
      </c>
      <c r="AE4381">
        <v>-9.4247599999999991</v>
      </c>
      <c r="AF4381">
        <v>-1.3533085041232999</v>
      </c>
      <c r="AG4381">
        <v>-1.107558229596</v>
      </c>
      <c r="AH4381">
        <v>9.27577582807195</v>
      </c>
      <c r="AI4381">
        <v>96.738395258809504</v>
      </c>
      <c r="AJ4381">
        <v>98.300720664026102</v>
      </c>
      <c r="AK4381">
        <v>9.4391814450153504</v>
      </c>
    </row>
    <row r="4382" spans="1:37" x14ac:dyDescent="0.2">
      <c r="A4382" t="str">
        <f>"20200111154151118"</f>
        <v>20200111154151118</v>
      </c>
      <c r="B4382" t="str">
        <f>"1578728511110710"</f>
        <v>1578728511110710</v>
      </c>
      <c r="C4382" t="s">
        <v>37</v>
      </c>
      <c r="D4382">
        <v>5.7336919999999996</v>
      </c>
      <c r="E4382">
        <v>0.46958299999999997</v>
      </c>
      <c r="F4382" t="s">
        <v>39</v>
      </c>
      <c r="G4382">
        <v>-300.50850000000003</v>
      </c>
      <c r="H4382" s="1">
        <v>-4.010387E-6</v>
      </c>
      <c r="I4382">
        <v>-21.377939999999999</v>
      </c>
      <c r="J4382">
        <v>-301.74520000000001</v>
      </c>
      <c r="K4382">
        <v>1.107772</v>
      </c>
      <c r="L4382">
        <v>-11.95374</v>
      </c>
      <c r="M4382">
        <v>-2.2928839999999999E-2</v>
      </c>
      <c r="N4382">
        <v>0</v>
      </c>
      <c r="O4382">
        <v>-0.99964709999999901</v>
      </c>
      <c r="P4382">
        <v>4.7854960000000002E-2</v>
      </c>
      <c r="Q4382">
        <v>2.0058869999999999E-2</v>
      </c>
      <c r="R4382">
        <v>-0.99865339999999903</v>
      </c>
      <c r="S4382">
        <v>0.36749270000000001</v>
      </c>
      <c r="T4382">
        <v>-0.33327249999999897</v>
      </c>
      <c r="U4382">
        <v>-2.9923099999999998</v>
      </c>
      <c r="V4382">
        <v>-7.05321E-2</v>
      </c>
      <c r="W4382">
        <v>3.3885499999999999E-2</v>
      </c>
      <c r="X4382">
        <v>0.99693379999999998</v>
      </c>
      <c r="Y4382">
        <v>-0.143888299999999</v>
      </c>
      <c r="Z4382">
        <v>0.109665</v>
      </c>
      <c r="AA4382">
        <v>0.98349880000000001</v>
      </c>
      <c r="AB4382">
        <v>30</v>
      </c>
      <c r="AC4382">
        <v>1.2366999999999799</v>
      </c>
      <c r="AD4382">
        <v>-1.107776010387</v>
      </c>
      <c r="AE4382">
        <v>-9.4242000000000008</v>
      </c>
      <c r="AF4382">
        <v>-1.43301539347701</v>
      </c>
      <c r="AG4382">
        <v>-1.107776010387</v>
      </c>
      <c r="AH4382">
        <v>9.2674818504932706</v>
      </c>
      <c r="AI4382">
        <v>96.737114662224897</v>
      </c>
      <c r="AJ4382">
        <v>98.789937222249804</v>
      </c>
      <c r="AK4382">
        <v>9.4428237649737596</v>
      </c>
    </row>
    <row r="4383" spans="1:37" x14ac:dyDescent="0.2">
      <c r="A4383" t="str">
        <f>"20200111154151145"</f>
        <v>20200111154151145</v>
      </c>
      <c r="B4383" t="str">
        <f>"1578728511140964"</f>
        <v>1578728511140964</v>
      </c>
      <c r="C4383" t="s">
        <v>37</v>
      </c>
      <c r="D4383">
        <v>5.5265000000000004</v>
      </c>
      <c r="E4383">
        <v>0.49956840000000002</v>
      </c>
      <c r="F4383" t="s">
        <v>39</v>
      </c>
      <c r="G4383">
        <v>-300.48500000000001</v>
      </c>
      <c r="H4383" s="1">
        <v>-3.6398950000000002E-6</v>
      </c>
      <c r="I4383">
        <v>-22.226970000000001</v>
      </c>
      <c r="J4383">
        <v>-301.75749999999999</v>
      </c>
      <c r="K4383">
        <v>1.1078589999999999</v>
      </c>
      <c r="L4383">
        <v>-12.3179</v>
      </c>
      <c r="M4383">
        <v>-2.646248E-2</v>
      </c>
      <c r="N4383">
        <v>0</v>
      </c>
      <c r="O4383">
        <v>-0.99955919999999898</v>
      </c>
      <c r="P4383">
        <v>4.9277229999999998E-2</v>
      </c>
      <c r="Q4383">
        <v>1.9404250000000001E-2</v>
      </c>
      <c r="R4383">
        <v>-0.998596699999999</v>
      </c>
      <c r="S4383">
        <v>0.36715700000000001</v>
      </c>
      <c r="T4383">
        <v>-0.3227334</v>
      </c>
      <c r="U4383">
        <v>-2.99295</v>
      </c>
      <c r="V4383">
        <v>-7.5485189999999994E-2</v>
      </c>
      <c r="W4383">
        <v>3.3285009999999997E-2</v>
      </c>
      <c r="X4383">
        <v>0.99659120000000001</v>
      </c>
      <c r="Y4383">
        <v>-0.14729709999999999</v>
      </c>
      <c r="Z4383">
        <v>0.1061748</v>
      </c>
      <c r="AA4383">
        <v>0.98337699999999995</v>
      </c>
      <c r="AB4383">
        <v>30</v>
      </c>
      <c r="AC4383">
        <v>1.27249999999997</v>
      </c>
      <c r="AD4383">
        <v>-1.107862639895</v>
      </c>
      <c r="AE4383">
        <v>-9.9090699999999998</v>
      </c>
      <c r="AF4383">
        <v>-1.5156584257699099</v>
      </c>
      <c r="AG4383">
        <v>-1.107862639895</v>
      </c>
      <c r="AH4383">
        <v>9.7520014616415196</v>
      </c>
      <c r="AI4383">
        <v>96.404975876831699</v>
      </c>
      <c r="AJ4383">
        <v>98.834244669788006</v>
      </c>
      <c r="AK4383">
        <v>9.9310680493258499</v>
      </c>
    </row>
    <row r="4384" spans="1:37" x14ac:dyDescent="0.2">
      <c r="A4384" t="str">
        <f>"20200111154151170"</f>
        <v>20200111154151170</v>
      </c>
      <c r="B4384" t="str">
        <f>"1578728511160484"</f>
        <v>1578728511160484</v>
      </c>
      <c r="C4384" t="s">
        <v>37</v>
      </c>
      <c r="D4384">
        <v>5.5306290000000002</v>
      </c>
      <c r="E4384">
        <v>0.4992259</v>
      </c>
      <c r="F4384" t="s">
        <v>39</v>
      </c>
      <c r="G4384">
        <v>-301.32819999999998</v>
      </c>
      <c r="H4384" s="1">
        <v>-3.9035909999999997E-6</v>
      </c>
      <c r="I4384">
        <v>-22.135300000000001</v>
      </c>
      <c r="J4384">
        <v>-301.77</v>
      </c>
      <c r="K4384">
        <v>1.1078969999999999</v>
      </c>
      <c r="L4384">
        <v>-12.652710000000001</v>
      </c>
      <c r="M4384">
        <v>-2.970973E-2</v>
      </c>
      <c r="N4384">
        <v>0</v>
      </c>
      <c r="O4384">
        <v>-0.99946759999999901</v>
      </c>
      <c r="P4384">
        <v>5.2369649999999997E-2</v>
      </c>
      <c r="Q4384">
        <v>1.8215459999999999E-2</v>
      </c>
      <c r="R4384">
        <v>-0.99846179999999995</v>
      </c>
      <c r="S4384">
        <v>0.1313782</v>
      </c>
      <c r="T4384">
        <v>-0.33902969999999999</v>
      </c>
      <c r="U4384">
        <v>-3.0043329999999999</v>
      </c>
      <c r="V4384">
        <v>-8.1819810000000007E-2</v>
      </c>
      <c r="W4384">
        <v>3.2152180000000002E-2</v>
      </c>
      <c r="X4384">
        <v>0.99612839999999903</v>
      </c>
      <c r="Y4384">
        <v>-7.3078019999999994E-2</v>
      </c>
      <c r="Z4384">
        <v>0.1118581</v>
      </c>
      <c r="AA4384">
        <v>0.99103349999999901</v>
      </c>
      <c r="AB4384">
        <v>30</v>
      </c>
      <c r="AC4384">
        <v>0.44180000000000003</v>
      </c>
      <c r="AD4384">
        <v>-1.1079009035909999</v>
      </c>
      <c r="AE4384">
        <v>-9.4825900000000001</v>
      </c>
      <c r="AF4384">
        <v>-0.713635383025371</v>
      </c>
      <c r="AG4384">
        <v>-1.1079009035909999</v>
      </c>
      <c r="AH4384">
        <v>9.3380831627012597</v>
      </c>
      <c r="AI4384">
        <v>96.746640355785402</v>
      </c>
      <c r="AJ4384">
        <v>94.370165939338193</v>
      </c>
      <c r="AK4384">
        <v>9.4306159409451205</v>
      </c>
    </row>
    <row r="4385" spans="1:37" x14ac:dyDescent="0.2">
      <c r="A4385" t="str">
        <f>"20200111154151193"</f>
        <v>20200111154151193</v>
      </c>
      <c r="B4385" t="str">
        <f>"1578728511180980"</f>
        <v>1578728511180980</v>
      </c>
      <c r="C4385" t="s">
        <v>37</v>
      </c>
      <c r="D4385">
        <v>5.7799009999999997</v>
      </c>
      <c r="E4385">
        <v>0.49861229999999901</v>
      </c>
      <c r="F4385" t="s">
        <v>39</v>
      </c>
      <c r="G4385">
        <v>-301.30930000000001</v>
      </c>
      <c r="H4385" s="1">
        <v>-3.8188900000000001E-6</v>
      </c>
      <c r="I4385">
        <v>-22.321020000000001</v>
      </c>
      <c r="J4385">
        <v>-301.78289999999998</v>
      </c>
      <c r="K4385">
        <v>1.1079209999999999</v>
      </c>
      <c r="L4385">
        <v>-12.97223</v>
      </c>
      <c r="M4385">
        <v>-3.2816440000000002E-2</v>
      </c>
      <c r="N4385">
        <v>0</v>
      </c>
      <c r="O4385">
        <v>-0.99937009999999904</v>
      </c>
      <c r="P4385">
        <v>5.572357E-2</v>
      </c>
      <c r="Q4385">
        <v>1.5250150000000001E-2</v>
      </c>
      <c r="R4385">
        <v>-0.99832999999999905</v>
      </c>
      <c r="S4385">
        <v>0.1430969</v>
      </c>
      <c r="T4385">
        <v>-0.34416089999999999</v>
      </c>
      <c r="U4385">
        <v>-3.003387</v>
      </c>
      <c r="V4385">
        <v>-8.8284399999999999E-2</v>
      </c>
      <c r="W4385">
        <v>2.9239129999999999E-2</v>
      </c>
      <c r="X4385">
        <v>0.9956661</v>
      </c>
      <c r="Y4385">
        <v>-8.0039730000000003E-2</v>
      </c>
      <c r="Z4385">
        <v>0.1135076</v>
      </c>
      <c r="AA4385">
        <v>0.99030790000000002</v>
      </c>
      <c r="AB4385">
        <v>30</v>
      </c>
      <c r="AC4385">
        <v>0.47359999999997598</v>
      </c>
      <c r="AD4385">
        <v>-1.1079248188899999</v>
      </c>
      <c r="AE4385">
        <v>-9.3487899999999993</v>
      </c>
      <c r="AF4385">
        <v>-0.76938876569440595</v>
      </c>
      <c r="AG4385">
        <v>-1.1079248188899999</v>
      </c>
      <c r="AH4385">
        <v>9.1993400511053096</v>
      </c>
      <c r="AI4385">
        <v>96.843690332742497</v>
      </c>
      <c r="AJ4385">
        <v>94.780818412735101</v>
      </c>
      <c r="AK4385">
        <v>9.2977047626260596</v>
      </c>
    </row>
    <row r="4386" spans="1:37" x14ac:dyDescent="0.2">
      <c r="A4386" t="str">
        <f>"20200111154151218"</f>
        <v>20200111154151218</v>
      </c>
      <c r="B4386" t="str">
        <f>"1578728511210260"</f>
        <v>1578728511210260</v>
      </c>
      <c r="C4386" t="s">
        <v>37</v>
      </c>
      <c r="D4386">
        <v>5.5359470000000002</v>
      </c>
      <c r="E4386">
        <v>0.49873630000000002</v>
      </c>
      <c r="F4386" t="s">
        <v>39</v>
      </c>
      <c r="G4386">
        <v>-301.26929999999999</v>
      </c>
      <c r="H4386" s="1">
        <v>-3.62835899999999E-6</v>
      </c>
      <c r="I4386">
        <v>-22.740349999999999</v>
      </c>
      <c r="J4386">
        <v>-301.79700000000003</v>
      </c>
      <c r="K4386">
        <v>1.107939</v>
      </c>
      <c r="L4386">
        <v>-13.297089999999899</v>
      </c>
      <c r="M4386">
        <v>-3.5969090000000002E-2</v>
      </c>
      <c r="N4386">
        <v>0</v>
      </c>
      <c r="O4386">
        <v>-0.99926130000000002</v>
      </c>
      <c r="P4386">
        <v>5.8039010000000002E-2</v>
      </c>
      <c r="Q4386">
        <v>1.0741799999999999E-2</v>
      </c>
      <c r="R4386">
        <v>-0.99825659999999905</v>
      </c>
      <c r="S4386">
        <v>0.15780639999999899</v>
      </c>
      <c r="T4386">
        <v>-0.34042699999999998</v>
      </c>
      <c r="U4386">
        <v>-3.001404</v>
      </c>
      <c r="V4386">
        <v>-9.3765589999999996E-2</v>
      </c>
      <c r="W4386">
        <v>2.477327E-2</v>
      </c>
      <c r="X4386">
        <v>0.995286</v>
      </c>
      <c r="Y4386">
        <v>-8.8061029999999998E-2</v>
      </c>
      <c r="Z4386">
        <v>0.112294899999999</v>
      </c>
      <c r="AA4386">
        <v>0.98976520000000001</v>
      </c>
      <c r="AB4386">
        <v>30</v>
      </c>
      <c r="AC4386">
        <v>0.52770000000003803</v>
      </c>
      <c r="AD4386">
        <v>-1.1079426283589999</v>
      </c>
      <c r="AE4386">
        <v>-9.4432600000000004</v>
      </c>
      <c r="AF4386">
        <v>-0.85531784054755</v>
      </c>
      <c r="AG4386">
        <v>-1.1079426283589999</v>
      </c>
      <c r="AH4386">
        <v>9.2906732996993604</v>
      </c>
      <c r="AI4386">
        <v>96.772218808426999</v>
      </c>
      <c r="AJ4386">
        <v>95.259936682217599</v>
      </c>
      <c r="AK4386">
        <v>9.39551573027477</v>
      </c>
    </row>
    <row r="4387" spans="1:37" x14ac:dyDescent="0.2">
      <c r="A4387" t="str">
        <f>"20200111154151241"</f>
        <v>20200111154151241</v>
      </c>
      <c r="B4387" t="str">
        <f>"1578728511230756"</f>
        <v>1578728511230756</v>
      </c>
      <c r="C4387" t="s">
        <v>37</v>
      </c>
      <c r="D4387">
        <v>5.5915970000000002</v>
      </c>
      <c r="E4387">
        <v>0.49851640000000003</v>
      </c>
      <c r="F4387" t="s">
        <v>39</v>
      </c>
      <c r="G4387">
        <v>-301.29509999999999</v>
      </c>
      <c r="H4387" s="1">
        <v>-3.7220399999999999E-6</v>
      </c>
      <c r="I4387">
        <v>-22.538</v>
      </c>
      <c r="J4387">
        <v>-301.81180000000001</v>
      </c>
      <c r="K4387">
        <v>1.107969</v>
      </c>
      <c r="L4387">
        <v>-13.61511</v>
      </c>
      <c r="M4387">
        <v>-3.9017799999999998E-2</v>
      </c>
      <c r="N4387">
        <v>0</v>
      </c>
      <c r="O4387">
        <v>-0.99914689999999995</v>
      </c>
      <c r="P4387">
        <v>6.0853419999999998E-2</v>
      </c>
      <c r="Q4387">
        <v>6.5196749999999999E-3</v>
      </c>
      <c r="R4387">
        <v>-0.9981257</v>
      </c>
      <c r="S4387">
        <v>0.16290279999999999</v>
      </c>
      <c r="T4387">
        <v>-0.35964259999999998</v>
      </c>
      <c r="U4387">
        <v>-2.9996339999999999</v>
      </c>
      <c r="V4387">
        <v>-9.9636470000000005E-2</v>
      </c>
      <c r="W4387">
        <v>2.0586770000000001E-2</v>
      </c>
      <c r="X4387">
        <v>0.99481090000000005</v>
      </c>
      <c r="Y4387">
        <v>-9.2766929999999997E-2</v>
      </c>
      <c r="Z4387">
        <v>0.118564</v>
      </c>
      <c r="AA4387">
        <v>0.98860349999999997</v>
      </c>
      <c r="AB4387">
        <v>30</v>
      </c>
      <c r="AC4387">
        <v>0.51670000000001404</v>
      </c>
      <c r="AD4387">
        <v>-1.10797272204</v>
      </c>
      <c r="AE4387">
        <v>-8.92288999999999</v>
      </c>
      <c r="AF4387">
        <v>-0.85140619847150101</v>
      </c>
      <c r="AG4387">
        <v>-1.10797272204</v>
      </c>
      <c r="AH4387">
        <v>8.7612956683903995</v>
      </c>
      <c r="AI4387">
        <v>97.174050218530397</v>
      </c>
      <c r="AJ4387">
        <v>95.550467531131304</v>
      </c>
      <c r="AK4387">
        <v>8.8720233237146502</v>
      </c>
    </row>
    <row r="4388" spans="1:37" x14ac:dyDescent="0.2">
      <c r="A4388" t="str">
        <f>"20200111154151266"</f>
        <v>20200111154151266</v>
      </c>
      <c r="B4388" t="str">
        <f>"1578728511261013"</f>
        <v>1578728511261013</v>
      </c>
      <c r="C4388" t="s">
        <v>37</v>
      </c>
      <c r="D4388">
        <v>5.5363899999999999</v>
      </c>
      <c r="E4388">
        <v>0.49893690000000002</v>
      </c>
      <c r="F4388" t="s">
        <v>39</v>
      </c>
      <c r="G4388">
        <v>-301.29840000000002</v>
      </c>
      <c r="H4388" s="1">
        <v>-3.7269799999999999E-6</v>
      </c>
      <c r="I4388">
        <v>-22.528510000000001</v>
      </c>
      <c r="J4388">
        <v>-301.82819999999998</v>
      </c>
      <c r="K4388">
        <v>1.108034</v>
      </c>
      <c r="L4388">
        <v>-13.94711</v>
      </c>
      <c r="M4388">
        <v>-4.2110099999999998E-2</v>
      </c>
      <c r="N4388">
        <v>0</v>
      </c>
      <c r="O4388">
        <v>-0.99902099999999905</v>
      </c>
      <c r="P4388">
        <v>6.355392E-2</v>
      </c>
      <c r="Q4388">
        <v>3.691223E-3</v>
      </c>
      <c r="R4388">
        <v>-0.99797179999999996</v>
      </c>
      <c r="S4388">
        <v>0.17263789999999901</v>
      </c>
      <c r="T4388">
        <v>-0.37260909999999903</v>
      </c>
      <c r="U4388">
        <v>-2.9975589999999999</v>
      </c>
      <c r="V4388">
        <v>-0.1054267</v>
      </c>
      <c r="W4388">
        <v>1.77810999999999E-2</v>
      </c>
      <c r="X4388">
        <v>0.99426809999999999</v>
      </c>
      <c r="Y4388">
        <v>-9.9054589999999998E-2</v>
      </c>
      <c r="Z4388">
        <v>0.12278699999999999</v>
      </c>
      <c r="AA4388">
        <v>0.98747739999999995</v>
      </c>
      <c r="AB4388">
        <v>30</v>
      </c>
      <c r="AC4388">
        <v>0.52979999999996596</v>
      </c>
      <c r="AD4388">
        <v>-1.1080377269799999</v>
      </c>
      <c r="AE4388">
        <v>-8.5814000000000004</v>
      </c>
      <c r="AF4388">
        <v>-0.87617450561641796</v>
      </c>
      <c r="AG4388">
        <v>-1.1080377269799999</v>
      </c>
      <c r="AH4388">
        <v>8.4117646455813997</v>
      </c>
      <c r="AI4388">
        <v>97.464147417979802</v>
      </c>
      <c r="AJ4388">
        <v>95.946519548144394</v>
      </c>
      <c r="AK4388">
        <v>8.5295494500797897</v>
      </c>
    </row>
    <row r="4389" spans="1:37" x14ac:dyDescent="0.2">
      <c r="A4389" t="str">
        <f>"20200111154151289"</f>
        <v>20200111154151289</v>
      </c>
      <c r="B4389" t="str">
        <f>"1578728511280532"</f>
        <v>1578728511280532</v>
      </c>
      <c r="C4389" t="s">
        <v>37</v>
      </c>
      <c r="D4389">
        <v>5.7585139999999999</v>
      </c>
      <c r="E4389">
        <v>0.49893459999999901</v>
      </c>
      <c r="F4389" t="s">
        <v>39</v>
      </c>
      <c r="G4389">
        <v>-301.31549999999999</v>
      </c>
      <c r="H4389" s="1">
        <v>-3.6917559999999898E-6</v>
      </c>
      <c r="I4389">
        <v>-22.621210000000001</v>
      </c>
      <c r="J4389">
        <v>-301.84449999999998</v>
      </c>
      <c r="K4389">
        <v>1.1081289999999999</v>
      </c>
      <c r="L4389">
        <v>-14.259370000000001</v>
      </c>
      <c r="M4389">
        <v>-4.4907199999999897E-2</v>
      </c>
      <c r="N4389">
        <v>0</v>
      </c>
      <c r="O4389">
        <v>-0.99889889999999903</v>
      </c>
      <c r="P4389">
        <v>6.7028249999999998E-2</v>
      </c>
      <c r="Q4389">
        <v>3.7998099999999998E-3</v>
      </c>
      <c r="R4389">
        <v>-0.99774370000000001</v>
      </c>
      <c r="S4389">
        <v>0.17709349999999999</v>
      </c>
      <c r="T4389">
        <v>-0.38274340000000001</v>
      </c>
      <c r="U4389">
        <v>-2.99624599999999</v>
      </c>
      <c r="V4389">
        <v>-0.1116745</v>
      </c>
      <c r="W4389">
        <v>1.7902669999999999E-2</v>
      </c>
      <c r="X4389">
        <v>0.99358359999999901</v>
      </c>
      <c r="Y4389">
        <v>-0.10330350000000001</v>
      </c>
      <c r="Z4389">
        <v>0.12607209999999999</v>
      </c>
      <c r="AA4389">
        <v>0.9866277</v>
      </c>
      <c r="AB4389">
        <v>30</v>
      </c>
      <c r="AC4389">
        <v>0.52899999999999603</v>
      </c>
      <c r="AD4389">
        <v>-1.1081326917559999</v>
      </c>
      <c r="AE4389">
        <v>-8.3618399999999902</v>
      </c>
      <c r="AF4389">
        <v>-0.88846640459912296</v>
      </c>
      <c r="AG4389">
        <v>-1.1081326917559999</v>
      </c>
      <c r="AH4389">
        <v>8.1864454403818705</v>
      </c>
      <c r="AI4389">
        <v>97.664344565699594</v>
      </c>
      <c r="AJ4389">
        <v>96.194008461293393</v>
      </c>
      <c r="AK4389">
        <v>8.3087435610318892</v>
      </c>
    </row>
    <row r="4390" spans="1:37" x14ac:dyDescent="0.2">
      <c r="A4390" t="str">
        <f>"20200111154151310"</f>
        <v>20200111154151310</v>
      </c>
      <c r="B4390" t="str">
        <f>"1578728511301029"</f>
        <v>1578728511301029</v>
      </c>
      <c r="C4390" t="s">
        <v>37</v>
      </c>
      <c r="D4390">
        <v>5.4582629999999996</v>
      </c>
      <c r="E4390">
        <v>0.46767129999999901</v>
      </c>
      <c r="F4390" t="s">
        <v>39</v>
      </c>
      <c r="G4390">
        <v>-301.30169999999998</v>
      </c>
      <c r="H4390" s="1">
        <v>-3.5569959999999999E-6</v>
      </c>
      <c r="I4390">
        <v>-22.926770000000001</v>
      </c>
      <c r="J4390">
        <v>-301.86040000000003</v>
      </c>
      <c r="K4390">
        <v>1.108233</v>
      </c>
      <c r="L4390">
        <v>-14.552029999999901</v>
      </c>
      <c r="M4390">
        <v>-4.7434089999999998E-2</v>
      </c>
      <c r="N4390">
        <v>0</v>
      </c>
      <c r="O4390">
        <v>-0.99878199999999995</v>
      </c>
      <c r="P4390">
        <v>7.1266640000000006E-2</v>
      </c>
      <c r="Q4390">
        <v>7.6378640000000003E-3</v>
      </c>
      <c r="R4390">
        <v>-0.99742779999999998</v>
      </c>
      <c r="S4390">
        <v>0.1875916</v>
      </c>
      <c r="T4390">
        <v>-0.38299359999999999</v>
      </c>
      <c r="U4390">
        <v>-2.9956360000000002</v>
      </c>
      <c r="V4390">
        <v>-0.11838949999999999</v>
      </c>
      <c r="W4390">
        <v>2.174951E-2</v>
      </c>
      <c r="X4390">
        <v>0.99272899999999997</v>
      </c>
      <c r="Y4390">
        <v>-0.10927389999999999</v>
      </c>
      <c r="Z4390">
        <v>0.12610260000000001</v>
      </c>
      <c r="AA4390">
        <v>0.98598039999999998</v>
      </c>
      <c r="AB4390">
        <v>30</v>
      </c>
      <c r="AC4390">
        <v>0.55870000000004405</v>
      </c>
      <c r="AD4390">
        <v>-1.108236556996</v>
      </c>
      <c r="AE4390">
        <v>-8.3747399999999992</v>
      </c>
      <c r="AF4390">
        <v>-0.93898567048995596</v>
      </c>
      <c r="AG4390">
        <v>-1.108236556996</v>
      </c>
      <c r="AH4390">
        <v>8.1959209389827894</v>
      </c>
      <c r="AI4390">
        <v>97.651266150056003</v>
      </c>
      <c r="AJ4390">
        <v>96.535734758642107</v>
      </c>
      <c r="AK4390">
        <v>8.3236411740117902</v>
      </c>
    </row>
    <row r="4391" spans="1:37" x14ac:dyDescent="0.2">
      <c r="A4391" t="str">
        <f>"20200111154151333"</f>
        <v>20200111154151333</v>
      </c>
      <c r="B4391" t="str">
        <f>"1578728511330308"</f>
        <v>1578728511330308</v>
      </c>
      <c r="C4391" t="s">
        <v>37</v>
      </c>
      <c r="D4391">
        <v>5.5966680000000002</v>
      </c>
      <c r="E4391">
        <v>0.39523390000000003</v>
      </c>
      <c r="F4391" t="s">
        <v>39</v>
      </c>
      <c r="G4391">
        <v>-300.32679999999999</v>
      </c>
      <c r="H4391" s="1">
        <v>-2.5597549999999999E-6</v>
      </c>
      <c r="I4391">
        <v>-24.646719999999998</v>
      </c>
      <c r="J4391">
        <v>-301.87700000000001</v>
      </c>
      <c r="K4391">
        <v>1.1083350000000001</v>
      </c>
      <c r="L4391">
        <v>-14.847289999999999</v>
      </c>
      <c r="M4391">
        <v>-4.986442E-2</v>
      </c>
      <c r="N4391">
        <v>0</v>
      </c>
      <c r="O4391">
        <v>-0.99866359999999998</v>
      </c>
      <c r="P4391">
        <v>7.6404059999999996E-2</v>
      </c>
      <c r="Q4391">
        <v>1.0147669999999999E-2</v>
      </c>
      <c r="R4391">
        <v>-0.99702539999999995</v>
      </c>
      <c r="S4391">
        <v>0.45239259999999898</v>
      </c>
      <c r="T4391">
        <v>-0.32692659999999901</v>
      </c>
      <c r="U4391">
        <v>-2.9779049999999998</v>
      </c>
      <c r="V4391">
        <v>-0.1259082</v>
      </c>
      <c r="W4391">
        <v>2.4264170000000002E-2</v>
      </c>
      <c r="X4391">
        <v>0.99174509999999905</v>
      </c>
      <c r="Y4391">
        <v>-0.19843959999999999</v>
      </c>
      <c r="Z4391">
        <v>0.1072307</v>
      </c>
      <c r="AA4391">
        <v>0.97422960000000003</v>
      </c>
      <c r="AB4391">
        <v>30</v>
      </c>
      <c r="AC4391">
        <v>1.55020000000001</v>
      </c>
      <c r="AD4391">
        <v>-1.108337559755</v>
      </c>
      <c r="AE4391">
        <v>-9.7994299999999992</v>
      </c>
      <c r="AF4391">
        <v>-2.01185164975043</v>
      </c>
      <c r="AG4391">
        <v>-1.108337559755</v>
      </c>
      <c r="AH4391">
        <v>9.5902458023491697</v>
      </c>
      <c r="AI4391">
        <v>96.453141528190798</v>
      </c>
      <c r="AJ4391">
        <v>101.847762489275</v>
      </c>
      <c r="AK4391">
        <v>9.8614792884456701</v>
      </c>
    </row>
    <row r="4392" spans="1:37" x14ac:dyDescent="0.2">
      <c r="A4392" t="str">
        <f>"20200111154151362"</f>
        <v>20200111154151362</v>
      </c>
      <c r="B4392" t="str">
        <f>"1578728511350804"</f>
        <v>1578728511350804</v>
      </c>
      <c r="C4392" t="s">
        <v>37</v>
      </c>
      <c r="D4392">
        <v>5.4947359999999996</v>
      </c>
      <c r="E4392">
        <v>0.39372509999999999</v>
      </c>
      <c r="F4392" t="s">
        <v>39</v>
      </c>
      <c r="G4392">
        <v>-296.86590000000001</v>
      </c>
      <c r="H4392" s="1">
        <v>-1.3491210000000001E-6</v>
      </c>
      <c r="I4392">
        <v>-28.83792</v>
      </c>
      <c r="J4392">
        <v>-301.90050000000002</v>
      </c>
      <c r="K4392">
        <v>1.1084769999999999</v>
      </c>
      <c r="L4392">
        <v>-15.24661</v>
      </c>
      <c r="M4392">
        <v>-5.2938789999999999E-2</v>
      </c>
      <c r="N4392">
        <v>0</v>
      </c>
      <c r="O4392">
        <v>-0.99850539999999999</v>
      </c>
      <c r="P4392">
        <v>8.4169380000000002E-2</v>
      </c>
      <c r="Q4392">
        <v>1.0411190000000001E-2</v>
      </c>
      <c r="R4392">
        <v>-0.99639730000000004</v>
      </c>
      <c r="S4392">
        <v>1.049774</v>
      </c>
      <c r="T4392">
        <v>-0.232183799999999</v>
      </c>
      <c r="U4392">
        <v>-2.9308779999999999</v>
      </c>
      <c r="V4392">
        <v>-0.13668939999999999</v>
      </c>
      <c r="W4392">
        <v>2.4523010000000001E-2</v>
      </c>
      <c r="X4392">
        <v>0.99031039999999904</v>
      </c>
      <c r="Y4392">
        <v>-0.38565179999999999</v>
      </c>
      <c r="Z4392">
        <v>7.3478639999999998E-2</v>
      </c>
      <c r="AA4392">
        <v>0.91971389999999997</v>
      </c>
      <c r="AB4392">
        <v>30</v>
      </c>
      <c r="AC4392">
        <v>5.03460000000001</v>
      </c>
      <c r="AD4392">
        <v>-1.108478349121</v>
      </c>
      <c r="AE4392">
        <v>-13.59131</v>
      </c>
      <c r="AF4392">
        <v>-5.7136929255575302</v>
      </c>
      <c r="AG4392">
        <v>-1.108478349121</v>
      </c>
      <c r="AH4392">
        <v>13.228324276627401</v>
      </c>
      <c r="AI4392">
        <v>94.398911601116595</v>
      </c>
      <c r="AJ4392">
        <v>113.360901752004</v>
      </c>
      <c r="AK4392">
        <v>14.452113141878099</v>
      </c>
    </row>
    <row r="4393" spans="1:37" x14ac:dyDescent="0.2">
      <c r="A4393" t="str">
        <f>"20200111154151388"</f>
        <v>20200111154151388</v>
      </c>
      <c r="B4393" t="str">
        <f>"1578728511380084"</f>
        <v>1578728511380084</v>
      </c>
      <c r="C4393" t="s">
        <v>37</v>
      </c>
      <c r="D4393">
        <v>5.4534919999999998</v>
      </c>
      <c r="E4393">
        <v>0.39462449999999999</v>
      </c>
      <c r="F4393" t="s">
        <v>39</v>
      </c>
      <c r="G4393">
        <v>-296.50510000000003</v>
      </c>
      <c r="H4393" s="1">
        <v>-1.131028E-6</v>
      </c>
      <c r="I4393">
        <v>-29.760950000000001</v>
      </c>
      <c r="J4393">
        <v>-301.92189999999999</v>
      </c>
      <c r="K4393">
        <v>1.108635</v>
      </c>
      <c r="L4393">
        <v>-15.59567</v>
      </c>
      <c r="M4393">
        <v>-5.537305E-2</v>
      </c>
      <c r="N4393">
        <v>0</v>
      </c>
      <c r="O4393">
        <v>-0.99837330000000002</v>
      </c>
      <c r="P4393">
        <v>8.5154640000000004E-2</v>
      </c>
      <c r="Q4393">
        <v>1.140798E-2</v>
      </c>
      <c r="R4393">
        <v>-0.99630269999999999</v>
      </c>
      <c r="S4393">
        <v>1.0859989999999999</v>
      </c>
      <c r="T4393">
        <v>-0.2231146</v>
      </c>
      <c r="U4393">
        <v>-2.9214479999999998</v>
      </c>
      <c r="V4393">
        <v>-0.14008699999999999</v>
      </c>
      <c r="W4393">
        <v>2.5483539999999999E-2</v>
      </c>
      <c r="X4393">
        <v>0.989811199999999</v>
      </c>
      <c r="Y4393">
        <v>-0.39893709999999999</v>
      </c>
      <c r="Z4393">
        <v>7.0469190000000001E-2</v>
      </c>
      <c r="AA4393">
        <v>0.91426649999999998</v>
      </c>
      <c r="AB4393">
        <v>30</v>
      </c>
      <c r="AC4393">
        <v>5.4167999999999603</v>
      </c>
      <c r="AD4393">
        <v>-1.108636131028</v>
      </c>
      <c r="AE4393">
        <v>-14.165279999999999</v>
      </c>
      <c r="AF4393">
        <v>-6.1600164744150803</v>
      </c>
      <c r="AG4393">
        <v>-1.108636131028</v>
      </c>
      <c r="AH4393">
        <v>13.7699852285718</v>
      </c>
      <c r="AI4393">
        <v>94.203250304313201</v>
      </c>
      <c r="AJ4393">
        <v>114.101402147437</v>
      </c>
      <c r="AK4393">
        <v>15.125718833535499</v>
      </c>
    </row>
    <row r="4394" spans="1:37" x14ac:dyDescent="0.2">
      <c r="A4394" t="str">
        <f>"20200111154151410"</f>
        <v>20200111154151410</v>
      </c>
      <c r="B4394" t="str">
        <f>"1578728511400580"</f>
        <v>1578728511400580</v>
      </c>
      <c r="C4394" t="s">
        <v>37</v>
      </c>
      <c r="D4394">
        <v>5.4535980000000004</v>
      </c>
      <c r="E4394">
        <v>0.39489459999999998</v>
      </c>
      <c r="F4394" t="s">
        <v>38</v>
      </c>
      <c r="G4394">
        <v>-301.54349999999999</v>
      </c>
      <c r="H4394">
        <v>1.029137</v>
      </c>
      <c r="I4394">
        <v>-16.617809999999999</v>
      </c>
      <c r="J4394">
        <v>-301.94029999999998</v>
      </c>
      <c r="K4394">
        <v>1.108779</v>
      </c>
      <c r="L4394">
        <v>-15.888029999999899</v>
      </c>
      <c r="M4394">
        <v>-5.72531999999999E-2</v>
      </c>
      <c r="N4394">
        <v>0</v>
      </c>
      <c r="O4394">
        <v>-0.99826719999999902</v>
      </c>
      <c r="P4394">
        <v>8.6997169999999999E-2</v>
      </c>
      <c r="Q4394">
        <v>1.2155910000000001E-2</v>
      </c>
      <c r="R4394">
        <v>-0.99613449999999903</v>
      </c>
      <c r="S4394">
        <v>1.0819399999999999</v>
      </c>
      <c r="T4394">
        <v>-0.22721069999999999</v>
      </c>
      <c r="U4394">
        <v>-2.921265</v>
      </c>
      <c r="V4394">
        <v>-0.1437861</v>
      </c>
      <c r="W4394">
        <v>2.6197129999999999E-2</v>
      </c>
      <c r="X4394">
        <v>0.98926199999999997</v>
      </c>
      <c r="Y4394">
        <v>-0.39953290000000002</v>
      </c>
      <c r="Z4394">
        <v>7.1754769999999996E-2</v>
      </c>
      <c r="AA4394">
        <v>0.91390629999999995</v>
      </c>
      <c r="AB4394">
        <v>30</v>
      </c>
      <c r="AC4394">
        <v>0.396799999999984</v>
      </c>
      <c r="AD4394">
        <v>-7.9641999999999893E-2</v>
      </c>
      <c r="AE4394">
        <v>-0.72978000000000298</v>
      </c>
      <c r="AF4394">
        <v>-0.43394620661896399</v>
      </c>
      <c r="AG4394">
        <v>-7.9641999999999893E-2</v>
      </c>
      <c r="AH4394">
        <v>0.69943325313209703</v>
      </c>
      <c r="AI4394">
        <v>95.526563234317507</v>
      </c>
      <c r="AJ4394">
        <v>121.81651838530099</v>
      </c>
      <c r="AK4394">
        <v>0.82695769782373796</v>
      </c>
    </row>
    <row r="4395" spans="1:37" x14ac:dyDescent="0.2">
      <c r="A4395" t="str">
        <f>"20200111154151433"</f>
        <v>20200111154151433</v>
      </c>
      <c r="B4395" t="str">
        <f>"1578728511430836"</f>
        <v>1578728511430836</v>
      </c>
      <c r="C4395" t="s">
        <v>37</v>
      </c>
      <c r="D4395">
        <v>5.4317640000000003</v>
      </c>
      <c r="E4395">
        <v>0.39572239999999997</v>
      </c>
      <c r="F4395" t="s">
        <v>39</v>
      </c>
      <c r="G4395">
        <v>-296.72469999999998</v>
      </c>
      <c r="H4395" s="1">
        <v>-1.0175E-6</v>
      </c>
      <c r="I4395">
        <v>-29.922859999999901</v>
      </c>
      <c r="J4395">
        <v>-301.96030000000002</v>
      </c>
      <c r="K4395">
        <v>1.1089180000000001</v>
      </c>
      <c r="L4395">
        <v>-16.19998</v>
      </c>
      <c r="M4395">
        <v>-5.9117910000000003E-2</v>
      </c>
      <c r="N4395">
        <v>0</v>
      </c>
      <c r="O4395">
        <v>-0.99815869999999995</v>
      </c>
      <c r="P4395">
        <v>8.8696919999999999E-2</v>
      </c>
      <c r="Q4395">
        <v>1.383495E-2</v>
      </c>
      <c r="R4395">
        <v>-0.99596299999999904</v>
      </c>
      <c r="S4395">
        <v>1.0850219999999999</v>
      </c>
      <c r="T4395">
        <v>-0.2306629</v>
      </c>
      <c r="U4395">
        <v>-2.919708</v>
      </c>
      <c r="V4395">
        <v>-0.1473226</v>
      </c>
      <c r="W4395">
        <v>2.7838269999999998E-2</v>
      </c>
      <c r="X4395">
        <v>0.98869660000000004</v>
      </c>
      <c r="Y4395">
        <v>-0.40222249999999998</v>
      </c>
      <c r="Z4395">
        <v>7.2804599999999997E-2</v>
      </c>
      <c r="AA4395">
        <v>0.91264269999999903</v>
      </c>
      <c r="AB4395">
        <v>30</v>
      </c>
      <c r="AC4395">
        <v>5.23560000000003</v>
      </c>
      <c r="AD4395">
        <v>-1.1089190175000001</v>
      </c>
      <c r="AE4395">
        <v>-13.7228799999999</v>
      </c>
      <c r="AF4395">
        <v>-6.0035624310961699</v>
      </c>
      <c r="AG4395">
        <v>-1.1089190175000001</v>
      </c>
      <c r="AH4395">
        <v>13.313438632073799</v>
      </c>
      <c r="AI4395">
        <v>94.342144301212201</v>
      </c>
      <c r="AJ4395">
        <v>114.272519425976</v>
      </c>
      <c r="AK4395">
        <v>14.6465050937566</v>
      </c>
    </row>
    <row r="4396" spans="1:37" x14ac:dyDescent="0.2">
      <c r="A4396" t="str">
        <f>"20200111154151460"</f>
        <v>20200111154151460</v>
      </c>
      <c r="B4396" t="str">
        <f>"1578728511450357"</f>
        <v>1578728511450357</v>
      </c>
      <c r="C4396" t="s">
        <v>37</v>
      </c>
      <c r="D4396">
        <v>5.4168279999999998</v>
      </c>
      <c r="E4396">
        <v>0.39628459999999899</v>
      </c>
      <c r="F4396" t="s">
        <v>39</v>
      </c>
      <c r="G4396">
        <v>-296.8963</v>
      </c>
      <c r="H4396" s="1">
        <v>-9.9268290000000006E-7</v>
      </c>
      <c r="I4396">
        <v>-29.861559999999901</v>
      </c>
      <c r="J4396">
        <v>-301.98289999999997</v>
      </c>
      <c r="K4396">
        <v>1.1090580000000001</v>
      </c>
      <c r="L4396">
        <v>-16.544740000000001</v>
      </c>
      <c r="M4396">
        <v>-6.1029989999999999E-2</v>
      </c>
      <c r="N4396">
        <v>0</v>
      </c>
      <c r="O4396">
        <v>-0.99804319999999902</v>
      </c>
      <c r="P4396">
        <v>9.0129130000000002E-2</v>
      </c>
      <c r="Q4396">
        <v>1.6238849999999999E-2</v>
      </c>
      <c r="R4396">
        <v>-0.99579789999999901</v>
      </c>
      <c r="S4396">
        <v>1.082031</v>
      </c>
      <c r="T4396">
        <v>-0.23694490000000001</v>
      </c>
      <c r="U4396">
        <v>-2.919098</v>
      </c>
      <c r="V4396">
        <v>-0.15063560000000001</v>
      </c>
      <c r="W4396">
        <v>3.0203819999999999E-2</v>
      </c>
      <c r="X4396">
        <v>0.9881278</v>
      </c>
      <c r="Y4396">
        <v>-0.40316449999999998</v>
      </c>
      <c r="Z4396">
        <v>7.4772909999999998E-2</v>
      </c>
      <c r="AA4396">
        <v>0.91206769999999904</v>
      </c>
      <c r="AB4396">
        <v>30</v>
      </c>
      <c r="AC4396">
        <v>5.0865999999999696</v>
      </c>
      <c r="AD4396">
        <v>-1.1090589926829</v>
      </c>
      <c r="AE4396">
        <v>-13.3168199999999</v>
      </c>
      <c r="AF4396">
        <v>-5.8544806662454301</v>
      </c>
      <c r="AG4396">
        <v>-1.1090589926829</v>
      </c>
      <c r="AH4396">
        <v>12.9034252553804</v>
      </c>
      <c r="AI4396">
        <v>94.475481173779599</v>
      </c>
      <c r="AJ4396">
        <v>114.40451975834701</v>
      </c>
      <c r="AK4396">
        <v>14.212787870150001</v>
      </c>
    </row>
    <row r="4397" spans="1:37" x14ac:dyDescent="0.2">
      <c r="A4397" t="str">
        <f>"20200111154151497"</f>
        <v>20200111154151497</v>
      </c>
      <c r="B4397" t="str">
        <f>"1578728511490741"</f>
        <v>1578728511490741</v>
      </c>
      <c r="C4397" t="s">
        <v>37</v>
      </c>
      <c r="D4397">
        <v>5.4290039999999999</v>
      </c>
      <c r="E4397">
        <v>0.39730650000000001</v>
      </c>
      <c r="F4397" t="s">
        <v>39</v>
      </c>
      <c r="G4397">
        <v>-296.91559999999998</v>
      </c>
      <c r="H4397" s="1">
        <v>-8.6303159999999905E-7</v>
      </c>
      <c r="I4397">
        <v>-30.227459999999901</v>
      </c>
      <c r="J4397">
        <v>-302.01650000000001</v>
      </c>
      <c r="K4397">
        <v>1.1091899999999999</v>
      </c>
      <c r="L4397">
        <v>-17.04318</v>
      </c>
      <c r="M4397">
        <v>-6.3587350000000001E-2</v>
      </c>
      <c r="N4397">
        <v>0</v>
      </c>
      <c r="O4397">
        <v>-0.99788369999999904</v>
      </c>
      <c r="P4397">
        <v>9.2653830000000006E-2</v>
      </c>
      <c r="Q4397">
        <v>1.951994E-2</v>
      </c>
      <c r="R4397">
        <v>-0.99550709999999998</v>
      </c>
      <c r="S4397">
        <v>1.080902</v>
      </c>
      <c r="T4397">
        <v>-0.2365739</v>
      </c>
      <c r="U4397">
        <v>-2.9186709999999998</v>
      </c>
      <c r="V4397">
        <v>-0.15566759999999999</v>
      </c>
      <c r="W4397">
        <v>3.3444670000000003E-2</v>
      </c>
      <c r="X4397">
        <v>0.98724319999999899</v>
      </c>
      <c r="Y4397">
        <v>-0.4052442</v>
      </c>
      <c r="Z4397">
        <v>7.4616740000000001E-2</v>
      </c>
      <c r="AA4397">
        <v>0.91115829999999998</v>
      </c>
      <c r="AB4397">
        <v>30</v>
      </c>
      <c r="AC4397">
        <v>5.1009000000000198</v>
      </c>
      <c r="AD4397">
        <v>-1.1091908630316001</v>
      </c>
      <c r="AE4397">
        <v>-13.1842799999999</v>
      </c>
      <c r="AF4397">
        <v>-5.8927286996758896</v>
      </c>
      <c r="AG4397">
        <v>-1.1091908630316001</v>
      </c>
      <c r="AH4397">
        <v>12.7546892152422</v>
      </c>
      <c r="AI4397">
        <v>94.513864949482098</v>
      </c>
      <c r="AJ4397">
        <v>114.79716765207</v>
      </c>
      <c r="AK4397">
        <v>14.0938515983401</v>
      </c>
    </row>
    <row r="4398" spans="1:37" x14ac:dyDescent="0.2">
      <c r="A4398" t="str">
        <f>"20200111154151525"</f>
        <v>20200111154151525</v>
      </c>
      <c r="B4398" t="str">
        <f>"1578728511520022"</f>
        <v>1578728511520022</v>
      </c>
      <c r="C4398" t="s">
        <v>37</v>
      </c>
      <c r="D4398">
        <v>5.4301529999999998</v>
      </c>
      <c r="E4398">
        <v>0.39774179999999998</v>
      </c>
      <c r="F4398" t="s">
        <v>39</v>
      </c>
      <c r="G4398">
        <v>-297.01830000000001</v>
      </c>
      <c r="H4398" s="1">
        <v>-4.7378440000000001E-6</v>
      </c>
      <c r="I4398">
        <v>-30.556079999999898</v>
      </c>
      <c r="J4398">
        <v>-302.04250000000002</v>
      </c>
      <c r="K4398">
        <v>1.1092519999999999</v>
      </c>
      <c r="L4398">
        <v>-17.41714</v>
      </c>
      <c r="M4398">
        <v>-6.541806E-2</v>
      </c>
      <c r="N4398">
        <v>0</v>
      </c>
      <c r="O4398">
        <v>-0.99776520000000002</v>
      </c>
      <c r="P4398">
        <v>9.2760770000000006E-2</v>
      </c>
      <c r="Q4398">
        <v>1.9961969999999999E-2</v>
      </c>
      <c r="R4398">
        <v>-0.9954885</v>
      </c>
      <c r="S4398">
        <v>1.0792539999999999</v>
      </c>
      <c r="T4398">
        <v>-0.2395041</v>
      </c>
      <c r="U4398">
        <v>-2.917786</v>
      </c>
      <c r="V4398">
        <v>-0.15758810000000001</v>
      </c>
      <c r="W4398">
        <v>3.3865470000000002E-2</v>
      </c>
      <c r="X4398">
        <v>0.98692409999999997</v>
      </c>
      <c r="Y4398">
        <v>-0.40653329999999999</v>
      </c>
      <c r="Z4398">
        <v>7.5526780000000002E-2</v>
      </c>
      <c r="AA4398">
        <v>0.91050889999999995</v>
      </c>
      <c r="AB4398">
        <v>30</v>
      </c>
      <c r="AC4398">
        <v>5.0242000000000004</v>
      </c>
      <c r="AD4398">
        <v>-1.1092567378439999</v>
      </c>
      <c r="AE4398">
        <v>-13.1389399999999</v>
      </c>
      <c r="AF4398">
        <v>-5.8367445272804597</v>
      </c>
      <c r="AG4398">
        <v>-1.1092567378439999</v>
      </c>
      <c r="AH4398">
        <v>12.7030944068789</v>
      </c>
      <c r="AI4398">
        <v>94.536733399207193</v>
      </c>
      <c r="AJ4398">
        <v>114.677561964939</v>
      </c>
      <c r="AK4398">
        <v>14.023788528684699</v>
      </c>
    </row>
    <row r="4399" spans="1:37" x14ac:dyDescent="0.2">
      <c r="A4399" t="str">
        <f>"20200111154151546"</f>
        <v>20200111154151546</v>
      </c>
      <c r="B4399" t="str">
        <f>"1578728511540518"</f>
        <v>1578728511540518</v>
      </c>
      <c r="C4399" t="s">
        <v>37</v>
      </c>
      <c r="D4399">
        <v>5.4291070000000001</v>
      </c>
      <c r="E4399">
        <v>0.3979743</v>
      </c>
      <c r="F4399" t="s">
        <v>38</v>
      </c>
      <c r="G4399">
        <v>-301.67649999999998</v>
      </c>
      <c r="H4399">
        <v>1.0260359999999999</v>
      </c>
      <c r="I4399">
        <v>-18.410219999999999</v>
      </c>
      <c r="J4399">
        <v>-302.0616</v>
      </c>
      <c r="K4399">
        <v>1.1092930000000001</v>
      </c>
      <c r="L4399">
        <v>-17.686219999999999</v>
      </c>
      <c r="M4399">
        <v>-6.6671510000000003E-2</v>
      </c>
      <c r="N4399">
        <v>0</v>
      </c>
      <c r="O4399">
        <v>-0.99768259999999898</v>
      </c>
      <c r="P4399">
        <v>9.4010640000000006E-2</v>
      </c>
      <c r="Q4399">
        <v>1.840719E-2</v>
      </c>
      <c r="R4399">
        <v>-0.99540119999999899</v>
      </c>
      <c r="S4399">
        <v>1.0754699999999999</v>
      </c>
      <c r="T4399">
        <v>-0.24454380000000001</v>
      </c>
      <c r="U4399">
        <v>-2.918304</v>
      </c>
      <c r="V4399">
        <v>-0.16007839999999901</v>
      </c>
      <c r="W4399">
        <v>3.2293259999999997E-2</v>
      </c>
      <c r="X4399">
        <v>0.98657589999999995</v>
      </c>
      <c r="Y4399">
        <v>-0.40654649999999998</v>
      </c>
      <c r="Z4399">
        <v>7.7099189999999998E-2</v>
      </c>
      <c r="AA4399">
        <v>0.91037119999999905</v>
      </c>
      <c r="AB4399">
        <v>30</v>
      </c>
      <c r="AC4399">
        <v>0.38510000000002198</v>
      </c>
      <c r="AD4399">
        <v>-8.3257000000000095E-2</v>
      </c>
      <c r="AE4399">
        <v>-0.72399999999999998</v>
      </c>
      <c r="AF4399">
        <v>-0.42810481649316401</v>
      </c>
      <c r="AG4399">
        <v>-8.3257000000000095E-2</v>
      </c>
      <c r="AH4399">
        <v>0.68960297480436905</v>
      </c>
      <c r="AI4399">
        <v>95.856549350139403</v>
      </c>
      <c r="AJ4399">
        <v>121.83196774475</v>
      </c>
      <c r="AK4399">
        <v>0.815939780138633</v>
      </c>
    </row>
    <row r="4400" spans="1:37" x14ac:dyDescent="0.2">
      <c r="A4400" t="str">
        <f>"20200111154151567"</f>
        <v>20200111154151567</v>
      </c>
      <c r="B4400" t="str">
        <f>"1578728511560038"</f>
        <v>1578728511560038</v>
      </c>
      <c r="C4400" t="s">
        <v>37</v>
      </c>
      <c r="D4400">
        <v>5.4175079999999998</v>
      </c>
      <c r="E4400">
        <v>0.3981749</v>
      </c>
      <c r="F4400" t="s">
        <v>38</v>
      </c>
      <c r="G4400">
        <v>-301.69650000000001</v>
      </c>
      <c r="H4400">
        <v>1.0231539999999999</v>
      </c>
      <c r="I4400">
        <v>-18.675929999999902</v>
      </c>
      <c r="J4400">
        <v>-302.08269999999999</v>
      </c>
      <c r="K4400">
        <v>1.109354</v>
      </c>
      <c r="L4400">
        <v>-17.980129999999999</v>
      </c>
      <c r="M4400">
        <v>-6.7972649999999996E-2</v>
      </c>
      <c r="N4400">
        <v>0</v>
      </c>
      <c r="O4400">
        <v>-0.99759469999999995</v>
      </c>
      <c r="P4400">
        <v>9.5471059999999996E-2</v>
      </c>
      <c r="Q4400">
        <v>1.572774E-2</v>
      </c>
      <c r="R4400">
        <v>-0.99530830000000003</v>
      </c>
      <c r="S4400">
        <v>1.0763240000000001</v>
      </c>
      <c r="T4400">
        <v>-0.2538725</v>
      </c>
      <c r="U4400">
        <v>-2.91690099999999</v>
      </c>
      <c r="V4400">
        <v>-0.16282839999999901</v>
      </c>
      <c r="W4400">
        <v>2.9588980000000001E-2</v>
      </c>
      <c r="X4400">
        <v>0.98621059999999905</v>
      </c>
      <c r="Y4400">
        <v>-0.40803309999999998</v>
      </c>
      <c r="Z4400">
        <v>8.0012840000000002E-2</v>
      </c>
      <c r="AA4400">
        <v>0.90945419999999999</v>
      </c>
      <c r="AB4400">
        <v>30</v>
      </c>
      <c r="AC4400">
        <v>0.38619999999997301</v>
      </c>
      <c r="AD4400">
        <v>-8.6199999999999999E-2</v>
      </c>
      <c r="AE4400">
        <v>-0.69579999999999798</v>
      </c>
      <c r="AF4400">
        <v>-0.42758940560370801</v>
      </c>
      <c r="AG4400">
        <v>-8.6199999999999999E-2</v>
      </c>
      <c r="AH4400">
        <v>0.66019089229845995</v>
      </c>
      <c r="AI4400">
        <v>96.254110547306496</v>
      </c>
      <c r="AJ4400">
        <v>122.930137636835</v>
      </c>
      <c r="AK4400">
        <v>0.791274386075001</v>
      </c>
    </row>
    <row r="4401" spans="1:37" x14ac:dyDescent="0.2">
      <c r="A4401" t="str">
        <f>"20200111154151590"</f>
        <v>20200111154151590</v>
      </c>
      <c r="B4401" t="str">
        <f>"1578728511580533"</f>
        <v>1578728511580533</v>
      </c>
      <c r="C4401" t="s">
        <v>37</v>
      </c>
      <c r="D4401">
        <v>5.4007489999999896</v>
      </c>
      <c r="E4401">
        <v>0.3983352</v>
      </c>
      <c r="F4401" t="s">
        <v>38</v>
      </c>
      <c r="G4401">
        <v>-301.72629999999998</v>
      </c>
      <c r="H4401">
        <v>1.0210030000000001</v>
      </c>
      <c r="I4401">
        <v>-18.943739999999998</v>
      </c>
      <c r="J4401">
        <v>-302.10449999999997</v>
      </c>
      <c r="K4401">
        <v>1.1094580000000001</v>
      </c>
      <c r="L4401">
        <v>-18.278870000000001</v>
      </c>
      <c r="M4401">
        <v>-6.9155419999999995E-2</v>
      </c>
      <c r="N4401">
        <v>0</v>
      </c>
      <c r="O4401">
        <v>-0.99751350000000005</v>
      </c>
      <c r="P4401">
        <v>9.6294950000000004E-2</v>
      </c>
      <c r="Q4401">
        <v>1.4020339999999999E-2</v>
      </c>
      <c r="R4401">
        <v>-0.99525459999999999</v>
      </c>
      <c r="S4401">
        <v>1.0780940000000001</v>
      </c>
      <c r="T4401">
        <v>-0.26726659999999902</v>
      </c>
      <c r="U4401">
        <v>-2.9149479999999999</v>
      </c>
      <c r="V4401">
        <v>-0.16482829999999901</v>
      </c>
      <c r="W4401">
        <v>2.7838269999999998E-2</v>
      </c>
      <c r="X4401">
        <v>0.98592930000000001</v>
      </c>
      <c r="Y4401">
        <v>-0.409676599999999</v>
      </c>
      <c r="Z4401">
        <v>8.4202479999999996E-2</v>
      </c>
      <c r="AA4401">
        <v>0.90833639999999904</v>
      </c>
      <c r="AB4401">
        <v>30</v>
      </c>
      <c r="AC4401">
        <v>0.37819999999999199</v>
      </c>
      <c r="AD4401">
        <v>-8.8454999999999895E-2</v>
      </c>
      <c r="AE4401">
        <v>-0.66486999999999696</v>
      </c>
      <c r="AF4401">
        <v>-0.41769224931364402</v>
      </c>
      <c r="AG4401">
        <v>-8.8454999999999895E-2</v>
      </c>
      <c r="AH4401">
        <v>0.62871325891735097</v>
      </c>
      <c r="AI4401">
        <v>96.683864205573798</v>
      </c>
      <c r="AJ4401">
        <v>123.598492651264</v>
      </c>
      <c r="AK4401">
        <v>0.75998122614981001</v>
      </c>
    </row>
    <row r="4402" spans="1:37" x14ac:dyDescent="0.2">
      <c r="A4402" t="str">
        <f>"20200111154151616"</f>
        <v>20200111154151616</v>
      </c>
      <c r="B4402" t="str">
        <f>"1578728511610790"</f>
        <v>1578728511610790</v>
      </c>
      <c r="C4402" t="s">
        <v>37</v>
      </c>
      <c r="D4402">
        <v>5.3851290000000001</v>
      </c>
      <c r="E4402">
        <v>0.3983836</v>
      </c>
      <c r="F4402" t="s">
        <v>38</v>
      </c>
      <c r="G4402">
        <v>-301.74009999999998</v>
      </c>
      <c r="H4402">
        <v>1.016357</v>
      </c>
      <c r="I4402">
        <v>-19.263210000000001</v>
      </c>
      <c r="J4402">
        <v>-302.13010000000003</v>
      </c>
      <c r="K4402">
        <v>1.109661</v>
      </c>
      <c r="L4402">
        <v>-18.628879999999999</v>
      </c>
      <c r="M4402">
        <v>-7.0269880000000007E-2</v>
      </c>
      <c r="N4402">
        <v>0</v>
      </c>
      <c r="O4402">
        <v>-0.99743549999999903</v>
      </c>
      <c r="P4402">
        <v>9.6646289999999996E-2</v>
      </c>
      <c r="Q4402">
        <v>1.529372E-2</v>
      </c>
      <c r="R4402">
        <v>-0.99520129999999996</v>
      </c>
      <c r="S4402">
        <v>1.0790409999999999</v>
      </c>
      <c r="T4402">
        <v>-0.27559829999999902</v>
      </c>
      <c r="U4402">
        <v>-2.9137879999999998</v>
      </c>
      <c r="V4402">
        <v>-0.16628699999999999</v>
      </c>
      <c r="W4402">
        <v>2.9031319999999999E-2</v>
      </c>
      <c r="X4402">
        <v>0.98564989999999997</v>
      </c>
      <c r="Y4402">
        <v>-0.4109932</v>
      </c>
      <c r="Z4402">
        <v>8.6795430000000007E-2</v>
      </c>
      <c r="AA4402">
        <v>0.9074972</v>
      </c>
      <c r="AB4402">
        <v>30</v>
      </c>
      <c r="AC4402">
        <v>0.39000000000004298</v>
      </c>
      <c r="AD4402">
        <v>-9.3303999999999998E-2</v>
      </c>
      <c r="AE4402">
        <v>-0.63433000000000195</v>
      </c>
      <c r="AF4402">
        <v>-0.42691134993597302</v>
      </c>
      <c r="AG4402">
        <v>-9.3303999999999998E-2</v>
      </c>
      <c r="AH4402">
        <v>0.59599631727443803</v>
      </c>
      <c r="AI4402">
        <v>97.253026971148799</v>
      </c>
      <c r="AJ4402">
        <v>125.613973593099</v>
      </c>
      <c r="AK4402">
        <v>0.73903352246352705</v>
      </c>
    </row>
    <row r="4403" spans="1:37" x14ac:dyDescent="0.2">
      <c r="A4403" t="str">
        <f>"20200111154151638"</f>
        <v>20200111154151638</v>
      </c>
      <c r="B4403" t="str">
        <f>"1578728511630310"</f>
        <v>1578728511630310</v>
      </c>
      <c r="C4403" t="s">
        <v>37</v>
      </c>
      <c r="D4403">
        <v>5.4203419999999998</v>
      </c>
      <c r="E4403">
        <v>0.39838390000000001</v>
      </c>
      <c r="F4403" t="s">
        <v>39</v>
      </c>
      <c r="G4403">
        <v>-297.79849999999999</v>
      </c>
      <c r="H4403" s="1">
        <v>-5.9492560000000002E-7</v>
      </c>
      <c r="I4403">
        <v>-30.325019999999999</v>
      </c>
      <c r="J4403">
        <v>-302.15109999999999</v>
      </c>
      <c r="K4403">
        <v>1.1098840000000001</v>
      </c>
      <c r="L4403">
        <v>-18.914860000000001</v>
      </c>
      <c r="M4403">
        <v>-7.0902560000000003E-2</v>
      </c>
      <c r="N4403">
        <v>0</v>
      </c>
      <c r="O4403">
        <v>-0.99739069999999996</v>
      </c>
      <c r="P4403">
        <v>9.7688540000000004E-2</v>
      </c>
      <c r="Q4403">
        <v>1.8409399999999999E-2</v>
      </c>
      <c r="R4403">
        <v>-0.9950466</v>
      </c>
      <c r="S4403">
        <v>1.0791629999999901</v>
      </c>
      <c r="T4403">
        <v>-0.2764547</v>
      </c>
      <c r="U4403">
        <v>-2.91391</v>
      </c>
      <c r="V4403">
        <v>-0.16794999999999999</v>
      </c>
      <c r="W4403">
        <v>3.2060199999999997E-2</v>
      </c>
      <c r="X4403">
        <v>0.98527399999999998</v>
      </c>
      <c r="Y4403">
        <v>-0.41158429999999901</v>
      </c>
      <c r="Z4403">
        <v>8.7040480000000003E-2</v>
      </c>
      <c r="AA4403">
        <v>0.90720579999999995</v>
      </c>
      <c r="AB4403">
        <v>30</v>
      </c>
      <c r="AC4403">
        <v>4.35259999999999</v>
      </c>
      <c r="AD4403">
        <v>-1.1098845949256</v>
      </c>
      <c r="AE4403">
        <v>-11.410159999999999</v>
      </c>
      <c r="AF4403">
        <v>-5.1085322383496798</v>
      </c>
      <c r="AG4403">
        <v>-1.1098845949256</v>
      </c>
      <c r="AH4403">
        <v>10.982089073638599</v>
      </c>
      <c r="AI4403">
        <v>95.235633370716798</v>
      </c>
      <c r="AJ4403">
        <v>114.946409435665</v>
      </c>
      <c r="AK4403">
        <v>12.162862568723</v>
      </c>
    </row>
    <row r="4404" spans="1:37" x14ac:dyDescent="0.2">
      <c r="A4404" t="str">
        <f>"20200111154151662"</f>
        <v>20200111154151662</v>
      </c>
      <c r="B4404" t="str">
        <f>"1578728511650806"</f>
        <v>1578728511650806</v>
      </c>
      <c r="C4404" t="s">
        <v>37</v>
      </c>
      <c r="D4404">
        <v>5.4504019999999898</v>
      </c>
      <c r="E4404">
        <v>0.39860889999999999</v>
      </c>
      <c r="F4404" t="s">
        <v>39</v>
      </c>
      <c r="G4404">
        <v>-297.7217</v>
      </c>
      <c r="H4404" s="1">
        <v>-4.4895370000000003E-6</v>
      </c>
      <c r="I4404">
        <v>-30.84403</v>
      </c>
      <c r="J4404">
        <v>-302.17439999999999</v>
      </c>
      <c r="K4404">
        <v>1.1101620000000001</v>
      </c>
      <c r="L4404">
        <v>-19.235600000000002</v>
      </c>
      <c r="M4404">
        <v>-7.1284899999999998E-2</v>
      </c>
      <c r="N4404">
        <v>0</v>
      </c>
      <c r="O4404">
        <v>-0.99736380000000002</v>
      </c>
      <c r="P4404">
        <v>9.9511279999999994E-2</v>
      </c>
      <c r="Q4404">
        <v>2.0343630000000001E-2</v>
      </c>
      <c r="R4404">
        <v>-0.99482859999999995</v>
      </c>
      <c r="S4404">
        <v>1.081879</v>
      </c>
      <c r="T4404">
        <v>-0.27109250000000001</v>
      </c>
      <c r="U4404">
        <v>-2.9137270000000002</v>
      </c>
      <c r="V4404">
        <v>-0.17014889999999999</v>
      </c>
      <c r="W4404">
        <v>3.3882160000000001E-2</v>
      </c>
      <c r="X4404">
        <v>0.98483569999999998</v>
      </c>
      <c r="Y4404">
        <v>-0.41274709999999998</v>
      </c>
      <c r="Z4404">
        <v>8.5330439999999994E-2</v>
      </c>
      <c r="AA4404">
        <v>0.90683979999999997</v>
      </c>
      <c r="AB4404">
        <v>30</v>
      </c>
      <c r="AC4404">
        <v>4.4526999999999903</v>
      </c>
      <c r="AD4404">
        <v>-1.110166489537</v>
      </c>
      <c r="AE4404">
        <v>-11.608429999999901</v>
      </c>
      <c r="AF4404">
        <v>-5.2272755117748497</v>
      </c>
      <c r="AG4404">
        <v>-1.110166489537</v>
      </c>
      <c r="AH4404">
        <v>11.172376856693401</v>
      </c>
      <c r="AI4404">
        <v>95.1429382214328</v>
      </c>
      <c r="AJ4404">
        <v>115.073717265819</v>
      </c>
      <c r="AK4404">
        <v>12.3846228662188</v>
      </c>
    </row>
    <row r="4405" spans="1:37" x14ac:dyDescent="0.2">
      <c r="A4405" t="str">
        <f>"20200111154151687"</f>
        <v>20200111154151687</v>
      </c>
      <c r="B4405" t="str">
        <f>"1578728511680086"</f>
        <v>1578728511680086</v>
      </c>
      <c r="C4405" t="s">
        <v>37</v>
      </c>
      <c r="D4405">
        <v>5.4715369999999997</v>
      </c>
      <c r="E4405">
        <v>0.48320099999999999</v>
      </c>
      <c r="F4405" t="s">
        <v>39</v>
      </c>
      <c r="G4405">
        <v>-297.67579999999998</v>
      </c>
      <c r="H4405" s="1">
        <v>-4.2951410000000003E-6</v>
      </c>
      <c r="I4405">
        <v>-31.316140000000001</v>
      </c>
      <c r="J4405">
        <v>-302.1977</v>
      </c>
      <c r="K4405">
        <v>1.1104510000000001</v>
      </c>
      <c r="L4405">
        <v>-19.559139999999999</v>
      </c>
      <c r="M4405">
        <v>-7.1236250000000001E-2</v>
      </c>
      <c r="N4405">
        <v>0</v>
      </c>
      <c r="O4405">
        <v>-0.997367</v>
      </c>
      <c r="P4405">
        <v>0.1011555</v>
      </c>
      <c r="Q4405">
        <v>2.225129E-2</v>
      </c>
      <c r="R4405">
        <v>-0.99462189999999995</v>
      </c>
      <c r="S4405">
        <v>1.084595</v>
      </c>
      <c r="T4405">
        <v>-0.26765630000000001</v>
      </c>
      <c r="U4405">
        <v>-2.9125669999999899</v>
      </c>
      <c r="V4405">
        <v>-0.17174779999999901</v>
      </c>
      <c r="W4405">
        <v>3.5672549999999997E-2</v>
      </c>
      <c r="X4405">
        <v>0.98449489999999995</v>
      </c>
      <c r="Y4405">
        <v>-0.413595299999999</v>
      </c>
      <c r="Z4405">
        <v>8.4258890000000003E-2</v>
      </c>
      <c r="AA4405">
        <v>0.90655359999999996</v>
      </c>
      <c r="AB4405">
        <v>30</v>
      </c>
      <c r="AC4405">
        <v>4.5219000000000102</v>
      </c>
      <c r="AD4405">
        <v>-1.1104552951410001</v>
      </c>
      <c r="AE4405">
        <v>-11.757</v>
      </c>
      <c r="AF4405">
        <v>-5.3067711044698997</v>
      </c>
      <c r="AG4405">
        <v>-1.1104552951410001</v>
      </c>
      <c r="AH4405">
        <v>11.3170243792796</v>
      </c>
      <c r="AI4405">
        <v>95.076837726515194</v>
      </c>
      <c r="AJ4405">
        <v>115.12278692561701</v>
      </c>
      <c r="AK4405">
        <v>12.5487039696916</v>
      </c>
    </row>
    <row r="4406" spans="1:37" x14ac:dyDescent="0.2">
      <c r="A4406" t="str">
        <f>"20200111154151710"</f>
        <v>20200111154151710</v>
      </c>
      <c r="B4406" t="str">
        <f>"1578728511700583"</f>
        <v>1578728511700583</v>
      </c>
      <c r="C4406" t="s">
        <v>37</v>
      </c>
      <c r="D4406">
        <v>5.3870579999999997</v>
      </c>
      <c r="E4406">
        <v>0.48840859999999903</v>
      </c>
      <c r="F4406" t="s">
        <v>39</v>
      </c>
      <c r="G4406">
        <v>-300.93619999999999</v>
      </c>
      <c r="H4406" s="1">
        <v>-9.7445219999999998E-7</v>
      </c>
      <c r="I4406">
        <v>-28.72007</v>
      </c>
      <c r="J4406">
        <v>-302.21940000000001</v>
      </c>
      <c r="K4406">
        <v>1.110703</v>
      </c>
      <c r="L4406">
        <v>-19.866489999999999</v>
      </c>
      <c r="M4406">
        <v>-7.0853020000000003E-2</v>
      </c>
      <c r="N4406">
        <v>0</v>
      </c>
      <c r="O4406">
        <v>-0.99739449999999996</v>
      </c>
      <c r="P4406">
        <v>0.1038573</v>
      </c>
      <c r="Q4406">
        <v>2.3547430000000001E-2</v>
      </c>
      <c r="R4406">
        <v>-0.99431369999999897</v>
      </c>
      <c r="S4406">
        <v>0.410705599999999</v>
      </c>
      <c r="T4406">
        <v>-0.36153239999999998</v>
      </c>
      <c r="U4406">
        <v>-2.9825439999999999</v>
      </c>
      <c r="V4406">
        <v>-0.174064</v>
      </c>
      <c r="W4406">
        <v>3.6860530000000002E-2</v>
      </c>
      <c r="X4406">
        <v>0.98404419999999904</v>
      </c>
      <c r="Y4406">
        <v>-0.2053083</v>
      </c>
      <c r="Z4406">
        <v>0.1180491</v>
      </c>
      <c r="AA4406">
        <v>0.97155179999999997</v>
      </c>
      <c r="AB4406">
        <v>30</v>
      </c>
      <c r="AC4406">
        <v>1.2832000000000201</v>
      </c>
      <c r="AD4406">
        <v>-1.1107039744522</v>
      </c>
      <c r="AE4406">
        <v>-8.8535799999999991</v>
      </c>
      <c r="AF4406">
        <v>-1.8783806832233301</v>
      </c>
      <c r="AG4406">
        <v>-1.1107039744522</v>
      </c>
      <c r="AH4406">
        <v>8.6077139316269005</v>
      </c>
      <c r="AI4406">
        <v>97.185319421871696</v>
      </c>
      <c r="AJ4406">
        <v>102.31013803696</v>
      </c>
      <c r="AK4406">
        <v>8.8800178174761708</v>
      </c>
    </row>
    <row r="4407" spans="1:37" x14ac:dyDescent="0.2">
      <c r="A4407" t="str">
        <f>"20200111154151742"</f>
        <v>20200111154151742</v>
      </c>
      <c r="B4407" t="str">
        <f>"1578728511730837"</f>
        <v>1578728511730837</v>
      </c>
      <c r="C4407" t="s">
        <v>37</v>
      </c>
      <c r="D4407">
        <v>5.4307989999999897</v>
      </c>
      <c r="E4407">
        <v>0.49027929999999997</v>
      </c>
      <c r="F4407" t="s">
        <v>39</v>
      </c>
      <c r="G4407">
        <v>-301.01749999999998</v>
      </c>
      <c r="H4407" s="1">
        <v>-7.1148099999999999E-7</v>
      </c>
      <c r="I4407">
        <v>-29.383469999999999</v>
      </c>
      <c r="J4407">
        <v>-302.2482</v>
      </c>
      <c r="K4407">
        <v>1.1109639999999901</v>
      </c>
      <c r="L4407">
        <v>-20.284849999999999</v>
      </c>
      <c r="M4407">
        <v>-6.9939580000000001E-2</v>
      </c>
      <c r="N4407">
        <v>0</v>
      </c>
      <c r="O4407">
        <v>-0.99745910000000004</v>
      </c>
      <c r="P4407">
        <v>0.11232789999999999</v>
      </c>
      <c r="Q4407">
        <v>2.3638059999999999E-2</v>
      </c>
      <c r="R4407">
        <v>-0.99339009999999905</v>
      </c>
      <c r="S4407">
        <v>0.37710569999999999</v>
      </c>
      <c r="T4407">
        <v>-0.3484913</v>
      </c>
      <c r="U4407">
        <v>-2.9860229999999999</v>
      </c>
      <c r="V4407">
        <v>-0.1815715</v>
      </c>
      <c r="W4407">
        <v>3.6811440000000001E-2</v>
      </c>
      <c r="X4407">
        <v>0.98268849999999996</v>
      </c>
      <c r="Y4407">
        <v>-0.19356039999999999</v>
      </c>
      <c r="Z4407">
        <v>0.1139508</v>
      </c>
      <c r="AA4407">
        <v>0.97444830000000004</v>
      </c>
      <c r="AB4407">
        <v>30</v>
      </c>
      <c r="AC4407">
        <v>1.2307000000000099</v>
      </c>
      <c r="AD4407">
        <v>-1.11096471148099</v>
      </c>
      <c r="AE4407">
        <v>-9.0986200000000004</v>
      </c>
      <c r="AF4407">
        <v>-1.8371991663221801</v>
      </c>
      <c r="AG4407">
        <v>-1.11096471148099</v>
      </c>
      <c r="AH4407">
        <v>8.8605245552656502</v>
      </c>
      <c r="AI4407">
        <v>96.999305179315499</v>
      </c>
      <c r="AJ4407">
        <v>101.71409140671599</v>
      </c>
      <c r="AK4407">
        <v>9.1169314334021703</v>
      </c>
    </row>
    <row r="4408" spans="1:37" x14ac:dyDescent="0.2">
      <c r="A4408" t="str">
        <f>"20200111154151768"</f>
        <v>20200111154151768</v>
      </c>
      <c r="B4408" t="str">
        <f>"1578728511760117"</f>
        <v>1578728511760117</v>
      </c>
      <c r="C4408" t="s">
        <v>37</v>
      </c>
      <c r="D4408">
        <v>5.6249180000000001</v>
      </c>
      <c r="E4408">
        <v>0.49177479999999901</v>
      </c>
      <c r="F4408" t="s">
        <v>39</v>
      </c>
      <c r="G4408">
        <v>-300.98430000000002</v>
      </c>
      <c r="H4408" s="1">
        <v>-4.1781149999999899E-7</v>
      </c>
      <c r="I4408">
        <v>-30.047419999999999</v>
      </c>
      <c r="J4408">
        <v>-302.2715</v>
      </c>
      <c r="K4408">
        <v>1.1111089999999999</v>
      </c>
      <c r="L4408">
        <v>-20.630739999999999</v>
      </c>
      <c r="M4408">
        <v>-6.8914429999999999E-2</v>
      </c>
      <c r="N4408">
        <v>0</v>
      </c>
      <c r="O4408">
        <v>-0.99753019999999903</v>
      </c>
      <c r="P4408">
        <v>0.1172948</v>
      </c>
      <c r="Q4408">
        <v>2.219954E-2</v>
      </c>
      <c r="R4408">
        <v>-0.99284910000000004</v>
      </c>
      <c r="S4408">
        <v>0.38638309999999998</v>
      </c>
      <c r="T4408">
        <v>-0.33961340000000001</v>
      </c>
      <c r="U4408">
        <v>-2.9843439999999899</v>
      </c>
      <c r="V4408">
        <v>-0.18549060000000001</v>
      </c>
      <c r="W4408">
        <v>3.5287979999999997E-2</v>
      </c>
      <c r="X4408">
        <v>0.982012199999999</v>
      </c>
      <c r="Y4408">
        <v>-0.19564210000000001</v>
      </c>
      <c r="Z4408">
        <v>0.11111359999999899</v>
      </c>
      <c r="AA4408">
        <v>0.97436029999999996</v>
      </c>
      <c r="AB4408">
        <v>29</v>
      </c>
      <c r="AC4408">
        <v>1.2871999999999799</v>
      </c>
      <c r="AD4408">
        <v>-1.1111094178115</v>
      </c>
      <c r="AE4408">
        <v>-9.4166799999999995</v>
      </c>
      <c r="AF4408">
        <v>-1.90707980523305</v>
      </c>
      <c r="AG4408">
        <v>-1.1111094178115</v>
      </c>
      <c r="AH4408">
        <v>9.1801076472721892</v>
      </c>
      <c r="AI4408">
        <v>96.758282292661406</v>
      </c>
      <c r="AJ4408">
        <v>101.735729085259</v>
      </c>
      <c r="AK4408">
        <v>9.4417103290337501</v>
      </c>
    </row>
    <row r="4409" spans="1:37" x14ac:dyDescent="0.2">
      <c r="A4409" t="str">
        <f>"20200111154151791"</f>
        <v>20200111154151791</v>
      </c>
      <c r="B4409" t="str">
        <f>"1578728511780614"</f>
        <v>1578728511780614</v>
      </c>
      <c r="C4409" t="s">
        <v>37</v>
      </c>
      <c r="D4409">
        <v>5.4103849999999998</v>
      </c>
      <c r="E4409">
        <v>0.49208789999999902</v>
      </c>
      <c r="F4409" t="s">
        <v>39</v>
      </c>
      <c r="G4409">
        <v>-300.99919999999997</v>
      </c>
      <c r="H4409" s="1">
        <v>-4.4746999999999997E-6</v>
      </c>
      <c r="I4409">
        <v>-30.384920000000001</v>
      </c>
      <c r="J4409">
        <v>-302.29059999999998</v>
      </c>
      <c r="K4409">
        <v>1.1111869999999999</v>
      </c>
      <c r="L4409">
        <v>-20.919799999999999</v>
      </c>
      <c r="M4409">
        <v>-6.7979150000000002E-2</v>
      </c>
      <c r="N4409">
        <v>0</v>
      </c>
      <c r="O4409">
        <v>-0.99759469999999995</v>
      </c>
      <c r="P4409">
        <v>0.12204089999999999</v>
      </c>
      <c r="Q4409">
        <v>2.0367420000000001E-2</v>
      </c>
      <c r="R4409">
        <v>-0.99231650000000005</v>
      </c>
      <c r="S4409">
        <v>0.38912959999999902</v>
      </c>
      <c r="T4409">
        <v>-0.33982600000000002</v>
      </c>
      <c r="U4409">
        <v>-2.9832459999999998</v>
      </c>
      <c r="V4409">
        <v>-0.18927330000000001</v>
      </c>
      <c r="W4409">
        <v>3.3398440000000001E-2</v>
      </c>
      <c r="X4409">
        <v>0.98135629999999996</v>
      </c>
      <c r="Y4409">
        <v>-0.19564909999999999</v>
      </c>
      <c r="Z4409">
        <v>0.1112267</v>
      </c>
      <c r="AA4409">
        <v>0.97434599999999905</v>
      </c>
      <c r="AB4409">
        <v>29</v>
      </c>
      <c r="AC4409">
        <v>1.2914000000000101</v>
      </c>
      <c r="AD4409">
        <v>-1.1111914747</v>
      </c>
      <c r="AE4409">
        <v>-9.4651200000000006</v>
      </c>
      <c r="AF4409">
        <v>-1.9061112832910101</v>
      </c>
      <c r="AG4409">
        <v>-1.1111914747</v>
      </c>
      <c r="AH4409">
        <v>9.23053024434269</v>
      </c>
      <c r="AI4409">
        <v>96.723835276920198</v>
      </c>
      <c r="AJ4409">
        <v>101.667619796615</v>
      </c>
      <c r="AK4409">
        <v>9.4905582190648996</v>
      </c>
    </row>
    <row r="4410" spans="1:37" x14ac:dyDescent="0.2">
      <c r="A4410" t="str">
        <f>"20200111154151817"</f>
        <v>20200111154151817</v>
      </c>
      <c r="B4410" t="str">
        <f>"1578728511810870"</f>
        <v>1578728511810870</v>
      </c>
      <c r="C4410" t="s">
        <v>37</v>
      </c>
      <c r="D4410">
        <v>5.4186750000000004</v>
      </c>
      <c r="E4410">
        <v>0.4925329</v>
      </c>
      <c r="F4410" t="s">
        <v>39</v>
      </c>
      <c r="G4410">
        <v>-301.00540000000001</v>
      </c>
      <c r="H4410" s="1">
        <v>-4.4374299999999996E-6</v>
      </c>
      <c r="I4410">
        <v>-30.497699999999998</v>
      </c>
      <c r="J4410">
        <v>-302.3125</v>
      </c>
      <c r="K4410">
        <v>1.111237</v>
      </c>
      <c r="L4410">
        <v>-21.25919</v>
      </c>
      <c r="M4410">
        <v>-6.6842960000000007E-2</v>
      </c>
      <c r="N4410">
        <v>0</v>
      </c>
      <c r="O4410">
        <v>-0.99767129999999904</v>
      </c>
      <c r="P4410">
        <v>0.12806489999999901</v>
      </c>
      <c r="Q4410">
        <v>1.915122E-2</v>
      </c>
      <c r="R4410">
        <v>-0.99158099999999905</v>
      </c>
      <c r="S4410">
        <v>0.39999390000000001</v>
      </c>
      <c r="T4410">
        <v>-0.34586070000000002</v>
      </c>
      <c r="U4410">
        <v>-2.9811399999999999</v>
      </c>
      <c r="V4410">
        <v>-0.1941195</v>
      </c>
      <c r="W4410">
        <v>3.2129310000000001E-2</v>
      </c>
      <c r="X4410">
        <v>0.98045159999999998</v>
      </c>
      <c r="Y4410">
        <v>-0.198079799999999</v>
      </c>
      <c r="Z4410">
        <v>0.11321289999999901</v>
      </c>
      <c r="AA4410">
        <v>0.97362579999999999</v>
      </c>
      <c r="AB4410">
        <v>29</v>
      </c>
      <c r="AC4410">
        <v>1.3070999999999899</v>
      </c>
      <c r="AD4410">
        <v>-1.1112414374299999</v>
      </c>
      <c r="AE4410">
        <v>-9.2385099999999891</v>
      </c>
      <c r="AF4410">
        <v>-1.89488486363298</v>
      </c>
      <c r="AG4410">
        <v>-1.1112414374299999</v>
      </c>
      <c r="AH4410">
        <v>9.0027686698392593</v>
      </c>
      <c r="AI4410">
        <v>96.887209885958995</v>
      </c>
      <c r="AJ4410">
        <v>101.88600793865599</v>
      </c>
      <c r="AK4410">
        <v>9.2668921382158196</v>
      </c>
    </row>
    <row r="4411" spans="1:37" x14ac:dyDescent="0.2">
      <c r="A4411" t="str">
        <f>"20200111154151839"</f>
        <v>20200111154151839</v>
      </c>
      <c r="B4411" t="str">
        <f>"1578728511830390"</f>
        <v>1578728511830390</v>
      </c>
      <c r="C4411" t="s">
        <v>37</v>
      </c>
      <c r="D4411">
        <v>5.4306970000000003</v>
      </c>
      <c r="E4411">
        <v>0.49294759999999999</v>
      </c>
      <c r="F4411" t="s">
        <v>39</v>
      </c>
      <c r="G4411">
        <v>-300.98829999999998</v>
      </c>
      <c r="H4411" s="1">
        <v>-4.3370220000000003E-6</v>
      </c>
      <c r="I4411">
        <v>-30.78378</v>
      </c>
      <c r="J4411">
        <v>-302.33089999999999</v>
      </c>
      <c r="K4411">
        <v>1.111248</v>
      </c>
      <c r="L4411">
        <v>-21.548649999999999</v>
      </c>
      <c r="M4411">
        <v>-6.5869579999999997E-2</v>
      </c>
      <c r="N4411">
        <v>0</v>
      </c>
      <c r="O4411">
        <v>-0.99773590000000001</v>
      </c>
      <c r="P4411">
        <v>0.13361300000000001</v>
      </c>
      <c r="Q4411">
        <v>1.7857899999999999E-2</v>
      </c>
      <c r="R4411">
        <v>-0.99087269999999905</v>
      </c>
      <c r="S4411">
        <v>0.41415410000000002</v>
      </c>
      <c r="T4411">
        <v>-0.34752670000000002</v>
      </c>
      <c r="U4411">
        <v>-2.9786990000000002</v>
      </c>
      <c r="V4411">
        <v>-0.19865179999999999</v>
      </c>
      <c r="W4411">
        <v>3.080101E-2</v>
      </c>
      <c r="X4411">
        <v>0.97958599999999996</v>
      </c>
      <c r="Y4411">
        <v>-0.201762</v>
      </c>
      <c r="Z4411">
        <v>0.113774</v>
      </c>
      <c r="AA4411">
        <v>0.972804</v>
      </c>
      <c r="AB4411">
        <v>29</v>
      </c>
      <c r="AC4411">
        <v>1.3426</v>
      </c>
      <c r="AD4411">
        <v>-1.111252337022</v>
      </c>
      <c r="AE4411">
        <v>-9.2351299999999998</v>
      </c>
      <c r="AF4411">
        <v>-1.92081791370371</v>
      </c>
      <c r="AG4411">
        <v>-1.111252337022</v>
      </c>
      <c r="AH4411">
        <v>8.9990249214065408</v>
      </c>
      <c r="AI4411">
        <v>96.886005496600205</v>
      </c>
      <c r="AJ4411">
        <v>102.04882264410401</v>
      </c>
      <c r="AK4411">
        <v>9.2685960506561091</v>
      </c>
    </row>
    <row r="4412" spans="1:37" x14ac:dyDescent="0.2">
      <c r="A4412" t="str">
        <f>"20200111154151861"</f>
        <v>20200111154151861</v>
      </c>
      <c r="B4412" t="str">
        <f>"1578728511850887"</f>
        <v>1578728511850887</v>
      </c>
      <c r="C4412" t="s">
        <v>37</v>
      </c>
      <c r="D4412">
        <v>5.4230489999999998</v>
      </c>
      <c r="E4412">
        <v>0.49345139999999998</v>
      </c>
      <c r="F4412" t="s">
        <v>39</v>
      </c>
      <c r="G4412">
        <v>-300.9667</v>
      </c>
      <c r="H4412" s="1">
        <v>-4.2414729999999901E-6</v>
      </c>
      <c r="I4412">
        <v>-31.053319999999999</v>
      </c>
      <c r="J4412">
        <v>-302.34910000000002</v>
      </c>
      <c r="K4412">
        <v>1.111243</v>
      </c>
      <c r="L4412">
        <v>-21.839449999999999</v>
      </c>
      <c r="M4412">
        <v>-6.4906169999999999E-2</v>
      </c>
      <c r="N4412">
        <v>0</v>
      </c>
      <c r="O4412">
        <v>-0.9977992</v>
      </c>
      <c r="P4412">
        <v>0.13985889999999901</v>
      </c>
      <c r="Q4412">
        <v>1.617586E-2</v>
      </c>
      <c r="R4412">
        <v>-0.99003949999999996</v>
      </c>
      <c r="S4412">
        <v>0.42718509999999998</v>
      </c>
      <c r="T4412">
        <v>-0.34797699999999998</v>
      </c>
      <c r="U4412">
        <v>-2.9762879999999998</v>
      </c>
      <c r="V4412">
        <v>-0.20388210000000001</v>
      </c>
      <c r="W4412">
        <v>2.9089469999999999E-2</v>
      </c>
      <c r="X4412">
        <v>0.97856319999999997</v>
      </c>
      <c r="Y4412">
        <v>-0.20509569999999999</v>
      </c>
      <c r="Z4412">
        <v>0.1139462</v>
      </c>
      <c r="AA4412">
        <v>0.97208639999999902</v>
      </c>
      <c r="AB4412">
        <v>29</v>
      </c>
      <c r="AC4412">
        <v>1.3824000000000101</v>
      </c>
      <c r="AD4412">
        <v>-1.1112472414729999</v>
      </c>
      <c r="AE4412">
        <v>-9.21387</v>
      </c>
      <c r="AF4412">
        <v>-1.94983895925011</v>
      </c>
      <c r="AG4412">
        <v>-1.1112472414729999</v>
      </c>
      <c r="AH4412">
        <v>8.9770003554321907</v>
      </c>
      <c r="AI4412">
        <v>96.897423259312802</v>
      </c>
      <c r="AJ4412">
        <v>102.25451717450601</v>
      </c>
      <c r="AK4412">
        <v>9.2532847022082194</v>
      </c>
    </row>
    <row r="4413" spans="1:37" x14ac:dyDescent="0.2">
      <c r="A4413" t="str">
        <f>"20200111154151887"</f>
        <v>20200111154151887</v>
      </c>
      <c r="B4413" t="str">
        <f>"1578728511880166"</f>
        <v>1578728511880166</v>
      </c>
      <c r="C4413" t="s">
        <v>37</v>
      </c>
      <c r="D4413">
        <v>5.3727150000000004</v>
      </c>
      <c r="E4413">
        <v>0.49396000000000001</v>
      </c>
      <c r="F4413" t="s">
        <v>39</v>
      </c>
      <c r="G4413">
        <v>-300.9502</v>
      </c>
      <c r="H4413" s="1">
        <v>-4.1717539999999996E-6</v>
      </c>
      <c r="I4413">
        <v>-31.249579999999899</v>
      </c>
      <c r="J4413">
        <v>-302.36959999999999</v>
      </c>
      <c r="K4413">
        <v>1.111226</v>
      </c>
      <c r="L4413">
        <v>-22.173950000000001</v>
      </c>
      <c r="M4413">
        <v>-6.3828969999999999E-2</v>
      </c>
      <c r="N4413">
        <v>0</v>
      </c>
      <c r="O4413">
        <v>-0.99786869999999905</v>
      </c>
      <c r="P4413">
        <v>0.14573889999999901</v>
      </c>
      <c r="Q4413">
        <v>1.483982E-2</v>
      </c>
      <c r="R4413">
        <v>-0.98921190000000003</v>
      </c>
      <c r="S4413">
        <v>0.44204709999999903</v>
      </c>
      <c r="T4413">
        <v>-0.351139799999999</v>
      </c>
      <c r="U4413">
        <v>-2.9734799999999999</v>
      </c>
      <c r="V4413">
        <v>-0.208637399999999</v>
      </c>
      <c r="W4413">
        <v>2.7731499999999999E-2</v>
      </c>
      <c r="X4413">
        <v>0.97759979999999902</v>
      </c>
      <c r="Y4413">
        <v>-0.20890589999999901</v>
      </c>
      <c r="Z4413">
        <v>0.11499810000000001</v>
      </c>
      <c r="AA4413">
        <v>0.97115079999999998</v>
      </c>
      <c r="AB4413">
        <v>29</v>
      </c>
      <c r="AC4413">
        <v>1.41939999999999</v>
      </c>
      <c r="AD4413">
        <v>-1.1112301717540001</v>
      </c>
      <c r="AE4413">
        <v>-9.0756299999999896</v>
      </c>
      <c r="AF4413">
        <v>-1.9670607632658199</v>
      </c>
      <c r="AG4413">
        <v>-1.1112301717540001</v>
      </c>
      <c r="AH4413">
        <v>8.8371904838601694</v>
      </c>
      <c r="AI4413">
        <v>96.997532382000998</v>
      </c>
      <c r="AJ4413">
        <v>102.54882815134199</v>
      </c>
      <c r="AK4413">
        <v>9.1214086735013193</v>
      </c>
    </row>
    <row r="4414" spans="1:37" x14ac:dyDescent="0.2">
      <c r="A4414" t="str">
        <f>"20200111154151912"</f>
        <v>20200111154151912</v>
      </c>
      <c r="B4414" t="str">
        <f>"1578728511900663"</f>
        <v>1578728511900663</v>
      </c>
      <c r="C4414" t="s">
        <v>37</v>
      </c>
      <c r="D4414">
        <v>5.3839459999999999</v>
      </c>
      <c r="E4414">
        <v>0.49442199999999997</v>
      </c>
      <c r="F4414" t="s">
        <v>39</v>
      </c>
      <c r="G4414">
        <v>-300.94029999999998</v>
      </c>
      <c r="H4414" s="1">
        <v>-4.0817149999999996E-6</v>
      </c>
      <c r="I4414">
        <v>-31.479520000000001</v>
      </c>
      <c r="J4414">
        <v>-302.38929999999999</v>
      </c>
      <c r="K4414">
        <v>1.1112109999999999</v>
      </c>
      <c r="L4414">
        <v>-22.500729999999901</v>
      </c>
      <c r="M4414">
        <v>-6.2806360000000006E-2</v>
      </c>
      <c r="N4414">
        <v>0</v>
      </c>
      <c r="O4414">
        <v>-0.99793390000000004</v>
      </c>
      <c r="P4414">
        <v>0.1513803</v>
      </c>
      <c r="Q4414">
        <v>1.417475E-2</v>
      </c>
      <c r="R4414">
        <v>-0.98837439999999999</v>
      </c>
      <c r="S4414">
        <v>0.4562988</v>
      </c>
      <c r="T4414">
        <v>-0.354763</v>
      </c>
      <c r="U4414">
        <v>-2.970825</v>
      </c>
      <c r="V4414">
        <v>-0.2132107</v>
      </c>
      <c r="W4414">
        <v>2.7048450000000002E-2</v>
      </c>
      <c r="X4414">
        <v>0.97663180000000005</v>
      </c>
      <c r="Y4414">
        <v>-0.212562</v>
      </c>
      <c r="Z4414">
        <v>0.116193699999999</v>
      </c>
      <c r="AA4414">
        <v>0.97021460000000004</v>
      </c>
      <c r="AB4414">
        <v>29</v>
      </c>
      <c r="AC4414">
        <v>1.4490000000000101</v>
      </c>
      <c r="AD4414">
        <v>-1.1112150817149999</v>
      </c>
      <c r="AE4414">
        <v>-8.97879</v>
      </c>
      <c r="AF4414">
        <v>-1.9805503743381301</v>
      </c>
      <c r="AG4414">
        <v>-1.1112150817149999</v>
      </c>
      <c r="AH4414">
        <v>8.7395830029787405</v>
      </c>
      <c r="AI4414">
        <v>97.068769960497207</v>
      </c>
      <c r="AJ4414">
        <v>102.768612560807</v>
      </c>
      <c r="AK4414">
        <v>9.0298222468150797</v>
      </c>
    </row>
    <row r="4415" spans="1:37" x14ac:dyDescent="0.2">
      <c r="A4415" t="str">
        <f>"20200111154151936"</f>
        <v>20200111154151936</v>
      </c>
      <c r="B4415" t="str">
        <f>"1578728511929943"</f>
        <v>1578728511929943</v>
      </c>
      <c r="C4415" t="s">
        <v>37</v>
      </c>
      <c r="D4415">
        <v>5.3509349999999998</v>
      </c>
      <c r="E4415">
        <v>0.49487239999999999</v>
      </c>
      <c r="F4415" t="s">
        <v>39</v>
      </c>
      <c r="G4415">
        <v>-300.91309999999999</v>
      </c>
      <c r="H4415" s="1">
        <v>-3.9248519999999998E-6</v>
      </c>
      <c r="I4415">
        <v>-31.828250000000001</v>
      </c>
      <c r="J4415">
        <v>-302.40839999999997</v>
      </c>
      <c r="K4415">
        <v>1.1111930000000001</v>
      </c>
      <c r="L4415">
        <v>-22.822689999999898</v>
      </c>
      <c r="M4415">
        <v>-6.1816719999999999E-2</v>
      </c>
      <c r="N4415">
        <v>0</v>
      </c>
      <c r="O4415">
        <v>-0.99799579999999999</v>
      </c>
      <c r="P4415">
        <v>0.15690379999999901</v>
      </c>
      <c r="Q4415">
        <v>1.4124029999999999E-2</v>
      </c>
      <c r="R4415">
        <v>-0.98751299999999997</v>
      </c>
      <c r="S4415">
        <v>0.46981809999999902</v>
      </c>
      <c r="T4415">
        <v>-0.3536359</v>
      </c>
      <c r="U4415">
        <v>-2.9684140000000001</v>
      </c>
      <c r="V4415">
        <v>-0.2177009</v>
      </c>
      <c r="W4415">
        <v>2.6979340000000001E-2</v>
      </c>
      <c r="X4415">
        <v>0.97564259999999903</v>
      </c>
      <c r="Y4415">
        <v>-0.21603020000000001</v>
      </c>
      <c r="Z4415">
        <v>0.1158476</v>
      </c>
      <c r="AA4415">
        <v>0.96948969999999901</v>
      </c>
      <c r="AB4415">
        <v>29</v>
      </c>
      <c r="AC4415">
        <v>1.4952999999999801</v>
      </c>
      <c r="AD4415">
        <v>-1.1111969248519999</v>
      </c>
      <c r="AE4415">
        <v>-9.0055599999999991</v>
      </c>
      <c r="AF4415">
        <v>-2.0192661816000901</v>
      </c>
      <c r="AG4415">
        <v>-1.1111969248519999</v>
      </c>
      <c r="AH4415">
        <v>8.76600822450526</v>
      </c>
      <c r="AI4415">
        <v>97.041907845126005</v>
      </c>
      <c r="AJ4415">
        <v>102.971909516403</v>
      </c>
      <c r="AK4415">
        <v>9.0639447653904099</v>
      </c>
    </row>
    <row r="4416" spans="1:37" x14ac:dyDescent="0.2">
      <c r="A4416" t="str">
        <f>"20200111154151961"</f>
        <v>20200111154151961</v>
      </c>
      <c r="B4416" t="str">
        <f>"1578728511950439"</f>
        <v>1578728511950439</v>
      </c>
      <c r="C4416" t="s">
        <v>37</v>
      </c>
      <c r="D4416">
        <v>5.4137789999999999</v>
      </c>
      <c r="E4416">
        <v>0.49534659999999903</v>
      </c>
      <c r="F4416" t="s">
        <v>39</v>
      </c>
      <c r="G4416">
        <v>-300.88040000000001</v>
      </c>
      <c r="H4416" s="1">
        <v>-3.7588869999999898E-6</v>
      </c>
      <c r="I4416">
        <v>-32.194850000000002</v>
      </c>
      <c r="J4416">
        <v>-302.42700000000002</v>
      </c>
      <c r="K4416">
        <v>1.111181</v>
      </c>
      <c r="L4416">
        <v>-23.14038</v>
      </c>
      <c r="M4416">
        <v>-6.0829099999999997E-2</v>
      </c>
      <c r="N4416">
        <v>0</v>
      </c>
      <c r="O4416">
        <v>-0.99805630000000001</v>
      </c>
      <c r="P4416">
        <v>0.16194829999999999</v>
      </c>
      <c r="Q4416">
        <v>1.3447249999999999E-2</v>
      </c>
      <c r="R4416">
        <v>-0.98670769999999997</v>
      </c>
      <c r="S4416">
        <v>0.48361209999999999</v>
      </c>
      <c r="T4416">
        <v>-0.35167470000000001</v>
      </c>
      <c r="U4416">
        <v>-2.9661249999999999</v>
      </c>
      <c r="V4416">
        <v>-0.22172039999999901</v>
      </c>
      <c r="W4416">
        <v>2.6280069999999999E-2</v>
      </c>
      <c r="X4416">
        <v>0.97475610000000001</v>
      </c>
      <c r="Y4416">
        <v>-0.21958510000000001</v>
      </c>
      <c r="Z4416">
        <v>0.11522300000000001</v>
      </c>
      <c r="AA4416">
        <v>0.96876519999999999</v>
      </c>
      <c r="AB4416">
        <v>29</v>
      </c>
      <c r="AC4416">
        <v>1.54660000000001</v>
      </c>
      <c r="AD4416">
        <v>-1.1111847588870001</v>
      </c>
      <c r="AE4416">
        <v>-9.0544700000000002</v>
      </c>
      <c r="AF4416">
        <v>-2.0643519733291602</v>
      </c>
      <c r="AG4416">
        <v>-1.1111847588870001</v>
      </c>
      <c r="AH4416">
        <v>8.8146216074208308</v>
      </c>
      <c r="AI4416">
        <v>96.997509613200407</v>
      </c>
      <c r="AJ4416">
        <v>103.18090599164999</v>
      </c>
      <c r="AK4416">
        <v>9.1210654377753997</v>
      </c>
    </row>
    <row r="4417" spans="1:37" x14ac:dyDescent="0.2">
      <c r="A4417" t="str">
        <f>"20200111154151988"</f>
        <v>20200111154151988</v>
      </c>
      <c r="B4417" t="str">
        <f>"1578728511980696"</f>
        <v>1578728511980696</v>
      </c>
      <c r="C4417" t="s">
        <v>37</v>
      </c>
      <c r="D4417">
        <v>5.3939469999999998</v>
      </c>
      <c r="E4417">
        <v>0.49590509999999899</v>
      </c>
      <c r="F4417" t="s">
        <v>39</v>
      </c>
      <c r="G4417">
        <v>-300.8655</v>
      </c>
      <c r="H4417" s="1">
        <v>-3.63292199999999E-6</v>
      </c>
      <c r="I4417">
        <v>-32.47925</v>
      </c>
      <c r="J4417">
        <v>-302.44749999999999</v>
      </c>
      <c r="K4417">
        <v>1.1112200000000001</v>
      </c>
      <c r="L4417">
        <v>-23.499790000000001</v>
      </c>
      <c r="M4417">
        <v>-5.9612180000000001E-2</v>
      </c>
      <c r="N4417">
        <v>0</v>
      </c>
      <c r="O4417">
        <v>-0.9981295</v>
      </c>
      <c r="P4417">
        <v>0.1678134</v>
      </c>
      <c r="Q4417">
        <v>1.359577E-2</v>
      </c>
      <c r="R4417">
        <v>-0.98572519999999997</v>
      </c>
      <c r="S4417">
        <v>0.49557499999999999</v>
      </c>
      <c r="T4417">
        <v>-0.35265570000000002</v>
      </c>
      <c r="U4417">
        <v>-2.963867</v>
      </c>
      <c r="V4417">
        <v>-0.22633039999999999</v>
      </c>
      <c r="W4417">
        <v>2.6381120000000001E-2</v>
      </c>
      <c r="X4417">
        <v>0.97369329999999998</v>
      </c>
      <c r="Y4417">
        <v>-0.22231199999999901</v>
      </c>
      <c r="Z4417">
        <v>0.1155651</v>
      </c>
      <c r="AA4417">
        <v>0.96810229999999997</v>
      </c>
      <c r="AB4417">
        <v>29</v>
      </c>
      <c r="AC4417">
        <v>1.5819999999999901</v>
      </c>
      <c r="AD4417">
        <v>-1.111223632922</v>
      </c>
      <c r="AE4417">
        <v>-8.9794599999999996</v>
      </c>
      <c r="AF4417">
        <v>-2.0835722518393598</v>
      </c>
      <c r="AG4417">
        <v>-1.111223632922</v>
      </c>
      <c r="AH4417">
        <v>8.7393632892118198</v>
      </c>
      <c r="AI4417">
        <v>97.050818413916403</v>
      </c>
      <c r="AJ4417">
        <v>103.409691655662</v>
      </c>
      <c r="AK4417">
        <v>9.0527654333812499</v>
      </c>
    </row>
    <row r="4418" spans="1:37" x14ac:dyDescent="0.2">
      <c r="A4418" t="str">
        <f>"20200111154152015"</f>
        <v>20200111154152015</v>
      </c>
      <c r="B4418" t="str">
        <f>"1578728512010950"</f>
        <v>1578728512010950</v>
      </c>
      <c r="C4418" t="s">
        <v>37</v>
      </c>
      <c r="D4418">
        <v>5.2341920000000002</v>
      </c>
      <c r="E4418">
        <v>0.4961932</v>
      </c>
      <c r="F4418" t="s">
        <v>39</v>
      </c>
      <c r="G4418">
        <v>-300.82490000000001</v>
      </c>
      <c r="H4418" s="1">
        <v>-3.4320119999999998E-6</v>
      </c>
      <c r="I4418">
        <v>-32.922379999999997</v>
      </c>
      <c r="J4418">
        <v>-302.46690000000001</v>
      </c>
      <c r="K4418">
        <v>1.111307</v>
      </c>
      <c r="L4418">
        <v>-23.849519999999998</v>
      </c>
      <c r="M4418">
        <v>-5.8270790000000003E-2</v>
      </c>
      <c r="N4418">
        <v>0</v>
      </c>
      <c r="O4418">
        <v>-0.99820880000000001</v>
      </c>
      <c r="P4418">
        <v>0.17208699999999999</v>
      </c>
      <c r="Q4418">
        <v>1.4413280000000001E-2</v>
      </c>
      <c r="R4418">
        <v>-0.98497649999999903</v>
      </c>
      <c r="S4418">
        <v>0.50997919999999997</v>
      </c>
      <c r="T4418">
        <v>-0.34924640000000001</v>
      </c>
      <c r="U4418">
        <v>-2.9614259999999999</v>
      </c>
      <c r="V4418">
        <v>-0.22925119999999999</v>
      </c>
      <c r="W4418">
        <v>2.7132819999999998E-2</v>
      </c>
      <c r="X4418">
        <v>0.97298909999999905</v>
      </c>
      <c r="Y4418">
        <v>-0.22572909999999999</v>
      </c>
      <c r="Z4418">
        <v>0.11447739999999899</v>
      </c>
      <c r="AA4418">
        <v>0.96744059999999898</v>
      </c>
      <c r="AB4418">
        <v>29</v>
      </c>
      <c r="AC4418">
        <v>1.6419999999999899</v>
      </c>
      <c r="AD4418">
        <v>-1.111310432012</v>
      </c>
      <c r="AE4418">
        <v>-9.0728599999999897</v>
      </c>
      <c r="AF4418">
        <v>-2.1368973072428998</v>
      </c>
      <c r="AG4418">
        <v>-1.111310432012</v>
      </c>
      <c r="AH4418">
        <v>8.8334252126266506</v>
      </c>
      <c r="AI4418">
        <v>96.971536859279595</v>
      </c>
      <c r="AJ4418">
        <v>103.59918404943301</v>
      </c>
      <c r="AK4418">
        <v>9.1559129509333399</v>
      </c>
    </row>
    <row r="4419" spans="1:37" x14ac:dyDescent="0.2">
      <c r="A4419" t="str">
        <f>"20200111154152039"</f>
        <v>20200111154152039</v>
      </c>
      <c r="B4419" t="str">
        <f>"1578728512030469"</f>
        <v>1578728512030469</v>
      </c>
      <c r="C4419" t="s">
        <v>37</v>
      </c>
      <c r="D4419">
        <v>5.2378099999999996</v>
      </c>
      <c r="E4419">
        <v>0.49410549999999998</v>
      </c>
      <c r="F4419" t="s">
        <v>39</v>
      </c>
      <c r="G4419">
        <v>-300.79829999999998</v>
      </c>
      <c r="H4419" s="1">
        <v>-3.2526769999999998E-6</v>
      </c>
      <c r="I4419">
        <v>-33.32394</v>
      </c>
      <c r="J4419">
        <v>-302.483</v>
      </c>
      <c r="K4419">
        <v>1.1114059999999999</v>
      </c>
      <c r="L4419">
        <v>-24.15024</v>
      </c>
      <c r="M4419">
        <v>-5.6973940000000001E-2</v>
      </c>
      <c r="N4419">
        <v>0</v>
      </c>
      <c r="O4419">
        <v>-0.9982837</v>
      </c>
      <c r="P4419">
        <v>0.17595429999999901</v>
      </c>
      <c r="Q4419">
        <v>1.4831850000000001E-2</v>
      </c>
      <c r="R4419">
        <v>-0.98428669999999996</v>
      </c>
      <c r="S4419">
        <v>0.52127079999999903</v>
      </c>
      <c r="T4419">
        <v>-0.34716989999999998</v>
      </c>
      <c r="U4419">
        <v>-2.959778</v>
      </c>
      <c r="V4419">
        <v>-0.2318162</v>
      </c>
      <c r="W4419">
        <v>2.748126E-2</v>
      </c>
      <c r="X4419">
        <v>0.97237129999999905</v>
      </c>
      <c r="Y4419">
        <v>-0.22814870000000001</v>
      </c>
      <c r="Z4419">
        <v>0.11381139999999999</v>
      </c>
      <c r="AA4419">
        <v>0.96695149999999996</v>
      </c>
      <c r="AB4419">
        <v>29</v>
      </c>
      <c r="AC4419">
        <v>1.6847000000000201</v>
      </c>
      <c r="AD4419">
        <v>-1.1114092526770001</v>
      </c>
      <c r="AE4419">
        <v>-9.1737000000000002</v>
      </c>
      <c r="AF4419">
        <v>-2.1738072013186298</v>
      </c>
      <c r="AG4419">
        <v>-1.1114092526770001</v>
      </c>
      <c r="AH4419">
        <v>8.9359232800296802</v>
      </c>
      <c r="AI4419">
        <v>96.890831520932494</v>
      </c>
      <c r="AJ4419">
        <v>103.672543534932</v>
      </c>
      <c r="AK4419">
        <v>9.26344391368659</v>
      </c>
    </row>
    <row r="4420" spans="1:37" x14ac:dyDescent="0.2">
      <c r="A4420" t="str">
        <f>"20200111154152062"</f>
        <v>20200111154152062</v>
      </c>
      <c r="B4420" t="str">
        <f>"1578728512049990"</f>
        <v>1578728512049990</v>
      </c>
      <c r="C4420" t="s">
        <v>37</v>
      </c>
      <c r="D4420">
        <v>5.4529239999999897</v>
      </c>
      <c r="E4420">
        <v>0.39302369999999998</v>
      </c>
      <c r="F4420" t="s">
        <v>39</v>
      </c>
      <c r="G4420">
        <v>-300.7133</v>
      </c>
      <c r="H4420" s="1">
        <v>-3.0818249999999999E-6</v>
      </c>
      <c r="I4420">
        <v>-33.66948</v>
      </c>
      <c r="J4420">
        <v>-302.49900000000002</v>
      </c>
      <c r="K4420">
        <v>1.111521</v>
      </c>
      <c r="L4420">
        <v>-24.458189999999998</v>
      </c>
      <c r="M4420">
        <v>-5.5457380000000001E-2</v>
      </c>
      <c r="N4420">
        <v>0</v>
      </c>
      <c r="O4420">
        <v>-0.99836919999999996</v>
      </c>
      <c r="P4420">
        <v>0.18029510000000001</v>
      </c>
      <c r="Q4420">
        <v>1.37457E-2</v>
      </c>
      <c r="R4420">
        <v>-0.98351690000000003</v>
      </c>
      <c r="S4420">
        <v>0.54934689999999997</v>
      </c>
      <c r="T4420">
        <v>-0.34499559999999901</v>
      </c>
      <c r="U4420">
        <v>-2.954895</v>
      </c>
      <c r="V4420">
        <v>-0.2346347</v>
      </c>
      <c r="W4420">
        <v>2.6310090000000001E-2</v>
      </c>
      <c r="X4420">
        <v>0.97172749999999997</v>
      </c>
      <c r="Y4420">
        <v>-0.235846</v>
      </c>
      <c r="Z4420">
        <v>0.11310489999999999</v>
      </c>
      <c r="AA4420">
        <v>0.96518599999999999</v>
      </c>
      <c r="AB4420">
        <v>29</v>
      </c>
      <c r="AC4420">
        <v>1.7857000000000101</v>
      </c>
      <c r="AD4420">
        <v>-1.1115240818250001</v>
      </c>
      <c r="AE4420">
        <v>-9.21129</v>
      </c>
      <c r="AF4420">
        <v>-2.2620866486125899</v>
      </c>
      <c r="AG4420">
        <v>-1.1115240818250001</v>
      </c>
      <c r="AH4420">
        <v>8.9721591305257498</v>
      </c>
      <c r="AI4420">
        <v>96.849931967478</v>
      </c>
      <c r="AJ4420">
        <v>104.15066369299601</v>
      </c>
      <c r="AK4420">
        <v>9.3194506948523994</v>
      </c>
    </row>
    <row r="4421" spans="1:37" x14ac:dyDescent="0.2">
      <c r="A4421" t="str">
        <f>"20200111154152087"</f>
        <v>20200111154152087</v>
      </c>
      <c r="B4421" t="str">
        <f>"1578728512080247"</f>
        <v>1578728512080247</v>
      </c>
      <c r="C4421" t="s">
        <v>37</v>
      </c>
      <c r="D4421">
        <v>5.1979620000000004</v>
      </c>
      <c r="E4421">
        <v>0.39839330000000001</v>
      </c>
      <c r="F4421" t="s">
        <v>38</v>
      </c>
      <c r="G4421">
        <v>-302.11579999999998</v>
      </c>
      <c r="H4421">
        <v>1.0461860000000001</v>
      </c>
      <c r="I4421">
        <v>-25.245699999999999</v>
      </c>
      <c r="J4421">
        <v>-302.51459999999997</v>
      </c>
      <c r="K4421">
        <v>1.1116649999999999</v>
      </c>
      <c r="L4421">
        <v>-24.773800000000001</v>
      </c>
      <c r="M4421">
        <v>-5.3654510000000002E-2</v>
      </c>
      <c r="N4421">
        <v>0</v>
      </c>
      <c r="O4421">
        <v>-0.99846789999999996</v>
      </c>
      <c r="P4421">
        <v>0.18394059999999901</v>
      </c>
      <c r="Q4421">
        <v>1.183943E-2</v>
      </c>
      <c r="R4421">
        <v>-0.98286620000000002</v>
      </c>
      <c r="S4421">
        <v>1.364655</v>
      </c>
      <c r="T4421">
        <v>-0.2325767</v>
      </c>
      <c r="U4421">
        <v>-2.8033450000000002</v>
      </c>
      <c r="V4421">
        <v>-0.23648859999999999</v>
      </c>
      <c r="W4421">
        <v>2.431231E-2</v>
      </c>
      <c r="X4421">
        <v>0.97132999999999903</v>
      </c>
      <c r="Y4421">
        <v>-0.48411979999999999</v>
      </c>
      <c r="Z4421">
        <v>7.3249250000000002E-2</v>
      </c>
      <c r="AA4421">
        <v>0.87193039999999999</v>
      </c>
      <c r="AB4421">
        <v>29</v>
      </c>
      <c r="AC4421">
        <v>0.39879999999999399</v>
      </c>
      <c r="AD4421">
        <v>-6.5478999999999801E-2</v>
      </c>
      <c r="AE4421">
        <v>-0.47189999999999799</v>
      </c>
      <c r="AF4421">
        <v>-0.41884299718426199</v>
      </c>
      <c r="AG4421">
        <v>-6.5478999999999801E-2</v>
      </c>
      <c r="AH4421">
        <v>0.444824605190908</v>
      </c>
      <c r="AI4421">
        <v>96.1170515887828</v>
      </c>
      <c r="AJ4421">
        <v>133.276897661275</v>
      </c>
      <c r="AK4421">
        <v>0.61448017471236904</v>
      </c>
    </row>
    <row r="4422" spans="1:37" x14ac:dyDescent="0.2">
      <c r="A4422" t="str">
        <f>"20200111154152108"</f>
        <v>20200111154152108</v>
      </c>
      <c r="B4422" t="str">
        <f>"1578728512100741"</f>
        <v>1578728512100741</v>
      </c>
      <c r="C4422" t="s">
        <v>37</v>
      </c>
      <c r="D4422">
        <v>5.2626150000000003</v>
      </c>
      <c r="E4422">
        <v>0.40123900000000001</v>
      </c>
      <c r="F4422" t="s">
        <v>38</v>
      </c>
      <c r="G4422">
        <v>-302.0641</v>
      </c>
      <c r="H4422">
        <v>1.020473</v>
      </c>
      <c r="I4422">
        <v>-25.723849999999999</v>
      </c>
      <c r="J4422">
        <v>-302.52789999999999</v>
      </c>
      <c r="K4422">
        <v>1.111796</v>
      </c>
      <c r="L4422">
        <v>-25.05566</v>
      </c>
      <c r="M4422">
        <v>-5.1864729999999998E-2</v>
      </c>
      <c r="N4422">
        <v>0</v>
      </c>
      <c r="O4422">
        <v>-0.99856219999999996</v>
      </c>
      <c r="P4422">
        <v>0.18699660000000001</v>
      </c>
      <c r="Q4422">
        <v>1.1470859999999999E-2</v>
      </c>
      <c r="R4422">
        <v>-0.98229379999999999</v>
      </c>
      <c r="S4422">
        <v>1.3309329999999999</v>
      </c>
      <c r="T4422">
        <v>-0.26938410000000002</v>
      </c>
      <c r="U4422">
        <v>-2.8064580000000001</v>
      </c>
      <c r="V4422">
        <v>-0.23777489999999901</v>
      </c>
      <c r="W4422">
        <v>2.3862310000000001E-2</v>
      </c>
      <c r="X4422">
        <v>0.97102710000000003</v>
      </c>
      <c r="Y4422">
        <v>-0.47321599999999903</v>
      </c>
      <c r="Z4422">
        <v>8.5158479999999995E-2</v>
      </c>
      <c r="AA4422">
        <v>0.87682079999999996</v>
      </c>
      <c r="AB4422">
        <v>29</v>
      </c>
      <c r="AC4422">
        <v>0.463799999999992</v>
      </c>
      <c r="AD4422">
        <v>-9.1323000000000001E-2</v>
      </c>
      <c r="AE4422">
        <v>-0.66818999999999895</v>
      </c>
      <c r="AF4422">
        <v>-0.49163683564044097</v>
      </c>
      <c r="AG4422">
        <v>-9.1323000000000001E-2</v>
      </c>
      <c r="AH4422">
        <v>0.63522589129450602</v>
      </c>
      <c r="AI4422">
        <v>96.486173182343805</v>
      </c>
      <c r="AJ4422">
        <v>127.738291450988</v>
      </c>
      <c r="AK4422">
        <v>0.80842971336934799</v>
      </c>
    </row>
    <row r="4423" spans="1:37" x14ac:dyDescent="0.2">
      <c r="A4423" t="str">
        <f>"20200111154152131"</f>
        <v>20200111154152131</v>
      </c>
      <c r="B4423" t="str">
        <f>"1578728512120262"</f>
        <v>1578728512120262</v>
      </c>
      <c r="C4423" t="s">
        <v>37</v>
      </c>
      <c r="D4423">
        <v>5.2624709999999997</v>
      </c>
      <c r="E4423">
        <v>0.40224599999999999</v>
      </c>
      <c r="F4423" t="s">
        <v>38</v>
      </c>
      <c r="G4423">
        <v>-302.09219999999999</v>
      </c>
      <c r="H4423">
        <v>1.022848</v>
      </c>
      <c r="I4423">
        <v>-25.984279999999998</v>
      </c>
      <c r="J4423">
        <v>-302.54140000000001</v>
      </c>
      <c r="K4423">
        <v>1.1119299999999901</v>
      </c>
      <c r="L4423">
        <v>-25.357420000000001</v>
      </c>
      <c r="M4423">
        <v>-4.9793249999999997E-2</v>
      </c>
      <c r="N4423">
        <v>0</v>
      </c>
      <c r="O4423">
        <v>-0.99866749999999904</v>
      </c>
      <c r="P4423">
        <v>0.18964339999999999</v>
      </c>
      <c r="Q4423">
        <v>1.231982E-2</v>
      </c>
      <c r="R4423">
        <v>-0.98177559999999997</v>
      </c>
      <c r="S4423">
        <v>1.317596</v>
      </c>
      <c r="T4423">
        <v>-0.26882479999999997</v>
      </c>
      <c r="U4423">
        <v>-2.8063959999999999</v>
      </c>
      <c r="V4423">
        <v>-0.23838799999999999</v>
      </c>
      <c r="W4423">
        <v>2.463837E-2</v>
      </c>
      <c r="X4423">
        <v>0.97085739999999998</v>
      </c>
      <c r="Y4423">
        <v>-0.46798059999999903</v>
      </c>
      <c r="Z4423">
        <v>8.5207099999999994E-2</v>
      </c>
      <c r="AA4423">
        <v>0.87962149999999995</v>
      </c>
      <c r="AB4423">
        <v>29</v>
      </c>
      <c r="AC4423">
        <v>0.44920000000001797</v>
      </c>
      <c r="AD4423">
        <v>-8.90819999999998E-2</v>
      </c>
      <c r="AE4423">
        <v>-0.62685999999999698</v>
      </c>
      <c r="AF4423">
        <v>-0.473540449882832</v>
      </c>
      <c r="AG4423">
        <v>-8.90819999999998E-2</v>
      </c>
      <c r="AH4423">
        <v>0.59576374070917704</v>
      </c>
      <c r="AI4423">
        <v>96.676300328515197</v>
      </c>
      <c r="AJ4423">
        <v>128.47929393186999</v>
      </c>
      <c r="AK4423">
        <v>0.76623142401171895</v>
      </c>
    </row>
    <row r="4424" spans="1:37" x14ac:dyDescent="0.2">
      <c r="A4424" t="str">
        <f>"20200111154152179"</f>
        <v>20200111154152179</v>
      </c>
      <c r="B4424" t="str">
        <f>"1578728512171014"</f>
        <v>1578728512171014</v>
      </c>
      <c r="C4424" t="s">
        <v>37</v>
      </c>
      <c r="D4424">
        <v>5.305993</v>
      </c>
      <c r="E4424">
        <v>0.40433479999999999</v>
      </c>
      <c r="F4424" t="s">
        <v>38</v>
      </c>
      <c r="G4424">
        <v>-302.12439999999998</v>
      </c>
      <c r="H4424">
        <v>1.026999</v>
      </c>
      <c r="I4424">
        <v>-26.245279999999902</v>
      </c>
      <c r="J4424">
        <v>-302.56630000000001</v>
      </c>
      <c r="K4424">
        <v>1.1121369999999999</v>
      </c>
      <c r="L4424">
        <v>-25.970369999999999</v>
      </c>
      <c r="M4424">
        <v>-4.5178669999999997E-2</v>
      </c>
      <c r="N4424">
        <v>0</v>
      </c>
      <c r="O4424">
        <v>-0.99888679999999996</v>
      </c>
      <c r="P4424">
        <v>0.19593940000000001</v>
      </c>
      <c r="Q4424">
        <v>1.2892259999999999E-2</v>
      </c>
      <c r="R4424">
        <v>-0.98053119999999905</v>
      </c>
      <c r="S4424">
        <v>1.317169</v>
      </c>
      <c r="T4424">
        <v>-0.26828429999999998</v>
      </c>
      <c r="U4424">
        <v>-2.8046259999999998</v>
      </c>
      <c r="V4424">
        <v>-0.24014549999999901</v>
      </c>
      <c r="W4424">
        <v>2.5088840000000001E-2</v>
      </c>
      <c r="X4424">
        <v>0.97041270000000002</v>
      </c>
      <c r="Y4424">
        <v>-0.46400150000000001</v>
      </c>
      <c r="Z4424">
        <v>8.5212949999999996E-2</v>
      </c>
      <c r="AA4424">
        <v>0.88172629999999996</v>
      </c>
      <c r="AB4424">
        <v>29</v>
      </c>
      <c r="AC4424">
        <v>0.44190000000003199</v>
      </c>
      <c r="AD4424">
        <v>-8.5138000000000102E-2</v>
      </c>
      <c r="AE4424">
        <v>-0.27490999999999399</v>
      </c>
      <c r="AF4424">
        <v>-0.44204009987341802</v>
      </c>
      <c r="AG4424">
        <v>-8.5138000000000102E-2</v>
      </c>
      <c r="AH4424">
        <v>0.24802533352030501</v>
      </c>
      <c r="AI4424">
        <v>99.534880701597103</v>
      </c>
      <c r="AJ4424">
        <v>150.703548928158</v>
      </c>
      <c r="AK4424">
        <v>0.51396935220688</v>
      </c>
    </row>
    <row r="4425" spans="1:37" x14ac:dyDescent="0.2">
      <c r="A4425" t="str">
        <f>"20200111154152201"</f>
        <v>20200111154152201</v>
      </c>
      <c r="B4425" t="str">
        <f>"1578728512190533"</f>
        <v>1578728512190533</v>
      </c>
      <c r="C4425" t="s">
        <v>37</v>
      </c>
      <c r="D4425">
        <v>5.3617790000000003</v>
      </c>
      <c r="E4425">
        <v>0.40491050000000001</v>
      </c>
      <c r="F4425" t="s">
        <v>38</v>
      </c>
      <c r="G4425">
        <v>-302.1739</v>
      </c>
      <c r="H4425">
        <v>1.032349</v>
      </c>
      <c r="I4425">
        <v>-26.803959999999901</v>
      </c>
      <c r="J4425">
        <v>-302.57659999999998</v>
      </c>
      <c r="K4425">
        <v>1.112209</v>
      </c>
      <c r="L4425">
        <v>-26.249509999999901</v>
      </c>
      <c r="M4425">
        <v>-4.2940829999999999E-2</v>
      </c>
      <c r="N4425">
        <v>0</v>
      </c>
      <c r="O4425">
        <v>-0.99898539999999902</v>
      </c>
      <c r="P4425">
        <v>0.1991976</v>
      </c>
      <c r="Q4425">
        <v>1.437045E-2</v>
      </c>
      <c r="R4425">
        <v>-0.979854</v>
      </c>
      <c r="S4425">
        <v>1.3180540000000001</v>
      </c>
      <c r="T4425">
        <v>-0.26797959999999998</v>
      </c>
      <c r="U4425">
        <v>-2.7997130000000001</v>
      </c>
      <c r="V4425">
        <v>-0.2412067</v>
      </c>
      <c r="W4425">
        <v>2.6520780000000001E-2</v>
      </c>
      <c r="X4425">
        <v>0.97011130000000001</v>
      </c>
      <c r="Y4425">
        <v>-0.46283990000000003</v>
      </c>
      <c r="Z4425">
        <v>8.528666E-2</v>
      </c>
      <c r="AA4425">
        <v>0.88232949999999999</v>
      </c>
      <c r="AB4425">
        <v>29</v>
      </c>
      <c r="AC4425">
        <v>0.40269999999998102</v>
      </c>
      <c r="AD4425">
        <v>-7.986E-2</v>
      </c>
      <c r="AE4425">
        <v>-0.554449999999999</v>
      </c>
      <c r="AF4425">
        <v>-0.42042917462428098</v>
      </c>
      <c r="AG4425">
        <v>-7.986E-2</v>
      </c>
      <c r="AH4425">
        <v>0.52945385822016999</v>
      </c>
      <c r="AI4425">
        <v>96.736697736479201</v>
      </c>
      <c r="AJ4425">
        <v>128.45241656416499</v>
      </c>
      <c r="AK4425">
        <v>0.68077874413018902</v>
      </c>
    </row>
    <row r="4426" spans="1:37" x14ac:dyDescent="0.2">
      <c r="A4426" t="str">
        <f>"20200111154152234"</f>
        <v>20200111154152234</v>
      </c>
      <c r="B4426" t="str">
        <f>"1578728512230550"</f>
        <v>1578728512230550</v>
      </c>
      <c r="C4426" t="s">
        <v>37</v>
      </c>
      <c r="D4426">
        <v>5.323391</v>
      </c>
      <c r="E4426">
        <v>0.40516579999999902</v>
      </c>
      <c r="F4426" t="s">
        <v>38</v>
      </c>
      <c r="G4426">
        <v>-302.17540000000002</v>
      </c>
      <c r="H4426">
        <v>1.032146</v>
      </c>
      <c r="I4426">
        <v>-27.097759999999901</v>
      </c>
      <c r="J4426">
        <v>-302.59070000000003</v>
      </c>
      <c r="K4426">
        <v>1.112277</v>
      </c>
      <c r="L4426">
        <v>-26.67184</v>
      </c>
      <c r="M4426">
        <v>-3.9470599999999897E-2</v>
      </c>
      <c r="N4426">
        <v>0</v>
      </c>
      <c r="O4426">
        <v>-0.99912860000000003</v>
      </c>
      <c r="P4426">
        <v>0.20488919999999999</v>
      </c>
      <c r="Q4426">
        <v>1.8152689999999999E-2</v>
      </c>
      <c r="R4426">
        <v>-0.97861690000000001</v>
      </c>
      <c r="S4426">
        <v>1.3230899999999901</v>
      </c>
      <c r="T4426">
        <v>-0.26396560000000002</v>
      </c>
      <c r="U4426">
        <v>-2.79657</v>
      </c>
      <c r="V4426">
        <v>-0.24349409999999999</v>
      </c>
      <c r="W4426">
        <v>3.0245290000000001E-2</v>
      </c>
      <c r="X4426">
        <v>0.96943069999999898</v>
      </c>
      <c r="Y4426">
        <v>-0.4614877</v>
      </c>
      <c r="Z4426">
        <v>8.4124610000000002E-2</v>
      </c>
      <c r="AA4426">
        <v>0.88314899999999996</v>
      </c>
      <c r="AB4426">
        <v>29</v>
      </c>
      <c r="AC4426">
        <v>0.415300000000002</v>
      </c>
      <c r="AD4426">
        <v>-8.0130999999999897E-2</v>
      </c>
      <c r="AE4426">
        <v>-0.42591999999999403</v>
      </c>
      <c r="AF4426">
        <v>-0.42409423862644102</v>
      </c>
      <c r="AG4426">
        <v>-8.0130999999999897E-2</v>
      </c>
      <c r="AH4426">
        <v>0.40190210912451702</v>
      </c>
      <c r="AI4426">
        <v>97.809126560868407</v>
      </c>
      <c r="AJ4426">
        <v>136.53900141409099</v>
      </c>
      <c r="AK4426">
        <v>0.58974757796524802</v>
      </c>
    </row>
    <row r="4427" spans="1:37" x14ac:dyDescent="0.2">
      <c r="A4427" t="str">
        <f>"20200111154152262"</f>
        <v>20200111154152262</v>
      </c>
      <c r="B4427" t="str">
        <f>"1578728512250069"</f>
        <v>1578728512250069</v>
      </c>
      <c r="C4427" t="s">
        <v>37</v>
      </c>
      <c r="D4427">
        <v>5.2903349999999998</v>
      </c>
      <c r="E4427">
        <v>0.40513480000000002</v>
      </c>
      <c r="F4427" t="s">
        <v>38</v>
      </c>
      <c r="G4427">
        <v>-302.17899999999997</v>
      </c>
      <c r="H4427">
        <v>1.034092</v>
      </c>
      <c r="I4427">
        <v>-27.530919999999998</v>
      </c>
      <c r="J4427">
        <v>-302.60169999999999</v>
      </c>
      <c r="K4427">
        <v>1.112298</v>
      </c>
      <c r="L4427">
        <v>-27.031829999999999</v>
      </c>
      <c r="M4427">
        <v>-3.64803E-2</v>
      </c>
      <c r="N4427">
        <v>0</v>
      </c>
      <c r="O4427">
        <v>-0.99924239999999998</v>
      </c>
      <c r="P4427">
        <v>0.2088614</v>
      </c>
      <c r="Q4427">
        <v>1.7131980000000002E-2</v>
      </c>
      <c r="R4427">
        <v>-0.97779530000000003</v>
      </c>
      <c r="S4427">
        <v>1.337494</v>
      </c>
      <c r="T4427">
        <v>-0.253942</v>
      </c>
      <c r="U4427">
        <v>-2.790222</v>
      </c>
      <c r="V4427">
        <v>-0.24452779999999999</v>
      </c>
      <c r="W4427">
        <v>2.919766E-2</v>
      </c>
      <c r="X4427">
        <v>0.96920260000000003</v>
      </c>
      <c r="Y4427">
        <v>-0.46343820000000002</v>
      </c>
      <c r="Z4427">
        <v>8.1005709999999995E-2</v>
      </c>
      <c r="AA4427">
        <v>0.88241890000000001</v>
      </c>
      <c r="AB4427">
        <v>29</v>
      </c>
      <c r="AC4427">
        <v>0.42269999999996299</v>
      </c>
      <c r="AD4427">
        <v>-7.8205999999999998E-2</v>
      </c>
      <c r="AE4427">
        <v>-0.49909000000000198</v>
      </c>
      <c r="AF4427">
        <v>-0.43441595644911501</v>
      </c>
      <c r="AG4427">
        <v>-7.8205999999999998E-2</v>
      </c>
      <c r="AH4427">
        <v>0.476522791656591</v>
      </c>
      <c r="AI4427">
        <v>96.915268743712403</v>
      </c>
      <c r="AJ4427">
        <v>132.35346869119999</v>
      </c>
      <c r="AK4427">
        <v>0.64954397281615195</v>
      </c>
    </row>
    <row r="4428" spans="1:37" x14ac:dyDescent="0.2">
      <c r="A4428" t="str">
        <f>"20200111154152288"</f>
        <v>20200111154152288</v>
      </c>
      <c r="B4428" t="str">
        <f>"1578728512280325"</f>
        <v>1578728512280325</v>
      </c>
      <c r="C4428" t="s">
        <v>37</v>
      </c>
      <c r="D4428">
        <v>5.0593500000000002</v>
      </c>
      <c r="E4428">
        <v>0.40553899999999998</v>
      </c>
      <c r="F4428" t="s">
        <v>38</v>
      </c>
      <c r="G4428">
        <v>-302.1934</v>
      </c>
      <c r="H4428">
        <v>1.0348919999999999</v>
      </c>
      <c r="I4428">
        <v>-27.87433</v>
      </c>
      <c r="J4428">
        <v>-302.61059999999998</v>
      </c>
      <c r="K4428">
        <v>1.1122879999999999</v>
      </c>
      <c r="L4428">
        <v>-27.360809999999901</v>
      </c>
      <c r="M4428">
        <v>-3.3741E-2</v>
      </c>
      <c r="N4428">
        <v>0</v>
      </c>
      <c r="O4428">
        <v>-0.99933859999999997</v>
      </c>
      <c r="P4428">
        <v>0.21418889999999999</v>
      </c>
      <c r="Q4428">
        <v>1.271255E-2</v>
      </c>
      <c r="R4428">
        <v>-0.97670979999999996</v>
      </c>
      <c r="S4428">
        <v>1.34939599999999</v>
      </c>
      <c r="T4428">
        <v>-0.25582189999999999</v>
      </c>
      <c r="U4428">
        <v>-2.7843930000000001</v>
      </c>
      <c r="V4428">
        <v>-0.24713769999999999</v>
      </c>
      <c r="W4428">
        <v>2.475277E-2</v>
      </c>
      <c r="X4428">
        <v>0.96866419999999998</v>
      </c>
      <c r="Y4428">
        <v>-0.46476699999999999</v>
      </c>
      <c r="Z4428">
        <v>8.1664769999999998E-2</v>
      </c>
      <c r="AA4428">
        <v>0.88165890000000002</v>
      </c>
      <c r="AB4428">
        <v>29</v>
      </c>
      <c r="AC4428">
        <v>0.41719999999997898</v>
      </c>
      <c r="AD4428">
        <v>-7.7396000000000006E-2</v>
      </c>
      <c r="AE4428">
        <v>-0.51352000000000297</v>
      </c>
      <c r="AF4428">
        <v>-0.42842821219224803</v>
      </c>
      <c r="AG4428">
        <v>-7.7396000000000006E-2</v>
      </c>
      <c r="AH4428">
        <v>0.49241152098616298</v>
      </c>
      <c r="AI4428">
        <v>96.762433956779503</v>
      </c>
      <c r="AJ4428">
        <v>131.025268343406</v>
      </c>
      <c r="AK4428">
        <v>0.65727466086724595</v>
      </c>
    </row>
    <row r="4429" spans="1:37" x14ac:dyDescent="0.2">
      <c r="A4429" t="str">
        <f>"20200111154152310"</f>
        <v>20200111154152310</v>
      </c>
      <c r="B4429" t="str">
        <f>"1578728512300821"</f>
        <v>1578728512300821</v>
      </c>
      <c r="C4429" t="s">
        <v>37</v>
      </c>
      <c r="D4429">
        <v>5.3093979999999998</v>
      </c>
      <c r="E4429">
        <v>0.40586489999999997</v>
      </c>
      <c r="F4429" t="s">
        <v>38</v>
      </c>
      <c r="G4429">
        <v>-302.15519999999998</v>
      </c>
      <c r="H4429">
        <v>1.02003</v>
      </c>
      <c r="I4429">
        <v>-28.290709999999901</v>
      </c>
      <c r="J4429">
        <v>-302.61779999999999</v>
      </c>
      <c r="K4429">
        <v>1.1122719999999999</v>
      </c>
      <c r="L4429">
        <v>-27.656649999999999</v>
      </c>
      <c r="M4429">
        <v>-3.1292390000000003E-2</v>
      </c>
      <c r="N4429">
        <v>0</v>
      </c>
      <c r="O4429">
        <v>-0.99941809999999998</v>
      </c>
      <c r="P4429">
        <v>0.2211504</v>
      </c>
      <c r="Q4429">
        <v>9.4678969999999994E-3</v>
      </c>
      <c r="R4429">
        <v>-0.97519389999999995</v>
      </c>
      <c r="S4429">
        <v>1.3597109999999999</v>
      </c>
      <c r="T4429">
        <v>-0.27550609999999998</v>
      </c>
      <c r="U4429">
        <v>-2.7769469999999998</v>
      </c>
      <c r="V4429">
        <v>-0.25165890000000002</v>
      </c>
      <c r="W4429">
        <v>2.1473969999999998E-2</v>
      </c>
      <c r="X4429">
        <v>0.96757769999999999</v>
      </c>
      <c r="Y4429">
        <v>-0.46593309999999999</v>
      </c>
      <c r="Z4429">
        <v>8.8020760000000003E-2</v>
      </c>
      <c r="AA4429">
        <v>0.88043090000000002</v>
      </c>
      <c r="AB4429">
        <v>29</v>
      </c>
      <c r="AC4429">
        <v>0.462600000000009</v>
      </c>
      <c r="AD4429">
        <v>-9.2241999999999894E-2</v>
      </c>
      <c r="AE4429">
        <v>-0.63405999999999796</v>
      </c>
      <c r="AF4429">
        <v>-0.47564688111389603</v>
      </c>
      <c r="AG4429">
        <v>-9.2241999999999894E-2</v>
      </c>
      <c r="AH4429">
        <v>0.61083540580631102</v>
      </c>
      <c r="AI4429">
        <v>96.794616574767502</v>
      </c>
      <c r="AJ4429">
        <v>127.90727013423199</v>
      </c>
      <c r="AK4429">
        <v>0.77965917878515201</v>
      </c>
    </row>
    <row r="4430" spans="1:37" x14ac:dyDescent="0.2">
      <c r="A4430" t="str">
        <f>"20200111154152333"</f>
        <v>20200111154152333</v>
      </c>
      <c r="B4430" t="str">
        <f>"1578728512330102"</f>
        <v>1578728512330102</v>
      </c>
      <c r="C4430" t="s">
        <v>37</v>
      </c>
      <c r="D4430">
        <v>5.2847970000000002</v>
      </c>
      <c r="E4430">
        <v>0.40563709999999997</v>
      </c>
      <c r="F4430" t="s">
        <v>38</v>
      </c>
      <c r="G4430">
        <v>-302.1748</v>
      </c>
      <c r="H4430">
        <v>1.019101</v>
      </c>
      <c r="I4430">
        <v>-28.548719999999999</v>
      </c>
      <c r="J4430">
        <v>-302.6241</v>
      </c>
      <c r="K4430">
        <v>1.1122749999999999</v>
      </c>
      <c r="L4430">
        <v>-27.938569999999999</v>
      </c>
      <c r="M4430">
        <v>-2.8975609999999999E-2</v>
      </c>
      <c r="N4430">
        <v>0</v>
      </c>
      <c r="O4430">
        <v>-0.99948809999999999</v>
      </c>
      <c r="P4430">
        <v>0.22781899999999999</v>
      </c>
      <c r="Q4430">
        <v>9.8357679999999999E-3</v>
      </c>
      <c r="R4430">
        <v>-0.97365369999999996</v>
      </c>
      <c r="S4430">
        <v>1.374725</v>
      </c>
      <c r="T4430">
        <v>-0.28903770000000001</v>
      </c>
      <c r="U4430">
        <v>-2.7673649999999999</v>
      </c>
      <c r="V4430">
        <v>-0.25603710000000002</v>
      </c>
      <c r="W4430">
        <v>2.1812439999999999E-2</v>
      </c>
      <c r="X4430">
        <v>0.96642079999999997</v>
      </c>
      <c r="Y4430">
        <v>-0.46874700000000002</v>
      </c>
      <c r="Z4430">
        <v>9.2420420000000003E-2</v>
      </c>
      <c r="AA4430">
        <v>0.87848440000000005</v>
      </c>
      <c r="AB4430">
        <v>29</v>
      </c>
      <c r="AC4430">
        <v>0.44929999999999298</v>
      </c>
      <c r="AD4430">
        <v>-9.3173999999999799E-2</v>
      </c>
      <c r="AE4430">
        <v>-0.61014999999999697</v>
      </c>
      <c r="AF4430">
        <v>-0.45983947979874501</v>
      </c>
      <c r="AG4430">
        <v>-9.3173999999999799E-2</v>
      </c>
      <c r="AH4430">
        <v>0.58798331764604805</v>
      </c>
      <c r="AI4430">
        <v>97.115089812719503</v>
      </c>
      <c r="AJ4430">
        <v>128.02761601537199</v>
      </c>
      <c r="AK4430">
        <v>0.75223541746426303</v>
      </c>
    </row>
    <row r="4431" spans="1:37" x14ac:dyDescent="0.2">
      <c r="A4431" t="str">
        <f>"20200111154152354"</f>
        <v>20200111154152354</v>
      </c>
      <c r="B4431" t="str">
        <f>"1578728512350597"</f>
        <v>1578728512350597</v>
      </c>
      <c r="C4431" t="s">
        <v>37</v>
      </c>
      <c r="D4431">
        <v>5.2806220000000001</v>
      </c>
      <c r="E4431">
        <v>0.38237490000000002</v>
      </c>
      <c r="F4431" t="s">
        <v>38</v>
      </c>
      <c r="G4431">
        <v>-302.18610000000001</v>
      </c>
      <c r="H4431">
        <v>1.020259</v>
      </c>
      <c r="I4431">
        <v>-28.80518</v>
      </c>
      <c r="J4431">
        <v>-302.62959999999998</v>
      </c>
      <c r="K4431">
        <v>1.1122840000000001</v>
      </c>
      <c r="L4431">
        <v>-28.212340000000001</v>
      </c>
      <c r="M4431">
        <v>-2.673329E-2</v>
      </c>
      <c r="N4431">
        <v>0</v>
      </c>
      <c r="O4431">
        <v>-0.99955090000000002</v>
      </c>
      <c r="P4431">
        <v>0.2336357</v>
      </c>
      <c r="Q4431">
        <v>1.1676509999999999E-2</v>
      </c>
      <c r="R4431">
        <v>-0.97225450000000002</v>
      </c>
      <c r="S4431">
        <v>1.3941349999999999</v>
      </c>
      <c r="T4431">
        <v>-0.29283759999999998</v>
      </c>
      <c r="U4431">
        <v>-2.7579349999999998</v>
      </c>
      <c r="V4431">
        <v>-0.25965260000000001</v>
      </c>
      <c r="W4431">
        <v>2.3627769999999999E-2</v>
      </c>
      <c r="X4431">
        <v>0.96541299999999997</v>
      </c>
      <c r="Y4431">
        <v>-0.47284409999999999</v>
      </c>
      <c r="Z4431">
        <v>9.3669130000000003E-2</v>
      </c>
      <c r="AA4431">
        <v>0.87615330000000002</v>
      </c>
      <c r="AB4431">
        <v>29</v>
      </c>
      <c r="AC4431">
        <v>0.44349999999997097</v>
      </c>
      <c r="AD4431">
        <v>-9.2024999999999996E-2</v>
      </c>
      <c r="AE4431">
        <v>-0.59283999999999804</v>
      </c>
      <c r="AF4431">
        <v>-0.45220519191145297</v>
      </c>
      <c r="AG4431">
        <v>-9.2024999999999996E-2</v>
      </c>
      <c r="AH4431">
        <v>0.57193474336447903</v>
      </c>
      <c r="AI4431">
        <v>97.193595724280897</v>
      </c>
      <c r="AJ4431">
        <v>128.331966750547</v>
      </c>
      <c r="AK4431">
        <v>0.73489284040876801</v>
      </c>
    </row>
    <row r="4432" spans="1:37" x14ac:dyDescent="0.2">
      <c r="A4432" t="str">
        <f>"20200111154152375"</f>
        <v>20200111154152375</v>
      </c>
      <c r="B4432" t="str">
        <f>"1578728512370119"</f>
        <v>1578728512370119</v>
      </c>
      <c r="C4432" t="s">
        <v>37</v>
      </c>
      <c r="D4432">
        <v>5.4574780000000001</v>
      </c>
      <c r="E4432">
        <v>0.37049070000000001</v>
      </c>
      <c r="F4432" t="s">
        <v>38</v>
      </c>
      <c r="G4432">
        <v>-302.13740000000001</v>
      </c>
      <c r="H4432">
        <v>1.0192030000000001</v>
      </c>
      <c r="I4432">
        <v>-29.050380000000001</v>
      </c>
      <c r="J4432">
        <v>-302.6345</v>
      </c>
      <c r="K4432">
        <v>1.112304</v>
      </c>
      <c r="L4432">
        <v>-28.489529999999998</v>
      </c>
      <c r="M4432">
        <v>-2.4447179999999999E-2</v>
      </c>
      <c r="N4432">
        <v>0</v>
      </c>
      <c r="O4432">
        <v>-0.99960919999999898</v>
      </c>
      <c r="P4432">
        <v>0.23953739999999901</v>
      </c>
      <c r="Q4432">
        <v>1.2731599999999999E-2</v>
      </c>
      <c r="R4432">
        <v>-0.970804</v>
      </c>
      <c r="S4432">
        <v>1.5902399999999901</v>
      </c>
      <c r="T4432">
        <v>-0.30068549999999999</v>
      </c>
      <c r="U4432">
        <v>-2.7070919999999998</v>
      </c>
      <c r="V4432">
        <v>-0.26331329999999997</v>
      </c>
      <c r="W4432">
        <v>2.4649330000000001E-2</v>
      </c>
      <c r="X4432">
        <v>0.96439540000000001</v>
      </c>
      <c r="Y4432">
        <v>-0.52515509999999999</v>
      </c>
      <c r="Z4432">
        <v>9.4643539999999998E-2</v>
      </c>
      <c r="AA4432">
        <v>0.84572729999999996</v>
      </c>
      <c r="AB4432">
        <v>29</v>
      </c>
      <c r="AC4432">
        <v>0.497099999999989</v>
      </c>
      <c r="AD4432">
        <v>-9.31010000000001E-2</v>
      </c>
      <c r="AE4432">
        <v>-0.56085000000000196</v>
      </c>
      <c r="AF4432">
        <v>-0.50290284886951397</v>
      </c>
      <c r="AG4432">
        <v>-9.31010000000001E-2</v>
      </c>
      <c r="AH4432">
        <v>0.54019205777147195</v>
      </c>
      <c r="AI4432">
        <v>97.189571270160897</v>
      </c>
      <c r="AJ4432">
        <v>132.95262651029901</v>
      </c>
      <c r="AK4432">
        <v>0.74389954354163301</v>
      </c>
    </row>
    <row r="4433" spans="1:37" x14ac:dyDescent="0.2">
      <c r="A4433" t="str">
        <f>"20200111154152398"</f>
        <v>20200111154152398</v>
      </c>
      <c r="B4433" t="str">
        <f>"1578728512390615"</f>
        <v>1578728512390615</v>
      </c>
      <c r="C4433" t="s">
        <v>37</v>
      </c>
      <c r="D4433">
        <v>5.4526579999999996</v>
      </c>
      <c r="E4433">
        <v>0.36706559999999999</v>
      </c>
      <c r="F4433" t="s">
        <v>38</v>
      </c>
      <c r="G4433">
        <v>-302.11829999999998</v>
      </c>
      <c r="H4433">
        <v>1.032319</v>
      </c>
      <c r="I4433">
        <v>-29.300979999999999</v>
      </c>
      <c r="J4433">
        <v>-302.63889999999998</v>
      </c>
      <c r="K4433">
        <v>1.112339</v>
      </c>
      <c r="L4433">
        <v>-28.774319999999999</v>
      </c>
      <c r="M4433">
        <v>-2.2046070000000001E-2</v>
      </c>
      <c r="N4433">
        <v>0</v>
      </c>
      <c r="O4433">
        <v>-0.99966529999999998</v>
      </c>
      <c r="P4433">
        <v>0.24551139999999999</v>
      </c>
      <c r="Q4433">
        <v>1.307906E-2</v>
      </c>
      <c r="R4433">
        <v>-0.96930590000000005</v>
      </c>
      <c r="S4433">
        <v>1.701355</v>
      </c>
      <c r="T4433">
        <v>-0.26357219999999998</v>
      </c>
      <c r="U4433">
        <v>-2.673889</v>
      </c>
      <c r="V4433">
        <v>-0.2669377</v>
      </c>
      <c r="W4433">
        <v>2.494822E-2</v>
      </c>
      <c r="X4433">
        <v>0.96339079999999999</v>
      </c>
      <c r="Y4433">
        <v>-0.55347179999999996</v>
      </c>
      <c r="Z4433">
        <v>8.2305660000000003E-2</v>
      </c>
      <c r="AA4433">
        <v>0.8287911</v>
      </c>
      <c r="AB4433">
        <v>29</v>
      </c>
      <c r="AC4433">
        <v>0.52060000000000095</v>
      </c>
      <c r="AD4433">
        <v>-8.0019999999999897E-2</v>
      </c>
      <c r="AE4433">
        <v>-0.52665999999999902</v>
      </c>
      <c r="AF4433">
        <v>-0.52594423703924997</v>
      </c>
      <c r="AG4433">
        <v>-8.0019999999999897E-2</v>
      </c>
      <c r="AH4433">
        <v>0.50910925039855004</v>
      </c>
      <c r="AI4433">
        <v>96.238710400721104</v>
      </c>
      <c r="AJ4433">
        <v>135.93182492506901</v>
      </c>
      <c r="AK4433">
        <v>0.73635098269519095</v>
      </c>
    </row>
    <row r="4434" spans="1:37" x14ac:dyDescent="0.2">
      <c r="A4434" t="str">
        <f>"20200111154152419"</f>
        <v>20200111154152419</v>
      </c>
      <c r="B4434" t="str">
        <f>"1578728512410134"</f>
        <v>1578728512410134</v>
      </c>
      <c r="C4434" t="s">
        <v>37</v>
      </c>
      <c r="D4434">
        <v>5.3104809999999896</v>
      </c>
      <c r="E4434">
        <v>0.36578490000000002</v>
      </c>
      <c r="F4434" t="s">
        <v>38</v>
      </c>
      <c r="G4434">
        <v>-302.12560000000002</v>
      </c>
      <c r="H4434">
        <v>1.0354289999999999</v>
      </c>
      <c r="I4434">
        <v>-29.556270000000001</v>
      </c>
      <c r="J4434">
        <v>-302.64229999999998</v>
      </c>
      <c r="K4434">
        <v>1.1124000000000001</v>
      </c>
      <c r="L4434">
        <v>-29.046909999999901</v>
      </c>
      <c r="M4434">
        <v>-1.9662280000000001E-2</v>
      </c>
      <c r="N4434">
        <v>0</v>
      </c>
      <c r="O4434">
        <v>-0.99971469999999996</v>
      </c>
      <c r="P4434">
        <v>0.2516466</v>
      </c>
      <c r="Q4434">
        <v>1.34688999999999E-2</v>
      </c>
      <c r="R4434">
        <v>-0.96772569999999902</v>
      </c>
      <c r="S4434">
        <v>1.7444459999999999</v>
      </c>
      <c r="T4434">
        <v>-0.26131670000000001</v>
      </c>
      <c r="U4434">
        <v>-2.6567080000000001</v>
      </c>
      <c r="V4434">
        <v>-0.27074759999999998</v>
      </c>
      <c r="W4434">
        <v>2.5270460000000002E-2</v>
      </c>
      <c r="X4434">
        <v>0.96231860000000002</v>
      </c>
      <c r="Y4434">
        <v>-0.56337510000000002</v>
      </c>
      <c r="Z4434">
        <v>8.1430160000000001E-2</v>
      </c>
      <c r="AA4434">
        <v>0.82217859999999998</v>
      </c>
      <c r="AB4434">
        <v>29</v>
      </c>
      <c r="AC4434">
        <v>0.51669999999995697</v>
      </c>
      <c r="AD4434">
        <v>-7.6970999999999901E-2</v>
      </c>
      <c r="AE4434">
        <v>-0.50936000000000403</v>
      </c>
      <c r="AF4434">
        <v>-0.52075548074787303</v>
      </c>
      <c r="AG4434">
        <v>-7.6970999999999901E-2</v>
      </c>
      <c r="AH4434">
        <v>0.49354658124490602</v>
      </c>
      <c r="AI4434">
        <v>96.123269909070501</v>
      </c>
      <c r="AJ4434">
        <v>136.53660471412499</v>
      </c>
      <c r="AK4434">
        <v>0.72159478478470396</v>
      </c>
    </row>
    <row r="4435" spans="1:37" x14ac:dyDescent="0.2">
      <c r="A4435" t="str">
        <f>"20200111154152443"</f>
        <v>20200111154152443</v>
      </c>
      <c r="B4435" t="str">
        <f>"1578728512430629"</f>
        <v>1578728512430629</v>
      </c>
      <c r="C4435" t="s">
        <v>37</v>
      </c>
      <c r="D4435">
        <v>5.3505180000000001</v>
      </c>
      <c r="E4435">
        <v>0.36548239999999999</v>
      </c>
      <c r="F4435" t="s">
        <v>38</v>
      </c>
      <c r="G4435">
        <v>-302.13069999999999</v>
      </c>
      <c r="H4435">
        <v>1.0361260000000001</v>
      </c>
      <c r="I4435">
        <v>-29.810949999999998</v>
      </c>
      <c r="J4435">
        <v>-302.64530000000002</v>
      </c>
      <c r="K4435">
        <v>1.112495</v>
      </c>
      <c r="L4435">
        <v>-29.34</v>
      </c>
      <c r="M4435">
        <v>-1.6976749999999999E-2</v>
      </c>
      <c r="N4435">
        <v>0</v>
      </c>
      <c r="O4435">
        <v>-0.99976409999999905</v>
      </c>
      <c r="P4435">
        <v>0.2586041</v>
      </c>
      <c r="Q4435">
        <v>1.46486999999999E-2</v>
      </c>
      <c r="R4435">
        <v>-0.96587269999999903</v>
      </c>
      <c r="S4435">
        <v>1.770599</v>
      </c>
      <c r="T4435">
        <v>-0.26388620000000002</v>
      </c>
      <c r="U4435">
        <v>-2.6432799999999999</v>
      </c>
      <c r="V4435">
        <v>-0.27509629999999902</v>
      </c>
      <c r="W4435">
        <v>2.635585E-2</v>
      </c>
      <c r="X4435">
        <v>0.96105529999999995</v>
      </c>
      <c r="Y4435">
        <v>-0.56866660000000002</v>
      </c>
      <c r="Z4435">
        <v>8.2209309999999994E-2</v>
      </c>
      <c r="AA4435">
        <v>0.81844969999999995</v>
      </c>
      <c r="AB4435">
        <v>29</v>
      </c>
      <c r="AC4435">
        <v>0.51460000000002903</v>
      </c>
      <c r="AD4435">
        <v>-7.6368999999999895E-2</v>
      </c>
      <c r="AE4435">
        <v>-0.47094999999999798</v>
      </c>
      <c r="AF4435">
        <v>-0.516333251699022</v>
      </c>
      <c r="AG4435">
        <v>-7.6368999999999895E-2</v>
      </c>
      <c r="AH4435">
        <v>0.456671645515139</v>
      </c>
      <c r="AI4435">
        <v>96.322040601445906</v>
      </c>
      <c r="AJ4435">
        <v>138.50880433950101</v>
      </c>
      <c r="AK4435">
        <v>0.69352811247172297</v>
      </c>
    </row>
    <row r="4436" spans="1:37" x14ac:dyDescent="0.2">
      <c r="A4436" t="str">
        <f>"20200111154152466"</f>
        <v>20200111154152466</v>
      </c>
      <c r="B4436" t="str">
        <f>"1578728512460886"</f>
        <v>1578728512460886</v>
      </c>
      <c r="C4436" t="s">
        <v>37</v>
      </c>
      <c r="D4436">
        <v>5.3611810000000002</v>
      </c>
      <c r="E4436">
        <v>0.36552709999999999</v>
      </c>
      <c r="F4436" t="s">
        <v>38</v>
      </c>
      <c r="G4436">
        <v>-302.14980000000003</v>
      </c>
      <c r="H4436">
        <v>1.0380119999999999</v>
      </c>
      <c r="I4436">
        <v>-30.068239999999999</v>
      </c>
      <c r="J4436">
        <v>-302.6472</v>
      </c>
      <c r="K4436">
        <v>1.1126049999999901</v>
      </c>
      <c r="L4436">
        <v>-29.63617</v>
      </c>
      <c r="M4436">
        <v>-1.4090770000000001E-2</v>
      </c>
      <c r="N4436">
        <v>0</v>
      </c>
      <c r="O4436">
        <v>-0.99980899999999995</v>
      </c>
      <c r="P4436">
        <v>0.26644759999999901</v>
      </c>
      <c r="Q4436">
        <v>1.556416E-2</v>
      </c>
      <c r="R4436">
        <v>-0.96372420000000003</v>
      </c>
      <c r="S4436">
        <v>1.7908630000000001</v>
      </c>
      <c r="T4436">
        <v>-0.26906970000000002</v>
      </c>
      <c r="U4436">
        <v>-2.630585</v>
      </c>
      <c r="V4436">
        <v>-0.280144</v>
      </c>
      <c r="W4436">
        <v>2.7156179999999999E-2</v>
      </c>
      <c r="X4436">
        <v>0.95957380000000003</v>
      </c>
      <c r="Y4436">
        <v>-0.57235970000000003</v>
      </c>
      <c r="Z4436">
        <v>8.3868209999999999E-2</v>
      </c>
      <c r="AA4436">
        <v>0.81570240000000005</v>
      </c>
      <c r="AB4436">
        <v>29</v>
      </c>
      <c r="AC4436">
        <v>0.49739999999996998</v>
      </c>
      <c r="AD4436">
        <v>-7.4592999999999604E-2</v>
      </c>
      <c r="AE4436">
        <v>-0.43207000000000301</v>
      </c>
      <c r="AF4436">
        <v>-0.49706802411422801</v>
      </c>
      <c r="AG4436">
        <v>-7.4592999999999604E-2</v>
      </c>
      <c r="AH4436">
        <v>0.419638837571635</v>
      </c>
      <c r="AI4436">
        <v>96.541372041857002</v>
      </c>
      <c r="AJ4436">
        <v>139.827999730904</v>
      </c>
      <c r="AK4436">
        <v>0.65478049012191597</v>
      </c>
    </row>
    <row r="4437" spans="1:37" x14ac:dyDescent="0.2">
      <c r="A4437" t="str">
        <f>"20200111154152491"</f>
        <v>20200111154152491</v>
      </c>
      <c r="B4437" t="str">
        <f>"1578728512480406"</f>
        <v>1578728512480406</v>
      </c>
      <c r="C4437" t="s">
        <v>37</v>
      </c>
      <c r="D4437">
        <v>5.363111</v>
      </c>
      <c r="E4437">
        <v>0.3658034</v>
      </c>
      <c r="F4437" t="s">
        <v>47</v>
      </c>
      <c r="G4437">
        <v>-294.67129999999997</v>
      </c>
      <c r="H4437" s="1">
        <v>-1.886213E-6</v>
      </c>
      <c r="I4437">
        <v>-41.140709999999999</v>
      </c>
      <c r="J4437">
        <v>-302.647999999999</v>
      </c>
      <c r="K4437">
        <v>1.112719</v>
      </c>
      <c r="L4437">
        <v>-29.956999999999901</v>
      </c>
      <c r="M4437">
        <v>-1.0780619999999999E-2</v>
      </c>
      <c r="N4437">
        <v>0</v>
      </c>
      <c r="O4437">
        <v>-0.99984989999999996</v>
      </c>
      <c r="P4437">
        <v>0.2742715</v>
      </c>
      <c r="Q4437">
        <v>1.562058E-2</v>
      </c>
      <c r="R4437">
        <v>-0.96152569999999904</v>
      </c>
      <c r="S4437">
        <v>1.81338499999999</v>
      </c>
      <c r="T4437">
        <v>-0.2529612</v>
      </c>
      <c r="U4437">
        <v>-2.6156619999999999</v>
      </c>
      <c r="V4437">
        <v>-0.28477209999999997</v>
      </c>
      <c r="W4437">
        <v>2.7093260000000001E-2</v>
      </c>
      <c r="X4437">
        <v>0.95821229999999902</v>
      </c>
      <c r="Y4437">
        <v>-0.57679579999999997</v>
      </c>
      <c r="Z4437">
        <v>7.8952010000000003E-2</v>
      </c>
      <c r="AA4437">
        <v>0.81306400000000001</v>
      </c>
      <c r="AB4437">
        <v>29</v>
      </c>
      <c r="AC4437">
        <v>7.9766999999999904</v>
      </c>
      <c r="AD4437">
        <v>-1.112720886213</v>
      </c>
      <c r="AE4437">
        <v>-11.18371</v>
      </c>
      <c r="AF4437">
        <v>-8.0440350318609006</v>
      </c>
      <c r="AG4437">
        <v>-1.112720886213</v>
      </c>
      <c r="AH4437">
        <v>11.024721194338801</v>
      </c>
      <c r="AI4437">
        <v>94.661224225639302</v>
      </c>
      <c r="AJ4437">
        <v>126.115841705523</v>
      </c>
      <c r="AK4437">
        <v>13.692666824885601</v>
      </c>
    </row>
    <row r="4438" spans="1:37" x14ac:dyDescent="0.2">
      <c r="A4438" t="str">
        <f>"20200111154152524"</f>
        <v>20200111154152524</v>
      </c>
      <c r="B4438" t="str">
        <f>"1578728512520422"</f>
        <v>1578728512520422</v>
      </c>
      <c r="C4438" t="s">
        <v>37</v>
      </c>
      <c r="D4438">
        <v>5.6418179999999998</v>
      </c>
      <c r="E4438">
        <v>0.36641200000000002</v>
      </c>
      <c r="F4438" t="s">
        <v>38</v>
      </c>
      <c r="G4438">
        <v>-302.0478</v>
      </c>
      <c r="H4438">
        <v>1.0328790000000001</v>
      </c>
      <c r="I4438">
        <v>-30.808199999999999</v>
      </c>
      <c r="J4438">
        <v>-302.64749999999998</v>
      </c>
      <c r="K4438">
        <v>1.112816</v>
      </c>
      <c r="L4438">
        <v>-30.377140000000001</v>
      </c>
      <c r="M4438">
        <v>-6.2243609999999899E-3</v>
      </c>
      <c r="N4438">
        <v>0</v>
      </c>
      <c r="O4438">
        <v>-0.99988869999999896</v>
      </c>
      <c r="P4438">
        <v>0.28800679999999901</v>
      </c>
      <c r="Q4438">
        <v>1.3395260000000001E-2</v>
      </c>
      <c r="R4438">
        <v>-0.95753500000000003</v>
      </c>
      <c r="S4438">
        <v>1.834015</v>
      </c>
      <c r="T4438">
        <v>-0.2439511</v>
      </c>
      <c r="U4438">
        <v>-2.6008610000000001</v>
      </c>
      <c r="V4438">
        <v>-0.2941069</v>
      </c>
      <c r="W4438">
        <v>2.4695089999999999E-2</v>
      </c>
      <c r="X4438">
        <v>0.95545349999999996</v>
      </c>
      <c r="Y4438">
        <v>-0.57968319999999995</v>
      </c>
      <c r="Z4438">
        <v>7.6276789999999997E-2</v>
      </c>
      <c r="AA4438">
        <v>0.81126399999999999</v>
      </c>
      <c r="AB4438">
        <v>29</v>
      </c>
      <c r="AC4438">
        <v>0.59969999999998402</v>
      </c>
      <c r="AD4438">
        <v>-7.9936999999999897E-2</v>
      </c>
      <c r="AE4438">
        <v>-0.431059999999998</v>
      </c>
      <c r="AF4438">
        <v>-0.59539668911644295</v>
      </c>
      <c r="AG4438">
        <v>-7.9936999999999897E-2</v>
      </c>
      <c r="AH4438">
        <v>0.42237052814028903</v>
      </c>
      <c r="AI4438">
        <v>96.249181107971594</v>
      </c>
      <c r="AJ4438">
        <v>144.64835905004301</v>
      </c>
      <c r="AK4438">
        <v>0.73435958795492695</v>
      </c>
    </row>
    <row r="4439" spans="1:37" x14ac:dyDescent="0.2">
      <c r="A4439" t="str">
        <f>"20200111154152551"</f>
        <v>20200111154152551</v>
      </c>
      <c r="B4439" t="str">
        <f>"1578728512540917"</f>
        <v>1578728512540917</v>
      </c>
      <c r="C4439" t="s">
        <v>37</v>
      </c>
      <c r="D4439">
        <v>5.3501699999999897</v>
      </c>
      <c r="E4439">
        <v>0.36661909999999998</v>
      </c>
      <c r="F4439" t="s">
        <v>47</v>
      </c>
      <c r="G4439">
        <v>-294.08519999999999</v>
      </c>
      <c r="H4439" s="1">
        <v>-2.7001089999999998E-6</v>
      </c>
      <c r="I4439">
        <v>-42.175849999999997</v>
      </c>
      <c r="J4439">
        <v>-302.64519999999999</v>
      </c>
      <c r="K4439">
        <v>1.1128769999999999</v>
      </c>
      <c r="L4439">
        <v>-30.724209999999999</v>
      </c>
      <c r="M4439">
        <v>-2.2921539999999998E-3</v>
      </c>
      <c r="N4439">
        <v>0</v>
      </c>
      <c r="O4439">
        <v>-0.99990519999999905</v>
      </c>
      <c r="P4439">
        <v>0.296191599999999</v>
      </c>
      <c r="Q4439">
        <v>1.269227E-2</v>
      </c>
      <c r="R4439">
        <v>-0.95504439999999902</v>
      </c>
      <c r="S4439">
        <v>1.8682859999999999</v>
      </c>
      <c r="T4439">
        <v>-0.24281839999999899</v>
      </c>
      <c r="U4439">
        <v>-2.5744929999999999</v>
      </c>
      <c r="V4439">
        <v>-0.2985255</v>
      </c>
      <c r="W4439">
        <v>2.3900919999999999E-2</v>
      </c>
      <c r="X4439">
        <v>0.95410229999999996</v>
      </c>
      <c r="Y4439">
        <v>-0.58748599999999995</v>
      </c>
      <c r="Z4439">
        <v>7.6056509999999994E-2</v>
      </c>
      <c r="AA4439">
        <v>0.80565229999999999</v>
      </c>
      <c r="AB4439">
        <v>29</v>
      </c>
      <c r="AC4439">
        <v>8.56</v>
      </c>
      <c r="AD4439">
        <v>-1.1128797001090001</v>
      </c>
      <c r="AE4439">
        <v>-11.4516399999999</v>
      </c>
      <c r="AF4439">
        <v>-8.5345199120504809</v>
      </c>
      <c r="AG4439">
        <v>-1.1128797001090001</v>
      </c>
      <c r="AH4439">
        <v>11.363140283669001</v>
      </c>
      <c r="AI4439">
        <v>94.477688211511193</v>
      </c>
      <c r="AJ4439">
        <v>126.909133439263</v>
      </c>
      <c r="AK4439">
        <v>14.254735650388</v>
      </c>
    </row>
    <row r="4440" spans="1:37" x14ac:dyDescent="0.2">
      <c r="A4440" t="str">
        <f>"20200111154152575"</f>
        <v>20200111154152575</v>
      </c>
      <c r="B4440" t="str">
        <f>"1578728512570198"</f>
        <v>1578728512570198</v>
      </c>
      <c r="C4440" t="s">
        <v>37</v>
      </c>
      <c r="D4440">
        <v>5.3145920000000002</v>
      </c>
      <c r="E4440">
        <v>0.36696139999999999</v>
      </c>
      <c r="F4440" t="s">
        <v>47</v>
      </c>
      <c r="G4440">
        <v>-294.01280000000003</v>
      </c>
      <c r="H4440" s="1">
        <v>-2.867903E-6</v>
      </c>
      <c r="I4440">
        <v>-42.409520000000001</v>
      </c>
      <c r="J4440">
        <v>-302.6422</v>
      </c>
      <c r="K4440">
        <v>1.112911</v>
      </c>
      <c r="L4440">
        <v>-31.024480000000001</v>
      </c>
      <c r="M4440">
        <v>1.1686069999999999E-3</v>
      </c>
      <c r="N4440">
        <v>0</v>
      </c>
      <c r="O4440">
        <v>-0.99990730000000005</v>
      </c>
      <c r="P4440">
        <v>0.30300100000000002</v>
      </c>
      <c r="Q4440">
        <v>1.210142E-2</v>
      </c>
      <c r="R4440">
        <v>-0.95291389999999998</v>
      </c>
      <c r="S4440">
        <v>1.889923</v>
      </c>
      <c r="T4440">
        <v>-0.2436478</v>
      </c>
      <c r="U4440">
        <v>-2.558319</v>
      </c>
      <c r="V4440">
        <v>-0.30203089999999999</v>
      </c>
      <c r="W4440">
        <v>2.32464E-2</v>
      </c>
      <c r="X4440">
        <v>0.95301469999999899</v>
      </c>
      <c r="Y4440">
        <v>-0.5915089</v>
      </c>
      <c r="Z4440">
        <v>7.6407600000000006E-2</v>
      </c>
      <c r="AA4440">
        <v>0.80266999999999999</v>
      </c>
      <c r="AB4440">
        <v>28</v>
      </c>
      <c r="AC4440">
        <v>8.6293999999999702</v>
      </c>
      <c r="AD4440">
        <v>-1.112913867903</v>
      </c>
      <c r="AE4440">
        <v>-11.38504</v>
      </c>
      <c r="AF4440">
        <v>-8.5641134257551208</v>
      </c>
      <c r="AG4440">
        <v>-1.112913867903</v>
      </c>
      <c r="AH4440">
        <v>11.3263787757739</v>
      </c>
      <c r="AI4440">
        <v>94.481451959739204</v>
      </c>
      <c r="AJ4440">
        <v>127.09369362282099</v>
      </c>
      <c r="AK4440">
        <v>14.2432254850814</v>
      </c>
    </row>
    <row r="4441" spans="1:37" x14ac:dyDescent="0.2">
      <c r="A4441" t="str">
        <f>"20200111154152615"</f>
        <v>20200111154152615</v>
      </c>
      <c r="B4441" t="str">
        <f>"1578728512610214"</f>
        <v>1578728512610214</v>
      </c>
      <c r="C4441" t="s">
        <v>37</v>
      </c>
      <c r="D4441">
        <v>5.3306469999999999</v>
      </c>
      <c r="E4441">
        <v>0.47308309999999998</v>
      </c>
      <c r="F4441" t="s">
        <v>38</v>
      </c>
      <c r="G4441">
        <v>-302.04829999999998</v>
      </c>
      <c r="H4441">
        <v>1.0363039999999999</v>
      </c>
      <c r="I4441">
        <v>-31.817559999999901</v>
      </c>
      <c r="J4441">
        <v>-302.63499999999999</v>
      </c>
      <c r="K4441">
        <v>1.112922</v>
      </c>
      <c r="L4441">
        <v>-31.508029999999899</v>
      </c>
      <c r="M4441">
        <v>6.7838530000000003E-3</v>
      </c>
      <c r="N4441">
        <v>0</v>
      </c>
      <c r="O4441">
        <v>-0.99988489999999997</v>
      </c>
      <c r="P4441">
        <v>0.31388499999999903</v>
      </c>
      <c r="Q4441">
        <v>9.2249830000000008E-3</v>
      </c>
      <c r="R4441">
        <v>-0.94941629999999999</v>
      </c>
      <c r="S4441">
        <v>1.906525</v>
      </c>
      <c r="T4441">
        <v>-0.24585509999999999</v>
      </c>
      <c r="U4441">
        <v>-2.5451349999999899</v>
      </c>
      <c r="V4441">
        <v>-0.30756420000000001</v>
      </c>
      <c r="W4441">
        <v>2.029071E-2</v>
      </c>
      <c r="X4441">
        <v>0.95131089999999996</v>
      </c>
      <c r="Y4441">
        <v>-0.59229790000000004</v>
      </c>
      <c r="Z4441">
        <v>7.7252459999999995E-2</v>
      </c>
      <c r="AA4441">
        <v>0.80200700000000003</v>
      </c>
      <c r="AB4441">
        <v>28</v>
      </c>
      <c r="AC4441">
        <v>0.58670000000000699</v>
      </c>
      <c r="AD4441">
        <v>-7.6617999999999797E-2</v>
      </c>
      <c r="AE4441">
        <v>-0.30952999999999797</v>
      </c>
      <c r="AF4441">
        <v>-0.57689028976775203</v>
      </c>
      <c r="AG4441">
        <v>-7.6617999999999797E-2</v>
      </c>
      <c r="AH4441">
        <v>0.309375990000467</v>
      </c>
      <c r="AI4441">
        <v>96.675725692663804</v>
      </c>
      <c r="AJ4441">
        <v>151.796133056738</v>
      </c>
      <c r="AK4441">
        <v>0.65907983396633396</v>
      </c>
    </row>
    <row r="4442" spans="1:37" x14ac:dyDescent="0.2">
      <c r="A4442" t="str">
        <f>"20200111154152642"</f>
        <v>20200111154152642</v>
      </c>
      <c r="B4442" t="str">
        <f>"1578728512630710"</f>
        <v>1578728512630710</v>
      </c>
      <c r="C4442" t="s">
        <v>37</v>
      </c>
      <c r="D4442">
        <v>5.3886620000000001</v>
      </c>
      <c r="E4442">
        <v>0.48221179999999902</v>
      </c>
      <c r="F4442" t="s">
        <v>47</v>
      </c>
      <c r="G4442">
        <v>-298.86009999999999</v>
      </c>
      <c r="H4442" s="1">
        <v>-5.8321750000000004E-7</v>
      </c>
      <c r="I4442">
        <v>-40.844209999999997</v>
      </c>
      <c r="J4442">
        <v>-302.62790000000001</v>
      </c>
      <c r="K4442">
        <v>1.1129229999999899</v>
      </c>
      <c r="L4442">
        <v>-31.87134</v>
      </c>
      <c r="M4442">
        <v>1.1002909999999999E-2</v>
      </c>
      <c r="N4442">
        <v>0</v>
      </c>
      <c r="O4442">
        <v>-0.99984740000000005</v>
      </c>
      <c r="P4442">
        <v>0.3189883</v>
      </c>
      <c r="Q4442">
        <v>9.0105970000000004E-3</v>
      </c>
      <c r="R4442">
        <v>-0.947716</v>
      </c>
      <c r="S4442">
        <v>1.1281129999999999</v>
      </c>
      <c r="T4442">
        <v>-0.33259460000000002</v>
      </c>
      <c r="U4442">
        <v>-2.7900999999999998</v>
      </c>
      <c r="V4442">
        <v>-0.30866729999999998</v>
      </c>
      <c r="W4442">
        <v>2.0060450000000001E-2</v>
      </c>
      <c r="X4442">
        <v>0.95095849999999904</v>
      </c>
      <c r="Y4442">
        <v>-0.36234659999999902</v>
      </c>
      <c r="Z4442">
        <v>0.11006580000000001</v>
      </c>
      <c r="AA4442">
        <v>0.925521699999999</v>
      </c>
      <c r="AB4442">
        <v>28</v>
      </c>
      <c r="AC4442">
        <v>3.7678000000000198</v>
      </c>
      <c r="AD4442">
        <v>-1.1129235832175</v>
      </c>
      <c r="AE4442">
        <v>-8.9728699999999897</v>
      </c>
      <c r="AF4442">
        <v>-3.62147353970246</v>
      </c>
      <c r="AG4442">
        <v>-1.1129235832175</v>
      </c>
      <c r="AH4442">
        <v>8.8974269240440798</v>
      </c>
      <c r="AI4442">
        <v>96.608517157041604</v>
      </c>
      <c r="AJ4442">
        <v>112.147542843434</v>
      </c>
      <c r="AK4442">
        <v>9.6704640720883397</v>
      </c>
    </row>
    <row r="4443" spans="1:37" x14ac:dyDescent="0.2">
      <c r="A4443" t="str">
        <f>"20200111154152667"</f>
        <v>20200111154152667</v>
      </c>
      <c r="B4443" t="str">
        <f>"1578728512660967"</f>
        <v>1578728512660967</v>
      </c>
      <c r="C4443" t="s">
        <v>37</v>
      </c>
      <c r="D4443">
        <v>5.3087099999999996</v>
      </c>
      <c r="E4443">
        <v>0.48479290000000003</v>
      </c>
      <c r="F4443" t="s">
        <v>39</v>
      </c>
      <c r="G4443">
        <v>-299.44690000000003</v>
      </c>
      <c r="H4443" s="1">
        <v>-2.00174999999999E-7</v>
      </c>
      <c r="I4443">
        <v>-40.196150000000003</v>
      </c>
      <c r="J4443">
        <v>-302.62049999999999</v>
      </c>
      <c r="K4443">
        <v>1.1129340000000001</v>
      </c>
      <c r="L4443">
        <v>-32.181489999999997</v>
      </c>
      <c r="M4443">
        <v>1.4608110000000001E-2</v>
      </c>
      <c r="N4443">
        <v>0</v>
      </c>
      <c r="O4443">
        <v>-0.99980100000000005</v>
      </c>
      <c r="P4443">
        <v>0.32399139999999998</v>
      </c>
      <c r="Q4443">
        <v>1.022873E-2</v>
      </c>
      <c r="R4443">
        <v>-0.94600469999999903</v>
      </c>
      <c r="S4443">
        <v>1.072937</v>
      </c>
      <c r="T4443">
        <v>-0.37538830000000001</v>
      </c>
      <c r="U4443">
        <v>-2.8079529999999999</v>
      </c>
      <c r="V4443">
        <v>-0.31027070000000001</v>
      </c>
      <c r="W4443">
        <v>2.1257060000000001E-2</v>
      </c>
      <c r="X4443">
        <v>0.95041049999999905</v>
      </c>
      <c r="Y4443">
        <v>-0.34048970000000001</v>
      </c>
      <c r="Z4443">
        <v>0.12422469999999999</v>
      </c>
      <c r="AA4443">
        <v>0.93200590000000005</v>
      </c>
      <c r="AB4443">
        <v>28</v>
      </c>
      <c r="AC4443">
        <v>3.17359999999996</v>
      </c>
      <c r="AD4443">
        <v>-1.112934200175</v>
      </c>
      <c r="AE4443">
        <v>-8.0146599999999992</v>
      </c>
      <c r="AF4443">
        <v>-3.0060630999775002</v>
      </c>
      <c r="AG4443">
        <v>-1.112934200175</v>
      </c>
      <c r="AH4443">
        <v>7.9280163395963399</v>
      </c>
      <c r="AI4443">
        <v>97.477949300224495</v>
      </c>
      <c r="AJ4443">
        <v>110.765206560751</v>
      </c>
      <c r="AK4443">
        <v>8.5515192203416195</v>
      </c>
    </row>
    <row r="4444" spans="1:37" x14ac:dyDescent="0.2">
      <c r="A4444" t="str">
        <f>"20200111154152692"</f>
        <v>20200111154152692</v>
      </c>
      <c r="B4444" t="str">
        <f>"1578728512680486"</f>
        <v>1578728512680486</v>
      </c>
      <c r="C4444" t="s">
        <v>37</v>
      </c>
      <c r="D4444">
        <v>5.2748210000000002</v>
      </c>
      <c r="E4444">
        <v>0.48431570000000002</v>
      </c>
      <c r="F4444" t="s">
        <v>47</v>
      </c>
      <c r="G4444">
        <v>-299.42469999999997</v>
      </c>
      <c r="H4444" s="1">
        <v>-2.652625E-7</v>
      </c>
      <c r="I4444">
        <v>-40.580309999999997</v>
      </c>
      <c r="J4444">
        <v>-302.61180000000002</v>
      </c>
      <c r="K4444">
        <v>1.1129549999999999</v>
      </c>
      <c r="L4444">
        <v>-32.495570000000001</v>
      </c>
      <c r="M4444">
        <v>1.8283199999999999E-2</v>
      </c>
      <c r="N4444">
        <v>0</v>
      </c>
      <c r="O4444">
        <v>-0.99974059999999898</v>
      </c>
      <c r="P4444">
        <v>0.32945409999999897</v>
      </c>
      <c r="Q4444">
        <v>1.2062160000000001E-2</v>
      </c>
      <c r="R4444">
        <v>-0.94409449999999995</v>
      </c>
      <c r="S4444">
        <v>1.0689090000000001</v>
      </c>
      <c r="T4444">
        <v>-0.37224570000000001</v>
      </c>
      <c r="U4444">
        <v>-2.8091740000000001</v>
      </c>
      <c r="V4444">
        <v>-0.31228289999999997</v>
      </c>
      <c r="W4444">
        <v>2.3057620000000001E-2</v>
      </c>
      <c r="X4444">
        <v>0.94970929999999998</v>
      </c>
      <c r="Y4444">
        <v>-0.33577319999999999</v>
      </c>
      <c r="Z4444">
        <v>0.12327879999999999</v>
      </c>
      <c r="AA4444">
        <v>0.93384080000000003</v>
      </c>
      <c r="AB4444">
        <v>28</v>
      </c>
      <c r="AC4444">
        <v>3.18710000000004</v>
      </c>
      <c r="AD4444">
        <v>-1.1129552652625001</v>
      </c>
      <c r="AE4444">
        <v>-8.0847399999999894</v>
      </c>
      <c r="AF4444">
        <v>-2.9897023103396201</v>
      </c>
      <c r="AG4444">
        <v>-1.1129552652625001</v>
      </c>
      <c r="AH4444">
        <v>8.0102816069992997</v>
      </c>
      <c r="AI4444">
        <v>97.416480323885196</v>
      </c>
      <c r="AJ4444">
        <v>110.467239396705</v>
      </c>
      <c r="AK4444">
        <v>8.6221575461340798</v>
      </c>
    </row>
    <row r="4445" spans="1:37" x14ac:dyDescent="0.2">
      <c r="A4445" t="str">
        <f>"20200111154152717"</f>
        <v>20200111154152717</v>
      </c>
      <c r="B4445" t="str">
        <f>"1578728512710741"</f>
        <v>1578728512710741</v>
      </c>
      <c r="C4445" t="s">
        <v>37</v>
      </c>
      <c r="D4445">
        <v>5.3060359999999998</v>
      </c>
      <c r="E4445">
        <v>0.48449569999999997</v>
      </c>
      <c r="F4445" t="s">
        <v>47</v>
      </c>
      <c r="G4445">
        <v>-299.35820000000001</v>
      </c>
      <c r="H4445" s="1">
        <v>-4.65764099999999E-7</v>
      </c>
      <c r="I4445">
        <v>-40.867909999999902</v>
      </c>
      <c r="J4445">
        <v>-302.60169999999999</v>
      </c>
      <c r="K4445">
        <v>1.112992</v>
      </c>
      <c r="L4445">
        <v>-32.81644</v>
      </c>
      <c r="M4445">
        <v>2.2068359999999999E-2</v>
      </c>
      <c r="N4445">
        <v>0</v>
      </c>
      <c r="O4445">
        <v>-0.99966449999999996</v>
      </c>
      <c r="P4445">
        <v>0.3349413</v>
      </c>
      <c r="Q4445">
        <v>1.4141320000000001E-2</v>
      </c>
      <c r="R4445">
        <v>-0.94213340000000001</v>
      </c>
      <c r="S4445">
        <v>1.0890500000000001</v>
      </c>
      <c r="T4445">
        <v>-0.37252590000000002</v>
      </c>
      <c r="U4445">
        <v>-2.802368</v>
      </c>
      <c r="V4445">
        <v>-0.31422719999999998</v>
      </c>
      <c r="W4445">
        <v>2.5098849999999999E-2</v>
      </c>
      <c r="X4445">
        <v>0.94901599999999997</v>
      </c>
      <c r="Y4445">
        <v>-0.338802299999999</v>
      </c>
      <c r="Z4445">
        <v>0.1234108</v>
      </c>
      <c r="AA4445">
        <v>0.93272869999999997</v>
      </c>
      <c r="AB4445">
        <v>28</v>
      </c>
      <c r="AC4445">
        <v>3.2434999999999801</v>
      </c>
      <c r="AD4445">
        <v>-1.1129924657640999</v>
      </c>
      <c r="AE4445">
        <v>-8.0514699999999895</v>
      </c>
      <c r="AF4445">
        <v>-3.01543486308067</v>
      </c>
      <c r="AG4445">
        <v>-1.1129924657640999</v>
      </c>
      <c r="AH4445">
        <v>7.9897368694597999</v>
      </c>
      <c r="AI4445">
        <v>97.425478789838294</v>
      </c>
      <c r="AJ4445">
        <v>110.677185575718</v>
      </c>
      <c r="AK4445">
        <v>8.6120552068327694</v>
      </c>
    </row>
    <row r="4446" spans="1:37" x14ac:dyDescent="0.2">
      <c r="A4446" t="str">
        <f>"20200111154152748"</f>
        <v>20200111154152748</v>
      </c>
      <c r="B4446" t="str">
        <f>"1578728512740997"</f>
        <v>1578728512740997</v>
      </c>
      <c r="C4446" t="s">
        <v>37</v>
      </c>
      <c r="D4446">
        <v>5.388903</v>
      </c>
      <c r="E4446">
        <v>0.48472219999999999</v>
      </c>
      <c r="F4446" t="s">
        <v>47</v>
      </c>
      <c r="G4446">
        <v>-299.27260000000001</v>
      </c>
      <c r="H4446" s="1">
        <v>-7.3001930000000002E-7</v>
      </c>
      <c r="I4446">
        <v>-41.24783</v>
      </c>
      <c r="J4446">
        <v>-302.58780000000002</v>
      </c>
      <c r="K4446">
        <v>1.113056</v>
      </c>
      <c r="L4446">
        <v>-33.206209999999999</v>
      </c>
      <c r="M4446">
        <v>2.6741729999999998E-2</v>
      </c>
      <c r="N4446">
        <v>0</v>
      </c>
      <c r="O4446">
        <v>-0.99955020000000006</v>
      </c>
      <c r="P4446">
        <v>0.34471619999999997</v>
      </c>
      <c r="Q4446">
        <v>1.811339E-2</v>
      </c>
      <c r="R4446">
        <v>-0.93853229999999999</v>
      </c>
      <c r="S4446">
        <v>1.1044620000000001</v>
      </c>
      <c r="T4446">
        <v>-0.36923979999999901</v>
      </c>
      <c r="U4446">
        <v>-2.7971499999999998</v>
      </c>
      <c r="V4446">
        <v>-0.31968020000000003</v>
      </c>
      <c r="W4446">
        <v>2.898365E-2</v>
      </c>
      <c r="X4446">
        <v>0.94708210000000004</v>
      </c>
      <c r="Y4446">
        <v>-0.33949659999999998</v>
      </c>
      <c r="Z4446">
        <v>0.12239510000000001</v>
      </c>
      <c r="AA4446">
        <v>0.93261000000000005</v>
      </c>
      <c r="AB4446">
        <v>28</v>
      </c>
      <c r="AC4446">
        <v>3.3151999999999999</v>
      </c>
      <c r="AD4446">
        <v>-1.1130567300192999</v>
      </c>
      <c r="AE4446">
        <v>-8.04162</v>
      </c>
      <c r="AF4446">
        <v>-3.0490201478188301</v>
      </c>
      <c r="AG4446">
        <v>-1.1130567300192999</v>
      </c>
      <c r="AH4446">
        <v>7.9964646613331603</v>
      </c>
      <c r="AI4446">
        <v>97.410283750327594</v>
      </c>
      <c r="AJ4446">
        <v>110.87164988257101</v>
      </c>
      <c r="AK4446">
        <v>8.6301139173244099</v>
      </c>
    </row>
    <row r="4447" spans="1:37" x14ac:dyDescent="0.2">
      <c r="A4447" t="str">
        <f>"20200111154152780"</f>
        <v>20200111154152780</v>
      </c>
      <c r="B4447" t="str">
        <f>"1578728512770278"</f>
        <v>1578728512770278</v>
      </c>
      <c r="C4447" t="s">
        <v>37</v>
      </c>
      <c r="D4447">
        <v>5.3325529999999999</v>
      </c>
      <c r="E4447">
        <v>0.48553000000000002</v>
      </c>
      <c r="F4447" t="s">
        <v>47</v>
      </c>
      <c r="G4447">
        <v>-298.97019999999998</v>
      </c>
      <c r="H4447" s="1">
        <v>-1.354206E-6</v>
      </c>
      <c r="I4447">
        <v>-42.103250000000003</v>
      </c>
      <c r="J4447">
        <v>-302.57150000000001</v>
      </c>
      <c r="K4447">
        <v>1.113102</v>
      </c>
      <c r="L4447">
        <v>-33.604550000000003</v>
      </c>
      <c r="M4447">
        <v>3.1611889999999997E-2</v>
      </c>
      <c r="N4447">
        <v>0</v>
      </c>
      <c r="O4447">
        <v>-0.99940790000000002</v>
      </c>
      <c r="P4447">
        <v>0.35224290000000003</v>
      </c>
      <c r="Q4447">
        <v>1.9033830000000002E-2</v>
      </c>
      <c r="R4447">
        <v>-0.93571539999999997</v>
      </c>
      <c r="S4447">
        <v>1.1332089999999999</v>
      </c>
      <c r="T4447">
        <v>-0.34866750000000002</v>
      </c>
      <c r="U4447">
        <v>-2.7870180000000002</v>
      </c>
      <c r="V4447">
        <v>-0.32268029999999998</v>
      </c>
      <c r="W4447">
        <v>2.9840640000000002E-2</v>
      </c>
      <c r="X4447">
        <v>0.94603749999999998</v>
      </c>
      <c r="Y4447">
        <v>-0.34465780000000001</v>
      </c>
      <c r="Z4447">
        <v>0.11571240000000001</v>
      </c>
      <c r="AA4447">
        <v>0.93156949999999905</v>
      </c>
      <c r="AB4447">
        <v>28</v>
      </c>
      <c r="AC4447">
        <v>3.6013000000000299</v>
      </c>
      <c r="AD4447">
        <v>-1.113103354206</v>
      </c>
      <c r="AE4447">
        <v>-8.4986999999999995</v>
      </c>
      <c r="AF4447">
        <v>-3.28307030686635</v>
      </c>
      <c r="AG4447">
        <v>-1.113103354206</v>
      </c>
      <c r="AH4447">
        <v>8.4849125145109792</v>
      </c>
      <c r="AI4447">
        <v>96.975295540599603</v>
      </c>
      <c r="AJ4447">
        <v>111.152967381088</v>
      </c>
      <c r="AK4447">
        <v>9.1657672944427997</v>
      </c>
    </row>
    <row r="4448" spans="1:37" x14ac:dyDescent="0.2">
      <c r="A4448" t="str">
        <f>"20200111154152803"</f>
        <v>20200111154152803</v>
      </c>
      <c r="B4448" t="str">
        <f>"1578728512800065"</f>
        <v>1578728512800065</v>
      </c>
      <c r="C4448" t="s">
        <v>37</v>
      </c>
      <c r="D4448">
        <v>5.3216029999999996</v>
      </c>
      <c r="E4448">
        <v>0.48605699999999902</v>
      </c>
      <c r="F4448" t="s">
        <v>47</v>
      </c>
      <c r="G4448">
        <v>-298.846</v>
      </c>
      <c r="H4448" s="1">
        <v>-1.708638E-6</v>
      </c>
      <c r="I4448">
        <v>-42.608879999999999</v>
      </c>
      <c r="J4448">
        <v>-302.55810000000002</v>
      </c>
      <c r="K4448">
        <v>1.1131260000000001</v>
      </c>
      <c r="L4448">
        <v>-33.900480000000002</v>
      </c>
      <c r="M4448">
        <v>3.5283969999999998E-2</v>
      </c>
      <c r="N4448">
        <v>0</v>
      </c>
      <c r="O4448">
        <v>-0.99928530000000004</v>
      </c>
      <c r="P4448">
        <v>0.35830659999999998</v>
      </c>
      <c r="Q4448">
        <v>1.8921130000000001E-2</v>
      </c>
      <c r="R4448">
        <v>-0.93341229999999997</v>
      </c>
      <c r="S4448">
        <v>1.1502379999999901</v>
      </c>
      <c r="T4448">
        <v>-0.34367109999999901</v>
      </c>
      <c r="U4448">
        <v>-2.78009</v>
      </c>
      <c r="V4448">
        <v>-0.32534259999999998</v>
      </c>
      <c r="W4448">
        <v>2.967906E-2</v>
      </c>
      <c r="X4448">
        <v>0.94513029999999998</v>
      </c>
      <c r="Y4448">
        <v>-0.34697309999999998</v>
      </c>
      <c r="Z4448">
        <v>0.1141393</v>
      </c>
      <c r="AA4448">
        <v>0.93090379999999995</v>
      </c>
      <c r="AB4448">
        <v>28</v>
      </c>
      <c r="AC4448">
        <v>3.7121000000000199</v>
      </c>
      <c r="AD4448">
        <v>-1.113127708638</v>
      </c>
      <c r="AE4448">
        <v>-8.7083999999999904</v>
      </c>
      <c r="AF4448">
        <v>-3.3560907677623102</v>
      </c>
      <c r="AG4448">
        <v>-1.113127708638</v>
      </c>
      <c r="AH4448">
        <v>8.7134911613995705</v>
      </c>
      <c r="AI4448">
        <v>96.798198787300706</v>
      </c>
      <c r="AJ4448">
        <v>111.064703456169</v>
      </c>
      <c r="AK4448">
        <v>9.4035805285532401</v>
      </c>
    </row>
    <row r="4449" spans="1:37" x14ac:dyDescent="0.2">
      <c r="A4449" t="str">
        <f>"20200111154152850"</f>
        <v>20200111154152850</v>
      </c>
      <c r="B4449" t="str">
        <f>"1578728512841058"</f>
        <v>1578728512841058</v>
      </c>
      <c r="C4449" t="s">
        <v>37</v>
      </c>
      <c r="D4449">
        <v>5.2428749999999997</v>
      </c>
      <c r="E4449">
        <v>0.48648329999999901</v>
      </c>
      <c r="F4449" t="s">
        <v>47</v>
      </c>
      <c r="G4449">
        <v>-298.77199999999999</v>
      </c>
      <c r="H4449" s="1">
        <v>-1.9249369999999999E-6</v>
      </c>
      <c r="I4449">
        <v>-42.91818</v>
      </c>
      <c r="J4449">
        <v>-302.52839999999998</v>
      </c>
      <c r="K4449">
        <v>1.113137</v>
      </c>
      <c r="L4449">
        <v>-34.483249999999998</v>
      </c>
      <c r="M4449">
        <v>4.2636319999999998E-2</v>
      </c>
      <c r="N4449">
        <v>0</v>
      </c>
      <c r="O4449">
        <v>-0.99899850000000001</v>
      </c>
      <c r="P4449">
        <v>0.37322339999999998</v>
      </c>
      <c r="Q4449">
        <v>1.6957070000000001E-2</v>
      </c>
      <c r="R4449">
        <v>-0.92758649999999998</v>
      </c>
      <c r="S4449">
        <v>1.164642</v>
      </c>
      <c r="T4449">
        <v>-0.3424045</v>
      </c>
      <c r="U4449">
        <v>-2.773895</v>
      </c>
      <c r="V4449">
        <v>-0.33351779999999998</v>
      </c>
      <c r="W4449">
        <v>2.759518E-2</v>
      </c>
      <c r="X4449">
        <v>0.94233979999999995</v>
      </c>
      <c r="Y4449">
        <v>-0.3449429</v>
      </c>
      <c r="Z4449">
        <v>0.1138424</v>
      </c>
      <c r="AA4449">
        <v>0.93169429999999998</v>
      </c>
      <c r="AB4449">
        <v>28</v>
      </c>
      <c r="AC4449">
        <v>3.7563999999999802</v>
      </c>
      <c r="AD4449">
        <v>-1.1131389249370001</v>
      </c>
      <c r="AE4449">
        <v>-8.4349299999999996</v>
      </c>
      <c r="AF4449">
        <v>-3.34470680752157</v>
      </c>
      <c r="AG4449">
        <v>-1.1131389249370001</v>
      </c>
      <c r="AH4449">
        <v>8.4644172861731697</v>
      </c>
      <c r="AI4449">
        <v>96.972967094680797</v>
      </c>
      <c r="AJ4449">
        <v>111.56140896884</v>
      </c>
      <c r="AK4449">
        <v>9.1691058391185702</v>
      </c>
    </row>
    <row r="4450" spans="1:37" x14ac:dyDescent="0.2">
      <c r="A4450" t="str">
        <f>"20200111154152882"</f>
        <v>20200111154152882</v>
      </c>
      <c r="B4450" t="str">
        <f>"1578728512870337"</f>
        <v>1578728512870337</v>
      </c>
      <c r="C4450" t="s">
        <v>37</v>
      </c>
      <c r="D4450">
        <v>5.2334849999999999</v>
      </c>
      <c r="E4450">
        <v>0.48659719999999901</v>
      </c>
      <c r="F4450" t="s">
        <v>47</v>
      </c>
      <c r="G4450">
        <v>-298.65660000000003</v>
      </c>
      <c r="H4450" s="1">
        <v>-2.215478E-6</v>
      </c>
      <c r="I4450">
        <v>-43.326990000000002</v>
      </c>
      <c r="J4450">
        <v>-302.50599999999997</v>
      </c>
      <c r="K4450">
        <v>1.1131420000000001</v>
      </c>
      <c r="L4450">
        <v>-34.874209999999998</v>
      </c>
      <c r="M4450">
        <v>4.7624479999999997E-2</v>
      </c>
      <c r="N4450">
        <v>0</v>
      </c>
      <c r="O4450">
        <v>-0.99877309999999997</v>
      </c>
      <c r="P4450">
        <v>0.38268059999999998</v>
      </c>
      <c r="Q4450">
        <v>1.479018E-2</v>
      </c>
      <c r="R4450">
        <v>-0.92376229999999904</v>
      </c>
      <c r="S4450">
        <v>1.206207</v>
      </c>
      <c r="T4450">
        <v>-0.34679219999999999</v>
      </c>
      <c r="U4450">
        <v>-2.7552189999999999</v>
      </c>
      <c r="V4450">
        <v>-0.33842129999999998</v>
      </c>
      <c r="W4450">
        <v>2.5359119999999999E-2</v>
      </c>
      <c r="X4450">
        <v>0.94065299999999996</v>
      </c>
      <c r="Y4450">
        <v>-0.35428280000000001</v>
      </c>
      <c r="Z4450">
        <v>0.11541659999999999</v>
      </c>
      <c r="AA4450">
        <v>0.92798849999999999</v>
      </c>
      <c r="AB4450">
        <v>28</v>
      </c>
      <c r="AC4450">
        <v>3.8493999999999402</v>
      </c>
      <c r="AD4450">
        <v>-1.113144215478</v>
      </c>
      <c r="AE4450">
        <v>-8.4527800000000006</v>
      </c>
      <c r="AF4450">
        <v>-3.3936901650455602</v>
      </c>
      <c r="AG4450">
        <v>-1.113144215478</v>
      </c>
      <c r="AH4450">
        <v>8.5043779962762507</v>
      </c>
      <c r="AI4450">
        <v>96.931359935198003</v>
      </c>
      <c r="AJ4450">
        <v>111.75457619412499</v>
      </c>
      <c r="AK4450">
        <v>9.2239182609304802</v>
      </c>
    </row>
    <row r="4451" spans="1:37" x14ac:dyDescent="0.2">
      <c r="A4451" t="str">
        <f>"20200111154152917"</f>
        <v>20200111154152917</v>
      </c>
      <c r="B4451" t="str">
        <f>"1578728512910861"</f>
        <v>1578728512910861</v>
      </c>
      <c r="C4451" t="s">
        <v>37</v>
      </c>
      <c r="D4451">
        <v>5.273409</v>
      </c>
      <c r="E4451">
        <v>0.4873825</v>
      </c>
      <c r="F4451" t="s">
        <v>47</v>
      </c>
      <c r="G4451">
        <v>-298.60419999999999</v>
      </c>
      <c r="H4451" s="1">
        <v>-2.36322699999999E-6</v>
      </c>
      <c r="I4451">
        <v>-43.537489999999998</v>
      </c>
      <c r="J4451">
        <v>-302.4787</v>
      </c>
      <c r="K4451">
        <v>1.1131679999999999</v>
      </c>
      <c r="L4451">
        <v>-35.308259999999997</v>
      </c>
      <c r="M4451">
        <v>5.3219830000000003E-2</v>
      </c>
      <c r="N4451">
        <v>0</v>
      </c>
      <c r="O4451">
        <v>-0.9984904</v>
      </c>
      <c r="P4451">
        <v>0.38885159999999902</v>
      </c>
      <c r="Q4451">
        <v>1.5019889999999999E-2</v>
      </c>
      <c r="R4451">
        <v>-0.921178099999999</v>
      </c>
      <c r="S4451">
        <v>1.234802</v>
      </c>
      <c r="T4451">
        <v>-0.352280599999999</v>
      </c>
      <c r="U4451">
        <v>-2.7416990000000001</v>
      </c>
      <c r="V4451">
        <v>-0.33944649999999998</v>
      </c>
      <c r="W4451">
        <v>2.5559809999999999E-2</v>
      </c>
      <c r="X4451">
        <v>0.94027809999999901</v>
      </c>
      <c r="Y4451">
        <v>-0.35871009999999998</v>
      </c>
      <c r="Z4451">
        <v>0.11735</v>
      </c>
      <c r="AA4451">
        <v>0.92604319999999896</v>
      </c>
      <c r="AB4451">
        <v>28</v>
      </c>
      <c r="AC4451">
        <v>3.87450000000001</v>
      </c>
      <c r="AD4451">
        <v>-1.113170363227</v>
      </c>
      <c r="AE4451">
        <v>-8.2292299999999994</v>
      </c>
      <c r="AF4451">
        <v>-3.3803786299924101</v>
      </c>
      <c r="AG4451">
        <v>-1.113170363227</v>
      </c>
      <c r="AH4451">
        <v>8.2994763890528507</v>
      </c>
      <c r="AI4451">
        <v>97.080847270267199</v>
      </c>
      <c r="AJ4451">
        <v>112.16107890262801</v>
      </c>
      <c r="AK4451">
        <v>9.0303608052016404</v>
      </c>
    </row>
    <row r="4452" spans="1:37" x14ac:dyDescent="0.2">
      <c r="A4452" t="str">
        <f>"20200111154152941"</f>
        <v>20200111154152941</v>
      </c>
      <c r="B4452" t="str">
        <f>"1578728512931357"</f>
        <v>1578728512931357</v>
      </c>
      <c r="C4452" t="s">
        <v>37</v>
      </c>
      <c r="D4452">
        <v>5.3901469999999998</v>
      </c>
      <c r="E4452">
        <v>0.48694860000000001</v>
      </c>
      <c r="F4452" t="s">
        <v>47</v>
      </c>
      <c r="G4452">
        <v>-298.56099999999998</v>
      </c>
      <c r="H4452" s="1">
        <v>-2.607201E-6</v>
      </c>
      <c r="I4452">
        <v>-43.903239999999997</v>
      </c>
      <c r="J4452">
        <v>-302.457999999999</v>
      </c>
      <c r="K4452">
        <v>1.1131869999999999</v>
      </c>
      <c r="L4452">
        <v>-35.613859999999903</v>
      </c>
      <c r="M4452">
        <v>5.7197940000000003E-2</v>
      </c>
      <c r="N4452">
        <v>0</v>
      </c>
      <c r="O4452">
        <v>-0.99827060000000001</v>
      </c>
      <c r="P4452">
        <v>0.3935478</v>
      </c>
      <c r="Q4452">
        <v>1.5897990000000001E-2</v>
      </c>
      <c r="R4452">
        <v>-0.91916690000000001</v>
      </c>
      <c r="S4452">
        <v>1.247101</v>
      </c>
      <c r="T4452">
        <v>-0.35435349999999999</v>
      </c>
      <c r="U4452">
        <v>-2.7360229999999999</v>
      </c>
      <c r="V4452">
        <v>-0.3405068</v>
      </c>
      <c r="W4452">
        <v>2.6409720000000001E-2</v>
      </c>
      <c r="X4452">
        <v>0.93987109999999996</v>
      </c>
      <c r="Y4452">
        <v>-0.35913010000000001</v>
      </c>
      <c r="Z4452">
        <v>0.11809749999999999</v>
      </c>
      <c r="AA4452">
        <v>0.92578539999999998</v>
      </c>
      <c r="AB4452">
        <v>28</v>
      </c>
      <c r="AC4452">
        <v>3.89699999999999</v>
      </c>
      <c r="AD4452">
        <v>-1.1131896072009999</v>
      </c>
      <c r="AE4452">
        <v>-8.2893799999999995</v>
      </c>
      <c r="AF4452">
        <v>-3.3667141099509101</v>
      </c>
      <c r="AG4452">
        <v>-1.1131896072009999</v>
      </c>
      <c r="AH4452">
        <v>8.3750301340968694</v>
      </c>
      <c r="AI4452">
        <v>97.030558321308902</v>
      </c>
      <c r="AJ4452">
        <v>111.899844414528</v>
      </c>
      <c r="AK4452">
        <v>9.0947833809692096</v>
      </c>
    </row>
    <row r="4453" spans="1:37" x14ac:dyDescent="0.2">
      <c r="A4453" t="str">
        <f>"20200111154152964"</f>
        <v>20200111154152964</v>
      </c>
      <c r="B4453" t="str">
        <f>"1578728512960638"</f>
        <v>1578728512960638</v>
      </c>
      <c r="C4453" t="s">
        <v>37</v>
      </c>
      <c r="D4453">
        <v>5.3465470000000002</v>
      </c>
      <c r="E4453">
        <v>0.43165360000000003</v>
      </c>
      <c r="F4453" t="s">
        <v>47</v>
      </c>
      <c r="G4453">
        <v>-298.45190000000002</v>
      </c>
      <c r="H4453" s="1">
        <v>-2.8656149999999999E-6</v>
      </c>
      <c r="I4453">
        <v>-44.264130000000002</v>
      </c>
      <c r="J4453">
        <v>-302.43819999999999</v>
      </c>
      <c r="K4453">
        <v>1.1132139999999999</v>
      </c>
      <c r="L4453">
        <v>-35.890590000000003</v>
      </c>
      <c r="M4453">
        <v>6.0838839999999998E-2</v>
      </c>
      <c r="N4453">
        <v>0</v>
      </c>
      <c r="O4453">
        <v>-0.99805529999999998</v>
      </c>
      <c r="P4453">
        <v>0.39860139999999999</v>
      </c>
      <c r="Q4453">
        <v>1.6640769999999999E-2</v>
      </c>
      <c r="R4453">
        <v>-0.916973699999999</v>
      </c>
      <c r="S4453">
        <v>1.263763</v>
      </c>
      <c r="T4453">
        <v>-0.35116789999999998</v>
      </c>
      <c r="U4453">
        <v>-2.7288209999999999</v>
      </c>
      <c r="V4453">
        <v>-0.34225929999999999</v>
      </c>
      <c r="W4453">
        <v>2.7112799999999999E-2</v>
      </c>
      <c r="X4453">
        <v>0.93921429999999995</v>
      </c>
      <c r="Y4453">
        <v>-0.36136629999999997</v>
      </c>
      <c r="Z4453">
        <v>0.11709700000000001</v>
      </c>
      <c r="AA4453">
        <v>0.92504200000000003</v>
      </c>
      <c r="AB4453">
        <v>28</v>
      </c>
      <c r="AC4453">
        <v>3.9862999999999702</v>
      </c>
      <c r="AD4453">
        <v>-1.1132168656149899</v>
      </c>
      <c r="AE4453">
        <v>-8.3735399999999895</v>
      </c>
      <c r="AF4453">
        <v>-3.4201508508513601</v>
      </c>
      <c r="AG4453">
        <v>-1.1132168656149899</v>
      </c>
      <c r="AH4453">
        <v>8.4784067944085901</v>
      </c>
      <c r="AI4453">
        <v>96.942507425745703</v>
      </c>
      <c r="AJ4453">
        <v>111.968924779261</v>
      </c>
      <c r="AK4453">
        <v>9.2097809639503794</v>
      </c>
    </row>
    <row r="4454" spans="1:37" x14ac:dyDescent="0.2">
      <c r="A4454" t="str">
        <f>"20200111154152985"</f>
        <v>20200111154152985</v>
      </c>
      <c r="B4454" t="str">
        <f>"1578728512980157"</f>
        <v>1578728512980157</v>
      </c>
      <c r="C4454" t="s">
        <v>37</v>
      </c>
      <c r="D4454">
        <v>5.2766279999999997</v>
      </c>
      <c r="E4454">
        <v>0.34790140000000003</v>
      </c>
      <c r="F4454" t="s">
        <v>38</v>
      </c>
      <c r="G4454">
        <v>-301.83330000000001</v>
      </c>
      <c r="H4454">
        <v>1.0209699999999999</v>
      </c>
      <c r="I4454">
        <v>-36.802950000000003</v>
      </c>
      <c r="J4454">
        <v>-302.41820000000001</v>
      </c>
      <c r="K4454">
        <v>1.1132519999999999</v>
      </c>
      <c r="L4454">
        <v>-36.155639999999998</v>
      </c>
      <c r="M4454">
        <v>6.4374479999999998E-2</v>
      </c>
      <c r="N4454">
        <v>0</v>
      </c>
      <c r="O4454">
        <v>-0.99783330000000003</v>
      </c>
      <c r="P4454">
        <v>0.40267459999999899</v>
      </c>
      <c r="Q4454">
        <v>1.7928329999999999E-2</v>
      </c>
      <c r="R4454">
        <v>-0.91516769999999903</v>
      </c>
      <c r="S4454">
        <v>1.686188</v>
      </c>
      <c r="T4454">
        <v>-0.25714029999999999</v>
      </c>
      <c r="U4454">
        <v>-2.5433349999999999</v>
      </c>
      <c r="V4454">
        <v>-0.34311989999999998</v>
      </c>
      <c r="W4454">
        <v>2.8366869999999999E-2</v>
      </c>
      <c r="X4454">
        <v>0.93886320000000001</v>
      </c>
      <c r="Y4454">
        <v>-0.49576679999999901</v>
      </c>
      <c r="Z4454">
        <v>8.5232790000000003E-2</v>
      </c>
      <c r="AA4454">
        <v>0.86426309999999995</v>
      </c>
      <c r="AB4454">
        <v>28</v>
      </c>
      <c r="AC4454">
        <v>0.58490000000000397</v>
      </c>
      <c r="AD4454">
        <v>-9.2281999999999906E-2</v>
      </c>
      <c r="AE4454">
        <v>-0.64730999999999705</v>
      </c>
      <c r="AF4454">
        <v>-0.53601514765325897</v>
      </c>
      <c r="AG4454">
        <v>-9.2281999999999906E-2</v>
      </c>
      <c r="AH4454">
        <v>0.67605895917400705</v>
      </c>
      <c r="AI4454">
        <v>96.105170021105707</v>
      </c>
      <c r="AJ4454">
        <v>128.40923370728601</v>
      </c>
      <c r="AK4454">
        <v>0.867688839571645</v>
      </c>
    </row>
    <row r="4455" spans="1:37" x14ac:dyDescent="0.2">
      <c r="A4455" t="str">
        <f>"20200111154153016"</f>
        <v>20200111154153016</v>
      </c>
      <c r="B4455" t="str">
        <f>"1578728513010412"</f>
        <v>1578728513010412</v>
      </c>
      <c r="C4455" t="s">
        <v>37</v>
      </c>
      <c r="D4455">
        <v>5.2504619999999997</v>
      </c>
      <c r="E4455">
        <v>0.354780599999999</v>
      </c>
      <c r="F4455" t="s">
        <v>47</v>
      </c>
      <c r="G4455">
        <v>-289.38459999999998</v>
      </c>
      <c r="H4455">
        <v>5.5411750000000003E-2</v>
      </c>
      <c r="I4455">
        <v>-48.92174</v>
      </c>
      <c r="J4455">
        <v>-302.38729999999998</v>
      </c>
      <c r="K4455">
        <v>1.1132919999999999</v>
      </c>
      <c r="L4455">
        <v>-36.54092</v>
      </c>
      <c r="M4455">
        <v>6.959282E-2</v>
      </c>
      <c r="N4455">
        <v>0</v>
      </c>
      <c r="O4455">
        <v>-0.99748309999999996</v>
      </c>
      <c r="P4455">
        <v>0.40977979999999897</v>
      </c>
      <c r="Q4455">
        <v>1.876268E-2</v>
      </c>
      <c r="R4455">
        <v>-0.91199159999999901</v>
      </c>
      <c r="S4455">
        <v>2.3119509999999899</v>
      </c>
      <c r="T4455">
        <v>-0.18764349999999999</v>
      </c>
      <c r="U4455">
        <v>-2.2644959999999998</v>
      </c>
      <c r="V4455">
        <v>-0.34552059999999901</v>
      </c>
      <c r="W4455">
        <v>2.913665E-2</v>
      </c>
      <c r="X4455">
        <v>0.93795869999999903</v>
      </c>
      <c r="Y4455">
        <v>-0.66272059999999999</v>
      </c>
      <c r="Z4455">
        <v>5.9273939999999997E-2</v>
      </c>
      <c r="AA4455">
        <v>0.74651730000000005</v>
      </c>
      <c r="AB4455">
        <v>28</v>
      </c>
      <c r="AC4455">
        <v>13.002700000000001</v>
      </c>
      <c r="AD4455">
        <v>-1.05788025</v>
      </c>
      <c r="AE4455">
        <v>-12.38082</v>
      </c>
      <c r="AF4455">
        <v>-12.0675786153221</v>
      </c>
      <c r="AG4455">
        <v>-1.05788025</v>
      </c>
      <c r="AH4455">
        <v>13.209914387143799</v>
      </c>
      <c r="AI4455">
        <v>93.383699649045894</v>
      </c>
      <c r="AJ4455">
        <v>132.412460319866</v>
      </c>
      <c r="AK4455">
        <v>17.923375864384202</v>
      </c>
    </row>
    <row r="4456" spans="1:37" x14ac:dyDescent="0.2">
      <c r="A4456" t="str">
        <f>"20200111154153043"</f>
        <v>20200111154153043</v>
      </c>
      <c r="B4456" t="str">
        <f>"1578728513040668"</f>
        <v>1578728513040668</v>
      </c>
      <c r="C4456" t="s">
        <v>37</v>
      </c>
      <c r="D4456">
        <v>5.1582569999999999</v>
      </c>
      <c r="E4456">
        <v>0.35845490000000002</v>
      </c>
      <c r="F4456" t="s">
        <v>47</v>
      </c>
      <c r="G4456">
        <v>-290.4171</v>
      </c>
      <c r="H4456" s="1">
        <v>-6.4891609999999996E-6</v>
      </c>
      <c r="I4456">
        <v>-48.467370000000003</v>
      </c>
      <c r="J4456">
        <v>-302.35860000000002</v>
      </c>
      <c r="K4456">
        <v>1.1133420000000001</v>
      </c>
      <c r="L4456">
        <v>-36.878689999999999</v>
      </c>
      <c r="M4456">
        <v>7.4251310000000001E-2</v>
      </c>
      <c r="N4456">
        <v>0</v>
      </c>
      <c r="O4456">
        <v>-0.99714729999999996</v>
      </c>
      <c r="P4456">
        <v>0.4155354</v>
      </c>
      <c r="Q4456">
        <v>1.963935E-2</v>
      </c>
      <c r="R4456">
        <v>-0.90936550000000005</v>
      </c>
      <c r="S4456">
        <v>2.2784419999999899</v>
      </c>
      <c r="T4456">
        <v>-0.21190799999999901</v>
      </c>
      <c r="U4456">
        <v>-2.270111</v>
      </c>
      <c r="V4456">
        <v>-0.34707789999999999</v>
      </c>
      <c r="W4456">
        <v>2.9960259999999999E-2</v>
      </c>
      <c r="X4456">
        <v>0.93735759999999901</v>
      </c>
      <c r="Y4456">
        <v>-0.65243549999999995</v>
      </c>
      <c r="Z4456">
        <v>6.7376820000000004E-2</v>
      </c>
      <c r="AA4456">
        <v>0.75484319999999905</v>
      </c>
      <c r="AB4456">
        <v>28</v>
      </c>
      <c r="AC4456">
        <v>11.9415</v>
      </c>
      <c r="AD4456">
        <v>-1.1133484891609999</v>
      </c>
      <c r="AE4456">
        <v>-11.58868</v>
      </c>
      <c r="AF4456">
        <v>-10.9987398152617</v>
      </c>
      <c r="AG4456">
        <v>-1.1133484891609999</v>
      </c>
      <c r="AH4456">
        <v>12.387982362944999</v>
      </c>
      <c r="AI4456">
        <v>93.844872189179497</v>
      </c>
      <c r="AJ4456">
        <v>131.60045107068399</v>
      </c>
      <c r="AK4456">
        <v>16.6034312540143</v>
      </c>
    </row>
    <row r="4457" spans="1:37" x14ac:dyDescent="0.2">
      <c r="A4457" t="str">
        <f>"20200111154153067"</f>
        <v>20200111154153067</v>
      </c>
      <c r="B4457" t="str">
        <f>"1578728513060189"</f>
        <v>1578728513060189</v>
      </c>
      <c r="C4457" t="s">
        <v>37</v>
      </c>
      <c r="D4457">
        <v>5.1521939999999997</v>
      </c>
      <c r="E4457">
        <v>0.36022329999999902</v>
      </c>
      <c r="F4457" t="s">
        <v>47</v>
      </c>
      <c r="G4457">
        <v>-291.25209999999998</v>
      </c>
      <c r="H4457" s="1">
        <v>-6.1816639999999902E-6</v>
      </c>
      <c r="I4457">
        <v>-47.999499999999998</v>
      </c>
      <c r="J4457">
        <v>-302.33249999999998</v>
      </c>
      <c r="K4457">
        <v>1.113386</v>
      </c>
      <c r="L4457">
        <v>-37.167909999999999</v>
      </c>
      <c r="M4457">
        <v>7.8338630000000006E-2</v>
      </c>
      <c r="N4457">
        <v>0</v>
      </c>
      <c r="O4457">
        <v>-0.99683429999999995</v>
      </c>
      <c r="P4457">
        <v>0.42060819999999999</v>
      </c>
      <c r="Q4457">
        <v>2.0380430000000001E-2</v>
      </c>
      <c r="R4457">
        <v>-0.90701330000000002</v>
      </c>
      <c r="S4457">
        <v>2.2656860000000001</v>
      </c>
      <c r="T4457">
        <v>-0.22712019999999999</v>
      </c>
      <c r="U4457">
        <v>-2.2686160000000002</v>
      </c>
      <c r="V4457">
        <v>-0.34848049999999903</v>
      </c>
      <c r="W4457">
        <v>3.06466E-2</v>
      </c>
      <c r="X4457">
        <v>0.93681489999999901</v>
      </c>
      <c r="Y4457">
        <v>-0.64719899999999997</v>
      </c>
      <c r="Z4457">
        <v>7.248048E-2</v>
      </c>
      <c r="AA4457">
        <v>0.75886759999999998</v>
      </c>
      <c r="AB4457">
        <v>28</v>
      </c>
      <c r="AC4457">
        <v>11.0803999999999</v>
      </c>
      <c r="AD4457">
        <v>-1.113392181664</v>
      </c>
      <c r="AE4457">
        <v>-10.831589999999901</v>
      </c>
      <c r="AF4457">
        <v>-10.1453503262228</v>
      </c>
      <c r="AG4457">
        <v>-1.113392181664</v>
      </c>
      <c r="AH4457">
        <v>11.6064748408761</v>
      </c>
      <c r="AI4457">
        <v>94.131036504388803</v>
      </c>
      <c r="AJ4457">
        <v>131.15707215987601</v>
      </c>
      <c r="AK4457">
        <v>15.4556796558375</v>
      </c>
    </row>
    <row r="4458" spans="1:37" x14ac:dyDescent="0.2">
      <c r="A4458" t="str">
        <f>"20200111154153088"</f>
        <v>20200111154153088</v>
      </c>
      <c r="B4458" t="str">
        <f>"1578728513080685"</f>
        <v>1578728513080685</v>
      </c>
      <c r="C4458" t="s">
        <v>37</v>
      </c>
      <c r="D4458">
        <v>5.1285020000000001</v>
      </c>
      <c r="E4458">
        <v>0.36147550000000001</v>
      </c>
      <c r="F4458" t="s">
        <v>47</v>
      </c>
      <c r="G4458">
        <v>-291.50599999999997</v>
      </c>
      <c r="H4458" s="1">
        <v>-6.1337269999999999E-6</v>
      </c>
      <c r="I4458">
        <v>-47.977629999999998</v>
      </c>
      <c r="J4458">
        <v>-302.30770000000001</v>
      </c>
      <c r="K4458">
        <v>1.1134299999999999</v>
      </c>
      <c r="L4458">
        <v>-37.430880000000002</v>
      </c>
      <c r="M4458">
        <v>8.2121369999999999E-2</v>
      </c>
      <c r="N4458">
        <v>0</v>
      </c>
      <c r="O4458">
        <v>-0.99652980000000002</v>
      </c>
      <c r="P4458">
        <v>0.42557790000000001</v>
      </c>
      <c r="Q4458">
        <v>1.9924330000000001E-2</v>
      </c>
      <c r="R4458">
        <v>-0.90470219999999901</v>
      </c>
      <c r="S4458">
        <v>2.2656559999999999</v>
      </c>
      <c r="T4458">
        <v>-0.23299909999999999</v>
      </c>
      <c r="U4458">
        <v>-2.262146</v>
      </c>
      <c r="V4458">
        <v>-0.35006369999999998</v>
      </c>
      <c r="W4458">
        <v>3.0135189999999999E-2</v>
      </c>
      <c r="X4458">
        <v>0.93624099999999999</v>
      </c>
      <c r="Y4458">
        <v>-0.64528289999999999</v>
      </c>
      <c r="Z4458">
        <v>7.4523839999999994E-2</v>
      </c>
      <c r="AA4458">
        <v>0.76029999999999998</v>
      </c>
      <c r="AB4458">
        <v>28</v>
      </c>
      <c r="AC4458">
        <v>10.8017</v>
      </c>
      <c r="AD4458">
        <v>-1.113436133727</v>
      </c>
      <c r="AE4458">
        <v>-10.5467499999999</v>
      </c>
      <c r="AF4458">
        <v>-9.8454600586472196</v>
      </c>
      <c r="AG4458">
        <v>-1.113436133727</v>
      </c>
      <c r="AH4458">
        <v>11.336585902387</v>
      </c>
      <c r="AI4458">
        <v>94.2409919281356</v>
      </c>
      <c r="AJ4458">
        <v>130.973263895293</v>
      </c>
      <c r="AK4458">
        <v>15.056261279365</v>
      </c>
    </row>
    <row r="4459" spans="1:37" x14ac:dyDescent="0.2">
      <c r="A4459" t="str">
        <f>"20200111154153114"</f>
        <v>20200111154153114</v>
      </c>
      <c r="B4459" t="str">
        <f>"1578728513111099"</f>
        <v>1578728513111099</v>
      </c>
      <c r="C4459" t="s">
        <v>37</v>
      </c>
      <c r="D4459">
        <v>5.127955</v>
      </c>
      <c r="E4459">
        <v>0.36293259999999899</v>
      </c>
      <c r="F4459" t="s">
        <v>47</v>
      </c>
      <c r="G4459">
        <v>-291.59440000000001</v>
      </c>
      <c r="H4459" s="1">
        <v>-6.155515E-6</v>
      </c>
      <c r="I4459">
        <v>-48.071680000000001</v>
      </c>
      <c r="J4459">
        <v>-302.27749999999997</v>
      </c>
      <c r="K4459">
        <v>1.1134930000000001</v>
      </c>
      <c r="L4459">
        <v>-37.736909999999902</v>
      </c>
      <c r="M4459">
        <v>8.6621589999999998E-2</v>
      </c>
      <c r="N4459">
        <v>0</v>
      </c>
      <c r="O4459">
        <v>-0.996148699999999</v>
      </c>
      <c r="P4459">
        <v>0.43131959999999903</v>
      </c>
      <c r="Q4459">
        <v>1.9856220000000001E-2</v>
      </c>
      <c r="R4459">
        <v>-0.90198089999999997</v>
      </c>
      <c r="S4459">
        <v>2.2691349999999999</v>
      </c>
      <c r="T4459">
        <v>-0.23583219999999999</v>
      </c>
      <c r="U4459">
        <v>-2.253784</v>
      </c>
      <c r="V4459">
        <v>-0.35178959999999998</v>
      </c>
      <c r="W4459">
        <v>2.9996020000000002E-2</v>
      </c>
      <c r="X4459">
        <v>0.93559840000000005</v>
      </c>
      <c r="Y4459">
        <v>-0.64377359999999995</v>
      </c>
      <c r="Z4459">
        <v>7.5592119999999999E-2</v>
      </c>
      <c r="AA4459">
        <v>0.76147319999999996</v>
      </c>
      <c r="AB4459">
        <v>28</v>
      </c>
      <c r="AC4459">
        <v>10.6830999999999</v>
      </c>
      <c r="AD4459">
        <v>-1.113499155515</v>
      </c>
      <c r="AE4459">
        <v>-10.334770000000001</v>
      </c>
      <c r="AF4459">
        <v>-9.6932431608330294</v>
      </c>
      <c r="AG4459">
        <v>-1.113499155515</v>
      </c>
      <c r="AH4459">
        <v>11.1587675013831</v>
      </c>
      <c r="AI4459">
        <v>94.308142554408093</v>
      </c>
      <c r="AJ4459">
        <v>130.97973965369599</v>
      </c>
      <c r="AK4459">
        <v>14.8228518003214</v>
      </c>
    </row>
    <row r="4460" spans="1:37" x14ac:dyDescent="0.2">
      <c r="A4460" t="str">
        <f>"20200111154153150"</f>
        <v>20200111154153150</v>
      </c>
      <c r="B4460" t="str">
        <f>"1578728513140379"</f>
        <v>1578728513140379</v>
      </c>
      <c r="C4460" t="s">
        <v>37</v>
      </c>
      <c r="D4460">
        <v>5.136698</v>
      </c>
      <c r="E4460">
        <v>0.3640622</v>
      </c>
      <c r="F4460" t="s">
        <v>47</v>
      </c>
      <c r="G4460">
        <v>-291.69240000000002</v>
      </c>
      <c r="H4460" s="1">
        <v>-6.1847999999999996E-6</v>
      </c>
      <c r="I4460">
        <v>-48.189500000000002</v>
      </c>
      <c r="J4460">
        <v>-302.2303</v>
      </c>
      <c r="K4460">
        <v>1.1136059999999901</v>
      </c>
      <c r="L4460">
        <v>-38.187159999999999</v>
      </c>
      <c r="M4460">
        <v>9.3467129999999995E-2</v>
      </c>
      <c r="N4460">
        <v>0</v>
      </c>
      <c r="O4460">
        <v>-0.99552949999999996</v>
      </c>
      <c r="P4460">
        <v>0.44198219999999999</v>
      </c>
      <c r="Q4460">
        <v>2.2305869999999998E-2</v>
      </c>
      <c r="R4460">
        <v>-0.8967465</v>
      </c>
      <c r="S4460">
        <v>2.2728269999999999</v>
      </c>
      <c r="T4460">
        <v>-0.239091</v>
      </c>
      <c r="U4460">
        <v>-2.2443849999999999</v>
      </c>
      <c r="V4460">
        <v>-0.3564792</v>
      </c>
      <c r="W4460">
        <v>3.229659E-2</v>
      </c>
      <c r="X4460">
        <v>0.93374489999999999</v>
      </c>
      <c r="Y4460">
        <v>-0.64066269999999903</v>
      </c>
      <c r="Z4460">
        <v>7.6850959999999996E-2</v>
      </c>
      <c r="AA4460">
        <v>0.76396679999999995</v>
      </c>
      <c r="AB4460">
        <v>28</v>
      </c>
      <c r="AC4460">
        <v>10.537899999999899</v>
      </c>
      <c r="AD4460">
        <v>-1.11361218479999</v>
      </c>
      <c r="AE4460">
        <v>-10.00234</v>
      </c>
      <c r="AF4460">
        <v>-9.5009678032935607</v>
      </c>
      <c r="AG4460">
        <v>-1.11361218479999</v>
      </c>
      <c r="AH4460">
        <v>10.879667966131001</v>
      </c>
      <c r="AI4460">
        <v>94.408635169369703</v>
      </c>
      <c r="AJ4460">
        <v>131.12997678581999</v>
      </c>
      <c r="AK4460">
        <v>14.4870872279631</v>
      </c>
    </row>
    <row r="4461" spans="1:37" x14ac:dyDescent="0.2">
      <c r="A4461" t="str">
        <f>"20200111154153176"</f>
        <v>20200111154153176</v>
      </c>
      <c r="B4461" t="str">
        <f>"1578728513170636"</f>
        <v>1578728513170636</v>
      </c>
      <c r="C4461" t="s">
        <v>37</v>
      </c>
      <c r="D4461">
        <v>5.1565849999999998</v>
      </c>
      <c r="E4461">
        <v>0.36506899999999998</v>
      </c>
      <c r="F4461" t="s">
        <v>47</v>
      </c>
      <c r="G4461">
        <v>-291.33229999999998</v>
      </c>
      <c r="H4461" s="1">
        <v>-6.4526689999999901E-6</v>
      </c>
      <c r="I4461">
        <v>-48.748669999999997</v>
      </c>
      <c r="J4461">
        <v>-302.19349999999997</v>
      </c>
      <c r="K4461">
        <v>1.113699</v>
      </c>
      <c r="L4461">
        <v>-38.516449999999999</v>
      </c>
      <c r="M4461">
        <v>9.8660659999999997E-2</v>
      </c>
      <c r="N4461">
        <v>0</v>
      </c>
      <c r="O4461">
        <v>-0.99502829999999998</v>
      </c>
      <c r="P4461">
        <v>0.44956699999999999</v>
      </c>
      <c r="Q4461">
        <v>2.2890049999999999E-2</v>
      </c>
      <c r="R4461">
        <v>-0.89295349999999996</v>
      </c>
      <c r="S4461">
        <v>2.2922359999999999</v>
      </c>
      <c r="T4461">
        <v>-0.234233</v>
      </c>
      <c r="U4461">
        <v>-2.2214659999999999</v>
      </c>
      <c r="V4461">
        <v>-0.35953359999999901</v>
      </c>
      <c r="W4461">
        <v>3.2766980000000001E-2</v>
      </c>
      <c r="X4461">
        <v>0.93255659999999896</v>
      </c>
      <c r="Y4461">
        <v>-0.6439028</v>
      </c>
      <c r="Z4461">
        <v>7.5466999999999895E-2</v>
      </c>
      <c r="AA4461">
        <v>0.76137639999999995</v>
      </c>
      <c r="AB4461">
        <v>28</v>
      </c>
      <c r="AC4461">
        <v>10.861199999999901</v>
      </c>
      <c r="AD4461">
        <v>-1.113705452669</v>
      </c>
      <c r="AE4461">
        <v>-10.23222</v>
      </c>
      <c r="AF4461">
        <v>-9.7443087736887204</v>
      </c>
      <c r="AG4461">
        <v>-1.113705452669</v>
      </c>
      <c r="AH4461">
        <v>11.191618886828801</v>
      </c>
      <c r="AI4461">
        <v>94.292072571238506</v>
      </c>
      <c r="AJ4461">
        <v>131.045408625177</v>
      </c>
      <c r="AK4461">
        <v>14.881002204835401</v>
      </c>
    </row>
    <row r="4462" spans="1:37" x14ac:dyDescent="0.2">
      <c r="A4462" t="str">
        <f>"20200111154153198"</f>
        <v>20200111154153198</v>
      </c>
      <c r="B4462" t="str">
        <f>"1578728513191132"</f>
        <v>1578728513191132</v>
      </c>
      <c r="C4462" t="s">
        <v>37</v>
      </c>
      <c r="D4462">
        <v>5.468216</v>
      </c>
      <c r="E4462">
        <v>0.36547449999999998</v>
      </c>
      <c r="F4462" t="s">
        <v>47</v>
      </c>
      <c r="G4462">
        <v>-291.03789999999998</v>
      </c>
      <c r="H4462" s="1">
        <v>-6.66631099999999E-6</v>
      </c>
      <c r="I4462">
        <v>-49.191679999999998</v>
      </c>
      <c r="J4462">
        <v>-302.16129999999998</v>
      </c>
      <c r="K4462">
        <v>1.113774</v>
      </c>
      <c r="L4462">
        <v>-38.791930000000001</v>
      </c>
      <c r="M4462">
        <v>0.1031335</v>
      </c>
      <c r="N4462">
        <v>0</v>
      </c>
      <c r="O4462">
        <v>-0.99457439999999997</v>
      </c>
      <c r="P4462">
        <v>0.45622629999999997</v>
      </c>
      <c r="Q4462">
        <v>2.2433109999999999E-2</v>
      </c>
      <c r="R4462">
        <v>-0.88958139999999997</v>
      </c>
      <c r="S4462">
        <v>2.304535</v>
      </c>
      <c r="T4462">
        <v>-0.23006959999999901</v>
      </c>
      <c r="U4462">
        <v>-2.205292</v>
      </c>
      <c r="V4462">
        <v>-0.36230889999999999</v>
      </c>
      <c r="W4462">
        <v>3.2207939999999997E-2</v>
      </c>
      <c r="X4462">
        <v>0.93150140000000003</v>
      </c>
      <c r="Y4462">
        <v>-0.64534910000000001</v>
      </c>
      <c r="Z4462">
        <v>7.428005E-2</v>
      </c>
      <c r="AA4462">
        <v>0.76026769999999999</v>
      </c>
      <c r="AB4462">
        <v>28</v>
      </c>
      <c r="AC4462">
        <v>11.1234</v>
      </c>
      <c r="AD4462">
        <v>-1.1137806663109999</v>
      </c>
      <c r="AE4462">
        <v>-10.3997499999999</v>
      </c>
      <c r="AF4462">
        <v>-9.9382453958332402</v>
      </c>
      <c r="AG4462">
        <v>-1.1137806663109999</v>
      </c>
      <c r="AH4462">
        <v>11.4304356514125</v>
      </c>
      <c r="AI4462">
        <v>94.205545694662405</v>
      </c>
      <c r="AJ4462">
        <v>131.00547924900101</v>
      </c>
      <c r="AK4462">
        <v>15.187629443120199</v>
      </c>
    </row>
    <row r="4463" spans="1:37" x14ac:dyDescent="0.2">
      <c r="A4463" t="str">
        <f>"20200111154153225"</f>
        <v>20200111154153225</v>
      </c>
      <c r="B4463" t="str">
        <f>"1578728513220424"</f>
        <v>1578728513220424</v>
      </c>
      <c r="C4463" t="s">
        <v>37</v>
      </c>
      <c r="D4463">
        <v>5.2462689999999998</v>
      </c>
      <c r="E4463">
        <v>0.36597790000000002</v>
      </c>
      <c r="F4463" t="s">
        <v>47</v>
      </c>
      <c r="G4463">
        <v>-291.0009</v>
      </c>
      <c r="H4463" s="1">
        <v>-6.7254319999999899E-6</v>
      </c>
      <c r="I4463">
        <v>-49.332619999999999</v>
      </c>
      <c r="J4463">
        <v>-302.12349999999998</v>
      </c>
      <c r="K4463">
        <v>1.1138729999999999</v>
      </c>
      <c r="L4463">
        <v>-39.101959999999998</v>
      </c>
      <c r="M4463">
        <v>0.1083421</v>
      </c>
      <c r="N4463">
        <v>0</v>
      </c>
      <c r="O4463">
        <v>-0.99402060000000003</v>
      </c>
      <c r="P4463">
        <v>0.46301809999999899</v>
      </c>
      <c r="Q4463">
        <v>2.236337E-2</v>
      </c>
      <c r="R4463">
        <v>-0.88606719999999894</v>
      </c>
      <c r="S4463">
        <v>2.318085</v>
      </c>
      <c r="T4463">
        <v>-0.2313385</v>
      </c>
      <c r="U4463">
        <v>-2.189362</v>
      </c>
      <c r="V4463">
        <v>-0.364562099999999</v>
      </c>
      <c r="W4463">
        <v>3.202207E-2</v>
      </c>
      <c r="X4463">
        <v>0.93062839999999902</v>
      </c>
      <c r="Y4463">
        <v>-0.64630529999999997</v>
      </c>
      <c r="Z4463">
        <v>7.4818469999999998E-2</v>
      </c>
      <c r="AA4463">
        <v>0.75940220000000003</v>
      </c>
      <c r="AB4463">
        <v>28</v>
      </c>
      <c r="AC4463">
        <v>11.122599999999901</v>
      </c>
      <c r="AD4463">
        <v>-1.1138797254320001</v>
      </c>
      <c r="AE4463">
        <v>-10.23066</v>
      </c>
      <c r="AF4463">
        <v>-9.8948464041643902</v>
      </c>
      <c r="AG4463">
        <v>-1.1138797254320001</v>
      </c>
      <c r="AH4463">
        <v>11.314118154655899</v>
      </c>
      <c r="AI4463">
        <v>94.238313462592501</v>
      </c>
      <c r="AJ4463">
        <v>131.17156119012699</v>
      </c>
      <c r="AK4463">
        <v>15.0717611121676</v>
      </c>
    </row>
    <row r="4464" spans="1:37" x14ac:dyDescent="0.2">
      <c r="A4464" t="str">
        <f>"20200111154153246"</f>
        <v>20200111154153246</v>
      </c>
      <c r="B4464" t="str">
        <f>"1578728513240921"</f>
        <v>1578728513240921</v>
      </c>
      <c r="C4464" t="s">
        <v>37</v>
      </c>
      <c r="D4464">
        <v>5.1325209999999997</v>
      </c>
      <c r="E4464">
        <v>0.36626170000000002</v>
      </c>
      <c r="F4464" t="s">
        <v>47</v>
      </c>
      <c r="G4464">
        <v>-290.87720000000002</v>
      </c>
      <c r="H4464" s="1">
        <v>-6.8397349999999998E-6</v>
      </c>
      <c r="I4464">
        <v>-49.583590000000001</v>
      </c>
      <c r="J4464">
        <v>-302.08949999999999</v>
      </c>
      <c r="K4464">
        <v>1.1139760000000001</v>
      </c>
      <c r="L4464">
        <v>-39.367459999999902</v>
      </c>
      <c r="M4464">
        <v>0.11297119999999999</v>
      </c>
      <c r="N4464">
        <v>0</v>
      </c>
      <c r="O4464">
        <v>-0.99350509999999903</v>
      </c>
      <c r="P4464">
        <v>0.46886509999999998</v>
      </c>
      <c r="Q4464">
        <v>2.2926180000000001E-2</v>
      </c>
      <c r="R4464">
        <v>-0.88297239999999999</v>
      </c>
      <c r="S4464">
        <v>2.3316650000000001</v>
      </c>
      <c r="T4464">
        <v>-0.23093749999999999</v>
      </c>
      <c r="U4464">
        <v>-2.1731259999999999</v>
      </c>
      <c r="V4464">
        <v>-0.36639359999999999</v>
      </c>
      <c r="W4464">
        <v>3.247531E-2</v>
      </c>
      <c r="X4464">
        <v>0.92989310000000003</v>
      </c>
      <c r="Y4464">
        <v>-0.64779209999999998</v>
      </c>
      <c r="Z4464">
        <v>7.4812359999999994E-2</v>
      </c>
      <c r="AA4464">
        <v>0.75813489999999994</v>
      </c>
      <c r="AB4464">
        <v>28</v>
      </c>
      <c r="AC4464">
        <v>11.2122999999999</v>
      </c>
      <c r="AD4464">
        <v>-1.113982839735</v>
      </c>
      <c r="AE4464">
        <v>-10.21613</v>
      </c>
      <c r="AF4464">
        <v>-9.93270137718374</v>
      </c>
      <c r="AG4464">
        <v>-1.113982839735</v>
      </c>
      <c r="AH4464">
        <v>11.3562514538161</v>
      </c>
      <c r="AI4464">
        <v>94.222850299909794</v>
      </c>
      <c r="AJ4464">
        <v>131.174439796558</v>
      </c>
      <c r="AK4464">
        <v>15.128250444047801</v>
      </c>
    </row>
    <row r="4465" spans="1:37" x14ac:dyDescent="0.2">
      <c r="A4465" t="str">
        <f>"20200111154153268"</f>
        <v>20200111154153268</v>
      </c>
      <c r="B4465" t="str">
        <f>"1578728513260439"</f>
        <v>1578728513260439</v>
      </c>
      <c r="C4465" t="s">
        <v>37</v>
      </c>
      <c r="D4465">
        <v>5.3961050000000004</v>
      </c>
      <c r="E4465">
        <v>0.36653239999999998</v>
      </c>
      <c r="F4465" t="s">
        <v>47</v>
      </c>
      <c r="G4465">
        <v>-290.8039</v>
      </c>
      <c r="H4465" s="1">
        <v>-6.9176279999999902E-6</v>
      </c>
      <c r="I4465">
        <v>-49.759159999999902</v>
      </c>
      <c r="J4465">
        <v>-302.05360000000002</v>
      </c>
      <c r="K4465">
        <v>1.1140760000000001</v>
      </c>
      <c r="L4465">
        <v>-39.635930000000002</v>
      </c>
      <c r="M4465">
        <v>0.1177826</v>
      </c>
      <c r="N4465">
        <v>0</v>
      </c>
      <c r="O4465">
        <v>-0.99294590000000005</v>
      </c>
      <c r="P4465">
        <v>0.47463450000000001</v>
      </c>
      <c r="Q4465">
        <v>2.2911810000000001E-2</v>
      </c>
      <c r="R4465">
        <v>-0.87988469999999996</v>
      </c>
      <c r="S4465">
        <v>2.3444210000000001</v>
      </c>
      <c r="T4465">
        <v>-0.2314137</v>
      </c>
      <c r="U4465">
        <v>-2.158722</v>
      </c>
      <c r="V4465">
        <v>-0.36798359999999902</v>
      </c>
      <c r="W4465">
        <v>3.2355679999999998E-2</v>
      </c>
      <c r="X4465">
        <v>0.92926909999999896</v>
      </c>
      <c r="Y4465">
        <v>-0.64867169999999996</v>
      </c>
      <c r="Z4465">
        <v>7.5069629999999998E-2</v>
      </c>
      <c r="AA4465">
        <v>0.75735699999999995</v>
      </c>
      <c r="AB4465">
        <v>28</v>
      </c>
      <c r="AC4465">
        <v>11.249700000000001</v>
      </c>
      <c r="AD4465">
        <v>-1.1140829176279901</v>
      </c>
      <c r="AE4465">
        <v>-10.1232299999999</v>
      </c>
      <c r="AF4465">
        <v>-9.92514375697505</v>
      </c>
      <c r="AG4465">
        <v>-1.1140829176279901</v>
      </c>
      <c r="AH4465">
        <v>11.3165687950051</v>
      </c>
      <c r="AI4465">
        <v>94.232965386278906</v>
      </c>
      <c r="AJ4465">
        <v>131.25223017154801</v>
      </c>
      <c r="AK4465">
        <v>15.093521412713899</v>
      </c>
    </row>
    <row r="4466" spans="1:37" x14ac:dyDescent="0.2">
      <c r="A4466" t="str">
        <f>"20200111154153293"</f>
        <v>20200111154153293</v>
      </c>
      <c r="B4466" t="str">
        <f>"1578728513290696"</f>
        <v>1578728513290696</v>
      </c>
      <c r="C4466" t="s">
        <v>37</v>
      </c>
      <c r="D4466">
        <v>5.0845750000000001</v>
      </c>
      <c r="E4466">
        <v>0.36686299999999999</v>
      </c>
      <c r="F4466" t="s">
        <v>47</v>
      </c>
      <c r="G4466">
        <v>-290.7475</v>
      </c>
      <c r="H4466" s="1">
        <v>-6.98823499999999E-6</v>
      </c>
      <c r="I4466">
        <v>-49.922440000000002</v>
      </c>
      <c r="J4466">
        <v>-302.01179999999999</v>
      </c>
      <c r="K4466">
        <v>1.1141889999999901</v>
      </c>
      <c r="L4466">
        <v>-39.936459999999997</v>
      </c>
      <c r="M4466">
        <v>0.123344</v>
      </c>
      <c r="N4466">
        <v>0</v>
      </c>
      <c r="O4466">
        <v>-0.99227049999999895</v>
      </c>
      <c r="P4466">
        <v>0.48069119999999999</v>
      </c>
      <c r="Q4466">
        <v>2.2850680000000002E-2</v>
      </c>
      <c r="R4466">
        <v>-0.87659229999999999</v>
      </c>
      <c r="S4466">
        <v>2.3568119999999899</v>
      </c>
      <c r="T4466">
        <v>-0.2322341</v>
      </c>
      <c r="U4466">
        <v>-2.1442570000000001</v>
      </c>
      <c r="V4466">
        <v>-0.36919370000000001</v>
      </c>
      <c r="W4466">
        <v>3.2183160000000002E-2</v>
      </c>
      <c r="X4466">
        <v>0.92879500000000004</v>
      </c>
      <c r="Y4466">
        <v>-0.64892069999999902</v>
      </c>
      <c r="Z4466">
        <v>7.5451180000000007E-2</v>
      </c>
      <c r="AA4466">
        <v>0.75710569999999999</v>
      </c>
      <c r="AB4466">
        <v>28</v>
      </c>
      <c r="AC4466">
        <v>11.264299999999899</v>
      </c>
      <c r="AD4466">
        <v>-1.1141959882350001</v>
      </c>
      <c r="AE4466">
        <v>-9.9859799999999996</v>
      </c>
      <c r="AF4466">
        <v>-9.8922506344473504</v>
      </c>
      <c r="AG4466">
        <v>-1.1141959882350001</v>
      </c>
      <c r="AH4466">
        <v>11.2376607117509</v>
      </c>
      <c r="AI4466">
        <v>94.2562102330632</v>
      </c>
      <c r="AJ4466">
        <v>131.35670997397199</v>
      </c>
      <c r="AK4466">
        <v>15.0127636891864</v>
      </c>
    </row>
    <row r="4467" spans="1:37" x14ac:dyDescent="0.2">
      <c r="A4467" t="str">
        <f>"20200111154153316"</f>
        <v>20200111154153316</v>
      </c>
      <c r="B4467" t="str">
        <f>"1578728513311192"</f>
        <v>1578728513311192</v>
      </c>
      <c r="C4467" t="s">
        <v>37</v>
      </c>
      <c r="D4467">
        <v>5.1263399999999999</v>
      </c>
      <c r="E4467">
        <v>0.36712869999999997</v>
      </c>
      <c r="F4467" t="s">
        <v>47</v>
      </c>
      <c r="G4467">
        <v>-290.78710000000001</v>
      </c>
      <c r="H4467" s="1">
        <v>-7.0203149999999997E-6</v>
      </c>
      <c r="I4467">
        <v>-50.023559999999897</v>
      </c>
      <c r="J4467">
        <v>-301.97370000000001</v>
      </c>
      <c r="K4467">
        <v>1.1142889999999901</v>
      </c>
      <c r="L4467">
        <v>-40.199129999999997</v>
      </c>
      <c r="M4467">
        <v>0.12837229999999999</v>
      </c>
      <c r="N4467">
        <v>0</v>
      </c>
      <c r="O4467">
        <v>-0.99163230000000002</v>
      </c>
      <c r="P4467">
        <v>0.48566899999999902</v>
      </c>
      <c r="Q4467">
        <v>2.2915640000000001E-2</v>
      </c>
      <c r="R4467">
        <v>-0.87384269999999997</v>
      </c>
      <c r="S4467">
        <v>2.369354</v>
      </c>
      <c r="T4467">
        <v>-0.23518749999999999</v>
      </c>
      <c r="U4467">
        <v>-2.1292110000000002</v>
      </c>
      <c r="V4467">
        <v>-0.36977729999999998</v>
      </c>
      <c r="W4467">
        <v>3.2152180000000002E-2</v>
      </c>
      <c r="X4467">
        <v>0.9285639</v>
      </c>
      <c r="Y4467">
        <v>-0.64966389999999996</v>
      </c>
      <c r="Z4467">
        <v>7.6519820000000002E-2</v>
      </c>
      <c r="AA4467">
        <v>0.7563607</v>
      </c>
      <c r="AB4467">
        <v>28</v>
      </c>
      <c r="AC4467">
        <v>11.1866</v>
      </c>
      <c r="AD4467">
        <v>-1.1142960203149901</v>
      </c>
      <c r="AE4467">
        <v>-9.8244299999999996</v>
      </c>
      <c r="AF4467">
        <v>-9.7779508483331607</v>
      </c>
      <c r="AG4467">
        <v>-1.1142960203149901</v>
      </c>
      <c r="AH4467">
        <v>11.117037442611799</v>
      </c>
      <c r="AI4467">
        <v>94.304156348727702</v>
      </c>
      <c r="AJ4467">
        <v>131.33312878297701</v>
      </c>
      <c r="AK4467">
        <v>14.8471714448828</v>
      </c>
    </row>
    <row r="4468" spans="1:37" x14ac:dyDescent="0.2">
      <c r="A4468" t="str">
        <f>"20200111154153336"</f>
        <v>20200111154153336</v>
      </c>
      <c r="B4468" t="str">
        <f>"1578728513330712"</f>
        <v>1578728513330712</v>
      </c>
      <c r="C4468" t="s">
        <v>37</v>
      </c>
      <c r="D4468">
        <v>5.1030790000000001</v>
      </c>
      <c r="E4468">
        <v>0.36741809999999903</v>
      </c>
      <c r="F4468" t="s">
        <v>47</v>
      </c>
      <c r="G4468">
        <v>-290.68990000000002</v>
      </c>
      <c r="H4468" s="1">
        <v>-7.1154429999999998E-6</v>
      </c>
      <c r="I4468">
        <v>-50.234809999999896</v>
      </c>
      <c r="J4468">
        <v>-301.9348</v>
      </c>
      <c r="K4468">
        <v>1.1144049999999901</v>
      </c>
      <c r="L4468">
        <v>-40.457180000000001</v>
      </c>
      <c r="M4468">
        <v>0.13348070000000001</v>
      </c>
      <c r="N4468">
        <v>0</v>
      </c>
      <c r="O4468">
        <v>-0.99095739999999999</v>
      </c>
      <c r="P4468">
        <v>0.49102970000000001</v>
      </c>
      <c r="Q4468">
        <v>2.2963600000000001E-2</v>
      </c>
      <c r="R4468">
        <v>-0.87084010000000001</v>
      </c>
      <c r="S4468">
        <v>2.3798219999999999</v>
      </c>
      <c r="T4468">
        <v>-0.235011</v>
      </c>
      <c r="U4468">
        <v>-2.1165769999999999</v>
      </c>
      <c r="V4468">
        <v>-0.37070809999999998</v>
      </c>
      <c r="W4468">
        <v>3.2092130000000003E-2</v>
      </c>
      <c r="X4468">
        <v>0.92819479999999999</v>
      </c>
      <c r="Y4468">
        <v>-0.64964659999999996</v>
      </c>
      <c r="Z4468">
        <v>7.6566889999999999E-2</v>
      </c>
      <c r="AA4468">
        <v>0.75637080000000001</v>
      </c>
      <c r="AB4468">
        <v>28</v>
      </c>
      <c r="AC4468">
        <v>11.2448999999999</v>
      </c>
      <c r="AD4468">
        <v>-1.11441211544299</v>
      </c>
      <c r="AE4468">
        <v>-9.7776299999999896</v>
      </c>
      <c r="AF4468">
        <v>-9.7842856292500304</v>
      </c>
      <c r="AG4468">
        <v>-1.11441211544299</v>
      </c>
      <c r="AH4468">
        <v>11.1289907008433</v>
      </c>
      <c r="AI4468">
        <v>94.300794744230501</v>
      </c>
      <c r="AJ4468">
        <v>131.32099687489799</v>
      </c>
      <c r="AK4468">
        <v>14.860302609881501</v>
      </c>
    </row>
    <row r="4469" spans="1:37" x14ac:dyDescent="0.2">
      <c r="A4469" t="str">
        <f>"20200111154153359"</f>
        <v>20200111154153359</v>
      </c>
      <c r="B4469" t="str">
        <f>"1578728513350231"</f>
        <v>1578728513350231</v>
      </c>
      <c r="C4469" t="s">
        <v>37</v>
      </c>
      <c r="D4469">
        <v>5.1551910000000003</v>
      </c>
      <c r="E4469">
        <v>0.36763979999999902</v>
      </c>
      <c r="F4469" t="s">
        <v>47</v>
      </c>
      <c r="G4469">
        <v>-290.66199999999998</v>
      </c>
      <c r="H4469" s="1">
        <v>-7.1719579999999901E-6</v>
      </c>
      <c r="I4469">
        <v>-50.37265</v>
      </c>
      <c r="J4469">
        <v>-301.8931</v>
      </c>
      <c r="K4469">
        <v>1.114541</v>
      </c>
      <c r="L4469">
        <v>-40.722749999999998</v>
      </c>
      <c r="M4469">
        <v>0.13892479999999999</v>
      </c>
      <c r="N4469">
        <v>0</v>
      </c>
      <c r="O4469">
        <v>-0.99020869999999905</v>
      </c>
      <c r="P4469">
        <v>0.49736629999999898</v>
      </c>
      <c r="Q4469">
        <v>2.421011E-2</v>
      </c>
      <c r="R4469">
        <v>-0.8672029</v>
      </c>
      <c r="S4469">
        <v>2.39093</v>
      </c>
      <c r="T4469">
        <v>-0.236365299999999</v>
      </c>
      <c r="U4469">
        <v>-2.1030579999999999</v>
      </c>
      <c r="V4469">
        <v>-0.37240240000000002</v>
      </c>
      <c r="W4469">
        <v>3.320352E-2</v>
      </c>
      <c r="X4469">
        <v>0.927477199999999</v>
      </c>
      <c r="Y4469">
        <v>-0.64960059999999997</v>
      </c>
      <c r="Z4469">
        <v>7.711469E-2</v>
      </c>
      <c r="AA4469">
        <v>0.75635469999999905</v>
      </c>
      <c r="AB4469">
        <v>28</v>
      </c>
      <c r="AC4469">
        <v>11.2310999999999</v>
      </c>
      <c r="AD4469">
        <v>-1.1145481719579999</v>
      </c>
      <c r="AE4469">
        <v>-9.6499000000000006</v>
      </c>
      <c r="AF4469">
        <v>-9.7263303153424907</v>
      </c>
      <c r="AG4469">
        <v>-1.1145481719579999</v>
      </c>
      <c r="AH4469">
        <v>11.054103116927299</v>
      </c>
      <c r="AI4469">
        <v>94.328821813683206</v>
      </c>
      <c r="AJ4469">
        <v>131.34403673784101</v>
      </c>
      <c r="AK4469">
        <v>14.7660730985061</v>
      </c>
    </row>
    <row r="4470" spans="1:37" x14ac:dyDescent="0.2">
      <c r="A4470" t="str">
        <f>"20200111154153380"</f>
        <v>20200111154153380</v>
      </c>
      <c r="B4470" t="str">
        <f>"1578728513370728"</f>
        <v>1578728513370728</v>
      </c>
      <c r="C4470" t="s">
        <v>37</v>
      </c>
      <c r="D4470">
        <v>5.1659759999999997</v>
      </c>
      <c r="E4470">
        <v>0.36777870000000001</v>
      </c>
      <c r="F4470" t="s">
        <v>47</v>
      </c>
      <c r="G4470">
        <v>-290.42399999999998</v>
      </c>
      <c r="H4470" s="1">
        <v>-1.0600950000000001E-5</v>
      </c>
      <c r="I4470">
        <v>-50.671750000000003</v>
      </c>
      <c r="J4470">
        <v>-301.85109999999997</v>
      </c>
      <c r="K4470">
        <v>1.114684</v>
      </c>
      <c r="L4470">
        <v>-40.980040000000002</v>
      </c>
      <c r="M4470">
        <v>0.1443924</v>
      </c>
      <c r="N4470">
        <v>0</v>
      </c>
      <c r="O4470">
        <v>-0.98942600000000003</v>
      </c>
      <c r="P4470">
        <v>0.50340209999999996</v>
      </c>
      <c r="Q4470">
        <v>2.4673569999999999E-2</v>
      </c>
      <c r="R4470">
        <v>-0.86370000000000002</v>
      </c>
      <c r="S4470">
        <v>2.405243</v>
      </c>
      <c r="T4470">
        <v>-0.23373840000000001</v>
      </c>
      <c r="U4470">
        <v>-2.0864560000000001</v>
      </c>
      <c r="V4470">
        <v>-0.37376589999999998</v>
      </c>
      <c r="W4470">
        <v>3.3530459999999998E-2</v>
      </c>
      <c r="X4470">
        <v>0.92691679999999999</v>
      </c>
      <c r="Y4470">
        <v>-0.65066059999999903</v>
      </c>
      <c r="Z4470">
        <v>7.6364829999999995E-2</v>
      </c>
      <c r="AA4470">
        <v>0.75551919999999995</v>
      </c>
      <c r="AB4470">
        <v>28</v>
      </c>
      <c r="AC4470">
        <v>11.4270999999999</v>
      </c>
      <c r="AD4470">
        <v>-1.1146946009500001</v>
      </c>
      <c r="AE4470">
        <v>-9.6917100000000005</v>
      </c>
      <c r="AF4470">
        <v>-9.8532540566012798</v>
      </c>
      <c r="AG4470">
        <v>-1.1146946009500001</v>
      </c>
      <c r="AH4470">
        <v>11.178400287918199</v>
      </c>
      <c r="AI4470">
        <v>94.278106620675302</v>
      </c>
      <c r="AJ4470">
        <v>131.394717624675</v>
      </c>
      <c r="AK4470">
        <v>14.9427505016395</v>
      </c>
    </row>
    <row r="4471" spans="1:37" x14ac:dyDescent="0.2">
      <c r="A4471" t="str">
        <f>"20200111154153401"</f>
        <v>20200111154153401</v>
      </c>
      <c r="B4471" t="str">
        <f>"1578728513390248"</f>
        <v>1578728513390248</v>
      </c>
      <c r="C4471" t="s">
        <v>37</v>
      </c>
      <c r="D4471">
        <v>5.1720670000000002</v>
      </c>
      <c r="E4471">
        <v>0.36791449999999998</v>
      </c>
      <c r="F4471" t="s">
        <v>47</v>
      </c>
      <c r="G4471">
        <v>-290.3356</v>
      </c>
      <c r="H4471" s="1">
        <v>-1.0614560000000001E-5</v>
      </c>
      <c r="I4471">
        <v>-50.834899999999998</v>
      </c>
      <c r="J4471">
        <v>-301.80619999999999</v>
      </c>
      <c r="K4471">
        <v>1.114833</v>
      </c>
      <c r="L4471">
        <v>-41.244050000000001</v>
      </c>
      <c r="M4471">
        <v>0.1502086</v>
      </c>
      <c r="N4471">
        <v>0</v>
      </c>
      <c r="O4471">
        <v>-0.98855949999999904</v>
      </c>
      <c r="P4471">
        <v>0.50950980000000001</v>
      </c>
      <c r="Q4471">
        <v>2.494733E-2</v>
      </c>
      <c r="R4471">
        <v>-0.86010350000000002</v>
      </c>
      <c r="S4471">
        <v>2.4190369999999999</v>
      </c>
      <c r="T4471">
        <v>-0.2341616</v>
      </c>
      <c r="U4471">
        <v>-2.0701900000000002</v>
      </c>
      <c r="V4471">
        <v>-0.3748997</v>
      </c>
      <c r="W4471">
        <v>3.3661509999999999E-2</v>
      </c>
      <c r="X4471">
        <v>0.926454</v>
      </c>
      <c r="Y4471">
        <v>-0.65125200000000005</v>
      </c>
      <c r="Z4471">
        <v>7.6606099999999996E-2</v>
      </c>
      <c r="AA4471">
        <v>0.75498500000000002</v>
      </c>
      <c r="AB4471">
        <v>27</v>
      </c>
      <c r="AC4471">
        <v>11.4705999999999</v>
      </c>
      <c r="AD4471">
        <v>-1.11484361456</v>
      </c>
      <c r="AE4471">
        <v>-9.5908499999999908</v>
      </c>
      <c r="AF4471">
        <v>-9.8449376295075908</v>
      </c>
      <c r="AG4471">
        <v>-1.11484361456</v>
      </c>
      <c r="AH4471">
        <v>11.1432084828083</v>
      </c>
      <c r="AI4471">
        <v>94.287818488672301</v>
      </c>
      <c r="AJ4471">
        <v>131.46034561800599</v>
      </c>
      <c r="AK4471">
        <v>14.9109613541566</v>
      </c>
    </row>
    <row r="4472" spans="1:37" x14ac:dyDescent="0.2">
      <c r="A4472" t="str">
        <f>"20200111154153426"</f>
        <v>20200111154153426</v>
      </c>
      <c r="B4472" t="str">
        <f>"1578728513420201"</f>
        <v>1578728513420201</v>
      </c>
      <c r="C4472" t="s">
        <v>37</v>
      </c>
      <c r="D4472">
        <v>5.2995039999999998</v>
      </c>
      <c r="E4472">
        <v>0.36810789999999999</v>
      </c>
      <c r="F4472" t="s">
        <v>47</v>
      </c>
      <c r="G4472">
        <v>-290.36020000000002</v>
      </c>
      <c r="H4472" s="1">
        <v>-1.059843E-5</v>
      </c>
      <c r="I4472">
        <v>-50.906929999999903</v>
      </c>
      <c r="J4472">
        <v>-301.75670000000002</v>
      </c>
      <c r="K4472">
        <v>1.1149910000000001</v>
      </c>
      <c r="L4472">
        <v>-41.523959999999903</v>
      </c>
      <c r="M4472">
        <v>0.15662579999999901</v>
      </c>
      <c r="N4472">
        <v>0</v>
      </c>
      <c r="O4472">
        <v>-0.98756279999999996</v>
      </c>
      <c r="P4472">
        <v>0.51587470000000002</v>
      </c>
      <c r="Q4472">
        <v>2.433776E-2</v>
      </c>
      <c r="R4472">
        <v>-0.85631829999999998</v>
      </c>
      <c r="S4472">
        <v>2.43273899999999</v>
      </c>
      <c r="T4472">
        <v>-0.23694799999999999</v>
      </c>
      <c r="U4472">
        <v>-2.053741</v>
      </c>
      <c r="V4472">
        <v>-0.37575769999999997</v>
      </c>
      <c r="W4472">
        <v>3.290423E-2</v>
      </c>
      <c r="X4472">
        <v>0.926133599999999</v>
      </c>
      <c r="Y4472">
        <v>-0.6513525</v>
      </c>
      <c r="Z4472">
        <v>7.7622150000000001E-2</v>
      </c>
      <c r="AA4472">
        <v>0.75479449999999904</v>
      </c>
      <c r="AB4472">
        <v>27</v>
      </c>
      <c r="AC4472">
        <v>11.3965</v>
      </c>
      <c r="AD4472">
        <v>-1.1150015984299999</v>
      </c>
      <c r="AE4472">
        <v>-9.3829700000000003</v>
      </c>
      <c r="AF4472">
        <v>-9.7305520784723303</v>
      </c>
      <c r="AG4472">
        <v>-1.1150015984299999</v>
      </c>
      <c r="AH4472">
        <v>10.989602104821801</v>
      </c>
      <c r="AI4472">
        <v>94.343967708462301</v>
      </c>
      <c r="AJ4472">
        <v>131.522725541933</v>
      </c>
      <c r="AK4472">
        <v>14.7206734471853</v>
      </c>
    </row>
    <row r="4473" spans="1:37" x14ac:dyDescent="0.2">
      <c r="A4473" t="str">
        <f>"20200111154153447"</f>
        <v>20200111154153447</v>
      </c>
      <c r="B4473" t="str">
        <f>"1578728513440697"</f>
        <v>1578728513440697</v>
      </c>
      <c r="C4473" t="s">
        <v>37</v>
      </c>
      <c r="D4473">
        <v>5.1753429999999998</v>
      </c>
      <c r="E4473">
        <v>0.36828860000000002</v>
      </c>
      <c r="F4473" t="s">
        <v>47</v>
      </c>
      <c r="G4473">
        <v>-290.52820000000003</v>
      </c>
      <c r="H4473" s="1">
        <v>-1.05420699999999E-5</v>
      </c>
      <c r="I4473">
        <v>-50.87012</v>
      </c>
      <c r="J4473">
        <v>-301.7072</v>
      </c>
      <c r="K4473">
        <v>1.11514</v>
      </c>
      <c r="L4473">
        <v>-41.790990000000001</v>
      </c>
      <c r="M4473">
        <v>0.16297899999999901</v>
      </c>
      <c r="N4473">
        <v>0</v>
      </c>
      <c r="O4473">
        <v>-0.98653389999999996</v>
      </c>
      <c r="P4473">
        <v>0.52238260000000003</v>
      </c>
      <c r="Q4473">
        <v>2.4504930000000001E-2</v>
      </c>
      <c r="R4473">
        <v>-0.85235919999999898</v>
      </c>
      <c r="S4473">
        <v>2.4465330000000001</v>
      </c>
      <c r="T4473">
        <v>-0.2429442</v>
      </c>
      <c r="U4473">
        <v>-2.0364070000000001</v>
      </c>
      <c r="V4473">
        <v>-0.37686649999999999</v>
      </c>
      <c r="W4473">
        <v>3.2929010000000002E-2</v>
      </c>
      <c r="X4473">
        <v>0.92568209999999995</v>
      </c>
      <c r="Y4473">
        <v>-0.65160680000000004</v>
      </c>
      <c r="Z4473">
        <v>7.9693899999999998E-2</v>
      </c>
      <c r="AA4473">
        <v>0.75435889999999906</v>
      </c>
      <c r="AB4473">
        <v>27</v>
      </c>
      <c r="AC4473">
        <v>11.178999999999901</v>
      </c>
      <c r="AD4473">
        <v>-1.1151505420700001</v>
      </c>
      <c r="AE4473">
        <v>-9.0791299999999993</v>
      </c>
      <c r="AF4473">
        <v>-9.4927381993800992</v>
      </c>
      <c r="AG4473">
        <v>-1.1151505420700001</v>
      </c>
      <c r="AH4473">
        <v>10.7155790324069</v>
      </c>
      <c r="AI4473">
        <v>94.4542149361356</v>
      </c>
      <c r="AJ4473">
        <v>131.537154051545</v>
      </c>
      <c r="AK4473">
        <v>14.3589440159507</v>
      </c>
    </row>
    <row r="4474" spans="1:37" x14ac:dyDescent="0.2">
      <c r="A4474" t="str">
        <f>"20200111154153470"</f>
        <v>20200111154153470</v>
      </c>
      <c r="B4474" t="str">
        <f>"1578728513460218"</f>
        <v>1578728513460218</v>
      </c>
      <c r="C4474" t="s">
        <v>37</v>
      </c>
      <c r="D4474">
        <v>5.2230860000000003</v>
      </c>
      <c r="E4474">
        <v>0.36837249999999999</v>
      </c>
      <c r="F4474" t="s">
        <v>47</v>
      </c>
      <c r="G4474">
        <v>-290.54899999999998</v>
      </c>
      <c r="H4474" s="1">
        <v>-1.052631E-5</v>
      </c>
      <c r="I4474">
        <v>-50.945500000000003</v>
      </c>
      <c r="J4474">
        <v>-301.65499999999997</v>
      </c>
      <c r="K4474">
        <v>1.1152819999999899</v>
      </c>
      <c r="L4474">
        <v>-42.062809999999999</v>
      </c>
      <c r="M4474">
        <v>0.1696376</v>
      </c>
      <c r="N4474">
        <v>0</v>
      </c>
      <c r="O4474">
        <v>-0.98541060000000003</v>
      </c>
      <c r="P4474">
        <v>0.52841070000000001</v>
      </c>
      <c r="Q4474">
        <v>2.5229310000000001E-2</v>
      </c>
      <c r="R4474">
        <v>-0.84861390000000003</v>
      </c>
      <c r="S4474">
        <v>2.4605709999999998</v>
      </c>
      <c r="T4474">
        <v>-0.24590709999999999</v>
      </c>
      <c r="U4474">
        <v>-2.018707</v>
      </c>
      <c r="V4474">
        <v>-0.37719959999999902</v>
      </c>
      <c r="W4474">
        <v>3.3536650000000001E-2</v>
      </c>
      <c r="X4474">
        <v>0.92552459999999903</v>
      </c>
      <c r="Y4474">
        <v>-0.65178380000000002</v>
      </c>
      <c r="Z4474">
        <v>8.0778059999999999E-2</v>
      </c>
      <c r="AA4474">
        <v>0.754090699999999</v>
      </c>
      <c r="AB4474">
        <v>27</v>
      </c>
      <c r="AC4474">
        <v>11.1059999999999</v>
      </c>
      <c r="AD4474">
        <v>-1.11529252631</v>
      </c>
      <c r="AE4474">
        <v>-8.8826900000000002</v>
      </c>
      <c r="AF4474">
        <v>-9.3803318074867406</v>
      </c>
      <c r="AG4474">
        <v>-1.11529252631</v>
      </c>
      <c r="AH4474">
        <v>10.573069658499</v>
      </c>
      <c r="AI4474">
        <v>94.511656643937897</v>
      </c>
      <c r="AJ4474">
        <v>131.579148512004</v>
      </c>
      <c r="AK4474">
        <v>14.178303997349699</v>
      </c>
    </row>
    <row r="4475" spans="1:37" x14ac:dyDescent="0.2">
      <c r="A4475" t="str">
        <f>"20200111154153493"</f>
        <v>20200111154153493</v>
      </c>
      <c r="B4475" t="str">
        <f>"1578728513480713"</f>
        <v>1578728513480713</v>
      </c>
      <c r="C4475" t="s">
        <v>37</v>
      </c>
      <c r="D4475">
        <v>5.3608120000000001</v>
      </c>
      <c r="E4475">
        <v>0.36841409999999902</v>
      </c>
      <c r="F4475" t="s">
        <v>47</v>
      </c>
      <c r="G4475">
        <v>-290.52839999999998</v>
      </c>
      <c r="H4475" s="1">
        <v>-1.0521359999999999E-5</v>
      </c>
      <c r="I4475">
        <v>-51.066070000000003</v>
      </c>
      <c r="J4475">
        <v>-301.60239999999999</v>
      </c>
      <c r="K4475">
        <v>1.1154040000000001</v>
      </c>
      <c r="L4475">
        <v>-42.325130000000001</v>
      </c>
      <c r="M4475">
        <v>0.176249499999999</v>
      </c>
      <c r="N4475">
        <v>0</v>
      </c>
      <c r="O4475">
        <v>-0.98424940000000005</v>
      </c>
      <c r="P4475">
        <v>0.53438589999999997</v>
      </c>
      <c r="Q4475">
        <v>2.618328E-2</v>
      </c>
      <c r="R4475">
        <v>-0.844835</v>
      </c>
      <c r="S4475">
        <v>2.4741209999999998</v>
      </c>
      <c r="T4475">
        <v>-0.24799839999999901</v>
      </c>
      <c r="U4475">
        <v>-2.0019840000000002</v>
      </c>
      <c r="V4475">
        <v>-0.37754359999999998</v>
      </c>
      <c r="W4475">
        <v>3.4385400000000003E-2</v>
      </c>
      <c r="X4475">
        <v>0.92535319999999899</v>
      </c>
      <c r="Y4475">
        <v>-0.65175620000000001</v>
      </c>
      <c r="Z4475">
        <v>8.1563449999999996E-2</v>
      </c>
      <c r="AA4475">
        <v>0.75402999999999998</v>
      </c>
      <c r="AB4475">
        <v>27</v>
      </c>
      <c r="AC4475">
        <v>11.074</v>
      </c>
      <c r="AD4475">
        <v>-1.11541452136</v>
      </c>
      <c r="AE4475">
        <v>-8.7409400000000002</v>
      </c>
      <c r="AF4475">
        <v>-9.3017336364521395</v>
      </c>
      <c r="AG4475">
        <v>-1.11541452136</v>
      </c>
      <c r="AH4475">
        <v>10.490476552089699</v>
      </c>
      <c r="AI4475">
        <v>94.548665177408296</v>
      </c>
      <c r="AJ4475">
        <v>131.56287855046401</v>
      </c>
      <c r="AK4475">
        <v>14.0647252546187</v>
      </c>
    </row>
    <row r="4476" spans="1:37" x14ac:dyDescent="0.2">
      <c r="A4476" t="str">
        <f>"20200111154153516"</f>
        <v>20200111154153516</v>
      </c>
      <c r="B4476" t="str">
        <f>"1578728513510156"</f>
        <v>1578728513510156</v>
      </c>
      <c r="C4476" t="s">
        <v>37</v>
      </c>
      <c r="D4476">
        <v>5.2026839999999996</v>
      </c>
      <c r="E4476">
        <v>0.3685505</v>
      </c>
      <c r="F4476" t="s">
        <v>47</v>
      </c>
      <c r="G4476">
        <v>-290.38679999999999</v>
      </c>
      <c r="H4476" s="1">
        <v>-1.055222E-5</v>
      </c>
      <c r="I4476">
        <v>-51.27243</v>
      </c>
      <c r="J4476">
        <v>-301.54610000000002</v>
      </c>
      <c r="K4476">
        <v>1.11554</v>
      </c>
      <c r="L4476">
        <v>-42.596069999999997</v>
      </c>
      <c r="M4476">
        <v>0.18328059999999999</v>
      </c>
      <c r="N4476">
        <v>0</v>
      </c>
      <c r="O4476">
        <v>-0.98296419999999995</v>
      </c>
      <c r="P4476">
        <v>0.54006089999999995</v>
      </c>
      <c r="Q4476">
        <v>2.6535489999999998E-2</v>
      </c>
      <c r="R4476">
        <v>-0.8412075</v>
      </c>
      <c r="S4476">
        <v>2.4880680000000002</v>
      </c>
      <c r="T4476">
        <v>-0.2474431</v>
      </c>
      <c r="U4476">
        <v>-1.984863</v>
      </c>
      <c r="V4476">
        <v>-0.3771757</v>
      </c>
      <c r="W4476">
        <v>3.4640839999999999E-2</v>
      </c>
      <c r="X4476">
        <v>0.92549369999999997</v>
      </c>
      <c r="Y4476">
        <v>-0.65158640000000001</v>
      </c>
      <c r="Z4476">
        <v>8.1479599999999999E-2</v>
      </c>
      <c r="AA4476">
        <v>0.75418589999999996</v>
      </c>
      <c r="AB4476">
        <v>27</v>
      </c>
      <c r="AC4476">
        <v>11.1593</v>
      </c>
      <c r="AD4476">
        <v>-1.11555055222</v>
      </c>
      <c r="AE4476">
        <v>-8.6763599999999901</v>
      </c>
      <c r="AF4476">
        <v>-9.3218150069285297</v>
      </c>
      <c r="AG4476">
        <v>-1.11555055222</v>
      </c>
      <c r="AH4476">
        <v>10.509382416679699</v>
      </c>
      <c r="AI4476">
        <v>94.540359376458596</v>
      </c>
      <c r="AJ4476">
        <v>131.57300371664201</v>
      </c>
      <c r="AK4476">
        <v>14.092118607149599</v>
      </c>
    </row>
    <row r="4477" spans="1:37" x14ac:dyDescent="0.2">
      <c r="A4477" t="str">
        <f>"20200111154153538"</f>
        <v>20200111154153538</v>
      </c>
      <c r="B4477" t="str">
        <f>"1578728513530652"</f>
        <v>1578728513530652</v>
      </c>
      <c r="C4477" t="s">
        <v>37</v>
      </c>
      <c r="D4477">
        <v>5.1796699999999998</v>
      </c>
      <c r="E4477">
        <v>0.36855559999999998</v>
      </c>
      <c r="F4477" t="s">
        <v>47</v>
      </c>
      <c r="G4477">
        <v>-290.37860000000001</v>
      </c>
      <c r="H4477" s="1">
        <v>-1.0543460000000001E-5</v>
      </c>
      <c r="I4477">
        <v>-51.3902</v>
      </c>
      <c r="J4477">
        <v>-301.48829999999998</v>
      </c>
      <c r="K4477">
        <v>1.115677</v>
      </c>
      <c r="L4477">
        <v>-42.863889999999998</v>
      </c>
      <c r="M4477">
        <v>0.1904419</v>
      </c>
      <c r="N4477">
        <v>0</v>
      </c>
      <c r="O4477">
        <v>-0.98160149999999902</v>
      </c>
      <c r="P4477">
        <v>0.54661179999999998</v>
      </c>
      <c r="Q4477">
        <v>2.748507E-2</v>
      </c>
      <c r="R4477">
        <v>-0.83693490000000004</v>
      </c>
      <c r="S4477">
        <v>2.5003660000000001</v>
      </c>
      <c r="T4477">
        <v>-0.24976660000000001</v>
      </c>
      <c r="U4477">
        <v>-1.9689639999999999</v>
      </c>
      <c r="V4477">
        <v>-0.37768359999999901</v>
      </c>
      <c r="W4477">
        <v>3.5470499999999898E-2</v>
      </c>
      <c r="X4477">
        <v>0.9252551</v>
      </c>
      <c r="Y4477">
        <v>-0.65077839999999998</v>
      </c>
      <c r="Z4477">
        <v>8.2339449999999995E-2</v>
      </c>
      <c r="AA4477">
        <v>0.75478979999999996</v>
      </c>
      <c r="AB4477">
        <v>27</v>
      </c>
      <c r="AC4477">
        <v>11.109699999999901</v>
      </c>
      <c r="AD4477">
        <v>-1.11568754346</v>
      </c>
      <c r="AE4477">
        <v>-8.5263099999999898</v>
      </c>
      <c r="AF4477">
        <v>-9.2238729289030399</v>
      </c>
      <c r="AG4477">
        <v>-1.11568754346</v>
      </c>
      <c r="AH4477">
        <v>10.420055128310601</v>
      </c>
      <c r="AI4477">
        <v>94.583743173554893</v>
      </c>
      <c r="AJ4477">
        <v>131.51537773279199</v>
      </c>
      <c r="AK4477">
        <v>13.960735631771501</v>
      </c>
    </row>
    <row r="4478" spans="1:37" x14ac:dyDescent="0.2">
      <c r="A4478" t="str">
        <f>"20200111154153561"</f>
        <v>20200111154153561</v>
      </c>
      <c r="B4478" t="str">
        <f>"1578728513551149"</f>
        <v>1578728513551149</v>
      </c>
      <c r="C4478" t="s">
        <v>37</v>
      </c>
      <c r="D4478">
        <v>5.1965750000000002</v>
      </c>
      <c r="E4478">
        <v>0.36854369999999997</v>
      </c>
      <c r="F4478" t="s">
        <v>47</v>
      </c>
      <c r="G4478">
        <v>-290.25650000000002</v>
      </c>
      <c r="H4478" s="1">
        <v>-1.057006E-5</v>
      </c>
      <c r="I4478">
        <v>-51.56812</v>
      </c>
      <c r="J4478">
        <v>-301.42790000000002</v>
      </c>
      <c r="K4478">
        <v>1.1158360000000001</v>
      </c>
      <c r="L4478">
        <v>-43.133150000000001</v>
      </c>
      <c r="M4478">
        <v>0.19786999999999999</v>
      </c>
      <c r="N4478">
        <v>0</v>
      </c>
      <c r="O4478">
        <v>-0.98013090000000003</v>
      </c>
      <c r="P4478">
        <v>0.55367849999999996</v>
      </c>
      <c r="Q4478">
        <v>2.753862E-2</v>
      </c>
      <c r="R4478">
        <v>-0.83227499999999999</v>
      </c>
      <c r="S4478">
        <v>2.5157470000000002</v>
      </c>
      <c r="T4478">
        <v>-0.24989720000000001</v>
      </c>
      <c r="U4478">
        <v>-1.9496150000000001</v>
      </c>
      <c r="V4478">
        <v>-0.37852599999999997</v>
      </c>
      <c r="W4478">
        <v>3.5383289999999998E-2</v>
      </c>
      <c r="X4478">
        <v>0.92491409999999996</v>
      </c>
      <c r="Y4478">
        <v>-0.65089710000000001</v>
      </c>
      <c r="Z4478">
        <v>8.2479319999999995E-2</v>
      </c>
      <c r="AA4478">
        <v>0.75467220000000002</v>
      </c>
      <c r="AB4478">
        <v>27</v>
      </c>
      <c r="AC4478">
        <v>11.1714</v>
      </c>
      <c r="AD4478">
        <v>-1.11584657006</v>
      </c>
      <c r="AE4478">
        <v>-8.4349699999999999</v>
      </c>
      <c r="AF4478">
        <v>-9.2226891587566104</v>
      </c>
      <c r="AG4478">
        <v>-1.11584657006</v>
      </c>
      <c r="AH4478">
        <v>10.412694669763599</v>
      </c>
      <c r="AI4478">
        <v>94.5864597326226</v>
      </c>
      <c r="AJ4478">
        <v>131.53182234965101</v>
      </c>
      <c r="AK4478">
        <v>13.954473088321301</v>
      </c>
    </row>
    <row r="4479" spans="1:37" x14ac:dyDescent="0.2">
      <c r="A4479" t="str">
        <f>"20200111154153585"</f>
        <v>20200111154153585</v>
      </c>
      <c r="B4479" t="str">
        <f>"1578728513580429"</f>
        <v>1578728513580429</v>
      </c>
      <c r="C4479" t="s">
        <v>37</v>
      </c>
      <c r="D4479">
        <v>5.4297899999999997</v>
      </c>
      <c r="E4479">
        <v>0.36842390000000003</v>
      </c>
      <c r="F4479" t="s">
        <v>47</v>
      </c>
      <c r="G4479">
        <v>-290.16250000000002</v>
      </c>
      <c r="H4479" s="1">
        <v>-1.0590059999999999E-5</v>
      </c>
      <c r="I4479">
        <v>-51.71011</v>
      </c>
      <c r="J4479">
        <v>-301.36360000000002</v>
      </c>
      <c r="K4479">
        <v>1.1160219999999901</v>
      </c>
      <c r="L4479">
        <v>-43.408200000000001</v>
      </c>
      <c r="M4479">
        <v>0.20573440000000001</v>
      </c>
      <c r="N4479">
        <v>0</v>
      </c>
      <c r="O4479">
        <v>-0.97850990000000004</v>
      </c>
      <c r="P4479">
        <v>0.56076939999999997</v>
      </c>
      <c r="Q4479">
        <v>2.7706140000000001E-2</v>
      </c>
      <c r="R4479">
        <v>-0.82750820000000003</v>
      </c>
      <c r="S4479">
        <v>2.5325009999999999</v>
      </c>
      <c r="T4479">
        <v>-0.25084610000000002</v>
      </c>
      <c r="U4479">
        <v>-1.928131</v>
      </c>
      <c r="V4479">
        <v>-0.37902019999999997</v>
      </c>
      <c r="W4479">
        <v>3.5397119999999997E-2</v>
      </c>
      <c r="X4479">
        <v>0.92471119999999996</v>
      </c>
      <c r="Y4479">
        <v>-0.6512502</v>
      </c>
      <c r="Z4479">
        <v>8.2892399999999894E-2</v>
      </c>
      <c r="AA4479">
        <v>0.7543223</v>
      </c>
      <c r="AB4479">
        <v>27</v>
      </c>
      <c r="AC4479">
        <v>11.201099999999901</v>
      </c>
      <c r="AD4479">
        <v>-1.1160325900599899</v>
      </c>
      <c r="AE4479">
        <v>-8.3019099999999995</v>
      </c>
      <c r="AF4479">
        <v>-9.1943730274272006</v>
      </c>
      <c r="AG4479">
        <v>-1.1160325900599899</v>
      </c>
      <c r="AH4479">
        <v>10.362554570590399</v>
      </c>
      <c r="AI4479">
        <v>94.605784499163207</v>
      </c>
      <c r="AJ4479">
        <v>131.58164921560899</v>
      </c>
      <c r="AK4479">
        <v>13.8983654196463</v>
      </c>
    </row>
    <row r="4480" spans="1:37" x14ac:dyDescent="0.2">
      <c r="A4480" t="str">
        <f>"20200111154153608"</f>
        <v>20200111154153608</v>
      </c>
      <c r="B4480" t="str">
        <f>"1578728513600924"</f>
        <v>1578728513600924</v>
      </c>
      <c r="C4480" t="s">
        <v>37</v>
      </c>
      <c r="D4480">
        <v>5.2167500000000002</v>
      </c>
      <c r="E4480">
        <v>0.36826940000000002</v>
      </c>
      <c r="F4480" t="s">
        <v>47</v>
      </c>
      <c r="G4480">
        <v>-290.09699999999998</v>
      </c>
      <c r="H4480" s="1">
        <v>-1.060198E-5</v>
      </c>
      <c r="I4480">
        <v>-51.829219999999999</v>
      </c>
      <c r="J4480">
        <v>-301.29649999999998</v>
      </c>
      <c r="K4480">
        <v>1.1162129999999999</v>
      </c>
      <c r="L4480">
        <v>-43.68289</v>
      </c>
      <c r="M4480">
        <v>0.213892999999999</v>
      </c>
      <c r="N4480">
        <v>0</v>
      </c>
      <c r="O4480">
        <v>-0.97675879999999904</v>
      </c>
      <c r="P4480">
        <v>0.56783669999999997</v>
      </c>
      <c r="Q4480">
        <v>2.7750230000000001E-2</v>
      </c>
      <c r="R4480">
        <v>-0.82267349999999995</v>
      </c>
      <c r="S4480">
        <v>2.5498660000000002</v>
      </c>
      <c r="T4480">
        <v>-0.25258189999999903</v>
      </c>
      <c r="U4480">
        <v>-1.90585299999999</v>
      </c>
      <c r="V4480">
        <v>-0.37924209999999903</v>
      </c>
      <c r="W4480">
        <v>3.5283219999999997E-2</v>
      </c>
      <c r="X4480">
        <v>0.92462449999999996</v>
      </c>
      <c r="Y4480">
        <v>-0.65158329999999998</v>
      </c>
      <c r="Z4480">
        <v>8.3557019999999996E-2</v>
      </c>
      <c r="AA4480">
        <v>0.75396109999999905</v>
      </c>
      <c r="AB4480">
        <v>27</v>
      </c>
      <c r="AC4480">
        <v>11.1995</v>
      </c>
      <c r="AD4480">
        <v>-1.11622360197999</v>
      </c>
      <c r="AE4480">
        <v>-8.1463299999999901</v>
      </c>
      <c r="AF4480">
        <v>-9.1382843856716693</v>
      </c>
      <c r="AG4480">
        <v>-1.11622360197999</v>
      </c>
      <c r="AH4480">
        <v>10.286661994705099</v>
      </c>
      <c r="AI4480">
        <v>94.637900083228601</v>
      </c>
      <c r="AJ4480">
        <v>131.61668582461201</v>
      </c>
      <c r="AK4480">
        <v>13.8046952750264</v>
      </c>
    </row>
    <row r="4481" spans="1:37" x14ac:dyDescent="0.2">
      <c r="A4481" t="str">
        <f>"20200111154153640"</f>
        <v>20200111154153640</v>
      </c>
      <c r="B4481" t="str">
        <f>"1578728513630204"</f>
        <v>1578728513630204</v>
      </c>
      <c r="C4481" t="s">
        <v>37</v>
      </c>
      <c r="D4481">
        <v>5.2951050000000004</v>
      </c>
      <c r="E4481">
        <v>0.363398</v>
      </c>
      <c r="F4481" t="s">
        <v>47</v>
      </c>
      <c r="G4481">
        <v>-289.92630000000003</v>
      </c>
      <c r="H4481" s="1">
        <v>-2.7513039999999999E-6</v>
      </c>
      <c r="I4481">
        <v>-52.02131</v>
      </c>
      <c r="J4481">
        <v>-301.19970000000001</v>
      </c>
      <c r="K4481">
        <v>1.1164700000000001</v>
      </c>
      <c r="L4481">
        <v>-44.062259999999903</v>
      </c>
      <c r="M4481">
        <v>0.22558209999999901</v>
      </c>
      <c r="N4481">
        <v>0</v>
      </c>
      <c r="O4481">
        <v>-0.97412480000000001</v>
      </c>
      <c r="P4481">
        <v>0.57685509999999995</v>
      </c>
      <c r="Q4481">
        <v>2.8694219999999999E-2</v>
      </c>
      <c r="R4481">
        <v>-0.81634249999999997</v>
      </c>
      <c r="S4481">
        <v>2.5675659999999998</v>
      </c>
      <c r="T4481">
        <v>-0.2520577</v>
      </c>
      <c r="U4481">
        <v>-1.88293499999999</v>
      </c>
      <c r="V4481">
        <v>-0.37837929999999997</v>
      </c>
      <c r="W4481">
        <v>3.6047099999999999E-2</v>
      </c>
      <c r="X4481">
        <v>0.92494849999999995</v>
      </c>
      <c r="Y4481">
        <v>-0.64937730000000005</v>
      </c>
      <c r="Z4481">
        <v>8.3475560000000004E-2</v>
      </c>
      <c r="AA4481">
        <v>0.75587090000000001</v>
      </c>
      <c r="AB4481">
        <v>27</v>
      </c>
      <c r="AC4481">
        <v>11.273399999999899</v>
      </c>
      <c r="AD4481">
        <v>-1.116472751304</v>
      </c>
      <c r="AE4481">
        <v>-7.9590500000000004</v>
      </c>
      <c r="AF4481">
        <v>-9.1274244716910502</v>
      </c>
      <c r="AG4481">
        <v>-1.116472751304</v>
      </c>
      <c r="AH4481">
        <v>10.2302194327428</v>
      </c>
      <c r="AI4481">
        <v>94.655564860878002</v>
      </c>
      <c r="AJ4481">
        <v>131.73941346308999</v>
      </c>
      <c r="AK4481">
        <v>13.755499937584799</v>
      </c>
    </row>
    <row r="4482" spans="1:37" x14ac:dyDescent="0.2">
      <c r="A4482" t="str">
        <f>"20200111154153669"</f>
        <v>20200111154153669</v>
      </c>
      <c r="B4482" t="str">
        <f>"1578728513660461"</f>
        <v>1578728513660461</v>
      </c>
      <c r="C4482" t="s">
        <v>37</v>
      </c>
      <c r="D4482">
        <v>5.2233070000000001</v>
      </c>
      <c r="E4482">
        <v>0.43286619999999998</v>
      </c>
      <c r="F4482" t="s">
        <v>47</v>
      </c>
      <c r="G4482">
        <v>-292.96359999999999</v>
      </c>
      <c r="H4482" s="1">
        <v>-6.6088220000000003E-6</v>
      </c>
      <c r="I4482">
        <v>-49.834499999999998</v>
      </c>
      <c r="J4482">
        <v>-301.11410000000001</v>
      </c>
      <c r="K4482">
        <v>1.116695</v>
      </c>
      <c r="L4482">
        <v>-44.37997</v>
      </c>
      <c r="M4482">
        <v>0.23586370000000001</v>
      </c>
      <c r="N4482">
        <v>0</v>
      </c>
      <c r="O4482">
        <v>-0.971686099999999</v>
      </c>
      <c r="P4482">
        <v>0.58413470000000001</v>
      </c>
      <c r="Q4482">
        <v>2.939812E-2</v>
      </c>
      <c r="R4482">
        <v>-0.81112439999999997</v>
      </c>
      <c r="S4482">
        <v>2.6198730000000001</v>
      </c>
      <c r="T4482">
        <v>-0.3551454</v>
      </c>
      <c r="U4482">
        <v>-1.8361209999999999</v>
      </c>
      <c r="V4482">
        <v>-0.3769149</v>
      </c>
      <c r="W4482">
        <v>3.6608920000000003E-2</v>
      </c>
      <c r="X4482">
        <v>0.92552420000000002</v>
      </c>
      <c r="Y4482">
        <v>-0.65478689999999995</v>
      </c>
      <c r="Z4482">
        <v>0.1170007</v>
      </c>
      <c r="AA4482">
        <v>0.74670269999999905</v>
      </c>
      <c r="AB4482">
        <v>27</v>
      </c>
      <c r="AC4482">
        <v>8.1505000000000205</v>
      </c>
      <c r="AD4482">
        <v>-1.1167016088220001</v>
      </c>
      <c r="AE4482">
        <v>-5.4545299999999903</v>
      </c>
      <c r="AF4482">
        <v>-6.5489388336368197</v>
      </c>
      <c r="AG4482">
        <v>-1.1167016088220001</v>
      </c>
      <c r="AH4482">
        <v>7.13074900800384</v>
      </c>
      <c r="AI4482">
        <v>96.579475511242805</v>
      </c>
      <c r="AJ4482">
        <v>132.564623565548</v>
      </c>
      <c r="AK4482">
        <v>9.7459326770201908</v>
      </c>
    </row>
    <row r="4483" spans="1:37" x14ac:dyDescent="0.2">
      <c r="A4483" t="str">
        <f>"20200111154153694"</f>
        <v>20200111154153694</v>
      </c>
      <c r="B4483" t="str">
        <f>"1578728513690717"</f>
        <v>1578728513690717</v>
      </c>
      <c r="C4483" t="s">
        <v>37</v>
      </c>
      <c r="D4483">
        <v>5.2678039999999999</v>
      </c>
      <c r="E4483">
        <v>0.44971909999999998</v>
      </c>
      <c r="F4483" t="s">
        <v>38</v>
      </c>
      <c r="G4483">
        <v>-300.37360000000001</v>
      </c>
      <c r="H4483">
        <v>1.0064139999999999</v>
      </c>
      <c r="I4483">
        <v>-45.103159999999903</v>
      </c>
      <c r="J4483">
        <v>-301.03109999999998</v>
      </c>
      <c r="K4483">
        <v>1.1169290000000001</v>
      </c>
      <c r="L4483">
        <v>-44.674500000000002</v>
      </c>
      <c r="M4483">
        <v>0.24582280000000001</v>
      </c>
      <c r="N4483">
        <v>0</v>
      </c>
      <c r="O4483">
        <v>-0.96921399999999902</v>
      </c>
      <c r="P4483">
        <v>0.59119169999999999</v>
      </c>
      <c r="Q4483">
        <v>3.0251090000000001E-2</v>
      </c>
      <c r="R4483">
        <v>-0.80596350000000005</v>
      </c>
      <c r="S4483">
        <v>2.18701199999999</v>
      </c>
      <c r="T4483">
        <v>-0.32565690000000003</v>
      </c>
      <c r="U4483">
        <v>-2.1353759999999999</v>
      </c>
      <c r="V4483">
        <v>-0.37553559999999903</v>
      </c>
      <c r="W4483">
        <v>3.7314640000000003E-2</v>
      </c>
      <c r="X4483">
        <v>0.92605649999999995</v>
      </c>
      <c r="Y4483">
        <v>-0.51740870000000005</v>
      </c>
      <c r="Z4483">
        <v>0.1100025</v>
      </c>
      <c r="AA4483">
        <v>0.84863880000000003</v>
      </c>
      <c r="AB4483">
        <v>27</v>
      </c>
      <c r="AC4483">
        <v>0.65749999999997</v>
      </c>
      <c r="AD4483">
        <v>-0.110515</v>
      </c>
      <c r="AE4483">
        <v>-0.42865999999999299</v>
      </c>
      <c r="AF4483">
        <v>-0.52159492777462102</v>
      </c>
      <c r="AG4483">
        <v>-0.110515</v>
      </c>
      <c r="AH4483">
        <v>0.56592837585563305</v>
      </c>
      <c r="AI4483">
        <v>98.1714873341067</v>
      </c>
      <c r="AJ4483">
        <v>132.66560056300099</v>
      </c>
      <c r="AK4483">
        <v>0.77752798052790795</v>
      </c>
    </row>
    <row r="4484" spans="1:37" x14ac:dyDescent="0.2">
      <c r="A4484" t="str">
        <f>"20200111154153720"</f>
        <v>20200111154153720</v>
      </c>
      <c r="B4484" t="str">
        <f>"1578728513710745"</f>
        <v>1578728513710745</v>
      </c>
      <c r="C4484" t="s">
        <v>37</v>
      </c>
      <c r="D4484">
        <v>5.194204</v>
      </c>
      <c r="E4484">
        <v>0.4532332</v>
      </c>
      <c r="F4484" t="s">
        <v>38</v>
      </c>
      <c r="G4484">
        <v>-300.37450000000001</v>
      </c>
      <c r="H4484">
        <v>1.015927</v>
      </c>
      <c r="I4484">
        <v>-45.362209999999997</v>
      </c>
      <c r="J4484">
        <v>-300.94319999999999</v>
      </c>
      <c r="K4484">
        <v>1.1171770000000001</v>
      </c>
      <c r="L4484">
        <v>-44.973909999999997</v>
      </c>
      <c r="M4484">
        <v>0.25632640000000001</v>
      </c>
      <c r="N4484">
        <v>0</v>
      </c>
      <c r="O4484">
        <v>-0.96648869999999898</v>
      </c>
      <c r="P4484">
        <v>0.59947609999999996</v>
      </c>
      <c r="Q4484">
        <v>3.111102E-2</v>
      </c>
      <c r="R4484">
        <v>-0.799788099999999</v>
      </c>
      <c r="S4484">
        <v>2.0974430000000002</v>
      </c>
      <c r="T4484">
        <v>-0.32252979999999998</v>
      </c>
      <c r="U4484">
        <v>-2.1958310000000001</v>
      </c>
      <c r="V4484">
        <v>-0.37508619999999998</v>
      </c>
      <c r="W4484">
        <v>3.8000800000000001E-2</v>
      </c>
      <c r="X4484">
        <v>0.9262108</v>
      </c>
      <c r="Y4484">
        <v>-0.47809119999999999</v>
      </c>
      <c r="Z4484">
        <v>0.1090301</v>
      </c>
      <c r="AA4484">
        <v>0.87151659999999997</v>
      </c>
      <c r="AB4484">
        <v>27</v>
      </c>
      <c r="AC4484">
        <v>0.568699999999978</v>
      </c>
      <c r="AD4484">
        <v>-0.10125000000000001</v>
      </c>
      <c r="AE4484">
        <v>-0.38830000000000098</v>
      </c>
      <c r="AF4484">
        <v>-0.44062891333683801</v>
      </c>
      <c r="AG4484">
        <v>-0.10125000000000001</v>
      </c>
      <c r="AH4484">
        <v>0.51008414489318799</v>
      </c>
      <c r="AI4484">
        <v>98.542646057979198</v>
      </c>
      <c r="AJ4484">
        <v>130.82162625871899</v>
      </c>
      <c r="AK4484">
        <v>0.68160929911483603</v>
      </c>
    </row>
    <row r="4485" spans="1:37" x14ac:dyDescent="0.2">
      <c r="A4485" t="str">
        <f>"20200111154153753"</f>
        <v>20200111154153753</v>
      </c>
      <c r="B4485" t="str">
        <f>"1578728513750760"</f>
        <v>1578728513750760</v>
      </c>
      <c r="C4485" t="s">
        <v>37</v>
      </c>
      <c r="D4485">
        <v>5.3971330000000002</v>
      </c>
      <c r="E4485">
        <v>0.45761089999999999</v>
      </c>
      <c r="F4485" t="s">
        <v>38</v>
      </c>
      <c r="G4485">
        <v>-300.33479999999997</v>
      </c>
      <c r="H4485">
        <v>1.0251490000000001</v>
      </c>
      <c r="I4485">
        <v>-45.609679999999997</v>
      </c>
      <c r="J4485">
        <v>-300.82850000000002</v>
      </c>
      <c r="K4485">
        <v>1.1174999999999999</v>
      </c>
      <c r="L4485">
        <v>-45.343870000000003</v>
      </c>
      <c r="M4485">
        <v>0.26998649999999902</v>
      </c>
      <c r="N4485">
        <v>0</v>
      </c>
      <c r="O4485">
        <v>-0.96276119999999898</v>
      </c>
      <c r="P4485">
        <v>0.60913470000000003</v>
      </c>
      <c r="Q4485">
        <v>3.2144949999999999E-2</v>
      </c>
      <c r="R4485">
        <v>-0.79241499999999998</v>
      </c>
      <c r="S4485">
        <v>2.0974729999999999</v>
      </c>
      <c r="T4485">
        <v>-0.31720039999999999</v>
      </c>
      <c r="U4485">
        <v>-2.1911930000000002</v>
      </c>
      <c r="V4485">
        <v>-0.37326579999999998</v>
      </c>
      <c r="W4485">
        <v>3.8830360000000001E-2</v>
      </c>
      <c r="X4485">
        <v>0.9269115</v>
      </c>
      <c r="Y4485">
        <v>-0.46670020000000001</v>
      </c>
      <c r="Z4485">
        <v>0.1071468</v>
      </c>
      <c r="AA4485">
        <v>0.87790119999999905</v>
      </c>
      <c r="AB4485">
        <v>27</v>
      </c>
      <c r="AC4485">
        <v>0.49370000000004599</v>
      </c>
      <c r="AD4485">
        <v>-9.2350999999999794E-2</v>
      </c>
      <c r="AE4485">
        <v>-0.265809999999994</v>
      </c>
      <c r="AF4485">
        <v>-0.39293089205350201</v>
      </c>
      <c r="AG4485">
        <v>-9.2350999999999794E-2</v>
      </c>
      <c r="AH4485">
        <v>0.378962201322602</v>
      </c>
      <c r="AI4485">
        <v>99.601927601906596</v>
      </c>
      <c r="AJ4485">
        <v>136.03674936319101</v>
      </c>
      <c r="AK4485">
        <v>0.55365670154187896</v>
      </c>
    </row>
    <row r="4486" spans="1:37" x14ac:dyDescent="0.2">
      <c r="A4486" t="str">
        <f>"20200111154153781"</f>
        <v>20200111154153781</v>
      </c>
      <c r="B4486" t="str">
        <f>"1578728513770280"</f>
        <v>1578728513770280</v>
      </c>
      <c r="C4486" t="s">
        <v>37</v>
      </c>
      <c r="D4486">
        <v>5.2371470000000002</v>
      </c>
      <c r="E4486">
        <v>0.45902690000000002</v>
      </c>
      <c r="F4486" t="s">
        <v>38</v>
      </c>
      <c r="G4486">
        <v>-300.1653</v>
      </c>
      <c r="H4486">
        <v>1.0197719999999999</v>
      </c>
      <c r="I4486">
        <v>-46.035620000000002</v>
      </c>
      <c r="J4486">
        <v>-300.7251</v>
      </c>
      <c r="K4486">
        <v>1.117791</v>
      </c>
      <c r="L4486">
        <v>-45.661380000000001</v>
      </c>
      <c r="M4486">
        <v>0.28223819999999999</v>
      </c>
      <c r="N4486">
        <v>0</v>
      </c>
      <c r="O4486">
        <v>-0.95924009999999904</v>
      </c>
      <c r="P4486">
        <v>0.61823139999999999</v>
      </c>
      <c r="Q4486">
        <v>3.283676E-2</v>
      </c>
      <c r="R4486">
        <v>-0.78530990000000001</v>
      </c>
      <c r="S4486">
        <v>2.0966490000000002</v>
      </c>
      <c r="T4486">
        <v>-0.30893890000000002</v>
      </c>
      <c r="U4486">
        <v>-2.1867070000000002</v>
      </c>
      <c r="V4486">
        <v>-0.37218440000000003</v>
      </c>
      <c r="W4486">
        <v>3.9341609999999999E-2</v>
      </c>
      <c r="X4486">
        <v>0.927324699999999</v>
      </c>
      <c r="Y4486">
        <v>-0.45634570000000002</v>
      </c>
      <c r="Z4486">
        <v>0.1042884</v>
      </c>
      <c r="AA4486">
        <v>0.88366990000000001</v>
      </c>
      <c r="AB4486">
        <v>27</v>
      </c>
      <c r="AC4486">
        <v>0.55979999999999497</v>
      </c>
      <c r="AD4486">
        <v>-9.8018999999999995E-2</v>
      </c>
      <c r="AE4486">
        <v>-0.37424000000000002</v>
      </c>
      <c r="AF4486">
        <v>-0.42244968178900999</v>
      </c>
      <c r="AG4486">
        <v>-9.8018999999999995E-2</v>
      </c>
      <c r="AH4486">
        <v>0.50630658533807105</v>
      </c>
      <c r="AI4486">
        <v>98.455017973782304</v>
      </c>
      <c r="AJ4486">
        <v>129.84078418398701</v>
      </c>
      <c r="AK4486">
        <v>0.66664669530519205</v>
      </c>
    </row>
    <row r="4487" spans="1:37" x14ac:dyDescent="0.2">
      <c r="A4487" t="str">
        <f>"20200111154153804"</f>
        <v>20200111154153804</v>
      </c>
      <c r="B4487" t="str">
        <f>"1578728513800955"</f>
        <v>1578728513800955</v>
      </c>
      <c r="C4487" t="s">
        <v>37</v>
      </c>
      <c r="D4487">
        <v>5.2843330000000002</v>
      </c>
      <c r="E4487">
        <v>0.4604664</v>
      </c>
      <c r="F4487" t="s">
        <v>38</v>
      </c>
      <c r="G4487">
        <v>-300.06760000000003</v>
      </c>
      <c r="H4487">
        <v>1.0230059999999901</v>
      </c>
      <c r="I4487">
        <v>-46.336390000000002</v>
      </c>
      <c r="J4487">
        <v>-300.63499999999999</v>
      </c>
      <c r="K4487">
        <v>1.1180270000000001</v>
      </c>
      <c r="L4487">
        <v>-45.925509999999903</v>
      </c>
      <c r="M4487">
        <v>0.29283320000000002</v>
      </c>
      <c r="N4487">
        <v>0</v>
      </c>
      <c r="O4487">
        <v>-0.95605839999999997</v>
      </c>
      <c r="P4487">
        <v>0.6261854</v>
      </c>
      <c r="Q4487">
        <v>3.4660419999999997E-2</v>
      </c>
      <c r="R4487">
        <v>-0.77890340000000002</v>
      </c>
      <c r="S4487">
        <v>2.113159</v>
      </c>
      <c r="T4487">
        <v>-0.30461909999999998</v>
      </c>
      <c r="U4487">
        <v>-2.1693119999999899</v>
      </c>
      <c r="V4487">
        <v>-0.37143359999999997</v>
      </c>
      <c r="W4487">
        <v>4.1022530000000001E-2</v>
      </c>
      <c r="X4487">
        <v>0.92755279999999996</v>
      </c>
      <c r="Y4487">
        <v>-0.45361380000000001</v>
      </c>
      <c r="Z4487">
        <v>0.10277069999999899</v>
      </c>
      <c r="AA4487">
        <v>0.88525299999999996</v>
      </c>
      <c r="AB4487">
        <v>27</v>
      </c>
      <c r="AC4487">
        <v>0.56739999999996305</v>
      </c>
      <c r="AD4487">
        <v>-9.5021000000000203E-2</v>
      </c>
      <c r="AE4487">
        <v>-0.41088000000000502</v>
      </c>
      <c r="AF4487">
        <v>-0.41456362281169301</v>
      </c>
      <c r="AG4487">
        <v>-9.5021000000000203E-2</v>
      </c>
      <c r="AH4487">
        <v>0.548935831367108</v>
      </c>
      <c r="AI4487">
        <v>97.864717845899804</v>
      </c>
      <c r="AJ4487">
        <v>127.060586627221</v>
      </c>
      <c r="AK4487">
        <v>0.69442244689990695</v>
      </c>
    </row>
    <row r="4488" spans="1:37" x14ac:dyDescent="0.2">
      <c r="A4488" t="str">
        <f>"20200111154153828"</f>
        <v>20200111154153828</v>
      </c>
      <c r="B4488" t="str">
        <f>"1578728513820476"</f>
        <v>1578728513820476</v>
      </c>
      <c r="C4488" t="s">
        <v>37</v>
      </c>
      <c r="D4488">
        <v>5.2794379999999999</v>
      </c>
      <c r="E4488">
        <v>0.46124529999999903</v>
      </c>
      <c r="F4488" t="s">
        <v>38</v>
      </c>
      <c r="G4488">
        <v>-299.89510000000001</v>
      </c>
      <c r="H4488">
        <v>1.015442</v>
      </c>
      <c r="I4488">
        <v>-46.675269999999998</v>
      </c>
      <c r="J4488">
        <v>-300.54509999999999</v>
      </c>
      <c r="K4488">
        <v>1.1182620000000001</v>
      </c>
      <c r="L4488">
        <v>-46.17877</v>
      </c>
      <c r="M4488">
        <v>0.30334470000000002</v>
      </c>
      <c r="N4488">
        <v>0</v>
      </c>
      <c r="O4488">
        <v>-0.95277449999999997</v>
      </c>
      <c r="P4488">
        <v>0.63465389999999999</v>
      </c>
      <c r="Q4488">
        <v>3.760003E-2</v>
      </c>
      <c r="R4488">
        <v>-0.77188120000000005</v>
      </c>
      <c r="S4488">
        <v>2.1265559999999999</v>
      </c>
      <c r="T4488">
        <v>-0.29486000000000001</v>
      </c>
      <c r="U4488">
        <v>-2.15505999999999</v>
      </c>
      <c r="V4488">
        <v>-0.37146609999999902</v>
      </c>
      <c r="W4488">
        <v>4.3812370000000003E-2</v>
      </c>
      <c r="X4488">
        <v>0.92741219999999902</v>
      </c>
      <c r="Y4488">
        <v>-0.44976519999999998</v>
      </c>
      <c r="Z4488">
        <v>9.9393899999999993E-2</v>
      </c>
      <c r="AA4488">
        <v>0.88759909999999997</v>
      </c>
      <c r="AB4488">
        <v>27</v>
      </c>
      <c r="AC4488">
        <v>0.64999999999997704</v>
      </c>
      <c r="AD4488">
        <v>-0.10281999999999999</v>
      </c>
      <c r="AE4488">
        <v>-0.49650000000000399</v>
      </c>
      <c r="AF4488">
        <v>-0.461448342248098</v>
      </c>
      <c r="AG4488">
        <v>-0.10281999999999999</v>
      </c>
      <c r="AH4488">
        <v>0.65986710930443204</v>
      </c>
      <c r="AI4488">
        <v>97.276933786675997</v>
      </c>
      <c r="AJ4488">
        <v>124.96528470648499</v>
      </c>
      <c r="AK4488">
        <v>0.81174572798709899</v>
      </c>
    </row>
    <row r="4489" spans="1:37" x14ac:dyDescent="0.2">
      <c r="A4489" t="str">
        <f>"20200111154153849"</f>
        <v>20200111154153849</v>
      </c>
      <c r="B4489" t="str">
        <f>"1578728513839996"</f>
        <v>1578728513839996</v>
      </c>
      <c r="C4489" t="s">
        <v>37</v>
      </c>
      <c r="D4489">
        <v>5.2593719999999999</v>
      </c>
      <c r="E4489">
        <v>0.46170870000000003</v>
      </c>
      <c r="F4489" t="s">
        <v>38</v>
      </c>
      <c r="G4489">
        <v>-299.8227</v>
      </c>
      <c r="H4489">
        <v>1.0224580000000001</v>
      </c>
      <c r="I4489">
        <v>-46.898330000000001</v>
      </c>
      <c r="J4489">
        <v>-300.45460000000003</v>
      </c>
      <c r="K4489">
        <v>1.1184670000000001</v>
      </c>
      <c r="L4489">
        <v>-46.424349999999997</v>
      </c>
      <c r="M4489">
        <v>0.31380390000000002</v>
      </c>
      <c r="N4489">
        <v>0</v>
      </c>
      <c r="O4489">
        <v>-0.94938029999999995</v>
      </c>
      <c r="P4489">
        <v>0.64331090000000002</v>
      </c>
      <c r="Q4489">
        <v>4.147149E-2</v>
      </c>
      <c r="R4489">
        <v>-0.76448099999999997</v>
      </c>
      <c r="S4489">
        <v>2.1455690000000001</v>
      </c>
      <c r="T4489">
        <v>-0.28446339999999998</v>
      </c>
      <c r="U4489">
        <v>-2.1363219999999998</v>
      </c>
      <c r="V4489">
        <v>-0.37187529999999902</v>
      </c>
      <c r="W4489">
        <v>4.7547359999999997E-2</v>
      </c>
      <c r="X4489">
        <v>0.9270642</v>
      </c>
      <c r="Y4489">
        <v>-0.4480345</v>
      </c>
      <c r="Z4489">
        <v>9.5800270000000007E-2</v>
      </c>
      <c r="AA4489">
        <v>0.88886860000000001</v>
      </c>
      <c r="AB4489">
        <v>27</v>
      </c>
      <c r="AC4489">
        <v>0.63190000000002999</v>
      </c>
      <c r="AD4489">
        <v>-9.6008999999999997E-2</v>
      </c>
      <c r="AE4489">
        <v>-0.47398000000000401</v>
      </c>
      <c r="AF4489">
        <v>-0.444653798464898</v>
      </c>
      <c r="AG4489">
        <v>-9.6008999999999997E-2</v>
      </c>
      <c r="AH4489">
        <v>0.63890751712683003</v>
      </c>
      <c r="AI4489">
        <v>97.031356347144197</v>
      </c>
      <c r="AJ4489">
        <v>124.836356104884</v>
      </c>
      <c r="AK4489">
        <v>0.78430704702395304</v>
      </c>
    </row>
    <row r="4490" spans="1:37" x14ac:dyDescent="0.2">
      <c r="A4490" t="str">
        <f>"20200111154153875"</f>
        <v>20200111154153875</v>
      </c>
      <c r="B4490" t="str">
        <f>"1578728513870252"</f>
        <v>1578728513870252</v>
      </c>
      <c r="C4490" t="s">
        <v>37</v>
      </c>
      <c r="D4490">
        <v>5.2325489999999997</v>
      </c>
      <c r="E4490">
        <v>0.46236109999999903</v>
      </c>
      <c r="F4490" t="s">
        <v>38</v>
      </c>
      <c r="G4490">
        <v>-299.7439</v>
      </c>
      <c r="H4490">
        <v>1.029121</v>
      </c>
      <c r="I4490">
        <v>-47.117939999999997</v>
      </c>
      <c r="J4490">
        <v>-300.35039999999998</v>
      </c>
      <c r="K4490">
        <v>1.1186670000000001</v>
      </c>
      <c r="L4490">
        <v>-46.696440000000003</v>
      </c>
      <c r="M4490">
        <v>0.32568829999999999</v>
      </c>
      <c r="N4490">
        <v>0</v>
      </c>
      <c r="O4490">
        <v>-0.94536849999999994</v>
      </c>
      <c r="P4490">
        <v>0.65375850000000002</v>
      </c>
      <c r="Q4490">
        <v>4.488292E-2</v>
      </c>
      <c r="R4490">
        <v>-0.75537119999999902</v>
      </c>
      <c r="S4490">
        <v>2.1673279999999999</v>
      </c>
      <c r="T4490">
        <v>-0.27247859999999902</v>
      </c>
      <c r="U4490">
        <v>-2.1152039999999999</v>
      </c>
      <c r="V4490">
        <v>-0.37314340000000001</v>
      </c>
      <c r="W4490">
        <v>5.0799730000000001E-2</v>
      </c>
      <c r="X4490">
        <v>0.92638189999999998</v>
      </c>
      <c r="Y4490">
        <v>-0.44601679999999999</v>
      </c>
      <c r="Z4490">
        <v>9.1633439999999997E-2</v>
      </c>
      <c r="AA4490">
        <v>0.89032149999999999</v>
      </c>
      <c r="AB4490">
        <v>27</v>
      </c>
      <c r="AC4490">
        <v>0.60649999999998205</v>
      </c>
      <c r="AD4490">
        <v>-8.9546000000000098E-2</v>
      </c>
      <c r="AE4490">
        <v>-0.42150000000000098</v>
      </c>
      <c r="AF4490">
        <v>-0.42981525304332202</v>
      </c>
      <c r="AG4490">
        <v>-8.9546000000000098E-2</v>
      </c>
      <c r="AH4490">
        <v>0.58742928706702802</v>
      </c>
      <c r="AI4490">
        <v>97.013426790965298</v>
      </c>
      <c r="AJ4490">
        <v>126.192505054566</v>
      </c>
      <c r="AK4490">
        <v>0.733370851049298</v>
      </c>
    </row>
    <row r="4491" spans="1:37" x14ac:dyDescent="0.2">
      <c r="A4491" t="str">
        <f>"20200111154153898"</f>
        <v>20200111154153898</v>
      </c>
      <c r="B4491" t="str">
        <f>"1578728513890747"</f>
        <v>1578728513890747</v>
      </c>
      <c r="C4491" t="s">
        <v>37</v>
      </c>
      <c r="D4491">
        <v>5.3222930000000002</v>
      </c>
      <c r="E4491">
        <v>0.46258519999999997</v>
      </c>
      <c r="F4491" t="s">
        <v>38</v>
      </c>
      <c r="G4491">
        <v>-299.67180000000002</v>
      </c>
      <c r="H4491">
        <v>1.037795</v>
      </c>
      <c r="I4491">
        <v>-47.343069999999997</v>
      </c>
      <c r="J4491">
        <v>-300.24950000000001</v>
      </c>
      <c r="K4491">
        <v>1.1188480000000001</v>
      </c>
      <c r="L4491">
        <v>-46.949739999999998</v>
      </c>
      <c r="M4491">
        <v>0.33702739999999998</v>
      </c>
      <c r="N4491">
        <v>0</v>
      </c>
      <c r="O4491">
        <v>-0.94138500000000003</v>
      </c>
      <c r="P4491">
        <v>0.66425069999999997</v>
      </c>
      <c r="Q4491">
        <v>4.746972E-2</v>
      </c>
      <c r="R4491">
        <v>-0.74600119999999903</v>
      </c>
      <c r="S4491">
        <v>2.193085</v>
      </c>
      <c r="T4491">
        <v>-0.26129039999999998</v>
      </c>
      <c r="U4491">
        <v>-2.08898899999999</v>
      </c>
      <c r="V4491">
        <v>-0.37508249999999999</v>
      </c>
      <c r="W4491">
        <v>5.3224979999999998E-2</v>
      </c>
      <c r="X4491">
        <v>0.92546219999999901</v>
      </c>
      <c r="Y4491">
        <v>-0.4463317</v>
      </c>
      <c r="Z4491">
        <v>8.7780570000000002E-2</v>
      </c>
      <c r="AA4491">
        <v>0.89055189999999995</v>
      </c>
      <c r="AB4491">
        <v>27</v>
      </c>
      <c r="AC4491">
        <v>0.577699999999992</v>
      </c>
      <c r="AD4491">
        <v>-8.1053E-2</v>
      </c>
      <c r="AE4491">
        <v>-0.39332999999999801</v>
      </c>
      <c r="AF4491">
        <v>-0.40585886645820601</v>
      </c>
      <c r="AG4491">
        <v>-8.1053E-2</v>
      </c>
      <c r="AH4491">
        <v>0.55753528074172998</v>
      </c>
      <c r="AI4491">
        <v>96.703443049361994</v>
      </c>
      <c r="AJ4491">
        <v>126.052816815033</v>
      </c>
      <c r="AK4491">
        <v>0.69436056740248397</v>
      </c>
    </row>
    <row r="4492" spans="1:37" x14ac:dyDescent="0.2">
      <c r="A4492" t="str">
        <f>"20200111154153932"</f>
        <v>20200111154153932</v>
      </c>
      <c r="B4492" t="str">
        <f>"1578728513920536"</f>
        <v>1578728513920536</v>
      </c>
      <c r="C4492" t="s">
        <v>37</v>
      </c>
      <c r="D4492">
        <v>5.301736</v>
      </c>
      <c r="E4492">
        <v>0.37663099999999999</v>
      </c>
      <c r="F4492" t="s">
        <v>38</v>
      </c>
      <c r="G4492">
        <v>-299.5564</v>
      </c>
      <c r="H4492">
        <v>1.039663</v>
      </c>
      <c r="I4492">
        <v>-47.59243</v>
      </c>
      <c r="J4492">
        <v>-300.0958</v>
      </c>
      <c r="K4492">
        <v>1.119102</v>
      </c>
      <c r="L4492">
        <v>-47.318080000000002</v>
      </c>
      <c r="M4492">
        <v>0.3540122</v>
      </c>
      <c r="N4492">
        <v>0</v>
      </c>
      <c r="O4492">
        <v>-0.93512919999999999</v>
      </c>
      <c r="P4492">
        <v>0.68055980000000005</v>
      </c>
      <c r="Q4492">
        <v>4.9617109999999999E-2</v>
      </c>
      <c r="R4492">
        <v>-0.73101070000000001</v>
      </c>
      <c r="S4492">
        <v>2.2213129999999999</v>
      </c>
      <c r="T4492">
        <v>-0.25376140000000003</v>
      </c>
      <c r="U4492">
        <v>-2.0596919999999899</v>
      </c>
      <c r="V4492">
        <v>-0.37889109999999998</v>
      </c>
      <c r="W4492">
        <v>5.5112389999999997E-2</v>
      </c>
      <c r="X4492">
        <v>0.92379880000000003</v>
      </c>
      <c r="Y4492">
        <v>-0.44228279999999998</v>
      </c>
      <c r="Z4492">
        <v>8.4996509999999997E-2</v>
      </c>
      <c r="AA4492">
        <v>0.89283899999999905</v>
      </c>
      <c r="AB4492">
        <v>27</v>
      </c>
      <c r="AC4492">
        <v>0.53939999999999999</v>
      </c>
      <c r="AD4492">
        <v>-7.9438999999999996E-2</v>
      </c>
      <c r="AE4492">
        <v>-0.27434999999999798</v>
      </c>
      <c r="AF4492">
        <v>-0.40042795179576002</v>
      </c>
      <c r="AG4492">
        <v>-7.9438999999999996E-2</v>
      </c>
      <c r="AH4492">
        <v>0.43997217418622298</v>
      </c>
      <c r="AI4492">
        <v>97.605776010315793</v>
      </c>
      <c r="AJ4492">
        <v>132.305989095847</v>
      </c>
      <c r="AK4492">
        <v>0.60019048089627303</v>
      </c>
    </row>
    <row r="4493" spans="1:37" x14ac:dyDescent="0.2">
      <c r="A4493" t="str">
        <f>"20200111154153957"</f>
        <v>20200111154153957</v>
      </c>
      <c r="B4493" t="str">
        <f>"1578728513950793"</f>
        <v>1578728513950793</v>
      </c>
      <c r="C4493" t="s">
        <v>37</v>
      </c>
      <c r="D4493">
        <v>5.1928130000000001</v>
      </c>
      <c r="E4493">
        <v>0.37094149999999998</v>
      </c>
      <c r="F4493" t="s">
        <v>47</v>
      </c>
      <c r="G4493">
        <v>-285.99619999999999</v>
      </c>
      <c r="H4493" s="1">
        <v>-4.2380020000000004E-6</v>
      </c>
      <c r="I4493">
        <v>-55.171889999999998</v>
      </c>
      <c r="J4493">
        <v>-299.97359999999998</v>
      </c>
      <c r="K4493">
        <v>1.1192819999999899</v>
      </c>
      <c r="L4493">
        <v>-47.59769</v>
      </c>
      <c r="M4493">
        <v>0.36725999999999998</v>
      </c>
      <c r="N4493">
        <v>0</v>
      </c>
      <c r="O4493">
        <v>-0.93000519999999998</v>
      </c>
      <c r="P4493">
        <v>0.6918337</v>
      </c>
      <c r="Q4493">
        <v>5.0273440000000003E-2</v>
      </c>
      <c r="R4493">
        <v>-0.72030469999999902</v>
      </c>
      <c r="S4493">
        <v>2.768005</v>
      </c>
      <c r="T4493">
        <v>-0.21970000000000001</v>
      </c>
      <c r="U4493">
        <v>-1.5418399999999901</v>
      </c>
      <c r="V4493">
        <v>-0.38017519999999999</v>
      </c>
      <c r="W4493">
        <v>5.5617529999999998E-2</v>
      </c>
      <c r="X4493">
        <v>0.92324079999999997</v>
      </c>
      <c r="Y4493">
        <v>-0.63137379999999999</v>
      </c>
      <c r="Z4493">
        <v>7.3406540000000006E-2</v>
      </c>
      <c r="AA4493">
        <v>0.77199649999999997</v>
      </c>
      <c r="AB4493">
        <v>27</v>
      </c>
      <c r="AC4493">
        <v>13.9773999999999</v>
      </c>
      <c r="AD4493">
        <v>-1.1192862380019999</v>
      </c>
      <c r="AE4493">
        <v>-7.5742000000000003</v>
      </c>
      <c r="AF4493">
        <v>-10.168026693959099</v>
      </c>
      <c r="AG4493">
        <v>-1.1192862380019999</v>
      </c>
      <c r="AH4493">
        <v>12.1185953827624</v>
      </c>
      <c r="AI4493">
        <v>94.047197137440094</v>
      </c>
      <c r="AJ4493">
        <v>129.99810715041201</v>
      </c>
      <c r="AK4493">
        <v>15.858812142867301</v>
      </c>
    </row>
    <row r="4494" spans="1:37" x14ac:dyDescent="0.2">
      <c r="A4494" t="str">
        <f>"20200111154153980"</f>
        <v>20200111154153980</v>
      </c>
      <c r="B4494" t="str">
        <f>"1578728513971288"</f>
        <v>1578728513971288</v>
      </c>
      <c r="C4494" t="s">
        <v>37</v>
      </c>
      <c r="D4494">
        <v>5.1621750000000004</v>
      </c>
      <c r="E4494">
        <v>0.37254769999999998</v>
      </c>
      <c r="F4494" t="s">
        <v>47</v>
      </c>
      <c r="G4494">
        <v>-286.11579999999998</v>
      </c>
      <c r="H4494" s="1">
        <v>-4.2443959999999901E-6</v>
      </c>
      <c r="I4494">
        <v>-54.797669999999997</v>
      </c>
      <c r="J4494">
        <v>-299.86700000000002</v>
      </c>
      <c r="K4494">
        <v>1.119421</v>
      </c>
      <c r="L4494">
        <v>-47.832279999999997</v>
      </c>
      <c r="M4494">
        <v>0.37860670000000002</v>
      </c>
      <c r="N4494">
        <v>0</v>
      </c>
      <c r="O4494">
        <v>-0.92544319999999902</v>
      </c>
      <c r="P4494">
        <v>0.70073649999999998</v>
      </c>
      <c r="Q4494">
        <v>4.9528879999999997E-2</v>
      </c>
      <c r="R4494">
        <v>-0.71169879999999996</v>
      </c>
      <c r="S4494">
        <v>2.8248289999999998</v>
      </c>
      <c r="T4494">
        <v>-0.228161</v>
      </c>
      <c r="U4494">
        <v>-1.4676819999999999</v>
      </c>
      <c r="V4494">
        <v>-0.38034819999999903</v>
      </c>
      <c r="W4494">
        <v>5.4776249999999999E-2</v>
      </c>
      <c r="X4494">
        <v>0.92321980000000003</v>
      </c>
      <c r="Y4494">
        <v>-0.64405539999999994</v>
      </c>
      <c r="Z4494">
        <v>7.6083789999999998E-2</v>
      </c>
      <c r="AA4494">
        <v>0.76118589999999997</v>
      </c>
      <c r="AB4494">
        <v>27</v>
      </c>
      <c r="AC4494">
        <v>13.751200000000001</v>
      </c>
      <c r="AD4494">
        <v>-1.119425244396</v>
      </c>
      <c r="AE4494">
        <v>-6.9653899999999904</v>
      </c>
      <c r="AF4494">
        <v>-10.036947443756601</v>
      </c>
      <c r="AG4494">
        <v>-1.119425244396</v>
      </c>
      <c r="AH4494">
        <v>11.5924676818344</v>
      </c>
      <c r="AI4494">
        <v>94.175399130074297</v>
      </c>
      <c r="AJ4494">
        <v>130.88654769808599</v>
      </c>
      <c r="AK4494">
        <v>15.3746132901253</v>
      </c>
    </row>
    <row r="4495" spans="1:37" x14ac:dyDescent="0.2">
      <c r="A4495" t="str">
        <f>"20200111154154007"</f>
        <v>20200111154154007</v>
      </c>
      <c r="B4495" t="str">
        <f>"1578728514000913"</f>
        <v>1578728514000913</v>
      </c>
      <c r="C4495" t="s">
        <v>37</v>
      </c>
      <c r="D4495">
        <v>5.1691929999999999</v>
      </c>
      <c r="E4495">
        <v>0.37566329999999998</v>
      </c>
      <c r="F4495" t="s">
        <v>47</v>
      </c>
      <c r="G4495">
        <v>-286.40210000000002</v>
      </c>
      <c r="H4495" s="1">
        <v>-4.1212249999999997E-6</v>
      </c>
      <c r="I4495">
        <v>-54.680529999999997</v>
      </c>
      <c r="J4495">
        <v>-299.7353</v>
      </c>
      <c r="K4495">
        <v>1.119575</v>
      </c>
      <c r="L4495">
        <v>-48.111179999999997</v>
      </c>
      <c r="M4495">
        <v>0.39240029999999998</v>
      </c>
      <c r="N4495">
        <v>0</v>
      </c>
      <c r="O4495">
        <v>-0.91967860000000001</v>
      </c>
      <c r="P4495">
        <v>0.71154119999999998</v>
      </c>
      <c r="Q4495">
        <v>4.7832180000000002E-2</v>
      </c>
      <c r="R4495">
        <v>-0.70101449999999998</v>
      </c>
      <c r="S4495">
        <v>2.8339539999999999</v>
      </c>
      <c r="T4495">
        <v>-0.23560429999999899</v>
      </c>
      <c r="U4495">
        <v>-1.4413450000000001</v>
      </c>
      <c r="V4495">
        <v>-0.3806078</v>
      </c>
      <c r="W4495">
        <v>5.2964520000000001E-2</v>
      </c>
      <c r="X4495">
        <v>0.92321849999999905</v>
      </c>
      <c r="Y4495">
        <v>-0.63905419999999902</v>
      </c>
      <c r="Z4495">
        <v>7.8492510000000001E-2</v>
      </c>
      <c r="AA4495">
        <v>0.76514609999999905</v>
      </c>
      <c r="AB4495">
        <v>27</v>
      </c>
      <c r="AC4495">
        <v>13.3331999999999</v>
      </c>
      <c r="AD4495">
        <v>-1.1195791212249999</v>
      </c>
      <c r="AE4495">
        <v>-6.56935</v>
      </c>
      <c r="AF4495">
        <v>-9.6308358147750699</v>
      </c>
      <c r="AG4495">
        <v>-1.1195791212249999</v>
      </c>
      <c r="AH4495">
        <v>11.211237340473801</v>
      </c>
      <c r="AI4495">
        <v>94.3318948933439</v>
      </c>
      <c r="AJ4495">
        <v>130.66370465835399</v>
      </c>
      <c r="AK4495">
        <v>14.822223132994299</v>
      </c>
    </row>
    <row r="4496" spans="1:37" x14ac:dyDescent="0.2">
      <c r="A4496" t="str">
        <f>"20200111154154029"</f>
        <v>20200111154154029</v>
      </c>
      <c r="B4496" t="str">
        <f>"1578728514020433"</f>
        <v>1578728514020433</v>
      </c>
      <c r="C4496" t="s">
        <v>37</v>
      </c>
      <c r="D4496">
        <v>5.1512669999999998</v>
      </c>
      <c r="E4496">
        <v>0.37672240000000001</v>
      </c>
      <c r="F4496" t="s">
        <v>47</v>
      </c>
      <c r="G4496">
        <v>-287.15940000000001</v>
      </c>
      <c r="H4496" s="1">
        <v>-3.792901E-6</v>
      </c>
      <c r="I4496">
        <v>-54.383999999999901</v>
      </c>
      <c r="J4496">
        <v>-299.61750000000001</v>
      </c>
      <c r="K4496">
        <v>1.119707</v>
      </c>
      <c r="L4496">
        <v>-48.35107</v>
      </c>
      <c r="M4496">
        <v>0.40452379999999999</v>
      </c>
      <c r="N4496">
        <v>0</v>
      </c>
      <c r="O4496">
        <v>-0.9144101</v>
      </c>
      <c r="P4496">
        <v>0.72033169999999902</v>
      </c>
      <c r="Q4496">
        <v>4.5933189999999999E-2</v>
      </c>
      <c r="R4496">
        <v>-0.69210740000000004</v>
      </c>
      <c r="S4496">
        <v>2.8383790000000002</v>
      </c>
      <c r="T4496">
        <v>-0.25268829999999998</v>
      </c>
      <c r="U4496">
        <v>-1.4157709999999999</v>
      </c>
      <c r="V4496">
        <v>-0.37997880000000001</v>
      </c>
      <c r="W4496">
        <v>5.099737E-2</v>
      </c>
      <c r="X4496">
        <v>0.92358830000000003</v>
      </c>
      <c r="Y4496">
        <v>-0.63444160000000005</v>
      </c>
      <c r="Z4496">
        <v>8.4178890000000006E-2</v>
      </c>
      <c r="AA4496">
        <v>0.76837349999999904</v>
      </c>
      <c r="AB4496">
        <v>27</v>
      </c>
      <c r="AC4496">
        <v>12.4581</v>
      </c>
      <c r="AD4496">
        <v>-1.119710792901</v>
      </c>
      <c r="AE4496">
        <v>-6.0329299999999897</v>
      </c>
      <c r="AF4496">
        <v>-8.8941103411592799</v>
      </c>
      <c r="AG4496">
        <v>-1.119710792901</v>
      </c>
      <c r="AH4496">
        <v>10.4886698770185</v>
      </c>
      <c r="AI4496">
        <v>94.654851037472298</v>
      </c>
      <c r="AJ4496">
        <v>130.297049386933</v>
      </c>
      <c r="AK4496">
        <v>13.797505093658501</v>
      </c>
    </row>
    <row r="4497" spans="1:37" x14ac:dyDescent="0.2">
      <c r="A4497" t="str">
        <f>"20200111154154051"</f>
        <v>20200111154154051</v>
      </c>
      <c r="B4497" t="str">
        <f>"1578728514040930"</f>
        <v>1578728514040930</v>
      </c>
      <c r="C4497" t="s">
        <v>37</v>
      </c>
      <c r="D4497">
        <v>5.1467019999999897</v>
      </c>
      <c r="E4497">
        <v>0.37756390000000001</v>
      </c>
      <c r="F4497" t="s">
        <v>47</v>
      </c>
      <c r="G4497">
        <v>-287.44619999999998</v>
      </c>
      <c r="H4497" s="1">
        <v>-3.668786E-6</v>
      </c>
      <c r="I4497">
        <v>-54.270389999999999</v>
      </c>
      <c r="J4497">
        <v>-299.49970000000002</v>
      </c>
      <c r="K4497">
        <v>1.119821</v>
      </c>
      <c r="L4497">
        <v>-48.582819999999998</v>
      </c>
      <c r="M4497">
        <v>0.41642209999999902</v>
      </c>
      <c r="N4497">
        <v>0</v>
      </c>
      <c r="O4497">
        <v>-0.90905290000000005</v>
      </c>
      <c r="P4497">
        <v>0.72827909999999996</v>
      </c>
      <c r="Q4497">
        <v>4.5190719999999997E-2</v>
      </c>
      <c r="R4497">
        <v>-0.68378909999999904</v>
      </c>
      <c r="S4497">
        <v>2.8497919999999999</v>
      </c>
      <c r="T4497">
        <v>-0.26217009999999902</v>
      </c>
      <c r="U4497">
        <v>-1.385956</v>
      </c>
      <c r="V4497">
        <v>-0.37857299999999999</v>
      </c>
      <c r="W4497">
        <v>5.022302E-2</v>
      </c>
      <c r="X4497">
        <v>0.92420789999999997</v>
      </c>
      <c r="Y4497">
        <v>-0.63182640000000001</v>
      </c>
      <c r="Z4497">
        <v>8.7247779999999997E-2</v>
      </c>
      <c r="AA4497">
        <v>0.77018390000000003</v>
      </c>
      <c r="AB4497">
        <v>27</v>
      </c>
      <c r="AC4497">
        <v>12.0535</v>
      </c>
      <c r="AD4497">
        <v>-1.1198246687860001</v>
      </c>
      <c r="AE4497">
        <v>-5.68757</v>
      </c>
      <c r="AF4497">
        <v>-8.5295507891957296</v>
      </c>
      <c r="AG4497">
        <v>-1.1198246687860001</v>
      </c>
      <c r="AH4497">
        <v>10.119306968338501</v>
      </c>
      <c r="AI4497">
        <v>94.836485365374898</v>
      </c>
      <c r="AJ4497">
        <v>130.127495976538</v>
      </c>
      <c r="AK4497">
        <v>13.2818529382671</v>
      </c>
    </row>
    <row r="4498" spans="1:37" x14ac:dyDescent="0.2">
      <c r="A4498" t="str">
        <f>"20200111154154072"</f>
        <v>20200111154154072</v>
      </c>
      <c r="B4498" t="str">
        <f>"1578728514060451"</f>
        <v>1578728514060451</v>
      </c>
      <c r="C4498" t="s">
        <v>37</v>
      </c>
      <c r="D4498">
        <v>5.1306529999999997</v>
      </c>
      <c r="E4498">
        <v>0.37822539999999999</v>
      </c>
      <c r="F4498" t="s">
        <v>47</v>
      </c>
      <c r="G4498">
        <v>-287.55939999999998</v>
      </c>
      <c r="H4498" s="1">
        <v>-3.6155349999999999E-6</v>
      </c>
      <c r="I4498">
        <v>-54.249600000000001</v>
      </c>
      <c r="J4498">
        <v>-299.3895</v>
      </c>
      <c r="K4498">
        <v>1.1199159999999999</v>
      </c>
      <c r="L4498">
        <v>-48.792819999999999</v>
      </c>
      <c r="M4498">
        <v>0.42736400000000002</v>
      </c>
      <c r="N4498">
        <v>0</v>
      </c>
      <c r="O4498">
        <v>-0.90395979999999998</v>
      </c>
      <c r="P4498">
        <v>0.73519449999999997</v>
      </c>
      <c r="Q4498">
        <v>4.5201989999999997E-2</v>
      </c>
      <c r="R4498">
        <v>-0.67634799999999995</v>
      </c>
      <c r="S4498">
        <v>2.861084</v>
      </c>
      <c r="T4498">
        <v>-0.2683277</v>
      </c>
      <c r="U4498">
        <v>-1.3578490000000001</v>
      </c>
      <c r="V4498">
        <v>-0.37682749999999998</v>
      </c>
      <c r="W4498">
        <v>5.0226359999999998E-2</v>
      </c>
      <c r="X4498">
        <v>0.92492070000000004</v>
      </c>
      <c r="Y4498">
        <v>-0.62967229999999996</v>
      </c>
      <c r="Z4498">
        <v>8.9186489999999993E-2</v>
      </c>
      <c r="AA4498">
        <v>0.77172439999999998</v>
      </c>
      <c r="AB4498">
        <v>26</v>
      </c>
      <c r="AC4498">
        <v>11.8301</v>
      </c>
      <c r="AD4498">
        <v>-1.119919615535</v>
      </c>
      <c r="AE4498">
        <v>-5.4567800000000002</v>
      </c>
      <c r="AF4498">
        <v>-8.3014651178761092</v>
      </c>
      <c r="AG4498">
        <v>-1.119919615535</v>
      </c>
      <c r="AH4498">
        <v>9.9162736999295298</v>
      </c>
      <c r="AI4498">
        <v>94.949353287171206</v>
      </c>
      <c r="AJ4498">
        <v>129.93457772361199</v>
      </c>
      <c r="AK4498">
        <v>12.9807945496602</v>
      </c>
    </row>
    <row r="4499" spans="1:37" x14ac:dyDescent="0.2">
      <c r="A4499" t="str">
        <f>"20200111154154092"</f>
        <v>20200111154154092</v>
      </c>
      <c r="B4499" t="str">
        <f>"1578728514090705"</f>
        <v>1578728514090705</v>
      </c>
      <c r="C4499" t="s">
        <v>37</v>
      </c>
      <c r="D4499">
        <v>5.2691910000000002</v>
      </c>
      <c r="E4499">
        <v>0.3797142</v>
      </c>
      <c r="F4499" t="s">
        <v>47</v>
      </c>
      <c r="G4499">
        <v>-287.36399999999998</v>
      </c>
      <c r="H4499" s="1">
        <v>-3.6917249999999998E-6</v>
      </c>
      <c r="I4499">
        <v>-54.373809999999999</v>
      </c>
      <c r="J4499">
        <v>-299.27600000000001</v>
      </c>
      <c r="K4499">
        <v>1.120009</v>
      </c>
      <c r="L4499">
        <v>-49.002499999999998</v>
      </c>
      <c r="M4499">
        <v>0.4384345</v>
      </c>
      <c r="N4499">
        <v>0</v>
      </c>
      <c r="O4499">
        <v>-0.89864189999999999</v>
      </c>
      <c r="P4499">
        <v>0.74208660000000004</v>
      </c>
      <c r="Q4499">
        <v>4.505054E-2</v>
      </c>
      <c r="R4499">
        <v>-0.66878819999999894</v>
      </c>
      <c r="S4499">
        <v>2.871124</v>
      </c>
      <c r="T4499">
        <v>-0.26738609999999902</v>
      </c>
      <c r="U4499">
        <v>-1.332489</v>
      </c>
      <c r="V4499">
        <v>-0.37494809999999901</v>
      </c>
      <c r="W4499">
        <v>5.0078249999999998E-2</v>
      </c>
      <c r="X4499">
        <v>0.92569219999999897</v>
      </c>
      <c r="Y4499">
        <v>-0.62682119999999997</v>
      </c>
      <c r="Z4499">
        <v>8.8731009999999999E-2</v>
      </c>
      <c r="AA4499">
        <v>0.77409439999999996</v>
      </c>
      <c r="AB4499">
        <v>26</v>
      </c>
      <c r="AC4499">
        <v>11.9119999999999</v>
      </c>
      <c r="AD4499">
        <v>-1.120012691725</v>
      </c>
      <c r="AE4499">
        <v>-5.3713100000000003</v>
      </c>
      <c r="AF4499">
        <v>-8.2896628081347501</v>
      </c>
      <c r="AG4499">
        <v>-1.120012691725</v>
      </c>
      <c r="AH4499">
        <v>9.9773106711200299</v>
      </c>
      <c r="AI4499">
        <v>94.934834747667097</v>
      </c>
      <c r="AJ4499">
        <v>129.721545648991</v>
      </c>
      <c r="AK4499">
        <v>13.0199718175671</v>
      </c>
    </row>
    <row r="4500" spans="1:37" x14ac:dyDescent="0.2">
      <c r="A4500" t="str">
        <f>"20200111154154112"</f>
        <v>20200111154154112</v>
      </c>
      <c r="B4500" t="str">
        <f>"1578728514100466"</f>
        <v>1578728514100466</v>
      </c>
      <c r="C4500" t="s">
        <v>37</v>
      </c>
      <c r="D4500">
        <v>5.141807</v>
      </c>
      <c r="E4500">
        <v>0.3802277</v>
      </c>
      <c r="F4500" t="s">
        <v>47</v>
      </c>
      <c r="G4500">
        <v>-287.16239999999999</v>
      </c>
      <c r="H4500" s="1">
        <v>-3.765899E-6</v>
      </c>
      <c r="I4500">
        <v>-54.527329999999999</v>
      </c>
      <c r="J4500">
        <v>-299.1712</v>
      </c>
      <c r="K4500">
        <v>1.1200889999999999</v>
      </c>
      <c r="L4500">
        <v>-49.190640000000002</v>
      </c>
      <c r="M4500">
        <v>0.44848719999999997</v>
      </c>
      <c r="N4500">
        <v>0</v>
      </c>
      <c r="O4500">
        <v>-0.89366669999999904</v>
      </c>
      <c r="P4500">
        <v>0.74825229999999998</v>
      </c>
      <c r="Q4500">
        <v>4.5563899999999997E-2</v>
      </c>
      <c r="R4500">
        <v>-0.66184779999999999</v>
      </c>
      <c r="S4500">
        <v>2.8764949999999998</v>
      </c>
      <c r="T4500">
        <v>-0.2659572</v>
      </c>
      <c r="U4500">
        <v>-1.31192</v>
      </c>
      <c r="V4500">
        <v>-0.37317810000000001</v>
      </c>
      <c r="W4500">
        <v>5.0602590000000003E-2</v>
      </c>
      <c r="X4500">
        <v>0.9263787</v>
      </c>
      <c r="Y4500">
        <v>-0.62326340000000002</v>
      </c>
      <c r="Z4500">
        <v>8.8147939999999994E-2</v>
      </c>
      <c r="AA4500">
        <v>0.7770281</v>
      </c>
      <c r="AB4500">
        <v>26</v>
      </c>
      <c r="AC4500">
        <v>12.008800000000001</v>
      </c>
      <c r="AD4500">
        <v>-1.1200927658990001</v>
      </c>
      <c r="AE4500">
        <v>-5.3366899999999999</v>
      </c>
      <c r="AF4500">
        <v>-8.2791924581518597</v>
      </c>
      <c r="AG4500">
        <v>-1.1200927658990001</v>
      </c>
      <c r="AH4500">
        <v>10.0828753834006</v>
      </c>
      <c r="AI4500">
        <v>94.907057938943794</v>
      </c>
      <c r="AJ4500">
        <v>129.38990487280901</v>
      </c>
      <c r="AK4500">
        <v>13.094426736612901</v>
      </c>
    </row>
    <row r="4501" spans="1:37" x14ac:dyDescent="0.2">
      <c r="A4501" t="str">
        <f>"20200111154154139"</f>
        <v>20200111154154139</v>
      </c>
      <c r="B4501" t="str">
        <f>"1578728514130722"</f>
        <v>1578728514130722</v>
      </c>
      <c r="C4501" t="s">
        <v>37</v>
      </c>
      <c r="D4501">
        <v>5.1613959999999999</v>
      </c>
      <c r="E4501">
        <v>0.38125749999999903</v>
      </c>
      <c r="F4501" t="s">
        <v>47</v>
      </c>
      <c r="G4501">
        <v>-286.98430000000002</v>
      </c>
      <c r="H4501" s="1">
        <v>-3.8368280000000002E-6</v>
      </c>
      <c r="I4501">
        <v>-54.632210000000001</v>
      </c>
      <c r="J4501">
        <v>-299.01130000000001</v>
      </c>
      <c r="K4501">
        <v>1.120201</v>
      </c>
      <c r="L4501">
        <v>-49.468170000000001</v>
      </c>
      <c r="M4501">
        <v>0.46349979999999902</v>
      </c>
      <c r="N4501">
        <v>0</v>
      </c>
      <c r="O4501">
        <v>-0.88597289999999995</v>
      </c>
      <c r="P4501">
        <v>0.75777569999999905</v>
      </c>
      <c r="Q4501">
        <v>4.6564109999999999E-2</v>
      </c>
      <c r="R4501">
        <v>-0.65085199999999999</v>
      </c>
      <c r="S4501">
        <v>2.885742</v>
      </c>
      <c r="T4501">
        <v>-0.26522800000000002</v>
      </c>
      <c r="U4501">
        <v>-1.288513</v>
      </c>
      <c r="V4501">
        <v>-0.37105749999999998</v>
      </c>
      <c r="W4501">
        <v>5.1613099999999898E-2</v>
      </c>
      <c r="X4501">
        <v>0.92717439999999995</v>
      </c>
      <c r="Y4501">
        <v>-0.61629969999999901</v>
      </c>
      <c r="Z4501">
        <v>8.7545890000000001E-2</v>
      </c>
      <c r="AA4501">
        <v>0.78263039999999995</v>
      </c>
      <c r="AB4501">
        <v>26</v>
      </c>
      <c r="AC4501">
        <v>12.0269999999999</v>
      </c>
      <c r="AD4501">
        <v>-1.120204836828</v>
      </c>
      <c r="AE4501">
        <v>-5.16404</v>
      </c>
      <c r="AF4501">
        <v>-8.2028886854435203</v>
      </c>
      <c r="AG4501">
        <v>-1.120204836828</v>
      </c>
      <c r="AH4501">
        <v>10.0770157070413</v>
      </c>
      <c r="AI4501">
        <v>94.927402978027004</v>
      </c>
      <c r="AJ4501">
        <v>129.14626609458799</v>
      </c>
      <c r="AK4501">
        <v>13.041797699020901</v>
      </c>
    </row>
    <row r="4502" spans="1:37" x14ac:dyDescent="0.2">
      <c r="A4502" t="str">
        <f>"20200111154154158"</f>
        <v>20200111154154158</v>
      </c>
      <c r="B4502" t="str">
        <f>"1578728514150241"</f>
        <v>1578728514150241</v>
      </c>
      <c r="C4502" t="s">
        <v>37</v>
      </c>
      <c r="D4502">
        <v>5.1630529999999997</v>
      </c>
      <c r="E4502">
        <v>0.38164959999999998</v>
      </c>
      <c r="F4502" t="s">
        <v>38</v>
      </c>
      <c r="G4502">
        <v>-298.137</v>
      </c>
      <c r="H4502">
        <v>1.0404679999999999</v>
      </c>
      <c r="I4502">
        <v>-49.845999999999997</v>
      </c>
      <c r="J4502">
        <v>-298.8963</v>
      </c>
      <c r="K4502">
        <v>1.1202749999999999</v>
      </c>
      <c r="L4502">
        <v>-49.66086</v>
      </c>
      <c r="M4502">
        <v>0.47404829999999998</v>
      </c>
      <c r="N4502">
        <v>0</v>
      </c>
      <c r="O4502">
        <v>-0.88037319999999997</v>
      </c>
      <c r="P4502">
        <v>0.76401929999999996</v>
      </c>
      <c r="Q4502">
        <v>4.777642E-2</v>
      </c>
      <c r="R4502">
        <v>-0.6434223</v>
      </c>
      <c r="S4502">
        <v>2.8992309999999999</v>
      </c>
      <c r="T4502">
        <v>-0.26439200000000002</v>
      </c>
      <c r="U4502">
        <v>-1.2527159999999999</v>
      </c>
      <c r="V4502">
        <v>-0.3690059</v>
      </c>
      <c r="W4502">
        <v>5.2856899999999998E-2</v>
      </c>
      <c r="X4502">
        <v>0.92792280000000005</v>
      </c>
      <c r="Y4502">
        <v>-0.61640740000000005</v>
      </c>
      <c r="Z4502">
        <v>8.7169510000000006E-2</v>
      </c>
      <c r="AA4502">
        <v>0.7825877</v>
      </c>
      <c r="AB4502">
        <v>26</v>
      </c>
      <c r="AC4502">
        <v>0.75929999999999598</v>
      </c>
      <c r="AD4502">
        <v>-7.9806999999999906E-2</v>
      </c>
      <c r="AE4502">
        <v>-0.185140000000004</v>
      </c>
      <c r="AF4502">
        <v>-0.57477296348361195</v>
      </c>
      <c r="AG4502">
        <v>-7.9806999999999906E-2</v>
      </c>
      <c r="AH4502">
        <v>0.51759785667075997</v>
      </c>
      <c r="AI4502">
        <v>95.8908825999182</v>
      </c>
      <c r="AJ4502">
        <v>137.996149025503</v>
      </c>
      <c r="AK4502">
        <v>0.77758643122864401</v>
      </c>
    </row>
    <row r="4503" spans="1:37" x14ac:dyDescent="0.2">
      <c r="A4503" t="str">
        <f>"20200111154154179"</f>
        <v>20200111154154179</v>
      </c>
      <c r="B4503" t="str">
        <f>"1578728514170739"</f>
        <v>1578728514170739</v>
      </c>
      <c r="C4503" t="s">
        <v>37</v>
      </c>
      <c r="D4503">
        <v>5.1670309999999997</v>
      </c>
      <c r="E4503">
        <v>0.38193149999999998</v>
      </c>
      <c r="F4503" t="s">
        <v>38</v>
      </c>
      <c r="G4503">
        <v>-298.01420000000002</v>
      </c>
      <c r="H4503">
        <v>1.040459</v>
      </c>
      <c r="I4503">
        <v>-50.033079999999998</v>
      </c>
      <c r="J4503">
        <v>-298.7704</v>
      </c>
      <c r="K4503">
        <v>1.1203299999999901</v>
      </c>
      <c r="L4503">
        <v>-49.865749999999998</v>
      </c>
      <c r="M4503">
        <v>0.48535590000000001</v>
      </c>
      <c r="N4503">
        <v>0</v>
      </c>
      <c r="O4503">
        <v>-0.87418960000000001</v>
      </c>
      <c r="P4503">
        <v>0.77098699999999998</v>
      </c>
      <c r="Q4503">
        <v>4.9019840000000002E-2</v>
      </c>
      <c r="R4503">
        <v>-0.63496160000000001</v>
      </c>
      <c r="S4503">
        <v>2.9093930000000001</v>
      </c>
      <c r="T4503">
        <v>-0.2632118</v>
      </c>
      <c r="U4503">
        <v>-1.227417</v>
      </c>
      <c r="V4503">
        <v>-0.36724129999999999</v>
      </c>
      <c r="W4503">
        <v>5.4129669999999998E-2</v>
      </c>
      <c r="X4503">
        <v>0.92854930000000002</v>
      </c>
      <c r="Y4503">
        <v>-0.61308059999999998</v>
      </c>
      <c r="Z4503">
        <v>8.6515649999999999E-2</v>
      </c>
      <c r="AA4503">
        <v>0.78526890000000005</v>
      </c>
      <c r="AB4503">
        <v>26</v>
      </c>
      <c r="AC4503">
        <v>0.756199999999978</v>
      </c>
      <c r="AD4503">
        <v>-7.9870999999999803E-2</v>
      </c>
      <c r="AE4503">
        <v>-0.16732999999999901</v>
      </c>
      <c r="AF4503">
        <v>-0.57380944175898296</v>
      </c>
      <c r="AG4503">
        <v>-7.9870999999999803E-2</v>
      </c>
      <c r="AH4503">
        <v>0.50795908212392205</v>
      </c>
      <c r="AI4503">
        <v>95.950097615559102</v>
      </c>
      <c r="AJ4503">
        <v>138.48346037921499</v>
      </c>
      <c r="AK4503">
        <v>0.77049275220791902</v>
      </c>
    </row>
    <row r="4504" spans="1:37" x14ac:dyDescent="0.2">
      <c r="A4504" t="str">
        <f>"20200111154154200"</f>
        <v>20200111154154200</v>
      </c>
      <c r="B4504" t="str">
        <f>"1578728514190257"</f>
        <v>1578728514190257</v>
      </c>
      <c r="C4504" t="s">
        <v>37</v>
      </c>
      <c r="D4504">
        <v>5.1617069999999998</v>
      </c>
      <c r="E4504">
        <v>0.38212550000000001</v>
      </c>
      <c r="F4504" t="s">
        <v>38</v>
      </c>
      <c r="G4504">
        <v>-297.8956</v>
      </c>
      <c r="H4504">
        <v>1.042394</v>
      </c>
      <c r="I4504">
        <v>-50.224059999999902</v>
      </c>
      <c r="J4504">
        <v>-298.640999999999</v>
      </c>
      <c r="K4504">
        <v>1.1203749999999999</v>
      </c>
      <c r="L4504">
        <v>-50.07056</v>
      </c>
      <c r="M4504">
        <v>0.49673469999999997</v>
      </c>
      <c r="N4504">
        <v>0</v>
      </c>
      <c r="O4504">
        <v>-0.86777409999999999</v>
      </c>
      <c r="P4504">
        <v>0.77777379999999996</v>
      </c>
      <c r="Q4504">
        <v>4.8987589999999998E-2</v>
      </c>
      <c r="R4504">
        <v>-0.62663219999999997</v>
      </c>
      <c r="S4504">
        <v>2.92169199999999</v>
      </c>
      <c r="T4504">
        <v>-0.26034299999999999</v>
      </c>
      <c r="U4504">
        <v>-1.1972049999999901</v>
      </c>
      <c r="V4504">
        <v>-0.3651027</v>
      </c>
      <c r="W4504">
        <v>5.4148229999999999E-2</v>
      </c>
      <c r="X4504">
        <v>0.92939119999999997</v>
      </c>
      <c r="Y4504">
        <v>-0.61099049999999999</v>
      </c>
      <c r="Z4504">
        <v>8.5318889999999994E-2</v>
      </c>
      <c r="AA4504">
        <v>0.78702689999999997</v>
      </c>
      <c r="AB4504">
        <v>26</v>
      </c>
      <c r="AC4504">
        <v>0.74539999999996098</v>
      </c>
      <c r="AD4504">
        <v>-7.79809999999998E-2</v>
      </c>
      <c r="AE4504">
        <v>-0.153499999999993</v>
      </c>
      <c r="AF4504">
        <v>-0.56472437136394904</v>
      </c>
      <c r="AG4504">
        <v>-7.79809999999998E-2</v>
      </c>
      <c r="AH4504">
        <v>0.49829370395746397</v>
      </c>
      <c r="AI4504">
        <v>95.911457211837103</v>
      </c>
      <c r="AJ4504">
        <v>138.57590688335799</v>
      </c>
      <c r="AK4504">
        <v>0.75716000117350102</v>
      </c>
    </row>
    <row r="4505" spans="1:37" x14ac:dyDescent="0.2">
      <c r="A4505" t="str">
        <f>"20200111154154223"</f>
        <v>20200111154154223</v>
      </c>
      <c r="B4505" t="str">
        <f>"1578728514210753"</f>
        <v>1578728514210753</v>
      </c>
      <c r="C4505" t="s">
        <v>37</v>
      </c>
      <c r="D4505">
        <v>5.1434730000000002</v>
      </c>
      <c r="E4505">
        <v>0.38227529999999998</v>
      </c>
      <c r="F4505" t="s">
        <v>38</v>
      </c>
      <c r="G4505">
        <v>-297.77629999999999</v>
      </c>
      <c r="H4505">
        <v>1.043396</v>
      </c>
      <c r="I4505">
        <v>-50.414650000000002</v>
      </c>
      <c r="J4505">
        <v>-298.5018</v>
      </c>
      <c r="K4505">
        <v>1.1203969999999901</v>
      </c>
      <c r="L4505">
        <v>-50.284179999999999</v>
      </c>
      <c r="M4505">
        <v>0.50866529999999999</v>
      </c>
      <c r="N4505">
        <v>0</v>
      </c>
      <c r="O4505">
        <v>-0.86083460000000001</v>
      </c>
      <c r="P4505">
        <v>0.78491009999999894</v>
      </c>
      <c r="Q4505">
        <v>4.8969970000000002E-2</v>
      </c>
      <c r="R4505">
        <v>-0.61767179999999999</v>
      </c>
      <c r="S4505">
        <v>2.9335330000000002</v>
      </c>
      <c r="T4505">
        <v>-0.26112629999999998</v>
      </c>
      <c r="U4505">
        <v>-1.166809</v>
      </c>
      <c r="V4505">
        <v>-0.362934599999999</v>
      </c>
      <c r="W4505">
        <v>5.4193940000000003E-2</v>
      </c>
      <c r="X4505">
        <v>0.93023739999999999</v>
      </c>
      <c r="Y4505">
        <v>-0.60821000000000003</v>
      </c>
      <c r="Z4505">
        <v>8.5268570000000002E-2</v>
      </c>
      <c r="AA4505">
        <v>0.78918299999999997</v>
      </c>
      <c r="AB4505">
        <v>26</v>
      </c>
      <c r="AC4505">
        <v>0.72550000000001003</v>
      </c>
      <c r="AD4505">
        <v>-7.7000999999999806E-2</v>
      </c>
      <c r="AE4505">
        <v>-0.130470000000002</v>
      </c>
      <c r="AF4505">
        <v>-0.55220675037586398</v>
      </c>
      <c r="AG4505">
        <v>-7.7000999999999806E-2</v>
      </c>
      <c r="AH4505">
        <v>0.47620728099821202</v>
      </c>
      <c r="AI4505">
        <v>96.028049346730398</v>
      </c>
      <c r="AJ4505">
        <v>139.226457239886</v>
      </c>
      <c r="AK4505">
        <v>0.73323585812300596</v>
      </c>
    </row>
    <row r="4506" spans="1:37" x14ac:dyDescent="0.2">
      <c r="A4506" t="str">
        <f>"20200111154154244"</f>
        <v>20200111154154244</v>
      </c>
      <c r="B4506" t="str">
        <f>"1578728514241010"</f>
        <v>1578728514241010</v>
      </c>
      <c r="C4506" t="s">
        <v>37</v>
      </c>
      <c r="D4506">
        <v>5.154598</v>
      </c>
      <c r="E4506">
        <v>0.38263170000000002</v>
      </c>
      <c r="F4506" t="s">
        <v>38</v>
      </c>
      <c r="G4506">
        <v>-297.65960000000001</v>
      </c>
      <c r="H4506">
        <v>1.0458099999999999</v>
      </c>
      <c r="I4506">
        <v>-50.608229999999999</v>
      </c>
      <c r="J4506">
        <v>-298.36270000000002</v>
      </c>
      <c r="K4506">
        <v>1.1203939999999999</v>
      </c>
      <c r="L4506">
        <v>-50.49091</v>
      </c>
      <c r="M4506">
        <v>0.52026890000000003</v>
      </c>
      <c r="N4506">
        <v>0</v>
      </c>
      <c r="O4506">
        <v>-0.8538713</v>
      </c>
      <c r="P4506">
        <v>0.79154969999999902</v>
      </c>
      <c r="Q4506">
        <v>4.8056269999999998E-2</v>
      </c>
      <c r="R4506">
        <v>-0.60921250000000005</v>
      </c>
      <c r="S4506">
        <v>2.9461979999999999</v>
      </c>
      <c r="T4506">
        <v>-0.26094620000000002</v>
      </c>
      <c r="U4506">
        <v>-1.133759</v>
      </c>
      <c r="V4506">
        <v>-0.36035309999999998</v>
      </c>
      <c r="W4506">
        <v>5.3366879999999998E-2</v>
      </c>
      <c r="X4506">
        <v>0.93128820000000001</v>
      </c>
      <c r="Y4506">
        <v>-0.60635909999999904</v>
      </c>
      <c r="Z4506">
        <v>8.4913790000000003E-2</v>
      </c>
      <c r="AA4506">
        <v>0.79064419999999902</v>
      </c>
      <c r="AB4506">
        <v>26</v>
      </c>
      <c r="AC4506">
        <v>0.70310000000000605</v>
      </c>
      <c r="AD4506">
        <v>-7.45839999999999E-2</v>
      </c>
      <c r="AE4506">
        <v>-0.11731999999999899</v>
      </c>
      <c r="AF4506">
        <v>-0.533538277930376</v>
      </c>
      <c r="AG4506">
        <v>-7.45839999999999E-2</v>
      </c>
      <c r="AH4506">
        <v>0.46098267135116799</v>
      </c>
      <c r="AI4506">
        <v>96.038161251586104</v>
      </c>
      <c r="AJ4506">
        <v>139.17264019379201</v>
      </c>
      <c r="AK4506">
        <v>0.70903518273705601</v>
      </c>
    </row>
    <row r="4507" spans="1:37" x14ac:dyDescent="0.2">
      <c r="A4507" t="str">
        <f>"20200111154154268"</f>
        <v>20200111154154268</v>
      </c>
      <c r="B4507" t="str">
        <f>"1578728514260529"</f>
        <v>1578728514260529</v>
      </c>
      <c r="C4507" t="s">
        <v>37</v>
      </c>
      <c r="D4507">
        <v>5.1606040000000002</v>
      </c>
      <c r="E4507">
        <v>0.38290390000000002</v>
      </c>
      <c r="F4507" t="s">
        <v>47</v>
      </c>
      <c r="G4507">
        <v>-285.80619999999999</v>
      </c>
      <c r="H4507" s="1">
        <v>-4.3322989999999998E-6</v>
      </c>
      <c r="I4507">
        <v>-55.179279999999999</v>
      </c>
      <c r="J4507">
        <v>-298.21089999999998</v>
      </c>
      <c r="K4507">
        <v>1.120385</v>
      </c>
      <c r="L4507">
        <v>-50.70966</v>
      </c>
      <c r="M4507">
        <v>0.53258969999999894</v>
      </c>
      <c r="N4507">
        <v>0</v>
      </c>
      <c r="O4507">
        <v>-0.84624100000000002</v>
      </c>
      <c r="P4507">
        <v>0.79866079999999995</v>
      </c>
      <c r="Q4507">
        <v>4.749018E-2</v>
      </c>
      <c r="R4507">
        <v>-0.59990469999999996</v>
      </c>
      <c r="S4507">
        <v>2.9564509999999999</v>
      </c>
      <c r="T4507">
        <v>-0.2637988</v>
      </c>
      <c r="U4507">
        <v>-1.103882</v>
      </c>
      <c r="V4507">
        <v>-0.35776950000000002</v>
      </c>
      <c r="W4507">
        <v>5.2895949999999997E-2</v>
      </c>
      <c r="X4507">
        <v>0.93231059999999999</v>
      </c>
      <c r="Y4507">
        <v>-0.60269980000000001</v>
      </c>
      <c r="Z4507">
        <v>8.5464310000000002E-2</v>
      </c>
      <c r="AA4507">
        <v>0.79337809999999998</v>
      </c>
      <c r="AB4507">
        <v>26</v>
      </c>
      <c r="AC4507">
        <v>12.404699999999901</v>
      </c>
      <c r="AD4507">
        <v>-1.120389332299</v>
      </c>
      <c r="AE4507">
        <v>-4.4696199999999999</v>
      </c>
      <c r="AF4507">
        <v>-8.0596104419192898</v>
      </c>
      <c r="AG4507">
        <v>-1.120389332299</v>
      </c>
      <c r="AH4507">
        <v>10.3156750054033</v>
      </c>
      <c r="AI4507">
        <v>94.891776025369893</v>
      </c>
      <c r="AJ4507">
        <v>128.00042019402801</v>
      </c>
      <c r="AK4507">
        <v>13.1387116395987</v>
      </c>
    </row>
    <row r="4508" spans="1:37" x14ac:dyDescent="0.2">
      <c r="A4508" t="str">
        <f>"20200111154154289"</f>
        <v>20200111154154289</v>
      </c>
      <c r="B4508" t="str">
        <f>"1578728514281026"</f>
        <v>1578728514281026</v>
      </c>
      <c r="C4508" t="s">
        <v>37</v>
      </c>
      <c r="D4508">
        <v>5.1539250000000001</v>
      </c>
      <c r="E4508">
        <v>0.38317119999999999</v>
      </c>
      <c r="F4508" t="s">
        <v>47</v>
      </c>
      <c r="G4508">
        <v>-285.7022</v>
      </c>
      <c r="H4508" s="1">
        <v>-4.3768420000000001E-6</v>
      </c>
      <c r="I4508">
        <v>-55.223100000000002</v>
      </c>
      <c r="J4508">
        <v>-298.0675</v>
      </c>
      <c r="K4508">
        <v>1.1203650000000001</v>
      </c>
      <c r="L4508">
        <v>-50.91046</v>
      </c>
      <c r="M4508">
        <v>0.5439174</v>
      </c>
      <c r="N4508">
        <v>0</v>
      </c>
      <c r="O4508">
        <v>-0.83900469999999905</v>
      </c>
      <c r="P4508">
        <v>0.80527959999999998</v>
      </c>
      <c r="Q4508">
        <v>4.6633939999999999E-2</v>
      </c>
      <c r="R4508">
        <v>-0.5910588</v>
      </c>
      <c r="S4508">
        <v>2.967743</v>
      </c>
      <c r="T4508">
        <v>-0.26581630000000001</v>
      </c>
      <c r="U4508">
        <v>-1.0708309999999901</v>
      </c>
      <c r="V4508">
        <v>-0.35553820000000003</v>
      </c>
      <c r="W4508">
        <v>5.212787E-2</v>
      </c>
      <c r="X4508">
        <v>0.93320700000000001</v>
      </c>
      <c r="Y4508">
        <v>-0.60073299999999996</v>
      </c>
      <c r="Z4508">
        <v>8.5787139999999998E-2</v>
      </c>
      <c r="AA4508">
        <v>0.79483369999999998</v>
      </c>
      <c r="AB4508">
        <v>26</v>
      </c>
      <c r="AC4508">
        <v>12.3652999999999</v>
      </c>
      <c r="AD4508">
        <v>-1.120369376842</v>
      </c>
      <c r="AE4508">
        <v>-4.31264</v>
      </c>
      <c r="AF4508">
        <v>-7.9713845612155296</v>
      </c>
      <c r="AG4508">
        <v>-1.120369376842</v>
      </c>
      <c r="AH4508">
        <v>10.2700231720617</v>
      </c>
      <c r="AI4508">
        <v>94.925471724710803</v>
      </c>
      <c r="AJ4508">
        <v>127.81789226875</v>
      </c>
      <c r="AK4508">
        <v>13.0488150924915</v>
      </c>
    </row>
    <row r="4509" spans="1:37" x14ac:dyDescent="0.2">
      <c r="A4509" t="str">
        <f>"20200111154154312"</f>
        <v>20200111154154312</v>
      </c>
      <c r="B4509" t="str">
        <f>"1578728514300545"</f>
        <v>1578728514300545</v>
      </c>
      <c r="C4509" t="s">
        <v>37</v>
      </c>
      <c r="D4509">
        <v>5.1902970000000002</v>
      </c>
      <c r="E4509">
        <v>0.38347690000000001</v>
      </c>
      <c r="F4509" t="s">
        <v>47</v>
      </c>
      <c r="G4509">
        <v>-285.63839999999999</v>
      </c>
      <c r="H4509" s="1">
        <v>-4.4041069999999999E-6</v>
      </c>
      <c r="I4509">
        <v>-55.250250000000001</v>
      </c>
      <c r="J4509">
        <v>-297.91640000000001</v>
      </c>
      <c r="K4509">
        <v>1.120336</v>
      </c>
      <c r="L4509">
        <v>-51.115969999999997</v>
      </c>
      <c r="M4509">
        <v>0.55552419999999902</v>
      </c>
      <c r="N4509">
        <v>0</v>
      </c>
      <c r="O4509">
        <v>-0.83136509999999997</v>
      </c>
      <c r="P4509">
        <v>0.81233630000000001</v>
      </c>
      <c r="Q4509">
        <v>4.5302790000000003E-2</v>
      </c>
      <c r="R4509">
        <v>-0.58142740000000004</v>
      </c>
      <c r="S4509">
        <v>2.9777830000000001</v>
      </c>
      <c r="T4509">
        <v>-0.268420099999999</v>
      </c>
      <c r="U4509">
        <v>-1.0397339999999999</v>
      </c>
      <c r="V4509">
        <v>-0.35370970000000002</v>
      </c>
      <c r="W4509">
        <v>5.0875450000000003E-2</v>
      </c>
      <c r="X4509">
        <v>0.93397059999999998</v>
      </c>
      <c r="Y4509">
        <v>-0.59781899999999999</v>
      </c>
      <c r="Z4509">
        <v>8.6236670000000001E-2</v>
      </c>
      <c r="AA4509">
        <v>0.79697910000000005</v>
      </c>
      <c r="AB4509">
        <v>26</v>
      </c>
      <c r="AC4509">
        <v>12.278</v>
      </c>
      <c r="AD4509">
        <v>-1.120340404107</v>
      </c>
      <c r="AE4509">
        <v>-4.1342799999999897</v>
      </c>
      <c r="AF4509">
        <v>-7.8529714079271002</v>
      </c>
      <c r="AG4509">
        <v>-1.120340404107</v>
      </c>
      <c r="AH4509">
        <v>10.1828262805913</v>
      </c>
      <c r="AI4509">
        <v>94.979243019255605</v>
      </c>
      <c r="AJ4509">
        <v>127.6393240341</v>
      </c>
      <c r="AK4509">
        <v>12.907915153714599</v>
      </c>
    </row>
    <row r="4510" spans="1:37" x14ac:dyDescent="0.2">
      <c r="A4510" t="str">
        <f>"20200111154154333"</f>
        <v>20200111154154333</v>
      </c>
      <c r="B4510" t="str">
        <f>"1578728514330801"</f>
        <v>1578728514330801</v>
      </c>
      <c r="C4510" t="s">
        <v>37</v>
      </c>
      <c r="D4510">
        <v>5.1588279999999997</v>
      </c>
      <c r="E4510">
        <v>0.38394709999999899</v>
      </c>
      <c r="F4510" t="s">
        <v>47</v>
      </c>
      <c r="G4510">
        <v>-285.64780000000002</v>
      </c>
      <c r="H4510" s="1">
        <v>-4.4001539999999998E-6</v>
      </c>
      <c r="I4510">
        <v>-55.245829999999998</v>
      </c>
      <c r="J4510">
        <v>-297.7638</v>
      </c>
      <c r="K4510">
        <v>1.120306</v>
      </c>
      <c r="L4510">
        <v>-51.317630000000001</v>
      </c>
      <c r="M4510">
        <v>0.56692730000000002</v>
      </c>
      <c r="N4510">
        <v>0</v>
      </c>
      <c r="O4510">
        <v>-0.823631</v>
      </c>
      <c r="P4510">
        <v>0.819169699999999</v>
      </c>
      <c r="Q4510">
        <v>4.35083E-2</v>
      </c>
      <c r="R4510">
        <v>-0.57189899999999905</v>
      </c>
      <c r="S4510">
        <v>2.9882810000000002</v>
      </c>
      <c r="T4510">
        <v>-0.2728833</v>
      </c>
      <c r="U4510">
        <v>-1.0059199999999999</v>
      </c>
      <c r="V4510">
        <v>-0.35178320000000002</v>
      </c>
      <c r="W4510">
        <v>4.9162409999999997E-2</v>
      </c>
      <c r="X4510">
        <v>0.93478969999999995</v>
      </c>
      <c r="Y4510">
        <v>-0.59562579999999998</v>
      </c>
      <c r="Z4510">
        <v>8.7279629999999997E-2</v>
      </c>
      <c r="AA4510">
        <v>0.7985061</v>
      </c>
      <c r="AB4510">
        <v>26</v>
      </c>
      <c r="AC4510">
        <v>12.1159999999999</v>
      </c>
      <c r="AD4510">
        <v>-1.1203104001540001</v>
      </c>
      <c r="AE4510">
        <v>-3.9281999999999999</v>
      </c>
      <c r="AF4510">
        <v>-7.6934619675291298</v>
      </c>
      <c r="AG4510">
        <v>-1.1203104001540001</v>
      </c>
      <c r="AH4510">
        <v>10.0278360736616</v>
      </c>
      <c r="AI4510">
        <v>95.065371619458006</v>
      </c>
      <c r="AJ4510">
        <v>127.495801934357</v>
      </c>
      <c r="AK4510">
        <v>12.6886543320692</v>
      </c>
    </row>
    <row r="4511" spans="1:37" x14ac:dyDescent="0.2">
      <c r="A4511" t="str">
        <f>"20200111154154356"</f>
        <v>20200111154154356</v>
      </c>
      <c r="B4511" t="str">
        <f>"1578728514350321"</f>
        <v>1578728514350321</v>
      </c>
      <c r="C4511" t="s">
        <v>37</v>
      </c>
      <c r="D4511">
        <v>5.4419649999999997</v>
      </c>
      <c r="E4511">
        <v>0.40119349999999998</v>
      </c>
      <c r="F4511" t="s">
        <v>38</v>
      </c>
      <c r="G4511">
        <v>-296.80829999999997</v>
      </c>
      <c r="H4511">
        <v>1.03137099999999</v>
      </c>
      <c r="I4511">
        <v>-51.627920000000003</v>
      </c>
      <c r="J4511">
        <v>-297.60599999999999</v>
      </c>
      <c r="K4511">
        <v>1.1202829999999999</v>
      </c>
      <c r="L4511">
        <v>-51.520319999999998</v>
      </c>
      <c r="M4511">
        <v>0.57839479999999999</v>
      </c>
      <c r="N4511">
        <v>0</v>
      </c>
      <c r="O4511">
        <v>-0.81561879999999998</v>
      </c>
      <c r="P4511">
        <v>0.8257698</v>
      </c>
      <c r="Q4511">
        <v>4.311363E-2</v>
      </c>
      <c r="R4511">
        <v>-0.56235709999999905</v>
      </c>
      <c r="S4511">
        <v>2.9974369999999899</v>
      </c>
      <c r="T4511">
        <v>-0.27900330000000001</v>
      </c>
      <c r="U4511">
        <v>-0.97344969999999997</v>
      </c>
      <c r="V4511">
        <v>-0.34955249999999999</v>
      </c>
      <c r="W4511">
        <v>4.8857610000000003E-2</v>
      </c>
      <c r="X4511">
        <v>0.93564199999999997</v>
      </c>
      <c r="Y4511">
        <v>-0.59278229999999998</v>
      </c>
      <c r="Z4511">
        <v>8.8799030000000001E-2</v>
      </c>
      <c r="AA4511">
        <v>0.80045230000000001</v>
      </c>
      <c r="AB4511">
        <v>26</v>
      </c>
      <c r="AC4511">
        <v>0.79770000000001995</v>
      </c>
      <c r="AD4511">
        <v>-8.8912000000000102E-2</v>
      </c>
      <c r="AE4511">
        <v>-0.107600000000005</v>
      </c>
      <c r="AF4511">
        <v>-0.58135678259677404</v>
      </c>
      <c r="AG4511">
        <v>-8.8912000000000102E-2</v>
      </c>
      <c r="AH4511">
        <v>0.54258767629873905</v>
      </c>
      <c r="AI4511">
        <v>96.379622345028693</v>
      </c>
      <c r="AJ4511">
        <v>136.97556542150599</v>
      </c>
      <c r="AK4511">
        <v>0.80017650483286396</v>
      </c>
    </row>
    <row r="4512" spans="1:37" x14ac:dyDescent="0.2">
      <c r="A4512" t="str">
        <f>"20200111154154379"</f>
        <v>20200111154154379</v>
      </c>
      <c r="B4512" t="str">
        <f>"1578728514370817"</f>
        <v>1578728514370817</v>
      </c>
      <c r="C4512" t="s">
        <v>37</v>
      </c>
      <c r="D4512">
        <v>5.1999649999999997</v>
      </c>
      <c r="E4512">
        <v>0.406377299999999</v>
      </c>
      <c r="F4512" t="s">
        <v>38</v>
      </c>
      <c r="G4512">
        <v>-296.70760000000001</v>
      </c>
      <c r="H4512">
        <v>1.0347120000000001</v>
      </c>
      <c r="I4512">
        <v>-51.842939999999999</v>
      </c>
      <c r="J4512">
        <v>-297.44209999999998</v>
      </c>
      <c r="K4512">
        <v>1.120268</v>
      </c>
      <c r="L4512">
        <v>-51.724789999999999</v>
      </c>
      <c r="M4512">
        <v>0.58997489999999997</v>
      </c>
      <c r="N4512">
        <v>0</v>
      </c>
      <c r="O4512">
        <v>-0.8072819</v>
      </c>
      <c r="P4512">
        <v>0.83236290000000002</v>
      </c>
      <c r="Q4512">
        <v>4.337481E-2</v>
      </c>
      <c r="R4512">
        <v>-0.55253189999999996</v>
      </c>
      <c r="S4512">
        <v>2.9310909999999999</v>
      </c>
      <c r="T4512">
        <v>-0.2791361</v>
      </c>
      <c r="U4512">
        <v>-1.052063</v>
      </c>
      <c r="V4512">
        <v>-0.34727950000000002</v>
      </c>
      <c r="W4512">
        <v>4.920861E-2</v>
      </c>
      <c r="X4512">
        <v>0.93646969999999996</v>
      </c>
      <c r="Y4512">
        <v>-0.55625279999999999</v>
      </c>
      <c r="Z4512">
        <v>8.819639E-2</v>
      </c>
      <c r="AA4512">
        <v>0.82631969999999999</v>
      </c>
      <c r="AB4512">
        <v>26</v>
      </c>
      <c r="AC4512">
        <v>0.73449999999996796</v>
      </c>
      <c r="AD4512">
        <v>-8.5555999999999896E-2</v>
      </c>
      <c r="AE4512">
        <v>-0.11814999999999901</v>
      </c>
      <c r="AF4512">
        <v>-0.51647128081419102</v>
      </c>
      <c r="AG4512">
        <v>-8.5555999999999896E-2</v>
      </c>
      <c r="AH4512">
        <v>0.52187433776939796</v>
      </c>
      <c r="AI4512">
        <v>96.646394923666605</v>
      </c>
      <c r="AJ4512">
        <v>134.701862693457</v>
      </c>
      <c r="AK4512">
        <v>0.73919905131439301</v>
      </c>
    </row>
    <row r="4513" spans="1:37" x14ac:dyDescent="0.2">
      <c r="A4513" t="str">
        <f>"20200111154154400"</f>
        <v>20200111154154400</v>
      </c>
      <c r="B4513" t="str">
        <f>"1578728514390338"</f>
        <v>1578728514390338</v>
      </c>
      <c r="C4513" t="s">
        <v>37</v>
      </c>
      <c r="D4513">
        <v>5.2338559999999896</v>
      </c>
      <c r="E4513">
        <v>0.40874719999999998</v>
      </c>
      <c r="F4513" t="s">
        <v>38</v>
      </c>
      <c r="G4513">
        <v>-296.58319999999998</v>
      </c>
      <c r="H4513">
        <v>1.0417689999999999</v>
      </c>
      <c r="I4513">
        <v>-52.034129999999998</v>
      </c>
      <c r="J4513">
        <v>-297.28930000000003</v>
      </c>
      <c r="K4513">
        <v>1.1202479999999999</v>
      </c>
      <c r="L4513">
        <v>-51.91019</v>
      </c>
      <c r="M4513">
        <v>0.60048190000000001</v>
      </c>
      <c r="N4513">
        <v>0</v>
      </c>
      <c r="O4513">
        <v>-0.79949709999999996</v>
      </c>
      <c r="P4513">
        <v>0.83887339999999999</v>
      </c>
      <c r="Q4513">
        <v>4.3861459999999998E-2</v>
      </c>
      <c r="R4513">
        <v>-0.54255679999999995</v>
      </c>
      <c r="S4513">
        <v>2.9199830000000002</v>
      </c>
      <c r="T4513">
        <v>-0.26686509999999902</v>
      </c>
      <c r="U4513">
        <v>-1.0516969999999899</v>
      </c>
      <c r="V4513">
        <v>-0.34619870000000003</v>
      </c>
      <c r="W4513">
        <v>4.974725E-2</v>
      </c>
      <c r="X4513">
        <v>0.93684129999999999</v>
      </c>
      <c r="Y4513">
        <v>-0.54483619999999899</v>
      </c>
      <c r="Z4513">
        <v>8.3847519999999995E-2</v>
      </c>
      <c r="AA4513">
        <v>0.83433999999999997</v>
      </c>
      <c r="AB4513">
        <v>26</v>
      </c>
      <c r="AC4513">
        <v>0.70610000000004902</v>
      </c>
      <c r="AD4513">
        <v>-7.8478999999999896E-2</v>
      </c>
      <c r="AE4513">
        <v>-0.123939999999997</v>
      </c>
      <c r="AF4513">
        <v>-0.48435213848233999</v>
      </c>
      <c r="AG4513">
        <v>-7.8478999999999896E-2</v>
      </c>
      <c r="AH4513">
        <v>0.51695393469408701</v>
      </c>
      <c r="AI4513">
        <v>96.321597988654403</v>
      </c>
      <c r="AJ4513">
        <v>133.13514995705501</v>
      </c>
      <c r="AK4513">
        <v>0.71273930583988099</v>
      </c>
    </row>
    <row r="4514" spans="1:37" x14ac:dyDescent="0.2">
      <c r="A4514" t="str">
        <f>"20200111154154422"</f>
        <v>20200111154154422</v>
      </c>
      <c r="B4514" t="str">
        <f>"1578728514410833"</f>
        <v>1578728514410833</v>
      </c>
      <c r="C4514" t="s">
        <v>37</v>
      </c>
      <c r="D4514">
        <v>5.2050390000000002</v>
      </c>
      <c r="E4514">
        <v>0.41000879999999901</v>
      </c>
      <c r="F4514" t="s">
        <v>38</v>
      </c>
      <c r="G4514">
        <v>-296.44349999999997</v>
      </c>
      <c r="H4514">
        <v>1.049895</v>
      </c>
      <c r="I4514">
        <v>-52.209119999999999</v>
      </c>
      <c r="J4514">
        <v>-297.12419999999997</v>
      </c>
      <c r="K4514">
        <v>1.120225</v>
      </c>
      <c r="L4514">
        <v>-52.105129999999903</v>
      </c>
      <c r="M4514">
        <v>0.61154119999999901</v>
      </c>
      <c r="N4514">
        <v>0</v>
      </c>
      <c r="O4514">
        <v>-0.79106989999999999</v>
      </c>
      <c r="P4514">
        <v>0.84564319999999904</v>
      </c>
      <c r="Q4514">
        <v>4.4171059999999998E-2</v>
      </c>
      <c r="R4514">
        <v>-0.53191809999999995</v>
      </c>
      <c r="S4514">
        <v>2.9215089999999999</v>
      </c>
      <c r="T4514">
        <v>-0.2429616</v>
      </c>
      <c r="U4514">
        <v>-1.031952</v>
      </c>
      <c r="V4514">
        <v>-0.3449953</v>
      </c>
      <c r="W4514">
        <v>5.011206E-2</v>
      </c>
      <c r="X4514">
        <v>0.93726569999999998</v>
      </c>
      <c r="Y4514">
        <v>-0.539018</v>
      </c>
      <c r="Z4514">
        <v>7.5915319999999994E-2</v>
      </c>
      <c r="AA4514">
        <v>0.83886620000000001</v>
      </c>
      <c r="AB4514">
        <v>26</v>
      </c>
      <c r="AC4514">
        <v>0.68070000000000097</v>
      </c>
      <c r="AD4514">
        <v>-7.0329999999999906E-2</v>
      </c>
      <c r="AE4514">
        <v>-0.103990000000003</v>
      </c>
      <c r="AF4514">
        <v>-0.47003749148674601</v>
      </c>
      <c r="AG4514">
        <v>-7.0329999999999906E-2</v>
      </c>
      <c r="AH4514">
        <v>0.49344829233772303</v>
      </c>
      <c r="AI4514">
        <v>95.892099118443696</v>
      </c>
      <c r="AJ4514">
        <v>133.608099645339</v>
      </c>
      <c r="AK4514">
        <v>0.68510785246862305</v>
      </c>
    </row>
    <row r="4515" spans="1:37" x14ac:dyDescent="0.2">
      <c r="A4515" t="str">
        <f>"20200111154154445"</f>
        <v>20200111154154445</v>
      </c>
      <c r="B4515" t="str">
        <f>"1578728514441089"</f>
        <v>1578728514441089</v>
      </c>
      <c r="C4515" t="s">
        <v>37</v>
      </c>
      <c r="D4515">
        <v>5.3545379999999998</v>
      </c>
      <c r="E4515">
        <v>0.41136430000000002</v>
      </c>
      <c r="F4515" t="s">
        <v>38</v>
      </c>
      <c r="G4515">
        <v>-296.3048</v>
      </c>
      <c r="H4515">
        <v>1.0539969999999901</v>
      </c>
      <c r="I4515">
        <v>-52.385869999999997</v>
      </c>
      <c r="J4515">
        <v>-296.95620000000002</v>
      </c>
      <c r="K4515">
        <v>1.120204</v>
      </c>
      <c r="L4515">
        <v>-52.297640000000001</v>
      </c>
      <c r="M4515">
        <v>0.62248590000000004</v>
      </c>
      <c r="N4515">
        <v>0</v>
      </c>
      <c r="O4515">
        <v>-0.78248689999999999</v>
      </c>
      <c r="P4515">
        <v>0.85203269999999998</v>
      </c>
      <c r="Q4515">
        <v>4.4113979999999997E-2</v>
      </c>
      <c r="R4515">
        <v>-0.5216267</v>
      </c>
      <c r="S4515">
        <v>2.9287719999999999</v>
      </c>
      <c r="T4515">
        <v>-0.23672379999999901</v>
      </c>
      <c r="U4515">
        <v>-1.003479</v>
      </c>
      <c r="V4515">
        <v>-0.3433177</v>
      </c>
      <c r="W4515">
        <v>5.0124439999999999E-2</v>
      </c>
      <c r="X4515">
        <v>0.93788090000000002</v>
      </c>
      <c r="Y4515">
        <v>-0.53543019999999997</v>
      </c>
      <c r="Z4515">
        <v>7.351452E-2</v>
      </c>
      <c r="AA4515">
        <v>0.84137399999999996</v>
      </c>
      <c r="AB4515">
        <v>26</v>
      </c>
      <c r="AC4515">
        <v>0.65140000000002296</v>
      </c>
      <c r="AD4515">
        <v>-6.6207000000000099E-2</v>
      </c>
      <c r="AE4515">
        <v>-8.8230000000002903E-2</v>
      </c>
      <c r="AF4515">
        <v>-0.45027367654380601</v>
      </c>
      <c r="AG4515">
        <v>-6.6207000000000099E-2</v>
      </c>
      <c r="AH4515">
        <v>0.469813783064292</v>
      </c>
      <c r="AI4515">
        <v>95.809285568489997</v>
      </c>
      <c r="AJ4515">
        <v>133.78337939152101</v>
      </c>
      <c r="AK4515">
        <v>0.65410606280209405</v>
      </c>
    </row>
    <row r="4516" spans="1:37" x14ac:dyDescent="0.2">
      <c r="A4516" t="str">
        <f>"20200111154154468"</f>
        <v>20200111154154468</v>
      </c>
      <c r="B4516" t="str">
        <f>"1578728514460609"</f>
        <v>1578728514460609</v>
      </c>
      <c r="C4516" t="s">
        <v>37</v>
      </c>
      <c r="D4516">
        <v>5.2012479999999996</v>
      </c>
      <c r="E4516">
        <v>0.41245340000000003</v>
      </c>
      <c r="F4516" t="s">
        <v>38</v>
      </c>
      <c r="G4516">
        <v>-295.94159999999999</v>
      </c>
      <c r="H4516">
        <v>1.0402769999999999</v>
      </c>
      <c r="I4516">
        <v>-52.635300000000001</v>
      </c>
      <c r="J4516">
        <v>-296.77940000000001</v>
      </c>
      <c r="K4516">
        <v>1.120179</v>
      </c>
      <c r="L4516">
        <v>-52.494480000000003</v>
      </c>
      <c r="M4516">
        <v>0.63369119999999901</v>
      </c>
      <c r="N4516">
        <v>0</v>
      </c>
      <c r="O4516">
        <v>-0.77344019999999902</v>
      </c>
      <c r="P4516">
        <v>0.85826449999999999</v>
      </c>
      <c r="Q4516">
        <v>4.403149E-2</v>
      </c>
      <c r="R4516">
        <v>-0.51131570000000004</v>
      </c>
      <c r="S4516">
        <v>2.9349369999999899</v>
      </c>
      <c r="T4516">
        <v>-0.2312042</v>
      </c>
      <c r="U4516">
        <v>-0.97677610000000004</v>
      </c>
      <c r="V4516">
        <v>-0.34111429999999998</v>
      </c>
      <c r="W4516">
        <v>5.0125870000000003E-2</v>
      </c>
      <c r="X4516">
        <v>0.93868449999999903</v>
      </c>
      <c r="Y4516">
        <v>-0.53085499999999997</v>
      </c>
      <c r="Z4516">
        <v>7.129982E-2</v>
      </c>
      <c r="AA4516">
        <v>0.84445800000000004</v>
      </c>
      <c r="AB4516">
        <v>26</v>
      </c>
      <c r="AC4516">
        <v>0.83780000000001498</v>
      </c>
      <c r="AD4516">
        <v>-7.9901999999999904E-2</v>
      </c>
      <c r="AE4516">
        <v>-0.140819999999997</v>
      </c>
      <c r="AF4516">
        <v>-0.55391507741471901</v>
      </c>
      <c r="AG4516">
        <v>-7.9901999999999904E-2</v>
      </c>
      <c r="AH4516">
        <v>0.63428383752362205</v>
      </c>
      <c r="AI4516">
        <v>95.420217088726105</v>
      </c>
      <c r="AJ4516">
        <v>131.13045633512399</v>
      </c>
      <c r="AK4516">
        <v>0.84588547045982898</v>
      </c>
    </row>
    <row r="4517" spans="1:37" x14ac:dyDescent="0.2">
      <c r="A4517" t="str">
        <f>"20200111154154489"</f>
        <v>20200111154154489</v>
      </c>
      <c r="B4517" t="str">
        <f>"1578728514481105"</f>
        <v>1578728514481105</v>
      </c>
      <c r="C4517" t="s">
        <v>37</v>
      </c>
      <c r="D4517">
        <v>5.1797269999999997</v>
      </c>
      <c r="E4517">
        <v>0.4131109</v>
      </c>
      <c r="F4517" t="s">
        <v>38</v>
      </c>
      <c r="G4517">
        <v>-295.80099999999999</v>
      </c>
      <c r="H4517">
        <v>1.0436350000000001</v>
      </c>
      <c r="I4517">
        <v>-52.81</v>
      </c>
      <c r="J4517">
        <v>-296.61430000000001</v>
      </c>
      <c r="K4517">
        <v>1.120158</v>
      </c>
      <c r="L4517">
        <v>-52.673340000000003</v>
      </c>
      <c r="M4517">
        <v>0.64388459999999903</v>
      </c>
      <c r="N4517">
        <v>0</v>
      </c>
      <c r="O4517">
        <v>-0.76497499999999996</v>
      </c>
      <c r="P4517">
        <v>0.86349159999999903</v>
      </c>
      <c r="Q4517">
        <v>4.4572279999999999E-2</v>
      </c>
      <c r="R4517">
        <v>-0.50239029999999996</v>
      </c>
      <c r="S4517">
        <v>2.9422000000000001</v>
      </c>
      <c r="T4517">
        <v>-0.2301435</v>
      </c>
      <c r="U4517">
        <v>-0.94845579999999996</v>
      </c>
      <c r="V4517">
        <v>-0.338393</v>
      </c>
      <c r="W4517">
        <v>5.0763540000000003E-2</v>
      </c>
      <c r="X4517">
        <v>0.93963459999999999</v>
      </c>
      <c r="Y4517">
        <v>-0.52765019999999996</v>
      </c>
      <c r="Z4517">
        <v>7.0509799999999997E-2</v>
      </c>
      <c r="AA4517">
        <v>0.84653040000000002</v>
      </c>
      <c r="AB4517">
        <v>26</v>
      </c>
      <c r="AC4517">
        <v>0.813300000000026</v>
      </c>
      <c r="AD4517">
        <v>-7.6522999999999897E-2</v>
      </c>
      <c r="AE4517">
        <v>-0.136659999999999</v>
      </c>
      <c r="AF4517">
        <v>-0.52966098868567801</v>
      </c>
      <c r="AG4517">
        <v>-7.6522999999999897E-2</v>
      </c>
      <c r="AH4517">
        <v>0.62292060154467499</v>
      </c>
      <c r="AI4517">
        <v>95.3466006793074</v>
      </c>
      <c r="AJ4517">
        <v>130.37406568590799</v>
      </c>
      <c r="AK4517">
        <v>0.82123480703953999</v>
      </c>
    </row>
    <row r="4518" spans="1:37" x14ac:dyDescent="0.2">
      <c r="A4518" t="str">
        <f>"20200111154154512"</f>
        <v>20200111154154512</v>
      </c>
      <c r="B4518" t="str">
        <f>"1578728514500625"</f>
        <v>1578728514500625</v>
      </c>
      <c r="C4518" t="s">
        <v>37</v>
      </c>
      <c r="D4518">
        <v>5.3758080000000001</v>
      </c>
      <c r="E4518">
        <v>0.413554599999999</v>
      </c>
      <c r="F4518" t="s">
        <v>38</v>
      </c>
      <c r="G4518">
        <v>-295.65159999999997</v>
      </c>
      <c r="H4518">
        <v>1.0452030000000001</v>
      </c>
      <c r="I4518">
        <v>-52.974229999999999</v>
      </c>
      <c r="J4518">
        <v>-296.4434</v>
      </c>
      <c r="K4518">
        <v>1.1201379999999901</v>
      </c>
      <c r="L4518">
        <v>-52.853609999999897</v>
      </c>
      <c r="M4518">
        <v>0.65417259999999999</v>
      </c>
      <c r="N4518">
        <v>0</v>
      </c>
      <c r="O4518">
        <v>-0.75619599999999998</v>
      </c>
      <c r="P4518">
        <v>0.86903619999999904</v>
      </c>
      <c r="Q4518">
        <v>4.4099609999999997E-2</v>
      </c>
      <c r="R4518">
        <v>-0.49277919999999997</v>
      </c>
      <c r="S4518">
        <v>2.9496150000000001</v>
      </c>
      <c r="T4518">
        <v>-0.22965849999999999</v>
      </c>
      <c r="U4518">
        <v>-0.92211909999999897</v>
      </c>
      <c r="V4518">
        <v>-0.33611049999999998</v>
      </c>
      <c r="W4518">
        <v>5.037494E-2</v>
      </c>
      <c r="X4518">
        <v>0.94047440000000004</v>
      </c>
      <c r="Y4518">
        <v>-0.52369560000000004</v>
      </c>
      <c r="Z4518">
        <v>6.9827970000000003E-2</v>
      </c>
      <c r="AA4518">
        <v>0.84903879999999998</v>
      </c>
      <c r="AB4518">
        <v>26</v>
      </c>
      <c r="AC4518">
        <v>0.79180000000002304</v>
      </c>
      <c r="AD4518">
        <v>-7.4934999999999696E-2</v>
      </c>
      <c r="AE4518">
        <v>-0.120620000000009</v>
      </c>
      <c r="AF4518">
        <v>-0.51539694064947705</v>
      </c>
      <c r="AG4518">
        <v>-7.4934999999999696E-2</v>
      </c>
      <c r="AH4518">
        <v>0.60396826432935502</v>
      </c>
      <c r="AI4518">
        <v>95.391513671007104</v>
      </c>
      <c r="AJ4518">
        <v>130.475818245803</v>
      </c>
      <c r="AK4518">
        <v>0.79751296226008495</v>
      </c>
    </row>
    <row r="4519" spans="1:37" x14ac:dyDescent="0.2">
      <c r="A4519" t="str">
        <f>"20200111154154534"</f>
        <v>20200111154154534</v>
      </c>
      <c r="B4519" t="str">
        <f>"1578728514530881"</f>
        <v>1578728514530881</v>
      </c>
      <c r="C4519" t="s">
        <v>37</v>
      </c>
      <c r="D4519">
        <v>5.2655949999999896</v>
      </c>
      <c r="E4519">
        <v>0.41466639999999999</v>
      </c>
      <c r="F4519" t="s">
        <v>38</v>
      </c>
      <c r="G4519">
        <v>-295.50119999999998</v>
      </c>
      <c r="H4519">
        <v>1.0459540000000001</v>
      </c>
      <c r="I4519">
        <v>-53.137999999999998</v>
      </c>
      <c r="J4519">
        <v>-296.26479999999998</v>
      </c>
      <c r="K4519">
        <v>1.1201019999999999</v>
      </c>
      <c r="L4519">
        <v>-53.036900000000003</v>
      </c>
      <c r="M4519">
        <v>0.66464460000000003</v>
      </c>
      <c r="N4519">
        <v>0</v>
      </c>
      <c r="O4519">
        <v>-0.74700849999999996</v>
      </c>
      <c r="P4519">
        <v>0.87476080000000001</v>
      </c>
      <c r="Q4519">
        <v>4.280656E-2</v>
      </c>
      <c r="R4519">
        <v>-0.48266049999999899</v>
      </c>
      <c r="S4519">
        <v>2.9578250000000001</v>
      </c>
      <c r="T4519">
        <v>-0.23286860000000001</v>
      </c>
      <c r="U4519">
        <v>-0.89248660000000002</v>
      </c>
      <c r="V4519">
        <v>-0.33393539999999999</v>
      </c>
      <c r="W4519">
        <v>4.9163360000000003E-2</v>
      </c>
      <c r="X4519">
        <v>0.94131299999999996</v>
      </c>
      <c r="Y4519">
        <v>-0.52022579999999996</v>
      </c>
      <c r="Z4519">
        <v>7.0243089999999994E-2</v>
      </c>
      <c r="AA4519">
        <v>0.85113519999999898</v>
      </c>
      <c r="AB4519">
        <v>26</v>
      </c>
      <c r="AC4519">
        <v>0.76359999999999595</v>
      </c>
      <c r="AD4519">
        <v>-7.4148000000000103E-2</v>
      </c>
      <c r="AE4519">
        <v>-0.10110000000000199</v>
      </c>
      <c r="AF4519">
        <v>-0.49865611644206398</v>
      </c>
      <c r="AG4519">
        <v>-7.4148000000000103E-2</v>
      </c>
      <c r="AH4519">
        <v>0.57775718951741595</v>
      </c>
      <c r="AI4519">
        <v>95.549165051052995</v>
      </c>
      <c r="AJ4519">
        <v>130.79712938971099</v>
      </c>
      <c r="AK4519">
        <v>0.76678498838210496</v>
      </c>
    </row>
    <row r="4520" spans="1:37" x14ac:dyDescent="0.2">
      <c r="A4520" t="str">
        <f>"20200111154154558"</f>
        <v>20200111154154558</v>
      </c>
      <c r="B4520" t="str">
        <f>"1578728514550401"</f>
        <v>1578728514550401</v>
      </c>
      <c r="C4520" t="s">
        <v>37</v>
      </c>
      <c r="D4520">
        <v>5.2877260000000001</v>
      </c>
      <c r="E4520">
        <v>0.41560039999999998</v>
      </c>
      <c r="F4520" t="s">
        <v>38</v>
      </c>
      <c r="G4520">
        <v>-295.35169999999999</v>
      </c>
      <c r="H4520">
        <v>1.0473459999999899</v>
      </c>
      <c r="I4520">
        <v>-53.303619999999903</v>
      </c>
      <c r="J4520">
        <v>-296.0822</v>
      </c>
      <c r="K4520">
        <v>1.1200669999999999</v>
      </c>
      <c r="L4520">
        <v>-53.219209999999997</v>
      </c>
      <c r="M4520">
        <v>0.67506569999999899</v>
      </c>
      <c r="N4520">
        <v>0</v>
      </c>
      <c r="O4520">
        <v>-0.7376047</v>
      </c>
      <c r="P4520">
        <v>0.88045289999999998</v>
      </c>
      <c r="Q4520">
        <v>4.1213809999999997E-2</v>
      </c>
      <c r="R4520">
        <v>-0.47233930000000002</v>
      </c>
      <c r="S4520">
        <v>2.9635009999999999</v>
      </c>
      <c r="T4520">
        <v>-0.23610639999999999</v>
      </c>
      <c r="U4520">
        <v>-0.86553959999999996</v>
      </c>
      <c r="V4520">
        <v>-0.33180479999999901</v>
      </c>
      <c r="W4520">
        <v>4.7653090000000002E-2</v>
      </c>
      <c r="X4520">
        <v>0.94214370000000003</v>
      </c>
      <c r="Y4520">
        <v>-0.51575159999999998</v>
      </c>
      <c r="Z4520">
        <v>7.0628759999999999E-2</v>
      </c>
      <c r="AA4520">
        <v>0.85382190000000002</v>
      </c>
      <c r="AB4520">
        <v>26</v>
      </c>
      <c r="AC4520">
        <v>0.73050000000000603</v>
      </c>
      <c r="AD4520">
        <v>-7.2720999999999994E-2</v>
      </c>
      <c r="AE4520">
        <v>-8.4409999999998306E-2</v>
      </c>
      <c r="AF4520">
        <v>-0.47722525134142102</v>
      </c>
      <c r="AG4520">
        <v>-7.2720999999999994E-2</v>
      </c>
      <c r="AH4520">
        <v>0.55007983431824603</v>
      </c>
      <c r="AI4520">
        <v>95.702578779098502</v>
      </c>
      <c r="AJ4520">
        <v>130.94348043662399</v>
      </c>
      <c r="AK4520">
        <v>0.731860716586477</v>
      </c>
    </row>
    <row r="4521" spans="1:37" x14ac:dyDescent="0.2">
      <c r="A4521" t="str">
        <f>"20200111154154579"</f>
        <v>20200111154154579</v>
      </c>
      <c r="B4521" t="str">
        <f>"1578728514570897"</f>
        <v>1578728514570897</v>
      </c>
      <c r="C4521" t="s">
        <v>37</v>
      </c>
      <c r="D4521">
        <v>5.3398959999999898</v>
      </c>
      <c r="E4521">
        <v>0.41685129999999998</v>
      </c>
      <c r="F4521" t="s">
        <v>38</v>
      </c>
      <c r="G4521">
        <v>-295.2004</v>
      </c>
      <c r="H4521">
        <v>1.048276</v>
      </c>
      <c r="I4521">
        <v>-53.467819999999897</v>
      </c>
      <c r="J4521">
        <v>-295.90429999999998</v>
      </c>
      <c r="K4521">
        <v>1.1200299999999901</v>
      </c>
      <c r="L4521">
        <v>-53.392119999999998</v>
      </c>
      <c r="M4521">
        <v>0.68494580000000005</v>
      </c>
      <c r="N4521">
        <v>0</v>
      </c>
      <c r="O4521">
        <v>-0.72843919999999995</v>
      </c>
      <c r="P4521">
        <v>0.88537339999999998</v>
      </c>
      <c r="Q4521">
        <v>4.0464399999999998E-2</v>
      </c>
      <c r="R4521">
        <v>-0.46311609999999998</v>
      </c>
      <c r="S4521">
        <v>2.9698180000000001</v>
      </c>
      <c r="T4521">
        <v>-0.2417368</v>
      </c>
      <c r="U4521">
        <v>-0.83666989999999997</v>
      </c>
      <c r="V4521">
        <v>-0.32894899999999999</v>
      </c>
      <c r="W4521">
        <v>4.7008660000000001E-2</v>
      </c>
      <c r="X4521">
        <v>0.94317689999999998</v>
      </c>
      <c r="Y4521">
        <v>-0.51225140000000002</v>
      </c>
      <c r="Z4521">
        <v>7.1732420000000005E-2</v>
      </c>
      <c r="AA4521">
        <v>0.85583469999999995</v>
      </c>
      <c r="AB4521">
        <v>26</v>
      </c>
      <c r="AC4521">
        <v>0.70389999999997599</v>
      </c>
      <c r="AD4521">
        <v>-7.1753999999999804E-2</v>
      </c>
      <c r="AE4521">
        <v>-7.5699999999997603E-2</v>
      </c>
      <c r="AF4521">
        <v>-0.45626298756460199</v>
      </c>
      <c r="AG4521">
        <v>-7.1753999999999804E-2</v>
      </c>
      <c r="AH4521">
        <v>0.53187313865505204</v>
      </c>
      <c r="AI4521">
        <v>95.8463973108896</v>
      </c>
      <c r="AJ4521">
        <v>130.624370857428</v>
      </c>
      <c r="AK4521">
        <v>0.70442429398775896</v>
      </c>
    </row>
    <row r="4522" spans="1:37" x14ac:dyDescent="0.2">
      <c r="A4522" t="str">
        <f>"20200111154154602"</f>
        <v>20200111154154602</v>
      </c>
      <c r="B4522" t="str">
        <f>"1578728514590417"</f>
        <v>1578728514590417</v>
      </c>
      <c r="C4522" t="s">
        <v>37</v>
      </c>
      <c r="D4522">
        <v>5.4800559999999896</v>
      </c>
      <c r="E4522">
        <v>0.41741289999999998</v>
      </c>
      <c r="F4522" t="s">
        <v>38</v>
      </c>
      <c r="G4522">
        <v>-295.04520000000002</v>
      </c>
      <c r="H4522">
        <v>1.049024</v>
      </c>
      <c r="I4522">
        <v>-53.627380000000002</v>
      </c>
      <c r="J4522">
        <v>-295.72519999999997</v>
      </c>
      <c r="K4522">
        <v>1.1199859999999999</v>
      </c>
      <c r="L4522">
        <v>-53.561579999999999</v>
      </c>
      <c r="M4522">
        <v>0.6946156</v>
      </c>
      <c r="N4522">
        <v>0</v>
      </c>
      <c r="O4522">
        <v>-0.71922459999999999</v>
      </c>
      <c r="P4522">
        <v>0.89013220000000004</v>
      </c>
      <c r="Q4522">
        <v>3.9721520000000003E-2</v>
      </c>
      <c r="R4522">
        <v>-0.4539685</v>
      </c>
      <c r="S4522">
        <v>2.9736630000000002</v>
      </c>
      <c r="T4522">
        <v>-0.24577399999999899</v>
      </c>
      <c r="U4522">
        <v>-0.81436160000000002</v>
      </c>
      <c r="V4522">
        <v>-0.32606750000000001</v>
      </c>
      <c r="W4522">
        <v>4.6377059999999998E-2</v>
      </c>
      <c r="X4522">
        <v>0.94420820000000005</v>
      </c>
      <c r="Y4522">
        <v>-0.50695699999999999</v>
      </c>
      <c r="Z4522">
        <v>7.2276409999999999E-2</v>
      </c>
      <c r="AA4522">
        <v>0.85893580000000003</v>
      </c>
      <c r="AB4522">
        <v>26</v>
      </c>
      <c r="AC4522">
        <v>0.67999999999994998</v>
      </c>
      <c r="AD4522">
        <v>-7.0962000000000094E-2</v>
      </c>
      <c r="AE4522">
        <v>-6.5799999999995806E-2</v>
      </c>
      <c r="AF4522">
        <v>-0.438683923793042</v>
      </c>
      <c r="AG4522">
        <v>-7.0962000000000094E-2</v>
      </c>
      <c r="AH4522">
        <v>0.51417460070801602</v>
      </c>
      <c r="AI4522">
        <v>95.993605455820997</v>
      </c>
      <c r="AJ4522">
        <v>130.47017579292</v>
      </c>
      <c r="AK4522">
        <v>0.67959893352749401</v>
      </c>
    </row>
    <row r="4523" spans="1:37" x14ac:dyDescent="0.2">
      <c r="A4523" t="str">
        <f>"20200111154154624"</f>
        <v>20200111154154624</v>
      </c>
      <c r="B4523" t="str">
        <f>"1578728514620674"</f>
        <v>1578728514620674</v>
      </c>
      <c r="C4523" t="s">
        <v>37</v>
      </c>
      <c r="D4523">
        <v>5.320087</v>
      </c>
      <c r="E4523">
        <v>0.42876559999999903</v>
      </c>
      <c r="F4523" t="s">
        <v>38</v>
      </c>
      <c r="G4523">
        <v>-294.88690000000003</v>
      </c>
      <c r="H4523">
        <v>1.049865</v>
      </c>
      <c r="I4523">
        <v>-53.783359999999902</v>
      </c>
      <c r="J4523">
        <v>-295.53890000000001</v>
      </c>
      <c r="K4523">
        <v>1.119923</v>
      </c>
      <c r="L4523">
        <v>-53.732999999999997</v>
      </c>
      <c r="M4523">
        <v>0.70437059999999996</v>
      </c>
      <c r="N4523">
        <v>0</v>
      </c>
      <c r="O4523">
        <v>-0.70967409999999997</v>
      </c>
      <c r="P4523">
        <v>0.89506109999999905</v>
      </c>
      <c r="Q4523">
        <v>3.8987670000000002E-2</v>
      </c>
      <c r="R4523">
        <v>-0.44423629999999997</v>
      </c>
      <c r="S4523">
        <v>2.9796450000000001</v>
      </c>
      <c r="T4523">
        <v>-0.2492086</v>
      </c>
      <c r="U4523">
        <v>-0.78768919999999998</v>
      </c>
      <c r="V4523">
        <v>-0.32346729999999901</v>
      </c>
      <c r="W4523">
        <v>4.5755450000000003E-2</v>
      </c>
      <c r="X4523">
        <v>0.94513239999999998</v>
      </c>
      <c r="Y4523">
        <v>-0.50274770000000002</v>
      </c>
      <c r="Z4523">
        <v>7.2606019999999993E-2</v>
      </c>
      <c r="AA4523">
        <v>0.86137859999999999</v>
      </c>
      <c r="AB4523">
        <v>26</v>
      </c>
      <c r="AC4523">
        <v>0.65199999999998604</v>
      </c>
      <c r="AD4523">
        <v>-7.0057999999999898E-2</v>
      </c>
      <c r="AE4523">
        <v>-5.03599999999906E-2</v>
      </c>
      <c r="AF4523">
        <v>-0.42243504073657701</v>
      </c>
      <c r="AG4523">
        <v>-7.0057999999999898E-2</v>
      </c>
      <c r="AH4523">
        <v>0.48942718013879999</v>
      </c>
      <c r="AI4523">
        <v>96.184519766817004</v>
      </c>
      <c r="AJ4523">
        <v>130.79817736559201</v>
      </c>
      <c r="AK4523">
        <v>0.65030642905074498</v>
      </c>
    </row>
    <row r="4524" spans="1:37" x14ac:dyDescent="0.2">
      <c r="A4524" t="str">
        <f>"20200111154154647"</f>
        <v>20200111154154647</v>
      </c>
      <c r="B4524" t="str">
        <f>"1578728514640192"</f>
        <v>1578728514640192</v>
      </c>
      <c r="C4524" t="s">
        <v>37</v>
      </c>
      <c r="D4524">
        <v>5.3747249999999998</v>
      </c>
      <c r="E4524">
        <v>0.429156499999999</v>
      </c>
      <c r="F4524" t="s">
        <v>38</v>
      </c>
      <c r="G4524">
        <v>-294.52210000000002</v>
      </c>
      <c r="H4524">
        <v>1.0183899999999999</v>
      </c>
      <c r="I4524">
        <v>-54.021999999999998</v>
      </c>
      <c r="J4524">
        <v>-295.34710000000001</v>
      </c>
      <c r="K4524">
        <v>1.11985</v>
      </c>
      <c r="L4524">
        <v>-53.904539999999997</v>
      </c>
      <c r="M4524">
        <v>0.71409019999999901</v>
      </c>
      <c r="N4524">
        <v>0</v>
      </c>
      <c r="O4524">
        <v>-0.69989309999999905</v>
      </c>
      <c r="P4524">
        <v>0.90033209999999997</v>
      </c>
      <c r="Q4524">
        <v>3.9556849999999998E-2</v>
      </c>
      <c r="R4524">
        <v>-0.43340190000000001</v>
      </c>
      <c r="S4524">
        <v>2.9487000000000001</v>
      </c>
      <c r="T4524">
        <v>-0.2944234</v>
      </c>
      <c r="U4524">
        <v>-0.8378601</v>
      </c>
      <c r="V4524">
        <v>-0.32182549999999999</v>
      </c>
      <c r="W4524">
        <v>4.6417550000000002E-2</v>
      </c>
      <c r="X4524">
        <v>0.94566049999999902</v>
      </c>
      <c r="Y4524">
        <v>-0.47348859999999898</v>
      </c>
      <c r="Z4524">
        <v>8.4259749999999994E-2</v>
      </c>
      <c r="AA4524">
        <v>0.876760399999999</v>
      </c>
      <c r="AB4524">
        <v>26</v>
      </c>
      <c r="AC4524">
        <v>0.82499999999998797</v>
      </c>
      <c r="AD4524">
        <v>-0.10145999999999999</v>
      </c>
      <c r="AE4524">
        <v>-0.117459999999994</v>
      </c>
      <c r="AF4524">
        <v>-0.48638014908101601</v>
      </c>
      <c r="AG4524">
        <v>-0.10145999999999999</v>
      </c>
      <c r="AH4524">
        <v>0.66160173571468694</v>
      </c>
      <c r="AI4524">
        <v>97.043701375007998</v>
      </c>
      <c r="AJ4524">
        <v>126.321670212453</v>
      </c>
      <c r="AK4524">
        <v>0.82739146582543199</v>
      </c>
    </row>
    <row r="4525" spans="1:37" x14ac:dyDescent="0.2">
      <c r="A4525" t="str">
        <f>"20200111154154669"</f>
        <v>20200111154154669</v>
      </c>
      <c r="B4525" t="str">
        <f>"1578728514660689"</f>
        <v>1578728514660689</v>
      </c>
      <c r="C4525" t="s">
        <v>37</v>
      </c>
      <c r="D4525">
        <v>5.344563</v>
      </c>
      <c r="E4525">
        <v>0.42992599999999997</v>
      </c>
      <c r="F4525" t="s">
        <v>38</v>
      </c>
      <c r="G4525">
        <v>-294.3603</v>
      </c>
      <c r="H4525">
        <v>1.0215749999999999</v>
      </c>
      <c r="I4525">
        <v>-54.173359999999903</v>
      </c>
      <c r="J4525">
        <v>-295.16019999999997</v>
      </c>
      <c r="K4525">
        <v>1.119772</v>
      </c>
      <c r="L4525">
        <v>-54.067500000000003</v>
      </c>
      <c r="M4525">
        <v>0.72327129999999995</v>
      </c>
      <c r="N4525">
        <v>0</v>
      </c>
      <c r="O4525">
        <v>-0.69040159999999995</v>
      </c>
      <c r="P4525">
        <v>0.90453309999999998</v>
      </c>
      <c r="Q4525">
        <v>3.946976E-2</v>
      </c>
      <c r="R4525">
        <v>-0.42457299999999998</v>
      </c>
      <c r="S4525">
        <v>2.9572449999999999</v>
      </c>
      <c r="T4525">
        <v>-0.29448770000000002</v>
      </c>
      <c r="U4525">
        <v>-0.80554199999999998</v>
      </c>
      <c r="V4525">
        <v>-0.31857619999999998</v>
      </c>
      <c r="W4525">
        <v>4.6469469999999999E-2</v>
      </c>
      <c r="X4525">
        <v>0.94675759999999898</v>
      </c>
      <c r="Y4525">
        <v>-0.47147519999999998</v>
      </c>
      <c r="Z4525">
        <v>8.3520299999999895E-2</v>
      </c>
      <c r="AA4525">
        <v>0.87791540000000001</v>
      </c>
      <c r="AB4525">
        <v>26</v>
      </c>
      <c r="AC4525">
        <v>0.79989999999997896</v>
      </c>
      <c r="AD4525">
        <v>-9.8197000000000007E-2</v>
      </c>
      <c r="AE4525">
        <v>-0.105859999999992</v>
      </c>
      <c r="AF4525">
        <v>-0.46879673625506701</v>
      </c>
      <c r="AG4525">
        <v>-9.8197000000000007E-2</v>
      </c>
      <c r="AH4525">
        <v>0.64219219315181797</v>
      </c>
      <c r="AI4525">
        <v>97.040547459530202</v>
      </c>
      <c r="AJ4525">
        <v>126.129236664551</v>
      </c>
      <c r="AK4525">
        <v>0.80113909134278605</v>
      </c>
    </row>
    <row r="4526" spans="1:37" x14ac:dyDescent="0.2">
      <c r="A4526" t="str">
        <f>"20200111154154690"</f>
        <v>20200111154154690</v>
      </c>
      <c r="B4526" t="str">
        <f>"1578728514680209"</f>
        <v>1578728514680209</v>
      </c>
      <c r="C4526" t="s">
        <v>37</v>
      </c>
      <c r="D4526">
        <v>5.3870940000000003</v>
      </c>
      <c r="E4526">
        <v>0.43061709999999898</v>
      </c>
      <c r="F4526" t="s">
        <v>38</v>
      </c>
      <c r="G4526">
        <v>-294.19630000000001</v>
      </c>
      <c r="H4526">
        <v>1.023369</v>
      </c>
      <c r="I4526">
        <v>-54.322200000000002</v>
      </c>
      <c r="J4526">
        <v>-294.97519999999997</v>
      </c>
      <c r="K4526">
        <v>1.1196870000000001</v>
      </c>
      <c r="L4526">
        <v>-54.224759999999897</v>
      </c>
      <c r="M4526">
        <v>0.73207</v>
      </c>
      <c r="N4526">
        <v>0</v>
      </c>
      <c r="O4526">
        <v>-0.68106529999999998</v>
      </c>
      <c r="P4526">
        <v>0.90834230000000005</v>
      </c>
      <c r="Q4526">
        <v>3.938432E-2</v>
      </c>
      <c r="R4526">
        <v>-0.4163693</v>
      </c>
      <c r="S4526">
        <v>2.9624630000000001</v>
      </c>
      <c r="T4526">
        <v>-0.29622999999999999</v>
      </c>
      <c r="U4526">
        <v>-0.78210449999999998</v>
      </c>
      <c r="V4526">
        <v>-0.31498389999999998</v>
      </c>
      <c r="W4526">
        <v>4.6534239999999998E-2</v>
      </c>
      <c r="X4526">
        <v>0.94795549999999995</v>
      </c>
      <c r="Y4526">
        <v>-0.46703999999999901</v>
      </c>
      <c r="Z4526">
        <v>8.3165829999999996E-2</v>
      </c>
      <c r="AA4526">
        <v>0.88031649999999995</v>
      </c>
      <c r="AB4526">
        <v>26</v>
      </c>
      <c r="AC4526">
        <v>0.77889999999996395</v>
      </c>
      <c r="AD4526">
        <v>-9.6318000000000098E-2</v>
      </c>
      <c r="AE4526">
        <v>-9.7440000000005897E-2</v>
      </c>
      <c r="AF4526">
        <v>-0.45238906008760799</v>
      </c>
      <c r="AG4526">
        <v>-9.6318000000000098E-2</v>
      </c>
      <c r="AH4526">
        <v>0.62720041448358299</v>
      </c>
      <c r="AI4526">
        <v>97.099628178736396</v>
      </c>
      <c r="AJ4526">
        <v>125.802274747213</v>
      </c>
      <c r="AK4526">
        <v>0.77930313661586603</v>
      </c>
    </row>
    <row r="4527" spans="1:37" x14ac:dyDescent="0.2">
      <c r="A4527" t="str">
        <f>"20200111154154725"</f>
        <v>20200111154154725</v>
      </c>
      <c r="B4527" t="str">
        <f>"1578728514720228"</f>
        <v>1578728514720228</v>
      </c>
      <c r="C4527" t="s">
        <v>37</v>
      </c>
      <c r="D4527">
        <v>5.4268169999999998</v>
      </c>
      <c r="E4527">
        <v>0.43108940000000001</v>
      </c>
      <c r="F4527" t="s">
        <v>38</v>
      </c>
      <c r="G4527">
        <v>-294.0292</v>
      </c>
      <c r="H4527">
        <v>1.024659</v>
      </c>
      <c r="I4527">
        <v>-54.46698</v>
      </c>
      <c r="J4527">
        <v>-294.68119999999999</v>
      </c>
      <c r="K4527">
        <v>1.1195250000000001</v>
      </c>
      <c r="L4527">
        <v>-54.466949999999997</v>
      </c>
      <c r="M4527">
        <v>0.74545760000000005</v>
      </c>
      <c r="N4527">
        <v>0</v>
      </c>
      <c r="O4527">
        <v>-0.66638609999999998</v>
      </c>
      <c r="P4527">
        <v>0.91441149999999904</v>
      </c>
      <c r="Q4527">
        <v>3.9361109999999998E-2</v>
      </c>
      <c r="R4527">
        <v>-0.40286739999999999</v>
      </c>
      <c r="S4527">
        <v>2.96725499999999</v>
      </c>
      <c r="T4527">
        <v>-0.29809980000000003</v>
      </c>
      <c r="U4527">
        <v>-0.7600403</v>
      </c>
      <c r="V4527">
        <v>-0.3101662</v>
      </c>
      <c r="W4527">
        <v>4.6734299999999999E-2</v>
      </c>
      <c r="X4527">
        <v>0.94953299999999996</v>
      </c>
      <c r="Y4527">
        <v>-0.45598379999999999</v>
      </c>
      <c r="Z4527">
        <v>8.213442E-2</v>
      </c>
      <c r="AA4527">
        <v>0.88618999999999903</v>
      </c>
      <c r="AB4527">
        <v>26</v>
      </c>
      <c r="AC4527">
        <v>0.65199999999998604</v>
      </c>
      <c r="AD4527">
        <v>-9.4866000000000103E-2</v>
      </c>
      <c r="AE4527" s="1">
        <v>-3.0000000009522399E-5</v>
      </c>
      <c r="AF4527">
        <v>-0.425501744112951</v>
      </c>
      <c r="AG4527">
        <v>-9.4866000000000103E-2</v>
      </c>
      <c r="AH4527">
        <v>0.47603466481735301</v>
      </c>
      <c r="AI4527">
        <v>98.451194596995705</v>
      </c>
      <c r="AJ4527">
        <v>131.79181389013101</v>
      </c>
      <c r="AK4527">
        <v>0.64549228834040595</v>
      </c>
    </row>
    <row r="4528" spans="1:37" x14ac:dyDescent="0.2">
      <c r="A4528" t="str">
        <f>"20200111154154739"</f>
        <v>20200111154154739</v>
      </c>
      <c r="B4528" t="str">
        <f>"1578728514730961"</f>
        <v>1578728514730961</v>
      </c>
      <c r="C4528" t="s">
        <v>37</v>
      </c>
      <c r="D4528">
        <v>5.3487999999999998</v>
      </c>
      <c r="E4528">
        <v>0.43145630000000001</v>
      </c>
      <c r="F4528" t="s">
        <v>38</v>
      </c>
      <c r="G4528">
        <v>-293.66860000000003</v>
      </c>
      <c r="H4528">
        <v>1.0173749999999999</v>
      </c>
      <c r="I4528">
        <v>-54.7119</v>
      </c>
      <c r="J4528">
        <v>-294.5523</v>
      </c>
      <c r="K4528">
        <v>1.119443</v>
      </c>
      <c r="L4528">
        <v>-54.570069999999902</v>
      </c>
      <c r="M4528">
        <v>0.75108359999999996</v>
      </c>
      <c r="N4528">
        <v>0</v>
      </c>
      <c r="O4528">
        <v>-0.66003880000000004</v>
      </c>
      <c r="P4528">
        <v>0.91714499999999999</v>
      </c>
      <c r="Q4528">
        <v>3.950803E-2</v>
      </c>
      <c r="R4528">
        <v>-0.39659090000000002</v>
      </c>
      <c r="S4528">
        <v>2.9766240000000002</v>
      </c>
      <c r="T4528">
        <v>-0.30025479999999999</v>
      </c>
      <c r="U4528">
        <v>-0.71978759999999997</v>
      </c>
      <c r="V4528">
        <v>-0.30860749999999998</v>
      </c>
      <c r="W4528">
        <v>4.6969120000000003E-2</v>
      </c>
      <c r="X4528">
        <v>0.95002909999999996</v>
      </c>
      <c r="Y4528">
        <v>-0.46033679999999899</v>
      </c>
      <c r="Z4528">
        <v>8.2447160000000005E-2</v>
      </c>
      <c r="AA4528">
        <v>0.88390759999999902</v>
      </c>
      <c r="AB4528">
        <v>26</v>
      </c>
      <c r="AC4528">
        <v>0.88369999999997595</v>
      </c>
      <c r="AD4528">
        <v>-0.10206800000000001</v>
      </c>
      <c r="AE4528">
        <v>-0.14183000000000501</v>
      </c>
      <c r="AF4528">
        <v>-0.47068166773161102</v>
      </c>
      <c r="AG4528">
        <v>-0.10206800000000001</v>
      </c>
      <c r="AH4528">
        <v>0.74770581395344404</v>
      </c>
      <c r="AI4528">
        <v>96.589850756706198</v>
      </c>
      <c r="AJ4528">
        <v>122.190461989103</v>
      </c>
      <c r="AK4528">
        <v>0.88939479039535196</v>
      </c>
    </row>
    <row r="4529" spans="1:37" x14ac:dyDescent="0.2">
      <c r="A4529" t="str">
        <f>"20200111154154759"</f>
        <v>20200111154154759</v>
      </c>
      <c r="B4529" t="str">
        <f>"1578728514750481"</f>
        <v>1578728514750481</v>
      </c>
      <c r="C4529" t="s">
        <v>37</v>
      </c>
      <c r="D4529">
        <v>5.3720600000000003</v>
      </c>
      <c r="E4529">
        <v>0.43243039999999999</v>
      </c>
      <c r="F4529" t="s">
        <v>38</v>
      </c>
      <c r="G4529">
        <v>-293.6481</v>
      </c>
      <c r="H4529">
        <v>1.028027</v>
      </c>
      <c r="I4529">
        <v>-54.783159999999903</v>
      </c>
      <c r="J4529">
        <v>-294.38080000000002</v>
      </c>
      <c r="K4529">
        <v>1.1193280000000001</v>
      </c>
      <c r="L4529">
        <v>-54.704709999999999</v>
      </c>
      <c r="M4529">
        <v>0.75835549999999996</v>
      </c>
      <c r="N4529">
        <v>0</v>
      </c>
      <c r="O4529">
        <v>-0.65167140000000001</v>
      </c>
      <c r="P4529">
        <v>0.92003829999999998</v>
      </c>
      <c r="Q4529">
        <v>3.96315E-2</v>
      </c>
      <c r="R4529">
        <v>-0.38981880000000002</v>
      </c>
      <c r="S4529">
        <v>2.9804080000000002</v>
      </c>
      <c r="T4529">
        <v>-0.30132709999999902</v>
      </c>
      <c r="U4529">
        <v>-0.702179</v>
      </c>
      <c r="V4529">
        <v>-0.30505929999999998</v>
      </c>
      <c r="W4529">
        <v>4.7250140000000003E-2</v>
      </c>
      <c r="X4529">
        <v>0.95116049999999996</v>
      </c>
      <c r="Y4529">
        <v>-0.4557194</v>
      </c>
      <c r="Z4529">
        <v>8.1900570000000006E-2</v>
      </c>
      <c r="AA4529">
        <v>0.88634769999999896</v>
      </c>
      <c r="AB4529">
        <v>26</v>
      </c>
      <c r="AC4529">
        <v>0.732700000000022</v>
      </c>
      <c r="AD4529">
        <v>-9.1300999999999993E-2</v>
      </c>
      <c r="AE4529">
        <v>-7.8449999999996495E-2</v>
      </c>
      <c r="AF4529">
        <v>-0.411712540091417</v>
      </c>
      <c r="AG4529">
        <v>-9.1300999999999993E-2</v>
      </c>
      <c r="AH4529">
        <v>0.59766288488997599</v>
      </c>
      <c r="AI4529">
        <v>97.170304733698501</v>
      </c>
      <c r="AJ4529">
        <v>124.561823760941</v>
      </c>
      <c r="AK4529">
        <v>0.73146702744863101</v>
      </c>
    </row>
    <row r="4530" spans="1:37" x14ac:dyDescent="0.2">
      <c r="A4530" t="str">
        <f>"20200111154154780"</f>
        <v>20200111154154780</v>
      </c>
      <c r="B4530" t="str">
        <f>"1578728514770977"</f>
        <v>1578728514770977</v>
      </c>
      <c r="C4530" t="s">
        <v>37</v>
      </c>
      <c r="D4530">
        <v>5.5480099999999997</v>
      </c>
      <c r="E4530">
        <v>0.43276320000000001</v>
      </c>
      <c r="F4530" t="s">
        <v>38</v>
      </c>
      <c r="G4530">
        <v>-293.45819999999998</v>
      </c>
      <c r="H4530">
        <v>1.0265489999999999</v>
      </c>
      <c r="I4530">
        <v>-54.917349999999999</v>
      </c>
      <c r="J4530">
        <v>-294.18729999999999</v>
      </c>
      <c r="K4530">
        <v>1.1191770000000001</v>
      </c>
      <c r="L4530">
        <v>-54.85333</v>
      </c>
      <c r="M4530">
        <v>0.76626719999999904</v>
      </c>
      <c r="N4530">
        <v>0</v>
      </c>
      <c r="O4530">
        <v>-0.64235059999999999</v>
      </c>
      <c r="P4530">
        <v>0.923287999999999</v>
      </c>
      <c r="Q4530">
        <v>3.9265630000000003E-2</v>
      </c>
      <c r="R4530">
        <v>-0.3820963</v>
      </c>
      <c r="S4530">
        <v>2.982605</v>
      </c>
      <c r="T4530">
        <v>-0.2998807</v>
      </c>
      <c r="U4530">
        <v>-0.68685909999999994</v>
      </c>
      <c r="V4530">
        <v>-0.30137959999999903</v>
      </c>
      <c r="W4530">
        <v>4.7060579999999998E-2</v>
      </c>
      <c r="X4530">
        <v>0.95234219999999903</v>
      </c>
      <c r="Y4530">
        <v>-0.44941009999999998</v>
      </c>
      <c r="Z4530">
        <v>8.0541909999999994E-2</v>
      </c>
      <c r="AA4530">
        <v>0.88968740000000002</v>
      </c>
      <c r="AB4530">
        <v>26</v>
      </c>
      <c r="AC4530">
        <v>0.72910000000001596</v>
      </c>
      <c r="AD4530">
        <v>-9.2628000000000099E-2</v>
      </c>
      <c r="AE4530">
        <v>-6.4019999999992194E-2</v>
      </c>
      <c r="AF4530">
        <v>-0.41271719060752499</v>
      </c>
      <c r="AG4530">
        <v>-9.2628000000000099E-2</v>
      </c>
      <c r="AH4530">
        <v>0.59041818722628303</v>
      </c>
      <c r="AI4530">
        <v>97.327137534894504</v>
      </c>
      <c r="AJ4530">
        <v>124.95451846336501</v>
      </c>
      <c r="AK4530">
        <v>0.72629819056262201</v>
      </c>
    </row>
    <row r="4531" spans="1:37" x14ac:dyDescent="0.2">
      <c r="A4531" t="str">
        <f>"20200111154154803"</f>
        <v>20200111154154803</v>
      </c>
      <c r="B4531" t="str">
        <f>"1578728514800257"</f>
        <v>1578728514800257</v>
      </c>
      <c r="C4531" t="s">
        <v>37</v>
      </c>
      <c r="D4531">
        <v>5.3775699999999897</v>
      </c>
      <c r="E4531">
        <v>0.4446734</v>
      </c>
      <c r="F4531" t="s">
        <v>47</v>
      </c>
      <c r="G4531">
        <v>-283.09769999999997</v>
      </c>
      <c r="H4531" s="1">
        <v>-5.2448199999999999E-6</v>
      </c>
      <c r="I4531">
        <v>-57.318739999999998</v>
      </c>
      <c r="J4531">
        <v>-293.99009999999998</v>
      </c>
      <c r="K4531">
        <v>1.1190119999999999</v>
      </c>
      <c r="L4531">
        <v>-55.001309999999997</v>
      </c>
      <c r="M4531">
        <v>0.77401189999999997</v>
      </c>
      <c r="N4531">
        <v>0</v>
      </c>
      <c r="O4531">
        <v>-0.63299799999999995</v>
      </c>
      <c r="P4531">
        <v>0.92656510000000003</v>
      </c>
      <c r="Q4531">
        <v>3.8744939999999999E-2</v>
      </c>
      <c r="R4531">
        <v>-0.37413419999999997</v>
      </c>
      <c r="S4531">
        <v>2.9872740000000002</v>
      </c>
      <c r="T4531">
        <v>-0.301481099999999</v>
      </c>
      <c r="U4531">
        <v>-0.66412349999999998</v>
      </c>
      <c r="V4531">
        <v>-0.2979926</v>
      </c>
      <c r="W4531">
        <v>4.6711910000000002E-2</v>
      </c>
      <c r="X4531">
        <v>0.95342459999999996</v>
      </c>
      <c r="Y4531">
        <v>-0.445324</v>
      </c>
      <c r="Z4531">
        <v>8.0061599999999997E-2</v>
      </c>
      <c r="AA4531">
        <v>0.89178289999999905</v>
      </c>
      <c r="AB4531">
        <v>25</v>
      </c>
      <c r="AC4531">
        <v>10.8924</v>
      </c>
      <c r="AD4531">
        <v>-1.11901724482</v>
      </c>
      <c r="AE4531">
        <v>-2.3174299999999999</v>
      </c>
      <c r="AF4531">
        <v>-5.0507100701582202</v>
      </c>
      <c r="AG4531">
        <v>-1.11901724482</v>
      </c>
      <c r="AH4531">
        <v>9.7999089231021692</v>
      </c>
      <c r="AI4531">
        <v>95.795633818843996</v>
      </c>
      <c r="AJ4531">
        <v>117.265825572259</v>
      </c>
      <c r="AK4531">
        <v>11.0815200540404</v>
      </c>
    </row>
    <row r="4532" spans="1:37" x14ac:dyDescent="0.2">
      <c r="A4532" t="str">
        <f>"20200111154154817"</f>
        <v>20200111154154817</v>
      </c>
      <c r="B4532" t="str">
        <f>"1578728514810994"</f>
        <v>1578728514810994</v>
      </c>
      <c r="C4532" t="s">
        <v>37</v>
      </c>
      <c r="D4532">
        <v>5.3842809999999997</v>
      </c>
      <c r="E4532">
        <v>0.44456849999999998</v>
      </c>
      <c r="F4532" t="s">
        <v>38</v>
      </c>
      <c r="G4532">
        <v>-292.97140000000002</v>
      </c>
      <c r="H4532">
        <v>1.020578</v>
      </c>
      <c r="I4532">
        <v>-55.2513199999999</v>
      </c>
      <c r="J4532">
        <v>-293.85289999999998</v>
      </c>
      <c r="K4532">
        <v>1.1188940000000001</v>
      </c>
      <c r="L4532">
        <v>-55.101900000000001</v>
      </c>
      <c r="M4532">
        <v>0.77919910000000003</v>
      </c>
      <c r="N4532">
        <v>0</v>
      </c>
      <c r="O4532">
        <v>-0.62660229999999995</v>
      </c>
      <c r="P4532">
        <v>0.92907629999999997</v>
      </c>
      <c r="Q4532">
        <v>3.8517240000000001E-2</v>
      </c>
      <c r="R4532">
        <v>-0.36787779999999998</v>
      </c>
      <c r="S4532">
        <v>2.9566650000000001</v>
      </c>
      <c r="T4532">
        <v>-0.28569060000000002</v>
      </c>
      <c r="U4532">
        <v>-0.72579959999999999</v>
      </c>
      <c r="V4532">
        <v>-0.29655609999999999</v>
      </c>
      <c r="W4532">
        <v>4.6579969999999998E-2</v>
      </c>
      <c r="X4532">
        <v>0.95387880000000003</v>
      </c>
      <c r="Y4532">
        <v>-0.41872910000000002</v>
      </c>
      <c r="Z4532">
        <v>7.4662010000000001E-2</v>
      </c>
      <c r="AA4532">
        <v>0.90503679999999997</v>
      </c>
      <c r="AB4532">
        <v>25</v>
      </c>
      <c r="AC4532">
        <v>0.88149999999995898</v>
      </c>
      <c r="AD4532">
        <v>-9.8316000000000001E-2</v>
      </c>
      <c r="AE4532">
        <v>-0.149419999999992</v>
      </c>
      <c r="AF4532">
        <v>-0.43076079328486</v>
      </c>
      <c r="AG4532">
        <v>-9.8316000000000001E-2</v>
      </c>
      <c r="AH4532">
        <v>0.77125010998871801</v>
      </c>
      <c r="AI4532">
        <v>96.350527146793794</v>
      </c>
      <c r="AJ4532">
        <v>119.184355447028</v>
      </c>
      <c r="AK4532">
        <v>0.88884623475886504</v>
      </c>
    </row>
    <row r="4533" spans="1:37" x14ac:dyDescent="0.2">
      <c r="A4533" t="str">
        <f>"20200111154154837"</f>
        <v>20200111154154837</v>
      </c>
      <c r="B4533" t="str">
        <f>"1578728514830512"</f>
        <v>1578728514830512</v>
      </c>
      <c r="C4533" t="s">
        <v>37</v>
      </c>
      <c r="D4533">
        <v>5.6084269999999998</v>
      </c>
      <c r="E4533">
        <v>0.44482240000000001</v>
      </c>
      <c r="F4533" t="s">
        <v>47</v>
      </c>
      <c r="G4533">
        <v>-282.19900000000001</v>
      </c>
      <c r="H4533" s="1">
        <v>-5.5641739999999997E-6</v>
      </c>
      <c r="I4533">
        <v>-57.876480000000001</v>
      </c>
      <c r="J4533">
        <v>-293.68340000000001</v>
      </c>
      <c r="K4533">
        <v>1.1187499999999999</v>
      </c>
      <c r="L4533">
        <v>-55.224179999999997</v>
      </c>
      <c r="M4533">
        <v>0.78542819999999902</v>
      </c>
      <c r="N4533">
        <v>0</v>
      </c>
      <c r="O4533">
        <v>-0.61877729999999997</v>
      </c>
      <c r="P4533">
        <v>0.93177909999999997</v>
      </c>
      <c r="Q4533">
        <v>3.7893910000000003E-2</v>
      </c>
      <c r="R4533">
        <v>-0.36104340000000001</v>
      </c>
      <c r="S4533">
        <v>2.9616090000000002</v>
      </c>
      <c r="T4533">
        <v>-0.28434789999999999</v>
      </c>
      <c r="U4533">
        <v>-0.70510859999999997</v>
      </c>
      <c r="V4533">
        <v>-0.29400599999999999</v>
      </c>
      <c r="W4533">
        <v>4.6086019999999998E-2</v>
      </c>
      <c r="X4533">
        <v>0.95469179999999998</v>
      </c>
      <c r="Y4533">
        <v>-0.41605629999999999</v>
      </c>
      <c r="Z4533">
        <v>7.3601070000000005E-2</v>
      </c>
      <c r="AA4533">
        <v>0.90635540000000003</v>
      </c>
      <c r="AB4533">
        <v>25</v>
      </c>
      <c r="AC4533">
        <v>11.4843999999999</v>
      </c>
      <c r="AD4533">
        <v>-1.1187555641739999</v>
      </c>
      <c r="AE4533">
        <v>-2.6522999999999999</v>
      </c>
      <c r="AF4533">
        <v>-4.9787854979166299</v>
      </c>
      <c r="AG4533">
        <v>-1.1187555641739999</v>
      </c>
      <c r="AH4533">
        <v>10.567309586910801</v>
      </c>
      <c r="AI4533">
        <v>95.470643478421195</v>
      </c>
      <c r="AJ4533">
        <v>115.227458420074</v>
      </c>
      <c r="AK4533">
        <v>11.7349031079192</v>
      </c>
    </row>
    <row r="4534" spans="1:37" x14ac:dyDescent="0.2">
      <c r="A4534" t="str">
        <f>"20200111154154859"</f>
        <v>20200111154154859</v>
      </c>
      <c r="B4534" t="str">
        <f>"1578728514851012"</f>
        <v>1578728514851012</v>
      </c>
      <c r="C4534" t="s">
        <v>37</v>
      </c>
      <c r="D4534">
        <v>5.3802190000000003</v>
      </c>
      <c r="E4534">
        <v>0.44503749999999997</v>
      </c>
      <c r="F4534" t="s">
        <v>47</v>
      </c>
      <c r="G4534">
        <v>-282.01069999999999</v>
      </c>
      <c r="H4534" s="1">
        <v>-5.644203E-6</v>
      </c>
      <c r="I4534">
        <v>-57.9197699999999</v>
      </c>
      <c r="J4534">
        <v>-293.4753</v>
      </c>
      <c r="K4534">
        <v>1.1185959999999999</v>
      </c>
      <c r="L4534">
        <v>-55.371250000000003</v>
      </c>
      <c r="M4534">
        <v>0.79280450000000002</v>
      </c>
      <c r="N4534">
        <v>0</v>
      </c>
      <c r="O4534">
        <v>-0.60929880000000003</v>
      </c>
      <c r="P4534">
        <v>0.93511089999999997</v>
      </c>
      <c r="Q4534">
        <v>3.7108370000000002E-2</v>
      </c>
      <c r="R4534">
        <v>-0.35240729999999998</v>
      </c>
      <c r="S4534">
        <v>2.9658509999999998</v>
      </c>
      <c r="T4534">
        <v>-0.28425800000000001</v>
      </c>
      <c r="U4534">
        <v>-0.68490600000000001</v>
      </c>
      <c r="V4534">
        <v>-0.291354</v>
      </c>
      <c r="W4534">
        <v>4.5442490000000002E-2</v>
      </c>
      <c r="X4534">
        <v>0.95553539999999904</v>
      </c>
      <c r="Y4534">
        <v>-0.41133999999999998</v>
      </c>
      <c r="Z4534">
        <v>7.265721E-2</v>
      </c>
      <c r="AA4534">
        <v>0.90858150000000004</v>
      </c>
      <c r="AB4534">
        <v>25</v>
      </c>
      <c r="AC4534">
        <v>11.464600000000001</v>
      </c>
      <c r="AD4534">
        <v>-1.118601644203</v>
      </c>
      <c r="AE4534">
        <v>-2.5485199999999799</v>
      </c>
      <c r="AF4534">
        <v>-4.9207855860656302</v>
      </c>
      <c r="AG4534">
        <v>-1.118601644203</v>
      </c>
      <c r="AH4534">
        <v>10.5474633550002</v>
      </c>
      <c r="AI4534">
        <v>95.489789487265497</v>
      </c>
      <c r="AJ4534">
        <v>115.01080882310001</v>
      </c>
      <c r="AK4534">
        <v>11.692492619091899</v>
      </c>
    </row>
    <row r="4535" spans="1:37" x14ac:dyDescent="0.2">
      <c r="A4535" t="str">
        <f>"20200111154154877"</f>
        <v>20200111154154877</v>
      </c>
      <c r="B4535" t="str">
        <f>"1578728514870529"</f>
        <v>1578728514870529</v>
      </c>
      <c r="C4535" t="s">
        <v>37</v>
      </c>
      <c r="D4535">
        <v>5.392741</v>
      </c>
      <c r="E4535">
        <v>0.44086930000000002</v>
      </c>
      <c r="F4535" t="s">
        <v>47</v>
      </c>
      <c r="G4535">
        <v>-281.9051</v>
      </c>
      <c r="H4535" s="1">
        <v>-5.6902710000000002E-6</v>
      </c>
      <c r="I4535">
        <v>-57.937289999999997</v>
      </c>
      <c r="J4535">
        <v>-293.32049999999998</v>
      </c>
      <c r="K4535">
        <v>1.118484</v>
      </c>
      <c r="L4535">
        <v>-55.478209999999997</v>
      </c>
      <c r="M4535">
        <v>0.79808179999999995</v>
      </c>
      <c r="N4535">
        <v>0</v>
      </c>
      <c r="O4535">
        <v>-0.60237039999999997</v>
      </c>
      <c r="P4535">
        <v>0.93766369999999899</v>
      </c>
      <c r="Q4535">
        <v>3.7229150000000003E-2</v>
      </c>
      <c r="R4535">
        <v>-0.34554479999999999</v>
      </c>
      <c r="S4535">
        <v>2.9712519999999998</v>
      </c>
      <c r="T4535">
        <v>-0.28725889999999998</v>
      </c>
      <c r="U4535">
        <v>-0.6589661</v>
      </c>
      <c r="V4535">
        <v>-0.29001959999999999</v>
      </c>
      <c r="W4535">
        <v>4.5648269999999998E-2</v>
      </c>
      <c r="X4535">
        <v>0.95593139999999999</v>
      </c>
      <c r="Y4535">
        <v>-0.41125969999999901</v>
      </c>
      <c r="Z4535">
        <v>7.2883920000000005E-2</v>
      </c>
      <c r="AA4535">
        <v>0.90859969999999901</v>
      </c>
      <c r="AB4535">
        <v>25</v>
      </c>
      <c r="AC4535">
        <v>11.415399999999901</v>
      </c>
      <c r="AD4535">
        <v>-1.118489690271</v>
      </c>
      <c r="AE4535">
        <v>-2.4590800000000002</v>
      </c>
      <c r="AF4535">
        <v>-4.8696050773983899</v>
      </c>
      <c r="AG4535">
        <v>-1.118489690271</v>
      </c>
      <c r="AH4535">
        <v>10.496540172487901</v>
      </c>
      <c r="AI4535">
        <v>95.521190134694805</v>
      </c>
      <c r="AJ4535">
        <v>114.887753678042</v>
      </c>
      <c r="AK4535">
        <v>11.625034554345101</v>
      </c>
    </row>
    <row r="4536" spans="1:37" x14ac:dyDescent="0.2">
      <c r="A4536" t="str">
        <f>"20200111154154892"</f>
        <v>20200111154154892</v>
      </c>
      <c r="B4536" t="str">
        <f>"1578728514880289"</f>
        <v>1578728514880289</v>
      </c>
      <c r="C4536" t="s">
        <v>37</v>
      </c>
      <c r="D4536">
        <v>5.423692</v>
      </c>
      <c r="E4536">
        <v>0.44086549999999902</v>
      </c>
      <c r="F4536" t="s">
        <v>47</v>
      </c>
      <c r="G4536">
        <v>-283.07150000000001</v>
      </c>
      <c r="H4536" s="1">
        <v>-5.2140999999999998E-6</v>
      </c>
      <c r="I4536">
        <v>-57.5599699999999</v>
      </c>
      <c r="J4536">
        <v>-293.1764</v>
      </c>
      <c r="K4536">
        <v>1.1183809999999901</v>
      </c>
      <c r="L4536">
        <v>-55.576169999999998</v>
      </c>
      <c r="M4536">
        <v>0.80285139999999999</v>
      </c>
      <c r="N4536">
        <v>0</v>
      </c>
      <c r="O4536">
        <v>-0.59599919999999995</v>
      </c>
      <c r="P4536">
        <v>0.93927989999999995</v>
      </c>
      <c r="Q4536">
        <v>3.7239609999999999E-2</v>
      </c>
      <c r="R4536">
        <v>-0.34112579999999998</v>
      </c>
      <c r="S4536">
        <v>2.98867799999999</v>
      </c>
      <c r="T4536">
        <v>-0.32615959999999899</v>
      </c>
      <c r="U4536">
        <v>-0.60705569999999998</v>
      </c>
      <c r="V4536">
        <v>-0.28689629999999999</v>
      </c>
      <c r="W4536">
        <v>4.5781170000000003E-2</v>
      </c>
      <c r="X4536">
        <v>0.95686709999999997</v>
      </c>
      <c r="Y4536">
        <v>-0.41905329999999902</v>
      </c>
      <c r="Z4536">
        <v>8.2342509999999994E-2</v>
      </c>
      <c r="AA4536">
        <v>0.90422009999999897</v>
      </c>
      <c r="AB4536">
        <v>25</v>
      </c>
      <c r="AC4536">
        <v>10.104899999999899</v>
      </c>
      <c r="AD4536">
        <v>-1.1183862140999901</v>
      </c>
      <c r="AE4536">
        <v>-1.98379999999999</v>
      </c>
      <c r="AF4536">
        <v>-4.3786452256969604</v>
      </c>
      <c r="AG4536">
        <v>-1.1183862140999901</v>
      </c>
      <c r="AH4536">
        <v>9.1877053692499207</v>
      </c>
      <c r="AI4536">
        <v>96.270815217551402</v>
      </c>
      <c r="AJ4536">
        <v>115.481375477252</v>
      </c>
      <c r="AK4536">
        <v>10.239006381898101</v>
      </c>
    </row>
    <row r="4537" spans="1:37" x14ac:dyDescent="0.2">
      <c r="A4537" t="str">
        <f>"20200111154154908"</f>
        <v>20200111154154908</v>
      </c>
      <c r="B4537" t="str">
        <f>"1578728514900786"</f>
        <v>1578728514900786</v>
      </c>
      <c r="C4537" t="s">
        <v>37</v>
      </c>
      <c r="D4537">
        <v>5.4281610000000002</v>
      </c>
      <c r="E4537">
        <v>0.44188090000000002</v>
      </c>
      <c r="F4537" t="s">
        <v>47</v>
      </c>
      <c r="G4537">
        <v>-282.80090000000001</v>
      </c>
      <c r="H4537" s="1">
        <v>-5.3274540000000002E-6</v>
      </c>
      <c r="I4537">
        <v>-57.631239999999998</v>
      </c>
      <c r="J4537">
        <v>-293.02999999999997</v>
      </c>
      <c r="K4537">
        <v>1.118274</v>
      </c>
      <c r="L4537">
        <v>-55.674190000000003</v>
      </c>
      <c r="M4537">
        <v>0.80756519999999898</v>
      </c>
      <c r="N4537">
        <v>0</v>
      </c>
      <c r="O4537">
        <v>-0.58959700000000004</v>
      </c>
      <c r="P4537">
        <v>0.94149150000000004</v>
      </c>
      <c r="Q4537">
        <v>3.7321939999999998E-2</v>
      </c>
      <c r="R4537">
        <v>-0.33496419999999999</v>
      </c>
      <c r="S4537">
        <v>2.9915159999999998</v>
      </c>
      <c r="T4537">
        <v>-0.3224591</v>
      </c>
      <c r="U4537">
        <v>-0.59252930000000004</v>
      </c>
      <c r="V4537">
        <v>-0.28554420000000003</v>
      </c>
      <c r="W4537">
        <v>4.5943600000000001E-2</v>
      </c>
      <c r="X4537">
        <v>0.95726359999999999</v>
      </c>
      <c r="Y4537">
        <v>-0.41639470000000001</v>
      </c>
      <c r="Z4537">
        <v>8.0721089999999995E-2</v>
      </c>
      <c r="AA4537">
        <v>0.90559349999999905</v>
      </c>
      <c r="AB4537">
        <v>25</v>
      </c>
      <c r="AC4537">
        <v>10.229099999999899</v>
      </c>
      <c r="AD4537">
        <v>-1.1182793274539999</v>
      </c>
      <c r="AE4537">
        <v>-1.95705</v>
      </c>
      <c r="AF4537">
        <v>-4.40034306720574</v>
      </c>
      <c r="AG4537">
        <v>-1.1182793274539999</v>
      </c>
      <c r="AH4537">
        <v>9.3082229474862306</v>
      </c>
      <c r="AI4537">
        <v>96.198812780261804</v>
      </c>
      <c r="AJ4537">
        <v>115.301842587325</v>
      </c>
      <c r="AK4537">
        <v>10.3564753755042</v>
      </c>
    </row>
    <row r="4538" spans="1:37" x14ac:dyDescent="0.2">
      <c r="A4538" t="str">
        <f>"20200111154154928"</f>
        <v>20200111154154928</v>
      </c>
      <c r="B4538" t="str">
        <f>"1578728514920305"</f>
        <v>1578728514920305</v>
      </c>
      <c r="C4538" t="s">
        <v>37</v>
      </c>
      <c r="D4538">
        <v>5.4241109999999999</v>
      </c>
      <c r="E4538">
        <v>0.44292199999999998</v>
      </c>
      <c r="F4538" t="s">
        <v>38</v>
      </c>
      <c r="G4538">
        <v>-291.98790000000002</v>
      </c>
      <c r="H4538">
        <v>1.006521</v>
      </c>
      <c r="I4538">
        <v>-55.876449999999998</v>
      </c>
      <c r="J4538">
        <v>-292.85849999999999</v>
      </c>
      <c r="K4538">
        <v>1.118152</v>
      </c>
      <c r="L4538">
        <v>-55.787109999999998</v>
      </c>
      <c r="M4538">
        <v>0.81292359999999997</v>
      </c>
      <c r="N4538">
        <v>0</v>
      </c>
      <c r="O4538">
        <v>-0.58218769999999997</v>
      </c>
      <c r="P4538">
        <v>0.94353799999999899</v>
      </c>
      <c r="Q4538">
        <v>3.7795469999999998E-2</v>
      </c>
      <c r="R4538">
        <v>-0.32910149999999999</v>
      </c>
      <c r="S4538">
        <v>2.9925540000000002</v>
      </c>
      <c r="T4538">
        <v>-0.32088719999999998</v>
      </c>
      <c r="U4538">
        <v>-0.58062740000000002</v>
      </c>
      <c r="V4538">
        <v>-0.28272520000000001</v>
      </c>
      <c r="W4538">
        <v>4.6537580000000002E-2</v>
      </c>
      <c r="X4538">
        <v>0.95807140000000002</v>
      </c>
      <c r="Y4538">
        <v>-0.41171990000000003</v>
      </c>
      <c r="Z4538">
        <v>7.9479969999999997E-2</v>
      </c>
      <c r="AA4538">
        <v>0.90783789999999998</v>
      </c>
      <c r="AB4538">
        <v>25</v>
      </c>
      <c r="AC4538">
        <v>0.87059999999996696</v>
      </c>
      <c r="AD4538">
        <v>-0.11163099999999999</v>
      </c>
      <c r="AE4538">
        <v>-8.9339999999999906E-2</v>
      </c>
      <c r="AF4538">
        <v>-0.427319787859952</v>
      </c>
      <c r="AG4538">
        <v>-0.11163099999999999</v>
      </c>
      <c r="AH4538">
        <v>0.74766044500816098</v>
      </c>
      <c r="AI4538">
        <v>97.385978563902896</v>
      </c>
      <c r="AJ4538">
        <v>119.74980580759301</v>
      </c>
      <c r="AK4538">
        <v>0.86836617983859499</v>
      </c>
    </row>
    <row r="4539" spans="1:37" x14ac:dyDescent="0.2">
      <c r="A4539" t="str">
        <f>"20200111154154944"</f>
        <v>20200111154154944</v>
      </c>
      <c r="B4539" t="str">
        <f>"1578728514940801"</f>
        <v>1578728514940801</v>
      </c>
      <c r="C4539" t="s">
        <v>37</v>
      </c>
      <c r="D4539">
        <v>5.3919489999999897</v>
      </c>
      <c r="E4539">
        <v>0.44333729999999899</v>
      </c>
      <c r="F4539" t="s">
        <v>38</v>
      </c>
      <c r="G4539">
        <v>-291.79939999999999</v>
      </c>
      <c r="H4539">
        <v>1.005479</v>
      </c>
      <c r="I4539">
        <v>-55.988799999999998</v>
      </c>
      <c r="J4539">
        <v>-292.69990000000001</v>
      </c>
      <c r="K4539">
        <v>1.1180369999999999</v>
      </c>
      <c r="L4539">
        <v>-55.889710000000001</v>
      </c>
      <c r="M4539">
        <v>0.81772999999999996</v>
      </c>
      <c r="N4539">
        <v>0</v>
      </c>
      <c r="O4539">
        <v>-0.57541799999999999</v>
      </c>
      <c r="P4539">
        <v>0.94582350000000004</v>
      </c>
      <c r="Q4539">
        <v>3.7358839999999997E-2</v>
      </c>
      <c r="R4539">
        <v>-0.32252520000000001</v>
      </c>
      <c r="S4539">
        <v>2.993439</v>
      </c>
      <c r="T4539">
        <v>-0.318469</v>
      </c>
      <c r="U4539">
        <v>-0.57006840000000003</v>
      </c>
      <c r="V4539">
        <v>-0.28142709999999999</v>
      </c>
      <c r="W4539">
        <v>4.6179850000000001E-2</v>
      </c>
      <c r="X4539">
        <v>0.95847079999999996</v>
      </c>
      <c r="Y4539">
        <v>-0.40742299999999998</v>
      </c>
      <c r="Z4539">
        <v>7.8107029999999994E-2</v>
      </c>
      <c r="AA4539">
        <v>0.90989330000000002</v>
      </c>
      <c r="AB4539">
        <v>25</v>
      </c>
      <c r="AC4539">
        <v>0.90050000000002195</v>
      </c>
      <c r="AD4539">
        <v>-0.11255800000000001</v>
      </c>
      <c r="AE4539">
        <v>-9.9089999999996806E-2</v>
      </c>
      <c r="AF4539">
        <v>-0.43053523665931698</v>
      </c>
      <c r="AG4539">
        <v>-0.11255800000000001</v>
      </c>
      <c r="AH4539">
        <v>0.78140562817431003</v>
      </c>
      <c r="AI4539">
        <v>97.190616904449001</v>
      </c>
      <c r="AJ4539">
        <v>118.853680664546</v>
      </c>
      <c r="AK4539">
        <v>0.89923559155083699</v>
      </c>
    </row>
    <row r="4540" spans="1:37" x14ac:dyDescent="0.2">
      <c r="A4540" t="str">
        <f>"20200111154154961"</f>
        <v>20200111154154961</v>
      </c>
      <c r="B4540" t="str">
        <f>"1578728514950561"</f>
        <v>1578728514950561</v>
      </c>
      <c r="C4540" t="s">
        <v>37</v>
      </c>
      <c r="D4540">
        <v>5.4077289999999998</v>
      </c>
      <c r="E4540">
        <v>0.44354659999999901</v>
      </c>
      <c r="F4540" t="s">
        <v>38</v>
      </c>
      <c r="G4540">
        <v>-291.64749999999998</v>
      </c>
      <c r="H4540">
        <v>1.0060990000000001</v>
      </c>
      <c r="I4540">
        <v>-56.0839</v>
      </c>
      <c r="J4540">
        <v>-292.53750000000002</v>
      </c>
      <c r="K4540">
        <v>1.117928</v>
      </c>
      <c r="L4540">
        <v>-55.992769999999901</v>
      </c>
      <c r="M4540">
        <v>0.82249719999999904</v>
      </c>
      <c r="N4540">
        <v>0</v>
      </c>
      <c r="O4540">
        <v>-0.56858350000000002</v>
      </c>
      <c r="P4540">
        <v>0.94767459999999903</v>
      </c>
      <c r="Q4540">
        <v>3.7633239999999998E-2</v>
      </c>
      <c r="R4540">
        <v>-0.31701240000000003</v>
      </c>
      <c r="S4540">
        <v>2.9960330000000002</v>
      </c>
      <c r="T4540">
        <v>-0.31865500000000002</v>
      </c>
      <c r="U4540">
        <v>-0.55236819999999998</v>
      </c>
      <c r="V4540">
        <v>-0.27900409999999998</v>
      </c>
      <c r="W4540">
        <v>4.6556159999999999E-2</v>
      </c>
      <c r="X4540">
        <v>0.95916069999999998</v>
      </c>
      <c r="Y4540">
        <v>-0.405196</v>
      </c>
      <c r="Z4540">
        <v>7.7455599999999999E-2</v>
      </c>
      <c r="AA4540">
        <v>0.91094279999999905</v>
      </c>
      <c r="AB4540">
        <v>25</v>
      </c>
      <c r="AC4540">
        <v>0.89000000000004298</v>
      </c>
      <c r="AD4540">
        <v>-0.111828999999999</v>
      </c>
      <c r="AE4540">
        <v>-9.1130000000006803E-2</v>
      </c>
      <c r="AF4540">
        <v>-0.42449819894568602</v>
      </c>
      <c r="AG4540">
        <v>-0.111828999999999</v>
      </c>
      <c r="AH4540">
        <v>0.77186054828951101</v>
      </c>
      <c r="AI4540">
        <v>97.234997560007699</v>
      </c>
      <c r="AJ4540">
        <v>118.809363101004</v>
      </c>
      <c r="AK4540">
        <v>0.887960107299262</v>
      </c>
    </row>
    <row r="4541" spans="1:37" x14ac:dyDescent="0.2">
      <c r="A4541" t="str">
        <f>"20200111154154977"</f>
        <v>20200111154154977</v>
      </c>
      <c r="B4541" t="str">
        <f>"1578728514971057"</f>
        <v>1578728514971057</v>
      </c>
      <c r="C4541" t="s">
        <v>37</v>
      </c>
      <c r="D4541">
        <v>5.6213290000000002</v>
      </c>
      <c r="E4541">
        <v>0.44364769999999998</v>
      </c>
      <c r="F4541" t="s">
        <v>47</v>
      </c>
      <c r="G4541">
        <v>-281.95330000000001</v>
      </c>
      <c r="H4541" s="1">
        <v>-5.6767799999999999E-6</v>
      </c>
      <c r="I4541">
        <v>-57.886830000000003</v>
      </c>
      <c r="J4541">
        <v>-292.38780000000003</v>
      </c>
      <c r="K4541">
        <v>1.117829</v>
      </c>
      <c r="L4541">
        <v>-56.086119999999902</v>
      </c>
      <c r="M4541">
        <v>0.82676719999999904</v>
      </c>
      <c r="N4541">
        <v>0</v>
      </c>
      <c r="O4541">
        <v>-0.56235709999999905</v>
      </c>
      <c r="P4541">
        <v>0.94962099999999905</v>
      </c>
      <c r="Q4541">
        <v>3.7659270000000002E-2</v>
      </c>
      <c r="R4541">
        <v>-0.31112970000000001</v>
      </c>
      <c r="S4541">
        <v>2.998688</v>
      </c>
      <c r="T4541">
        <v>-0.31673040000000002</v>
      </c>
      <c r="U4541">
        <v>-0.53662109999999996</v>
      </c>
      <c r="V4541">
        <v>-0.27769739999999998</v>
      </c>
      <c r="W4541">
        <v>4.6651900000000003E-2</v>
      </c>
      <c r="X4541">
        <v>0.95953519999999903</v>
      </c>
      <c r="Y4541">
        <v>-0.40317449999999999</v>
      </c>
      <c r="Z4541">
        <v>7.6346040000000004E-2</v>
      </c>
      <c r="AA4541">
        <v>0.91193289999999905</v>
      </c>
      <c r="AB4541">
        <v>25</v>
      </c>
      <c r="AC4541">
        <v>10.4345</v>
      </c>
      <c r="AD4541">
        <v>-1.11783467678</v>
      </c>
      <c r="AE4541">
        <v>-1.80071</v>
      </c>
      <c r="AF4541">
        <v>-4.3313368696439998</v>
      </c>
      <c r="AG4541">
        <v>-1.11783467678</v>
      </c>
      <c r="AH4541">
        <v>9.53430250531426</v>
      </c>
      <c r="AI4541">
        <v>96.092954328552494</v>
      </c>
      <c r="AJ4541">
        <v>114.43181633912801</v>
      </c>
      <c r="AK4541">
        <v>10.531522098243499</v>
      </c>
    </row>
    <row r="4542" spans="1:37" x14ac:dyDescent="0.2">
      <c r="A4542" t="str">
        <f>"20200111154154993"</f>
        <v>20200111154154993</v>
      </c>
      <c r="B4542" t="str">
        <f>"1578728514980817"</f>
        <v>1578728514980817</v>
      </c>
      <c r="C4542" t="s">
        <v>37</v>
      </c>
      <c r="D4542">
        <v>5.443924</v>
      </c>
      <c r="E4542">
        <v>0.45393889999999998</v>
      </c>
      <c r="F4542" t="s">
        <v>47</v>
      </c>
      <c r="G4542">
        <v>-281.74529999999999</v>
      </c>
      <c r="H4542" s="1">
        <v>-5.7667420000000001E-6</v>
      </c>
      <c r="I4542">
        <v>-57.925899999999999</v>
      </c>
      <c r="J4542">
        <v>-292.23910000000001</v>
      </c>
      <c r="K4542">
        <v>1.1177280000000001</v>
      </c>
      <c r="L4542">
        <v>-56.177579999999999</v>
      </c>
      <c r="M4542">
        <v>0.83089460000000004</v>
      </c>
      <c r="N4542">
        <v>0</v>
      </c>
      <c r="O4542">
        <v>-0.55624149999999895</v>
      </c>
      <c r="P4542">
        <v>0.95107559999999902</v>
      </c>
      <c r="Q4542">
        <v>3.7963509999999999E-2</v>
      </c>
      <c r="R4542">
        <v>-0.30661739999999998</v>
      </c>
      <c r="S4542">
        <v>3.001617</v>
      </c>
      <c r="T4542">
        <v>-0.3152739</v>
      </c>
      <c r="U4542">
        <v>-0.51889039999999997</v>
      </c>
      <c r="V4542">
        <v>-0.27515729999999999</v>
      </c>
      <c r="W4542">
        <v>4.7052480000000001E-2</v>
      </c>
      <c r="X4542">
        <v>0.96024709999999902</v>
      </c>
      <c r="Y4542">
        <v>-0.40188950000000001</v>
      </c>
      <c r="Z4542">
        <v>7.5398430000000002E-2</v>
      </c>
      <c r="AA4542">
        <v>0.91257869999999996</v>
      </c>
      <c r="AB4542">
        <v>25</v>
      </c>
      <c r="AC4542">
        <v>10.4938</v>
      </c>
      <c r="AD4542">
        <v>-1.117733766742</v>
      </c>
      <c r="AE4542">
        <v>-1.7483199999999901</v>
      </c>
      <c r="AF4542">
        <v>-4.3370017127567904</v>
      </c>
      <c r="AG4542">
        <v>-1.117733766742</v>
      </c>
      <c r="AH4542">
        <v>9.5869177716795502</v>
      </c>
      <c r="AI4542">
        <v>96.063525233303906</v>
      </c>
      <c r="AJ4542">
        <v>114.341401103915</v>
      </c>
      <c r="AK4542">
        <v>10.5814887889519</v>
      </c>
    </row>
    <row r="4543" spans="1:37" x14ac:dyDescent="0.2">
      <c r="A4543" t="str">
        <f>"20200111154155008"</f>
        <v>20200111154155008</v>
      </c>
      <c r="B4543" t="str">
        <f>"1578728515000337"</f>
        <v>1578728515000337</v>
      </c>
      <c r="C4543" t="s">
        <v>37</v>
      </c>
      <c r="D4543">
        <v>5.4278949999999897</v>
      </c>
      <c r="E4543">
        <v>0.45532990000000001</v>
      </c>
      <c r="F4543" t="s">
        <v>47</v>
      </c>
      <c r="G4543">
        <v>-280.36599999999999</v>
      </c>
      <c r="H4543" s="1">
        <v>-6.2372670000000001E-6</v>
      </c>
      <c r="I4543">
        <v>-58.4983199999999</v>
      </c>
      <c r="J4543">
        <v>-292.10329999999999</v>
      </c>
      <c r="K4543">
        <v>1.117639</v>
      </c>
      <c r="L4543">
        <v>-56.259950000000003</v>
      </c>
      <c r="M4543">
        <v>0.83456679999999905</v>
      </c>
      <c r="N4543">
        <v>0</v>
      </c>
      <c r="O4543">
        <v>-0.55071749999999997</v>
      </c>
      <c r="P4543">
        <v>0.95266049999999902</v>
      </c>
      <c r="Q4543">
        <v>3.8070109999999997E-2</v>
      </c>
      <c r="R4543">
        <v>-0.30164370000000001</v>
      </c>
      <c r="S4543">
        <v>2.977875</v>
      </c>
      <c r="T4543">
        <v>-0.28033799999999998</v>
      </c>
      <c r="U4543">
        <v>-0.58206179999999996</v>
      </c>
      <c r="V4543">
        <v>-0.27379169999999903</v>
      </c>
      <c r="W4543">
        <v>4.7227280000000003E-2</v>
      </c>
      <c r="X4543">
        <v>0.96062879999999995</v>
      </c>
      <c r="Y4543">
        <v>-0.3767935</v>
      </c>
      <c r="Z4543">
        <v>6.5814780000000003E-2</v>
      </c>
      <c r="AA4543">
        <v>0.92395620000000001</v>
      </c>
      <c r="AB4543">
        <v>25</v>
      </c>
      <c r="AC4543">
        <v>11.737299999999999</v>
      </c>
      <c r="AD4543">
        <v>-1.1176452372669901</v>
      </c>
      <c r="AE4543">
        <v>-2.2383699999999802</v>
      </c>
      <c r="AF4543">
        <v>-4.5564818457111196</v>
      </c>
      <c r="AG4543">
        <v>-1.1176452372669901</v>
      </c>
      <c r="AH4543">
        <v>10.933761041699</v>
      </c>
      <c r="AI4543">
        <v>95.390145789446393</v>
      </c>
      <c r="AJ4543">
        <v>112.623205093423</v>
      </c>
      <c r="AK4543">
        <v>11.897806024795299</v>
      </c>
    </row>
    <row r="4544" spans="1:37" x14ac:dyDescent="0.2">
      <c r="A4544" t="str">
        <f>"20200111154155020"</f>
        <v>20200111154155020</v>
      </c>
      <c r="B4544" t="str">
        <f>"1578728515011073"</f>
        <v>1578728515011073</v>
      </c>
      <c r="C4544" t="s">
        <v>37</v>
      </c>
      <c r="D4544">
        <v>5.4565140000000003</v>
      </c>
      <c r="E4544">
        <v>0.45578570000000002</v>
      </c>
      <c r="F4544" t="s">
        <v>47</v>
      </c>
      <c r="G4544">
        <v>-280.39679999999998</v>
      </c>
      <c r="H4544" s="1">
        <v>-6.2235309999999996E-6</v>
      </c>
      <c r="I4544">
        <v>-58.528950000000002</v>
      </c>
      <c r="J4544">
        <v>-291.96969999999999</v>
      </c>
      <c r="K4544">
        <v>1.1175459999999999</v>
      </c>
      <c r="L4544">
        <v>-56.339939999999999</v>
      </c>
      <c r="M4544">
        <v>0.83808769999999999</v>
      </c>
      <c r="N4544">
        <v>0</v>
      </c>
      <c r="O4544">
        <v>-0.54534469999999902</v>
      </c>
      <c r="P4544">
        <v>0.95414880000000002</v>
      </c>
      <c r="Q4544">
        <v>3.7978619999999998E-2</v>
      </c>
      <c r="R4544">
        <v>-0.29691309999999999</v>
      </c>
      <c r="S4544">
        <v>2.9776919999999998</v>
      </c>
      <c r="T4544">
        <v>-0.28428609999999999</v>
      </c>
      <c r="U4544">
        <v>-0.57714840000000001</v>
      </c>
      <c r="V4544">
        <v>-0.27237489999999998</v>
      </c>
      <c r="W4544">
        <v>4.7204410000000002E-2</v>
      </c>
      <c r="X4544">
        <v>0.96103259999999902</v>
      </c>
      <c r="Y4544">
        <v>-0.37223509999999999</v>
      </c>
      <c r="Z4544">
        <v>6.6124059999999998E-2</v>
      </c>
      <c r="AA4544">
        <v>0.92577999999999905</v>
      </c>
      <c r="AB4544">
        <v>25</v>
      </c>
      <c r="AC4544">
        <v>11.572900000000001</v>
      </c>
      <c r="AD4544">
        <v>-1.117552223531</v>
      </c>
      <c r="AE4544">
        <v>-2.1890099999999899</v>
      </c>
      <c r="AF4544">
        <v>-4.4371558520002203</v>
      </c>
      <c r="AG4544">
        <v>-1.117552223531</v>
      </c>
      <c r="AH4544">
        <v>10.796801042355201</v>
      </c>
      <c r="AI4544">
        <v>95.468721365058698</v>
      </c>
      <c r="AJ4544">
        <v>112.341167004911</v>
      </c>
      <c r="AK4544">
        <v>11.726388522280001</v>
      </c>
    </row>
    <row r="4545" spans="1:37" x14ac:dyDescent="0.2">
      <c r="A4545" t="str">
        <f>"20200111154155033"</f>
        <v>20200111154155033</v>
      </c>
      <c r="B4545" t="str">
        <f>"1578728515030593"</f>
        <v>1578728515030593</v>
      </c>
      <c r="C4545" t="s">
        <v>37</v>
      </c>
      <c r="D4545">
        <v>5.4551239999999996</v>
      </c>
      <c r="E4545">
        <v>0.45690169999999902</v>
      </c>
      <c r="F4545" t="s">
        <v>47</v>
      </c>
      <c r="G4545">
        <v>-280.17349999999999</v>
      </c>
      <c r="H4545" s="1">
        <v>-6.2924309999999999E-6</v>
      </c>
      <c r="I4545">
        <v>-58.580750000000002</v>
      </c>
      <c r="J4545">
        <v>-291.85219999999998</v>
      </c>
      <c r="K4545">
        <v>1.1174629999999901</v>
      </c>
      <c r="L4545">
        <v>-56.409119999999902</v>
      </c>
      <c r="M4545">
        <v>0.84109889999999998</v>
      </c>
      <c r="N4545">
        <v>0</v>
      </c>
      <c r="O4545">
        <v>-0.54068950000000005</v>
      </c>
      <c r="P4545">
        <v>0.95540059999999905</v>
      </c>
      <c r="Q4545">
        <v>3.7675099999999899E-2</v>
      </c>
      <c r="R4545">
        <v>-0.29289929999999997</v>
      </c>
      <c r="S4545">
        <v>2.979279</v>
      </c>
      <c r="T4545">
        <v>-0.28225279999999903</v>
      </c>
      <c r="U4545">
        <v>-0.56594849999999997</v>
      </c>
      <c r="V4545">
        <v>-0.27107709999999902</v>
      </c>
      <c r="W4545">
        <v>4.6961959999999997E-2</v>
      </c>
      <c r="X4545">
        <v>0.96141139999999903</v>
      </c>
      <c r="Y4545">
        <v>-0.3706179</v>
      </c>
      <c r="Z4545">
        <v>6.5216969999999999E-2</v>
      </c>
      <c r="AA4545">
        <v>0.92649289999999995</v>
      </c>
      <c r="AB4545">
        <v>25</v>
      </c>
      <c r="AC4545">
        <v>11.6786999999999</v>
      </c>
      <c r="AD4545">
        <v>-1.1174692924309999</v>
      </c>
      <c r="AE4545">
        <v>-2.1716299999999999</v>
      </c>
      <c r="AF4545">
        <v>-4.44908829387807</v>
      </c>
      <c r="AG4545">
        <v>-1.1174692924309999</v>
      </c>
      <c r="AH4545">
        <v>10.9017848969682</v>
      </c>
      <c r="AI4545">
        <v>95.421381551840597</v>
      </c>
      <c r="AJ4545">
        <v>112.200686094709</v>
      </c>
      <c r="AK4545">
        <v>11.827596467837999</v>
      </c>
    </row>
    <row r="4546" spans="1:37" x14ac:dyDescent="0.2">
      <c r="A4546" t="str">
        <f>"20200111154155047"</f>
        <v>20200111154155047</v>
      </c>
      <c r="B4546" t="str">
        <f>"1578728515040353"</f>
        <v>1578728515040353</v>
      </c>
      <c r="C4546" t="s">
        <v>37</v>
      </c>
      <c r="D4546">
        <v>5.4048290000000003</v>
      </c>
      <c r="E4546">
        <v>0.457553299999999</v>
      </c>
      <c r="F4546" t="s">
        <v>47</v>
      </c>
      <c r="G4546">
        <v>-280.24279999999999</v>
      </c>
      <c r="H4546" s="1">
        <v>-6.2671319999999997E-6</v>
      </c>
      <c r="I4546">
        <v>-58.59966</v>
      </c>
      <c r="J4546">
        <v>-291.7192</v>
      </c>
      <c r="K4546">
        <v>1.117372</v>
      </c>
      <c r="L4546">
        <v>-56.486789999999999</v>
      </c>
      <c r="M4546">
        <v>0.84444219999999903</v>
      </c>
      <c r="N4546">
        <v>0</v>
      </c>
      <c r="O4546">
        <v>-0.53545359999999997</v>
      </c>
      <c r="P4546">
        <v>0.95674400000000004</v>
      </c>
      <c r="Q4546">
        <v>3.721882E-2</v>
      </c>
      <c r="R4546">
        <v>-0.28854039999999997</v>
      </c>
      <c r="S4546">
        <v>2.979034</v>
      </c>
      <c r="T4546">
        <v>-0.28674769999999999</v>
      </c>
      <c r="U4546">
        <v>-0.56210329999999997</v>
      </c>
      <c r="V4546">
        <v>-0.26947670000000001</v>
      </c>
      <c r="W4546">
        <v>4.6578550000000003E-2</v>
      </c>
      <c r="X4546">
        <v>0.96187979999999995</v>
      </c>
      <c r="Y4546">
        <v>-0.365909599999999</v>
      </c>
      <c r="Z4546">
        <v>6.5628889999999995E-2</v>
      </c>
      <c r="AA4546">
        <v>0.92833349999999903</v>
      </c>
      <c r="AB4546">
        <v>25</v>
      </c>
      <c r="AC4546">
        <v>11.4764</v>
      </c>
      <c r="AD4546">
        <v>-1.1173782671320001</v>
      </c>
      <c r="AE4546">
        <v>-2.11287</v>
      </c>
      <c r="AF4546">
        <v>-4.3217092121693801</v>
      </c>
      <c r="AG4546">
        <v>-1.1173782671320001</v>
      </c>
      <c r="AH4546">
        <v>10.7252815959658</v>
      </c>
      <c r="AI4546">
        <v>95.519458414776395</v>
      </c>
      <c r="AJ4546">
        <v>111.946772541394</v>
      </c>
      <c r="AK4546">
        <v>11.617115391489101</v>
      </c>
    </row>
    <row r="4547" spans="1:37" x14ac:dyDescent="0.2">
      <c r="A4547" t="str">
        <f>"20200111154155060"</f>
        <v>20200111154155060</v>
      </c>
      <c r="B4547" t="str">
        <f>"1578728515051090"</f>
        <v>1578728515051090</v>
      </c>
      <c r="C4547" t="s">
        <v>37</v>
      </c>
      <c r="D4547">
        <v>5.4528129999999999</v>
      </c>
      <c r="E4547">
        <v>0.45805249999999997</v>
      </c>
      <c r="F4547" t="s">
        <v>47</v>
      </c>
      <c r="G4547">
        <v>-280.31569999999999</v>
      </c>
      <c r="H4547" s="1">
        <v>-6.2420249999999998E-6</v>
      </c>
      <c r="I4547">
        <v>-58.605759999999997</v>
      </c>
      <c r="J4547">
        <v>-291.59030000000001</v>
      </c>
      <c r="K4547">
        <v>1.117275</v>
      </c>
      <c r="L4547">
        <v>-56.561039999999998</v>
      </c>
      <c r="M4547">
        <v>0.8475994</v>
      </c>
      <c r="N4547">
        <v>0</v>
      </c>
      <c r="O4547">
        <v>-0.53044259999999999</v>
      </c>
      <c r="P4547">
        <v>0.95769029999999999</v>
      </c>
      <c r="Q4547">
        <v>3.6387250000000003E-2</v>
      </c>
      <c r="R4547">
        <v>-0.28549159999999901</v>
      </c>
      <c r="S4547">
        <v>2.9800110000000002</v>
      </c>
      <c r="T4547">
        <v>-0.29199899999999901</v>
      </c>
      <c r="U4547">
        <v>-0.5537415</v>
      </c>
      <c r="V4547">
        <v>-0.26683279999999998</v>
      </c>
      <c r="W4547">
        <v>4.5841180000000002E-2</v>
      </c>
      <c r="X4547">
        <v>0.96265199999999995</v>
      </c>
      <c r="Y4547">
        <v>-0.3628672</v>
      </c>
      <c r="Z4547">
        <v>6.6275959999999995E-2</v>
      </c>
      <c r="AA4547">
        <v>0.929481</v>
      </c>
      <c r="AB4547">
        <v>25</v>
      </c>
      <c r="AC4547">
        <v>11.2746</v>
      </c>
      <c r="AD4547">
        <v>-1.117281242025</v>
      </c>
      <c r="AE4547">
        <v>-2.0447199999999901</v>
      </c>
      <c r="AF4547">
        <v>-4.2078556468107697</v>
      </c>
      <c r="AG4547">
        <v>-1.117281242025</v>
      </c>
      <c r="AH4547">
        <v>10.5418195967122</v>
      </c>
      <c r="AI4547">
        <v>95.621726422428395</v>
      </c>
      <c r="AJ4547">
        <v>111.75982742939399</v>
      </c>
      <c r="AK4547">
        <v>11.405451631908401</v>
      </c>
    </row>
    <row r="4548" spans="1:37" x14ac:dyDescent="0.2">
      <c r="A4548" t="str">
        <f>"20200111154155074"</f>
        <v>20200111154155074</v>
      </c>
      <c r="B4548" t="str">
        <f>"1578728515070609"</f>
        <v>1578728515070609</v>
      </c>
      <c r="C4548" t="s">
        <v>37</v>
      </c>
      <c r="D4548">
        <v>5.4311959999999999</v>
      </c>
      <c r="E4548">
        <v>0.45854719999999999</v>
      </c>
      <c r="F4548" t="s">
        <v>47</v>
      </c>
      <c r="G4548">
        <v>-280.315</v>
      </c>
      <c r="H4548" s="1">
        <v>-6.2389769999999902E-6</v>
      </c>
      <c r="I4548">
        <v>-58.635089999999998</v>
      </c>
      <c r="J4548">
        <v>-291.46420000000001</v>
      </c>
      <c r="K4548">
        <v>1.117183</v>
      </c>
      <c r="L4548">
        <v>-56.632569999999902</v>
      </c>
      <c r="M4548">
        <v>0.85060069999999999</v>
      </c>
      <c r="N4548">
        <v>0</v>
      </c>
      <c r="O4548">
        <v>-0.5256168</v>
      </c>
      <c r="P4548">
        <v>0.95879099999999995</v>
      </c>
      <c r="Q4548">
        <v>3.5883379999999999E-2</v>
      </c>
      <c r="R4548">
        <v>-0.28183720000000001</v>
      </c>
      <c r="S4548">
        <v>2.9803160000000002</v>
      </c>
      <c r="T4548">
        <v>-0.29532170000000002</v>
      </c>
      <c r="U4548">
        <v>-0.54821779999999998</v>
      </c>
      <c r="V4548">
        <v>-0.26502300000000001</v>
      </c>
      <c r="W4548">
        <v>4.5411050000000001E-2</v>
      </c>
      <c r="X4548">
        <v>0.96317219999999903</v>
      </c>
      <c r="Y4548">
        <v>-0.3592032</v>
      </c>
      <c r="Z4548">
        <v>6.6459599999999994E-2</v>
      </c>
      <c r="AA4548">
        <v>0.93089</v>
      </c>
      <c r="AB4548">
        <v>25</v>
      </c>
      <c r="AC4548">
        <v>11.1492</v>
      </c>
      <c r="AD4548">
        <v>-1.117189238977</v>
      </c>
      <c r="AE4548">
        <v>-2.0025200000000098</v>
      </c>
      <c r="AF4548">
        <v>-4.1172407318433697</v>
      </c>
      <c r="AG4548">
        <v>-1.117189238977</v>
      </c>
      <c r="AH4548">
        <v>10.4356507444854</v>
      </c>
      <c r="AI4548">
        <v>95.687030076146797</v>
      </c>
      <c r="AJ4548">
        <v>111.531023100399</v>
      </c>
      <c r="AK4548">
        <v>11.273978423809201</v>
      </c>
    </row>
    <row r="4549" spans="1:37" x14ac:dyDescent="0.2">
      <c r="A4549" t="str">
        <f>"20200111154155088"</f>
        <v>20200111154155088</v>
      </c>
      <c r="B4549" t="str">
        <f>"1578728515080369"</f>
        <v>1578728515080369</v>
      </c>
      <c r="C4549" t="s">
        <v>37</v>
      </c>
      <c r="D4549">
        <v>5.4629510000000003</v>
      </c>
      <c r="E4549">
        <v>0.45866089999999998</v>
      </c>
      <c r="F4549" t="s">
        <v>47</v>
      </c>
      <c r="G4549">
        <v>-280.17579999999998</v>
      </c>
      <c r="H4549" s="1">
        <v>-6.2805960000000004E-6</v>
      </c>
      <c r="I4549">
        <v>-58.679369999999999</v>
      </c>
      <c r="J4549">
        <v>-291.33179999999999</v>
      </c>
      <c r="K4549">
        <v>1.1170879999999901</v>
      </c>
      <c r="L4549">
        <v>-56.706969999999998</v>
      </c>
      <c r="M4549">
        <v>0.85368639999999996</v>
      </c>
      <c r="N4549">
        <v>0</v>
      </c>
      <c r="O4549">
        <v>-0.52059089999999997</v>
      </c>
      <c r="P4549">
        <v>0.95996150000000002</v>
      </c>
      <c r="Q4549">
        <v>3.5574660000000001E-2</v>
      </c>
      <c r="R4549">
        <v>-0.27786440000000001</v>
      </c>
      <c r="S4549">
        <v>2.9810789999999998</v>
      </c>
      <c r="T4549">
        <v>-0.29503089999999998</v>
      </c>
      <c r="U4549">
        <v>-0.54052730000000004</v>
      </c>
      <c r="V4549">
        <v>-0.26331969999999999</v>
      </c>
      <c r="W4549">
        <v>4.5175260000000002E-2</v>
      </c>
      <c r="X4549">
        <v>0.96365029999999996</v>
      </c>
      <c r="Y4549">
        <v>-0.35610920000000001</v>
      </c>
      <c r="Z4549">
        <v>6.5834089999999998E-2</v>
      </c>
      <c r="AA4549">
        <v>0.93212240000000002</v>
      </c>
      <c r="AB4549">
        <v>25</v>
      </c>
      <c r="AC4549">
        <v>11.156000000000001</v>
      </c>
      <c r="AD4549">
        <v>-1.11709428059599</v>
      </c>
      <c r="AE4549">
        <v>-1.9723999999999999</v>
      </c>
      <c r="AF4549">
        <v>-4.0846088932686504</v>
      </c>
      <c r="AG4549">
        <v>-1.11709428059599</v>
      </c>
      <c r="AH4549">
        <v>10.4500144504375</v>
      </c>
      <c r="AI4549">
        <v>95.685823853465607</v>
      </c>
      <c r="AJ4549">
        <v>111.349093227116</v>
      </c>
      <c r="AK4549">
        <v>11.2754038267843</v>
      </c>
    </row>
    <row r="4550" spans="1:37" x14ac:dyDescent="0.2">
      <c r="A4550" t="str">
        <f>"20200111154155099"</f>
        <v>20200111154155099</v>
      </c>
      <c r="B4550" t="str">
        <f>"1578728515091106"</f>
        <v>1578728515091106</v>
      </c>
      <c r="C4550" t="s">
        <v>37</v>
      </c>
      <c r="D4550">
        <v>5.7648390000000003</v>
      </c>
      <c r="E4550">
        <v>0.45878909999999901</v>
      </c>
      <c r="F4550" t="s">
        <v>47</v>
      </c>
      <c r="G4550">
        <v>-280.0317</v>
      </c>
      <c r="H4550" s="1">
        <v>-6.3252360000000002E-6</v>
      </c>
      <c r="I4550">
        <v>-58.711259999999903</v>
      </c>
      <c r="J4550">
        <v>-291.20319999999998</v>
      </c>
      <c r="K4550">
        <v>1.116997</v>
      </c>
      <c r="L4550">
        <v>-56.778319999999901</v>
      </c>
      <c r="M4550">
        <v>0.85660499999999995</v>
      </c>
      <c r="N4550">
        <v>0</v>
      </c>
      <c r="O4550">
        <v>-0.51577479999999998</v>
      </c>
      <c r="P4550">
        <v>0.96105090000000004</v>
      </c>
      <c r="Q4550">
        <v>3.5294779999999998E-2</v>
      </c>
      <c r="R4550">
        <v>-0.27410839999999997</v>
      </c>
      <c r="S4550">
        <v>2.9829409999999998</v>
      </c>
      <c r="T4550">
        <v>-0.29488550000000002</v>
      </c>
      <c r="U4550">
        <v>-0.52908330000000003</v>
      </c>
      <c r="V4550">
        <v>-0.26164959999999998</v>
      </c>
      <c r="W4550">
        <v>4.4965669999999999E-2</v>
      </c>
      <c r="X4550">
        <v>0.9641149</v>
      </c>
      <c r="Y4550">
        <v>-0.35444880000000001</v>
      </c>
      <c r="Z4550">
        <v>6.53146E-2</v>
      </c>
      <c r="AA4550">
        <v>0.9327915</v>
      </c>
      <c r="AB4550">
        <v>25</v>
      </c>
      <c r="AC4550">
        <v>11.171499999999901</v>
      </c>
      <c r="AD4550">
        <v>-1.1170033252360001</v>
      </c>
      <c r="AE4550">
        <v>-1.9329400000000001</v>
      </c>
      <c r="AF4550">
        <v>-4.0671525289906603</v>
      </c>
      <c r="AG4550">
        <v>-1.1170033252360001</v>
      </c>
      <c r="AH4550">
        <v>10.4660123964366</v>
      </c>
      <c r="AI4550">
        <v>95.681054617540596</v>
      </c>
      <c r="AJ4550">
        <v>111.236412300872</v>
      </c>
      <c r="AK4550">
        <v>11.2839196029141</v>
      </c>
    </row>
    <row r="4551" spans="1:37" x14ac:dyDescent="0.2">
      <c r="A4551" t="str">
        <f>"20200111154155112"</f>
        <v>20200111154155112</v>
      </c>
      <c r="B4551" t="str">
        <f>"1578728515110625"</f>
        <v>1578728515110625</v>
      </c>
      <c r="C4551" t="s">
        <v>37</v>
      </c>
      <c r="D4551">
        <v>5.4445949999999996</v>
      </c>
      <c r="E4551">
        <v>0.45674949999999997</v>
      </c>
      <c r="F4551" t="s">
        <v>39</v>
      </c>
      <c r="G4551">
        <v>-279.91160000000002</v>
      </c>
      <c r="H4551" s="1">
        <v>-3.7698159999999999E-6</v>
      </c>
      <c r="I4551">
        <v>-58.739640000000001</v>
      </c>
      <c r="J4551">
        <v>-291.08640000000003</v>
      </c>
      <c r="K4551">
        <v>1.1169180000000001</v>
      </c>
      <c r="L4551">
        <v>-56.84225</v>
      </c>
      <c r="M4551">
        <v>0.85918490000000003</v>
      </c>
      <c r="N4551">
        <v>0</v>
      </c>
      <c r="O4551">
        <v>-0.51146619999999998</v>
      </c>
      <c r="P4551">
        <v>0.96201320000000001</v>
      </c>
      <c r="Q4551">
        <v>3.4858559999999997E-2</v>
      </c>
      <c r="R4551">
        <v>-0.27076809999999901</v>
      </c>
      <c r="S4551">
        <v>2.9845280000000001</v>
      </c>
      <c r="T4551">
        <v>-0.29523829999999901</v>
      </c>
      <c r="U4551">
        <v>-0.51840209999999998</v>
      </c>
      <c r="V4551">
        <v>-0.26014759999999998</v>
      </c>
      <c r="W4551">
        <v>4.4591239999999997E-2</v>
      </c>
      <c r="X4551">
        <v>0.96453869999999897</v>
      </c>
      <c r="Y4551">
        <v>-0.35309479999999999</v>
      </c>
      <c r="Z4551">
        <v>6.4963469999999995E-2</v>
      </c>
      <c r="AA4551">
        <v>0.93332939999999998</v>
      </c>
      <c r="AB4551">
        <v>25</v>
      </c>
      <c r="AC4551">
        <v>11.174799999999999</v>
      </c>
      <c r="AD4551">
        <v>-1.1169217698160001</v>
      </c>
      <c r="AE4551">
        <v>-1.8973899999999999</v>
      </c>
      <c r="AF4551">
        <v>-4.0464483473777202</v>
      </c>
      <c r="AG4551">
        <v>-1.1169217698160001</v>
      </c>
      <c r="AH4551">
        <v>10.4710718972413</v>
      </c>
      <c r="AI4551">
        <v>95.682031871400497</v>
      </c>
      <c r="AJ4551">
        <v>111.128560928826</v>
      </c>
      <c r="AK4551">
        <v>11.2811615157785</v>
      </c>
    </row>
    <row r="4552" spans="1:37" x14ac:dyDescent="0.2">
      <c r="A4552" t="str">
        <f>"20200111154155128"</f>
        <v>20200111154155128</v>
      </c>
      <c r="B4552" t="str">
        <f>"1578728515120386"</f>
        <v>1578728515120386</v>
      </c>
      <c r="C4552" t="s">
        <v>37</v>
      </c>
      <c r="D4552">
        <v>5.5018919999999998</v>
      </c>
      <c r="E4552">
        <v>0.45707629999999999</v>
      </c>
      <c r="F4552" t="s">
        <v>47</v>
      </c>
      <c r="G4552">
        <v>-281.80540000000002</v>
      </c>
      <c r="H4552" s="1">
        <v>-5.6586180000000004E-6</v>
      </c>
      <c r="I4552">
        <v>-58.375919999999901</v>
      </c>
      <c r="J4552">
        <v>-290.94069999999999</v>
      </c>
      <c r="K4552">
        <v>1.116814</v>
      </c>
      <c r="L4552">
        <v>-56.921199999999999</v>
      </c>
      <c r="M4552">
        <v>0.86233219999999999</v>
      </c>
      <c r="N4552">
        <v>0</v>
      </c>
      <c r="O4552">
        <v>-0.5061428</v>
      </c>
      <c r="P4552">
        <v>0.96287800000000001</v>
      </c>
      <c r="Q4552">
        <v>3.4465599999999999E-2</v>
      </c>
      <c r="R4552">
        <v>-0.26772779999999902</v>
      </c>
      <c r="S4552">
        <v>2.99234</v>
      </c>
      <c r="T4552">
        <v>-0.36011369999999998</v>
      </c>
      <c r="U4552">
        <v>-0.49447629999999998</v>
      </c>
      <c r="V4552">
        <v>-0.25721679999999902</v>
      </c>
      <c r="W4552">
        <v>4.4293989999999998E-2</v>
      </c>
      <c r="X4552">
        <v>0.96533809999999998</v>
      </c>
      <c r="Y4552">
        <v>-0.35316310000000001</v>
      </c>
      <c r="Z4552">
        <v>7.8486840000000002E-2</v>
      </c>
      <c r="AA4552">
        <v>0.93226369999999903</v>
      </c>
      <c r="AB4552">
        <v>25</v>
      </c>
      <c r="AC4552">
        <v>9.1352999999999707</v>
      </c>
      <c r="AD4552">
        <v>-1.1168196586179999</v>
      </c>
      <c r="AE4552">
        <v>-1.45471999999999</v>
      </c>
      <c r="AF4552">
        <v>-3.3212446570201699</v>
      </c>
      <c r="AG4552">
        <v>-1.1168196586179999</v>
      </c>
      <c r="AH4552">
        <v>8.4910646632478404</v>
      </c>
      <c r="AI4552">
        <v>96.983477122206693</v>
      </c>
      <c r="AJ4552">
        <v>111.36274617961099</v>
      </c>
      <c r="AK4552">
        <v>9.1856481174230105</v>
      </c>
    </row>
    <row r="4553" spans="1:37" x14ac:dyDescent="0.2">
      <c r="A4553" t="str">
        <f>"20200111154155140"</f>
        <v>20200111154155140</v>
      </c>
      <c r="B4553" t="str">
        <f>"1578728515131122"</f>
        <v>1578728515131122</v>
      </c>
      <c r="C4553" t="s">
        <v>37</v>
      </c>
      <c r="D4553">
        <v>5.4531749999999999</v>
      </c>
      <c r="E4553">
        <v>0.457366299999999</v>
      </c>
      <c r="F4553" t="s">
        <v>47</v>
      </c>
      <c r="G4553">
        <v>-281.64710000000002</v>
      </c>
      <c r="H4553" s="1">
        <v>-5.7217900000000002E-6</v>
      </c>
      <c r="I4553">
        <v>-58.43533</v>
      </c>
      <c r="J4553">
        <v>-290.80709999999999</v>
      </c>
      <c r="K4553">
        <v>1.1167199999999999</v>
      </c>
      <c r="L4553">
        <v>-56.992739999999998</v>
      </c>
      <c r="M4553">
        <v>0.86514239999999998</v>
      </c>
      <c r="N4553">
        <v>0</v>
      </c>
      <c r="O4553">
        <v>-0.50132509999999997</v>
      </c>
      <c r="P4553">
        <v>0.9639799</v>
      </c>
      <c r="Q4553">
        <v>3.4263290000000002E-2</v>
      </c>
      <c r="R4553">
        <v>-0.26375989999999999</v>
      </c>
      <c r="S4553">
        <v>2.9929199999999998</v>
      </c>
      <c r="T4553">
        <v>-0.3596607</v>
      </c>
      <c r="U4553">
        <v>-0.48760989999999999</v>
      </c>
      <c r="V4553">
        <v>-0.25579669999999999</v>
      </c>
      <c r="W4553">
        <v>4.4154890000000002E-2</v>
      </c>
      <c r="X4553">
        <v>0.96572169999999902</v>
      </c>
      <c r="Y4553">
        <v>-0.3501243</v>
      </c>
      <c r="Z4553">
        <v>7.7723180000000003E-2</v>
      </c>
      <c r="AA4553">
        <v>0.93347309999999994</v>
      </c>
      <c r="AB4553">
        <v>25</v>
      </c>
      <c r="AC4553">
        <v>9.1599999999999593</v>
      </c>
      <c r="AD4553">
        <v>-1.11672572179</v>
      </c>
      <c r="AE4553">
        <v>-1.44259</v>
      </c>
      <c r="AF4553">
        <v>-3.2966182600128899</v>
      </c>
      <c r="AG4553">
        <v>-1.11672572179</v>
      </c>
      <c r="AH4553">
        <v>8.5251422443275207</v>
      </c>
      <c r="AI4553">
        <v>96.965622850322404</v>
      </c>
      <c r="AJ4553">
        <v>111.141169092873</v>
      </c>
      <c r="AK4553">
        <v>9.2083016119138694</v>
      </c>
    </row>
    <row r="4554" spans="1:37" x14ac:dyDescent="0.2">
      <c r="A4554" t="str">
        <f>"20200111154155154"</f>
        <v>20200111154155154</v>
      </c>
      <c r="B4554" t="str">
        <f>"1578728515150641"</f>
        <v>1578728515150641</v>
      </c>
      <c r="C4554" t="s">
        <v>37</v>
      </c>
      <c r="D4554">
        <v>5.4748650000000003</v>
      </c>
      <c r="E4554">
        <v>0.45756540000000001</v>
      </c>
      <c r="F4554" t="s">
        <v>47</v>
      </c>
      <c r="G4554">
        <v>-281.49090000000001</v>
      </c>
      <c r="H4554" s="1">
        <v>-5.7868100000000001E-6</v>
      </c>
      <c r="I4554">
        <v>-58.47878</v>
      </c>
      <c r="J4554">
        <v>-290.68150000000003</v>
      </c>
      <c r="K4554">
        <v>1.1166389999999999</v>
      </c>
      <c r="L4554">
        <v>-57.058900000000001</v>
      </c>
      <c r="M4554">
        <v>0.86770230000000004</v>
      </c>
      <c r="N4554">
        <v>0</v>
      </c>
      <c r="O4554">
        <v>-0.49688149999999998</v>
      </c>
      <c r="P4554">
        <v>0.9649972</v>
      </c>
      <c r="Q4554">
        <v>3.4231449999999997E-2</v>
      </c>
      <c r="R4554">
        <v>-0.260017</v>
      </c>
      <c r="S4554">
        <v>2.9941409999999999</v>
      </c>
      <c r="T4554">
        <v>-0.35890640000000001</v>
      </c>
      <c r="U4554">
        <v>-0.47760010000000003</v>
      </c>
      <c r="V4554">
        <v>-0.25458139999999901</v>
      </c>
      <c r="W4554">
        <v>4.4177760000000003E-2</v>
      </c>
      <c r="X4554">
        <v>0.966041699999999</v>
      </c>
      <c r="Y4554">
        <v>-0.3484892</v>
      </c>
      <c r="Z4554">
        <v>7.7010369999999995E-2</v>
      </c>
      <c r="AA4554">
        <v>0.93414379999999997</v>
      </c>
      <c r="AB4554">
        <v>25</v>
      </c>
      <c r="AC4554">
        <v>9.1906000000000105</v>
      </c>
      <c r="AD4554">
        <v>-1.11664478681</v>
      </c>
      <c r="AE4554">
        <v>-1.41988</v>
      </c>
      <c r="AF4554">
        <v>-3.2875429031091001</v>
      </c>
      <c r="AG4554">
        <v>-1.11664478681</v>
      </c>
      <c r="AH4554">
        <v>8.5577083416146493</v>
      </c>
      <c r="AI4554">
        <v>96.944717137862</v>
      </c>
      <c r="AJ4554">
        <v>111.014857997147</v>
      </c>
      <c r="AK4554">
        <v>9.2352155351044107</v>
      </c>
    </row>
    <row r="4555" spans="1:37" x14ac:dyDescent="0.2">
      <c r="A4555" t="str">
        <f>"20200111154155168"</f>
        <v>20200111154155168</v>
      </c>
      <c r="B4555" t="str">
        <f>"1578728515160401"</f>
        <v>1578728515160401</v>
      </c>
      <c r="C4555" t="s">
        <v>37</v>
      </c>
      <c r="D4555">
        <v>5.4591940000000001</v>
      </c>
      <c r="E4555">
        <v>0.45786149999999998</v>
      </c>
      <c r="F4555" t="s">
        <v>47</v>
      </c>
      <c r="G4555">
        <v>-281.34300000000002</v>
      </c>
      <c r="H4555" s="1">
        <v>-5.848854E-6</v>
      </c>
      <c r="I4555">
        <v>-58.517200000000003</v>
      </c>
      <c r="J4555">
        <v>-290.54969999999997</v>
      </c>
      <c r="K4555">
        <v>1.1165499999999999</v>
      </c>
      <c r="L4555">
        <v>-57.127839999999999</v>
      </c>
      <c r="M4555">
        <v>0.87033490000000002</v>
      </c>
      <c r="N4555">
        <v>0</v>
      </c>
      <c r="O4555">
        <v>-0.49225619999999998</v>
      </c>
      <c r="P4555">
        <v>0.96605469999999904</v>
      </c>
      <c r="Q4555">
        <v>3.4525529999999999E-2</v>
      </c>
      <c r="R4555">
        <v>-0.25602019999999998</v>
      </c>
      <c r="S4555">
        <v>2.9954830000000001</v>
      </c>
      <c r="T4555">
        <v>-0.35818309999999998</v>
      </c>
      <c r="U4555">
        <v>-0.46777340000000001</v>
      </c>
      <c r="V4555">
        <v>-0.2534267</v>
      </c>
      <c r="W4555">
        <v>4.4527410000000003E-2</v>
      </c>
      <c r="X4555">
        <v>0.96632929999999995</v>
      </c>
      <c r="Y4555">
        <v>-0.3466244</v>
      </c>
      <c r="Z4555">
        <v>7.62684E-2</v>
      </c>
      <c r="AA4555">
        <v>0.93489820000000001</v>
      </c>
      <c r="AB4555">
        <v>25</v>
      </c>
      <c r="AC4555">
        <v>9.2066999999999499</v>
      </c>
      <c r="AD4555">
        <v>-1.1165558488539999</v>
      </c>
      <c r="AE4555">
        <v>-1.3893599999999999</v>
      </c>
      <c r="AF4555">
        <v>-3.2760691742398</v>
      </c>
      <c r="AG4555">
        <v>-1.1165558488539999</v>
      </c>
      <c r="AH4555">
        <v>8.5744034331389294</v>
      </c>
      <c r="AI4555">
        <v>96.935565125678096</v>
      </c>
      <c r="AJ4555">
        <v>110.910629992878</v>
      </c>
      <c r="AK4555">
        <v>9.2466058871479397</v>
      </c>
    </row>
    <row r="4556" spans="1:37" x14ac:dyDescent="0.2">
      <c r="A4556" t="str">
        <f>"20200111154155182"</f>
        <v>20200111154155182</v>
      </c>
      <c r="B4556" t="str">
        <f>"1578728515170161"</f>
        <v>1578728515170161</v>
      </c>
      <c r="C4556" t="s">
        <v>37</v>
      </c>
      <c r="D4556">
        <v>5.4741860000000004</v>
      </c>
      <c r="E4556">
        <v>0.45810039999999902</v>
      </c>
      <c r="F4556" t="s">
        <v>47</v>
      </c>
      <c r="G4556">
        <v>-281.16890000000001</v>
      </c>
      <c r="H4556" s="1">
        <v>-5.9220920000000002E-6</v>
      </c>
      <c r="I4556">
        <v>-58.561329999999998</v>
      </c>
      <c r="J4556">
        <v>-290.40469999999999</v>
      </c>
      <c r="K4556">
        <v>1.1164510000000001</v>
      </c>
      <c r="L4556">
        <v>-57.20279</v>
      </c>
      <c r="M4556">
        <v>0.87315319999999996</v>
      </c>
      <c r="N4556">
        <v>0</v>
      </c>
      <c r="O4556">
        <v>-0.48724059999999902</v>
      </c>
      <c r="P4556">
        <v>0.9669508</v>
      </c>
      <c r="Q4556">
        <v>3.457996E-2</v>
      </c>
      <c r="R4556">
        <v>-0.252608</v>
      </c>
      <c r="S4556">
        <v>2.9967649999999999</v>
      </c>
      <c r="T4556">
        <v>-0.35669580000000001</v>
      </c>
      <c r="U4556">
        <v>-0.45794679999999999</v>
      </c>
      <c r="V4556">
        <v>-0.25126479999999901</v>
      </c>
      <c r="W4556">
        <v>4.4660310000000002E-2</v>
      </c>
      <c r="X4556">
        <v>0.96688750000000001</v>
      </c>
      <c r="Y4556">
        <v>-0.344379299999999</v>
      </c>
      <c r="Z4556">
        <v>7.5305349999999993E-2</v>
      </c>
      <c r="AA4556">
        <v>0.93580549999999996</v>
      </c>
      <c r="AB4556">
        <v>25</v>
      </c>
      <c r="AC4556">
        <v>9.2357999999999798</v>
      </c>
      <c r="AD4556">
        <v>-1.116456922092</v>
      </c>
      <c r="AE4556">
        <v>-1.3585400000000001</v>
      </c>
      <c r="AF4556">
        <v>-3.2674393753981699</v>
      </c>
      <c r="AG4556">
        <v>-1.116456922092</v>
      </c>
      <c r="AH4556">
        <v>8.6040109647416791</v>
      </c>
      <c r="AI4556">
        <v>96.916602833107902</v>
      </c>
      <c r="AJ4556">
        <v>110.79465876325899</v>
      </c>
      <c r="AK4556">
        <v>9.2710107761874898</v>
      </c>
    </row>
    <row r="4557" spans="1:37" x14ac:dyDescent="0.2">
      <c r="A4557" t="str">
        <f>"20200111154155196"</f>
        <v>20200111154155196</v>
      </c>
      <c r="B4557" t="str">
        <f>"1578728515190658"</f>
        <v>1578728515190658</v>
      </c>
      <c r="C4557" t="s">
        <v>37</v>
      </c>
      <c r="D4557">
        <v>5.441179</v>
      </c>
      <c r="E4557">
        <v>0.45843390000000001</v>
      </c>
      <c r="F4557" t="s">
        <v>47</v>
      </c>
      <c r="G4557">
        <v>-280.95339999999999</v>
      </c>
      <c r="H4557" s="1">
        <v>-6.0119809999999999E-6</v>
      </c>
      <c r="I4557">
        <v>-58.620330000000003</v>
      </c>
      <c r="J4557">
        <v>-290.27019999999999</v>
      </c>
      <c r="K4557">
        <v>1.1163590000000001</v>
      </c>
      <c r="L4557">
        <v>-57.271149999999999</v>
      </c>
      <c r="M4557">
        <v>0.8756777</v>
      </c>
      <c r="N4557">
        <v>0</v>
      </c>
      <c r="O4557">
        <v>-0.4826898</v>
      </c>
      <c r="P4557">
        <v>0.96800900000000001</v>
      </c>
      <c r="Q4557">
        <v>3.4272150000000001E-2</v>
      </c>
      <c r="R4557">
        <v>-0.2485657</v>
      </c>
      <c r="S4557">
        <v>2.9977419999999899</v>
      </c>
      <c r="T4557">
        <v>-0.35411729999999902</v>
      </c>
      <c r="U4557">
        <v>-0.4496155</v>
      </c>
      <c r="V4557">
        <v>-0.2502625</v>
      </c>
      <c r="W4557">
        <v>4.4406420000000002E-2</v>
      </c>
      <c r="X4557">
        <v>0.96715910000000005</v>
      </c>
      <c r="Y4557">
        <v>-0.34220539999999999</v>
      </c>
      <c r="Z4557">
        <v>7.4173230000000007E-2</v>
      </c>
      <c r="AA4557">
        <v>0.936693</v>
      </c>
      <c r="AB4557">
        <v>25</v>
      </c>
      <c r="AC4557">
        <v>9.3168000000000006</v>
      </c>
      <c r="AD4557">
        <v>-1.116365011981</v>
      </c>
      <c r="AE4557">
        <v>-1.34918</v>
      </c>
      <c r="AF4557">
        <v>-3.27002261890547</v>
      </c>
      <c r="AG4557">
        <v>-1.116365011981</v>
      </c>
      <c r="AH4557">
        <v>8.6884445070077199</v>
      </c>
      <c r="AI4557">
        <v>96.857089952936605</v>
      </c>
      <c r="AJ4557">
        <v>110.624559057883</v>
      </c>
      <c r="AK4557">
        <v>9.3503147925340695</v>
      </c>
    </row>
    <row r="4558" spans="1:37" x14ac:dyDescent="0.2">
      <c r="A4558" t="str">
        <f>"20200111154155209"</f>
        <v>20200111154155209</v>
      </c>
      <c r="B4558" t="str">
        <f>"1578728515200416"</f>
        <v>1578728515200416</v>
      </c>
      <c r="C4558" t="s">
        <v>37</v>
      </c>
      <c r="D4558">
        <v>5.6473930000000001</v>
      </c>
      <c r="E4558">
        <v>0.45843390000000001</v>
      </c>
      <c r="F4558" t="s">
        <v>47</v>
      </c>
      <c r="G4558">
        <v>-280.94189999999998</v>
      </c>
      <c r="H4558" s="1">
        <v>-6.0137969999999899E-6</v>
      </c>
      <c r="I4558">
        <v>-58.640329999999999</v>
      </c>
      <c r="J4558">
        <v>-290.14069999999998</v>
      </c>
      <c r="K4558">
        <v>1.116269</v>
      </c>
      <c r="L4558">
        <v>-57.336399999999998</v>
      </c>
      <c r="M4558">
        <v>0.87805270000000002</v>
      </c>
      <c r="N4558">
        <v>0</v>
      </c>
      <c r="O4558">
        <v>-0.47835609999999901</v>
      </c>
      <c r="P4558">
        <v>0.96903090000000003</v>
      </c>
      <c r="Q4558">
        <v>3.4552899999999998E-2</v>
      </c>
      <c r="R4558">
        <v>-0.24451049999999999</v>
      </c>
      <c r="S4558">
        <v>2.99880999999999</v>
      </c>
      <c r="T4558">
        <v>-0.3588829</v>
      </c>
      <c r="U4558">
        <v>-0.44015500000000002</v>
      </c>
      <c r="V4558">
        <v>-0.24951989999999999</v>
      </c>
      <c r="W4558">
        <v>4.4736539999999998E-2</v>
      </c>
      <c r="X4558">
        <v>0.96733579999999997</v>
      </c>
      <c r="Y4558">
        <v>-0.3404025</v>
      </c>
      <c r="Z4558">
        <v>7.4608649999999999E-2</v>
      </c>
      <c r="AA4558">
        <v>0.93731520000000002</v>
      </c>
      <c r="AB4558">
        <v>25</v>
      </c>
      <c r="AC4558">
        <v>9.1988000000000003</v>
      </c>
      <c r="AD4558">
        <v>-1.1162750137969999</v>
      </c>
      <c r="AE4558">
        <v>-1.30393</v>
      </c>
      <c r="AF4558">
        <v>-3.2093767703538698</v>
      </c>
      <c r="AG4558">
        <v>-1.1162750137969999</v>
      </c>
      <c r="AH4558">
        <v>8.5778120480866207</v>
      </c>
      <c r="AI4558">
        <v>96.949130632914702</v>
      </c>
      <c r="AJ4558">
        <v>110.513268152024</v>
      </c>
      <c r="AK4558">
        <v>9.2263225985662594</v>
      </c>
    </row>
    <row r="4559" spans="1:37" x14ac:dyDescent="0.2">
      <c r="A4559" t="str">
        <f>"20200111154155220"</f>
        <v>20200111154155220</v>
      </c>
      <c r="B4559" t="str">
        <f>"1578728515211153"</f>
        <v>1578728515211153</v>
      </c>
      <c r="C4559" t="s">
        <v>37</v>
      </c>
      <c r="D4559">
        <v>5.5990630000000001</v>
      </c>
      <c r="E4559">
        <v>0.46122209999999902</v>
      </c>
      <c r="F4559" t="s">
        <v>47</v>
      </c>
      <c r="G4559">
        <v>-280.79020000000003</v>
      </c>
      <c r="H4559" s="1">
        <v>-6.0760010000000002E-6</v>
      </c>
      <c r="I4559">
        <v>-58.669619999999902</v>
      </c>
      <c r="J4559">
        <v>-290.02120000000002</v>
      </c>
      <c r="K4559">
        <v>1.1161859999999999</v>
      </c>
      <c r="L4559">
        <v>-57.396119999999897</v>
      </c>
      <c r="M4559">
        <v>0.88019419999999904</v>
      </c>
      <c r="N4559">
        <v>0</v>
      </c>
      <c r="O4559">
        <v>-0.47440459999999901</v>
      </c>
      <c r="P4559">
        <v>0.96989570000000003</v>
      </c>
      <c r="Q4559">
        <v>3.4548830000000003E-2</v>
      </c>
      <c r="R4559">
        <v>-0.2410572</v>
      </c>
      <c r="S4559">
        <v>3.000702</v>
      </c>
      <c r="T4559">
        <v>-0.35823059999999901</v>
      </c>
      <c r="U4559">
        <v>-0.42785640000000003</v>
      </c>
      <c r="V4559">
        <v>-0.24860689999999999</v>
      </c>
      <c r="W4559">
        <v>4.4782740000000001E-2</v>
      </c>
      <c r="X4559">
        <v>0.9675686</v>
      </c>
      <c r="Y4559">
        <v>-0.34007680000000001</v>
      </c>
      <c r="Z4559">
        <v>7.4032570000000006E-2</v>
      </c>
      <c r="AA4559">
        <v>0.93747899999999995</v>
      </c>
      <c r="AB4559">
        <v>25</v>
      </c>
      <c r="AC4559">
        <v>9.2309999999999892</v>
      </c>
      <c r="AD4559">
        <v>-1.116192076001</v>
      </c>
      <c r="AE4559">
        <v>-1.2734999999999901</v>
      </c>
      <c r="AF4559">
        <v>-3.2125314011986501</v>
      </c>
      <c r="AG4559">
        <v>-1.116192076001</v>
      </c>
      <c r="AH4559">
        <v>8.6066053624455101</v>
      </c>
      <c r="AI4559">
        <v>96.927589946888304</v>
      </c>
      <c r="AJ4559">
        <v>110.468766337888</v>
      </c>
      <c r="AK4559">
        <v>9.2541827634368001</v>
      </c>
    </row>
    <row r="4560" spans="1:37" x14ac:dyDescent="0.2">
      <c r="A4560" t="str">
        <f>"20200111154155233"</f>
        <v>20200111154155233</v>
      </c>
      <c r="B4560" t="str">
        <f>"1578728515230674"</f>
        <v>1578728515230674</v>
      </c>
      <c r="C4560" t="s">
        <v>37</v>
      </c>
      <c r="D4560">
        <v>5.5675730000000003</v>
      </c>
      <c r="E4560">
        <v>0.46365279999999998</v>
      </c>
      <c r="F4560" t="s">
        <v>47</v>
      </c>
      <c r="G4560">
        <v>-280.76190000000003</v>
      </c>
      <c r="H4560" s="1">
        <v>-6.0761719999999996E-6</v>
      </c>
      <c r="I4560">
        <v>-58.752479999999998</v>
      </c>
      <c r="J4560">
        <v>-289.90539999999999</v>
      </c>
      <c r="K4560">
        <v>1.1161019999999999</v>
      </c>
      <c r="L4560">
        <v>-57.453130000000002</v>
      </c>
      <c r="M4560">
        <v>0.88220469999999895</v>
      </c>
      <c r="N4560">
        <v>0</v>
      </c>
      <c r="O4560">
        <v>-0.47065619999999903</v>
      </c>
      <c r="P4560">
        <v>0.970745999999999</v>
      </c>
      <c r="Q4560">
        <v>3.4971740000000001E-2</v>
      </c>
      <c r="R4560">
        <v>-0.2375485</v>
      </c>
      <c r="S4560">
        <v>2.9968569999999999</v>
      </c>
      <c r="T4560">
        <v>-0.36126320000000001</v>
      </c>
      <c r="U4560">
        <v>-0.43899539999999998</v>
      </c>
      <c r="V4560">
        <v>-0.24797829999999901</v>
      </c>
      <c r="W4560">
        <v>4.5248610000000002E-2</v>
      </c>
      <c r="X4560">
        <v>0.96770829999999997</v>
      </c>
      <c r="Y4560">
        <v>-0.33246540000000002</v>
      </c>
      <c r="Z4560">
        <v>7.3868139999999999E-2</v>
      </c>
      <c r="AA4560">
        <v>0.940218199999999</v>
      </c>
      <c r="AB4560">
        <v>25</v>
      </c>
      <c r="AC4560">
        <v>9.1434999999999604</v>
      </c>
      <c r="AD4560">
        <v>-1.1161080761719999</v>
      </c>
      <c r="AE4560">
        <v>-1.29935</v>
      </c>
      <c r="AF4560">
        <v>-3.11201299621422</v>
      </c>
      <c r="AG4560">
        <v>-1.1161080761719999</v>
      </c>
      <c r="AH4560">
        <v>8.5539125622645198</v>
      </c>
      <c r="AI4560">
        <v>96.9905212489614</v>
      </c>
      <c r="AJ4560">
        <v>109.991975988379</v>
      </c>
      <c r="AK4560">
        <v>9.1705911613793702</v>
      </c>
    </row>
    <row r="4561" spans="1:37" x14ac:dyDescent="0.2">
      <c r="A4561" t="str">
        <f>"20200111154155247"</f>
        <v>20200111154155247</v>
      </c>
      <c r="B4561" t="str">
        <f>"1578728515240433"</f>
        <v>1578728515240433</v>
      </c>
      <c r="C4561" t="s">
        <v>37</v>
      </c>
      <c r="D4561">
        <v>5.5281060000000002</v>
      </c>
      <c r="E4561">
        <v>0.4648602</v>
      </c>
      <c r="F4561" t="s">
        <v>47</v>
      </c>
      <c r="G4561">
        <v>-280.62400000000002</v>
      </c>
      <c r="H4561" s="1">
        <v>-6.1125049999999998E-6</v>
      </c>
      <c r="I4561">
        <v>-58.839779999999998</v>
      </c>
      <c r="J4561">
        <v>-289.77510000000001</v>
      </c>
      <c r="K4561">
        <v>1.1160030000000001</v>
      </c>
      <c r="L4561">
        <v>-57.516909999999903</v>
      </c>
      <c r="M4561">
        <v>0.88442419999999999</v>
      </c>
      <c r="N4561">
        <v>0</v>
      </c>
      <c r="O4561">
        <v>-0.46647280000000002</v>
      </c>
      <c r="P4561">
        <v>0.97169329999999998</v>
      </c>
      <c r="Q4561">
        <v>3.5031050000000001E-2</v>
      </c>
      <c r="R4561">
        <v>-0.2336357</v>
      </c>
      <c r="S4561">
        <v>2.9939269999999998</v>
      </c>
      <c r="T4561">
        <v>-0.36002640000000002</v>
      </c>
      <c r="U4561">
        <v>-0.44729609999999898</v>
      </c>
      <c r="V4561">
        <v>-0.24728259999999999</v>
      </c>
      <c r="W4561">
        <v>4.5357219999999997E-2</v>
      </c>
      <c r="X4561">
        <v>0.9678812</v>
      </c>
      <c r="Y4561">
        <v>-0.32541589999999998</v>
      </c>
      <c r="Z4561">
        <v>7.2804250000000001E-2</v>
      </c>
      <c r="AA4561">
        <v>0.94276399999999905</v>
      </c>
      <c r="AB4561">
        <v>25</v>
      </c>
      <c r="AC4561">
        <v>9.15109999999998</v>
      </c>
      <c r="AD4561">
        <v>-1.116009112505</v>
      </c>
      <c r="AE4561">
        <v>-1.32287</v>
      </c>
      <c r="AF4561">
        <v>-3.0545665746619699</v>
      </c>
      <c r="AG4561">
        <v>-1.116009112505</v>
      </c>
      <c r="AH4561">
        <v>8.5863077847159293</v>
      </c>
      <c r="AI4561">
        <v>96.981527363471699</v>
      </c>
      <c r="AJ4561">
        <v>109.58294214996</v>
      </c>
      <c r="AK4561">
        <v>9.18153226167124</v>
      </c>
    </row>
    <row r="4562" spans="1:37" x14ac:dyDescent="0.2">
      <c r="A4562" t="str">
        <f>"20200111154155261"</f>
        <v>20200111154155261</v>
      </c>
      <c r="B4562" t="str">
        <f>"1578728515250193"</f>
        <v>1578728515250193</v>
      </c>
      <c r="C4562" t="s">
        <v>37</v>
      </c>
      <c r="D4562">
        <v>6.6655280000000001</v>
      </c>
      <c r="E4562">
        <v>0.46598850000000003</v>
      </c>
      <c r="F4562" t="s">
        <v>47</v>
      </c>
      <c r="G4562">
        <v>-280.4726</v>
      </c>
      <c r="H4562" s="1">
        <v>-6.1565509999999998E-6</v>
      </c>
      <c r="I4562">
        <v>-58.898769999999899</v>
      </c>
      <c r="J4562">
        <v>-289.62310000000002</v>
      </c>
      <c r="K4562">
        <v>1.1158939999999999</v>
      </c>
      <c r="L4562">
        <v>-57.590389999999999</v>
      </c>
      <c r="M4562">
        <v>0.88693449999999996</v>
      </c>
      <c r="N4562">
        <v>0</v>
      </c>
      <c r="O4562">
        <v>-0.4616825</v>
      </c>
      <c r="P4562">
        <v>0.97267250000000005</v>
      </c>
      <c r="Q4562">
        <v>3.4846170000000003E-2</v>
      </c>
      <c r="R4562">
        <v>-0.22955219999999901</v>
      </c>
      <c r="S4562">
        <v>2.993439</v>
      </c>
      <c r="T4562">
        <v>-0.35912080000000002</v>
      </c>
      <c r="U4562">
        <v>-0.444671599999999</v>
      </c>
      <c r="V4562">
        <v>-0.24609989999999901</v>
      </c>
      <c r="W4562">
        <v>4.523576E-2</v>
      </c>
      <c r="X4562">
        <v>0.9681883</v>
      </c>
      <c r="Y4562">
        <v>-0.32117269999999998</v>
      </c>
      <c r="Z4562">
        <v>7.1885130000000005E-2</v>
      </c>
      <c r="AA4562">
        <v>0.94428840000000003</v>
      </c>
      <c r="AB4562">
        <v>25</v>
      </c>
      <c r="AC4562">
        <v>9.1505000000000205</v>
      </c>
      <c r="AD4562">
        <v>-1.1159001565509901</v>
      </c>
      <c r="AE4562">
        <v>-1.3083799999999901</v>
      </c>
      <c r="AF4562">
        <v>-3.0204599393514799</v>
      </c>
      <c r="AG4562">
        <v>-1.1159001565509901</v>
      </c>
      <c r="AH4562">
        <v>8.5955376862227695</v>
      </c>
      <c r="AI4562">
        <v>96.982876144586697</v>
      </c>
      <c r="AJ4562">
        <v>109.36140399775201</v>
      </c>
      <c r="AK4562">
        <v>9.1788713641652908</v>
      </c>
    </row>
    <row r="4563" spans="1:37" x14ac:dyDescent="0.2">
      <c r="A4563" t="str">
        <f>"20200111154155284"</f>
        <v>20200111154155284</v>
      </c>
      <c r="B4563" t="str">
        <f>"1578728515280449"</f>
        <v>1578728515280449</v>
      </c>
      <c r="C4563" t="s">
        <v>37</v>
      </c>
      <c r="D4563">
        <v>5.8394379999999897</v>
      </c>
      <c r="E4563">
        <v>0.46882399999999902</v>
      </c>
      <c r="F4563" t="s">
        <v>47</v>
      </c>
      <c r="G4563">
        <v>-280.21499999999997</v>
      </c>
      <c r="H4563" s="1">
        <v>-6.2341279999999899E-6</v>
      </c>
      <c r="I4563">
        <v>-58.975719999999903</v>
      </c>
      <c r="J4563">
        <v>-289.40710000000001</v>
      </c>
      <c r="K4563">
        <v>1.115748</v>
      </c>
      <c r="L4563">
        <v>-57.693269999999998</v>
      </c>
      <c r="M4563">
        <v>0.89036819999999905</v>
      </c>
      <c r="N4563">
        <v>0</v>
      </c>
      <c r="O4563">
        <v>-0.4550264</v>
      </c>
      <c r="P4563">
        <v>0.97421579999999997</v>
      </c>
      <c r="Q4563">
        <v>3.4612410000000003E-2</v>
      </c>
      <c r="R4563">
        <v>-0.22294710000000001</v>
      </c>
      <c r="S4563">
        <v>2.99295</v>
      </c>
      <c r="T4563">
        <v>-0.35499419999999998</v>
      </c>
      <c r="U4563">
        <v>-0.44070429999999999</v>
      </c>
      <c r="V4563">
        <v>-0.24540039999999999</v>
      </c>
      <c r="W4563">
        <v>4.5071420000000001E-2</v>
      </c>
      <c r="X4563">
        <v>0.9683735</v>
      </c>
      <c r="Y4563">
        <v>-0.31547770000000003</v>
      </c>
      <c r="Z4563">
        <v>7.00572E-2</v>
      </c>
      <c r="AA4563">
        <v>0.94634339999999995</v>
      </c>
      <c r="AB4563">
        <v>25</v>
      </c>
      <c r="AC4563">
        <v>9.1921000000000301</v>
      </c>
      <c r="AD4563">
        <v>-1.115754234128</v>
      </c>
      <c r="AE4563">
        <v>-1.2824499999999901</v>
      </c>
      <c r="AF4563">
        <v>-2.9977681860218399</v>
      </c>
      <c r="AG4563">
        <v>-1.115754234128</v>
      </c>
      <c r="AH4563">
        <v>8.6438362321661106</v>
      </c>
      <c r="AI4563">
        <v>96.953165656165595</v>
      </c>
      <c r="AJ4563">
        <v>109.12705344534</v>
      </c>
      <c r="AK4563">
        <v>9.2166928134014992</v>
      </c>
    </row>
    <row r="4564" spans="1:37" x14ac:dyDescent="0.2">
      <c r="A4564" t="str">
        <f>"20200111154155298"</f>
        <v>20200111154155298</v>
      </c>
      <c r="B4564" t="str">
        <f>"1578728515291186"</f>
        <v>1578728515291186</v>
      </c>
      <c r="C4564" t="s">
        <v>37</v>
      </c>
      <c r="D4564">
        <v>5.5640960000000002</v>
      </c>
      <c r="E4564">
        <v>0.469545299999999</v>
      </c>
      <c r="F4564" t="s">
        <v>39</v>
      </c>
      <c r="G4564">
        <v>-279.7346</v>
      </c>
      <c r="H4564" s="1">
        <v>-3.6092020000000002E-6</v>
      </c>
      <c r="I4564">
        <v>-59.122519999999902</v>
      </c>
      <c r="J4564">
        <v>-289.2681</v>
      </c>
      <c r="K4564">
        <v>1.115656</v>
      </c>
      <c r="L4564">
        <v>-57.758419999999902</v>
      </c>
      <c r="M4564">
        <v>0.89249339999999999</v>
      </c>
      <c r="N4564">
        <v>0</v>
      </c>
      <c r="O4564">
        <v>-0.45084429999999998</v>
      </c>
      <c r="P4564">
        <v>0.97514089999999998</v>
      </c>
      <c r="Q4564">
        <v>3.4775159999999999E-2</v>
      </c>
      <c r="R4564">
        <v>-0.2188406</v>
      </c>
      <c r="S4564">
        <v>2.9905400000000002</v>
      </c>
      <c r="T4564">
        <v>-0.34496589999999999</v>
      </c>
      <c r="U4564">
        <v>-0.44189449999999902</v>
      </c>
      <c r="V4564">
        <v>-0.24492620000000001</v>
      </c>
      <c r="W4564">
        <v>4.5276719999999999E-2</v>
      </c>
      <c r="X4564">
        <v>0.96848400000000001</v>
      </c>
      <c r="Y4564">
        <v>-0.3108727</v>
      </c>
      <c r="Z4564">
        <v>6.7452490000000004E-2</v>
      </c>
      <c r="AA4564">
        <v>0.94805499999999998</v>
      </c>
      <c r="AB4564">
        <v>25</v>
      </c>
      <c r="AC4564">
        <v>9.5335000000000001</v>
      </c>
      <c r="AD4564">
        <v>-1.1156596092019999</v>
      </c>
      <c r="AE4564">
        <v>-1.3641000000000001</v>
      </c>
      <c r="AF4564">
        <v>-3.0401746483558298</v>
      </c>
      <c r="AG4564">
        <v>-1.1156596092019999</v>
      </c>
      <c r="AH4564">
        <v>9.00364184988155</v>
      </c>
      <c r="AI4564">
        <v>96.695873494537693</v>
      </c>
      <c r="AJ4564">
        <v>108.657796470478</v>
      </c>
      <c r="AK4564">
        <v>9.5683292594396399</v>
      </c>
    </row>
    <row r="4565" spans="1:37" x14ac:dyDescent="0.2">
      <c r="A4565" t="str">
        <f>"20200111154155310"</f>
        <v>20200111154155310</v>
      </c>
      <c r="B4565" t="str">
        <f>"1578728515300945"</f>
        <v>1578728515300945</v>
      </c>
      <c r="C4565" t="s">
        <v>37</v>
      </c>
      <c r="D4565">
        <v>5.529153</v>
      </c>
      <c r="E4565">
        <v>0.47016340000000001</v>
      </c>
      <c r="F4565" t="s">
        <v>39</v>
      </c>
      <c r="G4565">
        <v>-279.53070000000002</v>
      </c>
      <c r="H4565" s="1">
        <v>-3.510466E-6</v>
      </c>
      <c r="I4565">
        <v>-59.1736</v>
      </c>
      <c r="J4565">
        <v>-289.14359999999999</v>
      </c>
      <c r="K4565">
        <v>1.1155790000000001</v>
      </c>
      <c r="L4565">
        <v>-57.816219999999902</v>
      </c>
      <c r="M4565">
        <v>0.89435469999999895</v>
      </c>
      <c r="N4565">
        <v>0</v>
      </c>
      <c r="O4565">
        <v>-0.44714129999999902</v>
      </c>
      <c r="P4565">
        <v>0.97593030000000003</v>
      </c>
      <c r="Q4565">
        <v>3.4438900000000001E-2</v>
      </c>
      <c r="R4565">
        <v>-0.21534710000000001</v>
      </c>
      <c r="S4565">
        <v>2.9911799999999999</v>
      </c>
      <c r="T4565">
        <v>-0.34271560000000001</v>
      </c>
      <c r="U4565">
        <v>-0.43472290000000002</v>
      </c>
      <c r="V4565">
        <v>-0.24437210000000001</v>
      </c>
      <c r="W4565">
        <v>4.4977570000000001E-2</v>
      </c>
      <c r="X4565">
        <v>0.96863790000000005</v>
      </c>
      <c r="Y4565">
        <v>-0.30928259999999902</v>
      </c>
      <c r="Z4565">
        <v>6.655324E-2</v>
      </c>
      <c r="AA4565">
        <v>0.94863839999999999</v>
      </c>
      <c r="AB4565">
        <v>25</v>
      </c>
      <c r="AC4565">
        <v>9.6128999999999607</v>
      </c>
      <c r="AD4565">
        <v>-1.115582510466</v>
      </c>
      <c r="AE4565">
        <v>-1.35738</v>
      </c>
      <c r="AF4565">
        <v>-3.0444449114771799</v>
      </c>
      <c r="AG4565">
        <v>-1.115582510466</v>
      </c>
      <c r="AH4565">
        <v>9.0852121227669809</v>
      </c>
      <c r="AI4565">
        <v>96.640932475799403</v>
      </c>
      <c r="AJ4565">
        <v>108.525945946124</v>
      </c>
      <c r="AK4565">
        <v>9.6464630032125793</v>
      </c>
    </row>
    <row r="4566" spans="1:37" x14ac:dyDescent="0.2">
      <c r="A4566" t="str">
        <f>"20200111154155321"</f>
        <v>20200111154155321</v>
      </c>
      <c r="B4566" t="str">
        <f>"1578728515310237"</f>
        <v>1578728515310237</v>
      </c>
      <c r="C4566" t="s">
        <v>37</v>
      </c>
      <c r="D4566">
        <v>5.5207639999999998</v>
      </c>
      <c r="E4566">
        <v>0.47073149999999903</v>
      </c>
      <c r="F4566" t="s">
        <v>39</v>
      </c>
      <c r="G4566">
        <v>-279.40309999999999</v>
      </c>
      <c r="H4566" s="1">
        <v>-3.4474499999999999E-6</v>
      </c>
      <c r="I4566">
        <v>-59.210999999999999</v>
      </c>
      <c r="J4566">
        <v>-289.02429999999998</v>
      </c>
      <c r="K4566">
        <v>1.11551</v>
      </c>
      <c r="L4566">
        <v>-57.871279999999999</v>
      </c>
      <c r="M4566">
        <v>0.89610669999999903</v>
      </c>
      <c r="N4566">
        <v>0</v>
      </c>
      <c r="O4566">
        <v>-0.44362010000000002</v>
      </c>
      <c r="P4566">
        <v>0.97661439999999999</v>
      </c>
      <c r="Q4566">
        <v>3.4505510000000003E-2</v>
      </c>
      <c r="R4566">
        <v>-0.21221129999999999</v>
      </c>
      <c r="S4566">
        <v>2.9915769999999999</v>
      </c>
      <c r="T4566">
        <v>-0.34262789999999999</v>
      </c>
      <c r="U4566">
        <v>-0.42837520000000001</v>
      </c>
      <c r="V4566">
        <v>-0.2436651</v>
      </c>
      <c r="W4566">
        <v>4.507999E-2</v>
      </c>
      <c r="X4566">
        <v>0.96881119999999898</v>
      </c>
      <c r="Y4566">
        <v>-0.30756719999999999</v>
      </c>
      <c r="Z4566">
        <v>6.608783E-2</v>
      </c>
      <c r="AA4566">
        <v>0.94922850000000003</v>
      </c>
      <c r="AB4566">
        <v>25</v>
      </c>
      <c r="AC4566">
        <v>9.6211999999999804</v>
      </c>
      <c r="AD4566">
        <v>-1.1155134474499999</v>
      </c>
      <c r="AE4566">
        <v>-1.33971999999999</v>
      </c>
      <c r="AF4566">
        <v>-3.02799263340192</v>
      </c>
      <c r="AG4566">
        <v>-1.1155134474499999</v>
      </c>
      <c r="AH4566">
        <v>9.0968806067696093</v>
      </c>
      <c r="AI4566">
        <v>96.636505381975297</v>
      </c>
      <c r="AJ4566">
        <v>108.410565449491</v>
      </c>
      <c r="AK4566">
        <v>9.6522715675222805</v>
      </c>
    </row>
    <row r="4567" spans="1:37" x14ac:dyDescent="0.2">
      <c r="A4567" t="str">
        <f>"20200111154155333"</f>
        <v>20200111154155333</v>
      </c>
      <c r="B4567" t="str">
        <f>"1578728515330732"</f>
        <v>1578728515330732</v>
      </c>
      <c r="C4567" t="s">
        <v>37</v>
      </c>
      <c r="D4567">
        <v>5.5799799999999999</v>
      </c>
      <c r="E4567">
        <v>0.47121109999999999</v>
      </c>
      <c r="F4567" t="s">
        <v>39</v>
      </c>
      <c r="G4567">
        <v>-279.28870000000001</v>
      </c>
      <c r="H4567" s="1">
        <v>-3.390486E-6</v>
      </c>
      <c r="I4567">
        <v>-59.246729999999999</v>
      </c>
      <c r="J4567">
        <v>-288.9128</v>
      </c>
      <c r="K4567">
        <v>1.1154520000000001</v>
      </c>
      <c r="L4567">
        <v>-57.921969999999902</v>
      </c>
      <c r="M4567">
        <v>0.89769699999999997</v>
      </c>
      <c r="N4567">
        <v>0</v>
      </c>
      <c r="O4567">
        <v>-0.4403938</v>
      </c>
      <c r="P4567">
        <v>0.97724719999999998</v>
      </c>
      <c r="Q4567">
        <v>3.4513910000000002E-2</v>
      </c>
      <c r="R4567">
        <v>-0.209277299999999</v>
      </c>
      <c r="S4567">
        <v>2.9920960000000001</v>
      </c>
      <c r="T4567">
        <v>-0.34283969999999903</v>
      </c>
      <c r="U4567">
        <v>-0.42272949999999998</v>
      </c>
      <c r="V4567">
        <v>-0.24308260000000001</v>
      </c>
      <c r="W4567">
        <v>4.5117619999999997E-2</v>
      </c>
      <c r="X4567">
        <v>0.96895580000000003</v>
      </c>
      <c r="Y4567">
        <v>-0.30594829999999901</v>
      </c>
      <c r="Z4567">
        <v>6.5709870000000004E-2</v>
      </c>
      <c r="AA4567">
        <v>0.94977780000000001</v>
      </c>
      <c r="AB4567">
        <v>25</v>
      </c>
      <c r="AC4567">
        <v>9.6241000000000003</v>
      </c>
      <c r="AD4567">
        <v>-1.1154553904860001</v>
      </c>
      <c r="AE4567">
        <v>-1.3247600000000099</v>
      </c>
      <c r="AF4567">
        <v>-3.0097762549325</v>
      </c>
      <c r="AG4567">
        <v>-1.1154553904860001</v>
      </c>
      <c r="AH4567">
        <v>9.1038132030731092</v>
      </c>
      <c r="AI4567">
        <v>96.635583884288394</v>
      </c>
      <c r="AJ4567">
        <v>108.294201321652</v>
      </c>
      <c r="AK4567">
        <v>9.6531035770558304</v>
      </c>
    </row>
    <row r="4568" spans="1:37" x14ac:dyDescent="0.2">
      <c r="A4568" t="str">
        <f>"20200111154155346"</f>
        <v>20200111154155346</v>
      </c>
      <c r="B4568" t="str">
        <f>"1578728515340493"</f>
        <v>1578728515340493</v>
      </c>
      <c r="C4568" t="s">
        <v>37</v>
      </c>
      <c r="D4568">
        <v>5.4841699999999998</v>
      </c>
      <c r="E4568">
        <v>0.47184290000000001</v>
      </c>
      <c r="F4568" t="s">
        <v>39</v>
      </c>
      <c r="G4568">
        <v>-279.10090000000002</v>
      </c>
      <c r="H4568" s="1">
        <v>-3.30047399999999E-6</v>
      </c>
      <c r="I4568">
        <v>-59.289299999999997</v>
      </c>
      <c r="J4568">
        <v>-288.78590000000003</v>
      </c>
      <c r="K4568">
        <v>1.115391</v>
      </c>
      <c r="L4568">
        <v>-57.979369999999903</v>
      </c>
      <c r="M4568">
        <v>0.8994799</v>
      </c>
      <c r="N4568">
        <v>0</v>
      </c>
      <c r="O4568">
        <v>-0.4367412</v>
      </c>
      <c r="P4568">
        <v>0.97796369999999899</v>
      </c>
      <c r="Q4568">
        <v>3.4165899999999999E-2</v>
      </c>
      <c r="R4568">
        <v>-0.2059607</v>
      </c>
      <c r="S4568">
        <v>2.9925229999999998</v>
      </c>
      <c r="T4568">
        <v>-0.340202</v>
      </c>
      <c r="U4568">
        <v>-0.41702269999999902</v>
      </c>
      <c r="V4568">
        <v>-0.24242429999999901</v>
      </c>
      <c r="W4568">
        <v>4.4802750000000002E-2</v>
      </c>
      <c r="X4568">
        <v>0.96913530000000003</v>
      </c>
      <c r="Y4568">
        <v>-0.30397829999999998</v>
      </c>
      <c r="Z4568">
        <v>6.4730410000000002E-2</v>
      </c>
      <c r="AA4568">
        <v>0.95047739999999903</v>
      </c>
      <c r="AB4568">
        <v>25</v>
      </c>
      <c r="AC4568">
        <v>9.6850000000000005</v>
      </c>
      <c r="AD4568">
        <v>-1.1153943004739999</v>
      </c>
      <c r="AE4568">
        <v>-1.30993</v>
      </c>
      <c r="AF4568">
        <v>-3.0126371671470702</v>
      </c>
      <c r="AG4568">
        <v>-1.1153943004739999</v>
      </c>
      <c r="AH4568">
        <v>9.1650822920649997</v>
      </c>
      <c r="AI4568">
        <v>96.594946523562498</v>
      </c>
      <c r="AJ4568">
        <v>108.196115235919</v>
      </c>
      <c r="AK4568">
        <v>9.7117877121943508</v>
      </c>
    </row>
    <row r="4569" spans="1:37" x14ac:dyDescent="0.2">
      <c r="A4569" t="str">
        <f>"20200111154155359"</f>
        <v>20200111154155359</v>
      </c>
      <c r="B4569" t="str">
        <f>"1578728515351228"</f>
        <v>1578728515351228</v>
      </c>
      <c r="C4569" t="s">
        <v>37</v>
      </c>
      <c r="D4569">
        <v>5.4881679999999999</v>
      </c>
      <c r="E4569">
        <v>0.4723502</v>
      </c>
      <c r="F4569" t="s">
        <v>39</v>
      </c>
      <c r="G4569">
        <v>-278.94580000000002</v>
      </c>
      <c r="H4569" s="1">
        <v>-3.2244639999999899E-6</v>
      </c>
      <c r="I4569">
        <v>-59.332250000000002</v>
      </c>
      <c r="J4569">
        <v>-288.6551</v>
      </c>
      <c r="K4569">
        <v>1.115327</v>
      </c>
      <c r="L4569">
        <v>-58.037869999999998</v>
      </c>
      <c r="M4569">
        <v>0.90127279999999999</v>
      </c>
      <c r="N4569">
        <v>0</v>
      </c>
      <c r="O4569">
        <v>-0.43302940000000001</v>
      </c>
      <c r="P4569">
        <v>0.97874709999999998</v>
      </c>
      <c r="Q4569">
        <v>3.4030810000000002E-2</v>
      </c>
      <c r="R4569">
        <v>-0.20222789999999999</v>
      </c>
      <c r="S4569">
        <v>2.9927980000000001</v>
      </c>
      <c r="T4569">
        <v>-0.33923920000000002</v>
      </c>
      <c r="U4569">
        <v>-0.41146850000000001</v>
      </c>
      <c r="V4569">
        <v>-0.242119999999999</v>
      </c>
      <c r="W4569">
        <v>4.4693669999999998E-2</v>
      </c>
      <c r="X4569">
        <v>0.96921630000000003</v>
      </c>
      <c r="Y4569">
        <v>-0.30185459999999997</v>
      </c>
      <c r="Z4569">
        <v>6.40598E-2</v>
      </c>
      <c r="AA4569">
        <v>0.95119940000000003</v>
      </c>
      <c r="AB4569">
        <v>25</v>
      </c>
      <c r="AC4569">
        <v>9.7092999999999794</v>
      </c>
      <c r="AD4569">
        <v>-1.115330224464</v>
      </c>
      <c r="AE4569">
        <v>-1.2943800000000001</v>
      </c>
      <c r="AF4569">
        <v>-2.9992301499549399</v>
      </c>
      <c r="AG4569">
        <v>-1.115330224464</v>
      </c>
      <c r="AH4569">
        <v>9.1929420342622397</v>
      </c>
      <c r="AI4569">
        <v>96.579493969095196</v>
      </c>
      <c r="AJ4569">
        <v>108.06910020266101</v>
      </c>
      <c r="AK4569">
        <v>9.7339368318942405</v>
      </c>
    </row>
    <row r="4570" spans="1:37" x14ac:dyDescent="0.2">
      <c r="A4570" t="str">
        <f>"20200111154155372"</f>
        <v>20200111154155372</v>
      </c>
      <c r="B4570" t="str">
        <f>"1578728515360990"</f>
        <v>1578728515360990</v>
      </c>
      <c r="C4570" t="s">
        <v>37</v>
      </c>
      <c r="D4570">
        <v>5.4811030000000001</v>
      </c>
      <c r="E4570">
        <v>0.47277570000000002</v>
      </c>
      <c r="F4570" t="s">
        <v>39</v>
      </c>
      <c r="G4570">
        <v>-278.78980000000001</v>
      </c>
      <c r="H4570" s="1">
        <v>-3.1495469999999999E-6</v>
      </c>
      <c r="I4570">
        <v>-59.36835</v>
      </c>
      <c r="J4570">
        <v>-288.52030000000002</v>
      </c>
      <c r="K4570">
        <v>1.1152610000000001</v>
      </c>
      <c r="L4570">
        <v>-58.097469999999902</v>
      </c>
      <c r="M4570">
        <v>0.90308089999999996</v>
      </c>
      <c r="N4570">
        <v>0</v>
      </c>
      <c r="O4570">
        <v>-0.42924669999999998</v>
      </c>
      <c r="P4570">
        <v>0.97936270000000003</v>
      </c>
      <c r="Q4570">
        <v>3.3531930000000001E-2</v>
      </c>
      <c r="R4570">
        <v>-0.19931009999999999</v>
      </c>
      <c r="S4570">
        <v>2.9935</v>
      </c>
      <c r="T4570">
        <v>-0.3384335</v>
      </c>
      <c r="U4570">
        <v>-0.40371699999999999</v>
      </c>
      <c r="V4570">
        <v>-0.24093890000000001</v>
      </c>
      <c r="W4570">
        <v>4.4231590000000001E-2</v>
      </c>
      <c r="X4570">
        <v>0.96953180000000005</v>
      </c>
      <c r="Y4570">
        <v>-0.30035959999999901</v>
      </c>
      <c r="Z4570">
        <v>6.3444219999999996E-2</v>
      </c>
      <c r="AA4570">
        <v>0.951713699999999</v>
      </c>
      <c r="AB4570">
        <v>25</v>
      </c>
      <c r="AC4570">
        <v>9.7304999999999993</v>
      </c>
      <c r="AD4570">
        <v>-1.1152641495469999</v>
      </c>
      <c r="AE4570">
        <v>-1.27088</v>
      </c>
      <c r="AF4570">
        <v>-2.99073924638803</v>
      </c>
      <c r="AG4570">
        <v>-1.1152641495469999</v>
      </c>
      <c r="AH4570">
        <v>9.2148248198485199</v>
      </c>
      <c r="AI4570">
        <v>96.566868579412898</v>
      </c>
      <c r="AJ4570">
        <v>107.981220268431</v>
      </c>
      <c r="AK4570">
        <v>9.7519911722502499</v>
      </c>
    </row>
    <row r="4571" spans="1:37" x14ac:dyDescent="0.2">
      <c r="A4571" t="str">
        <f>"20200111154155385"</f>
        <v>20200111154155385</v>
      </c>
      <c r="B4571" t="str">
        <f>"1578728515380509"</f>
        <v>1578728515380509</v>
      </c>
      <c r="C4571" t="s">
        <v>37</v>
      </c>
      <c r="D4571">
        <v>5.5278910000000003</v>
      </c>
      <c r="E4571">
        <v>0.473832799999999</v>
      </c>
      <c r="F4571" t="s">
        <v>39</v>
      </c>
      <c r="G4571">
        <v>-278.6816</v>
      </c>
      <c r="H4571" s="1">
        <v>-3.09513699999999E-6</v>
      </c>
      <c r="I4571">
        <v>-59.404519999999998</v>
      </c>
      <c r="J4571">
        <v>-288.3954</v>
      </c>
      <c r="K4571">
        <v>1.115208</v>
      </c>
      <c r="L4571">
        <v>-58.15231</v>
      </c>
      <c r="M4571">
        <v>0.90472940000000002</v>
      </c>
      <c r="N4571">
        <v>0</v>
      </c>
      <c r="O4571">
        <v>-0.42576160000000002</v>
      </c>
      <c r="P4571">
        <v>0.98001939999999998</v>
      </c>
      <c r="Q4571">
        <v>3.3691289999999999E-2</v>
      </c>
      <c r="R4571">
        <v>-0.19602800000000001</v>
      </c>
      <c r="S4571">
        <v>2.9939269999999998</v>
      </c>
      <c r="T4571">
        <v>-0.33937699999999998</v>
      </c>
      <c r="U4571">
        <v>-0.39773559999999902</v>
      </c>
      <c r="V4571">
        <v>-0.240442299999999</v>
      </c>
      <c r="W4571">
        <v>4.4414040000000002E-2</v>
      </c>
      <c r="X4571">
        <v>0.96964680000000003</v>
      </c>
      <c r="Y4571">
        <v>-0.29857640000000002</v>
      </c>
      <c r="Z4571">
        <v>6.3169069999999994E-2</v>
      </c>
      <c r="AA4571">
        <v>0.9522929</v>
      </c>
      <c r="AB4571">
        <v>25</v>
      </c>
      <c r="AC4571">
        <v>9.7137999999999902</v>
      </c>
      <c r="AD4571">
        <v>-1.115211095137</v>
      </c>
      <c r="AE4571">
        <v>-1.2522099999999901</v>
      </c>
      <c r="AF4571">
        <v>-2.9647019477521801</v>
      </c>
      <c r="AG4571">
        <v>-1.115211095137</v>
      </c>
      <c r="AH4571">
        <v>9.20307787570842</v>
      </c>
      <c r="AI4571">
        <v>96.579476213468297</v>
      </c>
      <c r="AJ4571">
        <v>107.85595267755799</v>
      </c>
      <c r="AK4571">
        <v>9.73292329221165</v>
      </c>
    </row>
    <row r="4572" spans="1:37" x14ac:dyDescent="0.2">
      <c r="A4572" t="str">
        <f>"20200111154155397"</f>
        <v>20200111154155397</v>
      </c>
      <c r="B4572" t="str">
        <f>"1578728515391245"</f>
        <v>1578728515391245</v>
      </c>
      <c r="C4572" t="s">
        <v>37</v>
      </c>
      <c r="D4572">
        <v>5.5376719999999997</v>
      </c>
      <c r="E4572">
        <v>0.47430249999999902</v>
      </c>
      <c r="F4572" t="s">
        <v>39</v>
      </c>
      <c r="G4572">
        <v>-278.50839999999999</v>
      </c>
      <c r="H4572" s="1">
        <v>-3.008489E-6</v>
      </c>
      <c r="I4572">
        <v>-59.460299999999997</v>
      </c>
      <c r="J4572">
        <v>-288.2747</v>
      </c>
      <c r="K4572">
        <v>1.115167</v>
      </c>
      <c r="L4572">
        <v>-58.204619999999998</v>
      </c>
      <c r="M4572">
        <v>0.906292599999999</v>
      </c>
      <c r="N4572">
        <v>0</v>
      </c>
      <c r="O4572">
        <v>-0.42242459999999998</v>
      </c>
      <c r="P4572">
        <v>0.98063989999999901</v>
      </c>
      <c r="Q4572">
        <v>3.3500349999999998E-2</v>
      </c>
      <c r="R4572">
        <v>-0.1929332</v>
      </c>
      <c r="S4572">
        <v>2.9935610000000001</v>
      </c>
      <c r="T4572">
        <v>-0.33765800000000001</v>
      </c>
      <c r="U4572">
        <v>-0.39602659999999901</v>
      </c>
      <c r="V4572">
        <v>-0.23992579999999999</v>
      </c>
      <c r="W4572">
        <v>4.4242070000000001E-2</v>
      </c>
      <c r="X4572">
        <v>0.96978259999999905</v>
      </c>
      <c r="Y4572">
        <v>-0.2956589</v>
      </c>
      <c r="Z4572">
        <v>6.2360230000000003E-2</v>
      </c>
      <c r="AA4572">
        <v>0.95325599999999999</v>
      </c>
      <c r="AB4572">
        <v>25</v>
      </c>
      <c r="AC4572">
        <v>9.7662999999999993</v>
      </c>
      <c r="AD4572">
        <v>-1.1151700084889999</v>
      </c>
      <c r="AE4572">
        <v>-1.2556799999999899</v>
      </c>
      <c r="AF4572">
        <v>-2.9499604161647501</v>
      </c>
      <c r="AG4572">
        <v>-1.1151700084889999</v>
      </c>
      <c r="AH4572">
        <v>9.2636342913796792</v>
      </c>
      <c r="AI4572">
        <v>96.543564065953106</v>
      </c>
      <c r="AJ4572">
        <v>107.663829562386</v>
      </c>
      <c r="AK4572">
        <v>9.7857442685366394</v>
      </c>
    </row>
    <row r="4573" spans="1:37" x14ac:dyDescent="0.2">
      <c r="A4573" t="str">
        <f>"20200111154155408"</f>
        <v>20200111154155408</v>
      </c>
      <c r="B4573" t="str">
        <f>"1578728515401004"</f>
        <v>1578728515401004</v>
      </c>
      <c r="C4573" t="s">
        <v>37</v>
      </c>
      <c r="D4573">
        <v>6.1085789999999998</v>
      </c>
      <c r="E4573">
        <v>0.4748057</v>
      </c>
      <c r="F4573" t="s">
        <v>39</v>
      </c>
      <c r="G4573">
        <v>-278.38889999999998</v>
      </c>
      <c r="H4573" s="1">
        <v>-2.94992399999999E-6</v>
      </c>
      <c r="I4573">
        <v>-59.493429999999996</v>
      </c>
      <c r="J4573">
        <v>-288.16770000000002</v>
      </c>
      <c r="K4573">
        <v>1.115129</v>
      </c>
      <c r="L4573">
        <v>-58.250639999999997</v>
      </c>
      <c r="M4573">
        <v>0.9076613</v>
      </c>
      <c r="N4573">
        <v>0</v>
      </c>
      <c r="O4573">
        <v>-0.41947590000000001</v>
      </c>
      <c r="P4573">
        <v>0.98116119999999996</v>
      </c>
      <c r="Q4573">
        <v>3.3340259999999997E-2</v>
      </c>
      <c r="R4573">
        <v>-0.19029289999999999</v>
      </c>
      <c r="S4573">
        <v>2.9939269999999998</v>
      </c>
      <c r="T4573">
        <v>-0.33773159999999902</v>
      </c>
      <c r="U4573">
        <v>-0.39031979999999999</v>
      </c>
      <c r="V4573">
        <v>-0.23938019999999999</v>
      </c>
      <c r="W4573">
        <v>4.4097730000000002E-2</v>
      </c>
      <c r="X4573">
        <v>0.96992400000000001</v>
      </c>
      <c r="Y4573">
        <v>-0.2943788</v>
      </c>
      <c r="Z4573">
        <v>6.2006760000000001E-2</v>
      </c>
      <c r="AA4573">
        <v>0.95367519999999995</v>
      </c>
      <c r="AB4573">
        <v>25</v>
      </c>
      <c r="AC4573">
        <v>9.7788000000000395</v>
      </c>
      <c r="AD4573">
        <v>-1.115131949924</v>
      </c>
      <c r="AE4573">
        <v>-1.2427899999999901</v>
      </c>
      <c r="AF4573">
        <v>-2.93664104063981</v>
      </c>
      <c r="AG4573">
        <v>-1.115131949924</v>
      </c>
      <c r="AH4573">
        <v>9.2793047719146102</v>
      </c>
      <c r="AI4573">
        <v>96.536074299088</v>
      </c>
      <c r="AJ4573">
        <v>107.561126209637</v>
      </c>
      <c r="AK4573">
        <v>9.7965747543408597</v>
      </c>
    </row>
    <row r="4574" spans="1:37" x14ac:dyDescent="0.2">
      <c r="A4574" t="str">
        <f>"20200111154155420"</f>
        <v>20200111154155420</v>
      </c>
      <c r="B4574" t="str">
        <f>"1578728515410297"</f>
        <v>1578728515410297</v>
      </c>
      <c r="C4574" t="s">
        <v>37</v>
      </c>
      <c r="D4574">
        <v>5.4757350000000002</v>
      </c>
      <c r="E4574">
        <v>0.47525849999999997</v>
      </c>
      <c r="F4574" t="s">
        <v>39</v>
      </c>
      <c r="G4574">
        <v>-278.22550000000001</v>
      </c>
      <c r="H4574" s="1">
        <v>-2.871125E-6</v>
      </c>
      <c r="I4574">
        <v>-59.532730000000001</v>
      </c>
      <c r="J4574">
        <v>-288.03930000000003</v>
      </c>
      <c r="K4574">
        <v>1.1150949999999999</v>
      </c>
      <c r="L4574">
        <v>-58.305390000000003</v>
      </c>
      <c r="M4574">
        <v>0.90928259999999905</v>
      </c>
      <c r="N4574">
        <v>0</v>
      </c>
      <c r="O4574">
        <v>-0.41595009999999999</v>
      </c>
      <c r="P4574">
        <v>0.98176459999999999</v>
      </c>
      <c r="Q4574">
        <v>3.3148459999999998E-2</v>
      </c>
      <c r="R4574">
        <v>-0.18718940000000001</v>
      </c>
      <c r="S4574">
        <v>2.9941409999999999</v>
      </c>
      <c r="T4574">
        <v>-0.33582719999999999</v>
      </c>
      <c r="U4574">
        <v>-0.38610840000000002</v>
      </c>
      <c r="V4574">
        <v>-0.23867949999999999</v>
      </c>
      <c r="W4574">
        <v>4.3922889999999999E-2</v>
      </c>
      <c r="X4574">
        <v>0.97010459999999998</v>
      </c>
      <c r="Y4574">
        <v>-0.29208070000000003</v>
      </c>
      <c r="Z4574">
        <v>6.1178459999999997E-2</v>
      </c>
      <c r="AA4574">
        <v>0.95443489999999997</v>
      </c>
      <c r="AB4574">
        <v>25</v>
      </c>
      <c r="AC4574">
        <v>9.8138000000000094</v>
      </c>
      <c r="AD4574">
        <v>-1.1150978711249999</v>
      </c>
      <c r="AE4574">
        <v>-1.2273400000000001</v>
      </c>
      <c r="AF4574">
        <v>-2.9291004712516</v>
      </c>
      <c r="AG4574">
        <v>-1.1150978711249999</v>
      </c>
      <c r="AH4574">
        <v>9.3164986106467502</v>
      </c>
      <c r="AI4574">
        <v>96.513847015074603</v>
      </c>
      <c r="AJ4574">
        <v>107.453110217796</v>
      </c>
      <c r="AK4574">
        <v>9.8295584435444905</v>
      </c>
    </row>
    <row r="4575" spans="1:37" x14ac:dyDescent="0.2">
      <c r="A4575" t="str">
        <f>"20200111154155431"</f>
        <v>20200111154155431</v>
      </c>
      <c r="B4575" t="str">
        <f>"1578728515421033"</f>
        <v>1578728515421033</v>
      </c>
      <c r="C4575" t="s">
        <v>37</v>
      </c>
      <c r="D4575">
        <v>5.4508919999999996</v>
      </c>
      <c r="E4575">
        <v>0.47573670000000001</v>
      </c>
      <c r="F4575" t="s">
        <v>39</v>
      </c>
      <c r="G4575">
        <v>-278.04300000000001</v>
      </c>
      <c r="H4575" s="1">
        <v>-2.7837839999999999E-6</v>
      </c>
      <c r="I4575">
        <v>-59.573700000000002</v>
      </c>
      <c r="J4575">
        <v>-287.92610000000002</v>
      </c>
      <c r="K4575">
        <v>1.1150739999999999</v>
      </c>
      <c r="L4575">
        <v>-58.353059999999999</v>
      </c>
      <c r="M4575">
        <v>0.91069319999999898</v>
      </c>
      <c r="N4575">
        <v>0</v>
      </c>
      <c r="O4575">
        <v>-0.41285249999999901</v>
      </c>
      <c r="P4575">
        <v>0.98228419999999905</v>
      </c>
      <c r="Q4575">
        <v>3.2620259999999998E-2</v>
      </c>
      <c r="R4575">
        <v>-0.18453620000000001</v>
      </c>
      <c r="S4575">
        <v>2.9945680000000001</v>
      </c>
      <c r="T4575">
        <v>-0.33404650000000002</v>
      </c>
      <c r="U4575">
        <v>-0.3799438</v>
      </c>
      <c r="V4575">
        <v>-0.23799690000000001</v>
      </c>
      <c r="W4575">
        <v>4.3406970000000003E-2</v>
      </c>
      <c r="X4575">
        <v>0.97029549999999998</v>
      </c>
      <c r="Y4575">
        <v>-0.2908462</v>
      </c>
      <c r="Z4575">
        <v>6.0478839999999999E-2</v>
      </c>
      <c r="AA4575">
        <v>0.95485640000000005</v>
      </c>
      <c r="AB4575">
        <v>25</v>
      </c>
      <c r="AC4575">
        <v>9.8831000000000095</v>
      </c>
      <c r="AD4575">
        <v>-1.1150767837839901</v>
      </c>
      <c r="AE4575">
        <v>-1.2206399999999999</v>
      </c>
      <c r="AF4575">
        <v>-2.9321520820118598</v>
      </c>
      <c r="AG4575">
        <v>-1.1150767837839901</v>
      </c>
      <c r="AH4575">
        <v>9.3876152849858201</v>
      </c>
      <c r="AI4575">
        <v>96.468561920434396</v>
      </c>
      <c r="AJ4575">
        <v>107.345807790691</v>
      </c>
      <c r="AK4575">
        <v>9.8978903209057592</v>
      </c>
    </row>
    <row r="4576" spans="1:37" x14ac:dyDescent="0.2">
      <c r="A4576" t="str">
        <f>"20200111154155444"</f>
        <v>20200111154155444</v>
      </c>
      <c r="B4576" t="str">
        <f>"1578728515440553"</f>
        <v>1578728515440553</v>
      </c>
      <c r="C4576" t="s">
        <v>37</v>
      </c>
      <c r="D4576">
        <v>5.5026919999999997</v>
      </c>
      <c r="E4576">
        <v>0.47668549999999899</v>
      </c>
      <c r="F4576" t="s">
        <v>39</v>
      </c>
      <c r="G4576">
        <v>-277.92070000000001</v>
      </c>
      <c r="H4576" s="1">
        <v>-2.7238929999999999E-6</v>
      </c>
      <c r="I4576">
        <v>-59.607190000000003</v>
      </c>
      <c r="J4576">
        <v>-287.80329999999998</v>
      </c>
      <c r="K4576">
        <v>1.115057</v>
      </c>
      <c r="L4576">
        <v>-58.404509999999902</v>
      </c>
      <c r="M4576">
        <v>0.91220889999999999</v>
      </c>
      <c r="N4576">
        <v>0</v>
      </c>
      <c r="O4576">
        <v>-0.40949370000000002</v>
      </c>
      <c r="P4576">
        <v>0.98293019999999998</v>
      </c>
      <c r="Q4576">
        <v>3.2545690000000002E-2</v>
      </c>
      <c r="R4576">
        <v>-0.18107819999999999</v>
      </c>
      <c r="S4576">
        <v>2.994659</v>
      </c>
      <c r="T4576">
        <v>-0.33374569999999998</v>
      </c>
      <c r="U4576">
        <v>-0.37536619999999998</v>
      </c>
      <c r="V4576">
        <v>-0.2378343</v>
      </c>
      <c r="W4576">
        <v>4.3336E-2</v>
      </c>
      <c r="X4576">
        <v>0.97033849999999999</v>
      </c>
      <c r="Y4576">
        <v>-0.28880020000000001</v>
      </c>
      <c r="Z4576">
        <v>5.9979240000000003E-2</v>
      </c>
      <c r="AA4576">
        <v>0.95550879999999905</v>
      </c>
      <c r="AB4576">
        <v>25</v>
      </c>
      <c r="AC4576">
        <v>9.8825999999999592</v>
      </c>
      <c r="AD4576">
        <v>-1.115059723893</v>
      </c>
      <c r="AE4576">
        <v>-1.20268</v>
      </c>
      <c r="AF4576">
        <v>-2.9134973721046298</v>
      </c>
      <c r="AG4576">
        <v>-1.115059723893</v>
      </c>
      <c r="AH4576">
        <v>9.3905836684243091</v>
      </c>
      <c r="AI4576">
        <v>96.4702318958239</v>
      </c>
      <c r="AJ4576">
        <v>107.236886224225</v>
      </c>
      <c r="AK4576">
        <v>9.8951951349524307</v>
      </c>
    </row>
    <row r="4577" spans="1:37" x14ac:dyDescent="0.2">
      <c r="A4577" t="str">
        <f>"20200111154155457"</f>
        <v>20200111154155457</v>
      </c>
      <c r="B4577" t="str">
        <f>"1578728515450311"</f>
        <v>1578728515450311</v>
      </c>
      <c r="C4577" t="s">
        <v>37</v>
      </c>
      <c r="D4577">
        <v>5.7693269999999997</v>
      </c>
      <c r="E4577">
        <v>0.477151099999999</v>
      </c>
      <c r="F4577" t="s">
        <v>39</v>
      </c>
      <c r="G4577">
        <v>-277.66809999999998</v>
      </c>
      <c r="H4577" s="1">
        <v>-2.6029749999999998E-6</v>
      </c>
      <c r="I4577">
        <v>-59.66404</v>
      </c>
      <c r="J4577">
        <v>-287.66770000000002</v>
      </c>
      <c r="K4577">
        <v>1.1150439999999999</v>
      </c>
      <c r="L4577">
        <v>-58.460450000000002</v>
      </c>
      <c r="M4577">
        <v>0.91386119999999904</v>
      </c>
      <c r="N4577">
        <v>0</v>
      </c>
      <c r="O4577">
        <v>-0.40579270000000001</v>
      </c>
      <c r="P4577">
        <v>0.98352589999999995</v>
      </c>
      <c r="Q4577">
        <v>3.2147429999999998E-2</v>
      </c>
      <c r="R4577">
        <v>-0.17788599999999999</v>
      </c>
      <c r="S4577">
        <v>2.9944459999999999</v>
      </c>
      <c r="T4577">
        <v>-0.32944600000000002</v>
      </c>
      <c r="U4577">
        <v>-0.3721313</v>
      </c>
      <c r="V4577">
        <v>-0.2370507</v>
      </c>
      <c r="W4577">
        <v>4.294535E-2</v>
      </c>
      <c r="X4577">
        <v>0.97054759999999995</v>
      </c>
      <c r="Y4577">
        <v>-0.28606819999999999</v>
      </c>
      <c r="Z4577">
        <v>5.8702230000000001E-2</v>
      </c>
      <c r="AA4577">
        <v>0.95640949999999902</v>
      </c>
      <c r="AB4577">
        <v>25</v>
      </c>
      <c r="AC4577">
        <v>9.99960000000004</v>
      </c>
      <c r="AD4577">
        <v>-1.1150466029749999</v>
      </c>
      <c r="AE4577">
        <v>-1.2035899999999899</v>
      </c>
      <c r="AF4577">
        <v>-2.9223135393178801</v>
      </c>
      <c r="AG4577">
        <v>-1.1150466029749999</v>
      </c>
      <c r="AH4577">
        <v>9.5109955479466493</v>
      </c>
      <c r="AI4577">
        <v>96.394286145857805</v>
      </c>
      <c r="AJ4577">
        <v>107.07990663584</v>
      </c>
      <c r="AK4577">
        <v>10.0121067544222</v>
      </c>
    </row>
    <row r="4578" spans="1:37" x14ac:dyDescent="0.2">
      <c r="A4578" t="str">
        <f>"20200111154155468"</f>
        <v>20200111154155468</v>
      </c>
      <c r="B4578" t="str">
        <f>"1578728515461048"</f>
        <v>1578728515461048</v>
      </c>
      <c r="C4578" t="s">
        <v>37</v>
      </c>
      <c r="D4578">
        <v>5.4847289999999997</v>
      </c>
      <c r="E4578">
        <v>0.4775585</v>
      </c>
      <c r="F4578" t="s">
        <v>39</v>
      </c>
      <c r="G4578">
        <v>-277.52530000000002</v>
      </c>
      <c r="H4578" s="1">
        <v>-2.5337870000000001E-6</v>
      </c>
      <c r="I4578">
        <v>-59.699849999999998</v>
      </c>
      <c r="J4578">
        <v>-287.54599999999999</v>
      </c>
      <c r="K4578">
        <v>1.1150370000000001</v>
      </c>
      <c r="L4578">
        <v>-58.510190000000001</v>
      </c>
      <c r="M4578">
        <v>0.91532909999999901</v>
      </c>
      <c r="N4578">
        <v>0</v>
      </c>
      <c r="O4578">
        <v>-0.40247129999999998</v>
      </c>
      <c r="P4578">
        <v>0.98406159999999998</v>
      </c>
      <c r="Q4578">
        <v>3.2014309999999997E-2</v>
      </c>
      <c r="R4578">
        <v>-0.17492279999999999</v>
      </c>
      <c r="S4578">
        <v>2.994812</v>
      </c>
      <c r="T4578">
        <v>-0.32924749999999903</v>
      </c>
      <c r="U4578">
        <v>-0.36596679999999998</v>
      </c>
      <c r="V4578">
        <v>-0.23644799999999999</v>
      </c>
      <c r="W4578">
        <v>4.281625E-2</v>
      </c>
      <c r="X4578">
        <v>0.97070029999999996</v>
      </c>
      <c r="Y4578">
        <v>-0.28457500000000002</v>
      </c>
      <c r="Z4578">
        <v>5.8257589999999998E-2</v>
      </c>
      <c r="AA4578">
        <v>0.95688200000000001</v>
      </c>
      <c r="AB4578">
        <v>25</v>
      </c>
      <c r="AC4578">
        <v>10.0206999999999</v>
      </c>
      <c r="AD4578">
        <v>-1.115039533787</v>
      </c>
      <c r="AE4578">
        <v>-1.1896599999999899</v>
      </c>
      <c r="AF4578">
        <v>-2.90887613454669</v>
      </c>
      <c r="AG4578">
        <v>-1.115039533787</v>
      </c>
      <c r="AH4578">
        <v>9.5355306099743604</v>
      </c>
      <c r="AI4578">
        <v>96.381825260122895</v>
      </c>
      <c r="AJ4578">
        <v>106.964670513359</v>
      </c>
      <c r="AK4578">
        <v>10.0315112292117</v>
      </c>
    </row>
    <row r="4579" spans="1:37" x14ac:dyDescent="0.2">
      <c r="A4579" t="str">
        <f>"20200111154155480"</f>
        <v>20200111154155480</v>
      </c>
      <c r="B4579" t="str">
        <f>"1578728515470809"</f>
        <v>1578728515470809</v>
      </c>
      <c r="C4579" t="s">
        <v>37</v>
      </c>
      <c r="D4579">
        <v>5.4606570000000003</v>
      </c>
      <c r="E4579">
        <v>0.47794899999999901</v>
      </c>
      <c r="F4579" t="s">
        <v>39</v>
      </c>
      <c r="G4579">
        <v>-277.38060000000002</v>
      </c>
      <c r="H4579" s="1">
        <v>-2.4644289999999998E-6</v>
      </c>
      <c r="I4579">
        <v>-59.732849999999999</v>
      </c>
      <c r="J4579">
        <v>-287.42149999999998</v>
      </c>
      <c r="K4579">
        <v>1.1150359999999999</v>
      </c>
      <c r="L4579">
        <v>-58.560669999999902</v>
      </c>
      <c r="M4579">
        <v>0.916817199999999</v>
      </c>
      <c r="N4579">
        <v>0</v>
      </c>
      <c r="O4579">
        <v>-0.39907009999999998</v>
      </c>
      <c r="P4579">
        <v>0.98455459999999995</v>
      </c>
      <c r="Q4579">
        <v>3.1984720000000001E-2</v>
      </c>
      <c r="R4579">
        <v>-0.17213200000000001</v>
      </c>
      <c r="S4579">
        <v>2.9952700000000001</v>
      </c>
      <c r="T4579">
        <v>-0.3285498</v>
      </c>
      <c r="U4579">
        <v>-0.36025999999999903</v>
      </c>
      <c r="V4579">
        <v>-0.23559559999999999</v>
      </c>
      <c r="W4579">
        <v>4.2792910000000003E-2</v>
      </c>
      <c r="X4579">
        <v>0.97090859999999901</v>
      </c>
      <c r="Y4579">
        <v>-0.28287679999999998</v>
      </c>
      <c r="Z4579">
        <v>5.7703780000000003E-2</v>
      </c>
      <c r="AA4579">
        <v>0.95741889999999996</v>
      </c>
      <c r="AB4579">
        <v>25</v>
      </c>
      <c r="AC4579">
        <v>10.040899999999899</v>
      </c>
      <c r="AD4579">
        <v>-1.1150384644289999</v>
      </c>
      <c r="AE4579">
        <v>-1.17218</v>
      </c>
      <c r="AF4579">
        <v>-2.8973756248926898</v>
      </c>
      <c r="AG4579">
        <v>-1.1150384644289999</v>
      </c>
      <c r="AH4579">
        <v>9.5580816999665306</v>
      </c>
      <c r="AI4579">
        <v>96.370266757673207</v>
      </c>
      <c r="AJ4579">
        <v>106.86381882951</v>
      </c>
      <c r="AK4579">
        <v>10.0496279569003</v>
      </c>
    </row>
    <row r="4580" spans="1:37" x14ac:dyDescent="0.2">
      <c r="A4580" t="str">
        <f>"20200111154155496"</f>
        <v>20200111154155496</v>
      </c>
      <c r="B4580" t="str">
        <f>"1578728515490327"</f>
        <v>1578728515490327</v>
      </c>
      <c r="C4580" t="s">
        <v>37</v>
      </c>
      <c r="D4580">
        <v>5.4477690000000001</v>
      </c>
      <c r="E4580">
        <v>0.47864759999999901</v>
      </c>
      <c r="F4580" t="s">
        <v>39</v>
      </c>
      <c r="G4580">
        <v>-277.25110000000001</v>
      </c>
      <c r="H4580" s="1">
        <v>-2.401607E-6</v>
      </c>
      <c r="I4580">
        <v>-59.765740000000001</v>
      </c>
      <c r="J4580">
        <v>-287.27620000000002</v>
      </c>
      <c r="K4580">
        <v>1.1150420000000001</v>
      </c>
      <c r="L4580">
        <v>-58.618679999999998</v>
      </c>
      <c r="M4580">
        <v>0.91853689999999999</v>
      </c>
      <c r="N4580">
        <v>0</v>
      </c>
      <c r="O4580">
        <v>-0.39509559999999999</v>
      </c>
      <c r="P4580">
        <v>0.9850044</v>
      </c>
      <c r="Q4580">
        <v>3.2449260000000001E-2</v>
      </c>
      <c r="R4580">
        <v>-0.1694502</v>
      </c>
      <c r="S4580">
        <v>2.9956669999999899</v>
      </c>
      <c r="T4580">
        <v>-0.32843220000000001</v>
      </c>
      <c r="U4580">
        <v>-0.35494999999999999</v>
      </c>
      <c r="V4580">
        <v>-0.23403299999999999</v>
      </c>
      <c r="W4580">
        <v>4.3272629999999999E-2</v>
      </c>
      <c r="X4580">
        <v>0.97126509999999999</v>
      </c>
      <c r="Y4580">
        <v>-0.28045120000000001</v>
      </c>
      <c r="Z4580">
        <v>5.715485E-2</v>
      </c>
      <c r="AA4580">
        <v>0.95816509999999999</v>
      </c>
      <c r="AB4580">
        <v>25</v>
      </c>
      <c r="AC4580">
        <v>10.0251</v>
      </c>
      <c r="AD4580">
        <v>-1.115044401607</v>
      </c>
      <c r="AE4580">
        <v>-1.14705999999999</v>
      </c>
      <c r="AF4580">
        <v>-2.87245525295761</v>
      </c>
      <c r="AG4580">
        <v>-1.115044401607</v>
      </c>
      <c r="AH4580">
        <v>9.5459701667563994</v>
      </c>
      <c r="AI4580">
        <v>96.382214595081095</v>
      </c>
      <c r="AJ4580">
        <v>106.746941787198</v>
      </c>
      <c r="AK4580">
        <v>10.0309455996133</v>
      </c>
    </row>
    <row r="4581" spans="1:37" x14ac:dyDescent="0.2">
      <c r="A4581" t="str">
        <f>"20200111154155508"</f>
        <v>20200111154155508</v>
      </c>
      <c r="B4581" t="str">
        <f>"1578728515501064"</f>
        <v>1578728515501064</v>
      </c>
      <c r="C4581" t="s">
        <v>37</v>
      </c>
      <c r="D4581">
        <v>5.7728919999999997</v>
      </c>
      <c r="E4581">
        <v>0.479039099999999</v>
      </c>
      <c r="F4581" t="s">
        <v>39</v>
      </c>
      <c r="G4581">
        <v>-277.10050000000001</v>
      </c>
      <c r="H4581" s="1">
        <v>-2.3260159999999999E-6</v>
      </c>
      <c r="I4581">
        <v>-59.815390000000001</v>
      </c>
      <c r="J4581">
        <v>-287.1542</v>
      </c>
      <c r="K4581">
        <v>1.1150469999999999</v>
      </c>
      <c r="L4581">
        <v>-58.666930000000001</v>
      </c>
      <c r="M4581">
        <v>0.91996769999999894</v>
      </c>
      <c r="N4581">
        <v>0</v>
      </c>
      <c r="O4581">
        <v>-0.39175290000000002</v>
      </c>
      <c r="P4581">
        <v>0.98547759999999995</v>
      </c>
      <c r="Q4581">
        <v>3.289748E-2</v>
      </c>
      <c r="R4581">
        <v>-0.166589299999999</v>
      </c>
      <c r="S4581">
        <v>2.9958499999999999</v>
      </c>
      <c r="T4581">
        <v>-0.32828220000000002</v>
      </c>
      <c r="U4581">
        <v>-0.35232540000000001</v>
      </c>
      <c r="V4581">
        <v>-0.23331929999999901</v>
      </c>
      <c r="W4581">
        <v>4.3724249999999999E-2</v>
      </c>
      <c r="X4581">
        <v>0.97141669999999902</v>
      </c>
      <c r="Y4581">
        <v>-0.27783379999999902</v>
      </c>
      <c r="Z4581">
        <v>5.6652109999999999E-2</v>
      </c>
      <c r="AA4581">
        <v>0.95895719999999995</v>
      </c>
      <c r="AB4581">
        <v>25</v>
      </c>
      <c r="AC4581">
        <v>10.0536999999999</v>
      </c>
      <c r="AD4581">
        <v>-1.1150493260159999</v>
      </c>
      <c r="AE4581">
        <v>-1.14845999999999</v>
      </c>
      <c r="AF4581">
        <v>-2.84771436442974</v>
      </c>
      <c r="AG4581">
        <v>-1.1150493260159999</v>
      </c>
      <c r="AH4581">
        <v>9.5835414130385104</v>
      </c>
      <c r="AI4581">
        <v>96.363939893488293</v>
      </c>
      <c r="AJ4581">
        <v>106.549124818444</v>
      </c>
      <c r="AK4581">
        <v>10.0596758454859</v>
      </c>
    </row>
    <row r="4582" spans="1:37" x14ac:dyDescent="0.2">
      <c r="A4582" t="str">
        <f>"20200111154155519"</f>
        <v>20200111154155519</v>
      </c>
      <c r="B4582" t="str">
        <f>"1578728515510357"</f>
        <v>1578728515510357</v>
      </c>
      <c r="C4582" t="s">
        <v>37</v>
      </c>
      <c r="D4582">
        <v>5.7110399999999997</v>
      </c>
      <c r="E4582">
        <v>0.47941529999999999</v>
      </c>
      <c r="F4582" t="s">
        <v>39</v>
      </c>
      <c r="G4582">
        <v>-276.8843</v>
      </c>
      <c r="H4582" s="1">
        <v>-2.2244880000000001E-6</v>
      </c>
      <c r="I4582">
        <v>-59.8551199999999</v>
      </c>
      <c r="J4582">
        <v>-287.0367</v>
      </c>
      <c r="K4582">
        <v>1.115051</v>
      </c>
      <c r="L4582">
        <v>-58.712919999999997</v>
      </c>
      <c r="M4582">
        <v>0.92133379999999998</v>
      </c>
      <c r="N4582">
        <v>0</v>
      </c>
      <c r="O4582">
        <v>-0.38852929999999902</v>
      </c>
      <c r="P4582">
        <v>0.98589419999999905</v>
      </c>
      <c r="Q4582">
        <v>3.3477319999999998E-2</v>
      </c>
      <c r="R4582">
        <v>-0.16398769999999999</v>
      </c>
      <c r="S4582">
        <v>2.9964599999999999</v>
      </c>
      <c r="T4582">
        <v>-0.32533959999999901</v>
      </c>
      <c r="U4582">
        <v>-0.34667969999999998</v>
      </c>
      <c r="V4582">
        <v>-0.23248079999999999</v>
      </c>
      <c r="W4582">
        <v>4.4309710000000002E-2</v>
      </c>
      <c r="X4582">
        <v>0.97159110000000004</v>
      </c>
      <c r="Y4582">
        <v>-0.27637109999999998</v>
      </c>
      <c r="Z4582">
        <v>5.5745709999999997E-2</v>
      </c>
      <c r="AA4582">
        <v>0.95943289999999903</v>
      </c>
      <c r="AB4582">
        <v>25</v>
      </c>
      <c r="AC4582">
        <v>10.1524</v>
      </c>
      <c r="AD4582">
        <v>-1.115053224488</v>
      </c>
      <c r="AE4582">
        <v>-1.1421999999999899</v>
      </c>
      <c r="AF4582">
        <v>-2.8583812172977598</v>
      </c>
      <c r="AG4582">
        <v>-1.115053224488</v>
      </c>
      <c r="AH4582">
        <v>9.6831066018773999</v>
      </c>
      <c r="AI4582">
        <v>96.302379027000299</v>
      </c>
      <c r="AJ4582">
        <v>106.44620933816</v>
      </c>
      <c r="AK4582">
        <v>10.1575705924282</v>
      </c>
    </row>
    <row r="4583" spans="1:37" x14ac:dyDescent="0.2">
      <c r="A4583" t="str">
        <f>"20200111154155529"</f>
        <v>20200111154155529</v>
      </c>
      <c r="B4583" t="str">
        <f>"1578728515521093"</f>
        <v>1578728515521093</v>
      </c>
      <c r="C4583" t="s">
        <v>37</v>
      </c>
      <c r="D4583">
        <v>5.4963739999999897</v>
      </c>
      <c r="E4583">
        <v>0.47975950000000001</v>
      </c>
      <c r="F4583" t="s">
        <v>39</v>
      </c>
      <c r="G4583">
        <v>-276.67419999999998</v>
      </c>
      <c r="H4583" s="1">
        <v>-2.125607E-6</v>
      </c>
      <c r="I4583">
        <v>-59.894599999999997</v>
      </c>
      <c r="J4583">
        <v>-286.92970000000003</v>
      </c>
      <c r="K4583">
        <v>1.115057</v>
      </c>
      <c r="L4583">
        <v>-58.754240000000003</v>
      </c>
      <c r="M4583">
        <v>0.92256769999999999</v>
      </c>
      <c r="N4583">
        <v>0</v>
      </c>
      <c r="O4583">
        <v>-0.38558999999999999</v>
      </c>
      <c r="P4583">
        <v>0.98629539999999905</v>
      </c>
      <c r="Q4583">
        <v>3.4002919999999999E-2</v>
      </c>
      <c r="R4583">
        <v>-0.1614469</v>
      </c>
      <c r="S4583">
        <v>2.9970400000000001</v>
      </c>
      <c r="T4583">
        <v>-0.32249519999999998</v>
      </c>
      <c r="U4583">
        <v>-0.34176640000000003</v>
      </c>
      <c r="V4583">
        <v>-0.2318846</v>
      </c>
      <c r="W4583">
        <v>4.483848E-2</v>
      </c>
      <c r="X4583">
        <v>0.9717093</v>
      </c>
      <c r="Y4583">
        <v>-0.27497070000000001</v>
      </c>
      <c r="Z4583">
        <v>5.4893270000000001E-2</v>
      </c>
      <c r="AA4583">
        <v>0.95988430000000002</v>
      </c>
      <c r="AB4583">
        <v>25</v>
      </c>
      <c r="AC4583">
        <v>10.2555</v>
      </c>
      <c r="AD4583">
        <v>-1.1150591256069999</v>
      </c>
      <c r="AE4583">
        <v>-1.14035999999999</v>
      </c>
      <c r="AF4583">
        <v>-2.8691296244916802</v>
      </c>
      <c r="AG4583">
        <v>-1.1150591256069999</v>
      </c>
      <c r="AH4583">
        <v>9.78774599634224</v>
      </c>
      <c r="AI4583">
        <v>96.239014913496703</v>
      </c>
      <c r="AJ4583">
        <v>106.337700639301</v>
      </c>
      <c r="AK4583">
        <v>10.260371988609799</v>
      </c>
    </row>
    <row r="4584" spans="1:37" x14ac:dyDescent="0.2">
      <c r="A4584" t="str">
        <f>"20200111154155541"</f>
        <v>20200111154155541</v>
      </c>
      <c r="B4584" t="str">
        <f>"1578728515530853"</f>
        <v>1578728515530853</v>
      </c>
      <c r="C4584" t="s">
        <v>37</v>
      </c>
      <c r="D4584">
        <v>5.4875639999999999</v>
      </c>
      <c r="E4584">
        <v>0.47975950000000001</v>
      </c>
      <c r="F4584" t="s">
        <v>39</v>
      </c>
      <c r="G4584">
        <v>-276.47609999999997</v>
      </c>
      <c r="H4584" s="1">
        <v>-2.03310399999999E-6</v>
      </c>
      <c r="I4584">
        <v>-59.928739999999998</v>
      </c>
      <c r="J4584">
        <v>-286.80540000000002</v>
      </c>
      <c r="K4584">
        <v>1.115067</v>
      </c>
      <c r="L4584">
        <v>-58.80209</v>
      </c>
      <c r="M4584">
        <v>0.92399189999999998</v>
      </c>
      <c r="N4584">
        <v>0</v>
      </c>
      <c r="O4584">
        <v>-0.38216529999999999</v>
      </c>
      <c r="P4584">
        <v>0.98675809999999997</v>
      </c>
      <c r="Q4584">
        <v>3.4638179999999998E-2</v>
      </c>
      <c r="R4584">
        <v>-0.15845789999999901</v>
      </c>
      <c r="S4584">
        <v>2.99762</v>
      </c>
      <c r="T4584">
        <v>-0.31974789999999997</v>
      </c>
      <c r="U4584">
        <v>-0.33679199999999998</v>
      </c>
      <c r="V4584">
        <v>-0.23122219999999999</v>
      </c>
      <c r="W4584">
        <v>4.5477740000000003E-2</v>
      </c>
      <c r="X4584">
        <v>0.97183750000000002</v>
      </c>
      <c r="Y4584">
        <v>-0.27308979999999999</v>
      </c>
      <c r="Z4584">
        <v>5.398998E-2</v>
      </c>
      <c r="AA4584">
        <v>0.96047229999999995</v>
      </c>
      <c r="AB4584">
        <v>25</v>
      </c>
      <c r="AC4584">
        <v>10.3293</v>
      </c>
      <c r="AD4584">
        <v>-1.1150690331040001</v>
      </c>
      <c r="AE4584">
        <v>-1.1266499999999999</v>
      </c>
      <c r="AF4584">
        <v>-2.8736638307523998</v>
      </c>
      <c r="AG4584">
        <v>-1.1150690331040001</v>
      </c>
      <c r="AH4584">
        <v>9.8621187037301308</v>
      </c>
      <c r="AI4584">
        <v>96.1952837075101</v>
      </c>
      <c r="AJ4584">
        <v>106.245278958198</v>
      </c>
      <c r="AK4584">
        <v>10.332604129028899</v>
      </c>
    </row>
    <row r="4585" spans="1:37" x14ac:dyDescent="0.2">
      <c r="A4585" t="str">
        <f>"20200111154155554"</f>
        <v>20200111154155554</v>
      </c>
      <c r="B4585" t="str">
        <f>"1578728515550373"</f>
        <v>1578728515550373</v>
      </c>
      <c r="C4585" t="s">
        <v>37</v>
      </c>
      <c r="D4585">
        <v>5.4113009999999999</v>
      </c>
      <c r="E4585">
        <v>0.49459549999999902</v>
      </c>
      <c r="F4585" t="s">
        <v>39</v>
      </c>
      <c r="G4585">
        <v>-276.28410000000002</v>
      </c>
      <c r="H4585" s="1">
        <v>-1.945607E-6</v>
      </c>
      <c r="I4585">
        <v>-59.951830000000001</v>
      </c>
      <c r="J4585">
        <v>-286.68060000000003</v>
      </c>
      <c r="K4585">
        <v>1.1150719999999901</v>
      </c>
      <c r="L4585">
        <v>-58.849209999999999</v>
      </c>
      <c r="M4585">
        <v>0.92540689999999903</v>
      </c>
      <c r="N4585">
        <v>0</v>
      </c>
      <c r="O4585">
        <v>-0.37872620000000001</v>
      </c>
      <c r="P4585">
        <v>0.987262999999999</v>
      </c>
      <c r="Q4585">
        <v>3.5028990000000003E-2</v>
      </c>
      <c r="R4585">
        <v>-0.15519249999999901</v>
      </c>
      <c r="S4585">
        <v>2.9987789999999999</v>
      </c>
      <c r="T4585">
        <v>-0.31781729999999903</v>
      </c>
      <c r="U4585">
        <v>-0.32769779999999998</v>
      </c>
      <c r="V4585">
        <v>-0.23082230000000001</v>
      </c>
      <c r="W4585">
        <v>4.5868810000000003E-2</v>
      </c>
      <c r="X4585">
        <v>0.9719141</v>
      </c>
      <c r="Y4585">
        <v>-0.27249709999999899</v>
      </c>
      <c r="Z4585">
        <v>5.3292329999999999E-2</v>
      </c>
      <c r="AA4585">
        <v>0.96067959999999997</v>
      </c>
      <c r="AB4585">
        <v>25</v>
      </c>
      <c r="AC4585">
        <v>10.3965</v>
      </c>
      <c r="AD4585">
        <v>-1.11507394560699</v>
      </c>
      <c r="AE4585">
        <v>-1.1026199999999999</v>
      </c>
      <c r="AF4585">
        <v>-2.8845166208520401</v>
      </c>
      <c r="AG4585">
        <v>-1.11507394560699</v>
      </c>
      <c r="AH4585">
        <v>9.9266089684668497</v>
      </c>
      <c r="AI4585">
        <v>96.156682245232005</v>
      </c>
      <c r="AJ4585">
        <v>106.203034512119</v>
      </c>
      <c r="AK4585">
        <v>10.3971819091997</v>
      </c>
    </row>
    <row r="4586" spans="1:37" x14ac:dyDescent="0.2">
      <c r="A4586" t="str">
        <f>"20200111154155567"</f>
        <v>20200111154155567</v>
      </c>
      <c r="B4586" t="str">
        <f>"1578728515561109"</f>
        <v>1578728515561109</v>
      </c>
      <c r="C4586" t="s">
        <v>37</v>
      </c>
      <c r="D4586">
        <v>5.5428600000000001</v>
      </c>
      <c r="E4586">
        <v>0.49463370000000001</v>
      </c>
      <c r="F4586" t="s">
        <v>39</v>
      </c>
      <c r="G4586">
        <v>-274.65260000000001</v>
      </c>
      <c r="H4586" s="1">
        <v>-1.1983499999999999E-6</v>
      </c>
      <c r="I4586">
        <v>-60.599959999999903</v>
      </c>
      <c r="J4586">
        <v>-286.54910000000001</v>
      </c>
      <c r="K4586">
        <v>1.115076</v>
      </c>
      <c r="L4586">
        <v>-58.898499999999999</v>
      </c>
      <c r="M4586">
        <v>0.92688409999999999</v>
      </c>
      <c r="N4586">
        <v>0</v>
      </c>
      <c r="O4586">
        <v>-0.3750966</v>
      </c>
      <c r="P4586">
        <v>0.98781019999999897</v>
      </c>
      <c r="Q4586">
        <v>3.5422219999999997E-2</v>
      </c>
      <c r="R4586">
        <v>-0.15157879999999899</v>
      </c>
      <c r="S4586">
        <v>2.9803160000000002</v>
      </c>
      <c r="T4586">
        <v>-0.27629629999999999</v>
      </c>
      <c r="U4586">
        <v>-0.43380740000000001</v>
      </c>
      <c r="V4586">
        <v>-0.2305683</v>
      </c>
      <c r="W4586">
        <v>4.6260830000000003E-2</v>
      </c>
      <c r="X4586">
        <v>0.97195580000000004</v>
      </c>
      <c r="Y4586">
        <v>-0.2352302</v>
      </c>
      <c r="Z4586">
        <v>4.446021E-2</v>
      </c>
      <c r="AA4586">
        <v>0.97092230000000002</v>
      </c>
      <c r="AB4586">
        <v>25</v>
      </c>
      <c r="AC4586">
        <v>11.8965</v>
      </c>
      <c r="AD4586">
        <v>-1.1150771983499901</v>
      </c>
      <c r="AE4586">
        <v>-1.70145999999999</v>
      </c>
      <c r="AF4586">
        <v>-2.8609212452962298</v>
      </c>
      <c r="AG4586">
        <v>-1.1150771983499901</v>
      </c>
      <c r="AH4586">
        <v>11.566406702668599</v>
      </c>
      <c r="AI4586">
        <v>95.346521356845003</v>
      </c>
      <c r="AJ4586">
        <v>103.893114704607</v>
      </c>
      <c r="AK4586">
        <v>11.967039380799401</v>
      </c>
    </row>
    <row r="4587" spans="1:37" x14ac:dyDescent="0.2">
      <c r="A4587" t="str">
        <f>"20200111154155579"</f>
        <v>20200111154155579</v>
      </c>
      <c r="B4587" t="str">
        <f>"1578728515570869"</f>
        <v>1578728515570869</v>
      </c>
      <c r="C4587" t="s">
        <v>37</v>
      </c>
      <c r="D4587">
        <v>5.3910010000000002</v>
      </c>
      <c r="E4587">
        <v>0.49466689999999902</v>
      </c>
      <c r="F4587" t="s">
        <v>39</v>
      </c>
      <c r="G4587">
        <v>-274.64780000000002</v>
      </c>
      <c r="H4587" s="1">
        <v>-1.19362E-6</v>
      </c>
      <c r="I4587">
        <v>-60.588119999999897</v>
      </c>
      <c r="J4587">
        <v>-286.42309999999998</v>
      </c>
      <c r="K4587">
        <v>1.115076</v>
      </c>
      <c r="L4587">
        <v>-58.945189999999997</v>
      </c>
      <c r="M4587">
        <v>0.92828519999999903</v>
      </c>
      <c r="N4587">
        <v>0</v>
      </c>
      <c r="O4587">
        <v>-0.37161569999999999</v>
      </c>
      <c r="P4587">
        <v>0.98832469999999994</v>
      </c>
      <c r="Q4587">
        <v>3.5642109999999998E-2</v>
      </c>
      <c r="R4587">
        <v>-0.148136299999999</v>
      </c>
      <c r="S4587">
        <v>2.9821169999999899</v>
      </c>
      <c r="T4587">
        <v>-0.27940520000000002</v>
      </c>
      <c r="U4587">
        <v>-0.42337039999999998</v>
      </c>
      <c r="V4587">
        <v>-0.23030690000000001</v>
      </c>
      <c r="W4587">
        <v>4.6480420000000001E-2</v>
      </c>
      <c r="X4587">
        <v>0.97200730000000002</v>
      </c>
      <c r="Y4587">
        <v>-0.2349572</v>
      </c>
      <c r="Z4587">
        <v>4.4635059999999997E-2</v>
      </c>
      <c r="AA4587">
        <v>0.97098030000000002</v>
      </c>
      <c r="AB4587">
        <v>25</v>
      </c>
      <c r="AC4587">
        <v>11.7752999999999</v>
      </c>
      <c r="AD4587">
        <v>-1.1150771936199999</v>
      </c>
      <c r="AE4587">
        <v>-1.64292999999999</v>
      </c>
      <c r="AF4587">
        <v>-2.82618768911217</v>
      </c>
      <c r="AG4587">
        <v>-1.1150771936199999</v>
      </c>
      <c r="AH4587">
        <v>11.441818414602</v>
      </c>
      <c r="AI4587">
        <v>95.404824406153807</v>
      </c>
      <c r="AJ4587">
        <v>103.874629594905</v>
      </c>
      <c r="AK4587">
        <v>11.838325161717201</v>
      </c>
    </row>
    <row r="4588" spans="1:37" x14ac:dyDescent="0.2">
      <c r="A4588" t="str">
        <f>"20200111154155590"</f>
        <v>20200111154155590</v>
      </c>
      <c r="B4588" t="str">
        <f>"1578728515580629"</f>
        <v>1578728515580629</v>
      </c>
      <c r="C4588" t="s">
        <v>37</v>
      </c>
      <c r="D4588">
        <v>5.4686949999999896</v>
      </c>
      <c r="E4588">
        <v>0.4945174</v>
      </c>
      <c r="F4588" t="s">
        <v>39</v>
      </c>
      <c r="G4588">
        <v>-274.4769</v>
      </c>
      <c r="H4588" s="1">
        <v>-1.1229619999999899E-6</v>
      </c>
      <c r="I4588">
        <v>-60.600059999999999</v>
      </c>
      <c r="J4588">
        <v>-286.315</v>
      </c>
      <c r="K4588">
        <v>1.1150789999999999</v>
      </c>
      <c r="L4588">
        <v>-58.98471</v>
      </c>
      <c r="M4588">
        <v>0.92947599999999997</v>
      </c>
      <c r="N4588">
        <v>0</v>
      </c>
      <c r="O4588">
        <v>-0.36862719999999999</v>
      </c>
      <c r="P4588">
        <v>0.98876229999999998</v>
      </c>
      <c r="Q4588">
        <v>3.6016769999999997E-2</v>
      </c>
      <c r="R4588">
        <v>-0.14509229999999901</v>
      </c>
      <c r="S4588">
        <v>2.9835509999999998</v>
      </c>
      <c r="T4588">
        <v>-0.27848859999999998</v>
      </c>
      <c r="U4588">
        <v>-0.41329959999999999</v>
      </c>
      <c r="V4588">
        <v>-0.23017170000000001</v>
      </c>
      <c r="W4588">
        <v>4.6853850000000002E-2</v>
      </c>
      <c r="X4588">
        <v>0.97202149999999998</v>
      </c>
      <c r="Y4588">
        <v>-0.2351384</v>
      </c>
      <c r="Z4588">
        <v>4.4234660000000002E-2</v>
      </c>
      <c r="AA4588">
        <v>0.97095480000000001</v>
      </c>
      <c r="AB4588">
        <v>25</v>
      </c>
      <c r="AC4588">
        <v>11.838099999999899</v>
      </c>
      <c r="AD4588">
        <v>-1.115080122962</v>
      </c>
      <c r="AE4588">
        <v>-1.6153499999999901</v>
      </c>
      <c r="AF4588">
        <v>-2.8379664985785298</v>
      </c>
      <c r="AG4588">
        <v>-1.115080122962</v>
      </c>
      <c r="AH4588">
        <v>11.499618438159001</v>
      </c>
      <c r="AI4588">
        <v>95.378102365756007</v>
      </c>
      <c r="AJ4588">
        <v>103.862898204183</v>
      </c>
      <c r="AK4588">
        <v>11.897003057532</v>
      </c>
    </row>
    <row r="4589" spans="1:37" x14ac:dyDescent="0.2">
      <c r="A4589" t="str">
        <f>"20200111154155602"</f>
        <v>20200111154155602</v>
      </c>
      <c r="B4589" t="str">
        <f>"1578728515590389"</f>
        <v>1578728515590389</v>
      </c>
      <c r="C4589" t="s">
        <v>37</v>
      </c>
      <c r="D4589">
        <v>6.6304100000000004</v>
      </c>
      <c r="E4589">
        <v>0.4944981</v>
      </c>
      <c r="F4589" t="s">
        <v>39</v>
      </c>
      <c r="G4589">
        <v>-274.34539999999998</v>
      </c>
      <c r="H4589" s="1">
        <v>-1.066711E-6</v>
      </c>
      <c r="I4589">
        <v>-60.600729999999999</v>
      </c>
      <c r="J4589">
        <v>-286.19299999999998</v>
      </c>
      <c r="K4589">
        <v>1.1150819999999999</v>
      </c>
      <c r="L4589">
        <v>-59.02908</v>
      </c>
      <c r="M4589">
        <v>0.93080819999999997</v>
      </c>
      <c r="N4589">
        <v>0</v>
      </c>
      <c r="O4589">
        <v>-0.36525019999999903</v>
      </c>
      <c r="P4589">
        <v>0.98920169999999996</v>
      </c>
      <c r="Q4589">
        <v>3.6649760000000003E-2</v>
      </c>
      <c r="R4589">
        <v>-0.14190420000000001</v>
      </c>
      <c r="S4589">
        <v>2.985077</v>
      </c>
      <c r="T4589">
        <v>-0.27808769999999999</v>
      </c>
      <c r="U4589">
        <v>-0.40301509999999902</v>
      </c>
      <c r="V4589">
        <v>-0.22977410000000001</v>
      </c>
      <c r="W4589">
        <v>4.7488759999999998E-2</v>
      </c>
      <c r="X4589">
        <v>0.97208470000000002</v>
      </c>
      <c r="Y4589">
        <v>-0.23498379999999899</v>
      </c>
      <c r="Z4589">
        <v>4.3866370000000002E-2</v>
      </c>
      <c r="AA4589">
        <v>0.97100900000000001</v>
      </c>
      <c r="AB4589">
        <v>25</v>
      </c>
      <c r="AC4589">
        <v>11.8476</v>
      </c>
      <c r="AD4589">
        <v>-1.1150830667110001</v>
      </c>
      <c r="AE4589">
        <v>-1.57164999999999</v>
      </c>
      <c r="AF4589">
        <v>-2.8399808716077399</v>
      </c>
      <c r="AG4589">
        <v>-1.1150830667110001</v>
      </c>
      <c r="AH4589">
        <v>11.5028473482684</v>
      </c>
      <c r="AI4589">
        <v>95.376484034087895</v>
      </c>
      <c r="AJ4589">
        <v>103.868614378589</v>
      </c>
      <c r="AK4589">
        <v>11.900604972619201</v>
      </c>
    </row>
    <row r="4590" spans="1:37" x14ac:dyDescent="0.2">
      <c r="A4590" t="str">
        <f>"20200111154155614"</f>
        <v>20200111154155614</v>
      </c>
      <c r="B4590" t="str">
        <f>"1578728515610416"</f>
        <v>1578728515610416</v>
      </c>
      <c r="C4590" t="s">
        <v>37</v>
      </c>
      <c r="D4590">
        <v>5.4793620000000001</v>
      </c>
      <c r="E4590">
        <v>0.49463069999999998</v>
      </c>
      <c r="F4590" t="s">
        <v>39</v>
      </c>
      <c r="G4590">
        <v>-274.20209999999997</v>
      </c>
      <c r="H4590" s="1">
        <v>-1.006961E-6</v>
      </c>
      <c r="I4590">
        <v>-60.608539999999998</v>
      </c>
      <c r="J4590">
        <v>-286.0772</v>
      </c>
      <c r="K4590">
        <v>1.115083</v>
      </c>
      <c r="L4590">
        <v>-59.070399999999999</v>
      </c>
      <c r="M4590">
        <v>0.93205859999999996</v>
      </c>
      <c r="N4590">
        <v>0</v>
      </c>
      <c r="O4590">
        <v>-0.36204809999999998</v>
      </c>
      <c r="P4590">
        <v>0.98959140000000001</v>
      </c>
      <c r="Q4590">
        <v>3.7366709999999997E-2</v>
      </c>
      <c r="R4590">
        <v>-0.13897000000000001</v>
      </c>
      <c r="S4590">
        <v>2.9866329999999999</v>
      </c>
      <c r="T4590">
        <v>-0.27773959999999998</v>
      </c>
      <c r="U4590">
        <v>-0.39340209999999998</v>
      </c>
      <c r="V4590">
        <v>-0.2293123</v>
      </c>
      <c r="W4590">
        <v>4.8209399999999999E-2</v>
      </c>
      <c r="X4590">
        <v>0.97215830000000003</v>
      </c>
      <c r="Y4590">
        <v>-0.2348016</v>
      </c>
      <c r="Z4590">
        <v>4.3518889999999998E-2</v>
      </c>
      <c r="AA4590">
        <v>0.97106859999999995</v>
      </c>
      <c r="AB4590">
        <v>25</v>
      </c>
      <c r="AC4590">
        <v>11.8751</v>
      </c>
      <c r="AD4590">
        <v>-1.115084006961</v>
      </c>
      <c r="AE4590">
        <v>-1.5381400000000001</v>
      </c>
      <c r="AF4590">
        <v>-2.8413501676667399</v>
      </c>
      <c r="AG4590">
        <v>-1.115084006961</v>
      </c>
      <c r="AH4590">
        <v>11.526307191826801</v>
      </c>
      <c r="AI4590">
        <v>95.366085551330897</v>
      </c>
      <c r="AJ4590">
        <v>103.84789054217001</v>
      </c>
      <c r="AK4590">
        <v>11.923608539290299</v>
      </c>
    </row>
    <row r="4591" spans="1:37" x14ac:dyDescent="0.2">
      <c r="A4591" t="str">
        <f>"20200111154155626"</f>
        <v>20200111154155626</v>
      </c>
      <c r="B4591" t="str">
        <f>"1578728515621152"</f>
        <v>1578728515621152</v>
      </c>
      <c r="C4591" t="s">
        <v>37</v>
      </c>
      <c r="D4591">
        <v>5.4280299999999997</v>
      </c>
      <c r="E4591">
        <v>0.49446229999999902</v>
      </c>
      <c r="F4591" t="s">
        <v>39</v>
      </c>
      <c r="G4591">
        <v>-274.12270000000001</v>
      </c>
      <c r="H4591" s="1">
        <v>-9.7400729999999992E-7</v>
      </c>
      <c r="I4591">
        <v>-60.613369999999897</v>
      </c>
      <c r="J4591">
        <v>-285.96120000000002</v>
      </c>
      <c r="K4591">
        <v>1.1150869999999999</v>
      </c>
      <c r="L4591">
        <v>-59.111629999999998</v>
      </c>
      <c r="M4591">
        <v>0.93329980000000001</v>
      </c>
      <c r="N4591">
        <v>0</v>
      </c>
      <c r="O4591">
        <v>-0.35883619999999999</v>
      </c>
      <c r="P4591">
        <v>0.98992009999999897</v>
      </c>
      <c r="Q4591">
        <v>3.8290159999999997E-2</v>
      </c>
      <c r="R4591">
        <v>-0.136353</v>
      </c>
      <c r="S4591">
        <v>2.9879150000000001</v>
      </c>
      <c r="T4591">
        <v>-0.27870479999999997</v>
      </c>
      <c r="U4591">
        <v>-0.38565060000000001</v>
      </c>
      <c r="V4591">
        <v>-0.2285315</v>
      </c>
      <c r="W4591">
        <v>4.9140990000000002E-2</v>
      </c>
      <c r="X4591">
        <v>0.97229549999999998</v>
      </c>
      <c r="Y4591">
        <v>-0.23398629999999901</v>
      </c>
      <c r="Z4591">
        <v>4.3346229999999999E-2</v>
      </c>
      <c r="AA4591">
        <v>0.9712731</v>
      </c>
      <c r="AB4591">
        <v>25</v>
      </c>
      <c r="AC4591">
        <v>11.8385</v>
      </c>
      <c r="AD4591">
        <v>-1.1150879740073001</v>
      </c>
      <c r="AE4591">
        <v>-1.5017399999999901</v>
      </c>
      <c r="AF4591">
        <v>-2.8221347606731499</v>
      </c>
      <c r="AG4591">
        <v>-1.1150879740073001</v>
      </c>
      <c r="AH4591">
        <v>11.4885253288078</v>
      </c>
      <c r="AI4591">
        <v>95.384718721503802</v>
      </c>
      <c r="AJ4591">
        <v>103.801327720629</v>
      </c>
      <c r="AK4591">
        <v>11.882511520206201</v>
      </c>
    </row>
    <row r="4592" spans="1:37" x14ac:dyDescent="0.2">
      <c r="A4592" t="str">
        <f>"20200111154155640"</f>
        <v>20200111154155640</v>
      </c>
      <c r="B4592" t="str">
        <f>"1578728515630912"</f>
        <v>1578728515630912</v>
      </c>
      <c r="C4592" t="s">
        <v>37</v>
      </c>
      <c r="D4592">
        <v>5.7095510000000003</v>
      </c>
      <c r="E4592">
        <v>0.49453180000000002</v>
      </c>
      <c r="F4592" t="s">
        <v>39</v>
      </c>
      <c r="G4592">
        <v>-274.02179999999998</v>
      </c>
      <c r="H4592" s="1">
        <v>-9.3093330000000004E-7</v>
      </c>
      <c r="I4592">
        <v>-60.614409999999999</v>
      </c>
      <c r="J4592">
        <v>-285.79950000000002</v>
      </c>
      <c r="K4592">
        <v>1.1150899999999999</v>
      </c>
      <c r="L4592">
        <v>-59.168239999999997</v>
      </c>
      <c r="M4592">
        <v>0.9350098</v>
      </c>
      <c r="N4592">
        <v>0</v>
      </c>
      <c r="O4592">
        <v>-0.35435670000000002</v>
      </c>
      <c r="P4592">
        <v>0.99023340000000004</v>
      </c>
      <c r="Q4592">
        <v>3.9431859999999999E-2</v>
      </c>
      <c r="R4592">
        <v>-0.13372590000000001</v>
      </c>
      <c r="S4592">
        <v>2.9895320000000001</v>
      </c>
      <c r="T4592">
        <v>-0.27920830000000002</v>
      </c>
      <c r="U4592">
        <v>-0.3762817</v>
      </c>
      <c r="V4592">
        <v>-0.22644400000000001</v>
      </c>
      <c r="W4592">
        <v>5.0309220000000002E-2</v>
      </c>
      <c r="X4592">
        <v>0.97272409999999998</v>
      </c>
      <c r="Y4592">
        <v>-0.23240429999999901</v>
      </c>
      <c r="Z4592">
        <v>4.2951620000000003E-2</v>
      </c>
      <c r="AA4592">
        <v>0.97167039999999905</v>
      </c>
      <c r="AB4592">
        <v>25</v>
      </c>
      <c r="AC4592">
        <v>11.777699999999999</v>
      </c>
      <c r="AD4592">
        <v>-1.1150909309332999</v>
      </c>
      <c r="AE4592">
        <v>-1.44616999999999</v>
      </c>
      <c r="AF4592">
        <v>-2.7968902218920801</v>
      </c>
      <c r="AG4592">
        <v>-1.1150909309332999</v>
      </c>
      <c r="AH4592">
        <v>11.4249171670028</v>
      </c>
      <c r="AI4592">
        <v>95.4155830683858</v>
      </c>
      <c r="AJ4592">
        <v>103.75582347984</v>
      </c>
      <c r="AK4592">
        <v>11.815022427843299</v>
      </c>
    </row>
    <row r="4593" spans="1:37" x14ac:dyDescent="0.2">
      <c r="A4593" t="str">
        <f>"20200111154155652"</f>
        <v>20200111154155652</v>
      </c>
      <c r="B4593" t="str">
        <f>"1578728515640673"</f>
        <v>1578728515640673</v>
      </c>
      <c r="C4593" t="s">
        <v>37</v>
      </c>
      <c r="D4593">
        <v>5.4976250000000002</v>
      </c>
      <c r="E4593">
        <v>0.49452679999999999</v>
      </c>
      <c r="F4593" t="s">
        <v>39</v>
      </c>
      <c r="G4593">
        <v>-273.76990000000001</v>
      </c>
      <c r="H4593" s="1">
        <v>-8.3077410000000002E-7</v>
      </c>
      <c r="I4593">
        <v>-60.650019999999998</v>
      </c>
      <c r="J4593">
        <v>-285.6825</v>
      </c>
      <c r="K4593">
        <v>1.1150879999999901</v>
      </c>
      <c r="L4593">
        <v>-59.208530000000003</v>
      </c>
      <c r="M4593">
        <v>0.93623060000000002</v>
      </c>
      <c r="N4593">
        <v>0</v>
      </c>
      <c r="O4593">
        <v>-0.35111890000000001</v>
      </c>
      <c r="P4593">
        <v>0.99051209999999901</v>
      </c>
      <c r="Q4593">
        <v>3.9402140000000002E-2</v>
      </c>
      <c r="R4593">
        <v>-0.131656</v>
      </c>
      <c r="S4593">
        <v>2.990875</v>
      </c>
      <c r="T4593">
        <v>-0.27724099999999902</v>
      </c>
      <c r="U4593">
        <v>-0.36840820000000002</v>
      </c>
      <c r="V4593">
        <v>-0.22510939999999999</v>
      </c>
      <c r="W4593">
        <v>5.0297309999999998E-2</v>
      </c>
      <c r="X4593">
        <v>0.97303439999999997</v>
      </c>
      <c r="Y4593">
        <v>-0.23166329999999999</v>
      </c>
      <c r="Z4593">
        <v>4.2328159999999997E-2</v>
      </c>
      <c r="AA4593">
        <v>0.97187469999999998</v>
      </c>
      <c r="AB4593">
        <v>25</v>
      </c>
      <c r="AC4593">
        <v>11.9125999999999</v>
      </c>
      <c r="AD4593">
        <v>-1.11508883077409</v>
      </c>
      <c r="AE4593">
        <v>-1.4414899999999899</v>
      </c>
      <c r="AF4593">
        <v>-2.80917904256005</v>
      </c>
      <c r="AG4593">
        <v>-1.11508883077409</v>
      </c>
      <c r="AH4593">
        <v>11.5603393237049</v>
      </c>
      <c r="AI4593">
        <v>95.354714809645102</v>
      </c>
      <c r="AJ4593">
        <v>103.65822575011801</v>
      </c>
      <c r="AK4593">
        <v>11.9489060282887</v>
      </c>
    </row>
    <row r="4594" spans="1:37" x14ac:dyDescent="0.2">
      <c r="A4594" t="str">
        <f>"20200111154155664"</f>
        <v>20200111154155664</v>
      </c>
      <c r="B4594" t="str">
        <f>"1578728515661168"</f>
        <v>1578728515661168</v>
      </c>
      <c r="C4594" t="s">
        <v>37</v>
      </c>
      <c r="D4594">
        <v>5.4683120000000001</v>
      </c>
      <c r="E4594">
        <v>0.49472890000000003</v>
      </c>
      <c r="F4594" t="s">
        <v>39</v>
      </c>
      <c r="G4594">
        <v>-273.60210000000001</v>
      </c>
      <c r="H4594" s="1">
        <v>-7.6311049999999896E-7</v>
      </c>
      <c r="I4594">
        <v>-60.669440000000002</v>
      </c>
      <c r="J4594">
        <v>-285.56209999999999</v>
      </c>
      <c r="K4594">
        <v>1.115084</v>
      </c>
      <c r="L4594">
        <v>-59.24973</v>
      </c>
      <c r="M4594">
        <v>0.93747449999999999</v>
      </c>
      <c r="N4594">
        <v>0</v>
      </c>
      <c r="O4594">
        <v>-0.34778409999999998</v>
      </c>
      <c r="P4594">
        <v>0.99082979999999998</v>
      </c>
      <c r="Q4594">
        <v>3.9038349999999999E-2</v>
      </c>
      <c r="R4594">
        <v>-0.1293542</v>
      </c>
      <c r="S4594">
        <v>2.991638</v>
      </c>
      <c r="T4594">
        <v>-0.27614549999999999</v>
      </c>
      <c r="U4594">
        <v>-0.36178589999999999</v>
      </c>
      <c r="V4594">
        <v>-0.22390689999999999</v>
      </c>
      <c r="W4594">
        <v>4.9949189999999997E-2</v>
      </c>
      <c r="X4594">
        <v>0.97332969999999897</v>
      </c>
      <c r="Y4594">
        <v>-0.2303887</v>
      </c>
      <c r="Z4594">
        <v>4.1813839999999998E-2</v>
      </c>
      <c r="AA4594">
        <v>0.97219990000000001</v>
      </c>
      <c r="AB4594">
        <v>25</v>
      </c>
      <c r="AC4594">
        <v>11.9599999999999</v>
      </c>
      <c r="AD4594">
        <v>-1.1150847631105001</v>
      </c>
      <c r="AE4594">
        <v>-1.41970999999999</v>
      </c>
      <c r="AF4594">
        <v>-2.8047792696146798</v>
      </c>
      <c r="AG4594">
        <v>-1.1150847631105001</v>
      </c>
      <c r="AH4594">
        <v>11.607548204577499</v>
      </c>
      <c r="AI4594">
        <v>95.334702859199496</v>
      </c>
      <c r="AJ4594">
        <v>103.584227319787</v>
      </c>
      <c r="AK4594">
        <v>11.993555607148901</v>
      </c>
    </row>
    <row r="4595" spans="1:37" x14ac:dyDescent="0.2">
      <c r="A4595" t="str">
        <f>"20200111154155674"</f>
        <v>20200111154155674</v>
      </c>
      <c r="B4595" t="str">
        <f>"1578728515670928"</f>
        <v>1578728515670928</v>
      </c>
      <c r="C4595" t="s">
        <v>37</v>
      </c>
      <c r="D4595">
        <v>5.4691029999999996</v>
      </c>
      <c r="E4595">
        <v>0.49491199999999902</v>
      </c>
      <c r="F4595" t="s">
        <v>39</v>
      </c>
      <c r="G4595">
        <v>-273.54930000000002</v>
      </c>
      <c r="H4595" s="1">
        <v>-7.4280710000000003E-7</v>
      </c>
      <c r="I4595">
        <v>-60.679989999999997</v>
      </c>
      <c r="J4595">
        <v>-285.4554</v>
      </c>
      <c r="K4595">
        <v>1.1150799999999901</v>
      </c>
      <c r="L4595">
        <v>-59.285580000000003</v>
      </c>
      <c r="M4595">
        <v>0.93856459999999997</v>
      </c>
      <c r="N4595">
        <v>0</v>
      </c>
      <c r="O4595">
        <v>-0.34483170000000002</v>
      </c>
      <c r="P4595">
        <v>0.99104360000000002</v>
      </c>
      <c r="Q4595">
        <v>3.8801830000000002E-2</v>
      </c>
      <c r="R4595">
        <v>-0.1277771</v>
      </c>
      <c r="S4595">
        <v>2.9922490000000002</v>
      </c>
      <c r="T4595">
        <v>-0.277754099999999</v>
      </c>
      <c r="U4595">
        <v>-0.35626219999999997</v>
      </c>
      <c r="V4595">
        <v>-0.2223908</v>
      </c>
      <c r="W4595">
        <v>4.9733930000000003E-2</v>
      </c>
      <c r="X4595">
        <v>0.97368829999999995</v>
      </c>
      <c r="Y4595">
        <v>-0.22910939999999999</v>
      </c>
      <c r="Z4595">
        <v>4.1739829999999999E-2</v>
      </c>
      <c r="AA4595">
        <v>0.97250539999999996</v>
      </c>
      <c r="AB4595">
        <v>24</v>
      </c>
      <c r="AC4595">
        <v>11.906099999999901</v>
      </c>
      <c r="AD4595">
        <v>-1.1150807428070999</v>
      </c>
      <c r="AE4595">
        <v>-1.3944099999999999</v>
      </c>
      <c r="AF4595">
        <v>-2.7731238984823401</v>
      </c>
      <c r="AG4595">
        <v>-1.1150807428070999</v>
      </c>
      <c r="AH4595">
        <v>11.556577288224</v>
      </c>
      <c r="AI4595">
        <v>95.360105253499995</v>
      </c>
      <c r="AJ4595">
        <v>103.493601936087</v>
      </c>
      <c r="AK4595">
        <v>11.9368379329707</v>
      </c>
    </row>
    <row r="4596" spans="1:37" x14ac:dyDescent="0.2">
      <c r="A4596" t="str">
        <f>"20200111154155686"</f>
        <v>20200111154155686</v>
      </c>
      <c r="B4596" t="str">
        <f>"1578728515680688"</f>
        <v>1578728515680688</v>
      </c>
      <c r="C4596" t="s">
        <v>37</v>
      </c>
      <c r="D4596">
        <v>5.7674449999999897</v>
      </c>
      <c r="E4596">
        <v>0.49511040000000001</v>
      </c>
      <c r="F4596" t="s">
        <v>39</v>
      </c>
      <c r="G4596">
        <v>-273.54230000000001</v>
      </c>
      <c r="H4596" s="1">
        <v>-7.4210209999999995E-7</v>
      </c>
      <c r="I4596">
        <v>-60.690339999999999</v>
      </c>
      <c r="J4596">
        <v>-285.34280000000001</v>
      </c>
      <c r="K4596">
        <v>1.115073</v>
      </c>
      <c r="L4596">
        <v>-59.323300000000003</v>
      </c>
      <c r="M4596">
        <v>0.93970580000000004</v>
      </c>
      <c r="N4596">
        <v>0</v>
      </c>
      <c r="O4596">
        <v>-0.34170970000000001</v>
      </c>
      <c r="P4596">
        <v>0.99125799999999997</v>
      </c>
      <c r="Q4596">
        <v>3.8351049999999998E-2</v>
      </c>
      <c r="R4596">
        <v>-0.12624089999999999</v>
      </c>
      <c r="S4596">
        <v>2.9925839999999999</v>
      </c>
      <c r="T4596">
        <v>-0.28010780000000002</v>
      </c>
      <c r="U4596">
        <v>-0.35287479999999999</v>
      </c>
      <c r="V4596">
        <v>-0.22066239999999901</v>
      </c>
      <c r="W4596">
        <v>4.9306719999999998E-2</v>
      </c>
      <c r="X4596">
        <v>0.97410319999999995</v>
      </c>
      <c r="Y4596">
        <v>-0.22695399999999999</v>
      </c>
      <c r="Z4596">
        <v>4.1717860000000002E-2</v>
      </c>
      <c r="AA4596">
        <v>0.97301159999999998</v>
      </c>
      <c r="AB4596">
        <v>24</v>
      </c>
      <c r="AC4596">
        <v>11.8005</v>
      </c>
      <c r="AD4596">
        <v>-1.1150737421021</v>
      </c>
      <c r="AE4596">
        <v>-1.36703999999999</v>
      </c>
      <c r="AF4596">
        <v>-2.72398693782791</v>
      </c>
      <c r="AG4596">
        <v>-1.1150737421021</v>
      </c>
      <c r="AH4596">
        <v>11.4562733406493</v>
      </c>
      <c r="AI4596">
        <v>95.409382537289602</v>
      </c>
      <c r="AJ4596">
        <v>103.37499786123701</v>
      </c>
      <c r="AK4596">
        <v>11.828342789396</v>
      </c>
    </row>
    <row r="4597" spans="1:37" x14ac:dyDescent="0.2">
      <c r="A4597" t="str">
        <f>"20200111154155697"</f>
        <v>20200111154155697</v>
      </c>
      <c r="B4597" t="str">
        <f>"1578728515690448"</f>
        <v>1578728515690448</v>
      </c>
      <c r="C4597" t="s">
        <v>37</v>
      </c>
      <c r="D4597">
        <v>5.4371609999999997</v>
      </c>
      <c r="E4597">
        <v>0.49511040000000001</v>
      </c>
      <c r="F4597" t="s">
        <v>39</v>
      </c>
      <c r="G4597">
        <v>-273.51420000000002</v>
      </c>
      <c r="H4597" s="1">
        <v>-7.3355359999999998E-7</v>
      </c>
      <c r="I4597">
        <v>-60.706029999999998</v>
      </c>
      <c r="J4597">
        <v>-285.22059999999999</v>
      </c>
      <c r="K4597">
        <v>1.115067</v>
      </c>
      <c r="L4597">
        <v>-59.36356</v>
      </c>
      <c r="M4597">
        <v>0.94092969999999898</v>
      </c>
      <c r="N4597">
        <v>0</v>
      </c>
      <c r="O4597">
        <v>-0.33832519999999999</v>
      </c>
      <c r="P4597">
        <v>0.9914579</v>
      </c>
      <c r="Q4597">
        <v>3.7776919999999999E-2</v>
      </c>
      <c r="R4597">
        <v>-0.1248368</v>
      </c>
      <c r="S4597">
        <v>2.9928279999999998</v>
      </c>
      <c r="T4597">
        <v>-0.28213280000000002</v>
      </c>
      <c r="U4597">
        <v>-0.34985349999999998</v>
      </c>
      <c r="V4597">
        <v>-0.21853529999999999</v>
      </c>
      <c r="W4597">
        <v>4.8761880000000001E-2</v>
      </c>
      <c r="X4597">
        <v>0.97460999999999998</v>
      </c>
      <c r="Y4597">
        <v>-0.22441749999999999</v>
      </c>
      <c r="Z4597">
        <v>4.1600690000000003E-2</v>
      </c>
      <c r="AA4597">
        <v>0.97360469999999899</v>
      </c>
      <c r="AB4597">
        <v>24</v>
      </c>
      <c r="AC4597">
        <v>11.706399999999901</v>
      </c>
      <c r="AD4597">
        <v>-1.1150677335535999</v>
      </c>
      <c r="AE4597">
        <v>-1.3424700000000001</v>
      </c>
      <c r="AF4597">
        <v>-2.6737090088775002</v>
      </c>
      <c r="AG4597">
        <v>-1.1150677335535999</v>
      </c>
      <c r="AH4597">
        <v>11.368358050928499</v>
      </c>
      <c r="AI4597">
        <v>95.454071060297096</v>
      </c>
      <c r="AJ4597">
        <v>103.234795011637</v>
      </c>
      <c r="AK4597">
        <v>11.731652086925999</v>
      </c>
    </row>
    <row r="4598" spans="1:37" x14ac:dyDescent="0.2">
      <c r="A4598" t="str">
        <f>"20200111154155709"</f>
        <v>20200111154155709</v>
      </c>
      <c r="B4598" t="str">
        <f>"1578728515701184"</f>
        <v>1578728515701184</v>
      </c>
      <c r="C4598" t="s">
        <v>37</v>
      </c>
      <c r="D4598">
        <v>5.4773110000000003</v>
      </c>
      <c r="E4598">
        <v>0.49373820000000002</v>
      </c>
      <c r="F4598" t="s">
        <v>39</v>
      </c>
      <c r="G4598">
        <v>-273.4622</v>
      </c>
      <c r="H4598" s="1">
        <v>-7.1452559999999895E-7</v>
      </c>
      <c r="I4598">
        <v>-60.720779999999998</v>
      </c>
      <c r="J4598">
        <v>-285.10149999999999</v>
      </c>
      <c r="K4598">
        <v>1.1150579999999899</v>
      </c>
      <c r="L4598">
        <v>-59.402369999999998</v>
      </c>
      <c r="M4598">
        <v>0.94210869999999902</v>
      </c>
      <c r="N4598">
        <v>0</v>
      </c>
      <c r="O4598">
        <v>-0.3350281</v>
      </c>
      <c r="P4598">
        <v>0.99166589999999999</v>
      </c>
      <c r="Q4598">
        <v>3.7412830000000001E-2</v>
      </c>
      <c r="R4598">
        <v>-0.12328450000000001</v>
      </c>
      <c r="S4598">
        <v>2.9931640000000002</v>
      </c>
      <c r="T4598">
        <v>-0.28384720000000002</v>
      </c>
      <c r="U4598">
        <v>-0.3454895</v>
      </c>
      <c r="V4598">
        <v>-0.21664699999999901</v>
      </c>
      <c r="W4598">
        <v>4.8424199999999903E-2</v>
      </c>
      <c r="X4598">
        <v>0.97504829999999998</v>
      </c>
      <c r="Y4598">
        <v>-0.222412</v>
      </c>
      <c r="Z4598">
        <v>4.1465160000000001E-2</v>
      </c>
      <c r="AA4598">
        <v>0.97407060000000001</v>
      </c>
      <c r="AB4598">
        <v>24</v>
      </c>
      <c r="AC4598">
        <v>11.639299999999899</v>
      </c>
      <c r="AD4598">
        <v>-1.1150587145255999</v>
      </c>
      <c r="AE4598">
        <v>-1.3184100000000001</v>
      </c>
      <c r="AF4598">
        <v>-2.63378967590327</v>
      </c>
      <c r="AG4598">
        <v>-1.1150587145255999</v>
      </c>
      <c r="AH4598">
        <v>11.305810279165801</v>
      </c>
      <c r="AI4598">
        <v>95.486715036647894</v>
      </c>
      <c r="AJ4598">
        <v>103.113677526174</v>
      </c>
      <c r="AK4598">
        <v>11.661970247870901</v>
      </c>
    </row>
    <row r="4599" spans="1:37" x14ac:dyDescent="0.2">
      <c r="A4599" t="str">
        <f>"20200111154155719"</f>
        <v>20200111154155719</v>
      </c>
      <c r="B4599" t="str">
        <f>"1578728515710427"</f>
        <v>1578728515710427</v>
      </c>
      <c r="C4599" t="s">
        <v>37</v>
      </c>
      <c r="D4599">
        <v>5.3836690000000003</v>
      </c>
      <c r="E4599">
        <v>0.492726099999999</v>
      </c>
      <c r="F4599" t="s">
        <v>39</v>
      </c>
      <c r="G4599">
        <v>-273.68939999999998</v>
      </c>
      <c r="H4599" s="1">
        <v>-7.9827849999999998E-7</v>
      </c>
      <c r="I4599">
        <v>-60.6590699999999</v>
      </c>
      <c r="J4599">
        <v>-284.9923</v>
      </c>
      <c r="K4599">
        <v>1.115051</v>
      </c>
      <c r="L4599">
        <v>-59.437619999999903</v>
      </c>
      <c r="M4599">
        <v>0.94317899999999999</v>
      </c>
      <c r="N4599">
        <v>0</v>
      </c>
      <c r="O4599">
        <v>-0.3320032</v>
      </c>
      <c r="P4599">
        <v>0.99180849999999898</v>
      </c>
      <c r="Q4599">
        <v>3.702391E-2</v>
      </c>
      <c r="R4599">
        <v>-0.1222509</v>
      </c>
      <c r="S4599">
        <v>2.99523899999999</v>
      </c>
      <c r="T4599">
        <v>-0.29266019999999998</v>
      </c>
      <c r="U4599">
        <v>-0.32983400000000002</v>
      </c>
      <c r="V4599">
        <v>-0.214532899999999</v>
      </c>
      <c r="W4599">
        <v>4.8065080000000003E-2</v>
      </c>
      <c r="X4599">
        <v>0.97553339999999999</v>
      </c>
      <c r="Y4599">
        <v>-0.2242432</v>
      </c>
      <c r="Z4599">
        <v>4.2547870000000002E-2</v>
      </c>
      <c r="AA4599">
        <v>0.97360400000000002</v>
      </c>
      <c r="AB4599">
        <v>24</v>
      </c>
      <c r="AC4599">
        <v>11.302899999999999</v>
      </c>
      <c r="AD4599">
        <v>-1.1150517982785</v>
      </c>
      <c r="AE4599">
        <v>-1.2214499999999899</v>
      </c>
      <c r="AF4599">
        <v>-2.57601562441516</v>
      </c>
      <c r="AG4599">
        <v>-1.1150517982785</v>
      </c>
      <c r="AH4599">
        <v>10.961768946641</v>
      </c>
      <c r="AI4599">
        <v>95.655238881389906</v>
      </c>
      <c r="AJ4599">
        <v>103.224550805628</v>
      </c>
      <c r="AK4599">
        <v>11.3154573681146</v>
      </c>
    </row>
    <row r="4600" spans="1:37" x14ac:dyDescent="0.2">
      <c r="A4600" t="str">
        <f>"20200111154155730"</f>
        <v>20200111154155730</v>
      </c>
      <c r="B4600" t="str">
        <f>"1578728515721164"</f>
        <v>1578728515721164</v>
      </c>
      <c r="C4600" t="s">
        <v>37</v>
      </c>
      <c r="D4600">
        <v>5.3974469999999997</v>
      </c>
      <c r="E4600">
        <v>0.49169220000000002</v>
      </c>
      <c r="F4600" t="s">
        <v>39</v>
      </c>
      <c r="G4600">
        <v>-273.68209999999999</v>
      </c>
      <c r="H4600" s="1">
        <v>-7.9091229999999996E-7</v>
      </c>
      <c r="I4600">
        <v>-60.640050000000002</v>
      </c>
      <c r="J4600">
        <v>-284.8793</v>
      </c>
      <c r="K4600">
        <v>1.115043</v>
      </c>
      <c r="L4600">
        <v>-59.473569999999903</v>
      </c>
      <c r="M4600">
        <v>0.9442739</v>
      </c>
      <c r="N4600">
        <v>0</v>
      </c>
      <c r="O4600">
        <v>-0.3288758</v>
      </c>
      <c r="P4600">
        <v>0.99197599999999997</v>
      </c>
      <c r="Q4600">
        <v>3.6804770000000001E-2</v>
      </c>
      <c r="R4600">
        <v>-0.12095119999999999</v>
      </c>
      <c r="S4600">
        <v>2.9965519999999999</v>
      </c>
      <c r="T4600">
        <v>-0.29542410000000002</v>
      </c>
      <c r="U4600">
        <v>-0.318573</v>
      </c>
      <c r="V4600">
        <v>-0.212576499999999</v>
      </c>
      <c r="W4600">
        <v>4.7873140000000002E-2</v>
      </c>
      <c r="X4600">
        <v>0.97597099999999903</v>
      </c>
      <c r="Y4600">
        <v>-0.22464219999999999</v>
      </c>
      <c r="Z4600">
        <v>4.2672059999999998E-2</v>
      </c>
      <c r="AA4600">
        <v>0.97350650000000005</v>
      </c>
      <c r="AB4600">
        <v>24</v>
      </c>
      <c r="AC4600">
        <v>11.1972</v>
      </c>
      <c r="AD4600">
        <v>-1.1150437909123001</v>
      </c>
      <c r="AE4600">
        <v>-1.16648</v>
      </c>
      <c r="AF4600">
        <v>-2.5561769411881401</v>
      </c>
      <c r="AG4600">
        <v>-1.1150437909123001</v>
      </c>
      <c r="AH4600">
        <v>10.8514237041496</v>
      </c>
      <c r="AI4600">
        <v>95.711616099049905</v>
      </c>
      <c r="AJ4600">
        <v>103.255031743853</v>
      </c>
      <c r="AK4600">
        <v>11.2040510360001</v>
      </c>
    </row>
    <row r="4601" spans="1:37" x14ac:dyDescent="0.2">
      <c r="A4601" t="str">
        <f>"20200111154155741"</f>
        <v>20200111154155741</v>
      </c>
      <c r="B4601" t="str">
        <f>"1578728515730923"</f>
        <v>1578728515730923</v>
      </c>
      <c r="C4601" t="s">
        <v>37</v>
      </c>
      <c r="D4601">
        <v>5.408461</v>
      </c>
      <c r="E4601">
        <v>0.49069950000000001</v>
      </c>
      <c r="F4601" t="s">
        <v>39</v>
      </c>
      <c r="G4601">
        <v>-273.55549999999999</v>
      </c>
      <c r="H4601" s="1">
        <v>-7.3448649999999996E-7</v>
      </c>
      <c r="I4601">
        <v>-60.630580000000002</v>
      </c>
      <c r="J4601">
        <v>-284.7679</v>
      </c>
      <c r="K4601">
        <v>1.115038</v>
      </c>
      <c r="L4601">
        <v>-59.508819999999901</v>
      </c>
      <c r="M4601">
        <v>0.94534300000000004</v>
      </c>
      <c r="N4601">
        <v>0</v>
      </c>
      <c r="O4601">
        <v>-0.32579039999999998</v>
      </c>
      <c r="P4601">
        <v>0.9921565</v>
      </c>
      <c r="Q4601">
        <v>3.6581999999999899E-2</v>
      </c>
      <c r="R4601">
        <v>-0.11953</v>
      </c>
      <c r="S4601">
        <v>2.9978639999999999</v>
      </c>
      <c r="T4601">
        <v>-0.29519600000000001</v>
      </c>
      <c r="U4601">
        <v>-0.30630489999999999</v>
      </c>
      <c r="V4601">
        <v>-0.210786</v>
      </c>
      <c r="W4601">
        <v>4.7676429999999999E-2</v>
      </c>
      <c r="X4601">
        <v>0.97636889999999998</v>
      </c>
      <c r="Y4601">
        <v>-0.22546160000000001</v>
      </c>
      <c r="Z4601">
        <v>4.2388729999999999E-2</v>
      </c>
      <c r="AA4601">
        <v>0.97332949999999996</v>
      </c>
      <c r="AB4601">
        <v>24</v>
      </c>
      <c r="AC4601">
        <v>11.212400000000001</v>
      </c>
      <c r="AD4601">
        <v>-1.1150387344865</v>
      </c>
      <c r="AE4601">
        <v>-1.1217600000000001</v>
      </c>
      <c r="AF4601">
        <v>-2.5675464371252499</v>
      </c>
      <c r="AG4601">
        <v>-1.1150387344865</v>
      </c>
      <c r="AH4601">
        <v>10.8597142262449</v>
      </c>
      <c r="AI4601">
        <v>95.706159948135607</v>
      </c>
      <c r="AJ4601">
        <v>103.30209250954201</v>
      </c>
      <c r="AK4601">
        <v>11.2146778447669</v>
      </c>
    </row>
    <row r="4602" spans="1:37" x14ac:dyDescent="0.2">
      <c r="A4602" t="str">
        <f>"20200111154155752"</f>
        <v>20200111154155752</v>
      </c>
      <c r="B4602" t="str">
        <f>"1578728515740684"</f>
        <v>1578728515740684</v>
      </c>
      <c r="C4602" t="s">
        <v>37</v>
      </c>
      <c r="D4602">
        <v>5.3745859999999999</v>
      </c>
      <c r="E4602">
        <v>0.48992669999999999</v>
      </c>
      <c r="F4602" t="s">
        <v>39</v>
      </c>
      <c r="G4602">
        <v>-273.37169999999998</v>
      </c>
      <c r="H4602" s="1">
        <v>-6.548266E-7</v>
      </c>
      <c r="I4602">
        <v>-60.626950000000001</v>
      </c>
      <c r="J4602">
        <v>-284.65390000000002</v>
      </c>
      <c r="K4602">
        <v>1.115027</v>
      </c>
      <c r="L4602">
        <v>-59.54419</v>
      </c>
      <c r="M4602">
        <v>0.94642190000000004</v>
      </c>
      <c r="N4602">
        <v>0</v>
      </c>
      <c r="O4602">
        <v>-0.3226427</v>
      </c>
      <c r="P4602">
        <v>0.99232940000000003</v>
      </c>
      <c r="Q4602">
        <v>3.6357899999999999E-2</v>
      </c>
      <c r="R4602">
        <v>-0.1181528</v>
      </c>
      <c r="S4602">
        <v>2.9990540000000001</v>
      </c>
      <c r="T4602">
        <v>-0.29343579999999903</v>
      </c>
      <c r="U4602">
        <v>-0.29425050000000003</v>
      </c>
      <c r="V4602">
        <v>-0.20888979999999899</v>
      </c>
      <c r="W4602">
        <v>4.7480679999999997E-2</v>
      </c>
      <c r="X4602">
        <v>0.97678580000000004</v>
      </c>
      <c r="Y4602">
        <v>-0.22617470000000001</v>
      </c>
      <c r="Z4602">
        <v>4.1877930000000001E-2</v>
      </c>
      <c r="AA4602">
        <v>0.97318609999999905</v>
      </c>
      <c r="AB4602">
        <v>24</v>
      </c>
      <c r="AC4602">
        <v>11.2822</v>
      </c>
      <c r="AD4602">
        <v>-1.1150276548266</v>
      </c>
      <c r="AE4602">
        <v>-1.0827599999999999</v>
      </c>
      <c r="AF4602">
        <v>-2.5905443915775499</v>
      </c>
      <c r="AG4602">
        <v>-1.1150276548266</v>
      </c>
      <c r="AH4602">
        <v>10.9223876121135</v>
      </c>
      <c r="AI4602">
        <v>95.672629356129903</v>
      </c>
      <c r="AJ4602">
        <v>103.34272493032</v>
      </c>
      <c r="AK4602">
        <v>11.2806364210984</v>
      </c>
    </row>
    <row r="4603" spans="1:37" x14ac:dyDescent="0.2">
      <c r="A4603" t="str">
        <f>"20200111154155775"</f>
        <v>20200111154155775</v>
      </c>
      <c r="B4603" t="str">
        <f>"1578728515770939"</f>
        <v>1578728515770939</v>
      </c>
      <c r="C4603" t="s">
        <v>37</v>
      </c>
      <c r="D4603">
        <v>5.3915730000000002</v>
      </c>
      <c r="E4603">
        <v>0.48794029999999999</v>
      </c>
      <c r="F4603" t="s">
        <v>39</v>
      </c>
      <c r="G4603">
        <v>-273.19459999999998</v>
      </c>
      <c r="H4603" s="1">
        <v>-5.7929379999999996E-7</v>
      </c>
      <c r="I4603">
        <v>-60.628830000000001</v>
      </c>
      <c r="J4603">
        <v>-284.423</v>
      </c>
      <c r="K4603">
        <v>1.115</v>
      </c>
      <c r="L4603">
        <v>-59.614869999999897</v>
      </c>
      <c r="M4603">
        <v>0.94856600000000002</v>
      </c>
      <c r="N4603">
        <v>0</v>
      </c>
      <c r="O4603">
        <v>-0.316283799999999</v>
      </c>
      <c r="P4603">
        <v>0.99265530000000002</v>
      </c>
      <c r="Q4603">
        <v>3.6626359999999997E-2</v>
      </c>
      <c r="R4603">
        <v>-0.1153011</v>
      </c>
      <c r="S4603">
        <v>3.000092</v>
      </c>
      <c r="T4603">
        <v>-0.29192069999999998</v>
      </c>
      <c r="U4603">
        <v>-0.283966099999999</v>
      </c>
      <c r="V4603">
        <v>-0.20513419999999999</v>
      </c>
      <c r="W4603">
        <v>4.7808360000000001E-2</v>
      </c>
      <c r="X4603">
        <v>0.97756549999999998</v>
      </c>
      <c r="Y4603">
        <v>-0.22304599999999999</v>
      </c>
      <c r="Z4603">
        <v>4.0922399999999998E-2</v>
      </c>
      <c r="AA4603">
        <v>0.97394859999999905</v>
      </c>
      <c r="AB4603">
        <v>24</v>
      </c>
      <c r="AC4603">
        <v>11.228400000000001</v>
      </c>
      <c r="AD4603">
        <v>-1.1150005792938</v>
      </c>
      <c r="AE4603">
        <v>-1.01396000000001</v>
      </c>
      <c r="AF4603">
        <v>-2.5647096700593801</v>
      </c>
      <c r="AG4603">
        <v>-1.1150005792938</v>
      </c>
      <c r="AH4603">
        <v>10.866319684477901</v>
      </c>
      <c r="AI4603">
        <v>95.703033357267003</v>
      </c>
      <c r="AJ4603">
        <v>103.280126025402</v>
      </c>
      <c r="AK4603">
        <v>11.2204218044062</v>
      </c>
    </row>
    <row r="4604" spans="1:37" x14ac:dyDescent="0.2">
      <c r="A4604" t="str">
        <f>"20200111154155787"</f>
        <v>20200111154155787</v>
      </c>
      <c r="B4604" t="str">
        <f>"1578728515780699"</f>
        <v>1578728515780699</v>
      </c>
      <c r="C4604" t="s">
        <v>37</v>
      </c>
      <c r="D4604">
        <v>5.3479700000000001</v>
      </c>
      <c r="E4604">
        <v>0.48743120000000001</v>
      </c>
      <c r="F4604" t="s">
        <v>39</v>
      </c>
      <c r="G4604">
        <v>-272.69349999999997</v>
      </c>
      <c r="H4604" s="1">
        <v>-3.6412979999999998E-7</v>
      </c>
      <c r="I4604">
        <v>-60.627959999999902</v>
      </c>
      <c r="J4604">
        <v>-284.29739999999998</v>
      </c>
      <c r="K4604">
        <v>1.1149830000000001</v>
      </c>
      <c r="L4604">
        <v>-59.652650000000001</v>
      </c>
      <c r="M4604">
        <v>0.94970789999999905</v>
      </c>
      <c r="N4604">
        <v>0</v>
      </c>
      <c r="O4604">
        <v>-0.31283820000000001</v>
      </c>
      <c r="P4604">
        <v>0.99285499999999904</v>
      </c>
      <c r="Q4604">
        <v>3.6718290000000001E-2</v>
      </c>
      <c r="R4604">
        <v>-0.1135359</v>
      </c>
      <c r="S4604">
        <v>3.00259399999999</v>
      </c>
      <c r="T4604">
        <v>-0.28542689999999998</v>
      </c>
      <c r="U4604">
        <v>-0.25933840000000002</v>
      </c>
      <c r="V4604">
        <v>-0.20332039999999901</v>
      </c>
      <c r="W4604">
        <v>4.7930779999999999E-2</v>
      </c>
      <c r="X4604">
        <v>0.97793839999999999</v>
      </c>
      <c r="Y4604">
        <v>-0.2276097</v>
      </c>
      <c r="Z4604">
        <v>3.9912570000000001E-2</v>
      </c>
      <c r="AA4604">
        <v>0.97293410000000002</v>
      </c>
      <c r="AB4604">
        <v>24</v>
      </c>
      <c r="AC4604">
        <v>11.603899999999999</v>
      </c>
      <c r="AD4604">
        <v>-1.1149833641297999</v>
      </c>
      <c r="AE4604">
        <v>-0.97530999999999302</v>
      </c>
      <c r="AF4604">
        <v>-2.6795705187578398</v>
      </c>
      <c r="AG4604">
        <v>-1.1149833641297999</v>
      </c>
      <c r="AH4604">
        <v>11.223592562533099</v>
      </c>
      <c r="AI4604">
        <v>95.519193908330294</v>
      </c>
      <c r="AJ4604">
        <v>103.42769456261099</v>
      </c>
      <c r="AK4604">
        <v>11.5927699915521</v>
      </c>
    </row>
    <row r="4605" spans="1:37" x14ac:dyDescent="0.2">
      <c r="A4605" t="str">
        <f>"20200111154155799"</f>
        <v>20200111154155799</v>
      </c>
      <c r="B4605" t="str">
        <f>"1578728515790459"</f>
        <v>1578728515790459</v>
      </c>
      <c r="C4605" t="s">
        <v>37</v>
      </c>
      <c r="D4605">
        <v>5.3843569999999996</v>
      </c>
      <c r="E4605">
        <v>0.48696400000000001</v>
      </c>
      <c r="F4605" t="s">
        <v>39</v>
      </c>
      <c r="G4605">
        <v>-272.5215</v>
      </c>
      <c r="H4605" s="1">
        <v>-2.913355E-7</v>
      </c>
      <c r="I4605">
        <v>-60.632449999999999</v>
      </c>
      <c r="J4605">
        <v>-284.17160000000001</v>
      </c>
      <c r="K4605">
        <v>1.1149639999999901</v>
      </c>
      <c r="L4605">
        <v>-59.689969999999903</v>
      </c>
      <c r="M4605">
        <v>0.95083399999999996</v>
      </c>
      <c r="N4605">
        <v>0</v>
      </c>
      <c r="O4605">
        <v>-0.30939870000000003</v>
      </c>
      <c r="P4605">
        <v>0.99304490000000001</v>
      </c>
      <c r="Q4605">
        <v>3.6716699999999998E-2</v>
      </c>
      <c r="R4605">
        <v>-0.1118651</v>
      </c>
      <c r="S4605">
        <v>3.0035400000000001</v>
      </c>
      <c r="T4605">
        <v>-0.28438740000000001</v>
      </c>
      <c r="U4605">
        <v>-0.249908399999999</v>
      </c>
      <c r="V4605">
        <v>-0.20142179999999901</v>
      </c>
      <c r="W4605">
        <v>4.7961730000000001E-2</v>
      </c>
      <c r="X4605">
        <v>0.97832969999999897</v>
      </c>
      <c r="Y4605">
        <v>-0.22717970000000001</v>
      </c>
      <c r="Z4605">
        <v>3.9434469999999999E-2</v>
      </c>
      <c r="AA4605">
        <v>0.97305409999999903</v>
      </c>
      <c r="AB4605">
        <v>24</v>
      </c>
      <c r="AC4605">
        <v>11.6501</v>
      </c>
      <c r="AD4605">
        <v>-1.11496429133549</v>
      </c>
      <c r="AE4605">
        <v>-0.94248000000000298</v>
      </c>
      <c r="AF4605">
        <v>-2.6842115768972499</v>
      </c>
      <c r="AG4605">
        <v>-1.11496429133549</v>
      </c>
      <c r="AH4605">
        <v>11.2674462878722</v>
      </c>
      <c r="AI4605">
        <v>95.498389070981602</v>
      </c>
      <c r="AJ4605">
        <v>103.399649872007</v>
      </c>
      <c r="AK4605">
        <v>11.6363002286203</v>
      </c>
    </row>
    <row r="4606" spans="1:37" x14ac:dyDescent="0.2">
      <c r="A4606" t="str">
        <f>"20200111154155810"</f>
        <v>20200111154155810</v>
      </c>
      <c r="B4606" t="str">
        <f>"1578728515800221"</f>
        <v>1578728515800221</v>
      </c>
      <c r="C4606" t="s">
        <v>37</v>
      </c>
      <c r="D4606">
        <v>5.4018370000000004</v>
      </c>
      <c r="E4606">
        <v>0.48656179999999899</v>
      </c>
      <c r="F4606" t="s">
        <v>39</v>
      </c>
      <c r="G4606">
        <v>-272.375</v>
      </c>
      <c r="H4606" s="1">
        <v>-2.294731E-7</v>
      </c>
      <c r="I4606">
        <v>-60.636969999999998</v>
      </c>
      <c r="J4606">
        <v>-284.0575</v>
      </c>
      <c r="K4606">
        <v>1.114938</v>
      </c>
      <c r="L4606">
        <v>-59.723329999999997</v>
      </c>
      <c r="M4606">
        <v>0.95183930000000005</v>
      </c>
      <c r="N4606">
        <v>0</v>
      </c>
      <c r="O4606">
        <v>-0.30629229999999902</v>
      </c>
      <c r="P4606">
        <v>0.99320889999999995</v>
      </c>
      <c r="Q4606">
        <v>3.6877689999999998E-2</v>
      </c>
      <c r="R4606">
        <v>-0.110346</v>
      </c>
      <c r="S4606">
        <v>3.0043329999999999</v>
      </c>
      <c r="T4606">
        <v>-0.28395700000000001</v>
      </c>
      <c r="U4606">
        <v>-0.24118039999999999</v>
      </c>
      <c r="V4606">
        <v>-0.1997206</v>
      </c>
      <c r="W4606">
        <v>4.8152239999999999E-2</v>
      </c>
      <c r="X4606">
        <v>0.97866900000000001</v>
      </c>
      <c r="Y4606">
        <v>-0.2268521</v>
      </c>
      <c r="Z4606">
        <v>3.9077750000000001E-2</v>
      </c>
      <c r="AA4606">
        <v>0.97314489999999998</v>
      </c>
      <c r="AB4606">
        <v>24</v>
      </c>
      <c r="AC4606">
        <v>11.682499999999999</v>
      </c>
      <c r="AD4606">
        <v>-1.1149382294731001</v>
      </c>
      <c r="AE4606">
        <v>-0.91363999999999301</v>
      </c>
      <c r="AF4606">
        <v>-2.6845717585656499</v>
      </c>
      <c r="AG4606">
        <v>-1.1149382294731001</v>
      </c>
      <c r="AH4606">
        <v>11.298486691030901</v>
      </c>
      <c r="AI4606">
        <v>95.484012189720005</v>
      </c>
      <c r="AJ4606">
        <v>103.365888318502</v>
      </c>
      <c r="AK4606">
        <v>11.6664396578318</v>
      </c>
    </row>
    <row r="4607" spans="1:37" x14ac:dyDescent="0.2">
      <c r="A4607" t="str">
        <f>"20200111154155821"</f>
        <v>20200111154155821</v>
      </c>
      <c r="B4607" t="str">
        <f>"1578728515810488"</f>
        <v>1578728515810488</v>
      </c>
      <c r="C4607" t="s">
        <v>37</v>
      </c>
      <c r="D4607">
        <v>5.3918489999999997</v>
      </c>
      <c r="E4607">
        <v>0.48623909999999998</v>
      </c>
      <c r="F4607" t="s">
        <v>39</v>
      </c>
      <c r="G4607">
        <v>-272.23869999999999</v>
      </c>
      <c r="H4607" s="1">
        <v>-1.7212740000000001E-7</v>
      </c>
      <c r="I4607">
        <v>-60.641979999999997</v>
      </c>
      <c r="J4607">
        <v>-283.94619999999998</v>
      </c>
      <c r="K4607">
        <v>1.1149169999999999</v>
      </c>
      <c r="L4607">
        <v>-59.755650000000003</v>
      </c>
      <c r="M4607">
        <v>0.95280759999999898</v>
      </c>
      <c r="N4607">
        <v>0</v>
      </c>
      <c r="O4607">
        <v>-0.30326690000000001</v>
      </c>
      <c r="P4607">
        <v>0.99338099999999996</v>
      </c>
      <c r="Q4607">
        <v>3.6731260000000002E-2</v>
      </c>
      <c r="R4607">
        <v>-0.10883379999999999</v>
      </c>
      <c r="S4607">
        <v>3.005096</v>
      </c>
      <c r="T4607">
        <v>-0.2834892</v>
      </c>
      <c r="U4607">
        <v>-0.2335815</v>
      </c>
      <c r="V4607">
        <v>-0.19809749999999901</v>
      </c>
      <c r="W4607">
        <v>4.8034599999999997E-2</v>
      </c>
      <c r="X4607">
        <v>0.9790046</v>
      </c>
      <c r="Y4607">
        <v>-0.2262477</v>
      </c>
      <c r="Z4607">
        <v>3.8710080000000001E-2</v>
      </c>
      <c r="AA4607">
        <v>0.97330030000000001</v>
      </c>
      <c r="AB4607">
        <v>24</v>
      </c>
      <c r="AC4607">
        <v>11.7074999999999</v>
      </c>
      <c r="AD4607">
        <v>-1.1149171721273901</v>
      </c>
      <c r="AE4607">
        <v>-0.88633000000000095</v>
      </c>
      <c r="AF4607">
        <v>-2.6820632581966701</v>
      </c>
      <c r="AG4607">
        <v>-1.1149171721273901</v>
      </c>
      <c r="AH4607">
        <v>11.3227567264402</v>
      </c>
      <c r="AI4607">
        <v>95.473118922834502</v>
      </c>
      <c r="AJ4607">
        <v>103.32624523966901</v>
      </c>
      <c r="AK4607">
        <v>11.689367968706501</v>
      </c>
    </row>
    <row r="4608" spans="1:37" x14ac:dyDescent="0.2">
      <c r="A4608" t="str">
        <f>"20200111154155831"</f>
        <v>20200111154155831</v>
      </c>
      <c r="B4608" t="str">
        <f>"1578728515820249"</f>
        <v>1578728515820249</v>
      </c>
      <c r="C4608" t="s">
        <v>37</v>
      </c>
      <c r="D4608">
        <v>5.6186730000000003</v>
      </c>
      <c r="E4608">
        <v>0.4860024</v>
      </c>
      <c r="F4608" t="s">
        <v>39</v>
      </c>
      <c r="G4608">
        <v>-272.12560000000002</v>
      </c>
      <c r="H4608" s="1">
        <v>-1.2461349999999999E-7</v>
      </c>
      <c r="I4608">
        <v>-60.646549999999998</v>
      </c>
      <c r="J4608">
        <v>-283.83640000000003</v>
      </c>
      <c r="K4608">
        <v>1.1148940000000001</v>
      </c>
      <c r="L4608">
        <v>-59.786960000000001</v>
      </c>
      <c r="M4608">
        <v>0.95374639999999999</v>
      </c>
      <c r="N4608">
        <v>0</v>
      </c>
      <c r="O4608">
        <v>-0.3003017</v>
      </c>
      <c r="P4608">
        <v>0.99355419999999905</v>
      </c>
      <c r="Q4608">
        <v>3.6827220000000001E-2</v>
      </c>
      <c r="R4608">
        <v>-0.107209999999999</v>
      </c>
      <c r="S4608">
        <v>3.005646</v>
      </c>
      <c r="T4608">
        <v>-0.28349179999999902</v>
      </c>
      <c r="U4608">
        <v>-0.22653200000000001</v>
      </c>
      <c r="V4608">
        <v>-0.19664889999999999</v>
      </c>
      <c r="W4608">
        <v>4.8157480000000003E-2</v>
      </c>
      <c r="X4608">
        <v>0.97929059999999901</v>
      </c>
      <c r="Y4608">
        <v>-0.225518</v>
      </c>
      <c r="Z4608">
        <v>3.840826E-2</v>
      </c>
      <c r="AA4608">
        <v>0.97348159999999895</v>
      </c>
      <c r="AB4608">
        <v>24</v>
      </c>
      <c r="AC4608">
        <v>11.710800000000001</v>
      </c>
      <c r="AD4608">
        <v>-1.1148941246135</v>
      </c>
      <c r="AE4608">
        <v>-0.85958999999999697</v>
      </c>
      <c r="AF4608">
        <v>-2.6730963913111001</v>
      </c>
      <c r="AG4608">
        <v>-1.1148941246135</v>
      </c>
      <c r="AH4608">
        <v>11.326231771728899</v>
      </c>
      <c r="AI4608">
        <v>95.472390126730204</v>
      </c>
      <c r="AJ4608">
        <v>103.27934276147801</v>
      </c>
      <c r="AK4608">
        <v>11.690678311084399</v>
      </c>
    </row>
    <row r="4609" spans="1:37" x14ac:dyDescent="0.2">
      <c r="A4609" t="str">
        <f>"20200111154155843"</f>
        <v>20200111154155843</v>
      </c>
      <c r="B4609" t="str">
        <f>"1578728515840745"</f>
        <v>1578728515840745</v>
      </c>
      <c r="C4609" t="s">
        <v>37</v>
      </c>
      <c r="D4609">
        <v>5.4165349999999997</v>
      </c>
      <c r="E4609">
        <v>0.48559029999999997</v>
      </c>
      <c r="F4609" t="s">
        <v>39</v>
      </c>
      <c r="G4609">
        <v>-271.94929999999999</v>
      </c>
      <c r="H4609" s="1">
        <v>-5.1221429999999997E-8</v>
      </c>
      <c r="I4609">
        <v>-60.656640000000003</v>
      </c>
      <c r="J4609">
        <v>-283.71809999999999</v>
      </c>
      <c r="K4609">
        <v>1.11487</v>
      </c>
      <c r="L4609">
        <v>-59.820590000000003</v>
      </c>
      <c r="M4609">
        <v>0.95474490000000001</v>
      </c>
      <c r="N4609">
        <v>0</v>
      </c>
      <c r="O4609">
        <v>-0.29711199999999999</v>
      </c>
      <c r="P4609">
        <v>0.99377320000000002</v>
      </c>
      <c r="Q4609">
        <v>3.6911359999999997E-2</v>
      </c>
      <c r="R4609">
        <v>-0.1051329</v>
      </c>
      <c r="S4609">
        <v>3.006195</v>
      </c>
      <c r="T4609">
        <v>-0.28195209999999998</v>
      </c>
      <c r="U4609">
        <v>-0.2199402</v>
      </c>
      <c r="V4609">
        <v>-0.19541919999999999</v>
      </c>
      <c r="W4609">
        <v>4.8266549999999998E-2</v>
      </c>
      <c r="X4609">
        <v>0.97953129999999999</v>
      </c>
      <c r="Y4609">
        <v>-0.22444139999999899</v>
      </c>
      <c r="Z4609">
        <v>3.7862960000000001E-2</v>
      </c>
      <c r="AA4609">
        <v>0.9737517</v>
      </c>
      <c r="AB4609">
        <v>24</v>
      </c>
      <c r="AC4609">
        <v>11.768800000000001</v>
      </c>
      <c r="AD4609">
        <v>-1.11487005122143</v>
      </c>
      <c r="AE4609">
        <v>-0.83604999999999996</v>
      </c>
      <c r="AF4609">
        <v>-2.6748060054851499</v>
      </c>
      <c r="AG4609">
        <v>-1.11487005122143</v>
      </c>
      <c r="AH4609">
        <v>11.384027299154599</v>
      </c>
      <c r="AI4609">
        <v>95.4459234912471</v>
      </c>
      <c r="AJ4609">
        <v>103.222450597037</v>
      </c>
      <c r="AK4609">
        <v>11.747067716923601</v>
      </c>
    </row>
    <row r="4610" spans="1:37" x14ac:dyDescent="0.2">
      <c r="A4610" t="str">
        <f>"20200111154155853"</f>
        <v>20200111154155853</v>
      </c>
      <c r="B4610" t="str">
        <f>"1578728515850504"</f>
        <v>1578728515850504</v>
      </c>
      <c r="C4610" t="s">
        <v>37</v>
      </c>
      <c r="D4610">
        <v>5.3521589999999897</v>
      </c>
      <c r="E4610">
        <v>0.48543999999999998</v>
      </c>
      <c r="F4610" t="s">
        <v>39</v>
      </c>
      <c r="G4610">
        <v>-271.70400000000001</v>
      </c>
      <c r="H4610" s="1">
        <v>5.2786109999999903E-8</v>
      </c>
      <c r="I4610">
        <v>-60.662039999999998</v>
      </c>
      <c r="J4610">
        <v>-283.6069</v>
      </c>
      <c r="K4610">
        <v>1.1148450000000001</v>
      </c>
      <c r="L4610">
        <v>-59.8514699999999</v>
      </c>
      <c r="M4610">
        <v>0.95566379999999995</v>
      </c>
      <c r="N4610">
        <v>0</v>
      </c>
      <c r="O4610">
        <v>-0.29414319999999999</v>
      </c>
      <c r="P4610">
        <v>0.99395849999999997</v>
      </c>
      <c r="Q4610">
        <v>3.6954519999999998E-2</v>
      </c>
      <c r="R4610">
        <v>-0.10334839999999899</v>
      </c>
      <c r="S4610">
        <v>3.0069270000000001</v>
      </c>
      <c r="T4610">
        <v>-0.27903470000000002</v>
      </c>
      <c r="U4610">
        <v>-0.21060180000000001</v>
      </c>
      <c r="V4610">
        <v>-0.1941292</v>
      </c>
      <c r="W4610">
        <v>4.8335139999999999E-2</v>
      </c>
      <c r="X4610">
        <v>0.9797844</v>
      </c>
      <c r="Y4610">
        <v>-0.22449769999999999</v>
      </c>
      <c r="Z4610">
        <v>3.7210210000000001E-2</v>
      </c>
      <c r="AA4610">
        <v>0.97376390000000002</v>
      </c>
      <c r="AB4610">
        <v>24</v>
      </c>
      <c r="AC4610">
        <v>11.902899999999899</v>
      </c>
      <c r="AD4610">
        <v>-1.1148449472138899</v>
      </c>
      <c r="AE4610">
        <v>-0.810570000000012</v>
      </c>
      <c r="AF4610">
        <v>-2.7031748061000198</v>
      </c>
      <c r="AG4610">
        <v>-1.1148449472138899</v>
      </c>
      <c r="AH4610">
        <v>11.5141357949213</v>
      </c>
      <c r="AI4610">
        <v>95.384856208639306</v>
      </c>
      <c r="AJ4610">
        <v>103.212067595593</v>
      </c>
      <c r="AK4610">
        <v>11.879619370693201</v>
      </c>
    </row>
    <row r="4611" spans="1:37" x14ac:dyDescent="0.2">
      <c r="A4611" t="str">
        <f>"20200111154155866"</f>
        <v>20200111154155866</v>
      </c>
      <c r="B4611" t="str">
        <f>"1578728515860265"</f>
        <v>1578728515860265</v>
      </c>
      <c r="C4611" t="s">
        <v>37</v>
      </c>
      <c r="D4611">
        <v>5.3876689999999998</v>
      </c>
      <c r="E4611">
        <v>0.48525170000000001</v>
      </c>
      <c r="F4611" t="s">
        <v>39</v>
      </c>
      <c r="G4611">
        <v>-271.53930000000003</v>
      </c>
      <c r="H4611" s="1">
        <v>1.2139530000000001E-7</v>
      </c>
      <c r="I4611">
        <v>-60.671329999999998</v>
      </c>
      <c r="J4611">
        <v>-283.48989999999998</v>
      </c>
      <c r="K4611">
        <v>1.1148180000000001</v>
      </c>
      <c r="L4611">
        <v>-59.88391</v>
      </c>
      <c r="M4611">
        <v>0.95661859999999999</v>
      </c>
      <c r="N4611">
        <v>0</v>
      </c>
      <c r="O4611">
        <v>-0.29102280000000003</v>
      </c>
      <c r="P4611">
        <v>0.9941989</v>
      </c>
      <c r="Q4611">
        <v>3.6895629999999999E-2</v>
      </c>
      <c r="R4611">
        <v>-0.1010301</v>
      </c>
      <c r="S4611">
        <v>3.0073240000000001</v>
      </c>
      <c r="T4611">
        <v>-0.27782689999999999</v>
      </c>
      <c r="U4611">
        <v>-0.2043152</v>
      </c>
      <c r="V4611">
        <v>-0.19321240000000001</v>
      </c>
      <c r="W4611">
        <v>4.8297510000000002E-2</v>
      </c>
      <c r="X4611">
        <v>0.97996749999999899</v>
      </c>
      <c r="Y4611">
        <v>-0.22338949999999999</v>
      </c>
      <c r="Z4611">
        <v>3.6722659999999997E-2</v>
      </c>
      <c r="AA4611">
        <v>0.97403719999999905</v>
      </c>
      <c r="AB4611">
        <v>24</v>
      </c>
      <c r="AC4611">
        <v>11.9505999999999</v>
      </c>
      <c r="AD4611">
        <v>-1.1148178786047001</v>
      </c>
      <c r="AE4611">
        <v>-0.78742000000000401</v>
      </c>
      <c r="AF4611">
        <v>-2.7014834834850001</v>
      </c>
      <c r="AG4611">
        <v>-1.1148178786047001</v>
      </c>
      <c r="AH4611">
        <v>11.562229718343101</v>
      </c>
      <c r="AI4611">
        <v>95.363788146764193</v>
      </c>
      <c r="AJ4611">
        <v>103.151079977042</v>
      </c>
      <c r="AK4611">
        <v>11.9258537628857</v>
      </c>
    </row>
    <row r="4612" spans="1:37" x14ac:dyDescent="0.2">
      <c r="A4612" t="str">
        <f>"20200111154155875"</f>
        <v>20200111154155875</v>
      </c>
      <c r="B4612" t="str">
        <f>"1578728515871000"</f>
        <v>1578728515871000</v>
      </c>
      <c r="C4612" t="s">
        <v>37</v>
      </c>
      <c r="D4612">
        <v>5.3682919999999896</v>
      </c>
      <c r="E4612">
        <v>0.48511300000000002</v>
      </c>
      <c r="F4612" t="s">
        <v>39</v>
      </c>
      <c r="G4612">
        <v>-271.38299999999998</v>
      </c>
      <c r="H4612" s="1">
        <v>1.879562E-7</v>
      </c>
      <c r="I4612">
        <v>-60.673499999999997</v>
      </c>
      <c r="J4612">
        <v>-283.37630000000001</v>
      </c>
      <c r="K4612">
        <v>1.1147879999999999</v>
      </c>
      <c r="L4612">
        <v>-59.914830000000002</v>
      </c>
      <c r="M4612">
        <v>0.95752789999999999</v>
      </c>
      <c r="N4612">
        <v>0</v>
      </c>
      <c r="O4612">
        <v>-0.28801690000000002</v>
      </c>
      <c r="P4612">
        <v>0.99443579999999998</v>
      </c>
      <c r="Q4612">
        <v>3.6558029999999998E-2</v>
      </c>
      <c r="R4612">
        <v>-9.8797389999999999E-2</v>
      </c>
      <c r="S4612">
        <v>3.0078429999999998</v>
      </c>
      <c r="T4612">
        <v>-0.27696679999999901</v>
      </c>
      <c r="U4612">
        <v>-0.19616700000000001</v>
      </c>
      <c r="V4612">
        <v>-0.19233210000000001</v>
      </c>
      <c r="W4612">
        <v>4.7980299999999997E-2</v>
      </c>
      <c r="X4612">
        <v>0.98015620000000003</v>
      </c>
      <c r="Y4612">
        <v>-0.22299469999999999</v>
      </c>
      <c r="Z4612">
        <v>3.6325629999999998E-2</v>
      </c>
      <c r="AA4612">
        <v>0.97414259999999997</v>
      </c>
      <c r="AB4612">
        <v>24</v>
      </c>
      <c r="AC4612">
        <v>11.9933</v>
      </c>
      <c r="AD4612">
        <v>-1.1147878120438</v>
      </c>
      <c r="AE4612">
        <v>-0.75866999999999496</v>
      </c>
      <c r="AF4612">
        <v>-2.70480391311487</v>
      </c>
      <c r="AG4612">
        <v>-1.1147878120438</v>
      </c>
      <c r="AH4612">
        <v>11.6036664966497</v>
      </c>
      <c r="AI4612">
        <v>95.3452465604515</v>
      </c>
      <c r="AJ4612">
        <v>103.121292590829</v>
      </c>
      <c r="AK4612">
        <v>11.966778691016</v>
      </c>
    </row>
    <row r="4613" spans="1:37" x14ac:dyDescent="0.2">
      <c r="A4613" t="str">
        <f>"20200111154155888"</f>
        <v>20200111154155888</v>
      </c>
      <c r="B4613" t="str">
        <f>"1578728515880760"</f>
        <v>1578728515880760</v>
      </c>
      <c r="C4613" t="s">
        <v>37</v>
      </c>
      <c r="D4613">
        <v>5.3373429999999997</v>
      </c>
      <c r="E4613">
        <v>0.48497499999999999</v>
      </c>
      <c r="F4613" t="s">
        <v>39</v>
      </c>
      <c r="G4613">
        <v>-271.2724</v>
      </c>
      <c r="H4613" s="1">
        <v>2.352986E-7</v>
      </c>
      <c r="I4613">
        <v>-60.674030000000002</v>
      </c>
      <c r="J4613">
        <v>-283.25979999999998</v>
      </c>
      <c r="K4613">
        <v>1.1147549999999999</v>
      </c>
      <c r="L4613">
        <v>-59.946259999999903</v>
      </c>
      <c r="M4613">
        <v>0.95844609999999997</v>
      </c>
      <c r="N4613">
        <v>0</v>
      </c>
      <c r="O4613">
        <v>-0.2849469</v>
      </c>
      <c r="P4613">
        <v>0.99470539999999996</v>
      </c>
      <c r="Q4613">
        <v>3.6059979999999998E-2</v>
      </c>
      <c r="R4613">
        <v>-9.6233659999999999E-2</v>
      </c>
      <c r="S4613">
        <v>3.0082399999999998</v>
      </c>
      <c r="T4613">
        <v>-0.27706409999999998</v>
      </c>
      <c r="U4613">
        <v>-0.1886902</v>
      </c>
      <c r="V4613">
        <v>-0.19171389999999999</v>
      </c>
      <c r="W4613">
        <v>4.749925E-2</v>
      </c>
      <c r="X4613">
        <v>0.98030079999999997</v>
      </c>
      <c r="Y4613">
        <v>-0.22230520000000001</v>
      </c>
      <c r="Z4613">
        <v>3.6035810000000001E-2</v>
      </c>
      <c r="AA4613">
        <v>0.97431089999999998</v>
      </c>
      <c r="AB4613">
        <v>24</v>
      </c>
      <c r="AC4613">
        <v>11.9873999999999</v>
      </c>
      <c r="AD4613">
        <v>-1.1147547647014</v>
      </c>
      <c r="AE4613">
        <v>-0.72777000000000602</v>
      </c>
      <c r="AF4613">
        <v>-2.695274677849</v>
      </c>
      <c r="AG4613">
        <v>-1.1147547647014</v>
      </c>
      <c r="AH4613">
        <v>11.597814536539699</v>
      </c>
      <c r="AI4613">
        <v>95.348596881368493</v>
      </c>
      <c r="AJ4613">
        <v>103.08302779351401</v>
      </c>
      <c r="AK4613">
        <v>11.9589500290974</v>
      </c>
    </row>
    <row r="4614" spans="1:37" x14ac:dyDescent="0.2">
      <c r="A4614" t="str">
        <f>"20200111154155899"</f>
        <v>20200111154155899</v>
      </c>
      <c r="B4614" t="str">
        <f>"1578728515890521"</f>
        <v>1578728515890521</v>
      </c>
      <c r="C4614" t="s">
        <v>37</v>
      </c>
      <c r="D4614">
        <v>5.3398589999999997</v>
      </c>
      <c r="E4614">
        <v>0.4848732</v>
      </c>
      <c r="F4614" t="s">
        <v>39</v>
      </c>
      <c r="G4614">
        <v>-271.19049999999999</v>
      </c>
      <c r="H4614" s="1">
        <v>2.7143469999999999E-7</v>
      </c>
      <c r="I4614">
        <v>-60.669530000000002</v>
      </c>
      <c r="J4614">
        <v>-283.13549999999998</v>
      </c>
      <c r="K4614">
        <v>1.1147209999999901</v>
      </c>
      <c r="L4614">
        <v>-59.979369999999903</v>
      </c>
      <c r="M4614">
        <v>0.95940800000000004</v>
      </c>
      <c r="N4614">
        <v>0</v>
      </c>
      <c r="O4614">
        <v>-0.281692</v>
      </c>
      <c r="P4614">
        <v>0.99498209999999998</v>
      </c>
      <c r="Q4614">
        <v>3.5680969999999999E-2</v>
      </c>
      <c r="R4614">
        <v>-9.3477519999999995E-2</v>
      </c>
      <c r="S4614">
        <v>3.0086360000000001</v>
      </c>
      <c r="T4614">
        <v>-0.27788649999999998</v>
      </c>
      <c r="U4614">
        <v>-0.18029790000000001</v>
      </c>
      <c r="V4614">
        <v>-0.19109870000000001</v>
      </c>
      <c r="W4614">
        <v>4.713821E-2</v>
      </c>
      <c r="X4614">
        <v>0.98043829999999998</v>
      </c>
      <c r="Y4614">
        <v>-0.22171569999999999</v>
      </c>
      <c r="Z4614">
        <v>3.5827280000000003E-2</v>
      </c>
      <c r="AA4614">
        <v>0.97445300000000001</v>
      </c>
      <c r="AB4614">
        <v>24</v>
      </c>
      <c r="AC4614">
        <v>11.944999999999901</v>
      </c>
      <c r="AD4614">
        <v>-1.11472072856529</v>
      </c>
      <c r="AE4614">
        <v>-0.69016000000000499</v>
      </c>
      <c r="AF4614">
        <v>-2.67965812870065</v>
      </c>
      <c r="AG4614">
        <v>-1.11472072856529</v>
      </c>
      <c r="AH4614">
        <v>11.555326040677899</v>
      </c>
      <c r="AI4614">
        <v>95.368570055345501</v>
      </c>
      <c r="AJ4614">
        <v>103.056010599411</v>
      </c>
      <c r="AK4614">
        <v>11.914223847812099</v>
      </c>
    </row>
    <row r="4615" spans="1:37" x14ac:dyDescent="0.2">
      <c r="A4615" t="str">
        <f>"20200111154155911"</f>
        <v>20200111154155911</v>
      </c>
      <c r="B4615" t="str">
        <f>"1578728515900282"</f>
        <v>1578728515900282</v>
      </c>
      <c r="C4615" t="s">
        <v>37</v>
      </c>
      <c r="D4615">
        <v>5.4379119999999999</v>
      </c>
      <c r="E4615">
        <v>0.48477150000000002</v>
      </c>
      <c r="F4615" t="s">
        <v>39</v>
      </c>
      <c r="G4615">
        <v>-271.09179999999998</v>
      </c>
      <c r="H4615" s="1">
        <v>3.14488599999999E-7</v>
      </c>
      <c r="I4615">
        <v>-60.66621</v>
      </c>
      <c r="J4615">
        <v>-283.01560000000001</v>
      </c>
      <c r="K4615">
        <v>1.114689</v>
      </c>
      <c r="L4615">
        <v>-60.010800000000003</v>
      </c>
      <c r="M4615">
        <v>0.96031739999999999</v>
      </c>
      <c r="N4615">
        <v>0</v>
      </c>
      <c r="O4615">
        <v>-0.27857579999999998</v>
      </c>
      <c r="P4615">
        <v>0.99527199999999905</v>
      </c>
      <c r="Q4615">
        <v>3.5147329999999997E-2</v>
      </c>
      <c r="R4615">
        <v>-9.054624E-2</v>
      </c>
      <c r="S4615">
        <v>3.008972</v>
      </c>
      <c r="T4615">
        <v>-0.27850039999999998</v>
      </c>
      <c r="U4615">
        <v>-0.17160029999999901</v>
      </c>
      <c r="V4615">
        <v>-0.1908</v>
      </c>
      <c r="W4615">
        <v>4.6618079999999999E-2</v>
      </c>
      <c r="X4615">
        <v>0.98052139999999999</v>
      </c>
      <c r="Y4615">
        <v>-0.22136939999999999</v>
      </c>
      <c r="Z4615">
        <v>3.5614359999999998E-2</v>
      </c>
      <c r="AA4615">
        <v>0.9745395</v>
      </c>
      <c r="AB4615">
        <v>24</v>
      </c>
      <c r="AC4615">
        <v>11.9238</v>
      </c>
      <c r="AD4615">
        <v>-1.1146886855114</v>
      </c>
      <c r="AE4615">
        <v>-0.65540999999999605</v>
      </c>
      <c r="AF4615">
        <v>-2.6692735566417198</v>
      </c>
      <c r="AG4615">
        <v>-1.1146886855114</v>
      </c>
      <c r="AH4615">
        <v>11.533802101643399</v>
      </c>
      <c r="AI4615">
        <v>95.378926003909598</v>
      </c>
      <c r="AJ4615">
        <v>103.030583685515</v>
      </c>
      <c r="AK4615">
        <v>11.8910110211734</v>
      </c>
    </row>
    <row r="4616" spans="1:37" x14ac:dyDescent="0.2">
      <c r="A4616" t="str">
        <f>"20200111154155923"</f>
        <v>20200111154155923</v>
      </c>
      <c r="B4616" t="str">
        <f>"1578728515920777"</f>
        <v>1578728515920777</v>
      </c>
      <c r="C4616" t="s">
        <v>37</v>
      </c>
      <c r="D4616">
        <v>5.3235939999999999</v>
      </c>
      <c r="E4616">
        <v>0.48454380000000002</v>
      </c>
      <c r="F4616" t="s">
        <v>39</v>
      </c>
      <c r="G4616">
        <v>-271.0147</v>
      </c>
      <c r="H4616" s="1">
        <v>3.4941990000000002E-7</v>
      </c>
      <c r="I4616">
        <v>-60.658000000000001</v>
      </c>
      <c r="J4616">
        <v>-282.89210000000003</v>
      </c>
      <c r="K4616">
        <v>1.1146579999999999</v>
      </c>
      <c r="L4616">
        <v>-60.042969999999997</v>
      </c>
      <c r="M4616">
        <v>0.96124080000000001</v>
      </c>
      <c r="N4616">
        <v>0</v>
      </c>
      <c r="O4616">
        <v>-0.27537329999999999</v>
      </c>
      <c r="P4616">
        <v>0.99556060000000002</v>
      </c>
      <c r="Q4616">
        <v>3.4694879999999997E-2</v>
      </c>
      <c r="R4616">
        <v>-8.7495180000000006E-2</v>
      </c>
      <c r="S4616">
        <v>3.009369</v>
      </c>
      <c r="T4616">
        <v>-0.2795202</v>
      </c>
      <c r="U4616">
        <v>-0.16229250000000001</v>
      </c>
      <c r="V4616">
        <v>-0.1905336</v>
      </c>
      <c r="W4616">
        <v>4.6179379999999999E-2</v>
      </c>
      <c r="X4616">
        <v>0.98059390000000002</v>
      </c>
      <c r="Y4616">
        <v>-0.22113099999999999</v>
      </c>
      <c r="Z4616">
        <v>3.5447869999999999E-2</v>
      </c>
      <c r="AA4616">
        <v>0.97459969999999996</v>
      </c>
      <c r="AB4616">
        <v>24</v>
      </c>
      <c r="AC4616">
        <v>11.8774</v>
      </c>
      <c r="AD4616">
        <v>-1.1146576505801</v>
      </c>
      <c r="AE4616">
        <v>-0.61503000000000396</v>
      </c>
      <c r="AF4616">
        <v>-2.6564423103963501</v>
      </c>
      <c r="AG4616">
        <v>-1.1146576505801</v>
      </c>
      <c r="AH4616">
        <v>11.4865854151868</v>
      </c>
      <c r="AI4616">
        <v>95.4009520350359</v>
      </c>
      <c r="AJ4616">
        <v>103.02156954458</v>
      </c>
      <c r="AK4616">
        <v>11.842330510792401</v>
      </c>
    </row>
    <row r="4617" spans="1:37" x14ac:dyDescent="0.2">
      <c r="A4617" t="str">
        <f>"20200111154155934"</f>
        <v>20200111154155934</v>
      </c>
      <c r="B4617" t="str">
        <f>"1578728515930537"</f>
        <v>1578728515930537</v>
      </c>
      <c r="C4617" t="s">
        <v>37</v>
      </c>
      <c r="D4617">
        <v>5.3389110000000004</v>
      </c>
      <c r="E4617">
        <v>0.48432890000000001</v>
      </c>
      <c r="F4617" t="s">
        <v>39</v>
      </c>
      <c r="G4617">
        <v>-270.88159999999999</v>
      </c>
      <c r="H4617" s="1">
        <v>4.0880489999999999E-7</v>
      </c>
      <c r="I4617">
        <v>-60.647599999999997</v>
      </c>
      <c r="J4617">
        <v>-282.77179999999998</v>
      </c>
      <c r="K4617">
        <v>1.114627</v>
      </c>
      <c r="L4617">
        <v>-60.0736699999999</v>
      </c>
      <c r="M4617">
        <v>0.96211829999999998</v>
      </c>
      <c r="N4617">
        <v>0</v>
      </c>
      <c r="O4617">
        <v>-0.27229059999999999</v>
      </c>
      <c r="P4617">
        <v>0.99581889999999995</v>
      </c>
      <c r="Q4617">
        <v>3.437494E-2</v>
      </c>
      <c r="R4617">
        <v>-8.463524E-2</v>
      </c>
      <c r="S4617">
        <v>3.0097959999999899</v>
      </c>
      <c r="T4617">
        <v>-0.27933029999999998</v>
      </c>
      <c r="U4617">
        <v>-0.15151979999999901</v>
      </c>
      <c r="V4617">
        <v>-0.19020290000000001</v>
      </c>
      <c r="W4617">
        <v>4.5873570000000002E-2</v>
      </c>
      <c r="X4617">
        <v>0.98067249999999995</v>
      </c>
      <c r="Y4617">
        <v>-0.22150610000000001</v>
      </c>
      <c r="Z4617">
        <v>3.5166860000000001E-2</v>
      </c>
      <c r="AA4617">
        <v>0.97452469999999902</v>
      </c>
      <c r="AB4617">
        <v>24</v>
      </c>
      <c r="AC4617">
        <v>11.890199999999901</v>
      </c>
      <c r="AD4617">
        <v>-1.1146265911951001</v>
      </c>
      <c r="AE4617">
        <v>-0.57393000000000405</v>
      </c>
      <c r="AF4617">
        <v>-2.66230971128758</v>
      </c>
      <c r="AG4617">
        <v>-1.1146265911951001</v>
      </c>
      <c r="AH4617">
        <v>11.4963417457188</v>
      </c>
      <c r="AI4617">
        <v>95.3958760132968</v>
      </c>
      <c r="AJ4617">
        <v>103.038651811367</v>
      </c>
      <c r="AK4617">
        <v>11.853107565991801</v>
      </c>
    </row>
    <row r="4618" spans="1:37" x14ac:dyDescent="0.2">
      <c r="A4618" t="str">
        <f>"20200111154155946"</f>
        <v>20200111154155946</v>
      </c>
      <c r="B4618" t="str">
        <f>"1578728515940296"</f>
        <v>1578728515940296</v>
      </c>
      <c r="C4618" t="s">
        <v>37</v>
      </c>
      <c r="D4618">
        <v>5.3595300000000003</v>
      </c>
      <c r="E4618">
        <v>0.48415999999999998</v>
      </c>
      <c r="F4618" t="s">
        <v>39</v>
      </c>
      <c r="G4618">
        <v>-270.82499999999999</v>
      </c>
      <c r="H4618" s="1">
        <v>4.3590829999999901E-7</v>
      </c>
      <c r="I4618">
        <v>-60.634909999999998</v>
      </c>
      <c r="J4618">
        <v>-282.66039999999998</v>
      </c>
      <c r="K4618">
        <v>1.1146020000000001</v>
      </c>
      <c r="L4618">
        <v>-60.101930000000003</v>
      </c>
      <c r="M4618">
        <v>0.96292</v>
      </c>
      <c r="N4618">
        <v>0</v>
      </c>
      <c r="O4618">
        <v>-0.26944259999999998</v>
      </c>
      <c r="P4618">
        <v>0.99607469999999998</v>
      </c>
      <c r="Q4618">
        <v>3.4203619999999997E-2</v>
      </c>
      <c r="R4618">
        <v>-8.1642790000000007E-2</v>
      </c>
      <c r="S4618">
        <v>3.010284</v>
      </c>
      <c r="T4618">
        <v>-0.280858</v>
      </c>
      <c r="U4618">
        <v>-0.1414185</v>
      </c>
      <c r="V4618">
        <v>-0.19024449999999901</v>
      </c>
      <c r="W4618">
        <v>4.5711149999999999E-2</v>
      </c>
      <c r="X4618">
        <v>0.98067190000000004</v>
      </c>
      <c r="Y4618">
        <v>-0.22187950000000001</v>
      </c>
      <c r="Z4618">
        <v>3.5119369999999997E-2</v>
      </c>
      <c r="AA4618">
        <v>0.97444140000000001</v>
      </c>
      <c r="AB4618">
        <v>24</v>
      </c>
      <c r="AC4618">
        <v>11.8353999999999</v>
      </c>
      <c r="AD4618">
        <v>-1.1146015640917</v>
      </c>
      <c r="AE4618">
        <v>-0.53297999999999401</v>
      </c>
      <c r="AF4618">
        <v>-2.65251492594928</v>
      </c>
      <c r="AG4618">
        <v>-1.1146015640917</v>
      </c>
      <c r="AH4618">
        <v>11.439967435880501</v>
      </c>
      <c r="AI4618">
        <v>95.421849107044693</v>
      </c>
      <c r="AJ4618">
        <v>103.054148621509</v>
      </c>
      <c r="AK4618">
        <v>11.7962293557334</v>
      </c>
    </row>
    <row r="4619" spans="1:37" x14ac:dyDescent="0.2">
      <c r="A4619" t="str">
        <f>"20200111154155955"</f>
        <v>20200111154155955</v>
      </c>
      <c r="B4619" t="str">
        <f>"1578728515951032"</f>
        <v>1578728515951032</v>
      </c>
      <c r="C4619" t="s">
        <v>37</v>
      </c>
      <c r="D4619">
        <v>5.3609720000000003</v>
      </c>
      <c r="E4619">
        <v>0.48401819999999901</v>
      </c>
      <c r="F4619" t="s">
        <v>39</v>
      </c>
      <c r="G4619">
        <v>-270.76179999999999</v>
      </c>
      <c r="H4619" s="1">
        <v>4.6610760000000001E-7</v>
      </c>
      <c r="I4619">
        <v>-60.621139999999997</v>
      </c>
      <c r="J4619">
        <v>-282.55329999999998</v>
      </c>
      <c r="K4619">
        <v>1.114576</v>
      </c>
      <c r="L4619">
        <v>-60.128630000000001</v>
      </c>
      <c r="M4619">
        <v>0.96367510000000001</v>
      </c>
      <c r="N4619">
        <v>0</v>
      </c>
      <c r="O4619">
        <v>-0.26672979999999902</v>
      </c>
      <c r="P4619">
        <v>0.99625959999999902</v>
      </c>
      <c r="Q4619">
        <v>3.4237120000000003E-2</v>
      </c>
      <c r="R4619">
        <v>-7.9340040000000001E-2</v>
      </c>
      <c r="S4619">
        <v>3.010742</v>
      </c>
      <c r="T4619">
        <v>-0.28203070000000002</v>
      </c>
      <c r="U4619">
        <v>-0.1313782</v>
      </c>
      <c r="V4619">
        <v>-0.1897461</v>
      </c>
      <c r="W4619">
        <v>4.5759729999999998E-2</v>
      </c>
      <c r="X4619">
        <v>0.98076629999999998</v>
      </c>
      <c r="Y4619">
        <v>-0.22237609999999999</v>
      </c>
      <c r="Z4619">
        <v>3.504322E-2</v>
      </c>
      <c r="AA4619">
        <v>0.97433099999999995</v>
      </c>
      <c r="AB4619">
        <v>24</v>
      </c>
      <c r="AC4619">
        <v>11.7914999999999</v>
      </c>
      <c r="AD4619">
        <v>-1.1145755338923999</v>
      </c>
      <c r="AE4619">
        <v>-0.492510000000002</v>
      </c>
      <c r="AF4619">
        <v>-2.64716210025898</v>
      </c>
      <c r="AG4619">
        <v>-1.1145755338923999</v>
      </c>
      <c r="AH4619">
        <v>11.393983641598201</v>
      </c>
      <c r="AI4619">
        <v>95.442917814253406</v>
      </c>
      <c r="AJ4619">
        <v>103.07948157083101</v>
      </c>
      <c r="AK4619">
        <v>11.7504301636496</v>
      </c>
    </row>
    <row r="4620" spans="1:37" x14ac:dyDescent="0.2">
      <c r="A4620" t="str">
        <f>"20200111154155967"</f>
        <v>20200111154155967</v>
      </c>
      <c r="B4620" t="str">
        <f>"1578728515960793"</f>
        <v>1578728515960793</v>
      </c>
      <c r="C4620" t="s">
        <v>37</v>
      </c>
      <c r="D4620">
        <v>5.3109209999999996</v>
      </c>
      <c r="E4620">
        <v>0.48389099999999902</v>
      </c>
      <c r="F4620" t="s">
        <v>39</v>
      </c>
      <c r="G4620">
        <v>-270.66419999999999</v>
      </c>
      <c r="H4620" s="1">
        <v>5.0898429999999897E-7</v>
      </c>
      <c r="I4620">
        <v>-60.616639999999997</v>
      </c>
      <c r="J4620">
        <v>-282.43599999999998</v>
      </c>
      <c r="K4620">
        <v>1.1145449999999999</v>
      </c>
      <c r="L4620">
        <v>-60.157649999999997</v>
      </c>
      <c r="M4620">
        <v>0.96449010000000002</v>
      </c>
      <c r="N4620">
        <v>0</v>
      </c>
      <c r="O4620">
        <v>-0.26376769999999999</v>
      </c>
      <c r="P4620">
        <v>0.99649089999999996</v>
      </c>
      <c r="Q4620">
        <v>3.4818590000000003E-2</v>
      </c>
      <c r="R4620">
        <v>-7.6115849999999999E-2</v>
      </c>
      <c r="S4620">
        <v>3.011139</v>
      </c>
      <c r="T4620">
        <v>-0.28228520000000001</v>
      </c>
      <c r="U4620">
        <v>-0.1235962</v>
      </c>
      <c r="V4620">
        <v>-0.18990319999999999</v>
      </c>
      <c r="W4620">
        <v>4.6348479999999997E-2</v>
      </c>
      <c r="X4620">
        <v>0.98070820000000003</v>
      </c>
      <c r="Y4620">
        <v>-0.22191159999999999</v>
      </c>
      <c r="Z4620">
        <v>3.4783960000000003E-2</v>
      </c>
      <c r="AA4620">
        <v>0.97444619999999904</v>
      </c>
      <c r="AB4620">
        <v>24</v>
      </c>
      <c r="AC4620">
        <v>11.771799999999899</v>
      </c>
      <c r="AD4620">
        <v>-1.1145444910157001</v>
      </c>
      <c r="AE4620">
        <v>-0.458990000000007</v>
      </c>
      <c r="AF4620">
        <v>-2.6389561082816</v>
      </c>
      <c r="AG4620">
        <v>-1.1145444910157001</v>
      </c>
      <c r="AH4620">
        <v>11.3741109787822</v>
      </c>
      <c r="AI4620">
        <v>95.452596116542907</v>
      </c>
      <c r="AJ4620">
        <v>103.062327183866</v>
      </c>
      <c r="AK4620">
        <v>11.729309413667201</v>
      </c>
    </row>
    <row r="4621" spans="1:37" x14ac:dyDescent="0.2">
      <c r="A4621" t="str">
        <f>"20200111154155978"</f>
        <v>20200111154155978</v>
      </c>
      <c r="B4621" t="str">
        <f>"1578728515970552"</f>
        <v>1578728515970552</v>
      </c>
      <c r="C4621" t="s">
        <v>37</v>
      </c>
      <c r="D4621">
        <v>5.2431830000000001</v>
      </c>
      <c r="E4621">
        <v>0.48370439999999998</v>
      </c>
      <c r="F4621" t="s">
        <v>39</v>
      </c>
      <c r="G4621">
        <v>-270.48160000000001</v>
      </c>
      <c r="H4621" s="1">
        <v>5.8965729999999995E-7</v>
      </c>
      <c r="I4621">
        <v>-60.606090000000002</v>
      </c>
      <c r="J4621">
        <v>-282.31470000000002</v>
      </c>
      <c r="K4621">
        <v>1.1145149999999999</v>
      </c>
      <c r="L4621">
        <v>-60.187289999999997</v>
      </c>
      <c r="M4621">
        <v>0.96531719999999899</v>
      </c>
      <c r="N4621">
        <v>0</v>
      </c>
      <c r="O4621">
        <v>-0.26072430000000002</v>
      </c>
      <c r="P4621">
        <v>0.99669089999999905</v>
      </c>
      <c r="Q4621">
        <v>3.5065989999999998E-2</v>
      </c>
      <c r="R4621">
        <v>-7.3333259999999997E-2</v>
      </c>
      <c r="S4621">
        <v>3.011749</v>
      </c>
      <c r="T4621">
        <v>-0.28079320000000002</v>
      </c>
      <c r="U4621">
        <v>-0.1129761</v>
      </c>
      <c r="V4621">
        <v>-0.1895445</v>
      </c>
      <c r="W4621">
        <v>4.6609980000000002E-2</v>
      </c>
      <c r="X4621">
        <v>0.9807652</v>
      </c>
      <c r="Y4621">
        <v>-0.2223096</v>
      </c>
      <c r="Z4621">
        <v>3.434305E-2</v>
      </c>
      <c r="AA4621">
        <v>0.97437109999999905</v>
      </c>
      <c r="AB4621">
        <v>24</v>
      </c>
      <c r="AC4621">
        <v>11.8331</v>
      </c>
      <c r="AD4621">
        <v>-1.1145144103426901</v>
      </c>
      <c r="AE4621">
        <v>-0.41879999999999701</v>
      </c>
      <c r="AF4621">
        <v>-2.6576044083207</v>
      </c>
      <c r="AG4621">
        <v>-1.1145144103426901</v>
      </c>
      <c r="AH4621">
        <v>11.431672374430899</v>
      </c>
      <c r="AI4621">
        <v>95.424609356470299</v>
      </c>
      <c r="AJ4621">
        <v>103.087499251544</v>
      </c>
      <c r="AK4621">
        <v>11.7893230016958</v>
      </c>
    </row>
    <row r="4622" spans="1:37" x14ac:dyDescent="0.2">
      <c r="A4622" t="str">
        <f>"20200111154155989"</f>
        <v>20200111154155989</v>
      </c>
      <c r="B4622" t="str">
        <f>"1578728515980312"</f>
        <v>1578728515980312</v>
      </c>
      <c r="C4622" t="s">
        <v>37</v>
      </c>
      <c r="D4622">
        <v>5.4898369999999996</v>
      </c>
      <c r="E4622">
        <v>0.48370000000000002</v>
      </c>
      <c r="F4622" t="s">
        <v>39</v>
      </c>
      <c r="G4622">
        <v>-270.3614</v>
      </c>
      <c r="H4622" s="1">
        <v>6.4341890000000001E-7</v>
      </c>
      <c r="I4622">
        <v>-60.596240000000002</v>
      </c>
      <c r="J4622">
        <v>-282.2081</v>
      </c>
      <c r="K4622">
        <v>1.114487</v>
      </c>
      <c r="L4622">
        <v>-60.212919999999997</v>
      </c>
      <c r="M4622">
        <v>0.96602980000000005</v>
      </c>
      <c r="N4622">
        <v>0</v>
      </c>
      <c r="O4622">
        <v>-0.25807199999999902</v>
      </c>
      <c r="P4622">
        <v>0.99684919999999999</v>
      </c>
      <c r="Q4622">
        <v>3.5372439999999998E-2</v>
      </c>
      <c r="R4622">
        <v>-7.0997969999999994E-2</v>
      </c>
      <c r="S4622">
        <v>3.0122680000000002</v>
      </c>
      <c r="T4622">
        <v>-0.2808602</v>
      </c>
      <c r="U4622">
        <v>-0.10305789999999999</v>
      </c>
      <c r="V4622">
        <v>-0.18914510000000001</v>
      </c>
      <c r="W4622">
        <v>4.6930060000000003E-2</v>
      </c>
      <c r="X4622">
        <v>0.980827</v>
      </c>
      <c r="Y4622">
        <v>-0.2228511</v>
      </c>
      <c r="Z4622">
        <v>3.4135560000000002E-2</v>
      </c>
      <c r="AA4622">
        <v>0.97425469999999903</v>
      </c>
      <c r="AB4622">
        <v>24</v>
      </c>
      <c r="AC4622">
        <v>11.846699999999901</v>
      </c>
      <c r="AD4622">
        <v>-1.1144863565811001</v>
      </c>
      <c r="AE4622">
        <v>-0.38332000000000399</v>
      </c>
      <c r="AF4622">
        <v>-2.6637022310240401</v>
      </c>
      <c r="AG4622">
        <v>-1.1144863565811001</v>
      </c>
      <c r="AH4622">
        <v>11.443090726140699</v>
      </c>
      <c r="AI4622">
        <v>95.418735412651102</v>
      </c>
      <c r="AJ4622">
        <v>103.103854900385</v>
      </c>
      <c r="AK4622">
        <v>11.801767443110201</v>
      </c>
    </row>
    <row r="4623" spans="1:37" x14ac:dyDescent="0.2">
      <c r="A4623" t="str">
        <f>"20200111154155999"</f>
        <v>20200111154155999</v>
      </c>
      <c r="B4623" t="str">
        <f>"1578728515991049"</f>
        <v>1578728515991049</v>
      </c>
      <c r="C4623" t="s">
        <v>37</v>
      </c>
      <c r="D4623">
        <v>5.5650240000000002</v>
      </c>
      <c r="E4623">
        <v>0.4837399</v>
      </c>
      <c r="F4623" t="s">
        <v>39</v>
      </c>
      <c r="G4623">
        <v>-270.21109999999999</v>
      </c>
      <c r="H4623" s="1">
        <v>7.0812650000000004E-7</v>
      </c>
      <c r="I4623">
        <v>-60.595129999999997</v>
      </c>
      <c r="J4623">
        <v>-282.089</v>
      </c>
      <c r="K4623">
        <v>1.1144559999999999</v>
      </c>
      <c r="L4623">
        <v>-60.24136</v>
      </c>
      <c r="M4623">
        <v>0.96681349999999999</v>
      </c>
      <c r="N4623">
        <v>0</v>
      </c>
      <c r="O4623">
        <v>-0.25512109999999999</v>
      </c>
      <c r="P4623">
        <v>0.99703539999999902</v>
      </c>
      <c r="Q4623">
        <v>3.5668350000000001E-2</v>
      </c>
      <c r="R4623">
        <v>-6.8180959999999999E-2</v>
      </c>
      <c r="S4623">
        <v>3.0125730000000002</v>
      </c>
      <c r="T4623">
        <v>-0.27985870000000002</v>
      </c>
      <c r="U4623">
        <v>-9.5977779999999999E-2</v>
      </c>
      <c r="V4623">
        <v>-0.18891830000000001</v>
      </c>
      <c r="W4623">
        <v>4.7238710000000003E-2</v>
      </c>
      <c r="X4623">
        <v>0.9808559</v>
      </c>
      <c r="Y4623">
        <v>-0.2221958</v>
      </c>
      <c r="Z4623">
        <v>3.371789E-2</v>
      </c>
      <c r="AA4623">
        <v>0.97441889999999998</v>
      </c>
      <c r="AB4623">
        <v>24</v>
      </c>
      <c r="AC4623">
        <v>11.8779</v>
      </c>
      <c r="AD4623">
        <v>-1.11445529187349</v>
      </c>
      <c r="AE4623">
        <v>-0.35377000000000403</v>
      </c>
      <c r="AF4623">
        <v>-2.66508110093385</v>
      </c>
      <c r="AG4623">
        <v>-1.11445529187349</v>
      </c>
      <c r="AH4623">
        <v>11.4741176280173</v>
      </c>
      <c r="AI4623">
        <v>95.404623410517701</v>
      </c>
      <c r="AJ4623">
        <v>103.076172144144</v>
      </c>
      <c r="AK4623">
        <v>11.832161392312001</v>
      </c>
    </row>
    <row r="4624" spans="1:37" x14ac:dyDescent="0.2">
      <c r="A4624" t="str">
        <f>"20200111154156010"</f>
        <v>20200111154156010</v>
      </c>
      <c r="B4624" t="str">
        <f>"1578728516000809"</f>
        <v>1578728516000809</v>
      </c>
      <c r="C4624" t="s">
        <v>37</v>
      </c>
      <c r="D4624">
        <v>5.3300289999999997</v>
      </c>
      <c r="E4624">
        <v>0.48378509999999902</v>
      </c>
      <c r="F4624" t="s">
        <v>39</v>
      </c>
      <c r="G4624">
        <v>-270.02550000000002</v>
      </c>
      <c r="H4624" s="1">
        <v>7.8808780000000002E-7</v>
      </c>
      <c r="I4624">
        <v>-60.593649999999997</v>
      </c>
      <c r="J4624">
        <v>-281.98309999999998</v>
      </c>
      <c r="K4624">
        <v>1.114428</v>
      </c>
      <c r="L4624">
        <v>-60.266240000000003</v>
      </c>
      <c r="M4624">
        <v>0.96749509999999905</v>
      </c>
      <c r="N4624">
        <v>0</v>
      </c>
      <c r="O4624">
        <v>-0.25252409999999997</v>
      </c>
      <c r="P4624">
        <v>0.997185399999999</v>
      </c>
      <c r="Q4624">
        <v>3.5907590000000003E-2</v>
      </c>
      <c r="R4624">
        <v>-6.5816769999999997E-2</v>
      </c>
      <c r="S4624">
        <v>3.012848</v>
      </c>
      <c r="T4624">
        <v>-0.27833330000000001</v>
      </c>
      <c r="U4624">
        <v>-8.7982179999999993E-2</v>
      </c>
      <c r="V4624">
        <v>-0.18860639999999901</v>
      </c>
      <c r="W4624">
        <v>4.7490669999999999E-2</v>
      </c>
      <c r="X4624">
        <v>0.98090379999999999</v>
      </c>
      <c r="Y4624">
        <v>-0.2221978</v>
      </c>
      <c r="Z4624">
        <v>3.3302449999999997E-2</v>
      </c>
      <c r="AA4624">
        <v>0.97443269999999904</v>
      </c>
      <c r="AB4624">
        <v>24</v>
      </c>
      <c r="AC4624">
        <v>11.9575999999999</v>
      </c>
      <c r="AD4624">
        <v>-1.1144272119122001</v>
      </c>
      <c r="AE4624">
        <v>-0.32740999999999298</v>
      </c>
      <c r="AF4624">
        <v>-2.6798052838114499</v>
      </c>
      <c r="AG4624">
        <v>-1.1144272119122001</v>
      </c>
      <c r="AH4624">
        <v>11.5524071334574</v>
      </c>
      <c r="AI4624">
        <v>95.368429106361603</v>
      </c>
      <c r="AJ4624">
        <v>103.05988893336399</v>
      </c>
      <c r="AK4624">
        <v>11.9113985302714</v>
      </c>
    </row>
    <row r="4625" spans="1:37" x14ac:dyDescent="0.2">
      <c r="A4625" t="str">
        <f>"20200111154156021"</f>
        <v>20200111154156021</v>
      </c>
      <c r="B4625" t="str">
        <f>"1578728516010511"</f>
        <v>1578728516010511</v>
      </c>
      <c r="C4625" t="s">
        <v>37</v>
      </c>
      <c r="D4625">
        <v>5.3542959999999997</v>
      </c>
      <c r="E4625">
        <v>0.48382409999999998</v>
      </c>
      <c r="F4625" t="s">
        <v>39</v>
      </c>
      <c r="G4625">
        <v>-269.85230000000001</v>
      </c>
      <c r="H4625" s="1">
        <v>-3.2784769999999899E-6</v>
      </c>
      <c r="I4625">
        <v>-60.593609999999998</v>
      </c>
      <c r="J4625">
        <v>-281.87380000000002</v>
      </c>
      <c r="K4625">
        <v>1.1143959999999999</v>
      </c>
      <c r="L4625">
        <v>-60.291719999999998</v>
      </c>
      <c r="M4625">
        <v>0.96818769999999998</v>
      </c>
      <c r="N4625">
        <v>0</v>
      </c>
      <c r="O4625">
        <v>-0.24985549999999901</v>
      </c>
      <c r="P4625">
        <v>0.9973185</v>
      </c>
      <c r="Q4625">
        <v>3.6282490000000001E-2</v>
      </c>
      <c r="R4625">
        <v>-6.3556799999999997E-2</v>
      </c>
      <c r="S4625">
        <v>3.0130619999999899</v>
      </c>
      <c r="T4625">
        <v>-0.27680519999999997</v>
      </c>
      <c r="U4625">
        <v>-8.1329349999999995E-2</v>
      </c>
      <c r="V4625">
        <v>-0.1881206</v>
      </c>
      <c r="W4625">
        <v>4.7881239999999999E-2</v>
      </c>
      <c r="X4625">
        <v>0.98097809999999896</v>
      </c>
      <c r="Y4625">
        <v>-0.22169710000000001</v>
      </c>
      <c r="Z4625">
        <v>3.2859649999999997E-2</v>
      </c>
      <c r="AA4625">
        <v>0.97456180000000003</v>
      </c>
      <c r="AB4625">
        <v>24</v>
      </c>
      <c r="AC4625">
        <v>12.0215</v>
      </c>
      <c r="AD4625">
        <v>-1.114399278477</v>
      </c>
      <c r="AE4625">
        <v>-0.30188999999999999</v>
      </c>
      <c r="AF4625">
        <v>-2.6885134082741802</v>
      </c>
      <c r="AG4625">
        <v>-1.114399278477</v>
      </c>
      <c r="AH4625">
        <v>11.6158235750089</v>
      </c>
      <c r="AI4625">
        <v>95.339760277176694</v>
      </c>
      <c r="AJ4625">
        <v>103.031789624864</v>
      </c>
      <c r="AK4625">
        <v>11.9748631484486</v>
      </c>
    </row>
    <row r="4626" spans="1:37" x14ac:dyDescent="0.2">
      <c r="A4626" t="str">
        <f>"20200111154156033"</f>
        <v>20200111154156033</v>
      </c>
      <c r="B4626" t="str">
        <f>"1578728516031006"</f>
        <v>1578728516031006</v>
      </c>
      <c r="C4626" t="s">
        <v>37</v>
      </c>
      <c r="D4626">
        <v>5.4517470000000001</v>
      </c>
      <c r="E4626">
        <v>0.48387029999999998</v>
      </c>
      <c r="F4626" t="s">
        <v>52</v>
      </c>
      <c r="G4626">
        <v>-269.66750000000002</v>
      </c>
      <c r="H4626" s="1">
        <v>-3.2089019999999999E-6</v>
      </c>
      <c r="I4626">
        <v>-60.595259999999897</v>
      </c>
      <c r="J4626">
        <v>-281.7509</v>
      </c>
      <c r="K4626">
        <v>1.11436</v>
      </c>
      <c r="L4626">
        <v>-60.319890000000001</v>
      </c>
      <c r="M4626">
        <v>0.96894820000000004</v>
      </c>
      <c r="N4626">
        <v>0</v>
      </c>
      <c r="O4626">
        <v>-0.24688930000000001</v>
      </c>
      <c r="P4626">
        <v>0.9974847</v>
      </c>
      <c r="Q4626">
        <v>3.6431329999999998E-2</v>
      </c>
      <c r="R4626">
        <v>-6.0801899999999999E-2</v>
      </c>
      <c r="S4626">
        <v>3.013306</v>
      </c>
      <c r="T4626">
        <v>-0.27510600000000002</v>
      </c>
      <c r="U4626">
        <v>-7.4951169999999998E-2</v>
      </c>
      <c r="V4626">
        <v>-0.18782160000000001</v>
      </c>
      <c r="W4626">
        <v>4.8045560000000001E-2</v>
      </c>
      <c r="X4626">
        <v>0.98102739999999999</v>
      </c>
      <c r="Y4626">
        <v>-0.22081509999999999</v>
      </c>
      <c r="Z4626">
        <v>3.2355160000000001E-2</v>
      </c>
      <c r="AA4626">
        <v>0.97477879999999995</v>
      </c>
      <c r="AB4626">
        <v>24</v>
      </c>
      <c r="AC4626">
        <v>12.0833999999999</v>
      </c>
      <c r="AD4626">
        <v>-1.1143632089019999</v>
      </c>
      <c r="AE4626">
        <v>-0.27536999999999501</v>
      </c>
      <c r="AF4626">
        <v>-2.6937954027300899</v>
      </c>
      <c r="AG4626">
        <v>-1.1143632089019999</v>
      </c>
      <c r="AH4626">
        <v>11.677994388098799</v>
      </c>
      <c r="AI4626">
        <v>95.312228267605093</v>
      </c>
      <c r="AJ4626">
        <v>102.989369746203</v>
      </c>
      <c r="AK4626">
        <v>12.036357088487801</v>
      </c>
    </row>
    <row r="4627" spans="1:37" x14ac:dyDescent="0.2">
      <c r="A4627" t="str">
        <f>"20200111154156045"</f>
        <v>20200111154156045</v>
      </c>
      <c r="B4627" t="str">
        <f>"1578728516040767"</f>
        <v>1578728516040767</v>
      </c>
      <c r="C4627" t="s">
        <v>37</v>
      </c>
      <c r="D4627">
        <v>5.3343970000000001</v>
      </c>
      <c r="E4627">
        <v>0.48386960000000001</v>
      </c>
      <c r="F4627" t="s">
        <v>39</v>
      </c>
      <c r="G4627">
        <v>-269.54399999999998</v>
      </c>
      <c r="H4627" s="1">
        <v>-3.155241E-6</v>
      </c>
      <c r="I4627">
        <v>-60.592769999999902</v>
      </c>
      <c r="J4627">
        <v>-281.62180000000001</v>
      </c>
      <c r="K4627">
        <v>1.11432</v>
      </c>
      <c r="L4627">
        <v>-60.349209999999999</v>
      </c>
      <c r="M4627">
        <v>0.96973220000000004</v>
      </c>
      <c r="N4627">
        <v>0</v>
      </c>
      <c r="O4627">
        <v>-0.243792799999999</v>
      </c>
      <c r="P4627">
        <v>0.99761959999999905</v>
      </c>
      <c r="Q4627">
        <v>3.6898420000000001E-2</v>
      </c>
      <c r="R4627">
        <v>-5.8255670000000002E-2</v>
      </c>
      <c r="S4627">
        <v>3.0134889999999999</v>
      </c>
      <c r="T4627">
        <v>-0.27510079999999998</v>
      </c>
      <c r="U4627">
        <v>-6.7382810000000001E-2</v>
      </c>
      <c r="V4627">
        <v>-0.18718660000000001</v>
      </c>
      <c r="W4627">
        <v>4.8533270000000003E-2</v>
      </c>
      <c r="X4627">
        <v>0.98112469999999996</v>
      </c>
      <c r="Y4627">
        <v>-0.2201639</v>
      </c>
      <c r="Z4627">
        <v>3.2050629999999997E-2</v>
      </c>
      <c r="AA4627">
        <v>0.97493619999999903</v>
      </c>
      <c r="AB4627">
        <v>24</v>
      </c>
      <c r="AC4627">
        <v>12.0777999999999</v>
      </c>
      <c r="AD4627">
        <v>-1.114323155241</v>
      </c>
      <c r="AE4627">
        <v>-0.243559999999995</v>
      </c>
      <c r="AF4627">
        <v>-2.68569052603489</v>
      </c>
      <c r="AG4627">
        <v>-1.114323155241</v>
      </c>
      <c r="AH4627">
        <v>11.6733692384266</v>
      </c>
      <c r="AI4627">
        <v>95.314828008095901</v>
      </c>
      <c r="AJ4627">
        <v>102.95656649934</v>
      </c>
      <c r="AK4627">
        <v>12.0300539929206</v>
      </c>
    </row>
    <row r="4628" spans="1:37" x14ac:dyDescent="0.2">
      <c r="A4628" t="str">
        <f>"20200111154156057"</f>
        <v>20200111154156057</v>
      </c>
      <c r="B4628" t="str">
        <f>"1578728516050527"</f>
        <v>1578728516050527</v>
      </c>
      <c r="C4628" t="s">
        <v>37</v>
      </c>
      <c r="D4628">
        <v>5.3389620000000004</v>
      </c>
      <c r="E4628">
        <v>0.48387370000000002</v>
      </c>
      <c r="F4628" t="s">
        <v>39</v>
      </c>
      <c r="G4628">
        <v>-269.36799999999999</v>
      </c>
      <c r="H4628" s="1">
        <v>-3.0797809999999998E-6</v>
      </c>
      <c r="I4628">
        <v>-60.592959999999998</v>
      </c>
      <c r="J4628">
        <v>-281.49979999999999</v>
      </c>
      <c r="K4628">
        <v>1.1142780000000001</v>
      </c>
      <c r="L4628">
        <v>-60.376459999999902</v>
      </c>
      <c r="M4628">
        <v>0.97045360000000003</v>
      </c>
      <c r="N4628">
        <v>0</v>
      </c>
      <c r="O4628">
        <v>-0.24090549999999999</v>
      </c>
      <c r="P4628">
        <v>0.99775669999999905</v>
      </c>
      <c r="Q4628">
        <v>3.7126300000000001E-2</v>
      </c>
      <c r="R4628">
        <v>-5.5708130000000002E-2</v>
      </c>
      <c r="S4628">
        <v>3.0137939999999999</v>
      </c>
      <c r="T4628">
        <v>-0.27406439999999999</v>
      </c>
      <c r="U4628">
        <v>-5.9967039999999999E-2</v>
      </c>
      <c r="V4628">
        <v>-0.18676609999999999</v>
      </c>
      <c r="W4628">
        <v>4.8779500000000003E-2</v>
      </c>
      <c r="X4628">
        <v>0.98119259999999997</v>
      </c>
      <c r="Y4628">
        <v>-0.21968979999999899</v>
      </c>
      <c r="Z4628">
        <v>3.16525E-2</v>
      </c>
      <c r="AA4628">
        <v>0.97505620000000004</v>
      </c>
      <c r="AB4628">
        <v>24</v>
      </c>
      <c r="AC4628">
        <v>12.131799999999901</v>
      </c>
      <c r="AD4628">
        <v>-1.1142810797810001</v>
      </c>
      <c r="AE4628">
        <v>-0.216500000000003</v>
      </c>
      <c r="AF4628">
        <v>-2.6900778016320501</v>
      </c>
      <c r="AG4628">
        <v>-1.1142810797810001</v>
      </c>
      <c r="AH4628">
        <v>11.7276913275724</v>
      </c>
      <c r="AI4628">
        <v>95.290945223518094</v>
      </c>
      <c r="AJ4628">
        <v>102.918928347405</v>
      </c>
      <c r="AK4628">
        <v>12.083744650496801</v>
      </c>
    </row>
    <row r="4629" spans="1:37" x14ac:dyDescent="0.2">
      <c r="A4629" t="str">
        <f>"20200111154156068"</f>
        <v>20200111154156068</v>
      </c>
      <c r="B4629" t="str">
        <f>"1578728516060286"</f>
        <v>1578728516060286</v>
      </c>
      <c r="C4629" t="s">
        <v>37</v>
      </c>
      <c r="D4629">
        <v>5.4179059999999897</v>
      </c>
      <c r="E4629">
        <v>0.483878799999999</v>
      </c>
      <c r="F4629" t="s">
        <v>39</v>
      </c>
      <c r="G4629">
        <v>-269.21589999999998</v>
      </c>
      <c r="H4629" s="1">
        <v>-3.013852E-6</v>
      </c>
      <c r="I4629">
        <v>-60.590330000000002</v>
      </c>
      <c r="J4629">
        <v>-281.39490000000001</v>
      </c>
      <c r="K4629">
        <v>1.114244</v>
      </c>
      <c r="L4629">
        <v>-60.39969</v>
      </c>
      <c r="M4629">
        <v>0.97106289999999995</v>
      </c>
      <c r="N4629">
        <v>0</v>
      </c>
      <c r="O4629">
        <v>-0.2384376</v>
      </c>
      <c r="P4629">
        <v>0.99786779999999997</v>
      </c>
      <c r="Q4629">
        <v>3.7418979999999998E-2</v>
      </c>
      <c r="R4629">
        <v>-5.3475170000000002E-2</v>
      </c>
      <c r="S4629">
        <v>3.0139770000000001</v>
      </c>
      <c r="T4629">
        <v>-0.27339980000000003</v>
      </c>
      <c r="U4629">
        <v>-5.2490229999999999E-2</v>
      </c>
      <c r="V4629">
        <v>-0.1864634</v>
      </c>
      <c r="W4629">
        <v>4.9086690000000002E-2</v>
      </c>
      <c r="X4629">
        <v>0.98123490000000002</v>
      </c>
      <c r="Y4629">
        <v>-0.21964879999999901</v>
      </c>
      <c r="Z4629">
        <v>3.1356540000000002E-2</v>
      </c>
      <c r="AA4629">
        <v>0.97507489999999997</v>
      </c>
      <c r="AB4629">
        <v>24</v>
      </c>
      <c r="AC4629">
        <v>12.179</v>
      </c>
      <c r="AD4629">
        <v>-1.114247013852</v>
      </c>
      <c r="AE4629">
        <v>-0.190640000000001</v>
      </c>
      <c r="AF4629">
        <v>-2.6964938820484798</v>
      </c>
      <c r="AG4629">
        <v>-1.114247013852</v>
      </c>
      <c r="AH4629">
        <v>11.774592858650699</v>
      </c>
      <c r="AI4629">
        <v>95.270249395217803</v>
      </c>
      <c r="AJ4629">
        <v>102.898853909358</v>
      </c>
      <c r="AK4629">
        <v>12.130690938721999</v>
      </c>
    </row>
    <row r="4630" spans="1:37" x14ac:dyDescent="0.2">
      <c r="A4630" t="str">
        <f>"20200111154156078"</f>
        <v>20200111154156078</v>
      </c>
      <c r="B4630" t="str">
        <f>"1578728516071023"</f>
        <v>1578728516071023</v>
      </c>
      <c r="C4630" t="s">
        <v>37</v>
      </c>
      <c r="D4630">
        <v>5.3794969999999998</v>
      </c>
      <c r="E4630">
        <v>0.48388739999999902</v>
      </c>
      <c r="F4630" t="s">
        <v>52</v>
      </c>
      <c r="G4630">
        <v>-269.08870000000002</v>
      </c>
      <c r="H4630" s="1">
        <v>-2.9587729999999998E-6</v>
      </c>
      <c r="I4630">
        <v>-60.588380000000001</v>
      </c>
      <c r="J4630">
        <v>-281.27629999999999</v>
      </c>
      <c r="K4630">
        <v>1.1142049999999999</v>
      </c>
      <c r="L4630">
        <v>-60.425600000000003</v>
      </c>
      <c r="M4630">
        <v>0.97173699999999996</v>
      </c>
      <c r="N4630">
        <v>0</v>
      </c>
      <c r="O4630">
        <v>-0.23567579999999999</v>
      </c>
      <c r="P4630">
        <v>0.99799950000000004</v>
      </c>
      <c r="Q4630">
        <v>3.7645150000000002E-2</v>
      </c>
      <c r="R4630">
        <v>-5.078829E-2</v>
      </c>
      <c r="S4630">
        <v>3.01416</v>
      </c>
      <c r="T4630">
        <v>-0.27291379999999998</v>
      </c>
      <c r="U4630">
        <v>-4.6234129999999998E-2</v>
      </c>
      <c r="V4630">
        <v>-0.18631</v>
      </c>
      <c r="W4630">
        <v>4.9327679999999999E-2</v>
      </c>
      <c r="X4630">
        <v>0.98125200000000001</v>
      </c>
      <c r="Y4630">
        <v>-0.218920899999999</v>
      </c>
      <c r="Z4630">
        <v>3.1024300000000001E-2</v>
      </c>
      <c r="AA4630">
        <v>0.97524920000000004</v>
      </c>
      <c r="AB4630">
        <v>24</v>
      </c>
      <c r="AC4630">
        <v>12.1875999999999</v>
      </c>
      <c r="AD4630">
        <v>-1.1142079587729901</v>
      </c>
      <c r="AE4630">
        <v>-0.162780000000005</v>
      </c>
      <c r="AF4630">
        <v>-2.69189837919805</v>
      </c>
      <c r="AG4630">
        <v>-1.1142079587729901</v>
      </c>
      <c r="AH4630">
        <v>11.784126383933099</v>
      </c>
      <c r="AI4630">
        <v>95.2664808576654</v>
      </c>
      <c r="AJ4630">
        <v>102.86753324526499</v>
      </c>
      <c r="AK4630">
        <v>12.138921323240799</v>
      </c>
    </row>
    <row r="4631" spans="1:37" x14ac:dyDescent="0.2">
      <c r="A4631" t="str">
        <f>"20200111154156088"</f>
        <v>20200111154156088</v>
      </c>
      <c r="B4631" t="str">
        <f>"1578728516080782"</f>
        <v>1578728516080782</v>
      </c>
      <c r="C4631" t="s">
        <v>37</v>
      </c>
      <c r="D4631">
        <v>5.3932180000000001</v>
      </c>
      <c r="E4631">
        <v>0.48393549999999902</v>
      </c>
      <c r="F4631" t="s">
        <v>39</v>
      </c>
      <c r="G4631">
        <v>-268.95069999999998</v>
      </c>
      <c r="H4631" s="1">
        <v>-2.8981650000000001E-6</v>
      </c>
      <c r="I4631">
        <v>-60.583129999999997</v>
      </c>
      <c r="J4631">
        <v>-281.17309999999998</v>
      </c>
      <c r="K4631">
        <v>1.114171</v>
      </c>
      <c r="L4631">
        <v>-60.447850000000003</v>
      </c>
      <c r="M4631">
        <v>0.9723115</v>
      </c>
      <c r="N4631">
        <v>0</v>
      </c>
      <c r="O4631">
        <v>-0.23329459999999999</v>
      </c>
      <c r="P4631">
        <v>0.99810489999999996</v>
      </c>
      <c r="Q4631">
        <v>3.7834159999999999E-2</v>
      </c>
      <c r="R4631">
        <v>-4.8535380000000003E-2</v>
      </c>
      <c r="S4631">
        <v>3.0143740000000001</v>
      </c>
      <c r="T4631">
        <v>-0.27249289999999998</v>
      </c>
      <c r="U4631">
        <v>-3.8543699999999903E-2</v>
      </c>
      <c r="V4631">
        <v>-0.1861168</v>
      </c>
      <c r="W4631">
        <v>4.9530089999999999E-2</v>
      </c>
      <c r="X4631">
        <v>0.9812784</v>
      </c>
      <c r="Y4631">
        <v>-0.2190349</v>
      </c>
      <c r="Z4631">
        <v>3.0771730000000001E-2</v>
      </c>
      <c r="AA4631">
        <v>0.97523169999999904</v>
      </c>
      <c r="AB4631">
        <v>24</v>
      </c>
      <c r="AC4631">
        <v>12.222399999999899</v>
      </c>
      <c r="AD4631">
        <v>-1.114173898165</v>
      </c>
      <c r="AE4631">
        <v>-0.13528000000000101</v>
      </c>
      <c r="AF4631">
        <v>-2.69772095179365</v>
      </c>
      <c r="AG4631">
        <v>-1.114173898165</v>
      </c>
      <c r="AH4631">
        <v>11.8184390340354</v>
      </c>
      <c r="AI4631">
        <v>95.251309864809897</v>
      </c>
      <c r="AJ4631">
        <v>102.858245832714</v>
      </c>
      <c r="AK4631">
        <v>12.173519746166599</v>
      </c>
    </row>
    <row r="4632" spans="1:37" x14ac:dyDescent="0.2">
      <c r="A4632" t="str">
        <f>"20200111154156099"</f>
        <v>20200111154156099</v>
      </c>
      <c r="B4632" t="str">
        <f>"1578728516090543"</f>
        <v>1578728516090543</v>
      </c>
      <c r="C4632" t="s">
        <v>37</v>
      </c>
      <c r="D4632">
        <v>5.4253</v>
      </c>
      <c r="E4632">
        <v>0.48391489999999998</v>
      </c>
      <c r="F4632" t="s">
        <v>52</v>
      </c>
      <c r="G4632">
        <v>-268.84519999999998</v>
      </c>
      <c r="H4632" s="1">
        <v>-2.8523579999999899E-6</v>
      </c>
      <c r="I4632">
        <v>-60.581069999999997</v>
      </c>
      <c r="J4632">
        <v>-281.05349999999999</v>
      </c>
      <c r="K4632">
        <v>1.114134</v>
      </c>
      <c r="L4632">
        <v>-60.473419999999997</v>
      </c>
      <c r="M4632">
        <v>0.97296489999999902</v>
      </c>
      <c r="N4632">
        <v>0</v>
      </c>
      <c r="O4632">
        <v>-0.2305547</v>
      </c>
      <c r="P4632">
        <v>0.99822459999999902</v>
      </c>
      <c r="Q4632">
        <v>3.8209E-2</v>
      </c>
      <c r="R4632">
        <v>-4.5691910000000002E-2</v>
      </c>
      <c r="S4632">
        <v>3.01443499999999</v>
      </c>
      <c r="T4632">
        <v>-0.2724395</v>
      </c>
      <c r="U4632">
        <v>-3.259277E-2</v>
      </c>
      <c r="V4632">
        <v>-0.18614320000000001</v>
      </c>
      <c r="W4632">
        <v>4.9917280000000001E-2</v>
      </c>
      <c r="X4632">
        <v>0.98125379999999995</v>
      </c>
      <c r="Y4632">
        <v>-0.21822719999999901</v>
      </c>
      <c r="Z4632">
        <v>3.048849E-2</v>
      </c>
      <c r="AA4632">
        <v>0.9754216</v>
      </c>
      <c r="AB4632">
        <v>24</v>
      </c>
      <c r="AC4632">
        <v>12.208299999999999</v>
      </c>
      <c r="AD4632">
        <v>-1.114136852358</v>
      </c>
      <c r="AE4632">
        <v>-0.107649999999999</v>
      </c>
      <c r="AF4632">
        <v>-2.6878067430188799</v>
      </c>
      <c r="AG4632">
        <v>-1.114136852358</v>
      </c>
      <c r="AH4632">
        <v>11.805843543607301</v>
      </c>
      <c r="AI4632">
        <v>95.257382676096299</v>
      </c>
      <c r="AJ4632">
        <v>102.82577144213199</v>
      </c>
      <c r="AK4632">
        <v>12.1590932141231</v>
      </c>
    </row>
    <row r="4633" spans="1:37" x14ac:dyDescent="0.2">
      <c r="A4633" t="str">
        <f>"20200111154156111"</f>
        <v>20200111154156111</v>
      </c>
      <c r="B4633" t="str">
        <f>"1578728516100302"</f>
        <v>1578728516100302</v>
      </c>
      <c r="C4633" t="s">
        <v>37</v>
      </c>
      <c r="D4633">
        <v>5.6288849999999897</v>
      </c>
      <c r="E4633">
        <v>0.48399340000000002</v>
      </c>
      <c r="F4633" t="s">
        <v>52</v>
      </c>
      <c r="G4633">
        <v>-268.6268</v>
      </c>
      <c r="H4633" s="1">
        <v>-2.7561959999999999E-6</v>
      </c>
      <c r="I4633">
        <v>-60.571849999999998</v>
      </c>
      <c r="J4633">
        <v>-280.94389999999999</v>
      </c>
      <c r="K4633">
        <v>1.1141000000000001</v>
      </c>
      <c r="L4633">
        <v>-60.496459999999999</v>
      </c>
      <c r="M4633">
        <v>0.97354889999999905</v>
      </c>
      <c r="N4633">
        <v>0</v>
      </c>
      <c r="O4633">
        <v>-0.22807649999999999</v>
      </c>
      <c r="P4633">
        <v>0.99831619999999999</v>
      </c>
      <c r="Q4633">
        <v>3.8591250000000001E-2</v>
      </c>
      <c r="R4633">
        <v>-4.3309449999999999E-2</v>
      </c>
      <c r="S4633">
        <v>3.014618</v>
      </c>
      <c r="T4633">
        <v>-0.27028039999999998</v>
      </c>
      <c r="U4633">
        <v>-2.3895260000000001E-2</v>
      </c>
      <c r="V4633">
        <v>-0.1859818</v>
      </c>
      <c r="W4633">
        <v>5.0313030000000002E-2</v>
      </c>
      <c r="X4633">
        <v>0.98126420000000003</v>
      </c>
      <c r="Y4633">
        <v>-0.2185945</v>
      </c>
      <c r="Z4633">
        <v>3.004747E-2</v>
      </c>
      <c r="AA4633">
        <v>0.97535309999999897</v>
      </c>
      <c r="AB4633">
        <v>24</v>
      </c>
      <c r="AC4633">
        <v>12.3170999999999</v>
      </c>
      <c r="AD4633">
        <v>-1.114102756196</v>
      </c>
      <c r="AE4633">
        <v>-7.5389999999998694E-2</v>
      </c>
      <c r="AF4633">
        <v>-2.7138935391457801</v>
      </c>
      <c r="AG4633">
        <v>-1.114102756196</v>
      </c>
      <c r="AH4633">
        <v>11.912141000683899</v>
      </c>
      <c r="AI4633">
        <v>95.210391811641401</v>
      </c>
      <c r="AJ4633">
        <v>102.834396995383</v>
      </c>
      <c r="AK4633">
        <v>12.2680701951593</v>
      </c>
    </row>
    <row r="4634" spans="1:37" x14ac:dyDescent="0.2">
      <c r="A4634" t="str">
        <f>"20200111154156123"</f>
        <v>20200111154156123</v>
      </c>
      <c r="B4634" t="str">
        <f>"1578728516120799"</f>
        <v>1578728516120799</v>
      </c>
      <c r="C4634" t="s">
        <v>37</v>
      </c>
      <c r="D4634">
        <v>5.3818149999999996</v>
      </c>
      <c r="E4634">
        <v>0.48416809999999899</v>
      </c>
      <c r="F4634" t="s">
        <v>52</v>
      </c>
      <c r="G4634">
        <v>-268.45609999999999</v>
      </c>
      <c r="H4634" s="1">
        <v>-2.6821379999999999E-6</v>
      </c>
      <c r="I4634">
        <v>-60.5687</v>
      </c>
      <c r="J4634">
        <v>-280.81380000000001</v>
      </c>
      <c r="K4634">
        <v>1.114058</v>
      </c>
      <c r="L4634">
        <v>-60.523650000000004</v>
      </c>
      <c r="M4634">
        <v>0.97423019999999905</v>
      </c>
      <c r="N4634">
        <v>0</v>
      </c>
      <c r="O4634">
        <v>-0.2251494</v>
      </c>
      <c r="P4634">
        <v>0.99841059999999904</v>
      </c>
      <c r="Q4634">
        <v>3.9107080000000002E-2</v>
      </c>
      <c r="R4634">
        <v>-4.0589239999999999E-2</v>
      </c>
      <c r="S4634">
        <v>3.0147400000000002</v>
      </c>
      <c r="T4634">
        <v>-0.26896019999999998</v>
      </c>
      <c r="U4634">
        <v>-1.7456050000000001E-2</v>
      </c>
      <c r="V4634">
        <v>-0.1857007</v>
      </c>
      <c r="W4634">
        <v>5.0844979999999998E-2</v>
      </c>
      <c r="X4634">
        <v>0.98129</v>
      </c>
      <c r="Y4634">
        <v>-0.21777779999999899</v>
      </c>
      <c r="Z4634">
        <v>2.960987E-2</v>
      </c>
      <c r="AA4634">
        <v>0.97554909999999995</v>
      </c>
      <c r="AB4634">
        <v>24</v>
      </c>
      <c r="AC4634">
        <v>12.357699999999999</v>
      </c>
      <c r="AD4634">
        <v>-1.1140606821379999</v>
      </c>
      <c r="AE4634">
        <v>-4.5049999999996197E-2</v>
      </c>
      <c r="AF4634">
        <v>-2.7166124018790199</v>
      </c>
      <c r="AG4634">
        <v>-1.1140606821379999</v>
      </c>
      <c r="AH4634">
        <v>11.953345527458399</v>
      </c>
      <c r="AI4634">
        <v>95.192957635616494</v>
      </c>
      <c r="AJ4634">
        <v>102.804006102242</v>
      </c>
      <c r="AK4634">
        <v>12.3086791917061</v>
      </c>
    </row>
    <row r="4635" spans="1:37" x14ac:dyDescent="0.2">
      <c r="A4635" t="str">
        <f>"20200111154156136"</f>
        <v>20200111154156136</v>
      </c>
      <c r="B4635" t="str">
        <f>"1578728516130558"</f>
        <v>1578728516130558</v>
      </c>
      <c r="C4635" t="s">
        <v>37</v>
      </c>
      <c r="D4635">
        <v>5.6368269999999896</v>
      </c>
      <c r="E4635">
        <v>0.48426959999999902</v>
      </c>
      <c r="F4635" t="s">
        <v>52</v>
      </c>
      <c r="G4635">
        <v>-268.21859999999998</v>
      </c>
      <c r="H4635" s="1">
        <v>-2.58013399999999E-6</v>
      </c>
      <c r="I4635">
        <v>-60.568199999999997</v>
      </c>
      <c r="J4635">
        <v>-280.6728</v>
      </c>
      <c r="K4635">
        <v>1.1140159999999999</v>
      </c>
      <c r="L4635">
        <v>-60.552519999999902</v>
      </c>
      <c r="M4635">
        <v>0.97494559999999997</v>
      </c>
      <c r="N4635">
        <v>0</v>
      </c>
      <c r="O4635">
        <v>-0.22203100000000001</v>
      </c>
      <c r="P4635">
        <v>0.99852779999999997</v>
      </c>
      <c r="Q4635">
        <v>3.9154590000000003E-2</v>
      </c>
      <c r="R4635">
        <v>-3.7541749999999999E-2</v>
      </c>
      <c r="S4635">
        <v>3.0148009999999998</v>
      </c>
      <c r="T4635">
        <v>-0.26666220000000002</v>
      </c>
      <c r="U4635">
        <v>-1.068115E-2</v>
      </c>
      <c r="V4635">
        <v>-0.18554989999999999</v>
      </c>
      <c r="W4635">
        <v>5.090832E-2</v>
      </c>
      <c r="X4635">
        <v>0.9813153</v>
      </c>
      <c r="Y4635">
        <v>-0.21689310000000001</v>
      </c>
      <c r="Z4635">
        <v>2.9049780000000001E-2</v>
      </c>
      <c r="AA4635">
        <v>0.97576299999999905</v>
      </c>
      <c r="AB4635">
        <v>24</v>
      </c>
      <c r="AC4635">
        <v>12.4542</v>
      </c>
      <c r="AD4635">
        <v>-1.1140185801339999</v>
      </c>
      <c r="AE4635">
        <v>-1.5680000000003198E-2</v>
      </c>
      <c r="AF4635">
        <v>-2.7283534456493101</v>
      </c>
      <c r="AG4635">
        <v>-1.1140185801339999</v>
      </c>
      <c r="AH4635">
        <v>12.0503456681164</v>
      </c>
      <c r="AI4635">
        <v>95.152133952253806</v>
      </c>
      <c r="AJ4635">
        <v>102.757411375507</v>
      </c>
      <c r="AK4635">
        <v>12.405473817729099</v>
      </c>
    </row>
    <row r="4636" spans="1:37" x14ac:dyDescent="0.2">
      <c r="A4636" t="str">
        <f>"20200111154156147"</f>
        <v>20200111154156147</v>
      </c>
      <c r="B4636" t="str">
        <f>"1578728516140319"</f>
        <v>1578728516140319</v>
      </c>
      <c r="C4636" t="s">
        <v>37</v>
      </c>
      <c r="D4636">
        <v>5.406263</v>
      </c>
      <c r="E4636">
        <v>0.48438159999999902</v>
      </c>
      <c r="F4636" t="s">
        <v>52</v>
      </c>
      <c r="G4636">
        <v>-268.04700000000003</v>
      </c>
      <c r="H4636" s="1">
        <v>-2.504817E-6</v>
      </c>
      <c r="I4636">
        <v>-60.561909999999997</v>
      </c>
      <c r="J4636">
        <v>-280.56599999999997</v>
      </c>
      <c r="K4636">
        <v>1.1139829999999999</v>
      </c>
      <c r="L4636">
        <v>-60.574159999999999</v>
      </c>
      <c r="M4636">
        <v>0.97547669999999997</v>
      </c>
      <c r="N4636">
        <v>0</v>
      </c>
      <c r="O4636">
        <v>-0.21968579999999899</v>
      </c>
      <c r="P4636">
        <v>0.99858799999999903</v>
      </c>
      <c r="Q4636">
        <v>3.9609060000000001E-2</v>
      </c>
      <c r="R4636">
        <v>-3.5399119999999999E-2</v>
      </c>
      <c r="S4636">
        <v>3.0147710000000001</v>
      </c>
      <c r="T4636">
        <v>-0.26600299999999999</v>
      </c>
      <c r="U4636">
        <v>-2.2583009999999999E-3</v>
      </c>
      <c r="V4636">
        <v>-0.18529089999999901</v>
      </c>
      <c r="W4636">
        <v>5.1375480000000001E-2</v>
      </c>
      <c r="X4636">
        <v>0.98133979999999998</v>
      </c>
      <c r="Y4636">
        <v>-0.21728800000000001</v>
      </c>
      <c r="Z4636">
        <v>2.879493E-2</v>
      </c>
      <c r="AA4636">
        <v>0.97568269999999901</v>
      </c>
      <c r="AB4636">
        <v>24</v>
      </c>
      <c r="AC4636">
        <v>12.518999999999901</v>
      </c>
      <c r="AD4636">
        <v>-1.113985504817</v>
      </c>
      <c r="AE4636">
        <v>1.22500000000016E-2</v>
      </c>
      <c r="AF4636">
        <v>-2.7407479521076401</v>
      </c>
      <c r="AG4636">
        <v>-1.113985504817</v>
      </c>
      <c r="AH4636">
        <v>12.1144976895259</v>
      </c>
      <c r="AI4636">
        <v>95.125038278082599</v>
      </c>
      <c r="AJ4636">
        <v>102.747826846994</v>
      </c>
      <c r="AK4636">
        <v>12.4705139152904</v>
      </c>
    </row>
    <row r="4637" spans="1:37" x14ac:dyDescent="0.2">
      <c r="A4637" t="str">
        <f>"20200111154156157"</f>
        <v>20200111154156157</v>
      </c>
      <c r="B4637" t="str">
        <f>"1578728516151055"</f>
        <v>1578728516151055</v>
      </c>
      <c r="C4637" t="s">
        <v>37</v>
      </c>
      <c r="D4637">
        <v>5.4702169999999999</v>
      </c>
      <c r="E4637">
        <v>0.48449350000000002</v>
      </c>
      <c r="F4637" t="s">
        <v>52</v>
      </c>
      <c r="G4637">
        <v>-267.84809999999999</v>
      </c>
      <c r="H4637" s="1">
        <v>-2.4190029999999999E-6</v>
      </c>
      <c r="I4637">
        <v>-60.560049999999997</v>
      </c>
      <c r="J4637">
        <v>-280.45359999999999</v>
      </c>
      <c r="K4637">
        <v>1.113953</v>
      </c>
      <c r="L4637">
        <v>-60.596649999999997</v>
      </c>
      <c r="M4637">
        <v>0.97602409999999995</v>
      </c>
      <c r="N4637">
        <v>0</v>
      </c>
      <c r="O4637">
        <v>-0.21724179999999901</v>
      </c>
      <c r="P4637">
        <v>0.99864279999999905</v>
      </c>
      <c r="Q4637">
        <v>3.9926129999999997E-2</v>
      </c>
      <c r="R4637">
        <v>-3.3445849999999999E-2</v>
      </c>
      <c r="S4637">
        <v>3.0148320000000002</v>
      </c>
      <c r="T4637">
        <v>-0.26407399999999998</v>
      </c>
      <c r="U4637">
        <v>3.32641599999999E-3</v>
      </c>
      <c r="V4637">
        <v>-0.1847472</v>
      </c>
      <c r="W4637">
        <v>5.1708339999999998E-2</v>
      </c>
      <c r="X4637">
        <v>0.98142489999999905</v>
      </c>
      <c r="Y4637">
        <v>-0.21668699999999999</v>
      </c>
      <c r="Z4637">
        <v>2.8351339999999999E-2</v>
      </c>
      <c r="AA4637">
        <v>0.97582939999999996</v>
      </c>
      <c r="AB4637">
        <v>24</v>
      </c>
      <c r="AC4637">
        <v>12.605499999999999</v>
      </c>
      <c r="AD4637">
        <v>-1.1139554190029901</v>
      </c>
      <c r="AE4637">
        <v>3.6599999999999903E-2</v>
      </c>
      <c r="AF4637">
        <v>-2.7529194435932101</v>
      </c>
      <c r="AG4637">
        <v>-1.1139554190029901</v>
      </c>
      <c r="AH4637">
        <v>12.201163174134001</v>
      </c>
      <c r="AI4637">
        <v>95.089353123488607</v>
      </c>
      <c r="AJ4637">
        <v>102.714606269915</v>
      </c>
      <c r="AK4637">
        <v>12.5573820894438</v>
      </c>
    </row>
    <row r="4638" spans="1:37" x14ac:dyDescent="0.2">
      <c r="A4638" t="str">
        <f>"20200111154156169"</f>
        <v>20200111154156169</v>
      </c>
      <c r="B4638" t="str">
        <f>"1578728516160814"</f>
        <v>1578728516160814</v>
      </c>
      <c r="C4638" t="s">
        <v>37</v>
      </c>
      <c r="D4638">
        <v>5.4029290000000003</v>
      </c>
      <c r="E4638">
        <v>0.48459659999999899</v>
      </c>
      <c r="F4638" t="s">
        <v>52</v>
      </c>
      <c r="G4638">
        <v>-267.67489999999998</v>
      </c>
      <c r="H4638" s="1">
        <v>-2.3448929999999998E-6</v>
      </c>
      <c r="I4638">
        <v>-60.560749999999999</v>
      </c>
      <c r="J4638">
        <v>-280.32850000000002</v>
      </c>
      <c r="K4638">
        <v>1.113917</v>
      </c>
      <c r="L4638">
        <v>-60.621369999999999</v>
      </c>
      <c r="M4638">
        <v>0.97661929999999997</v>
      </c>
      <c r="N4638">
        <v>0</v>
      </c>
      <c r="O4638">
        <v>-0.2145502</v>
      </c>
      <c r="P4638">
        <v>0.99869640000000004</v>
      </c>
      <c r="Q4638">
        <v>4.0458979999999999E-2</v>
      </c>
      <c r="R4638">
        <v>-3.11232E-2</v>
      </c>
      <c r="S4638">
        <v>3.0148929999999998</v>
      </c>
      <c r="T4638">
        <v>-0.26281670000000001</v>
      </c>
      <c r="U4638">
        <v>8.4533690000000005E-3</v>
      </c>
      <c r="V4638">
        <v>-0.18431929999999999</v>
      </c>
      <c r="W4638">
        <v>5.2256919999999998E-2</v>
      </c>
      <c r="X4638">
        <v>0.98147619999999902</v>
      </c>
      <c r="Y4638">
        <v>-0.21568519999999999</v>
      </c>
      <c r="Z4638">
        <v>2.7943559999999999E-2</v>
      </c>
      <c r="AA4638">
        <v>0.97606299999999901</v>
      </c>
      <c r="AB4638">
        <v>24</v>
      </c>
      <c r="AC4638">
        <v>12.653600000000001</v>
      </c>
      <c r="AD4638">
        <v>-1.113919344893</v>
      </c>
      <c r="AE4638">
        <v>6.0620000000000097E-2</v>
      </c>
      <c r="AF4638">
        <v>-2.7529550576776498</v>
      </c>
      <c r="AG4638">
        <v>-1.113919344893</v>
      </c>
      <c r="AH4638">
        <v>12.2509356870479</v>
      </c>
      <c r="AI4638">
        <v>95.069608466540203</v>
      </c>
      <c r="AJ4638">
        <v>102.664777954161</v>
      </c>
      <c r="AK4638">
        <v>12.6057527765978</v>
      </c>
    </row>
    <row r="4639" spans="1:37" x14ac:dyDescent="0.2">
      <c r="A4639" t="str">
        <f>"20200111154156180"</f>
        <v>20200111154156180</v>
      </c>
      <c r="B4639" t="str">
        <f>"1578728516170575"</f>
        <v>1578728516170575</v>
      </c>
      <c r="C4639" t="s">
        <v>37</v>
      </c>
      <c r="D4639">
        <v>5.4328409999999998</v>
      </c>
      <c r="E4639">
        <v>0.48470990000000003</v>
      </c>
      <c r="F4639" t="s">
        <v>52</v>
      </c>
      <c r="G4639">
        <v>-267.45999999999998</v>
      </c>
      <c r="H4639" s="1">
        <v>-2.251916E-6</v>
      </c>
      <c r="I4639">
        <v>-60.557869999999902</v>
      </c>
      <c r="J4639">
        <v>-280.20909999999998</v>
      </c>
      <c r="K4639">
        <v>1.113888</v>
      </c>
      <c r="L4639">
        <v>-60.644739999999999</v>
      </c>
      <c r="M4639">
        <v>0.977176499999999</v>
      </c>
      <c r="N4639">
        <v>0</v>
      </c>
      <c r="O4639">
        <v>-0.2119992</v>
      </c>
      <c r="P4639">
        <v>0.99874309999999999</v>
      </c>
      <c r="Q4639">
        <v>4.0885970000000001E-2</v>
      </c>
      <c r="R4639">
        <v>-2.900179E-2</v>
      </c>
      <c r="S4639">
        <v>3.0149539999999999</v>
      </c>
      <c r="T4639">
        <v>-0.26097860000000001</v>
      </c>
      <c r="U4639">
        <v>1.486206E-2</v>
      </c>
      <c r="V4639">
        <v>-0.18383529999999901</v>
      </c>
      <c r="W4639">
        <v>5.2699290000000003E-2</v>
      </c>
      <c r="X4639">
        <v>0.98154339999999995</v>
      </c>
      <c r="Y4639">
        <v>-0.215244299999999</v>
      </c>
      <c r="Z4639">
        <v>2.7513619999999999E-2</v>
      </c>
      <c r="AA4639">
        <v>0.97617259999999995</v>
      </c>
      <c r="AB4639">
        <v>24</v>
      </c>
      <c r="AC4639">
        <v>12.7491</v>
      </c>
      <c r="AD4639">
        <v>-1.1138902519159899</v>
      </c>
      <c r="AE4639">
        <v>8.6870000000011702E-2</v>
      </c>
      <c r="AF4639">
        <v>-2.7668209860314001</v>
      </c>
      <c r="AG4639">
        <v>-1.1138902519159899</v>
      </c>
      <c r="AH4639">
        <v>12.3465955654897</v>
      </c>
      <c r="AI4639">
        <v>95.031062204587698</v>
      </c>
      <c r="AJ4639">
        <v>102.631066880528</v>
      </c>
      <c r="AK4639">
        <v>12.7017507423121</v>
      </c>
    </row>
    <row r="4640" spans="1:37" x14ac:dyDescent="0.2">
      <c r="A4640" t="str">
        <f>"20200111154156191"</f>
        <v>20200111154156191</v>
      </c>
      <c r="B4640" t="str">
        <f>"1578728516180334"</f>
        <v>1578728516180334</v>
      </c>
      <c r="C4640" t="s">
        <v>37</v>
      </c>
      <c r="D4640">
        <v>5.4324129999999897</v>
      </c>
      <c r="E4640">
        <v>0.48480099999999998</v>
      </c>
      <c r="F4640" t="s">
        <v>52</v>
      </c>
      <c r="G4640">
        <v>-267.255</v>
      </c>
      <c r="H4640" s="1">
        <v>-2.1635780000000002E-6</v>
      </c>
      <c r="I4640">
        <v>-60.5563</v>
      </c>
      <c r="J4640">
        <v>-280.11110000000002</v>
      </c>
      <c r="K4640">
        <v>1.11385499999999</v>
      </c>
      <c r="L4640">
        <v>-60.663569999999901</v>
      </c>
      <c r="M4640">
        <v>0.97762039999999994</v>
      </c>
      <c r="N4640">
        <v>0</v>
      </c>
      <c r="O4640">
        <v>-0.20994270000000001</v>
      </c>
      <c r="P4640">
        <v>0.99877289999999996</v>
      </c>
      <c r="Q4640">
        <v>4.116715E-2</v>
      </c>
      <c r="R4640">
        <v>-2.7531360000000001E-2</v>
      </c>
      <c r="S4640">
        <v>3.0149840000000001</v>
      </c>
      <c r="T4640">
        <v>-0.2592507</v>
      </c>
      <c r="U4640">
        <v>2.056885E-2</v>
      </c>
      <c r="V4640">
        <v>-0.1832104</v>
      </c>
      <c r="W4640">
        <v>5.2997370000000002E-2</v>
      </c>
      <c r="X4640">
        <v>0.98164419999999897</v>
      </c>
      <c r="Y4640">
        <v>-0.215066799999999</v>
      </c>
      <c r="Z4640">
        <v>2.715149E-2</v>
      </c>
      <c r="AA4640">
        <v>0.97622180000000003</v>
      </c>
      <c r="AB4640">
        <v>24</v>
      </c>
      <c r="AC4640">
        <v>12.8561</v>
      </c>
      <c r="AD4640">
        <v>-1.1138571635779999</v>
      </c>
      <c r="AE4640">
        <v>0.107269999999992</v>
      </c>
      <c r="AF4640">
        <v>-2.7832780920582301</v>
      </c>
      <c r="AG4640">
        <v>-1.1138571635779999</v>
      </c>
      <c r="AH4640">
        <v>12.4535329226351</v>
      </c>
      <c r="AI4640">
        <v>94.988570010660794</v>
      </c>
      <c r="AJ4640">
        <v>102.598175735366</v>
      </c>
      <c r="AK4640">
        <v>12.8092855762428</v>
      </c>
    </row>
    <row r="4641" spans="1:37" x14ac:dyDescent="0.2">
      <c r="A4641" t="str">
        <f>"20200111154156200"</f>
        <v>20200111154156200</v>
      </c>
      <c r="B4641" t="str">
        <f>"1578728516191071"</f>
        <v>1578728516191071</v>
      </c>
      <c r="C4641" t="s">
        <v>37</v>
      </c>
      <c r="D4641">
        <v>5.4440410000000004</v>
      </c>
      <c r="E4641">
        <v>0.48489520000000003</v>
      </c>
      <c r="F4641" t="s">
        <v>52</v>
      </c>
      <c r="G4641">
        <v>-267.09559999999999</v>
      </c>
      <c r="H4641" s="1">
        <v>-2.095659E-6</v>
      </c>
      <c r="I4641">
        <v>-60.558109999999999</v>
      </c>
      <c r="J4641">
        <v>-279.99900000000002</v>
      </c>
      <c r="K4641">
        <v>1.1138170000000001</v>
      </c>
      <c r="L4641">
        <v>-60.68506</v>
      </c>
      <c r="M4641">
        <v>0.97812129999999997</v>
      </c>
      <c r="N4641">
        <v>0</v>
      </c>
      <c r="O4641">
        <v>-0.20759610000000001</v>
      </c>
      <c r="P4641">
        <v>0.9988264</v>
      </c>
      <c r="Q4641">
        <v>4.1028580000000002E-2</v>
      </c>
      <c r="R4641">
        <v>-2.5741710000000001E-2</v>
      </c>
      <c r="S4641">
        <v>3.0149539999999999</v>
      </c>
      <c r="T4641">
        <v>-0.25801629999999998</v>
      </c>
      <c r="U4641">
        <v>2.4414060000000001E-2</v>
      </c>
      <c r="V4641">
        <v>-0.18260860000000001</v>
      </c>
      <c r="W4641">
        <v>5.287642E-2</v>
      </c>
      <c r="X4641">
        <v>0.98176280000000005</v>
      </c>
      <c r="Y4641">
        <v>-0.21399589999999999</v>
      </c>
      <c r="Z4641">
        <v>2.6780539999999999E-2</v>
      </c>
      <c r="AA4641">
        <v>0.97646739999999999</v>
      </c>
      <c r="AB4641">
        <v>24</v>
      </c>
      <c r="AC4641">
        <v>12.9034</v>
      </c>
      <c r="AD4641">
        <v>-1.1138190956589999</v>
      </c>
      <c r="AE4641">
        <v>0.12695000000000001</v>
      </c>
      <c r="AF4641">
        <v>-2.7823940087530099</v>
      </c>
      <c r="AG4641">
        <v>-1.1138190956589999</v>
      </c>
      <c r="AH4641">
        <v>12.5027357517558</v>
      </c>
      <c r="AI4641">
        <v>94.969865864116798</v>
      </c>
      <c r="AJ4641">
        <v>102.546310725297</v>
      </c>
      <c r="AK4641">
        <v>12.856932397583501</v>
      </c>
    </row>
    <row r="4642" spans="1:37" x14ac:dyDescent="0.2">
      <c r="A4642" t="str">
        <f>"20200111154156212"</f>
        <v>20200111154156212</v>
      </c>
      <c r="B4642" t="str">
        <f>"1578728516200831"</f>
        <v>1578728516200831</v>
      </c>
      <c r="C4642" t="s">
        <v>37</v>
      </c>
      <c r="D4642">
        <v>5.453023</v>
      </c>
      <c r="E4642">
        <v>0.48498289999999999</v>
      </c>
      <c r="F4642" t="s">
        <v>52</v>
      </c>
      <c r="G4642">
        <v>-266.94869999999997</v>
      </c>
      <c r="H4642" s="1">
        <v>-2.0328939999999999E-6</v>
      </c>
      <c r="I4642">
        <v>-60.558969999999903</v>
      </c>
      <c r="J4642">
        <v>-279.89190000000002</v>
      </c>
      <c r="K4642">
        <v>1.113774</v>
      </c>
      <c r="L4642">
        <v>-60.70514</v>
      </c>
      <c r="M4642">
        <v>0.97858440000000002</v>
      </c>
      <c r="N4642">
        <v>0</v>
      </c>
      <c r="O4642">
        <v>-0.20540239999999901</v>
      </c>
      <c r="P4642">
        <v>0.99888369999999904</v>
      </c>
      <c r="Q4642">
        <v>4.0583960000000002E-2</v>
      </c>
      <c r="R4642">
        <v>-2.4173409999999999E-2</v>
      </c>
      <c r="S4642">
        <v>3.0148619999999999</v>
      </c>
      <c r="T4642">
        <v>-0.25731399999999999</v>
      </c>
      <c r="U4642">
        <v>2.9113770000000001E-2</v>
      </c>
      <c r="V4642">
        <v>-0.1819432</v>
      </c>
      <c r="W4642">
        <v>5.2451199999999899E-2</v>
      </c>
      <c r="X4642">
        <v>0.98190909999999998</v>
      </c>
      <c r="Y4642">
        <v>-0.21334690000000001</v>
      </c>
      <c r="Z4642">
        <v>2.6497710000000001E-2</v>
      </c>
      <c r="AA4642">
        <v>0.97661710000000002</v>
      </c>
      <c r="AB4642">
        <v>24</v>
      </c>
      <c r="AC4642">
        <v>12.943199999999999</v>
      </c>
      <c r="AD4642">
        <v>-1.1137760328940001</v>
      </c>
      <c r="AE4642">
        <v>0.14617000000000499</v>
      </c>
      <c r="AF4642">
        <v>-2.78126754329864</v>
      </c>
      <c r="AG4642">
        <v>-1.1137760328940001</v>
      </c>
      <c r="AH4642">
        <v>12.544266916740201</v>
      </c>
      <c r="AI4642">
        <v>94.954165700520505</v>
      </c>
      <c r="AJ4642">
        <v>102.50117771313801</v>
      </c>
      <c r="AK4642">
        <v>12.897076361613101</v>
      </c>
    </row>
    <row r="4643" spans="1:37" x14ac:dyDescent="0.2">
      <c r="A4643" t="str">
        <f>"20200111154156225"</f>
        <v>20200111154156225</v>
      </c>
      <c r="B4643" t="str">
        <f>"1578728516220351"</f>
        <v>1578728516220351</v>
      </c>
      <c r="C4643" t="s">
        <v>37</v>
      </c>
      <c r="D4643">
        <v>5.4539239999999998</v>
      </c>
      <c r="E4643">
        <v>0.48516290000000001</v>
      </c>
      <c r="F4643" t="s">
        <v>39</v>
      </c>
      <c r="G4643">
        <v>-266.84960000000001</v>
      </c>
      <c r="H4643" s="1">
        <v>-1.990844E-6</v>
      </c>
      <c r="I4643">
        <v>-60.560759999999902</v>
      </c>
      <c r="J4643">
        <v>-279.762</v>
      </c>
      <c r="K4643">
        <v>1.1137189999999999</v>
      </c>
      <c r="L4643">
        <v>-60.729430000000001</v>
      </c>
      <c r="M4643">
        <v>0.97913649999999997</v>
      </c>
      <c r="N4643">
        <v>0</v>
      </c>
      <c r="O4643">
        <v>-0.20275479999999901</v>
      </c>
      <c r="P4643">
        <v>0.99894590000000005</v>
      </c>
      <c r="Q4643">
        <v>4.025074E-2</v>
      </c>
      <c r="R4643">
        <v>-2.207228E-2</v>
      </c>
      <c r="S4643">
        <v>3.0146790000000001</v>
      </c>
      <c r="T4643">
        <v>-0.25744420000000001</v>
      </c>
      <c r="U4643">
        <v>3.3355709999999997E-2</v>
      </c>
      <c r="V4643">
        <v>-0.18134639999999999</v>
      </c>
      <c r="W4643">
        <v>5.2140249999999999E-2</v>
      </c>
      <c r="X4643">
        <v>0.98203609999999897</v>
      </c>
      <c r="Y4643">
        <v>-0.2120919</v>
      </c>
      <c r="Z4643">
        <v>2.6237460000000001E-2</v>
      </c>
      <c r="AA4643">
        <v>0.97689749999999997</v>
      </c>
      <c r="AB4643">
        <v>24</v>
      </c>
      <c r="AC4643">
        <v>12.9123999999999</v>
      </c>
      <c r="AD4643">
        <v>-1.113720990844</v>
      </c>
      <c r="AE4643">
        <v>0.168670000000012</v>
      </c>
      <c r="AF4643">
        <v>-2.7629047327756902</v>
      </c>
      <c r="AG4643">
        <v>-1.113720990844</v>
      </c>
      <c r="AH4643">
        <v>12.5168501696081</v>
      </c>
      <c r="AI4643">
        <v>94.965741492548503</v>
      </c>
      <c r="AJ4643">
        <v>102.44757102446</v>
      </c>
      <c r="AK4643">
        <v>12.8664507606511</v>
      </c>
    </row>
    <row r="4644" spans="1:37" x14ac:dyDescent="0.2">
      <c r="A4644" t="str">
        <f>"20200111154156236"</f>
        <v>20200111154156236</v>
      </c>
      <c r="B4644" t="str">
        <f>"1578728516231087"</f>
        <v>1578728516231087</v>
      </c>
      <c r="C4644" t="s">
        <v>37</v>
      </c>
      <c r="D4644">
        <v>5.4910410000000001</v>
      </c>
      <c r="E4644">
        <v>0.48523889999999997</v>
      </c>
      <c r="F4644" t="s">
        <v>52</v>
      </c>
      <c r="G4644">
        <v>-266.67910000000001</v>
      </c>
      <c r="H4644" s="1">
        <v>-1.9181389999999999E-6</v>
      </c>
      <c r="I4644">
        <v>-60.562339999999999</v>
      </c>
      <c r="J4644">
        <v>-279.63400000000001</v>
      </c>
      <c r="K4644">
        <v>1.1136569999999999</v>
      </c>
      <c r="L4644">
        <v>-60.752959999999902</v>
      </c>
      <c r="M4644">
        <v>0.979661</v>
      </c>
      <c r="N4644">
        <v>0</v>
      </c>
      <c r="O4644">
        <v>-0.20020579999999999</v>
      </c>
      <c r="P4644">
        <v>0.9990135</v>
      </c>
      <c r="Q4644">
        <v>3.9463940000000003E-2</v>
      </c>
      <c r="R4644">
        <v>-2.0363570000000001E-2</v>
      </c>
      <c r="S4644">
        <v>3.014313</v>
      </c>
      <c r="T4644">
        <v>-0.25660250000000001</v>
      </c>
      <c r="U4644">
        <v>3.8482669999999997E-2</v>
      </c>
      <c r="V4644">
        <v>-0.1804627</v>
      </c>
      <c r="W4644">
        <v>5.1380240000000001E-2</v>
      </c>
      <c r="X4644">
        <v>0.98223890000000003</v>
      </c>
      <c r="Y4644">
        <v>-0.21123339999999999</v>
      </c>
      <c r="Z4644">
        <v>2.5905839999999999E-2</v>
      </c>
      <c r="AA4644">
        <v>0.97709230000000002</v>
      </c>
      <c r="AB4644">
        <v>24</v>
      </c>
      <c r="AC4644">
        <v>12.9549</v>
      </c>
      <c r="AD4644">
        <v>-1.113658918139</v>
      </c>
      <c r="AE4644">
        <v>0.19061999999999499</v>
      </c>
      <c r="AF4644">
        <v>-2.7602486577912302</v>
      </c>
      <c r="AG4644">
        <v>-1.113658918139</v>
      </c>
      <c r="AH4644">
        <v>12.5615901149422</v>
      </c>
      <c r="AI4644">
        <v>94.9489006054052</v>
      </c>
      <c r="AJ4644">
        <v>102.393055615268</v>
      </c>
      <c r="AK4644">
        <v>12.909405681695899</v>
      </c>
    </row>
    <row r="4645" spans="1:37" x14ac:dyDescent="0.2">
      <c r="A4645" t="str">
        <f>"20200111154156247"</f>
        <v>20200111154156247</v>
      </c>
      <c r="B4645" t="str">
        <f>"1578728516240847"</f>
        <v>1578728516240847</v>
      </c>
      <c r="C4645" t="s">
        <v>37</v>
      </c>
      <c r="D4645">
        <v>5.5758019999999897</v>
      </c>
      <c r="E4645">
        <v>0.48531459999999998</v>
      </c>
      <c r="F4645" t="s">
        <v>52</v>
      </c>
      <c r="G4645">
        <v>-266.62869999999998</v>
      </c>
      <c r="H4645" s="1">
        <v>-1.8976400000000001E-6</v>
      </c>
      <c r="I4645">
        <v>-60.566559999999903</v>
      </c>
      <c r="J4645">
        <v>-279.5181</v>
      </c>
      <c r="K4645">
        <v>1.1136029999999999</v>
      </c>
      <c r="L4645">
        <v>-60.774019999999901</v>
      </c>
      <c r="M4645">
        <v>0.98012479999999902</v>
      </c>
      <c r="N4645">
        <v>0</v>
      </c>
      <c r="O4645">
        <v>-0.19792299999999999</v>
      </c>
      <c r="P4645">
        <v>0.99907169999999901</v>
      </c>
      <c r="Q4645">
        <v>3.8595999999999998E-2</v>
      </c>
      <c r="R4645">
        <v>-1.9133310000000001E-2</v>
      </c>
      <c r="S4645">
        <v>3.0140380000000002</v>
      </c>
      <c r="T4645">
        <v>-0.25809599999999999</v>
      </c>
      <c r="U4645">
        <v>4.3182369999999998E-2</v>
      </c>
      <c r="V4645">
        <v>-0.17937719999999999</v>
      </c>
      <c r="W4645">
        <v>5.0539239999999999E-2</v>
      </c>
      <c r="X4645">
        <v>0.98248139999999995</v>
      </c>
      <c r="Y4645">
        <v>-0.21047469999999999</v>
      </c>
      <c r="Z4645">
        <v>2.583413E-2</v>
      </c>
      <c r="AA4645">
        <v>0.97725790000000001</v>
      </c>
      <c r="AB4645">
        <v>24</v>
      </c>
      <c r="AC4645">
        <v>12.8894</v>
      </c>
      <c r="AD4645">
        <v>-1.1136048976399999</v>
      </c>
      <c r="AE4645">
        <v>0.20745999999999701</v>
      </c>
      <c r="AF4645">
        <v>-2.73429125694885</v>
      </c>
      <c r="AG4645">
        <v>-1.1136048976399999</v>
      </c>
      <c r="AH4645">
        <v>12.5000232401496</v>
      </c>
      <c r="AI4645">
        <v>94.973942916698107</v>
      </c>
      <c r="AJ4645">
        <v>102.33869871941501</v>
      </c>
      <c r="AK4645">
        <v>12.843949764389199</v>
      </c>
    </row>
    <row r="4646" spans="1:37" x14ac:dyDescent="0.2">
      <c r="A4646" t="str">
        <f>"20200111154156259"</f>
        <v>20200111154156259</v>
      </c>
      <c r="B4646" t="str">
        <f>"1578728516250607"</f>
        <v>1578728516250607</v>
      </c>
      <c r="C4646" t="s">
        <v>37</v>
      </c>
      <c r="D4646">
        <v>5.4490999999999996</v>
      </c>
      <c r="E4646">
        <v>0.48537150000000001</v>
      </c>
      <c r="F4646" t="s">
        <v>39</v>
      </c>
      <c r="G4646">
        <v>-266.61020000000002</v>
      </c>
      <c r="H4646" s="1">
        <v>-1.8918419999999999E-6</v>
      </c>
      <c r="I4646">
        <v>-60.574619999999904</v>
      </c>
      <c r="J4646">
        <v>-279.3981</v>
      </c>
      <c r="K4646">
        <v>1.113545</v>
      </c>
      <c r="L4646">
        <v>-60.795589999999997</v>
      </c>
      <c r="M4646">
        <v>0.9805931</v>
      </c>
      <c r="N4646">
        <v>0</v>
      </c>
      <c r="O4646">
        <v>-0.19558979999999901</v>
      </c>
      <c r="P4646">
        <v>0.99912289999999904</v>
      </c>
      <c r="Q4646">
        <v>3.7934040000000002E-2</v>
      </c>
      <c r="R4646">
        <v>-1.7734380000000001E-2</v>
      </c>
      <c r="S4646">
        <v>3.0137330000000002</v>
      </c>
      <c r="T4646">
        <v>-0.26000389999999901</v>
      </c>
      <c r="U4646">
        <v>4.653931E-2</v>
      </c>
      <c r="V4646">
        <v>-0.17840739999999999</v>
      </c>
      <c r="W4646">
        <v>4.9903459999999997E-2</v>
      </c>
      <c r="X4646">
        <v>0.98269039999999996</v>
      </c>
      <c r="Y4646">
        <v>-0.2092291</v>
      </c>
      <c r="Z4646">
        <v>2.5775590000000001E-2</v>
      </c>
      <c r="AA4646">
        <v>0.97752689999999998</v>
      </c>
      <c r="AB4646">
        <v>24</v>
      </c>
      <c r="AC4646">
        <v>12.787899999999899</v>
      </c>
      <c r="AD4646">
        <v>-1.113546891842</v>
      </c>
      <c r="AE4646">
        <v>0.22097000000000799</v>
      </c>
      <c r="AF4646">
        <v>-2.6976623435206699</v>
      </c>
      <c r="AG4646">
        <v>-1.113546891842</v>
      </c>
      <c r="AH4646">
        <v>12.4036194280646</v>
      </c>
      <c r="AI4646">
        <v>95.013446686573701</v>
      </c>
      <c r="AJ4646">
        <v>102.270169548155</v>
      </c>
      <c r="AK4646">
        <v>12.7423366662572</v>
      </c>
    </row>
    <row r="4647" spans="1:37" x14ac:dyDescent="0.2">
      <c r="A4647" t="str">
        <f>"20200111154156270"</f>
        <v>20200111154156270</v>
      </c>
      <c r="B4647" t="str">
        <f>"1578728516260366"</f>
        <v>1578728516260366</v>
      </c>
      <c r="C4647" t="s">
        <v>37</v>
      </c>
      <c r="D4647">
        <v>5.5268100000000002</v>
      </c>
      <c r="E4647">
        <v>0.48545529999999998</v>
      </c>
      <c r="F4647" t="s">
        <v>52</v>
      </c>
      <c r="G4647">
        <v>-266.5523</v>
      </c>
      <c r="H4647" s="1">
        <v>-1.868508E-6</v>
      </c>
      <c r="I4647">
        <v>-60.580350000000003</v>
      </c>
      <c r="J4647">
        <v>-279.28680000000003</v>
      </c>
      <c r="K4647">
        <v>1.11349599999999</v>
      </c>
      <c r="L4647">
        <v>-60.815339999999999</v>
      </c>
      <c r="M4647">
        <v>0.98101399999999905</v>
      </c>
      <c r="N4647">
        <v>0</v>
      </c>
      <c r="O4647">
        <v>-0.19346859999999999</v>
      </c>
      <c r="P4647">
        <v>0.99916319999999903</v>
      </c>
      <c r="Q4647">
        <v>3.7225500000000002E-2</v>
      </c>
      <c r="R4647">
        <v>-1.6949039999999999E-2</v>
      </c>
      <c r="S4647">
        <v>3.013458</v>
      </c>
      <c r="T4647">
        <v>-0.2612236</v>
      </c>
      <c r="U4647">
        <v>5.0476069999999998E-2</v>
      </c>
      <c r="V4647">
        <v>-0.17704779999999901</v>
      </c>
      <c r="W4647">
        <v>4.9223379999999997E-2</v>
      </c>
      <c r="X4647">
        <v>0.98297060000000003</v>
      </c>
      <c r="Y4647">
        <v>-0.20838950000000001</v>
      </c>
      <c r="Z4647">
        <v>2.568136E-2</v>
      </c>
      <c r="AA4647">
        <v>0.97770869999999999</v>
      </c>
      <c r="AB4647">
        <v>24</v>
      </c>
      <c r="AC4647">
        <v>12.734500000000001</v>
      </c>
      <c r="AD4647">
        <v>-1.1134978685079999</v>
      </c>
      <c r="AE4647">
        <v>0.23498999999999601</v>
      </c>
      <c r="AF4647">
        <v>-2.6740608121121499</v>
      </c>
      <c r="AG4647">
        <v>-1.1134978685079999</v>
      </c>
      <c r="AH4647">
        <v>12.353966840993801</v>
      </c>
      <c r="AI4647">
        <v>95.034348184344196</v>
      </c>
      <c r="AJ4647">
        <v>102.213462686238</v>
      </c>
      <c r="AK4647">
        <v>12.689010025940499</v>
      </c>
    </row>
    <row r="4648" spans="1:37" x14ac:dyDescent="0.2">
      <c r="A4648" t="str">
        <f>"20200111154156279"</f>
        <v>20200111154156279</v>
      </c>
      <c r="B4648" t="str">
        <f>"1578728516271103"</f>
        <v>1578728516271103</v>
      </c>
      <c r="C4648" t="s">
        <v>37</v>
      </c>
      <c r="D4648">
        <v>5.5242170000000002</v>
      </c>
      <c r="E4648">
        <v>0.48552269999999997</v>
      </c>
      <c r="F4648" t="s">
        <v>39</v>
      </c>
      <c r="G4648">
        <v>-266.50330000000002</v>
      </c>
      <c r="H4648" s="1">
        <v>-1.8508539999999999E-6</v>
      </c>
      <c r="I4648">
        <v>-60.592959999999998</v>
      </c>
      <c r="J4648">
        <v>-279.17759999999998</v>
      </c>
      <c r="K4648">
        <v>1.1134459999999999</v>
      </c>
      <c r="L4648">
        <v>-60.834589999999999</v>
      </c>
      <c r="M4648">
        <v>0.98141909999999899</v>
      </c>
      <c r="N4648">
        <v>0</v>
      </c>
      <c r="O4648">
        <v>-0.19140279999999901</v>
      </c>
      <c r="P4648">
        <v>0.99919749999999996</v>
      </c>
      <c r="Q4648">
        <v>3.662837E-2</v>
      </c>
      <c r="R4648">
        <v>-1.620518E-2</v>
      </c>
      <c r="S4648">
        <v>3.0131839999999999</v>
      </c>
      <c r="T4648">
        <v>-0.26246039999999998</v>
      </c>
      <c r="U4648">
        <v>5.2398680000000003E-2</v>
      </c>
      <c r="V4648">
        <v>-0.175704</v>
      </c>
      <c r="W4648">
        <v>4.8654240000000001E-2</v>
      </c>
      <c r="X4648">
        <v>0.98324</v>
      </c>
      <c r="Y4648">
        <v>-0.20695439999999901</v>
      </c>
      <c r="Z4648">
        <v>2.5565399999999999E-2</v>
      </c>
      <c r="AA4648">
        <v>0.97801649999999996</v>
      </c>
      <c r="AB4648">
        <v>24</v>
      </c>
      <c r="AC4648">
        <v>12.674299999999899</v>
      </c>
      <c r="AD4648">
        <v>-1.113447850854</v>
      </c>
      <c r="AE4648">
        <v>0.24163000000000701</v>
      </c>
      <c r="AF4648">
        <v>-2.6428887380762398</v>
      </c>
      <c r="AG4648">
        <v>-1.113447850854</v>
      </c>
      <c r="AH4648">
        <v>12.2987915806047</v>
      </c>
      <c r="AI4648">
        <v>95.058211757568898</v>
      </c>
      <c r="AJ4648">
        <v>102.127862263954</v>
      </c>
      <c r="AK4648">
        <v>12.628733164556699</v>
      </c>
    </row>
    <row r="4649" spans="1:37" x14ac:dyDescent="0.2">
      <c r="A4649" t="str">
        <f>"20200111154156290"</f>
        <v>20200111154156290</v>
      </c>
      <c r="B4649" t="str">
        <f>"1578728516280863"</f>
        <v>1578728516280863</v>
      </c>
      <c r="C4649" t="s">
        <v>37</v>
      </c>
      <c r="D4649">
        <v>5.5284579999999997</v>
      </c>
      <c r="E4649">
        <v>0.48559659999999899</v>
      </c>
      <c r="F4649" t="s">
        <v>39</v>
      </c>
      <c r="G4649">
        <v>-266.44580000000002</v>
      </c>
      <c r="H4649" s="1">
        <v>-1.8292730000000001E-6</v>
      </c>
      <c r="I4649">
        <v>-60.604599999999998</v>
      </c>
      <c r="J4649">
        <v>-279.07279999999997</v>
      </c>
      <c r="K4649">
        <v>1.113399</v>
      </c>
      <c r="L4649">
        <v>-60.85275</v>
      </c>
      <c r="M4649">
        <v>0.98179430000000001</v>
      </c>
      <c r="N4649">
        <v>0</v>
      </c>
      <c r="O4649">
        <v>-0.1894699</v>
      </c>
      <c r="P4649">
        <v>0.99921249999999995</v>
      </c>
      <c r="Q4649">
        <v>3.6470160000000001E-2</v>
      </c>
      <c r="R4649">
        <v>-1.5631799999999901E-2</v>
      </c>
      <c r="S4649">
        <v>3.0129389999999998</v>
      </c>
      <c r="T4649">
        <v>-0.26349440000000002</v>
      </c>
      <c r="U4649">
        <v>5.4412839999999997E-2</v>
      </c>
      <c r="V4649">
        <v>-0.17432520000000001</v>
      </c>
      <c r="W4649">
        <v>4.8522309999999999E-2</v>
      </c>
      <c r="X4649">
        <v>0.98349189999999997</v>
      </c>
      <c r="Y4649">
        <v>-0.20568330000000001</v>
      </c>
      <c r="Z4649">
        <v>2.544596E-2</v>
      </c>
      <c r="AA4649">
        <v>0.97828780000000004</v>
      </c>
      <c r="AB4649">
        <v>24</v>
      </c>
      <c r="AC4649">
        <v>12.626999999999899</v>
      </c>
      <c r="AD4649">
        <v>-1.113400829273</v>
      </c>
      <c r="AE4649">
        <v>0.24815000000000201</v>
      </c>
      <c r="AF4649">
        <v>-2.6159759542899201</v>
      </c>
      <c r="AG4649">
        <v>-1.113400829273</v>
      </c>
      <c r="AH4649">
        <v>12.2559643385396</v>
      </c>
      <c r="AI4649">
        <v>95.077075981031498</v>
      </c>
      <c r="AJ4649">
        <v>102.04870188574</v>
      </c>
      <c r="AK4649">
        <v>12.581401093185301</v>
      </c>
    </row>
    <row r="4650" spans="1:37" x14ac:dyDescent="0.2">
      <c r="A4650" t="str">
        <f>"20200111154156301"</f>
        <v>20200111154156301</v>
      </c>
      <c r="B4650" t="str">
        <f>"1578728516290623"</f>
        <v>1578728516290623</v>
      </c>
      <c r="C4650" t="s">
        <v>37</v>
      </c>
      <c r="D4650">
        <v>5.5148390000000003</v>
      </c>
      <c r="E4650">
        <v>0.48566540000000002</v>
      </c>
      <c r="F4650" t="s">
        <v>52</v>
      </c>
      <c r="G4650">
        <v>-266.35739999999998</v>
      </c>
      <c r="H4650" s="1">
        <v>-1.79474799999999E-6</v>
      </c>
      <c r="I4650">
        <v>-60.617369999999902</v>
      </c>
      <c r="J4650">
        <v>-278.9563</v>
      </c>
      <c r="K4650">
        <v>1.113345</v>
      </c>
      <c r="L4650">
        <v>-60.872889999999998</v>
      </c>
      <c r="M4650">
        <v>0.98220350000000001</v>
      </c>
      <c r="N4650">
        <v>0</v>
      </c>
      <c r="O4650">
        <v>-0.1873378</v>
      </c>
      <c r="P4650">
        <v>0.99922819999999901</v>
      </c>
      <c r="Q4650">
        <v>3.6372359999999999E-2</v>
      </c>
      <c r="R4650">
        <v>-1.48471E-2</v>
      </c>
      <c r="S4650">
        <v>3.01287799999999</v>
      </c>
      <c r="T4650">
        <v>-0.26381690000000002</v>
      </c>
      <c r="U4650">
        <v>5.5755619999999999E-2</v>
      </c>
      <c r="V4650">
        <v>-0.17295569999999999</v>
      </c>
      <c r="W4650">
        <v>4.845182E-2</v>
      </c>
      <c r="X4650">
        <v>0.98373709999999903</v>
      </c>
      <c r="Y4650">
        <v>-0.20400579999999999</v>
      </c>
      <c r="Z4650">
        <v>2.5220340000000001E-2</v>
      </c>
      <c r="AA4650">
        <v>0.97864479999999998</v>
      </c>
      <c r="AB4650">
        <v>24</v>
      </c>
      <c r="AC4650">
        <v>12.5989</v>
      </c>
      <c r="AD4650">
        <v>-1.113346794748</v>
      </c>
      <c r="AE4650">
        <v>0.25552000000001102</v>
      </c>
      <c r="AF4650">
        <v>-2.5912323515823799</v>
      </c>
      <c r="AG4650">
        <v>-1.113346794748</v>
      </c>
      <c r="AH4650">
        <v>12.232445872885799</v>
      </c>
      <c r="AI4650">
        <v>95.088200629475693</v>
      </c>
      <c r="AJ4650">
        <v>101.96031417345699</v>
      </c>
      <c r="AK4650">
        <v>12.5533564522937</v>
      </c>
    </row>
    <row r="4651" spans="1:37" x14ac:dyDescent="0.2">
      <c r="A4651" t="str">
        <f>"20200111154156311"</f>
        <v>20200111154156311</v>
      </c>
      <c r="B4651" t="str">
        <f>"1578728516300383"</f>
        <v>1578728516300383</v>
      </c>
      <c r="C4651" t="s">
        <v>37</v>
      </c>
      <c r="D4651">
        <v>5.5200699999999996</v>
      </c>
      <c r="E4651">
        <v>0.48574709999999899</v>
      </c>
      <c r="F4651" t="s">
        <v>52</v>
      </c>
      <c r="G4651">
        <v>-266.24740000000003</v>
      </c>
      <c r="H4651" s="1">
        <v>-1.750621E-6</v>
      </c>
      <c r="I4651">
        <v>-60.6288699999999</v>
      </c>
      <c r="J4651">
        <v>-278.85109999999997</v>
      </c>
      <c r="K4651">
        <v>1.113299</v>
      </c>
      <c r="L4651">
        <v>-60.890719999999902</v>
      </c>
      <c r="M4651">
        <v>0.98255870000000001</v>
      </c>
      <c r="N4651">
        <v>0</v>
      </c>
      <c r="O4651">
        <v>-0.1854664</v>
      </c>
      <c r="P4651">
        <v>0.99923059999999997</v>
      </c>
      <c r="Q4651">
        <v>3.6424480000000002E-2</v>
      </c>
      <c r="R4651">
        <v>-1.455416E-2</v>
      </c>
      <c r="S4651">
        <v>3.0127869999999999</v>
      </c>
      <c r="T4651">
        <v>-0.2639302</v>
      </c>
      <c r="U4651">
        <v>5.7830810000000003E-2</v>
      </c>
      <c r="V4651">
        <v>-0.171363299999999</v>
      </c>
      <c r="W4651">
        <v>4.8528509999999997E-2</v>
      </c>
      <c r="X4651">
        <v>0.984012</v>
      </c>
      <c r="Y4651">
        <v>-0.2028259</v>
      </c>
      <c r="Z4651">
        <v>2.5018840000000001E-2</v>
      </c>
      <c r="AA4651">
        <v>0.97889509999999902</v>
      </c>
      <c r="AB4651">
        <v>24</v>
      </c>
      <c r="AC4651">
        <v>12.6036999999999</v>
      </c>
      <c r="AD4651">
        <v>-1.113300750621</v>
      </c>
      <c r="AE4651">
        <v>0.26185000000000203</v>
      </c>
      <c r="AF4651">
        <v>-2.5749977024803901</v>
      </c>
      <c r="AG4651">
        <v>-1.113300750621</v>
      </c>
      <c r="AH4651">
        <v>12.240957049728401</v>
      </c>
      <c r="AI4651">
        <v>95.085978542210398</v>
      </c>
      <c r="AJ4651">
        <v>101.879488038937</v>
      </c>
      <c r="AK4651">
        <v>12.5583072594362</v>
      </c>
    </row>
    <row r="4652" spans="1:37" x14ac:dyDescent="0.2">
      <c r="A4652" t="str">
        <f>"20200111154156322"</f>
        <v>20200111154156322</v>
      </c>
      <c r="B4652" t="str">
        <f>"1578728516310754"</f>
        <v>1578728516310754</v>
      </c>
      <c r="C4652" t="s">
        <v>37</v>
      </c>
      <c r="D4652">
        <v>5.4906180000000004</v>
      </c>
      <c r="E4652">
        <v>0.48581540000000001</v>
      </c>
      <c r="F4652" t="s">
        <v>52</v>
      </c>
      <c r="G4652">
        <v>-266.1388</v>
      </c>
      <c r="H4652" s="1">
        <v>-1.708229E-6</v>
      </c>
      <c r="I4652">
        <v>-60.644569999999902</v>
      </c>
      <c r="J4652">
        <v>-278.73770000000002</v>
      </c>
      <c r="K4652">
        <v>1.113251</v>
      </c>
      <c r="L4652">
        <v>-60.909909999999897</v>
      </c>
      <c r="M4652">
        <v>0.98293569999999997</v>
      </c>
      <c r="N4652">
        <v>0</v>
      </c>
      <c r="O4652">
        <v>-0.1834586</v>
      </c>
      <c r="P4652">
        <v>0.99924089999999999</v>
      </c>
      <c r="Q4652">
        <v>3.6333860000000003E-2</v>
      </c>
      <c r="R4652">
        <v>-1.407013E-2</v>
      </c>
      <c r="S4652">
        <v>3.0128169999999899</v>
      </c>
      <c r="T4652">
        <v>-0.26385349999999902</v>
      </c>
      <c r="U4652">
        <v>5.8319089999999997E-2</v>
      </c>
      <c r="V4652">
        <v>-0.16982269999999999</v>
      </c>
      <c r="W4652">
        <v>4.8461829999999997E-2</v>
      </c>
      <c r="X4652">
        <v>0.98428230000000005</v>
      </c>
      <c r="Y4652">
        <v>-0.20099929999999999</v>
      </c>
      <c r="Z4652">
        <v>2.4758189999999999E-2</v>
      </c>
      <c r="AA4652">
        <v>0.97927839999999999</v>
      </c>
      <c r="AB4652">
        <v>24</v>
      </c>
      <c r="AC4652">
        <v>12.5989</v>
      </c>
      <c r="AD4652">
        <v>-1.113252708229</v>
      </c>
      <c r="AE4652">
        <v>0.26534000000000102</v>
      </c>
      <c r="AF4652">
        <v>-2.55250041228124</v>
      </c>
      <c r="AG4652">
        <v>-1.113252708229</v>
      </c>
      <c r="AH4652">
        <v>12.240812147667601</v>
      </c>
      <c r="AI4652">
        <v>95.087683500104205</v>
      </c>
      <c r="AJ4652">
        <v>101.778746391556</v>
      </c>
      <c r="AK4652">
        <v>12.553568097619101</v>
      </c>
    </row>
    <row r="4653" spans="1:37" x14ac:dyDescent="0.2">
      <c r="A4653" t="str">
        <f>"20200111154156333"</f>
        <v>20200111154156333</v>
      </c>
      <c r="B4653" t="str">
        <f>"1578728516330274"</f>
        <v>1578728516330274</v>
      </c>
      <c r="C4653" t="s">
        <v>37</v>
      </c>
      <c r="D4653">
        <v>5.5673649999999997</v>
      </c>
      <c r="E4653">
        <v>0.48597229999999902</v>
      </c>
      <c r="F4653" t="s">
        <v>39</v>
      </c>
      <c r="G4653">
        <v>-266.0419</v>
      </c>
      <c r="H4653" s="1">
        <v>-1.6705209999999899E-6</v>
      </c>
      <c r="I4653">
        <v>-60.659190000000002</v>
      </c>
      <c r="J4653">
        <v>-278.63029999999998</v>
      </c>
      <c r="K4653">
        <v>1.1132029999999999</v>
      </c>
      <c r="L4653">
        <v>-60.927799999999998</v>
      </c>
      <c r="M4653">
        <v>0.98327759999999997</v>
      </c>
      <c r="N4653">
        <v>0</v>
      </c>
      <c r="O4653">
        <v>-0.18161930000000001</v>
      </c>
      <c r="P4653">
        <v>0.99923069999999903</v>
      </c>
      <c r="Q4653">
        <v>3.670814E-2</v>
      </c>
      <c r="R4653">
        <v>-1.3813560000000001E-2</v>
      </c>
      <c r="S4653">
        <v>3.0127259999999998</v>
      </c>
      <c r="T4653">
        <v>-0.26417449999999998</v>
      </c>
      <c r="U4653">
        <v>5.9478759999999999E-2</v>
      </c>
      <c r="V4653">
        <v>-0.16822679999999901</v>
      </c>
      <c r="W4653">
        <v>4.8853800000000003E-2</v>
      </c>
      <c r="X4653">
        <v>0.98453690000000005</v>
      </c>
      <c r="Y4653">
        <v>-0.19955300000000001</v>
      </c>
      <c r="Z4653">
        <v>2.4566660000000001E-2</v>
      </c>
      <c r="AA4653">
        <v>0.97957899999999998</v>
      </c>
      <c r="AB4653">
        <v>24</v>
      </c>
      <c r="AC4653">
        <v>12.588399999999901</v>
      </c>
      <c r="AD4653">
        <v>-1.1132046705209999</v>
      </c>
      <c r="AE4653">
        <v>0.26860999999999502</v>
      </c>
      <c r="AF4653">
        <v>-2.5308612104413202</v>
      </c>
      <c r="AG4653">
        <v>-1.1132046705209999</v>
      </c>
      <c r="AH4653">
        <v>12.2345828434974</v>
      </c>
      <c r="AI4653">
        <v>95.091718119346098</v>
      </c>
      <c r="AJ4653">
        <v>101.68743004438601</v>
      </c>
      <c r="AK4653">
        <v>12.543105694340101</v>
      </c>
    </row>
    <row r="4654" spans="1:37" x14ac:dyDescent="0.2">
      <c r="A4654" t="str">
        <f>"20200111154156345"</f>
        <v>20200111154156345</v>
      </c>
      <c r="B4654" t="str">
        <f>"1578728516341011"</f>
        <v>1578728516341011</v>
      </c>
      <c r="C4654" t="s">
        <v>37</v>
      </c>
      <c r="D4654">
        <v>5.758648</v>
      </c>
      <c r="E4654">
        <v>0.48601490000000003</v>
      </c>
      <c r="F4654" t="s">
        <v>52</v>
      </c>
      <c r="G4654">
        <v>-265.97699999999998</v>
      </c>
      <c r="H4654" s="1">
        <v>-1.6480740000000001E-6</v>
      </c>
      <c r="I4654">
        <v>-60.679469999999903</v>
      </c>
      <c r="J4654">
        <v>-278.50599999999997</v>
      </c>
      <c r="K4654">
        <v>1.113146</v>
      </c>
      <c r="L4654">
        <v>-60.948360000000001</v>
      </c>
      <c r="M4654">
        <v>0.98366580000000003</v>
      </c>
      <c r="N4654">
        <v>0</v>
      </c>
      <c r="O4654">
        <v>-0.17950559999999999</v>
      </c>
      <c r="P4654">
        <v>0.9992278</v>
      </c>
      <c r="Q4654">
        <v>3.6962979999999999E-2</v>
      </c>
      <c r="R4654">
        <v>-1.3330730000000001E-2</v>
      </c>
      <c r="S4654">
        <v>3.01287799999999</v>
      </c>
      <c r="T4654">
        <v>-0.26506459999999998</v>
      </c>
      <c r="U4654">
        <v>5.911255E-2</v>
      </c>
      <c r="V4654">
        <v>-0.166578</v>
      </c>
      <c r="W4654">
        <v>4.9125750000000003E-2</v>
      </c>
      <c r="X4654">
        <v>0.98480369999999995</v>
      </c>
      <c r="Y4654">
        <v>-0.19733410000000001</v>
      </c>
      <c r="Z4654">
        <v>2.4367030000000001E-2</v>
      </c>
      <c r="AA4654">
        <v>0.98003340000000005</v>
      </c>
      <c r="AB4654">
        <v>24</v>
      </c>
      <c r="AC4654">
        <v>12.5289999999999</v>
      </c>
      <c r="AD4654">
        <v>-1.1131476480739999</v>
      </c>
      <c r="AE4654">
        <v>0.26889000000000601</v>
      </c>
      <c r="AF4654">
        <v>-2.4940709425263701</v>
      </c>
      <c r="AG4654">
        <v>-1.1131476480739999</v>
      </c>
      <c r="AH4654">
        <v>12.1810747153951</v>
      </c>
      <c r="AI4654">
        <v>95.115826863608206</v>
      </c>
      <c r="AJ4654">
        <v>101.571360756917</v>
      </c>
      <c r="AK4654">
        <v>12.4835118766637</v>
      </c>
    </row>
    <row r="4655" spans="1:37" x14ac:dyDescent="0.2">
      <c r="A4655" t="str">
        <f>"20200111154156356"</f>
        <v>20200111154156356</v>
      </c>
      <c r="B4655" t="str">
        <f>"1578728516350770"</f>
        <v>1578728516350770</v>
      </c>
      <c r="C4655" t="s">
        <v>37</v>
      </c>
      <c r="D4655">
        <v>5.5542730000000002</v>
      </c>
      <c r="E4655">
        <v>0.48605369999999998</v>
      </c>
      <c r="F4655" t="s">
        <v>52</v>
      </c>
      <c r="G4655">
        <v>-265.78870000000001</v>
      </c>
      <c r="H4655" s="1">
        <v>-1.5708539999999899E-6</v>
      </c>
      <c r="I4655">
        <v>-60.692729999999997</v>
      </c>
      <c r="J4655">
        <v>-278.38869999999997</v>
      </c>
      <c r="K4655">
        <v>1.1130910000000001</v>
      </c>
      <c r="L4655">
        <v>-60.967500000000001</v>
      </c>
      <c r="M4655">
        <v>0.98401740000000004</v>
      </c>
      <c r="N4655">
        <v>0</v>
      </c>
      <c r="O4655">
        <v>-0.17756939999999999</v>
      </c>
      <c r="P4655">
        <v>0.99921450000000001</v>
      </c>
      <c r="Q4655">
        <v>3.7442959999999997E-2</v>
      </c>
      <c r="R4655">
        <v>-1.2984509999999999E-2</v>
      </c>
      <c r="S4655">
        <v>3.0129090000000001</v>
      </c>
      <c r="T4655">
        <v>-0.26372209999999902</v>
      </c>
      <c r="U4655">
        <v>6.0546879999999997E-2</v>
      </c>
      <c r="V4655">
        <v>-0.16497329999999999</v>
      </c>
      <c r="W4655">
        <v>4.961819E-2</v>
      </c>
      <c r="X4655">
        <v>0.98504910000000001</v>
      </c>
      <c r="Y4655">
        <v>-0.1958985</v>
      </c>
      <c r="Z4655">
        <v>2.4013960000000001E-2</v>
      </c>
      <c r="AA4655">
        <v>0.98033009999999998</v>
      </c>
      <c r="AB4655">
        <v>24</v>
      </c>
      <c r="AC4655">
        <v>12.5999999999999</v>
      </c>
      <c r="AD4655">
        <v>-1.113092570854</v>
      </c>
      <c r="AE4655">
        <v>0.27476999999999602</v>
      </c>
      <c r="AF4655">
        <v>-2.4885654829533501</v>
      </c>
      <c r="AG4655">
        <v>-1.113092570854</v>
      </c>
      <c r="AH4655">
        <v>12.2553370003934</v>
      </c>
      <c r="AI4655">
        <v>95.086413433254805</v>
      </c>
      <c r="AJ4655">
        <v>101.478400070452</v>
      </c>
      <c r="AK4655">
        <v>12.5548882204283</v>
      </c>
    </row>
    <row r="4656" spans="1:37" x14ac:dyDescent="0.2">
      <c r="A4656" t="str">
        <f>"20200111154156367"</f>
        <v>20200111154156367</v>
      </c>
      <c r="B4656" t="str">
        <f>"1578728516360530"</f>
        <v>1578728516360530</v>
      </c>
      <c r="C4656" t="s">
        <v>37</v>
      </c>
      <c r="D4656">
        <v>5.479158</v>
      </c>
      <c r="E4656">
        <v>0.48610219999999998</v>
      </c>
      <c r="F4656" t="s">
        <v>52</v>
      </c>
      <c r="G4656">
        <v>-265.58069999999998</v>
      </c>
      <c r="H4656" s="1">
        <v>-1.4851169999999901E-6</v>
      </c>
      <c r="I4656">
        <v>-60.705889999999997</v>
      </c>
      <c r="J4656">
        <v>-278.27289999999999</v>
      </c>
      <c r="K4656">
        <v>1.113046</v>
      </c>
      <c r="L4656">
        <v>-60.986240000000002</v>
      </c>
      <c r="M4656">
        <v>0.98435620000000001</v>
      </c>
      <c r="N4656">
        <v>0</v>
      </c>
      <c r="O4656">
        <v>-0.17568339999999999</v>
      </c>
      <c r="P4656">
        <v>0.99919650000000004</v>
      </c>
      <c r="Q4656">
        <v>3.7973560000000003E-2</v>
      </c>
      <c r="R4656">
        <v>-1.282519E-2</v>
      </c>
      <c r="S4656">
        <v>3.0129700000000001</v>
      </c>
      <c r="T4656">
        <v>-0.26184550000000001</v>
      </c>
      <c r="U4656">
        <v>6.1523439999999999E-2</v>
      </c>
      <c r="V4656">
        <v>-0.1632345</v>
      </c>
      <c r="W4656">
        <v>5.0162060000000001E-2</v>
      </c>
      <c r="X4656">
        <v>0.9853113</v>
      </c>
      <c r="Y4656">
        <v>-0.19436979999999901</v>
      </c>
      <c r="Z4656">
        <v>2.3615199999999999E-2</v>
      </c>
      <c r="AA4656">
        <v>0.98064399999999996</v>
      </c>
      <c r="AB4656">
        <v>24</v>
      </c>
      <c r="AC4656">
        <v>12.6922</v>
      </c>
      <c r="AD4656">
        <v>-1.113047485117</v>
      </c>
      <c r="AE4656">
        <v>0.28034999999999799</v>
      </c>
      <c r="AF4656">
        <v>-2.4868804393839499</v>
      </c>
      <c r="AG4656">
        <v>-1.113047485117</v>
      </c>
      <c r="AH4656">
        <v>12.350566461311599</v>
      </c>
      <c r="AI4656">
        <v>95.048855036715906</v>
      </c>
      <c r="AJ4656">
        <v>101.384706019704</v>
      </c>
      <c r="AK4656">
        <v>12.6475270681344</v>
      </c>
    </row>
    <row r="4657" spans="1:37" x14ac:dyDescent="0.2">
      <c r="A4657" t="str">
        <f>"20200111154156379"</f>
        <v>20200111154156379</v>
      </c>
      <c r="B4657" t="str">
        <f>"1578728516370291"</f>
        <v>1578728516370291</v>
      </c>
      <c r="C4657" t="s">
        <v>37</v>
      </c>
      <c r="D4657">
        <v>5.5659010000000002</v>
      </c>
      <c r="E4657">
        <v>0.48612870000000002</v>
      </c>
      <c r="F4657" t="s">
        <v>39</v>
      </c>
      <c r="G4657">
        <v>-265.35829999999999</v>
      </c>
      <c r="H4657" s="1">
        <v>-1.3938069999999899E-6</v>
      </c>
      <c r="I4657">
        <v>-60.721290000000003</v>
      </c>
      <c r="J4657">
        <v>-278.15230000000003</v>
      </c>
      <c r="K4657">
        <v>1.1129959999999901</v>
      </c>
      <c r="L4657">
        <v>-61.005580000000002</v>
      </c>
      <c r="M4657">
        <v>0.98469869999999904</v>
      </c>
      <c r="N4657">
        <v>0</v>
      </c>
      <c r="O4657">
        <v>-0.17375560000000001</v>
      </c>
      <c r="P4657">
        <v>0.99917489999999998</v>
      </c>
      <c r="Q4657">
        <v>3.8620269999999998E-2</v>
      </c>
      <c r="R4657">
        <v>-1.25755E-2</v>
      </c>
      <c r="S4657">
        <v>3.0130619999999899</v>
      </c>
      <c r="T4657">
        <v>-0.25968069999999999</v>
      </c>
      <c r="U4657">
        <v>6.1798100000000002E-2</v>
      </c>
      <c r="V4657">
        <v>-0.1615431</v>
      </c>
      <c r="W4657">
        <v>5.0821640000000001E-2</v>
      </c>
      <c r="X4657">
        <v>0.98555619999999999</v>
      </c>
      <c r="Y4657">
        <v>-0.19257449999999901</v>
      </c>
      <c r="Z4657">
        <v>2.317874E-2</v>
      </c>
      <c r="AA4657">
        <v>0.98100859999999901</v>
      </c>
      <c r="AB4657">
        <v>24</v>
      </c>
      <c r="AC4657">
        <v>12.794</v>
      </c>
      <c r="AD4657">
        <v>-1.1129973938069999</v>
      </c>
      <c r="AE4657">
        <v>0.28428999999999799</v>
      </c>
      <c r="AF4657">
        <v>-2.4843988473342402</v>
      </c>
      <c r="AG4657">
        <v>-1.1129973938069999</v>
      </c>
      <c r="AH4657">
        <v>12.4557345251734</v>
      </c>
      <c r="AI4657">
        <v>95.008042259273097</v>
      </c>
      <c r="AJ4657">
        <v>101.280082500696</v>
      </c>
      <c r="AK4657">
        <v>12.749757777811</v>
      </c>
    </row>
    <row r="4658" spans="1:37" x14ac:dyDescent="0.2">
      <c r="A4658" t="str">
        <f>"20200111154156390"</f>
        <v>20200111154156390</v>
      </c>
      <c r="B4658" t="str">
        <f>"1578728516381027"</f>
        <v>1578728516381027</v>
      </c>
      <c r="C4658" t="s">
        <v>37</v>
      </c>
      <c r="D4658">
        <v>5.5484439999999999</v>
      </c>
      <c r="E4658">
        <v>0.48615409999999998</v>
      </c>
      <c r="F4658" t="s">
        <v>52</v>
      </c>
      <c r="G4658">
        <v>-265.12619999999998</v>
      </c>
      <c r="H4658" s="1">
        <v>-1.2978919999999899E-6</v>
      </c>
      <c r="I4658">
        <v>-60.735059999999997</v>
      </c>
      <c r="J4658">
        <v>-278.03870000000001</v>
      </c>
      <c r="K4658">
        <v>1.112949</v>
      </c>
      <c r="L4658">
        <v>-61.023559999999897</v>
      </c>
      <c r="M4658">
        <v>0.98501050000000001</v>
      </c>
      <c r="N4658">
        <v>0</v>
      </c>
      <c r="O4658">
        <v>-0.17198089999999999</v>
      </c>
      <c r="P4658">
        <v>0.999150599999999</v>
      </c>
      <c r="Q4658">
        <v>3.9276070000000003E-2</v>
      </c>
      <c r="R4658">
        <v>-1.248286E-2</v>
      </c>
      <c r="S4658">
        <v>3.0131839999999999</v>
      </c>
      <c r="T4658">
        <v>-0.25745810000000002</v>
      </c>
      <c r="U4658">
        <v>6.2561039999999998E-2</v>
      </c>
      <c r="V4658">
        <v>-0.15985070000000001</v>
      </c>
      <c r="W4658">
        <v>5.1488329999999999E-2</v>
      </c>
      <c r="X4658">
        <v>0.98579749999999999</v>
      </c>
      <c r="Y4658">
        <v>-0.1910888</v>
      </c>
      <c r="Z4658">
        <v>2.276707E-2</v>
      </c>
      <c r="AA4658">
        <v>0.98130869999999903</v>
      </c>
      <c r="AB4658">
        <v>24</v>
      </c>
      <c r="AC4658">
        <v>12.9125</v>
      </c>
      <c r="AD4658">
        <v>-1.1129502978919901</v>
      </c>
      <c r="AE4658">
        <v>0.28849999999999898</v>
      </c>
      <c r="AF4658">
        <v>-2.4866364407908099</v>
      </c>
      <c r="AG4658">
        <v>-1.1129502978919901</v>
      </c>
      <c r="AH4658">
        <v>12.577063749407699</v>
      </c>
      <c r="AI4658">
        <v>94.961410384654897</v>
      </c>
      <c r="AJ4658">
        <v>101.183826531969</v>
      </c>
      <c r="AK4658">
        <v>12.8687432063474</v>
      </c>
    </row>
    <row r="4659" spans="1:37" x14ac:dyDescent="0.2">
      <c r="A4659" t="str">
        <f>"20200111154156400"</f>
        <v>20200111154156400</v>
      </c>
      <c r="B4659" t="str">
        <f>"1578728516390788"</f>
        <v>1578728516390788</v>
      </c>
      <c r="C4659" t="s">
        <v>37</v>
      </c>
      <c r="D4659">
        <v>5.6108390000000004</v>
      </c>
      <c r="E4659">
        <v>0.48620550000000001</v>
      </c>
      <c r="F4659" t="s">
        <v>52</v>
      </c>
      <c r="G4659">
        <v>-264.8981</v>
      </c>
      <c r="H4659" s="1">
        <v>-1.2038349999999999E-6</v>
      </c>
      <c r="I4659">
        <v>-60.749339999999997</v>
      </c>
      <c r="J4659">
        <v>-277.9246</v>
      </c>
      <c r="K4659">
        <v>1.112906</v>
      </c>
      <c r="L4659">
        <v>-61.041499999999999</v>
      </c>
      <c r="M4659">
        <v>0.98531659999999899</v>
      </c>
      <c r="N4659">
        <v>0</v>
      </c>
      <c r="O4659">
        <v>-0.17022029999999999</v>
      </c>
      <c r="P4659">
        <v>0.99912409999999996</v>
      </c>
      <c r="Q4659">
        <v>3.9948150000000002E-2</v>
      </c>
      <c r="R4659">
        <v>-1.2481259999999999E-2</v>
      </c>
      <c r="S4659">
        <v>3.0133669999999899</v>
      </c>
      <c r="T4659">
        <v>-0.25521919999999998</v>
      </c>
      <c r="U4659">
        <v>6.2866210000000006E-2</v>
      </c>
      <c r="V4659">
        <v>-0.1580821</v>
      </c>
      <c r="W4659">
        <v>5.2171210000000003E-2</v>
      </c>
      <c r="X4659">
        <v>0.98604669999999905</v>
      </c>
      <c r="Y4659">
        <v>-0.18946779999999999</v>
      </c>
      <c r="Z4659">
        <v>2.2352609999999998E-2</v>
      </c>
      <c r="AA4659">
        <v>0.98163250000000002</v>
      </c>
      <c r="AB4659">
        <v>24</v>
      </c>
      <c r="AC4659">
        <v>13.0265</v>
      </c>
      <c r="AD4659">
        <v>-1.1129072038349901</v>
      </c>
      <c r="AE4659">
        <v>0.29215999999999498</v>
      </c>
      <c r="AF4659">
        <v>-2.4873198557717302</v>
      </c>
      <c r="AG4659">
        <v>-1.1129072038349901</v>
      </c>
      <c r="AH4659">
        <v>12.6940151480874</v>
      </c>
      <c r="AI4659">
        <v>94.917374730333506</v>
      </c>
      <c r="AJ4659">
        <v>101.08632194677899</v>
      </c>
      <c r="AK4659">
        <v>12.983194641117301</v>
      </c>
    </row>
    <row r="4660" spans="1:37" x14ac:dyDescent="0.2">
      <c r="A4660" t="str">
        <f>"20200111154156411"</f>
        <v>20200111154156411</v>
      </c>
      <c r="B4660" t="str">
        <f>"1578728516400546"</f>
        <v>1578728516400546</v>
      </c>
      <c r="C4660" t="s">
        <v>37</v>
      </c>
      <c r="D4660">
        <v>5.5697769999999904</v>
      </c>
      <c r="E4660">
        <v>0.48627140000000002</v>
      </c>
      <c r="F4660" t="s">
        <v>52</v>
      </c>
      <c r="G4660">
        <v>-264.64260000000002</v>
      </c>
      <c r="H4660" s="1">
        <v>-1.098186E-6</v>
      </c>
      <c r="I4660">
        <v>-60.764209999999999</v>
      </c>
      <c r="J4660">
        <v>-277.81259999999997</v>
      </c>
      <c r="K4660">
        <v>1.112862</v>
      </c>
      <c r="L4660">
        <v>-61.058869999999999</v>
      </c>
      <c r="M4660">
        <v>0.98560519999999996</v>
      </c>
      <c r="N4660">
        <v>0</v>
      </c>
      <c r="O4660">
        <v>-0.16854259999999999</v>
      </c>
      <c r="P4660">
        <v>0.99908439999999998</v>
      </c>
      <c r="Q4660">
        <v>4.0874029999999999E-2</v>
      </c>
      <c r="R4660">
        <v>-1.2642530000000001E-2</v>
      </c>
      <c r="S4660">
        <v>3.0135190000000001</v>
      </c>
      <c r="T4660">
        <v>-0.25250400000000001</v>
      </c>
      <c r="U4660">
        <v>6.2896729999999998E-2</v>
      </c>
      <c r="V4660">
        <v>-0.15623480000000001</v>
      </c>
      <c r="W4660">
        <v>5.3104030000000003E-2</v>
      </c>
      <c r="X4660">
        <v>0.98629129999999998</v>
      </c>
      <c r="Y4660">
        <v>-0.18784389999999901</v>
      </c>
      <c r="Z4660">
        <v>2.1907719999999999E-2</v>
      </c>
      <c r="AA4660">
        <v>0.98195460000000001</v>
      </c>
      <c r="AB4660">
        <v>24</v>
      </c>
      <c r="AC4660">
        <v>13.1699999999999</v>
      </c>
      <c r="AD4660">
        <v>-1.1128630981859999</v>
      </c>
      <c r="AE4660">
        <v>0.29465999999999998</v>
      </c>
      <c r="AF4660">
        <v>-2.4925566043712299</v>
      </c>
      <c r="AG4660">
        <v>-1.1128630981859999</v>
      </c>
      <c r="AH4660">
        <v>12.8402578997328</v>
      </c>
      <c r="AI4660">
        <v>94.863105224656806</v>
      </c>
      <c r="AJ4660">
        <v>100.985652383645</v>
      </c>
      <c r="AK4660">
        <v>13.127205553085201</v>
      </c>
    </row>
    <row r="4661" spans="1:37" x14ac:dyDescent="0.2">
      <c r="A4661" t="str">
        <f>"20200111154156422"</f>
        <v>20200111154156422</v>
      </c>
      <c r="B4661" t="str">
        <f>"1578728516410894"</f>
        <v>1578728516410894</v>
      </c>
      <c r="C4661" t="s">
        <v>37</v>
      </c>
      <c r="D4661">
        <v>5.530233</v>
      </c>
      <c r="E4661">
        <v>0.48632879999999901</v>
      </c>
      <c r="F4661" t="s">
        <v>52</v>
      </c>
      <c r="G4661">
        <v>-264.34100000000001</v>
      </c>
      <c r="H4661" s="1">
        <v>-9.7306340000000006E-7</v>
      </c>
      <c r="I4661">
        <v>-60.780239999999999</v>
      </c>
      <c r="J4661">
        <v>-277.69850000000002</v>
      </c>
      <c r="K4661">
        <v>1.112814</v>
      </c>
      <c r="L4661">
        <v>-61.076540000000001</v>
      </c>
      <c r="M4661">
        <v>0.9858943</v>
      </c>
      <c r="N4661">
        <v>0</v>
      </c>
      <c r="O4661">
        <v>-0.1668454</v>
      </c>
      <c r="P4661">
        <v>0.99906459999999997</v>
      </c>
      <c r="Q4661">
        <v>4.1313839999999998E-2</v>
      </c>
      <c r="R4661">
        <v>-1.279595E-2</v>
      </c>
      <c r="S4661">
        <v>3.0137019999999999</v>
      </c>
      <c r="T4661">
        <v>-0.2489566</v>
      </c>
      <c r="U4661">
        <v>6.231689E-2</v>
      </c>
      <c r="V4661">
        <v>-0.15437690000000001</v>
      </c>
      <c r="W4661">
        <v>5.3549720000000002E-2</v>
      </c>
      <c r="X4661">
        <v>0.98655969999999904</v>
      </c>
      <c r="Y4661">
        <v>-0.18600949999999999</v>
      </c>
      <c r="Z4661">
        <v>2.138547E-2</v>
      </c>
      <c r="AA4661">
        <v>0.98231520000000005</v>
      </c>
      <c r="AB4661">
        <v>24</v>
      </c>
      <c r="AC4661">
        <v>13.3575</v>
      </c>
      <c r="AD4661">
        <v>-1.1128149730634</v>
      </c>
      <c r="AE4661">
        <v>0.29630000000000201</v>
      </c>
      <c r="AF4661">
        <v>-2.5036106041217598</v>
      </c>
      <c r="AG4661">
        <v>-1.1128149730634</v>
      </c>
      <c r="AH4661">
        <v>13.0304011941955</v>
      </c>
      <c r="AI4661">
        <v>94.794030681267301</v>
      </c>
      <c r="AJ4661">
        <v>100.876046444599</v>
      </c>
      <c r="AK4661">
        <v>13.3153211941371</v>
      </c>
    </row>
    <row r="4662" spans="1:37" x14ac:dyDescent="0.2">
      <c r="A4662" t="str">
        <f>"20200111154156434"</f>
        <v>20200111154156434</v>
      </c>
      <c r="B4662" t="str">
        <f>"1578728516430415"</f>
        <v>1578728516430415</v>
      </c>
      <c r="C4662" t="s">
        <v>37</v>
      </c>
      <c r="D4662">
        <v>5.6011860000000002</v>
      </c>
      <c r="E4662">
        <v>0.48647289999999999</v>
      </c>
      <c r="F4662" t="s">
        <v>52</v>
      </c>
      <c r="G4662">
        <v>-264.1225</v>
      </c>
      <c r="H4662" s="1">
        <v>-8.8420469999999899E-7</v>
      </c>
      <c r="I4662">
        <v>-60.79851</v>
      </c>
      <c r="J4662">
        <v>-277.58089999999999</v>
      </c>
      <c r="K4662">
        <v>1.1127590000000001</v>
      </c>
      <c r="L4662">
        <v>-61.094389999999997</v>
      </c>
      <c r="M4662">
        <v>0.98617759999999999</v>
      </c>
      <c r="N4662">
        <v>0</v>
      </c>
      <c r="O4662">
        <v>-0.16516539999999999</v>
      </c>
      <c r="P4662">
        <v>0.99905299999999997</v>
      </c>
      <c r="Q4662">
        <v>4.1632790000000003E-2</v>
      </c>
      <c r="R4662">
        <v>-1.2653070000000001E-2</v>
      </c>
      <c r="S4662">
        <v>3.013855</v>
      </c>
      <c r="T4662">
        <v>-0.24704470000000001</v>
      </c>
      <c r="U4662">
        <v>6.1706539999999997E-2</v>
      </c>
      <c r="V4662">
        <v>-0.15282870000000001</v>
      </c>
      <c r="W4662">
        <v>5.3868739999999998E-2</v>
      </c>
      <c r="X4662">
        <v>0.98678339999999998</v>
      </c>
      <c r="Y4662">
        <v>-0.18416569999999999</v>
      </c>
      <c r="Z4662">
        <v>2.1009130000000001E-2</v>
      </c>
      <c r="AA4662">
        <v>0.98267070000000001</v>
      </c>
      <c r="AB4662">
        <v>24</v>
      </c>
      <c r="AC4662">
        <v>13.4583999999999</v>
      </c>
      <c r="AD4662">
        <v>-1.1127598842047</v>
      </c>
      <c r="AE4662">
        <v>0.29588000000000297</v>
      </c>
      <c r="AF4662">
        <v>-2.49780392775323</v>
      </c>
      <c r="AG4662">
        <v>-1.1127598842047</v>
      </c>
      <c r="AH4662">
        <v>13.134905212094599</v>
      </c>
      <c r="AI4662">
        <v>94.757550485501795</v>
      </c>
      <c r="AJ4662">
        <v>100.767110918699</v>
      </c>
      <c r="AK4662">
        <v>13.416519442541899</v>
      </c>
    </row>
    <row r="4663" spans="1:37" x14ac:dyDescent="0.2">
      <c r="A4663" t="str">
        <f>"20200111154156446"</f>
        <v>20200111154156446</v>
      </c>
      <c r="B4663" t="str">
        <f>"1578728516440173"</f>
        <v>1578728516440173</v>
      </c>
      <c r="C4663" t="s">
        <v>37</v>
      </c>
      <c r="D4663">
        <v>5.8349549999999999</v>
      </c>
      <c r="E4663">
        <v>0.48653729999999901</v>
      </c>
      <c r="F4663" t="s">
        <v>39</v>
      </c>
      <c r="G4663">
        <v>-263.92899999999997</v>
      </c>
      <c r="H4663" s="1">
        <v>-8.0612309999999898E-7</v>
      </c>
      <c r="I4663">
        <v>-60.817160000000001</v>
      </c>
      <c r="J4663">
        <v>-277.4624</v>
      </c>
      <c r="K4663">
        <v>1.1127069999999999</v>
      </c>
      <c r="L4663">
        <v>-61.112369999999999</v>
      </c>
      <c r="M4663">
        <v>0.98645759999999905</v>
      </c>
      <c r="N4663">
        <v>0</v>
      </c>
      <c r="O4663">
        <v>-0.16348679999999999</v>
      </c>
      <c r="P4663">
        <v>0.99904579999999998</v>
      </c>
      <c r="Q4663">
        <v>4.1864209999999999E-2</v>
      </c>
      <c r="R4663">
        <v>-1.2436869999999999E-2</v>
      </c>
      <c r="S4663">
        <v>3.013855</v>
      </c>
      <c r="T4663">
        <v>-0.2456565</v>
      </c>
      <c r="U4663">
        <v>6.1187739999999997E-2</v>
      </c>
      <c r="V4663">
        <v>-0.1513544</v>
      </c>
      <c r="W4663">
        <v>5.4098720000000003E-2</v>
      </c>
      <c r="X4663">
        <v>0.98699809999999999</v>
      </c>
      <c r="Y4663">
        <v>-0.18234839999999999</v>
      </c>
      <c r="Z4663">
        <v>2.0682229999999999E-2</v>
      </c>
      <c r="AA4663">
        <v>0.98301640000000001</v>
      </c>
      <c r="AB4663">
        <v>24</v>
      </c>
      <c r="AC4663">
        <v>13.533399999999901</v>
      </c>
      <c r="AD4663">
        <v>-1.1127078061230999</v>
      </c>
      <c r="AE4663">
        <v>0.29520999999999697</v>
      </c>
      <c r="AF4663">
        <v>-2.4871563494774498</v>
      </c>
      <c r="AG4663">
        <v>-1.1127078061230999</v>
      </c>
      <c r="AH4663">
        <v>13.213733517452299</v>
      </c>
      <c r="AI4663">
        <v>94.730746146077095</v>
      </c>
      <c r="AJ4663">
        <v>100.659784354832</v>
      </c>
      <c r="AK4663">
        <v>13.4917314989143</v>
      </c>
    </row>
    <row r="4664" spans="1:37" x14ac:dyDescent="0.2">
      <c r="A4664" t="str">
        <f>"20200111154156456"</f>
        <v>20200111154156456</v>
      </c>
      <c r="B4664" t="str">
        <f>"1578728516450910"</f>
        <v>1578728516450910</v>
      </c>
      <c r="C4664" t="s">
        <v>37</v>
      </c>
      <c r="D4664">
        <v>5.7809720000000002</v>
      </c>
      <c r="E4664">
        <v>0.48660579999999998</v>
      </c>
      <c r="F4664" t="s">
        <v>39</v>
      </c>
      <c r="G4664">
        <v>-263.7636</v>
      </c>
      <c r="H4664" s="1">
        <v>-7.3932480000000003E-7</v>
      </c>
      <c r="I4664">
        <v>-60.832659999999997</v>
      </c>
      <c r="J4664">
        <v>-277.346</v>
      </c>
      <c r="K4664">
        <v>1.112654</v>
      </c>
      <c r="L4664">
        <v>-61.129759999999997</v>
      </c>
      <c r="M4664">
        <v>0.98672070000000001</v>
      </c>
      <c r="N4664">
        <v>0</v>
      </c>
      <c r="O4664">
        <v>-0.16189410000000001</v>
      </c>
      <c r="P4664">
        <v>0.99904889999999902</v>
      </c>
      <c r="Q4664">
        <v>4.1809600000000002E-2</v>
      </c>
      <c r="R4664">
        <v>-1.2382840000000001E-2</v>
      </c>
      <c r="S4664">
        <v>3.013916</v>
      </c>
      <c r="T4664">
        <v>-0.24481069999999999</v>
      </c>
      <c r="U4664">
        <v>6.1523439999999999E-2</v>
      </c>
      <c r="V4664">
        <v>-0.14980579999999999</v>
      </c>
      <c r="W4664">
        <v>5.4039669999999998E-2</v>
      </c>
      <c r="X4664">
        <v>0.98723749999999999</v>
      </c>
      <c r="Y4664">
        <v>-0.18088799999999999</v>
      </c>
      <c r="Z4664">
        <v>2.042368E-2</v>
      </c>
      <c r="AA4664">
        <v>0.98329159999999904</v>
      </c>
      <c r="AB4664">
        <v>24</v>
      </c>
      <c r="AC4664">
        <v>13.5824</v>
      </c>
      <c r="AD4664">
        <v>-1.1126547393248001</v>
      </c>
      <c r="AE4664">
        <v>0.29709999999999998</v>
      </c>
      <c r="AF4664">
        <v>-2.4756746237385499</v>
      </c>
      <c r="AG4664">
        <v>-1.1126547393248001</v>
      </c>
      <c r="AH4664">
        <v>13.2661065456667</v>
      </c>
      <c r="AI4664">
        <v>94.713296639059195</v>
      </c>
      <c r="AJ4664">
        <v>100.57074688745701</v>
      </c>
      <c r="AK4664">
        <v>13.540921249772699</v>
      </c>
    </row>
    <row r="4665" spans="1:37" x14ac:dyDescent="0.2">
      <c r="A4665" t="str">
        <f>"20200111154156468"</f>
        <v>20200111154156468</v>
      </c>
      <c r="B4665" t="str">
        <f>"1578728516460669"</f>
        <v>1578728516460669</v>
      </c>
      <c r="C4665" t="s">
        <v>37</v>
      </c>
      <c r="D4665">
        <v>5.8413870000000001</v>
      </c>
      <c r="E4665">
        <v>0.4866781</v>
      </c>
      <c r="F4665" t="s">
        <v>39</v>
      </c>
      <c r="G4665">
        <v>-263.65530000000001</v>
      </c>
      <c r="H4665" s="1">
        <v>-6.9797419999999898E-7</v>
      </c>
      <c r="I4665">
        <v>-60.851880000000001</v>
      </c>
      <c r="J4665">
        <v>-277.2253</v>
      </c>
      <c r="K4665">
        <v>1.1125940000000001</v>
      </c>
      <c r="L4665">
        <v>-61.147739999999999</v>
      </c>
      <c r="M4665">
        <v>0.98698629999999998</v>
      </c>
      <c r="N4665">
        <v>0</v>
      </c>
      <c r="O4665">
        <v>-0.16026989999999999</v>
      </c>
      <c r="P4665">
        <v>0.99905059999999901</v>
      </c>
      <c r="Q4665">
        <v>4.1804599999999997E-2</v>
      </c>
      <c r="R4665">
        <v>-1.2261319999999999E-2</v>
      </c>
      <c r="S4665">
        <v>3.0138240000000001</v>
      </c>
      <c r="T4665">
        <v>-0.24493579999999901</v>
      </c>
      <c r="U4665">
        <v>6.115723E-2</v>
      </c>
      <c r="V4665">
        <v>-0.14829319999999999</v>
      </c>
      <c r="W4665">
        <v>5.402825E-2</v>
      </c>
      <c r="X4665">
        <v>0.98746650000000002</v>
      </c>
      <c r="Y4665">
        <v>-0.17916019999999999</v>
      </c>
      <c r="Z4665">
        <v>2.0234019999999998E-2</v>
      </c>
      <c r="AA4665">
        <v>0.98361180000000004</v>
      </c>
      <c r="AB4665">
        <v>24</v>
      </c>
      <c r="AC4665">
        <v>13.569999999999901</v>
      </c>
      <c r="AD4665">
        <v>-1.1125946979742001</v>
      </c>
      <c r="AE4665">
        <v>0.29585999999999701</v>
      </c>
      <c r="AF4665">
        <v>-2.4506181715670299</v>
      </c>
      <c r="AG4665">
        <v>-1.1125946979742001</v>
      </c>
      <c r="AH4665">
        <v>13.258050384155601</v>
      </c>
      <c r="AI4665">
        <v>94.717391945047893</v>
      </c>
      <c r="AJ4665">
        <v>100.472354513685</v>
      </c>
      <c r="AK4665">
        <v>13.528462454158699</v>
      </c>
    </row>
    <row r="4666" spans="1:37" x14ac:dyDescent="0.2">
      <c r="A4666" t="str">
        <f>"20200111154156479"</f>
        <v>20200111154156479</v>
      </c>
      <c r="B4666" t="str">
        <f>"1578728516470430"</f>
        <v>1578728516470430</v>
      </c>
      <c r="C4666" t="s">
        <v>37</v>
      </c>
      <c r="D4666">
        <v>5.5941029999999996</v>
      </c>
      <c r="E4666">
        <v>0.48674259999999903</v>
      </c>
      <c r="F4666" t="s">
        <v>39</v>
      </c>
      <c r="G4666">
        <v>-263.5378</v>
      </c>
      <c r="H4666" s="1">
        <v>-6.5240690000000003E-7</v>
      </c>
      <c r="I4666">
        <v>-60.870059999999903</v>
      </c>
      <c r="J4666">
        <v>-277.10649999999998</v>
      </c>
      <c r="K4666">
        <v>1.1125399999999901</v>
      </c>
      <c r="L4666">
        <v>-61.165219999999998</v>
      </c>
      <c r="M4666">
        <v>0.98723890000000003</v>
      </c>
      <c r="N4666">
        <v>0</v>
      </c>
      <c r="O4666">
        <v>-0.1587095</v>
      </c>
      <c r="P4666">
        <v>0.99904919999999997</v>
      </c>
      <c r="Q4666">
        <v>4.1857350000000001E-2</v>
      </c>
      <c r="R4666">
        <v>-1.219757E-2</v>
      </c>
      <c r="S4666">
        <v>3.013855</v>
      </c>
      <c r="T4666">
        <v>-0.24498400000000001</v>
      </c>
      <c r="U4666">
        <v>6.1126710000000001E-2</v>
      </c>
      <c r="V4666">
        <v>-0.1467869</v>
      </c>
      <c r="W4666">
        <v>5.4074909999999997E-2</v>
      </c>
      <c r="X4666">
        <v>0.98768899999999904</v>
      </c>
      <c r="Y4666">
        <v>-0.1776046</v>
      </c>
      <c r="Z4666">
        <v>2.0049170000000002E-2</v>
      </c>
      <c r="AA4666">
        <v>0.98389769999999899</v>
      </c>
      <c r="AB4666">
        <v>24</v>
      </c>
      <c r="AC4666">
        <v>13.5686999999999</v>
      </c>
      <c r="AD4666">
        <v>-1.1125406524068999</v>
      </c>
      <c r="AE4666">
        <v>0.29516000000000198</v>
      </c>
      <c r="AF4666">
        <v>-2.4287631029580998</v>
      </c>
      <c r="AG4666">
        <v>-1.1125406524068999</v>
      </c>
      <c r="AH4666">
        <v>13.2607347330378</v>
      </c>
      <c r="AI4666">
        <v>94.717621820696394</v>
      </c>
      <c r="AJ4666">
        <v>100.378943728105</v>
      </c>
      <c r="AK4666">
        <v>13.527147614096</v>
      </c>
    </row>
    <row r="4667" spans="1:37" x14ac:dyDescent="0.2">
      <c r="A4667" t="str">
        <f>"20200111154156489"</f>
        <v>20200111154156489</v>
      </c>
      <c r="B4667" t="str">
        <f>"1578728516480190"</f>
        <v>1578728516480190</v>
      </c>
      <c r="C4667" t="s">
        <v>37</v>
      </c>
      <c r="D4667">
        <v>5.6662499999999998</v>
      </c>
      <c r="E4667">
        <v>0.48680379999999901</v>
      </c>
      <c r="F4667" t="s">
        <v>39</v>
      </c>
      <c r="G4667">
        <v>-263.40929999999997</v>
      </c>
      <c r="H4667" s="1">
        <v>-6.0224259999999998E-7</v>
      </c>
      <c r="I4667">
        <v>-60.888739999999999</v>
      </c>
      <c r="J4667">
        <v>-276.99759999999998</v>
      </c>
      <c r="K4667">
        <v>1.112492</v>
      </c>
      <c r="L4667">
        <v>-61.1811199999999</v>
      </c>
      <c r="M4667">
        <v>0.98746199999999995</v>
      </c>
      <c r="N4667">
        <v>0</v>
      </c>
      <c r="O4667">
        <v>-0.15731800000000001</v>
      </c>
      <c r="P4667">
        <v>0.99904559999999998</v>
      </c>
      <c r="Q4667">
        <v>4.194283E-2</v>
      </c>
      <c r="R4667">
        <v>-1.2195050000000001E-2</v>
      </c>
      <c r="S4667">
        <v>3.013855</v>
      </c>
      <c r="T4667">
        <v>-0.2447973</v>
      </c>
      <c r="U4667">
        <v>6.0821529999999999E-2</v>
      </c>
      <c r="V4667">
        <v>-0.14538970000000001</v>
      </c>
      <c r="W4667">
        <v>5.4153949999999999E-2</v>
      </c>
      <c r="X4667">
        <v>0.98789130000000003</v>
      </c>
      <c r="Y4667">
        <v>-0.17612920000000001</v>
      </c>
      <c r="Z4667">
        <v>1.986228E-2</v>
      </c>
      <c r="AA4667">
        <v>0.984166599999999</v>
      </c>
      <c r="AB4667">
        <v>24</v>
      </c>
      <c r="AC4667">
        <v>13.5883</v>
      </c>
      <c r="AD4667">
        <v>-1.1124926022426</v>
      </c>
      <c r="AE4667">
        <v>0.29237999999998698</v>
      </c>
      <c r="AF4667">
        <v>-2.4104547938537499</v>
      </c>
      <c r="AG4667">
        <v>-1.1124926022426</v>
      </c>
      <c r="AH4667">
        <v>13.284068148413301</v>
      </c>
      <c r="AI4667">
        <v>94.710576461954503</v>
      </c>
      <c r="AJ4667">
        <v>100.28467809239299</v>
      </c>
      <c r="AK4667">
        <v>13.546748638508999</v>
      </c>
    </row>
    <row r="4668" spans="1:37" x14ac:dyDescent="0.2">
      <c r="A4668" t="str">
        <f>"20200111154156500"</f>
        <v>20200111154156500</v>
      </c>
      <c r="B4668" t="str">
        <f>"1578728516490928"</f>
        <v>1578728516490928</v>
      </c>
      <c r="C4668" t="s">
        <v>37</v>
      </c>
      <c r="D4668">
        <v>5.6281460000000001</v>
      </c>
      <c r="E4668">
        <v>0.486845799999999</v>
      </c>
      <c r="F4668" t="s">
        <v>39</v>
      </c>
      <c r="G4668">
        <v>-263.28949999999998</v>
      </c>
      <c r="H4668" s="1">
        <v>-5.554211E-7</v>
      </c>
      <c r="I4668">
        <v>-60.905940000000001</v>
      </c>
      <c r="J4668">
        <v>-276.88310000000001</v>
      </c>
      <c r="K4668">
        <v>1.1124419999999999</v>
      </c>
      <c r="L4668">
        <v>-61.197749999999999</v>
      </c>
      <c r="M4668">
        <v>0.98769110000000004</v>
      </c>
      <c r="N4668">
        <v>0</v>
      </c>
      <c r="O4668">
        <v>-0.15587599999999999</v>
      </c>
      <c r="P4668">
        <v>0.99903509999999995</v>
      </c>
      <c r="Q4668">
        <v>4.215037E-2</v>
      </c>
      <c r="R4668">
        <v>-1.2341609999999999E-2</v>
      </c>
      <c r="S4668">
        <v>3.0138849999999899</v>
      </c>
      <c r="T4668">
        <v>-0.24459510000000001</v>
      </c>
      <c r="U4668">
        <v>6.0485839999999999E-2</v>
      </c>
      <c r="V4668">
        <v>-0.14379429999999899</v>
      </c>
      <c r="W4668">
        <v>5.435487E-2</v>
      </c>
      <c r="X4668">
        <v>0.98811380000000004</v>
      </c>
      <c r="Y4668">
        <v>-0.17459379999999999</v>
      </c>
      <c r="Z4668">
        <v>1.96677E-2</v>
      </c>
      <c r="AA4668">
        <v>0.98444409999999904</v>
      </c>
      <c r="AB4668">
        <v>24</v>
      </c>
      <c r="AC4668">
        <v>13.5936</v>
      </c>
      <c r="AD4668">
        <v>-1.1124425554210999</v>
      </c>
      <c r="AE4668">
        <v>0.29180999999999802</v>
      </c>
      <c r="AF4668">
        <v>-2.3913299401309702</v>
      </c>
      <c r="AG4668">
        <v>-1.1124425554210999</v>
      </c>
      <c r="AH4668">
        <v>13.292939117199101</v>
      </c>
      <c r="AI4668">
        <v>94.708515251211907</v>
      </c>
      <c r="AJ4668">
        <v>100.198132406483</v>
      </c>
      <c r="AK4668">
        <v>13.5520558475546</v>
      </c>
    </row>
    <row r="4669" spans="1:37" x14ac:dyDescent="0.2">
      <c r="A4669" t="str">
        <f>"20200111154156513"</f>
        <v>20200111154156513</v>
      </c>
      <c r="B4669" t="str">
        <f>"1578728516500687"</f>
        <v>1578728516500687</v>
      </c>
      <c r="C4669" t="s">
        <v>37</v>
      </c>
      <c r="D4669">
        <v>5.9551600000000002</v>
      </c>
      <c r="E4669">
        <v>0.48689110000000002</v>
      </c>
      <c r="F4669" t="s">
        <v>39</v>
      </c>
      <c r="G4669">
        <v>-263.14170000000001</v>
      </c>
      <c r="H4669" s="1">
        <v>-4.970198E-7</v>
      </c>
      <c r="I4669">
        <v>-60.924700000000001</v>
      </c>
      <c r="J4669">
        <v>-276.760999999999</v>
      </c>
      <c r="K4669">
        <v>1.112387</v>
      </c>
      <c r="L4669">
        <v>-61.215240000000001</v>
      </c>
      <c r="M4669">
        <v>0.98792369999999996</v>
      </c>
      <c r="N4669">
        <v>0</v>
      </c>
      <c r="O4669">
        <v>-0.1543979</v>
      </c>
      <c r="P4669">
        <v>0.99903790000000003</v>
      </c>
      <c r="Q4669">
        <v>4.2038399999999997E-2</v>
      </c>
      <c r="R4669">
        <v>-1.250126E-2</v>
      </c>
      <c r="S4669">
        <v>3.0139469999999999</v>
      </c>
      <c r="T4669">
        <v>-0.2439964</v>
      </c>
      <c r="U4669">
        <v>5.9875490000000003E-2</v>
      </c>
      <c r="V4669">
        <v>-0.14214969999999999</v>
      </c>
      <c r="W4669">
        <v>5.4236319999999998E-2</v>
      </c>
      <c r="X4669">
        <v>0.98835819999999996</v>
      </c>
      <c r="Y4669">
        <v>-0.17293610000000001</v>
      </c>
      <c r="Z4669">
        <v>1.9433860000000001E-2</v>
      </c>
      <c r="AA4669">
        <v>0.98474130000000004</v>
      </c>
      <c r="AB4669">
        <v>24</v>
      </c>
      <c r="AC4669">
        <v>13.6192999999999</v>
      </c>
      <c r="AD4669">
        <v>-1.1123874970198</v>
      </c>
      <c r="AE4669">
        <v>0.29054000000000002</v>
      </c>
      <c r="AF4669">
        <v>-2.3741920467302702</v>
      </c>
      <c r="AG4669">
        <v>-1.1123874970198</v>
      </c>
      <c r="AH4669">
        <v>13.322262629334199</v>
      </c>
      <c r="AI4669">
        <v>94.699331626389906</v>
      </c>
      <c r="AJ4669">
        <v>100.104733823972</v>
      </c>
      <c r="AK4669">
        <v>13.5778081951115</v>
      </c>
    </row>
    <row r="4670" spans="1:37" x14ac:dyDescent="0.2">
      <c r="A4670" t="str">
        <f>"20200111154156525"</f>
        <v>20200111154156525</v>
      </c>
      <c r="B4670" t="str">
        <f>"1578728516520882"</f>
        <v>1578728516520882</v>
      </c>
      <c r="C4670" t="s">
        <v>37</v>
      </c>
      <c r="D4670">
        <v>5.826613</v>
      </c>
      <c r="E4670">
        <v>0.48700260000000001</v>
      </c>
      <c r="F4670" t="s">
        <v>52</v>
      </c>
      <c r="G4670">
        <v>-263.01740000000001</v>
      </c>
      <c r="H4670" s="1">
        <v>-4.4909799999999901E-7</v>
      </c>
      <c r="I4670">
        <v>-60.945059999999998</v>
      </c>
      <c r="J4670">
        <v>-276.6293</v>
      </c>
      <c r="K4670">
        <v>1.1123289999999999</v>
      </c>
      <c r="L4670">
        <v>-61.234069999999903</v>
      </c>
      <c r="M4670">
        <v>0.98816809999999999</v>
      </c>
      <c r="N4670">
        <v>0</v>
      </c>
      <c r="O4670">
        <v>-0.152829399999999</v>
      </c>
      <c r="P4670">
        <v>0.99903889999999995</v>
      </c>
      <c r="Q4670">
        <v>4.2008429999999999E-2</v>
      </c>
      <c r="R4670">
        <v>-1.2535849999999999E-2</v>
      </c>
      <c r="S4670">
        <v>3.013916</v>
      </c>
      <c r="T4670">
        <v>-0.24394109999999999</v>
      </c>
      <c r="U4670">
        <v>5.9234620000000002E-2</v>
      </c>
      <c r="V4670">
        <v>-0.140538</v>
      </c>
      <c r="W4670">
        <v>5.419823E-2</v>
      </c>
      <c r="X4670">
        <v>0.98859069999999905</v>
      </c>
      <c r="Y4670">
        <v>-0.17117470000000001</v>
      </c>
      <c r="Z4670">
        <v>1.9232800000000001E-2</v>
      </c>
      <c r="AA4670">
        <v>0.98505290000000001</v>
      </c>
      <c r="AB4670">
        <v>24</v>
      </c>
      <c r="AC4670">
        <v>13.611899999999901</v>
      </c>
      <c r="AD4670">
        <v>-1.112329449098</v>
      </c>
      <c r="AE4670">
        <v>0.28900999999999699</v>
      </c>
      <c r="AF4670">
        <v>-2.35039825477446</v>
      </c>
      <c r="AG4670">
        <v>-1.112329449098</v>
      </c>
      <c r="AH4670">
        <v>13.318895585655801</v>
      </c>
      <c r="AI4670">
        <v>94.701671320310496</v>
      </c>
      <c r="AJ4670">
        <v>100.008000311139</v>
      </c>
      <c r="AK4670">
        <v>13.5703584470337</v>
      </c>
    </row>
    <row r="4671" spans="1:37" x14ac:dyDescent="0.2">
      <c r="A4671" t="str">
        <f>"20200111154156536"</f>
        <v>20200111154156536</v>
      </c>
      <c r="B4671" t="str">
        <f>"1578728516530642"</f>
        <v>1578728516530642</v>
      </c>
      <c r="C4671" t="s">
        <v>37</v>
      </c>
      <c r="D4671">
        <v>5.5634040000000002</v>
      </c>
      <c r="E4671">
        <v>0.48700829999999901</v>
      </c>
      <c r="F4671" t="s">
        <v>39</v>
      </c>
      <c r="G4671">
        <v>-262.82170000000002</v>
      </c>
      <c r="H4671" s="1">
        <v>-3.7087679999999998E-7</v>
      </c>
      <c r="I4671">
        <v>-60.966679999999997</v>
      </c>
      <c r="J4671">
        <v>-276.51159999999999</v>
      </c>
      <c r="K4671">
        <v>1.1122749999999999</v>
      </c>
      <c r="L4671">
        <v>-61.250700000000002</v>
      </c>
      <c r="M4671">
        <v>0.98837580000000003</v>
      </c>
      <c r="N4671">
        <v>0</v>
      </c>
      <c r="O4671">
        <v>-0.15148239999999999</v>
      </c>
      <c r="P4671">
        <v>0.99905969999999999</v>
      </c>
      <c r="Q4671">
        <v>4.1472780000000001E-2</v>
      </c>
      <c r="R4671">
        <v>-1.2646350000000001E-2</v>
      </c>
      <c r="S4671">
        <v>3.0138240000000001</v>
      </c>
      <c r="T4671">
        <v>-0.242789899999999</v>
      </c>
      <c r="U4671">
        <v>5.8349610000000003E-2</v>
      </c>
      <c r="V4671">
        <v>-0.13907449999999999</v>
      </c>
      <c r="W4671">
        <v>5.3656849999999999E-2</v>
      </c>
      <c r="X4671">
        <v>0.98882719999999902</v>
      </c>
      <c r="Y4671">
        <v>-0.16956260000000001</v>
      </c>
      <c r="Z4671">
        <v>1.8970609999999999E-2</v>
      </c>
      <c r="AA4671">
        <v>0.98533680000000001</v>
      </c>
      <c r="AB4671">
        <v>24</v>
      </c>
      <c r="AC4671">
        <v>13.6898999999999</v>
      </c>
      <c r="AD4671">
        <v>-1.1122753708767901</v>
      </c>
      <c r="AE4671">
        <v>0.284019999999998</v>
      </c>
      <c r="AF4671">
        <v>-2.3392579659810799</v>
      </c>
      <c r="AG4671">
        <v>-1.1122753708767901</v>
      </c>
      <c r="AH4671">
        <v>13.4004426987961</v>
      </c>
      <c r="AI4671">
        <v>94.674470146069794</v>
      </c>
      <c r="AJ4671">
        <v>99.9021008542679</v>
      </c>
      <c r="AK4671">
        <v>13.648485222023099</v>
      </c>
    </row>
    <row r="4672" spans="1:37" x14ac:dyDescent="0.2">
      <c r="A4672" t="str">
        <f>"20200111154156548"</f>
        <v>20200111154156548</v>
      </c>
      <c r="B4672" t="str">
        <f>"1578728516540403"</f>
        <v>1578728516540403</v>
      </c>
      <c r="C4672" t="s">
        <v>37</v>
      </c>
      <c r="D4672">
        <v>5.574872</v>
      </c>
      <c r="E4672">
        <v>0.48702899999999999</v>
      </c>
      <c r="F4672" t="s">
        <v>39</v>
      </c>
      <c r="G4672">
        <v>-262.7654</v>
      </c>
      <c r="H4672" s="1">
        <v>-3.5179509999999997E-7</v>
      </c>
      <c r="I4672">
        <v>-60.985599999999998</v>
      </c>
      <c r="J4672">
        <v>-276.39370000000002</v>
      </c>
      <c r="K4672">
        <v>1.112223</v>
      </c>
      <c r="L4672">
        <v>-61.267240000000001</v>
      </c>
      <c r="M4672">
        <v>0.98857790000000001</v>
      </c>
      <c r="N4672">
        <v>0</v>
      </c>
      <c r="O4672">
        <v>-0.15016109999999999</v>
      </c>
      <c r="P4672">
        <v>0.99907219999999997</v>
      </c>
      <c r="Q4672">
        <v>4.112851E-2</v>
      </c>
      <c r="R4672">
        <v>-1.2785400000000001E-2</v>
      </c>
      <c r="S4672">
        <v>3.0136409999999998</v>
      </c>
      <c r="T4672">
        <v>-0.24385039999999999</v>
      </c>
      <c r="U4672">
        <v>5.8105469999999999E-2</v>
      </c>
      <c r="V4672">
        <v>-0.13760810000000001</v>
      </c>
      <c r="W4672">
        <v>5.3306869999999999E-2</v>
      </c>
      <c r="X4672">
        <v>0.98905129999999997</v>
      </c>
      <c r="Y4672">
        <v>-0.16816629999999999</v>
      </c>
      <c r="Z4672">
        <v>1.889207E-2</v>
      </c>
      <c r="AA4672">
        <v>0.98557759999999905</v>
      </c>
      <c r="AB4672">
        <v>24</v>
      </c>
      <c r="AC4672">
        <v>13.628299999999999</v>
      </c>
      <c r="AD4672">
        <v>-1.1122233517950999</v>
      </c>
      <c r="AE4672">
        <v>0.281640000000003</v>
      </c>
      <c r="AF4672">
        <v>-2.3096790342738198</v>
      </c>
      <c r="AG4672">
        <v>-1.1122233517950999</v>
      </c>
      <c r="AH4672">
        <v>13.342626154132301</v>
      </c>
      <c r="AI4672">
        <v>94.695568549986106</v>
      </c>
      <c r="AJ4672">
        <v>99.820878100287402</v>
      </c>
      <c r="AK4672">
        <v>13.586660027931</v>
      </c>
    </row>
    <row r="4673" spans="1:37" x14ac:dyDescent="0.2">
      <c r="A4673" t="str">
        <f>"20200111154156559"</f>
        <v>20200111154156559</v>
      </c>
      <c r="B4673" t="str">
        <f>"1578728516550162"</f>
        <v>1578728516550162</v>
      </c>
      <c r="C4673" t="s">
        <v>37</v>
      </c>
      <c r="D4673">
        <v>5.6046750000000003</v>
      </c>
      <c r="E4673">
        <v>0.48703429999999998</v>
      </c>
      <c r="F4673" t="s">
        <v>39</v>
      </c>
      <c r="G4673">
        <v>-262.66919999999999</v>
      </c>
      <c r="H4673" s="1">
        <v>-3.1561569999999998E-7</v>
      </c>
      <c r="I4673">
        <v>-61.004769999999901</v>
      </c>
      <c r="J4673">
        <v>-276.26870000000002</v>
      </c>
      <c r="K4673">
        <v>1.112169</v>
      </c>
      <c r="L4673">
        <v>-61.284669999999998</v>
      </c>
      <c r="M4673">
        <v>0.98878469999999996</v>
      </c>
      <c r="N4673">
        <v>0</v>
      </c>
      <c r="O4673">
        <v>-0.14879609999999999</v>
      </c>
      <c r="P4673">
        <v>0.99908790000000003</v>
      </c>
      <c r="Q4673">
        <v>4.0757479999999999E-2</v>
      </c>
      <c r="R4673">
        <v>-1.2747410000000001E-2</v>
      </c>
      <c r="S4673">
        <v>3.0135800000000001</v>
      </c>
      <c r="T4673">
        <v>-0.24421880000000001</v>
      </c>
      <c r="U4673">
        <v>5.7617189999999999E-2</v>
      </c>
      <c r="V4673">
        <v>-0.13627420000000001</v>
      </c>
      <c r="W4673">
        <v>5.2928309999999999E-2</v>
      </c>
      <c r="X4673">
        <v>0.98925629999999998</v>
      </c>
      <c r="Y4673">
        <v>-0.1666523</v>
      </c>
      <c r="Z4673">
        <v>1.8750079999999999E-2</v>
      </c>
      <c r="AA4673">
        <v>0.98583750000000003</v>
      </c>
      <c r="AB4673">
        <v>24</v>
      </c>
      <c r="AC4673">
        <v>13.599500000000001</v>
      </c>
      <c r="AD4673">
        <v>-1.1121693156157</v>
      </c>
      <c r="AE4673">
        <v>0.27990000000000398</v>
      </c>
      <c r="AF4673">
        <v>-2.2852255614204902</v>
      </c>
      <c r="AG4673">
        <v>-1.1121693156157</v>
      </c>
      <c r="AH4673">
        <v>13.317403462457801</v>
      </c>
      <c r="AI4673">
        <v>94.705376844819497</v>
      </c>
      <c r="AJ4673">
        <v>99.736949184870099</v>
      </c>
      <c r="AK4673">
        <v>13.557743596743901</v>
      </c>
    </row>
    <row r="4674" spans="1:37" x14ac:dyDescent="0.2">
      <c r="A4674" t="str">
        <f>"20200111154156570"</f>
        <v>20200111154156570</v>
      </c>
      <c r="B4674" t="str">
        <f>"1578728516560898"</f>
        <v>1578728516560898</v>
      </c>
      <c r="C4674" t="s">
        <v>37</v>
      </c>
      <c r="D4674">
        <v>5.8360880000000002</v>
      </c>
      <c r="E4674">
        <v>0.48704700000000001</v>
      </c>
      <c r="F4674" t="s">
        <v>39</v>
      </c>
      <c r="G4674">
        <v>-262.57859999999999</v>
      </c>
      <c r="H4674" s="1">
        <v>-2.811655E-7</v>
      </c>
      <c r="I4674">
        <v>-61.021459999999998</v>
      </c>
      <c r="J4674">
        <v>-276.16340000000002</v>
      </c>
      <c r="K4674">
        <v>1.1121179999999999</v>
      </c>
      <c r="L4674">
        <v>-61.299219999999998</v>
      </c>
      <c r="M4674">
        <v>0.98895189999999999</v>
      </c>
      <c r="N4674">
        <v>0</v>
      </c>
      <c r="O4674">
        <v>-0.14768290000000001</v>
      </c>
      <c r="P4674">
        <v>0.99911249999999996</v>
      </c>
      <c r="Q4674">
        <v>4.0100980000000001E-2</v>
      </c>
      <c r="R4674">
        <v>-1.2905399999999999E-2</v>
      </c>
      <c r="S4674">
        <v>3.013458</v>
      </c>
      <c r="T4674">
        <v>-0.24480969999999999</v>
      </c>
      <c r="U4674">
        <v>5.7922359999999999E-2</v>
      </c>
      <c r="V4674">
        <v>-0.13500000000000001</v>
      </c>
      <c r="W4674">
        <v>5.2267870000000001E-2</v>
      </c>
      <c r="X4674">
        <v>0.98946610000000002</v>
      </c>
      <c r="Y4674">
        <v>-0.16564470000000001</v>
      </c>
      <c r="Z4674">
        <v>1.8665609999999999E-2</v>
      </c>
      <c r="AA4674">
        <v>0.98600880000000002</v>
      </c>
      <c r="AB4674">
        <v>24</v>
      </c>
      <c r="AC4674">
        <v>13.5848</v>
      </c>
      <c r="AD4674">
        <v>-1.1121182811654999</v>
      </c>
      <c r="AE4674">
        <v>0.27776000000000001</v>
      </c>
      <c r="AF4674">
        <v>-2.26594120712562</v>
      </c>
      <c r="AG4674">
        <v>-1.1121182811654999</v>
      </c>
      <c r="AH4674">
        <v>13.305655719462001</v>
      </c>
      <c r="AI4674">
        <v>94.710308158789303</v>
      </c>
      <c r="AJ4674">
        <v>99.664700362372301</v>
      </c>
      <c r="AK4674">
        <v>13.5429601915646</v>
      </c>
    </row>
    <row r="4675" spans="1:37" x14ac:dyDescent="0.2">
      <c r="A4675" t="str">
        <f>"20200111154156580"</f>
        <v>20200111154156580</v>
      </c>
      <c r="B4675" t="str">
        <f>"1578728516570659"</f>
        <v>1578728516570659</v>
      </c>
      <c r="C4675" t="s">
        <v>37</v>
      </c>
      <c r="D4675">
        <v>5.5801980000000002</v>
      </c>
      <c r="E4675">
        <v>0.48706159999999998</v>
      </c>
      <c r="F4675" t="s">
        <v>39</v>
      </c>
      <c r="G4675">
        <v>-262.55200000000002</v>
      </c>
      <c r="H4675" s="1">
        <v>-2.7468509999999999E-7</v>
      </c>
      <c r="I4675">
        <v>-61.039859999999997</v>
      </c>
      <c r="J4675">
        <v>-276.0478</v>
      </c>
      <c r="K4675">
        <v>1.1120729999999901</v>
      </c>
      <c r="L4675">
        <v>-61.315119999999901</v>
      </c>
      <c r="M4675">
        <v>0.98913130000000005</v>
      </c>
      <c r="N4675">
        <v>0</v>
      </c>
      <c r="O4675">
        <v>-0.1464792</v>
      </c>
      <c r="P4675">
        <v>0.99913909999999995</v>
      </c>
      <c r="Q4675">
        <v>3.946877E-2</v>
      </c>
      <c r="R4675">
        <v>-1.278897E-2</v>
      </c>
      <c r="S4675">
        <v>3.0132750000000001</v>
      </c>
      <c r="T4675">
        <v>-0.246200799999999</v>
      </c>
      <c r="U4675">
        <v>5.7403559999999999E-2</v>
      </c>
      <c r="V4675">
        <v>-0.133906</v>
      </c>
      <c r="W4675">
        <v>5.1629300000000003E-2</v>
      </c>
      <c r="X4675">
        <v>0.98964819999999998</v>
      </c>
      <c r="Y4675">
        <v>-0.16427259999999999</v>
      </c>
      <c r="Z4675">
        <v>1.8619050000000002E-2</v>
      </c>
      <c r="AA4675">
        <v>0.98623930000000004</v>
      </c>
      <c r="AB4675">
        <v>24</v>
      </c>
      <c r="AC4675">
        <v>13.4957999999999</v>
      </c>
      <c r="AD4675">
        <v>-1.1120732746851001</v>
      </c>
      <c r="AE4675">
        <v>0.27525999999999501</v>
      </c>
      <c r="AF4675">
        <v>-2.2341422150787098</v>
      </c>
      <c r="AG4675">
        <v>-1.1120732746851001</v>
      </c>
      <c r="AH4675">
        <v>13.220156413768001</v>
      </c>
      <c r="AI4675">
        <v>94.741456743968996</v>
      </c>
      <c r="AJ4675">
        <v>99.592079095546097</v>
      </c>
      <c r="AK4675">
        <v>13.4536476098476</v>
      </c>
    </row>
    <row r="4676" spans="1:37" x14ac:dyDescent="0.2">
      <c r="A4676" t="str">
        <f>"20200111154156591"</f>
        <v>20200111154156591</v>
      </c>
      <c r="B4676" t="str">
        <f>"1578728516580418"</f>
        <v>1578728516580418</v>
      </c>
      <c r="C4676" t="s">
        <v>37</v>
      </c>
      <c r="D4676">
        <v>5.590236</v>
      </c>
      <c r="E4676">
        <v>0.48707460000000002</v>
      </c>
      <c r="F4676" t="s">
        <v>39</v>
      </c>
      <c r="G4676">
        <v>-262.51900000000001</v>
      </c>
      <c r="H4676" s="1">
        <v>-2.6478200000000002E-7</v>
      </c>
      <c r="I4676">
        <v>-61.055819999999997</v>
      </c>
      <c r="J4676">
        <v>-275.945999999999</v>
      </c>
      <c r="K4676">
        <v>1.112031</v>
      </c>
      <c r="L4676">
        <v>-61.328980000000001</v>
      </c>
      <c r="M4676">
        <v>0.98928179999999999</v>
      </c>
      <c r="N4676">
        <v>0</v>
      </c>
      <c r="O4676">
        <v>-0.1454597</v>
      </c>
      <c r="P4676">
        <v>0.99915499999999902</v>
      </c>
      <c r="Q4676">
        <v>3.9031650000000001E-2</v>
      </c>
      <c r="R4676">
        <v>-1.286844E-2</v>
      </c>
      <c r="S4676">
        <v>3.0131839999999999</v>
      </c>
      <c r="T4676">
        <v>-0.24768599999999999</v>
      </c>
      <c r="U4676">
        <v>5.7739260000000001E-2</v>
      </c>
      <c r="V4676">
        <v>-0.13280229999999901</v>
      </c>
      <c r="W4676">
        <v>5.1188329999999997E-2</v>
      </c>
      <c r="X4676">
        <v>0.98981980000000003</v>
      </c>
      <c r="Y4676">
        <v>-0.16336039999999999</v>
      </c>
      <c r="Z4676">
        <v>1.8611099999999998E-2</v>
      </c>
      <c r="AA4676">
        <v>0.98639089999999996</v>
      </c>
      <c r="AB4676">
        <v>24</v>
      </c>
      <c r="AC4676">
        <v>13.4269999999999</v>
      </c>
      <c r="AD4676">
        <v>-1.1120312647820001</v>
      </c>
      <c r="AE4676">
        <v>0.27316000000000401</v>
      </c>
      <c r="AF4676">
        <v>-2.2083594252880498</v>
      </c>
      <c r="AG4676">
        <v>-1.1120312647820001</v>
      </c>
      <c r="AH4676">
        <v>13.1542416189533</v>
      </c>
      <c r="AI4676">
        <v>94.765792362316006</v>
      </c>
      <c r="AJ4676">
        <v>99.530056218526397</v>
      </c>
      <c r="AK4676">
        <v>13.384600758144201</v>
      </c>
    </row>
    <row r="4677" spans="1:37" x14ac:dyDescent="0.2">
      <c r="A4677" t="str">
        <f>"20200111154156600"</f>
        <v>20200111154156600</v>
      </c>
      <c r="B4677" t="str">
        <f>"1578728516591155"</f>
        <v>1578728516591155</v>
      </c>
      <c r="C4677" t="s">
        <v>37</v>
      </c>
      <c r="D4677">
        <v>5.7701640000000003</v>
      </c>
      <c r="E4677">
        <v>0.48708770000000001</v>
      </c>
      <c r="F4677" t="s">
        <v>52</v>
      </c>
      <c r="G4677">
        <v>-262.471</v>
      </c>
      <c r="H4677" s="1">
        <v>-2.4857050000000002E-7</v>
      </c>
      <c r="I4677">
        <v>-61.072319999999998</v>
      </c>
      <c r="J4677">
        <v>-275.83440000000002</v>
      </c>
      <c r="K4677">
        <v>1.11199</v>
      </c>
      <c r="L4677">
        <v>-61.344180000000001</v>
      </c>
      <c r="M4677">
        <v>0.9894444</v>
      </c>
      <c r="N4677">
        <v>0</v>
      </c>
      <c r="O4677">
        <v>-0.14435339999999999</v>
      </c>
      <c r="P4677">
        <v>0.99915779999999998</v>
      </c>
      <c r="Q4677">
        <v>3.889749E-2</v>
      </c>
      <c r="R4677">
        <v>-1.308453E-2</v>
      </c>
      <c r="S4677">
        <v>3.0130309999999998</v>
      </c>
      <c r="T4677">
        <v>-0.248652599999999</v>
      </c>
      <c r="U4677">
        <v>5.7373050000000002E-2</v>
      </c>
      <c r="V4677">
        <v>-0.13147629999999999</v>
      </c>
      <c r="W4677">
        <v>5.1049740000000003E-2</v>
      </c>
      <c r="X4677">
        <v>0.990004</v>
      </c>
      <c r="Y4677">
        <v>-0.162138</v>
      </c>
      <c r="Z4677">
        <v>1.8543589999999999E-2</v>
      </c>
      <c r="AA4677">
        <v>0.98659379999999997</v>
      </c>
      <c r="AB4677">
        <v>24</v>
      </c>
      <c r="AC4677">
        <v>13.3634</v>
      </c>
      <c r="AD4677">
        <v>-1.1119902485705</v>
      </c>
      <c r="AE4677">
        <v>0.27186000000000299</v>
      </c>
      <c r="AF4677">
        <v>-2.1831105207278401</v>
      </c>
      <c r="AG4677">
        <v>-1.1119902485705</v>
      </c>
      <c r="AH4677">
        <v>13.0935400638951</v>
      </c>
      <c r="AI4677">
        <v>94.788500318118906</v>
      </c>
      <c r="AJ4677">
        <v>99.465957505598098</v>
      </c>
      <c r="AK4677">
        <v>13.320783958290701</v>
      </c>
    </row>
    <row r="4678" spans="1:37" x14ac:dyDescent="0.2">
      <c r="A4678" t="str">
        <f>"20200111154156612"</f>
        <v>20200111154156612</v>
      </c>
      <c r="B4678" t="str">
        <f>"1578728516600915"</f>
        <v>1578728516600915</v>
      </c>
      <c r="C4678" t="s">
        <v>37</v>
      </c>
      <c r="D4678">
        <v>5.7700809999999896</v>
      </c>
      <c r="E4678">
        <v>0.48711209999999999</v>
      </c>
      <c r="F4678" t="s">
        <v>52</v>
      </c>
      <c r="G4678">
        <v>-262.35680000000002</v>
      </c>
      <c r="H4678" s="1">
        <v>-2.0441110000000001E-7</v>
      </c>
      <c r="I4678">
        <v>-61.090600000000002</v>
      </c>
      <c r="J4678">
        <v>-275.71949999999998</v>
      </c>
      <c r="K4678">
        <v>1.1119509999999999</v>
      </c>
      <c r="L4678">
        <v>-61.3596199999999</v>
      </c>
      <c r="M4678">
        <v>0.98960300000000001</v>
      </c>
      <c r="N4678">
        <v>0</v>
      </c>
      <c r="O4678">
        <v>-0.14326359999999999</v>
      </c>
      <c r="P4678">
        <v>0.9991603</v>
      </c>
      <c r="Q4678">
        <v>3.8886230000000001E-2</v>
      </c>
      <c r="R4678">
        <v>-1.29125E-2</v>
      </c>
      <c r="S4678">
        <v>3.0129389999999998</v>
      </c>
      <c r="T4678">
        <v>-0.248587</v>
      </c>
      <c r="U4678">
        <v>5.6671140000000002E-2</v>
      </c>
      <c r="V4678">
        <v>-0.13055069999999999</v>
      </c>
      <c r="W4678">
        <v>5.1033559999999999E-2</v>
      </c>
      <c r="X4678">
        <v>0.99012730000000004</v>
      </c>
      <c r="Y4678">
        <v>-0.16083069999999999</v>
      </c>
      <c r="Z4678">
        <v>1.8396320000000001E-2</v>
      </c>
      <c r="AA4678">
        <v>0.98681059999999998</v>
      </c>
      <c r="AB4678">
        <v>24</v>
      </c>
      <c r="AC4678">
        <v>13.362699999999901</v>
      </c>
      <c r="AD4678">
        <v>-1.1119512044111</v>
      </c>
      <c r="AE4678">
        <v>0.26901999999998999</v>
      </c>
      <c r="AF4678">
        <v>-2.1657967532449902</v>
      </c>
      <c r="AG4678">
        <v>-1.1119512044111</v>
      </c>
      <c r="AH4678">
        <v>13.0956487418016</v>
      </c>
      <c r="AI4678">
        <v>94.788604436636405</v>
      </c>
      <c r="AJ4678">
        <v>99.390742536653704</v>
      </c>
      <c r="AK4678">
        <v>13.3200272907381</v>
      </c>
    </row>
    <row r="4679" spans="1:37" x14ac:dyDescent="0.2">
      <c r="A4679" t="str">
        <f>"20200111154156624"</f>
        <v>20200111154156624</v>
      </c>
      <c r="B4679" t="str">
        <f>"1578728516610661"</f>
        <v>1578728516610661</v>
      </c>
      <c r="C4679" t="s">
        <v>37</v>
      </c>
      <c r="D4679">
        <v>5.5879959999999897</v>
      </c>
      <c r="E4679">
        <v>0.48713339999999999</v>
      </c>
      <c r="F4679" t="s">
        <v>52</v>
      </c>
      <c r="G4679">
        <v>-262.21640000000002</v>
      </c>
      <c r="H4679" s="1">
        <v>-1.4749699999999999E-7</v>
      </c>
      <c r="I4679">
        <v>-61.1029699999999</v>
      </c>
      <c r="J4679">
        <v>-275.6046</v>
      </c>
      <c r="K4679">
        <v>1.111912</v>
      </c>
      <c r="L4679">
        <v>-61.375059999999998</v>
      </c>
      <c r="M4679">
        <v>0.9897589</v>
      </c>
      <c r="N4679">
        <v>0</v>
      </c>
      <c r="O4679">
        <v>-0.14218449999999999</v>
      </c>
      <c r="P4679">
        <v>0.99914969999999903</v>
      </c>
      <c r="Q4679">
        <v>3.911303E-2</v>
      </c>
      <c r="R4679">
        <v>-1.305769E-2</v>
      </c>
      <c r="S4679">
        <v>3.0129090000000001</v>
      </c>
      <c r="T4679">
        <v>-0.24810740000000001</v>
      </c>
      <c r="U4679">
        <v>5.725098E-2</v>
      </c>
      <c r="V4679">
        <v>-0.12932109999999999</v>
      </c>
      <c r="W4679">
        <v>5.1256899999999897E-2</v>
      </c>
      <c r="X4679">
        <v>0.99027710000000002</v>
      </c>
      <c r="Y4679">
        <v>-0.15995509999999999</v>
      </c>
      <c r="Z4679">
        <v>1.8237070000000001E-2</v>
      </c>
      <c r="AA4679">
        <v>0.98695580000000005</v>
      </c>
      <c r="AB4679">
        <v>24</v>
      </c>
      <c r="AC4679">
        <v>13.3881999999999</v>
      </c>
      <c r="AD4679">
        <v>-1.111912147497</v>
      </c>
      <c r="AE4679">
        <v>0.27209000000000499</v>
      </c>
      <c r="AF4679">
        <v>-2.1581926849091801</v>
      </c>
      <c r="AG4679">
        <v>-1.111912147497</v>
      </c>
      <c r="AH4679">
        <v>13.122986667749</v>
      </c>
      <c r="AI4679">
        <v>94.779213594680002</v>
      </c>
      <c r="AJ4679">
        <v>99.339204524369904</v>
      </c>
      <c r="AK4679">
        <v>13.3456705852821</v>
      </c>
    </row>
    <row r="4680" spans="1:37" x14ac:dyDescent="0.2">
      <c r="A4680" t="str">
        <f>"20200111154156635"</f>
        <v>20200111154156635</v>
      </c>
      <c r="B4680" t="str">
        <f>"1578728516631157"</f>
        <v>1578728516631157</v>
      </c>
      <c r="C4680" t="s">
        <v>37</v>
      </c>
      <c r="D4680">
        <v>5.6178900000000001</v>
      </c>
      <c r="E4680">
        <v>0.4871528</v>
      </c>
      <c r="F4680" t="s">
        <v>52</v>
      </c>
      <c r="G4680">
        <v>-262.024</v>
      </c>
      <c r="H4680" s="1">
        <v>-6.8988240000000006E-8</v>
      </c>
      <c r="I4680">
        <v>-61.118180000000002</v>
      </c>
      <c r="J4680">
        <v>-275.48779999999999</v>
      </c>
      <c r="K4680">
        <v>1.1118709999999901</v>
      </c>
      <c r="L4680">
        <v>-61.390560000000001</v>
      </c>
      <c r="M4680">
        <v>0.98990879999999903</v>
      </c>
      <c r="N4680">
        <v>0</v>
      </c>
      <c r="O4680">
        <v>-0.14113919999999999</v>
      </c>
      <c r="P4680">
        <v>0.99914539999999996</v>
      </c>
      <c r="Q4680">
        <v>3.9151909999999998E-2</v>
      </c>
      <c r="R4680">
        <v>-1.3269070000000001E-2</v>
      </c>
      <c r="S4680">
        <v>3.0129700000000001</v>
      </c>
      <c r="T4680">
        <v>-0.24668660000000001</v>
      </c>
      <c r="U4680">
        <v>5.6976319999999997E-2</v>
      </c>
      <c r="V4680">
        <v>-0.12805949999999999</v>
      </c>
      <c r="W4680">
        <v>5.1293569999999997E-2</v>
      </c>
      <c r="X4680">
        <v>0.99043919999999996</v>
      </c>
      <c r="Y4680">
        <v>-0.15884119999999999</v>
      </c>
      <c r="Z4680">
        <v>1.8002250000000001E-2</v>
      </c>
      <c r="AA4680">
        <v>0.98714000000000002</v>
      </c>
      <c r="AB4680">
        <v>24</v>
      </c>
      <c r="AC4680">
        <v>13.4637999999999</v>
      </c>
      <c r="AD4680">
        <v>-1.1118710689882301</v>
      </c>
      <c r="AE4680">
        <v>0.27237999999999801</v>
      </c>
      <c r="AF4680">
        <v>-2.1553819268221401</v>
      </c>
      <c r="AG4680">
        <v>-1.1118710689882301</v>
      </c>
      <c r="AH4680">
        <v>13.200567051787701</v>
      </c>
      <c r="AI4680">
        <v>94.7519704090776</v>
      </c>
      <c r="AJ4680">
        <v>99.273393651546996</v>
      </c>
      <c r="AK4680">
        <v>13.421508820295401</v>
      </c>
    </row>
    <row r="4681" spans="1:37" x14ac:dyDescent="0.2">
      <c r="A4681" t="str">
        <f>"20200111154156647"</f>
        <v>20200111154156647</v>
      </c>
      <c r="B4681" t="str">
        <f>"1578728516640919"</f>
        <v>1578728516640919</v>
      </c>
      <c r="C4681" t="s">
        <v>37</v>
      </c>
      <c r="D4681">
        <v>5.6184229999999999</v>
      </c>
      <c r="E4681">
        <v>0.48715190000000003</v>
      </c>
      <c r="F4681" t="s">
        <v>39</v>
      </c>
      <c r="G4681">
        <v>-261.8399</v>
      </c>
      <c r="H4681" s="1">
        <v>5.574179E-9</v>
      </c>
      <c r="I4681">
        <v>-61.134749999999997</v>
      </c>
      <c r="J4681">
        <v>-275.36079999999998</v>
      </c>
      <c r="K4681">
        <v>1.111828</v>
      </c>
      <c r="L4681">
        <v>-61.407409999999999</v>
      </c>
      <c r="M4681">
        <v>0.99006799999999995</v>
      </c>
      <c r="N4681">
        <v>0</v>
      </c>
      <c r="O4681">
        <v>-0.14002010000000001</v>
      </c>
      <c r="P4681">
        <v>0.99915499999999902</v>
      </c>
      <c r="Q4681">
        <v>3.9009240000000001E-2</v>
      </c>
      <c r="R4681">
        <v>-1.2958880000000001E-2</v>
      </c>
      <c r="S4681">
        <v>3.0129090000000001</v>
      </c>
      <c r="T4681">
        <v>-0.245456799999999</v>
      </c>
      <c r="U4681">
        <v>5.6457519999999997E-2</v>
      </c>
      <c r="V4681">
        <v>-0.12724150000000001</v>
      </c>
      <c r="W4681">
        <v>5.114643E-2</v>
      </c>
      <c r="X4681">
        <v>0.99055219999999899</v>
      </c>
      <c r="Y4681">
        <v>-0.1575734</v>
      </c>
      <c r="Z4681">
        <v>1.7771209999999999E-2</v>
      </c>
      <c r="AA4681">
        <v>0.98734739999999999</v>
      </c>
      <c r="AB4681">
        <v>24</v>
      </c>
      <c r="AC4681">
        <v>13.5208999999999</v>
      </c>
      <c r="AD4681">
        <v>-1.11182799442582</v>
      </c>
      <c r="AE4681">
        <v>0.27266000000000101</v>
      </c>
      <c r="AF4681">
        <v>-2.14879859187625</v>
      </c>
      <c r="AG4681">
        <v>-1.11182799442582</v>
      </c>
      <c r="AH4681">
        <v>13.259874201874901</v>
      </c>
      <c r="AI4681">
        <v>94.7315462185949</v>
      </c>
      <c r="AJ4681">
        <v>99.204916154308293</v>
      </c>
      <c r="AK4681">
        <v>13.4787892901101</v>
      </c>
    </row>
    <row r="4682" spans="1:37" x14ac:dyDescent="0.2">
      <c r="A4682" t="str">
        <f>"20200111154156658"</f>
        <v>20200111154156658</v>
      </c>
      <c r="B4682" t="str">
        <f>"1578728516650677"</f>
        <v>1578728516650677</v>
      </c>
      <c r="C4682" t="s">
        <v>37</v>
      </c>
      <c r="D4682">
        <v>5.6497589999999898</v>
      </c>
      <c r="E4682">
        <v>0.48716359999999997</v>
      </c>
      <c r="F4682" t="s">
        <v>39</v>
      </c>
      <c r="G4682">
        <v>-261.70650000000001</v>
      </c>
      <c r="H4682" s="1">
        <v>5.9735440000000006E-8</v>
      </c>
      <c r="I4682">
        <v>-61.146359999999902</v>
      </c>
      <c r="J4682">
        <v>-275.24209999999999</v>
      </c>
      <c r="K4682">
        <v>1.1117900000000001</v>
      </c>
      <c r="L4682">
        <v>-61.4229699999999</v>
      </c>
      <c r="M4682">
        <v>0.99021109999999901</v>
      </c>
      <c r="N4682">
        <v>0</v>
      </c>
      <c r="O4682">
        <v>-0.1390055</v>
      </c>
      <c r="P4682">
        <v>0.99916949999999904</v>
      </c>
      <c r="Q4682">
        <v>3.8674840000000002E-2</v>
      </c>
      <c r="R4682">
        <v>-1.283012E-2</v>
      </c>
      <c r="S4682">
        <v>3.0129090000000001</v>
      </c>
      <c r="T4682">
        <v>-0.2453301</v>
      </c>
      <c r="U4682">
        <v>5.758667E-2</v>
      </c>
      <c r="V4682">
        <v>-0.12634999999999999</v>
      </c>
      <c r="W4682">
        <v>5.0809729999999997E-2</v>
      </c>
      <c r="X4682">
        <v>0.990683599999999</v>
      </c>
      <c r="Y4682">
        <v>-0.15693789999999999</v>
      </c>
      <c r="Z4682">
        <v>1.7654320000000001E-2</v>
      </c>
      <c r="AA4682">
        <v>0.98745070000000001</v>
      </c>
      <c r="AB4682">
        <v>24</v>
      </c>
      <c r="AC4682">
        <v>13.535599999999899</v>
      </c>
      <c r="AD4682">
        <v>-1.1117899402645599</v>
      </c>
      <c r="AE4682">
        <v>0.27660999999999802</v>
      </c>
      <c r="AF4682">
        <v>-2.1411573138659499</v>
      </c>
      <c r="AG4682">
        <v>-1.1117899402645599</v>
      </c>
      <c r="AH4682">
        <v>13.276183823022</v>
      </c>
      <c r="AI4682">
        <v>94.726173052593793</v>
      </c>
      <c r="AJ4682">
        <v>99.161662864711801</v>
      </c>
      <c r="AK4682">
        <v>13.4936165803192</v>
      </c>
    </row>
    <row r="4683" spans="1:37" x14ac:dyDescent="0.2">
      <c r="A4683" t="str">
        <f>"20200111154156670"</f>
        <v>20200111154156670</v>
      </c>
      <c r="B4683" t="str">
        <f>"1578728516660437"</f>
        <v>1578728516660437</v>
      </c>
      <c r="C4683" t="s">
        <v>37</v>
      </c>
      <c r="D4683">
        <v>5.644171</v>
      </c>
      <c r="E4683">
        <v>0.48715710000000001</v>
      </c>
      <c r="F4683" t="s">
        <v>39</v>
      </c>
      <c r="G4683">
        <v>-261.62139999999999</v>
      </c>
      <c r="H4683" s="1">
        <v>9.2314340000000004E-8</v>
      </c>
      <c r="I4683">
        <v>-61.16104</v>
      </c>
      <c r="J4683">
        <v>-275.12459999999999</v>
      </c>
      <c r="K4683">
        <v>1.1117539999999999</v>
      </c>
      <c r="L4683">
        <v>-61.438319999999997</v>
      </c>
      <c r="M4683">
        <v>0.99034800000000001</v>
      </c>
      <c r="N4683">
        <v>0</v>
      </c>
      <c r="O4683">
        <v>-0.13802890000000001</v>
      </c>
      <c r="P4683">
        <v>0.99917849999999997</v>
      </c>
      <c r="Q4683">
        <v>3.8546980000000002E-2</v>
      </c>
      <c r="R4683">
        <v>-1.25224E-2</v>
      </c>
      <c r="S4683">
        <v>3.012756</v>
      </c>
      <c r="T4683">
        <v>-0.2459161</v>
      </c>
      <c r="U4683">
        <v>5.7922359999999999E-2</v>
      </c>
      <c r="V4683">
        <v>-0.12567339999999999</v>
      </c>
      <c r="W4683">
        <v>5.0678290000000001E-2</v>
      </c>
      <c r="X4683">
        <v>0.9907764</v>
      </c>
      <c r="Y4683">
        <v>-0.1560762</v>
      </c>
      <c r="Z4683">
        <v>1.7583089999999999E-2</v>
      </c>
      <c r="AA4683">
        <v>0.98758849999999998</v>
      </c>
      <c r="AB4683">
        <v>24</v>
      </c>
      <c r="AC4683">
        <v>13.5031999999999</v>
      </c>
      <c r="AD4683">
        <v>-1.11175390768566</v>
      </c>
      <c r="AE4683">
        <v>0.27727999999999697</v>
      </c>
      <c r="AF4683">
        <v>-2.1242121683177699</v>
      </c>
      <c r="AG4683">
        <v>-1.11175390768566</v>
      </c>
      <c r="AH4683">
        <v>13.245902126187</v>
      </c>
      <c r="AI4683">
        <v>94.737448848660094</v>
      </c>
      <c r="AJ4683">
        <v>99.110806185671393</v>
      </c>
      <c r="AK4683">
        <v>13.4611365502252</v>
      </c>
    </row>
    <row r="4684" spans="1:37" x14ac:dyDescent="0.2">
      <c r="A4684" t="str">
        <f>"20200111154156680"</f>
        <v>20200111154156680</v>
      </c>
      <c r="B4684" t="str">
        <f>"1578728516671174"</f>
        <v>1578728516671174</v>
      </c>
      <c r="C4684" t="s">
        <v>37</v>
      </c>
      <c r="D4684">
        <v>5.6432250000000002</v>
      </c>
      <c r="E4684">
        <v>0.48716029999999999</v>
      </c>
      <c r="F4684" t="s">
        <v>39</v>
      </c>
      <c r="G4684">
        <v>-261.50380000000001</v>
      </c>
      <c r="H4684" s="1">
        <v>1.3982720000000001E-7</v>
      </c>
      <c r="I4684">
        <v>-61.172109999999897</v>
      </c>
      <c r="J4684">
        <v>-275.00819999999999</v>
      </c>
      <c r="K4684">
        <v>1.11172</v>
      </c>
      <c r="L4684">
        <v>-61.453490000000002</v>
      </c>
      <c r="M4684">
        <v>0.99047989999999997</v>
      </c>
      <c r="N4684">
        <v>0</v>
      </c>
      <c r="O4684">
        <v>-0.1370808</v>
      </c>
      <c r="P4684">
        <v>0.9991814</v>
      </c>
      <c r="Q4684">
        <v>3.8560440000000001E-2</v>
      </c>
      <c r="R4684">
        <v>-1.2235920000000001E-2</v>
      </c>
      <c r="S4684">
        <v>3.0127259999999998</v>
      </c>
      <c r="T4684">
        <v>-0.24590329999999999</v>
      </c>
      <c r="U4684">
        <v>5.8868410000000003E-2</v>
      </c>
      <c r="V4684">
        <v>-0.1250038</v>
      </c>
      <c r="W4684">
        <v>5.0689249999999998E-2</v>
      </c>
      <c r="X4684">
        <v>0.99086059999999998</v>
      </c>
      <c r="Y4684">
        <v>-0.15544630000000001</v>
      </c>
      <c r="Z4684">
        <v>1.7479950000000001E-2</v>
      </c>
      <c r="AA4684">
        <v>0.987689699999999</v>
      </c>
      <c r="AB4684">
        <v>24</v>
      </c>
      <c r="AC4684">
        <v>13.504399999999899</v>
      </c>
      <c r="AD4684">
        <v>-1.1117198601728</v>
      </c>
      <c r="AE4684">
        <v>0.28138000000000501</v>
      </c>
      <c r="AF4684">
        <v>-2.1157317414792201</v>
      </c>
      <c r="AG4684">
        <v>-1.1117198601728</v>
      </c>
      <c r="AH4684">
        <v>13.248574375198</v>
      </c>
      <c r="AI4684">
        <v>94.736847982181203</v>
      </c>
      <c r="AJ4684">
        <v>99.073239865644993</v>
      </c>
      <c r="AK4684">
        <v>13.4624278948694</v>
      </c>
    </row>
    <row r="4685" spans="1:37" x14ac:dyDescent="0.2">
      <c r="A4685" t="str">
        <f>"20200111154156690"</f>
        <v>20200111154156690</v>
      </c>
      <c r="B4685" t="str">
        <f>"1578728516680933"</f>
        <v>1578728516680933</v>
      </c>
      <c r="C4685" t="s">
        <v>37</v>
      </c>
      <c r="D4685">
        <v>5.8310620000000002</v>
      </c>
      <c r="E4685">
        <v>0.48717870000000002</v>
      </c>
      <c r="F4685" t="s">
        <v>39</v>
      </c>
      <c r="G4685">
        <v>-261.36700000000002</v>
      </c>
      <c r="H4685" s="1">
        <v>1.9563270000000001E-7</v>
      </c>
      <c r="I4685">
        <v>-61.182869999999902</v>
      </c>
      <c r="J4685">
        <v>-274.90190000000001</v>
      </c>
      <c r="K4685">
        <v>1.111694</v>
      </c>
      <c r="L4685">
        <v>-61.467190000000002</v>
      </c>
      <c r="M4685">
        <v>0.99059470000000005</v>
      </c>
      <c r="N4685">
        <v>0</v>
      </c>
      <c r="O4685">
        <v>-0.13624929999999999</v>
      </c>
      <c r="P4685">
        <v>0.99917500000000004</v>
      </c>
      <c r="Q4685">
        <v>3.8787559999999999E-2</v>
      </c>
      <c r="R4685">
        <v>-1.2047550000000001E-2</v>
      </c>
      <c r="S4685">
        <v>3.0126650000000001</v>
      </c>
      <c r="T4685">
        <v>-0.2455234</v>
      </c>
      <c r="U4685">
        <v>5.9753420000000002E-2</v>
      </c>
      <c r="V4685">
        <v>-0.1243546</v>
      </c>
      <c r="W4685">
        <v>5.0914500000000001E-2</v>
      </c>
      <c r="X4685">
        <v>0.99093069999999905</v>
      </c>
      <c r="Y4685">
        <v>-0.154915</v>
      </c>
      <c r="Z4685">
        <v>1.7364560000000001E-2</v>
      </c>
      <c r="AA4685">
        <v>0.98777519999999996</v>
      </c>
      <c r="AB4685">
        <v>24</v>
      </c>
      <c r="AC4685">
        <v>13.534899999999899</v>
      </c>
      <c r="AD4685">
        <v>-1.1116938043672999</v>
      </c>
      <c r="AE4685">
        <v>0.28432000000000801</v>
      </c>
      <c r="AF4685">
        <v>-2.1116951080555202</v>
      </c>
      <c r="AG4685">
        <v>-1.1116938043672999</v>
      </c>
      <c r="AH4685">
        <v>13.2803671513909</v>
      </c>
      <c r="AI4685">
        <v>94.725950989451604</v>
      </c>
      <c r="AJ4685">
        <v>99.034893798564099</v>
      </c>
      <c r="AK4685">
        <v>13.493082339472901</v>
      </c>
    </row>
    <row r="4686" spans="1:37" x14ac:dyDescent="0.2">
      <c r="A4686" t="str">
        <f>"20200111154156701"</f>
        <v>20200111154156701</v>
      </c>
      <c r="B4686" t="str">
        <f>"1578728516690694"</f>
        <v>1578728516690694</v>
      </c>
      <c r="C4686" t="s">
        <v>37</v>
      </c>
      <c r="D4686">
        <v>5.6523129999999897</v>
      </c>
      <c r="E4686">
        <v>0.48718620000000001</v>
      </c>
      <c r="F4686" t="s">
        <v>39</v>
      </c>
      <c r="G4686">
        <v>-261.1952</v>
      </c>
      <c r="H4686" s="1">
        <v>2.6658449999999901E-7</v>
      </c>
      <c r="I4686">
        <v>-61.193190000000001</v>
      </c>
      <c r="J4686">
        <v>-274.78870000000001</v>
      </c>
      <c r="K4686">
        <v>1.1116680000000001</v>
      </c>
      <c r="L4686">
        <v>-61.481780000000001</v>
      </c>
      <c r="M4686">
        <v>0.99071500000000001</v>
      </c>
      <c r="N4686">
        <v>0</v>
      </c>
      <c r="O4686">
        <v>-0.13537389999999999</v>
      </c>
      <c r="P4686">
        <v>0.99916879999999997</v>
      </c>
      <c r="Q4686">
        <v>3.9095669999999999E-2</v>
      </c>
      <c r="R4686">
        <v>-1.1563220000000001E-2</v>
      </c>
      <c r="S4686">
        <v>3.0126949999999999</v>
      </c>
      <c r="T4686">
        <v>-0.2443467</v>
      </c>
      <c r="U4686">
        <v>6.0211180000000003E-2</v>
      </c>
      <c r="V4686">
        <v>-0.1239538</v>
      </c>
      <c r="W4686">
        <v>5.1220229999999999E-2</v>
      </c>
      <c r="X4686">
        <v>0.99096509999999904</v>
      </c>
      <c r="Y4686">
        <v>-0.15420629999999999</v>
      </c>
      <c r="Z4686">
        <v>1.7182320000000001E-2</v>
      </c>
      <c r="AA4686">
        <v>0.98788920000000002</v>
      </c>
      <c r="AB4686">
        <v>24</v>
      </c>
      <c r="AC4686">
        <v>13.593500000000001</v>
      </c>
      <c r="AD4686">
        <v>-1.1116677334154901</v>
      </c>
      <c r="AE4686">
        <v>0.28859000000000601</v>
      </c>
      <c r="AF4686">
        <v>-2.1121637119542598</v>
      </c>
      <c r="AG4686">
        <v>-1.1116677334154901</v>
      </c>
      <c r="AH4686">
        <v>13.340099139229</v>
      </c>
      <c r="AI4686">
        <v>94.705265993788899</v>
      </c>
      <c r="AJ4686">
        <v>98.997065270858599</v>
      </c>
      <c r="AK4686">
        <v>13.5519476733077</v>
      </c>
    </row>
    <row r="4687" spans="1:37" x14ac:dyDescent="0.2">
      <c r="A4687" t="str">
        <f>"20200111154156713"</f>
        <v>20200111154156713</v>
      </c>
      <c r="B4687" t="str">
        <f>"1578728516700453"</f>
        <v>1578728516700453</v>
      </c>
      <c r="C4687" t="s">
        <v>37</v>
      </c>
      <c r="D4687">
        <v>5.8261379999999896</v>
      </c>
      <c r="E4687">
        <v>0.48719829999999997</v>
      </c>
      <c r="F4687" t="s">
        <v>39</v>
      </c>
      <c r="G4687">
        <v>-261.005</v>
      </c>
      <c r="H4687" s="1">
        <v>3.4639330000000003E-7</v>
      </c>
      <c r="I4687">
        <v>-61.199950000000001</v>
      </c>
      <c r="J4687">
        <v>-274.67189999999999</v>
      </c>
      <c r="K4687">
        <v>1.1116349999999999</v>
      </c>
      <c r="L4687">
        <v>-61.496699999999997</v>
      </c>
      <c r="M4687">
        <v>0.99083209999999999</v>
      </c>
      <c r="N4687">
        <v>0</v>
      </c>
      <c r="O4687">
        <v>-0.13451489999999999</v>
      </c>
      <c r="P4687">
        <v>0.99914879999999995</v>
      </c>
      <c r="Q4687">
        <v>3.9705120000000003E-2</v>
      </c>
      <c r="R4687">
        <v>-1.1201869999999999E-2</v>
      </c>
      <c r="S4687">
        <v>3.0127259999999998</v>
      </c>
      <c r="T4687">
        <v>-0.24297939999999901</v>
      </c>
      <c r="U4687">
        <v>6.1584470000000002E-2</v>
      </c>
      <c r="V4687">
        <v>-0.12344719999999899</v>
      </c>
      <c r="W4687">
        <v>5.1827390000000001E-2</v>
      </c>
      <c r="X4687">
        <v>0.99099680000000001</v>
      </c>
      <c r="Y4687">
        <v>-0.15381429999999999</v>
      </c>
      <c r="Z4687">
        <v>1.7001800000000001E-2</v>
      </c>
      <c r="AA4687">
        <v>0.98795350000000004</v>
      </c>
      <c r="AB4687">
        <v>24</v>
      </c>
      <c r="AC4687">
        <v>13.666899999999901</v>
      </c>
      <c r="AD4687">
        <v>-1.1116346536067001</v>
      </c>
      <c r="AE4687">
        <v>0.29674999999999502</v>
      </c>
      <c r="AF4687">
        <v>-2.1185894363528499</v>
      </c>
      <c r="AG4687">
        <v>-1.1116346536067001</v>
      </c>
      <c r="AH4687">
        <v>13.414046071038801</v>
      </c>
      <c r="AI4687">
        <v>94.679587425727703</v>
      </c>
      <c r="AJ4687">
        <v>98.975052717983701</v>
      </c>
      <c r="AK4687">
        <v>13.6257397890492</v>
      </c>
    </row>
    <row r="4688" spans="1:37" x14ac:dyDescent="0.2">
      <c r="A4688" t="str">
        <f>"20200111154156724"</f>
        <v>20200111154156724</v>
      </c>
      <c r="B4688" t="str">
        <f>"1578728516720950"</f>
        <v>1578728516720950</v>
      </c>
      <c r="C4688" t="s">
        <v>37</v>
      </c>
      <c r="D4688">
        <v>5.6521089999999896</v>
      </c>
      <c r="E4688">
        <v>0.48720959999999902</v>
      </c>
      <c r="F4688" t="s">
        <v>52</v>
      </c>
      <c r="G4688">
        <v>-260.7663</v>
      </c>
      <c r="H4688" s="1">
        <v>4.469164E-7</v>
      </c>
      <c r="I4688">
        <v>-61.207039999999999</v>
      </c>
      <c r="J4688">
        <v>-274.55380000000002</v>
      </c>
      <c r="K4688">
        <v>1.1116010000000001</v>
      </c>
      <c r="L4688">
        <v>-61.511780000000002</v>
      </c>
      <c r="M4688">
        <v>0.99094839999999995</v>
      </c>
      <c r="N4688">
        <v>0</v>
      </c>
      <c r="O4688">
        <v>-0.13365659999999999</v>
      </c>
      <c r="P4688">
        <v>0.99914590000000003</v>
      </c>
      <c r="Q4688">
        <v>3.9844289999999997E-2</v>
      </c>
      <c r="R4688">
        <v>-1.0956759999999999E-2</v>
      </c>
      <c r="S4688">
        <v>3.0127869999999999</v>
      </c>
      <c r="T4688">
        <v>-0.24084659999999999</v>
      </c>
      <c r="U4688">
        <v>6.2744140000000004E-2</v>
      </c>
      <c r="V4688">
        <v>-0.1228267</v>
      </c>
      <c r="W4688">
        <v>5.1966440000000003E-2</v>
      </c>
      <c r="X4688">
        <v>0.99106659999999902</v>
      </c>
      <c r="Y4688">
        <v>-0.15335869999999999</v>
      </c>
      <c r="Z4688">
        <v>1.6766449999999999E-2</v>
      </c>
      <c r="AA4688">
        <v>0.98802829999999997</v>
      </c>
      <c r="AB4688">
        <v>24</v>
      </c>
      <c r="AC4688">
        <v>13.7875</v>
      </c>
      <c r="AD4688">
        <v>-1.1116005530836</v>
      </c>
      <c r="AE4688">
        <v>0.30474000000000201</v>
      </c>
      <c r="AF4688">
        <v>-2.1310947973376</v>
      </c>
      <c r="AG4688">
        <v>-1.1116005530836</v>
      </c>
      <c r="AH4688">
        <v>13.5351033759939</v>
      </c>
      <c r="AI4688">
        <v>94.638122388204593</v>
      </c>
      <c r="AJ4688">
        <v>98.947733328401597</v>
      </c>
      <c r="AK4688">
        <v>13.7468630684857</v>
      </c>
    </row>
    <row r="4689" spans="1:37" x14ac:dyDescent="0.2">
      <c r="A4689" t="str">
        <f>"20200111154156735"</f>
        <v>20200111154156735</v>
      </c>
      <c r="B4689" t="str">
        <f>"1578728516730709"</f>
        <v>1578728516730709</v>
      </c>
      <c r="C4689" t="s">
        <v>37</v>
      </c>
      <c r="D4689">
        <v>5.6108079999999996</v>
      </c>
      <c r="E4689">
        <v>0.48720790000000003</v>
      </c>
      <c r="F4689" t="s">
        <v>39</v>
      </c>
      <c r="G4689">
        <v>-260.61270000000002</v>
      </c>
      <c r="H4689" s="1">
        <v>5.0987879999999899E-7</v>
      </c>
      <c r="I4689">
        <v>-61.21799</v>
      </c>
      <c r="J4689">
        <v>-274.43799999999999</v>
      </c>
      <c r="K4689">
        <v>1.1115679999999999</v>
      </c>
      <c r="L4689">
        <v>-61.526400000000002</v>
      </c>
      <c r="M4689">
        <v>0.99105639999999995</v>
      </c>
      <c r="N4689">
        <v>0</v>
      </c>
      <c r="O4689">
        <v>-0.132855</v>
      </c>
      <c r="P4689">
        <v>0.9991544</v>
      </c>
      <c r="Q4689">
        <v>3.9713350000000001E-2</v>
      </c>
      <c r="R4689">
        <v>-1.065727E-2</v>
      </c>
      <c r="S4689">
        <v>3.012848</v>
      </c>
      <c r="T4689">
        <v>-0.24023049999999899</v>
      </c>
      <c r="U4689">
        <v>6.3476560000000001E-2</v>
      </c>
      <c r="V4689">
        <v>-0.1223181</v>
      </c>
      <c r="W4689">
        <v>5.1835489999999998E-2</v>
      </c>
      <c r="X4689">
        <v>0.99113639999999903</v>
      </c>
      <c r="Y4689">
        <v>-0.1528081</v>
      </c>
      <c r="Z4689">
        <v>1.663802E-2</v>
      </c>
      <c r="AA4689">
        <v>0.98811579999999999</v>
      </c>
      <c r="AB4689">
        <v>24</v>
      </c>
      <c r="AC4689">
        <v>13.825299999999899</v>
      </c>
      <c r="AD4689">
        <v>-1.1115674901212</v>
      </c>
      <c r="AE4689">
        <v>0.30841000000000202</v>
      </c>
      <c r="AF4689">
        <v>-2.1288253250198301</v>
      </c>
      <c r="AG4689">
        <v>-1.1115674901212</v>
      </c>
      <c r="AH4689">
        <v>13.5740458220266</v>
      </c>
      <c r="AI4689">
        <v>94.625174017044003</v>
      </c>
      <c r="AJ4689">
        <v>98.913127646541</v>
      </c>
      <c r="AK4689">
        <v>13.784853990087001</v>
      </c>
    </row>
    <row r="4690" spans="1:37" x14ac:dyDescent="0.2">
      <c r="A4690" t="str">
        <f>"20200111154156747"</f>
        <v>20200111154156747</v>
      </c>
      <c r="B4690" t="str">
        <f>"1578728516740469"</f>
        <v>1578728516740469</v>
      </c>
      <c r="C4690" t="s">
        <v>37</v>
      </c>
      <c r="D4690">
        <v>5.7024609999999996</v>
      </c>
      <c r="E4690">
        <v>0.48714399999999902</v>
      </c>
      <c r="F4690" t="s">
        <v>39</v>
      </c>
      <c r="G4690">
        <v>-260.55110000000002</v>
      </c>
      <c r="H4690" s="1">
        <v>5.3336999999999996E-7</v>
      </c>
      <c r="I4690">
        <v>-61.229109999999999</v>
      </c>
      <c r="J4690">
        <v>-274.31189999999998</v>
      </c>
      <c r="K4690">
        <v>1.111532</v>
      </c>
      <c r="L4690">
        <v>-61.54233</v>
      </c>
      <c r="M4690">
        <v>0.99117109999999997</v>
      </c>
      <c r="N4690">
        <v>0</v>
      </c>
      <c r="O4690">
        <v>-0.13199659999999999</v>
      </c>
      <c r="P4690">
        <v>0.99918069999999903</v>
      </c>
      <c r="Q4690">
        <v>3.9137869999999998E-2</v>
      </c>
      <c r="R4690">
        <v>-1.0301950000000001E-2</v>
      </c>
      <c r="S4690">
        <v>3.0127869999999999</v>
      </c>
      <c r="T4690">
        <v>-0.24115539999999999</v>
      </c>
      <c r="U4690">
        <v>6.4483639999999995E-2</v>
      </c>
      <c r="V4690">
        <v>-0.121808999999999</v>
      </c>
      <c r="W4690">
        <v>5.1259770000000003E-2</v>
      </c>
      <c r="X4690">
        <v>0.99122909999999997</v>
      </c>
      <c r="Y4690">
        <v>-0.15228029999999901</v>
      </c>
      <c r="Z4690">
        <v>1.6612930000000001E-2</v>
      </c>
      <c r="AA4690">
        <v>0.98819769999999896</v>
      </c>
      <c r="AB4690">
        <v>24</v>
      </c>
      <c r="AC4690">
        <v>13.7607999999999</v>
      </c>
      <c r="AD4690">
        <v>-1.11153146662999</v>
      </c>
      <c r="AE4690">
        <v>0.31322000000000799</v>
      </c>
      <c r="AF4690">
        <v>-2.1132192906792202</v>
      </c>
      <c r="AG4690">
        <v>-1.11153146662999</v>
      </c>
      <c r="AH4690">
        <v>13.5109209842885</v>
      </c>
      <c r="AI4690">
        <v>94.646837797763297</v>
      </c>
      <c r="AJ4690">
        <v>98.889509010199305</v>
      </c>
      <c r="AK4690">
        <v>13.720283663812999</v>
      </c>
    </row>
    <row r="4691" spans="1:37" x14ac:dyDescent="0.2">
      <c r="A4691" t="str">
        <f>"20200111154156759"</f>
        <v>20200111154156759</v>
      </c>
      <c r="B4691" t="str">
        <f>"1578728516751205"</f>
        <v>1578728516751205</v>
      </c>
      <c r="C4691" t="s">
        <v>37</v>
      </c>
      <c r="D4691">
        <v>5.8465689999999997</v>
      </c>
      <c r="E4691">
        <v>0.4871143</v>
      </c>
      <c r="F4691" t="s">
        <v>39</v>
      </c>
      <c r="G4691">
        <v>-260.54910000000001</v>
      </c>
      <c r="H4691" s="1">
        <v>5.3117920000000003E-7</v>
      </c>
      <c r="I4691">
        <v>-61.240430000000003</v>
      </c>
      <c r="J4691">
        <v>-274.1952</v>
      </c>
      <c r="K4691">
        <v>1.11149599999999</v>
      </c>
      <c r="L4691">
        <v>-61.556950000000001</v>
      </c>
      <c r="M4691">
        <v>0.99127369999999904</v>
      </c>
      <c r="N4691">
        <v>0</v>
      </c>
      <c r="O4691">
        <v>-0.131225799999999</v>
      </c>
      <c r="P4691">
        <v>0.99919409999999897</v>
      </c>
      <c r="Q4691">
        <v>3.8882449999999999E-2</v>
      </c>
      <c r="R4691">
        <v>-9.9804349999999993E-3</v>
      </c>
      <c r="S4691">
        <v>3.0126650000000001</v>
      </c>
      <c r="T4691">
        <v>-0.24331469999999999</v>
      </c>
      <c r="U4691">
        <v>6.607056E-2</v>
      </c>
      <c r="V4691">
        <v>-0.1213539</v>
      </c>
      <c r="W4691">
        <v>5.1004510000000003E-2</v>
      </c>
      <c r="X4691">
        <v>0.99129799999999901</v>
      </c>
      <c r="Y4691">
        <v>-0.15201989999999899</v>
      </c>
      <c r="Z4691">
        <v>1.6689590000000001E-2</v>
      </c>
      <c r="AA4691">
        <v>0.98823649999999996</v>
      </c>
      <c r="AB4691">
        <v>24</v>
      </c>
      <c r="AC4691">
        <v>13.646099999999899</v>
      </c>
      <c r="AD4691">
        <v>-1.1114954688208001</v>
      </c>
      <c r="AE4691">
        <v>0.31651999999999703</v>
      </c>
      <c r="AF4691">
        <v>-2.0907792631097601</v>
      </c>
      <c r="AG4691">
        <v>-1.1114954688208001</v>
      </c>
      <c r="AH4691">
        <v>13.3977008399171</v>
      </c>
      <c r="AI4691">
        <v>94.686032924940093</v>
      </c>
      <c r="AJ4691">
        <v>98.869756838210606</v>
      </c>
      <c r="AK4691">
        <v>13.6053360083526</v>
      </c>
    </row>
    <row r="4692" spans="1:37" x14ac:dyDescent="0.2">
      <c r="A4692" t="str">
        <f>"20200111154156769"</f>
        <v>20200111154156769</v>
      </c>
      <c r="B4692" t="str">
        <f>"1578728516760966"</f>
        <v>1578728516760966</v>
      </c>
      <c r="C4692" t="s">
        <v>37</v>
      </c>
      <c r="D4692">
        <v>5.6313339999999998</v>
      </c>
      <c r="E4692">
        <v>0.487099</v>
      </c>
      <c r="F4692" t="s">
        <v>39</v>
      </c>
      <c r="G4692">
        <v>-260.47449999999998</v>
      </c>
      <c r="H4692" s="1">
        <v>5.6043349999999898E-7</v>
      </c>
      <c r="I4692">
        <v>-61.250819999999997</v>
      </c>
      <c r="J4692">
        <v>-274.08150000000001</v>
      </c>
      <c r="K4692">
        <v>1.111462</v>
      </c>
      <c r="L4692">
        <v>-61.57114</v>
      </c>
      <c r="M4692">
        <v>0.99137030000000004</v>
      </c>
      <c r="N4692">
        <v>0</v>
      </c>
      <c r="O4692">
        <v>-0.13049359999999999</v>
      </c>
      <c r="P4692">
        <v>0.99922819999999901</v>
      </c>
      <c r="Q4692">
        <v>3.8090329999999999E-2</v>
      </c>
      <c r="R4692">
        <v>-9.6043069999999994E-3</v>
      </c>
      <c r="S4692">
        <v>3.0126040000000001</v>
      </c>
      <c r="T4692">
        <v>-0.24404770000000001</v>
      </c>
      <c r="U4692">
        <v>6.7199709999999996E-2</v>
      </c>
      <c r="V4692">
        <v>-0.120993899999999</v>
      </c>
      <c r="W4692">
        <v>5.0212550000000002E-2</v>
      </c>
      <c r="X4692">
        <v>0.99138250000000006</v>
      </c>
      <c r="Y4692">
        <v>-0.1516585</v>
      </c>
      <c r="Z4692">
        <v>1.6666549999999999E-2</v>
      </c>
      <c r="AA4692">
        <v>0.98829239999999996</v>
      </c>
      <c r="AB4692">
        <v>24</v>
      </c>
      <c r="AC4692">
        <v>13.606999999999999</v>
      </c>
      <c r="AD4692">
        <v>-1.1114614395664999</v>
      </c>
      <c r="AE4692">
        <v>0.32032000000000199</v>
      </c>
      <c r="AF4692">
        <v>-2.0794789476821798</v>
      </c>
      <c r="AG4692">
        <v>-1.1114614395664999</v>
      </c>
      <c r="AH4692">
        <v>13.359738907813</v>
      </c>
      <c r="AI4692">
        <v>94.699432042738493</v>
      </c>
      <c r="AJ4692">
        <v>98.847246916809198</v>
      </c>
      <c r="AK4692">
        <v>13.5662154969773</v>
      </c>
    </row>
    <row r="4693" spans="1:37" x14ac:dyDescent="0.2">
      <c r="A4693" t="str">
        <f>"20200111154156780"</f>
        <v>20200111154156780</v>
      </c>
      <c r="B4693" t="str">
        <f>"1578728516770725"</f>
        <v>1578728516770725</v>
      </c>
      <c r="C4693" t="s">
        <v>37</v>
      </c>
      <c r="D4693">
        <v>5.6619869999999999</v>
      </c>
      <c r="E4693">
        <v>0.48709589999999903</v>
      </c>
      <c r="F4693" t="s">
        <v>52</v>
      </c>
      <c r="G4693">
        <v>-260.49639999999999</v>
      </c>
      <c r="H4693" s="1">
        <v>5.4790409999999897E-7</v>
      </c>
      <c r="I4693">
        <v>-61.262650000000001</v>
      </c>
      <c r="J4693">
        <v>-273.9624</v>
      </c>
      <c r="K4693">
        <v>1.111434</v>
      </c>
      <c r="L4693">
        <v>-61.585999999999999</v>
      </c>
      <c r="M4693">
        <v>0.99146939999999995</v>
      </c>
      <c r="N4693">
        <v>0</v>
      </c>
      <c r="O4693">
        <v>-0.12974050000000001</v>
      </c>
      <c r="P4693">
        <v>0.99925580000000003</v>
      </c>
      <c r="Q4693">
        <v>3.7505410000000003E-2</v>
      </c>
      <c r="R4693">
        <v>-9.0202049999999999E-3</v>
      </c>
      <c r="S4693">
        <v>3.0123899999999999</v>
      </c>
      <c r="T4693">
        <v>-0.24645829999999999</v>
      </c>
      <c r="U4693">
        <v>6.8389889999999995E-2</v>
      </c>
      <c r="V4693">
        <v>-0.1208183</v>
      </c>
      <c r="W4693">
        <v>4.9626759999999999E-2</v>
      </c>
      <c r="X4693">
        <v>0.99143340000000002</v>
      </c>
      <c r="Y4693">
        <v>-0.1512849</v>
      </c>
      <c r="Z4693">
        <v>1.67554E-2</v>
      </c>
      <c r="AA4693">
        <v>0.98834820000000001</v>
      </c>
      <c r="AB4693">
        <v>24</v>
      </c>
      <c r="AC4693">
        <v>13.465999999999999</v>
      </c>
      <c r="AD4693">
        <v>-1.1114334520958999</v>
      </c>
      <c r="AE4693">
        <v>0.32335000000000402</v>
      </c>
      <c r="AF4693">
        <v>-2.05385504360834</v>
      </c>
      <c r="AG4693">
        <v>-1.1114334520958999</v>
      </c>
      <c r="AH4693">
        <v>13.220205200387101</v>
      </c>
      <c r="AI4693">
        <v>94.748899884306695</v>
      </c>
      <c r="AJ4693">
        <v>98.830721944297593</v>
      </c>
      <c r="AK4693">
        <v>13.424881019917301</v>
      </c>
    </row>
    <row r="4694" spans="1:37" x14ac:dyDescent="0.2">
      <c r="A4694" t="str">
        <f>"20200111154156793"</f>
        <v>20200111154156793</v>
      </c>
      <c r="B4694" t="str">
        <f>"1578728516780485"</f>
        <v>1578728516780485</v>
      </c>
      <c r="C4694" t="s">
        <v>37</v>
      </c>
      <c r="D4694">
        <v>5.7190629999999896</v>
      </c>
      <c r="E4694">
        <v>0.48709019999999997</v>
      </c>
      <c r="F4694" t="s">
        <v>39</v>
      </c>
      <c r="G4694">
        <v>-260.48079999999999</v>
      </c>
      <c r="H4694" s="1">
        <v>5.5209839999999999E-7</v>
      </c>
      <c r="I4694">
        <v>-61.272059999999897</v>
      </c>
      <c r="J4694">
        <v>-273.84059999999999</v>
      </c>
      <c r="K4694">
        <v>1.1114109999999999</v>
      </c>
      <c r="L4694">
        <v>-61.601009999999903</v>
      </c>
      <c r="M4694">
        <v>0.99156719999999898</v>
      </c>
      <c r="N4694">
        <v>0</v>
      </c>
      <c r="O4694">
        <v>-0.1289922</v>
      </c>
      <c r="P4694">
        <v>0.99927509999999997</v>
      </c>
      <c r="Q4694">
        <v>3.7179360000000002E-2</v>
      </c>
      <c r="R4694">
        <v>-8.1963109999999995E-3</v>
      </c>
      <c r="S4694">
        <v>3.0122070000000001</v>
      </c>
      <c r="T4694">
        <v>-0.24832789999999999</v>
      </c>
      <c r="U4694">
        <v>7.012939E-2</v>
      </c>
      <c r="V4694">
        <v>-0.12088599999999999</v>
      </c>
      <c r="W4694">
        <v>4.9294820000000003E-2</v>
      </c>
      <c r="X4694">
        <v>0.99144169999999998</v>
      </c>
      <c r="Y4694">
        <v>-0.1510996</v>
      </c>
      <c r="Z4694">
        <v>1.6814220000000001E-2</v>
      </c>
      <c r="AA4694">
        <v>0.98837549999999996</v>
      </c>
      <c r="AB4694">
        <v>24</v>
      </c>
      <c r="AC4694">
        <v>13.3598</v>
      </c>
      <c r="AD4694">
        <v>-1.1114104479016</v>
      </c>
      <c r="AE4694">
        <v>0.32894999999999802</v>
      </c>
      <c r="AF4694">
        <v>-2.0355664134293501</v>
      </c>
      <c r="AG4694">
        <v>-1.1114104479016</v>
      </c>
      <c r="AH4694">
        <v>13.1150243328999</v>
      </c>
      <c r="AI4694">
        <v>94.786817885471805</v>
      </c>
      <c r="AJ4694">
        <v>98.822411991747202</v>
      </c>
      <c r="AK4694">
        <v>13.3185069380822</v>
      </c>
    </row>
    <row r="4695" spans="1:37" x14ac:dyDescent="0.2">
      <c r="A4695" t="str">
        <f>"20200111154156802"</f>
        <v>20200111154156802</v>
      </c>
      <c r="B4695" t="str">
        <f>"1578728516791222"</f>
        <v>1578728516791222</v>
      </c>
      <c r="C4695" t="s">
        <v>37</v>
      </c>
      <c r="D4695">
        <v>5.8480089999999896</v>
      </c>
      <c r="E4695">
        <v>0.48708499999999999</v>
      </c>
      <c r="F4695" t="s">
        <v>52</v>
      </c>
      <c r="G4695">
        <v>-260.41019999999997</v>
      </c>
      <c r="H4695" s="1">
        <v>5.8095380000000004E-7</v>
      </c>
      <c r="I4695">
        <v>-61.277359999999902</v>
      </c>
      <c r="J4695">
        <v>-273.73340000000002</v>
      </c>
      <c r="K4695">
        <v>1.111394</v>
      </c>
      <c r="L4695">
        <v>-61.614259999999902</v>
      </c>
      <c r="M4695">
        <v>0.99165239999999999</v>
      </c>
      <c r="N4695">
        <v>0</v>
      </c>
      <c r="O4695">
        <v>-0.1283377</v>
      </c>
      <c r="P4695">
        <v>0.9992856</v>
      </c>
      <c r="Q4695">
        <v>3.7053290000000003E-2</v>
      </c>
      <c r="R4695">
        <v>-7.4675890000000002E-3</v>
      </c>
      <c r="S4695">
        <v>3.012054</v>
      </c>
      <c r="T4695">
        <v>-0.2492576</v>
      </c>
      <c r="U4695">
        <v>7.2570800000000005E-2</v>
      </c>
      <c r="V4695">
        <v>-0.120953399999999</v>
      </c>
      <c r="W4695">
        <v>4.9163369999999998E-2</v>
      </c>
      <c r="X4695">
        <v>0.99143999999999999</v>
      </c>
      <c r="Y4695">
        <v>-0.15124360000000001</v>
      </c>
      <c r="Z4695">
        <v>1.6829960000000001E-2</v>
      </c>
      <c r="AA4695">
        <v>0.98835329999999999</v>
      </c>
      <c r="AB4695">
        <v>24</v>
      </c>
      <c r="AC4695">
        <v>13.3232</v>
      </c>
      <c r="AD4695">
        <v>-1.11139341904619</v>
      </c>
      <c r="AE4695">
        <v>0.33689999999999998</v>
      </c>
      <c r="AF4695">
        <v>-2.0299981044284201</v>
      </c>
      <c r="AG4695">
        <v>-1.11139341904619</v>
      </c>
      <c r="AH4695">
        <v>13.078815276022</v>
      </c>
      <c r="AI4695">
        <v>94.799932424837294</v>
      </c>
      <c r="AJ4695">
        <v>98.822632951184005</v>
      </c>
      <c r="AK4695">
        <v>13.2819989707946</v>
      </c>
    </row>
    <row r="4696" spans="1:37" x14ac:dyDescent="0.2">
      <c r="A4696" t="str">
        <f>"20200111154156813"</f>
        <v>20200111154156813</v>
      </c>
      <c r="B4696" t="str">
        <f>"1578728516810741"</f>
        <v>1578728516810741</v>
      </c>
      <c r="C4696" t="s">
        <v>37</v>
      </c>
      <c r="D4696">
        <v>5.5587619999999998</v>
      </c>
      <c r="E4696">
        <v>0.48705209999999999</v>
      </c>
      <c r="F4696" t="s">
        <v>52</v>
      </c>
      <c r="G4696">
        <v>-260.32960000000003</v>
      </c>
      <c r="H4696" s="1">
        <v>6.1436090000000004E-7</v>
      </c>
      <c r="I4696">
        <v>-61.281730000000003</v>
      </c>
      <c r="J4696">
        <v>-273.62389999999999</v>
      </c>
      <c r="K4696">
        <v>1.111378</v>
      </c>
      <c r="L4696">
        <v>-61.627619999999901</v>
      </c>
      <c r="M4696">
        <v>0.99173639999999996</v>
      </c>
      <c r="N4696">
        <v>0</v>
      </c>
      <c r="O4696">
        <v>-0.1276863</v>
      </c>
      <c r="P4696">
        <v>0.9992877</v>
      </c>
      <c r="Q4696">
        <v>3.7186289999999997E-2</v>
      </c>
      <c r="R4696">
        <v>-6.4366329999999998E-3</v>
      </c>
      <c r="S4696">
        <v>3.0119630000000002</v>
      </c>
      <c r="T4696">
        <v>-0.24974189999999999</v>
      </c>
      <c r="U4696">
        <v>7.4707029999999994E-2</v>
      </c>
      <c r="V4696">
        <v>-0.1213233</v>
      </c>
      <c r="W4696">
        <v>4.9284340000000003E-2</v>
      </c>
      <c r="X4696">
        <v>0.99138879999999996</v>
      </c>
      <c r="Y4696">
        <v>-0.15129389999999901</v>
      </c>
      <c r="Z4696">
        <v>1.68115E-2</v>
      </c>
      <c r="AA4696">
        <v>0.9883459</v>
      </c>
      <c r="AB4696">
        <v>24</v>
      </c>
      <c r="AC4696">
        <v>13.2942999999999</v>
      </c>
      <c r="AD4696">
        <v>-1.1113773856391</v>
      </c>
      <c r="AE4696">
        <v>0.34588999999998998</v>
      </c>
      <c r="AF4696">
        <v>-2.0265368262455299</v>
      </c>
      <c r="AG4696">
        <v>-1.1113773856391</v>
      </c>
      <c r="AH4696">
        <v>13.050154072087</v>
      </c>
      <c r="AI4696">
        <v>94.810300806751698</v>
      </c>
      <c r="AJ4696">
        <v>98.826865622436301</v>
      </c>
      <c r="AK4696">
        <v>13.253246112053001</v>
      </c>
    </row>
    <row r="4697" spans="1:37" x14ac:dyDescent="0.2">
      <c r="A4697" t="str">
        <f>"20200111154156828"</f>
        <v>20200111154156828</v>
      </c>
      <c r="B4697" t="str">
        <f>"1578728516820501"</f>
        <v>1578728516820501</v>
      </c>
      <c r="C4697" t="s">
        <v>37</v>
      </c>
      <c r="D4697">
        <v>5.6309309999999897</v>
      </c>
      <c r="E4697">
        <v>0.48702619999999902</v>
      </c>
      <c r="F4697" t="s">
        <v>52</v>
      </c>
      <c r="G4697">
        <v>-260.20569999999998</v>
      </c>
      <c r="H4697" s="1">
        <v>6.6810990000000003E-7</v>
      </c>
      <c r="I4697">
        <v>-61.279509999999902</v>
      </c>
      <c r="J4697">
        <v>-273.47340000000003</v>
      </c>
      <c r="K4697">
        <v>1.1113580000000001</v>
      </c>
      <c r="L4697">
        <v>-61.645969999999998</v>
      </c>
      <c r="M4697">
        <v>0.99185100000000004</v>
      </c>
      <c r="N4697">
        <v>0</v>
      </c>
      <c r="O4697">
        <v>-0.12679509999999999</v>
      </c>
      <c r="P4697">
        <v>0.99930259999999904</v>
      </c>
      <c r="Q4697">
        <v>3.6933649999999998E-2</v>
      </c>
      <c r="R4697">
        <v>-5.51810199999999E-3</v>
      </c>
      <c r="S4697">
        <v>3.0119319999999998</v>
      </c>
      <c r="T4697">
        <v>-0.2494663</v>
      </c>
      <c r="U4697">
        <v>7.8125E-2</v>
      </c>
      <c r="V4697">
        <v>-0.121342899999999</v>
      </c>
      <c r="W4697">
        <v>4.9015250000000003E-2</v>
      </c>
      <c r="X4697">
        <v>0.991399699999999</v>
      </c>
      <c r="Y4697">
        <v>-0.15153129999999901</v>
      </c>
      <c r="Z4697">
        <v>1.672966E-2</v>
      </c>
      <c r="AA4697">
        <v>0.98831089999999999</v>
      </c>
      <c r="AB4697">
        <v>24</v>
      </c>
      <c r="AC4697">
        <v>13.2677</v>
      </c>
      <c r="AD4697">
        <v>-1.1113573318901</v>
      </c>
      <c r="AE4697">
        <v>0.36646000000000301</v>
      </c>
      <c r="AF4697">
        <v>-2.0316670357850399</v>
      </c>
      <c r="AG4697">
        <v>-1.1113573318901</v>
      </c>
      <c r="AH4697">
        <v>13.022825836772199</v>
      </c>
      <c r="AI4697">
        <v>94.819736316234696</v>
      </c>
      <c r="AJ4697">
        <v>98.867132207509698</v>
      </c>
      <c r="AK4697">
        <v>13.227122848085401</v>
      </c>
    </row>
    <row r="4698" spans="1:37" x14ac:dyDescent="0.2">
      <c r="A4698" t="str">
        <f>"20200111154156839"</f>
        <v>20200111154156839</v>
      </c>
      <c r="B4698" t="str">
        <f>"1578728516830261"</f>
        <v>1578728516830261</v>
      </c>
      <c r="C4698" t="s">
        <v>37</v>
      </c>
      <c r="D4698">
        <v>5.715103</v>
      </c>
      <c r="E4698">
        <v>0.48700769999999999</v>
      </c>
      <c r="F4698" t="s">
        <v>52</v>
      </c>
      <c r="G4698">
        <v>-260.11059999999998</v>
      </c>
      <c r="H4698" s="1">
        <v>7.0712349999999999E-7</v>
      </c>
      <c r="I4698">
        <v>-61.286269999999902</v>
      </c>
      <c r="J4698">
        <v>-273.34969999999998</v>
      </c>
      <c r="K4698">
        <v>1.11134</v>
      </c>
      <c r="L4698">
        <v>-61.66095</v>
      </c>
      <c r="M4698">
        <v>0.99194369999999998</v>
      </c>
      <c r="N4698">
        <v>0</v>
      </c>
      <c r="O4698">
        <v>-0.1260694</v>
      </c>
      <c r="P4698">
        <v>0.99933479999999997</v>
      </c>
      <c r="Q4698">
        <v>3.6170210000000001E-2</v>
      </c>
      <c r="R4698">
        <v>-4.6729199999999997E-3</v>
      </c>
      <c r="S4698">
        <v>3.0118099999999899</v>
      </c>
      <c r="T4698">
        <v>-0.25048550000000003</v>
      </c>
      <c r="U4698">
        <v>8.1054689999999999E-2</v>
      </c>
      <c r="V4698">
        <v>-0.1214576</v>
      </c>
      <c r="W4698">
        <v>4.8235109999999998E-2</v>
      </c>
      <c r="X4698">
        <v>0.99142389999999903</v>
      </c>
      <c r="Y4698">
        <v>-0.1517637</v>
      </c>
      <c r="Z4698">
        <v>1.674811E-2</v>
      </c>
      <c r="AA4698">
        <v>0.98827489999999996</v>
      </c>
      <c r="AB4698">
        <v>24</v>
      </c>
      <c r="AC4698">
        <v>13.239100000000001</v>
      </c>
      <c r="AD4698">
        <v>-1.1113392928765</v>
      </c>
      <c r="AE4698">
        <v>0.37468000000000501</v>
      </c>
      <c r="AF4698">
        <v>-2.0265951470285901</v>
      </c>
      <c r="AG4698">
        <v>-1.1113392928765</v>
      </c>
      <c r="AH4698">
        <v>12.9947205183786</v>
      </c>
      <c r="AI4698">
        <v>94.830071985978094</v>
      </c>
      <c r="AJ4698">
        <v>98.864174074449807</v>
      </c>
      <c r="AK4698">
        <v>13.1986713067877</v>
      </c>
    </row>
    <row r="4699" spans="1:37" x14ac:dyDescent="0.2">
      <c r="A4699" t="str">
        <f>"20200111154156850"</f>
        <v>20200111154156850</v>
      </c>
      <c r="B4699" t="str">
        <f>"1578728516840997"</f>
        <v>1578728516840997</v>
      </c>
      <c r="C4699" t="s">
        <v>37</v>
      </c>
      <c r="D4699">
        <v>5.6431740000000001</v>
      </c>
      <c r="E4699">
        <v>0.48698259999999999</v>
      </c>
      <c r="F4699" t="s">
        <v>52</v>
      </c>
      <c r="G4699">
        <v>-260.1225</v>
      </c>
      <c r="H4699" s="1">
        <v>7.0025489999999997E-7</v>
      </c>
      <c r="I4699">
        <v>-61.292809999999903</v>
      </c>
      <c r="J4699">
        <v>-273.24169999999998</v>
      </c>
      <c r="K4699">
        <v>1.1113299999999999</v>
      </c>
      <c r="L4699">
        <v>-61.67398</v>
      </c>
      <c r="M4699">
        <v>0.99202409999999996</v>
      </c>
      <c r="N4699">
        <v>0</v>
      </c>
      <c r="O4699">
        <v>-0.12543750000000001</v>
      </c>
      <c r="P4699">
        <v>0.99937089999999995</v>
      </c>
      <c r="Q4699">
        <v>3.5267159999999999E-2</v>
      </c>
      <c r="R4699">
        <v>-3.763939E-3</v>
      </c>
      <c r="S4699">
        <v>3.011536</v>
      </c>
      <c r="T4699">
        <v>-0.253027</v>
      </c>
      <c r="U4699">
        <v>8.3801269999999997E-2</v>
      </c>
      <c r="V4699">
        <v>-0.12172959999999999</v>
      </c>
      <c r="W4699">
        <v>4.7316820000000002E-2</v>
      </c>
      <c r="X4699">
        <v>0.99143479999999995</v>
      </c>
      <c r="Y4699">
        <v>-0.15201889999999901</v>
      </c>
      <c r="Z4699">
        <v>1.6876909999999998E-2</v>
      </c>
      <c r="AA4699">
        <v>0.98823349999999899</v>
      </c>
      <c r="AB4699">
        <v>24</v>
      </c>
      <c r="AC4699">
        <v>13.1191999999999</v>
      </c>
      <c r="AD4699">
        <v>-1.1113292997451001</v>
      </c>
      <c r="AE4699">
        <v>0.381170000000011</v>
      </c>
      <c r="AF4699">
        <v>-2.0095171908492402</v>
      </c>
      <c r="AG4699">
        <v>-1.1113292997451001</v>
      </c>
      <c r="AH4699">
        <v>12.8754319394716</v>
      </c>
      <c r="AI4699">
        <v>94.8744759214119</v>
      </c>
      <c r="AJ4699">
        <v>98.8708022364561</v>
      </c>
      <c r="AK4699">
        <v>13.0786069510769</v>
      </c>
    </row>
    <row r="4700" spans="1:37" x14ac:dyDescent="0.2">
      <c r="A4700" t="str">
        <f>"20200111154156861"</f>
        <v>20200111154156861</v>
      </c>
      <c r="B4700" t="str">
        <f>"1578728516850757"</f>
        <v>1578728516850757</v>
      </c>
      <c r="C4700" t="s">
        <v>37</v>
      </c>
      <c r="D4700">
        <v>5.8558839999999996</v>
      </c>
      <c r="E4700">
        <v>0.486979299999999</v>
      </c>
      <c r="F4700" t="s">
        <v>52</v>
      </c>
      <c r="G4700">
        <v>-260.17059999999998</v>
      </c>
      <c r="H4700" s="1">
        <v>6.7856589999999897E-7</v>
      </c>
      <c r="I4700">
        <v>-61.296900000000001</v>
      </c>
      <c r="J4700">
        <v>-273.11840000000001</v>
      </c>
      <c r="K4700">
        <v>1.111318</v>
      </c>
      <c r="L4700">
        <v>-61.688749999999999</v>
      </c>
      <c r="M4700">
        <v>0.99211510000000003</v>
      </c>
      <c r="N4700">
        <v>0</v>
      </c>
      <c r="O4700">
        <v>-0.1247176</v>
      </c>
      <c r="P4700">
        <v>0.99941719999999901</v>
      </c>
      <c r="Q4700">
        <v>3.4019540000000001E-2</v>
      </c>
      <c r="R4700">
        <v>-2.8632649999999998E-3</v>
      </c>
      <c r="S4700">
        <v>3.0112610000000002</v>
      </c>
      <c r="T4700">
        <v>-0.25602269999999999</v>
      </c>
      <c r="U4700">
        <v>8.6853029999999998E-2</v>
      </c>
      <c r="V4700">
        <v>-0.121906999999999</v>
      </c>
      <c r="W4700">
        <v>4.6051729999999999E-2</v>
      </c>
      <c r="X4700">
        <v>0.99147260000000004</v>
      </c>
      <c r="Y4700">
        <v>-0.15228320000000001</v>
      </c>
      <c r="Z4700">
        <v>1.702791E-2</v>
      </c>
      <c r="AA4700">
        <v>0.98819020000000002</v>
      </c>
      <c r="AB4700">
        <v>24</v>
      </c>
      <c r="AC4700">
        <v>12.947800000000001</v>
      </c>
      <c r="AD4700">
        <v>-1.1113173214340999</v>
      </c>
      <c r="AE4700">
        <v>0.39184999999999798</v>
      </c>
      <c r="AF4700">
        <v>-1.98909226775867</v>
      </c>
      <c r="AG4700">
        <v>-1.1113173214340999</v>
      </c>
      <c r="AH4700">
        <v>12.704311692964801</v>
      </c>
      <c r="AI4700">
        <v>94.939385887150294</v>
      </c>
      <c r="AJ4700">
        <v>98.898459944383902</v>
      </c>
      <c r="AK4700">
        <v>12.907015527633799</v>
      </c>
    </row>
    <row r="4701" spans="1:37" x14ac:dyDescent="0.2">
      <c r="A4701" t="str">
        <f>"20200111154156873"</f>
        <v>20200111154156873</v>
      </c>
      <c r="B4701" t="str">
        <f>"1578728516860517"</f>
        <v>1578728516860517</v>
      </c>
      <c r="C4701" t="s">
        <v>37</v>
      </c>
      <c r="D4701">
        <v>5.7286710000000003</v>
      </c>
      <c r="E4701">
        <v>0.48697410000000002</v>
      </c>
      <c r="F4701" t="s">
        <v>52</v>
      </c>
      <c r="G4701">
        <v>-260.23439999999999</v>
      </c>
      <c r="H4701" s="1">
        <v>6.4909570000000003E-7</v>
      </c>
      <c r="I4701">
        <v>-61.304740000000002</v>
      </c>
      <c r="J4701">
        <v>-273.0052</v>
      </c>
      <c r="K4701">
        <v>1.1113170000000001</v>
      </c>
      <c r="L4701">
        <v>-61.702179999999998</v>
      </c>
      <c r="M4701">
        <v>0.99219849999999998</v>
      </c>
      <c r="N4701">
        <v>0</v>
      </c>
      <c r="O4701">
        <v>-0.12405430000000001</v>
      </c>
      <c r="P4701">
        <v>0.99945899999999999</v>
      </c>
      <c r="Q4701">
        <v>3.281651E-2</v>
      </c>
      <c r="R4701">
        <v>-2.290449E-3</v>
      </c>
      <c r="S4701">
        <v>3.010834</v>
      </c>
      <c r="T4701">
        <v>-0.25970079999999901</v>
      </c>
      <c r="U4701">
        <v>8.9721679999999998E-2</v>
      </c>
      <c r="V4701">
        <v>-0.12181500000000001</v>
      </c>
      <c r="W4701">
        <v>4.4832749999999998E-2</v>
      </c>
      <c r="X4701">
        <v>0.99153979999999997</v>
      </c>
      <c r="Y4701">
        <v>-0.1525397</v>
      </c>
      <c r="Z4701">
        <v>1.7228230000000001E-2</v>
      </c>
      <c r="AA4701">
        <v>0.98814709999999994</v>
      </c>
      <c r="AB4701">
        <v>24</v>
      </c>
      <c r="AC4701">
        <v>12.770799999999999</v>
      </c>
      <c r="AD4701">
        <v>-1.1113163509043</v>
      </c>
      <c r="AE4701">
        <v>0.39744000000000301</v>
      </c>
      <c r="AF4701">
        <v>-1.9639057938667599</v>
      </c>
      <c r="AG4701">
        <v>-1.1113163509043</v>
      </c>
      <c r="AH4701">
        <v>12.5280511887487</v>
      </c>
      <c r="AI4701">
        <v>95.008377433856495</v>
      </c>
      <c r="AJ4701">
        <v>98.909219274055999</v>
      </c>
      <c r="AK4701">
        <v>12.7296510787562</v>
      </c>
    </row>
    <row r="4702" spans="1:37" x14ac:dyDescent="0.2">
      <c r="A4702" t="str">
        <f>"20200111154156884"</f>
        <v>20200111154156884</v>
      </c>
      <c r="B4702" t="str">
        <f>"1578728516881013"</f>
        <v>1578728516881013</v>
      </c>
      <c r="C4702" t="s">
        <v>37</v>
      </c>
      <c r="D4702">
        <v>5.6695669999999998</v>
      </c>
      <c r="E4702">
        <v>0.48698340000000001</v>
      </c>
      <c r="F4702" t="s">
        <v>39</v>
      </c>
      <c r="G4702">
        <v>-260.29860000000002</v>
      </c>
      <c r="H4702" s="1">
        <v>6.1863059999999898E-7</v>
      </c>
      <c r="I4702">
        <v>-61.315809999999999</v>
      </c>
      <c r="J4702">
        <v>-272.88409999999999</v>
      </c>
      <c r="K4702">
        <v>1.111313</v>
      </c>
      <c r="L4702">
        <v>-61.716549999999998</v>
      </c>
      <c r="M4702">
        <v>0.99228739999999904</v>
      </c>
      <c r="N4702">
        <v>0</v>
      </c>
      <c r="O4702">
        <v>-0.12334289999999901</v>
      </c>
      <c r="P4702">
        <v>0.99948719999999902</v>
      </c>
      <c r="Q4702">
        <v>3.1991520000000002E-2</v>
      </c>
      <c r="R4702">
        <v>-1.31908E-3</v>
      </c>
      <c r="S4702">
        <v>3.0104679999999999</v>
      </c>
      <c r="T4702">
        <v>-0.26329239999999998</v>
      </c>
      <c r="U4702">
        <v>9.1522220000000001E-2</v>
      </c>
      <c r="V4702">
        <v>-0.122069699999999</v>
      </c>
      <c r="W4702">
        <v>4.3987680000000001E-2</v>
      </c>
      <c r="X4702">
        <v>0.99154629999999999</v>
      </c>
      <c r="Y4702">
        <v>-0.152399799999999</v>
      </c>
      <c r="Z4702">
        <v>1.739976E-2</v>
      </c>
      <c r="AA4702">
        <v>0.98816569999999904</v>
      </c>
      <c r="AB4702">
        <v>24</v>
      </c>
      <c r="AC4702">
        <v>12.5854999999999</v>
      </c>
      <c r="AD4702">
        <v>-1.1113123813693999</v>
      </c>
      <c r="AE4702">
        <v>0.40073999999999799</v>
      </c>
      <c r="AF4702">
        <v>-1.93505728201478</v>
      </c>
      <c r="AG4702">
        <v>-1.1113123813693999</v>
      </c>
      <c r="AH4702">
        <v>12.3438036318709</v>
      </c>
      <c r="AI4702">
        <v>95.082725138873499</v>
      </c>
      <c r="AJ4702">
        <v>98.909374483354398</v>
      </c>
      <c r="AK4702">
        <v>12.543880978224101</v>
      </c>
    </row>
    <row r="4703" spans="1:37" x14ac:dyDescent="0.2">
      <c r="A4703" t="str">
        <f>"20200111154156896"</f>
        <v>20200111154156896</v>
      </c>
      <c r="B4703" t="str">
        <f>"1578728516890773"</f>
        <v>1578728516890773</v>
      </c>
      <c r="C4703" t="s">
        <v>37</v>
      </c>
      <c r="D4703">
        <v>5.6609949999999998</v>
      </c>
      <c r="E4703">
        <v>0.48698729999999901</v>
      </c>
      <c r="F4703" t="s">
        <v>52</v>
      </c>
      <c r="G4703">
        <v>-260.31740000000002</v>
      </c>
      <c r="H4703" s="1">
        <v>6.0889569999999997E-7</v>
      </c>
      <c r="I4703">
        <v>-61.322040000000001</v>
      </c>
      <c r="J4703">
        <v>-272.75470000000001</v>
      </c>
      <c r="K4703">
        <v>1.11131</v>
      </c>
      <c r="L4703">
        <v>-61.731749999999998</v>
      </c>
      <c r="M4703">
        <v>0.9923824</v>
      </c>
      <c r="N4703">
        <v>0</v>
      </c>
      <c r="O4703">
        <v>-0.122578399999999</v>
      </c>
      <c r="P4703">
        <v>0.99951469999999898</v>
      </c>
      <c r="Q4703">
        <v>3.1139989999999999E-2</v>
      </c>
      <c r="R4703">
        <v>-8.5236489999999997E-4</v>
      </c>
      <c r="S4703">
        <v>3.0101619999999998</v>
      </c>
      <c r="T4703">
        <v>-0.26619789999999999</v>
      </c>
      <c r="U4703">
        <v>9.4482419999999998E-2</v>
      </c>
      <c r="V4703">
        <v>-0.1217708</v>
      </c>
      <c r="W4703">
        <v>4.3113520000000002E-2</v>
      </c>
      <c r="X4703">
        <v>0.99162139999999999</v>
      </c>
      <c r="Y4703">
        <v>-0.152591</v>
      </c>
      <c r="Z4703">
        <v>1.7533980000000001E-2</v>
      </c>
      <c r="AA4703">
        <v>0.98813379999999995</v>
      </c>
      <c r="AB4703">
        <v>24</v>
      </c>
      <c r="AC4703">
        <v>12.437299999999899</v>
      </c>
      <c r="AD4703">
        <v>-1.1113093911042999</v>
      </c>
      <c r="AE4703">
        <v>0.40970999999999602</v>
      </c>
      <c r="AF4703">
        <v>-1.9159991710619</v>
      </c>
      <c r="AG4703">
        <v>-1.1113093911042999</v>
      </c>
      <c r="AH4703">
        <v>12.1960018524737</v>
      </c>
      <c r="AI4703">
        <v>95.143715575654497</v>
      </c>
      <c r="AJ4703">
        <v>98.928227103868394</v>
      </c>
      <c r="AK4703">
        <v>12.395504127376601</v>
      </c>
    </row>
    <row r="4704" spans="1:37" x14ac:dyDescent="0.2">
      <c r="A4704" t="str">
        <f>"20200111154156909"</f>
        <v>20200111154156909</v>
      </c>
      <c r="B4704" t="str">
        <f>"1578728516900533"</f>
        <v>1578728516900533</v>
      </c>
      <c r="C4704" t="s">
        <v>37</v>
      </c>
      <c r="D4704">
        <v>5.7344559999999998</v>
      </c>
      <c r="E4704">
        <v>0.4870276</v>
      </c>
      <c r="F4704" t="s">
        <v>39</v>
      </c>
      <c r="G4704">
        <v>-260.32310000000001</v>
      </c>
      <c r="H4704" s="1">
        <v>6.0287509999999997E-7</v>
      </c>
      <c r="I4704">
        <v>-61.3354</v>
      </c>
      <c r="J4704">
        <v>-272.63310000000001</v>
      </c>
      <c r="K4704">
        <v>1.1113090000000001</v>
      </c>
      <c r="L4704">
        <v>-61.746000000000002</v>
      </c>
      <c r="M4704">
        <v>0.99247169999999896</v>
      </c>
      <c r="N4704">
        <v>0</v>
      </c>
      <c r="O4704">
        <v>-0.12185599999999901</v>
      </c>
      <c r="P4704">
        <v>0.99952430000000003</v>
      </c>
      <c r="Q4704">
        <v>3.08437999999999E-2</v>
      </c>
      <c r="R4704">
        <v>-3.448476E-4</v>
      </c>
      <c r="S4704">
        <v>3.0099179999999999</v>
      </c>
      <c r="T4704">
        <v>-0.26906819999999998</v>
      </c>
      <c r="U4704">
        <v>9.5947270000000001E-2</v>
      </c>
      <c r="V4704">
        <v>-0.12155349999999999</v>
      </c>
      <c r="W4704">
        <v>4.279529E-2</v>
      </c>
      <c r="X4704">
        <v>0.99166189999999999</v>
      </c>
      <c r="Y4704">
        <v>-0.1523352</v>
      </c>
      <c r="Z4704">
        <v>1.7648130000000001E-2</v>
      </c>
      <c r="AA4704">
        <v>0.98817129999999997</v>
      </c>
      <c r="AB4704">
        <v>24</v>
      </c>
      <c r="AC4704">
        <v>12.31</v>
      </c>
      <c r="AD4704">
        <v>-1.11130839712489</v>
      </c>
      <c r="AE4704">
        <v>0.41060000000000202</v>
      </c>
      <c r="AF4704">
        <v>-1.8922954068134701</v>
      </c>
      <c r="AG4704">
        <v>-1.11130839712489</v>
      </c>
      <c r="AH4704">
        <v>12.0699517681917</v>
      </c>
      <c r="AI4704">
        <v>95.197391527627104</v>
      </c>
      <c r="AJ4704">
        <v>98.910153256117098</v>
      </c>
      <c r="AK4704">
        <v>12.2678247438835</v>
      </c>
    </row>
    <row r="4705" spans="1:37" x14ac:dyDescent="0.2">
      <c r="A4705" t="str">
        <f>"20200111154156920"</f>
        <v>20200111154156920</v>
      </c>
      <c r="B4705" t="str">
        <f>"1578728516910293"</f>
        <v>1578728516910293</v>
      </c>
      <c r="C4705" t="s">
        <v>37</v>
      </c>
      <c r="D4705">
        <v>5.9902699999999998</v>
      </c>
      <c r="E4705">
        <v>0.48703459999999898</v>
      </c>
      <c r="F4705" t="s">
        <v>39</v>
      </c>
      <c r="G4705">
        <v>-260.25880000000001</v>
      </c>
      <c r="H4705" s="1">
        <v>6.2775099999999997E-7</v>
      </c>
      <c r="I4705">
        <v>-61.345700000000001</v>
      </c>
      <c r="J4705">
        <v>-272.51080000000002</v>
      </c>
      <c r="K4705">
        <v>1.111313</v>
      </c>
      <c r="L4705">
        <v>-61.760190000000001</v>
      </c>
      <c r="M4705">
        <v>0.99256129999999998</v>
      </c>
      <c r="N4705">
        <v>0</v>
      </c>
      <c r="O4705">
        <v>-0.1211264</v>
      </c>
      <c r="P4705">
        <v>0.99952260000000004</v>
      </c>
      <c r="Q4705">
        <v>3.089944E-2</v>
      </c>
      <c r="R4705">
        <v>-1.0092219999999999E-4</v>
      </c>
      <c r="S4705">
        <v>3.009827</v>
      </c>
      <c r="T4705">
        <v>-0.27030549999999998</v>
      </c>
      <c r="U4705">
        <v>9.7351069999999998E-2</v>
      </c>
      <c r="V4705">
        <v>-0.1210663</v>
      </c>
      <c r="W4705">
        <v>4.2829590000000001E-2</v>
      </c>
      <c r="X4705">
        <v>0.99172000000000005</v>
      </c>
      <c r="Y4705">
        <v>-0.15206410000000001</v>
      </c>
      <c r="Z4705">
        <v>1.765222E-2</v>
      </c>
      <c r="AA4705">
        <v>0.98821299999999901</v>
      </c>
      <c r="AB4705">
        <v>24</v>
      </c>
      <c r="AC4705">
        <v>12.252000000000001</v>
      </c>
      <c r="AD4705">
        <v>-1.1113123722489999</v>
      </c>
      <c r="AE4705">
        <v>0.41449000000000003</v>
      </c>
      <c r="AF4705">
        <v>-1.8801391766823199</v>
      </c>
      <c r="AG4705">
        <v>-1.1113123722489999</v>
      </c>
      <c r="AH4705">
        <v>12.0128460313751</v>
      </c>
      <c r="AI4705">
        <v>95.222192516360295</v>
      </c>
      <c r="AJ4705">
        <v>98.895240693565597</v>
      </c>
      <c r="AK4705">
        <v>12.209766921851299</v>
      </c>
    </row>
    <row r="4706" spans="1:37" x14ac:dyDescent="0.2">
      <c r="A4706" t="str">
        <f>"20200111154156931"</f>
        <v>20200111154156931</v>
      </c>
      <c r="B4706" t="str">
        <f>"1578728516921029"</f>
        <v>1578728516921029</v>
      </c>
      <c r="C4706" t="s">
        <v>37</v>
      </c>
      <c r="D4706">
        <v>5.7094909999999999</v>
      </c>
      <c r="E4706">
        <v>0.487048499999999</v>
      </c>
      <c r="F4706" t="s">
        <v>52</v>
      </c>
      <c r="G4706">
        <v>-260.12380000000002</v>
      </c>
      <c r="H4706" s="1">
        <v>6.8292530000000004E-7</v>
      </c>
      <c r="I4706">
        <v>-61.355829999999997</v>
      </c>
      <c r="J4706">
        <v>-272.39109999999999</v>
      </c>
      <c r="K4706">
        <v>1.111316</v>
      </c>
      <c r="L4706">
        <v>-61.773989999999998</v>
      </c>
      <c r="M4706">
        <v>0.99264889999999995</v>
      </c>
      <c r="N4706">
        <v>0</v>
      </c>
      <c r="O4706">
        <v>-0.12040719999999901</v>
      </c>
      <c r="P4706">
        <v>0.99951389999999996</v>
      </c>
      <c r="Q4706">
        <v>3.1179390000000001E-2</v>
      </c>
      <c r="R4706">
        <v>1.619085E-4</v>
      </c>
      <c r="S4706">
        <v>3.009827</v>
      </c>
      <c r="T4706">
        <v>-0.27003109999999902</v>
      </c>
      <c r="U4706">
        <v>9.8236080000000003E-2</v>
      </c>
      <c r="V4706">
        <v>-0.1206086</v>
      </c>
      <c r="W4706">
        <v>4.3087790000000001E-2</v>
      </c>
      <c r="X4706">
        <v>0.9917646</v>
      </c>
      <c r="Y4706">
        <v>-0.151645</v>
      </c>
      <c r="Z4706">
        <v>1.7551489999999999E-2</v>
      </c>
      <c r="AA4706">
        <v>0.98827919999999903</v>
      </c>
      <c r="AB4706">
        <v>24</v>
      </c>
      <c r="AC4706">
        <v>12.267299999999899</v>
      </c>
      <c r="AD4706">
        <v>-1.1113153170747001</v>
      </c>
      <c r="AE4706">
        <v>0.41815999999999998</v>
      </c>
      <c r="AF4706">
        <v>-1.8769138120571001</v>
      </c>
      <c r="AG4706">
        <v>-1.1113153170747001</v>
      </c>
      <c r="AH4706">
        <v>12.029077321076</v>
      </c>
      <c r="AI4706">
        <v>95.215577873740799</v>
      </c>
      <c r="AJ4706">
        <v>98.868432552581794</v>
      </c>
      <c r="AK4706">
        <v>12.2252414449892</v>
      </c>
    </row>
    <row r="4707" spans="1:37" x14ac:dyDescent="0.2">
      <c r="A4707" t="str">
        <f>"20200111154156942"</f>
        <v>20200111154156942</v>
      </c>
      <c r="B4707" t="str">
        <f>"1578728516930789"</f>
        <v>1578728516930789</v>
      </c>
      <c r="C4707" t="s">
        <v>37</v>
      </c>
      <c r="D4707">
        <v>5.744345</v>
      </c>
      <c r="E4707">
        <v>0.48704779999999998</v>
      </c>
      <c r="F4707" t="s">
        <v>52</v>
      </c>
      <c r="G4707">
        <v>-259.96379999999999</v>
      </c>
      <c r="H4707" s="1">
        <v>7.4916849999999898E-7</v>
      </c>
      <c r="I4707">
        <v>-61.364909999999902</v>
      </c>
      <c r="J4707">
        <v>-272.2713</v>
      </c>
      <c r="K4707">
        <v>1.111324</v>
      </c>
      <c r="L4707">
        <v>-61.787750000000003</v>
      </c>
      <c r="M4707">
        <v>0.99273650000000002</v>
      </c>
      <c r="N4707">
        <v>0</v>
      </c>
      <c r="O4707">
        <v>-0.1196861</v>
      </c>
      <c r="P4707">
        <v>0.99950399999999995</v>
      </c>
      <c r="Q4707">
        <v>3.1496169999999997E-2</v>
      </c>
      <c r="R4707">
        <v>2.291529E-4</v>
      </c>
      <c r="S4707">
        <v>3.0098880000000001</v>
      </c>
      <c r="T4707">
        <v>-0.26916030000000002</v>
      </c>
      <c r="U4707">
        <v>9.9060060000000005E-2</v>
      </c>
      <c r="V4707">
        <v>-0.119954399999999</v>
      </c>
      <c r="W4707">
        <v>4.3383640000000001E-2</v>
      </c>
      <c r="X4707">
        <v>0.99183109999999997</v>
      </c>
      <c r="Y4707">
        <v>-0.15120829999999999</v>
      </c>
      <c r="Z4707">
        <v>1.741119E-2</v>
      </c>
      <c r="AA4707">
        <v>0.98834849999999996</v>
      </c>
      <c r="AB4707">
        <v>24</v>
      </c>
      <c r="AC4707">
        <v>12.307499999999999</v>
      </c>
      <c r="AD4707">
        <v>-1.1113232508315001</v>
      </c>
      <c r="AE4707">
        <v>0.42284000000000699</v>
      </c>
      <c r="AF4707">
        <v>-1.8776555497282199</v>
      </c>
      <c r="AG4707">
        <v>-1.1113232508315001</v>
      </c>
      <c r="AH4707">
        <v>12.070108961269399</v>
      </c>
      <c r="AI4707">
        <v>95.198350775048297</v>
      </c>
      <c r="AJ4707">
        <v>98.8421994521877</v>
      </c>
      <c r="AK4707">
        <v>12.265731126524001</v>
      </c>
    </row>
    <row r="4708" spans="1:37" x14ac:dyDescent="0.2">
      <c r="A4708" t="str">
        <f>"20200111154156954"</f>
        <v>20200111154156954</v>
      </c>
      <c r="B4708" t="str">
        <f>"1578728516950309"</f>
        <v>1578728516950309</v>
      </c>
      <c r="C4708" t="s">
        <v>37</v>
      </c>
      <c r="D4708">
        <v>5.9980500000000001</v>
      </c>
      <c r="E4708">
        <v>0.48709189999999902</v>
      </c>
      <c r="F4708" t="s">
        <v>53</v>
      </c>
      <c r="G4708">
        <v>-259.81659999999999</v>
      </c>
      <c r="H4708" s="1">
        <v>-3.4963950000000002E-6</v>
      </c>
      <c r="I4708">
        <v>-61.37621</v>
      </c>
      <c r="J4708">
        <v>-272.15989999999999</v>
      </c>
      <c r="K4708">
        <v>1.111329</v>
      </c>
      <c r="L4708">
        <v>-61.800419999999903</v>
      </c>
      <c r="M4708">
        <v>0.99281790000000003</v>
      </c>
      <c r="N4708">
        <v>0</v>
      </c>
      <c r="O4708">
        <v>-0.11901059999999999</v>
      </c>
      <c r="P4708">
        <v>0.99948459999999995</v>
      </c>
      <c r="Q4708">
        <v>3.2105689999999999E-2</v>
      </c>
      <c r="R4708">
        <v>1.2975930000000001E-4</v>
      </c>
      <c r="S4708">
        <v>3.0099179999999999</v>
      </c>
      <c r="T4708">
        <v>-0.26857389999999998</v>
      </c>
      <c r="U4708">
        <v>9.9456790000000003E-2</v>
      </c>
      <c r="V4708">
        <v>-0.11917949999999999</v>
      </c>
      <c r="W4708">
        <v>4.397148E-2</v>
      </c>
      <c r="X4708">
        <v>0.99189859999999896</v>
      </c>
      <c r="Y4708">
        <v>-0.15067510000000001</v>
      </c>
      <c r="Z4708">
        <v>1.7289599999999999E-2</v>
      </c>
      <c r="AA4708">
        <v>0.98843210000000004</v>
      </c>
      <c r="AB4708">
        <v>24</v>
      </c>
      <c r="AC4708">
        <v>12.343299999999999</v>
      </c>
      <c r="AD4708">
        <v>-1.111332496395</v>
      </c>
      <c r="AE4708">
        <v>0.42420999999999498</v>
      </c>
      <c r="AF4708">
        <v>-1.8751054092459001</v>
      </c>
      <c r="AG4708">
        <v>-1.111332496395</v>
      </c>
      <c r="AH4708">
        <v>12.1070453998756</v>
      </c>
      <c r="AI4708">
        <v>95.183156262751496</v>
      </c>
      <c r="AJ4708">
        <v>98.803862551499606</v>
      </c>
      <c r="AK4708">
        <v>12.301692100194</v>
      </c>
    </row>
    <row r="4709" spans="1:37" x14ac:dyDescent="0.2">
      <c r="A4709" t="str">
        <f>"20200111154156963"</f>
        <v>20200111154156963</v>
      </c>
      <c r="B4709" t="str">
        <f>"1578728516961045"</f>
        <v>1578728516961045</v>
      </c>
      <c r="C4709" t="s">
        <v>37</v>
      </c>
      <c r="D4709">
        <v>5.6518379999999997</v>
      </c>
      <c r="E4709">
        <v>0.48710360000000003</v>
      </c>
      <c r="F4709" t="s">
        <v>53</v>
      </c>
      <c r="G4709">
        <v>-259.61489999999998</v>
      </c>
      <c r="H4709" s="1">
        <v>-3.429357E-6</v>
      </c>
      <c r="I4709">
        <v>-61.388199999999998</v>
      </c>
      <c r="J4709">
        <v>-272.05040000000002</v>
      </c>
      <c r="K4709">
        <v>1.1113309999999901</v>
      </c>
      <c r="L4709">
        <v>-61.812840000000001</v>
      </c>
      <c r="M4709">
        <v>0.99289749999999999</v>
      </c>
      <c r="N4709">
        <v>0</v>
      </c>
      <c r="O4709">
        <v>-0.118346699999999</v>
      </c>
      <c r="P4709">
        <v>0.99947070000000005</v>
      </c>
      <c r="Q4709">
        <v>3.2530009999999998E-2</v>
      </c>
      <c r="R4709">
        <v>3.2936709999999999E-4</v>
      </c>
      <c r="S4709">
        <v>3.0100709999999999</v>
      </c>
      <c r="T4709">
        <v>-0.26665630000000001</v>
      </c>
      <c r="U4709">
        <v>9.8907469999999997E-2</v>
      </c>
      <c r="V4709">
        <v>-0.11871429999999999</v>
      </c>
      <c r="W4709">
        <v>4.4373549999999998E-2</v>
      </c>
      <c r="X4709">
        <v>0.99193639999999905</v>
      </c>
      <c r="Y4709">
        <v>-0.14985329999999999</v>
      </c>
      <c r="Z4709">
        <v>1.7071030000000001E-2</v>
      </c>
      <c r="AA4709">
        <v>0.98856089999999996</v>
      </c>
      <c r="AB4709">
        <v>24</v>
      </c>
      <c r="AC4709">
        <v>12.435499999999999</v>
      </c>
      <c r="AD4709">
        <v>-1.11133442935699</v>
      </c>
      <c r="AE4709">
        <v>0.42464000000000302</v>
      </c>
      <c r="AF4709">
        <v>-1.87847985256993</v>
      </c>
      <c r="AG4709">
        <v>-1.11133442935699</v>
      </c>
      <c r="AH4709">
        <v>12.2005086211846</v>
      </c>
      <c r="AI4709">
        <v>95.144375016564297</v>
      </c>
      <c r="AJ4709">
        <v>98.752945022093201</v>
      </c>
      <c r="AK4709">
        <v>12.3941986988262</v>
      </c>
    </row>
    <row r="4710" spans="1:37" x14ac:dyDescent="0.2">
      <c r="A4710" t="str">
        <f>"20200111154156974"</f>
        <v>20200111154156974</v>
      </c>
      <c r="B4710" t="str">
        <f>"1578728516970806"</f>
        <v>1578728516970806</v>
      </c>
      <c r="C4710" t="s">
        <v>37</v>
      </c>
      <c r="D4710">
        <v>5.635345</v>
      </c>
      <c r="E4710">
        <v>0.48710360000000003</v>
      </c>
      <c r="F4710" t="s">
        <v>53</v>
      </c>
      <c r="G4710">
        <v>-259.46269999999998</v>
      </c>
      <c r="H4710" s="1">
        <v>-3.378748E-6</v>
      </c>
      <c r="I4710">
        <v>-61.397059999999897</v>
      </c>
      <c r="J4710">
        <v>-271.93959999999998</v>
      </c>
      <c r="K4710">
        <v>1.111327</v>
      </c>
      <c r="L4710">
        <v>-61.82526</v>
      </c>
      <c r="M4710">
        <v>0.99297800000000003</v>
      </c>
      <c r="N4710">
        <v>0</v>
      </c>
      <c r="O4710">
        <v>-0.117672499999999</v>
      </c>
      <c r="P4710">
        <v>0.99947389999999903</v>
      </c>
      <c r="Q4710">
        <v>3.2436859999999998E-2</v>
      </c>
      <c r="R4710">
        <v>2.8116650000000002E-4</v>
      </c>
      <c r="S4710">
        <v>3.0101619999999998</v>
      </c>
      <c r="T4710">
        <v>-0.26575979999999999</v>
      </c>
      <c r="U4710">
        <v>9.9426269999999997E-2</v>
      </c>
      <c r="V4710">
        <v>-0.1179931</v>
      </c>
      <c r="W4710">
        <v>4.4254460000000002E-2</v>
      </c>
      <c r="X4710">
        <v>0.99202780000000002</v>
      </c>
      <c r="Y4710">
        <v>-0.14936289999999999</v>
      </c>
      <c r="Z4710">
        <v>1.6932590000000001E-2</v>
      </c>
      <c r="AA4710">
        <v>0.9886374</v>
      </c>
      <c r="AB4710">
        <v>24</v>
      </c>
      <c r="AC4710">
        <v>12.476900000000001</v>
      </c>
      <c r="AD4710">
        <v>-1.111330378748</v>
      </c>
      <c r="AE4710">
        <v>0.42820000000000302</v>
      </c>
      <c r="AF4710">
        <v>-1.87863431041006</v>
      </c>
      <c r="AG4710">
        <v>-1.111330378748</v>
      </c>
      <c r="AH4710">
        <v>12.242796464937101</v>
      </c>
      <c r="AI4710">
        <v>95.127079677740099</v>
      </c>
      <c r="AJ4710">
        <v>98.723883526987706</v>
      </c>
      <c r="AK4710">
        <v>12.435850890263</v>
      </c>
    </row>
    <row r="4711" spans="1:37" x14ac:dyDescent="0.2">
      <c r="A4711" t="str">
        <f>"20200111154156995"</f>
        <v>20200111154156995</v>
      </c>
      <c r="B4711" t="str">
        <f>"1578728516990326"</f>
        <v>1578728516990326</v>
      </c>
      <c r="C4711" t="s">
        <v>37</v>
      </c>
      <c r="D4711">
        <v>6.66849299999999</v>
      </c>
      <c r="E4711">
        <v>0.48710360000000003</v>
      </c>
      <c r="F4711" t="s">
        <v>53</v>
      </c>
      <c r="G4711">
        <v>-259.36520000000002</v>
      </c>
      <c r="H4711" s="1">
        <v>-3.3473390000000001E-6</v>
      </c>
      <c r="I4711">
        <v>-61.410429999999998</v>
      </c>
      <c r="J4711">
        <v>-271.7199</v>
      </c>
      <c r="K4711">
        <v>1.1113189999999999</v>
      </c>
      <c r="L4711">
        <v>-61.849789999999999</v>
      </c>
      <c r="M4711">
        <v>0.99313649999999998</v>
      </c>
      <c r="N4711">
        <v>0</v>
      </c>
      <c r="O4711">
        <v>-0.11633350000000001</v>
      </c>
      <c r="P4711">
        <v>0.99946689999999905</v>
      </c>
      <c r="Q4711">
        <v>3.2646880000000003E-2</v>
      </c>
      <c r="R4711">
        <v>4.9326109999999997E-4</v>
      </c>
      <c r="S4711">
        <v>3.0102229999999999</v>
      </c>
      <c r="T4711">
        <v>-0.26604359999999999</v>
      </c>
      <c r="U4711">
        <v>9.9304199999999995E-2</v>
      </c>
      <c r="V4711">
        <v>-0.116865</v>
      </c>
      <c r="W4711">
        <v>4.4406889999999997E-2</v>
      </c>
      <c r="X4711">
        <v>0.99215450000000005</v>
      </c>
      <c r="Y4711">
        <v>-0.1479972</v>
      </c>
      <c r="Z4711">
        <v>1.6772459999999999E-2</v>
      </c>
      <c r="AA4711">
        <v>0.98884550000000004</v>
      </c>
      <c r="AB4711">
        <v>24</v>
      </c>
      <c r="AC4711">
        <v>12.3546999999999</v>
      </c>
      <c r="AD4711">
        <v>-1.1113223473389999</v>
      </c>
      <c r="AE4711">
        <v>0.43935999999999997</v>
      </c>
      <c r="AF4711">
        <v>-1.85872668820279</v>
      </c>
      <c r="AG4711">
        <v>-1.1113223473389999</v>
      </c>
      <c r="AH4711">
        <v>12.121729720894299</v>
      </c>
      <c r="AI4711">
        <v>95.178057272313694</v>
      </c>
      <c r="AJ4711">
        <v>98.717740814216896</v>
      </c>
      <c r="AK4711">
        <v>12.313660450391801</v>
      </c>
    </row>
    <row r="4712" spans="1:37" x14ac:dyDescent="0.2">
      <c r="A4712" t="str">
        <f>"20200111154157005"</f>
        <v>20200111154157005</v>
      </c>
      <c r="B4712" t="str">
        <f>"1578728517001062"</f>
        <v>1578728517001062</v>
      </c>
      <c r="C4712" t="s">
        <v>37</v>
      </c>
      <c r="D4712">
        <v>5.9222479999999997</v>
      </c>
      <c r="E4712">
        <v>0.48710320000000001</v>
      </c>
      <c r="F4712" t="s">
        <v>53</v>
      </c>
      <c r="G4712">
        <v>-259.11579999999998</v>
      </c>
      <c r="H4712" s="1">
        <v>-3.2653260000000002E-6</v>
      </c>
      <c r="I4712">
        <v>-61.431699999999999</v>
      </c>
      <c r="J4712">
        <v>-271.61840000000001</v>
      </c>
      <c r="K4712">
        <v>1.1113189999999999</v>
      </c>
      <c r="L4712">
        <v>-61.860990000000001</v>
      </c>
      <c r="M4712">
        <v>0.99320929999999996</v>
      </c>
      <c r="N4712">
        <v>0</v>
      </c>
      <c r="O4712">
        <v>-0.1157144</v>
      </c>
      <c r="P4712">
        <v>0.99946170000000001</v>
      </c>
      <c r="Q4712">
        <v>3.280135E-2</v>
      </c>
      <c r="R4712">
        <v>8.3077399999999897E-4</v>
      </c>
      <c r="S4712">
        <v>3.0102540000000002</v>
      </c>
      <c r="T4712">
        <v>-0.26541920000000002</v>
      </c>
      <c r="U4712">
        <v>9.9853520000000001E-2</v>
      </c>
      <c r="V4712">
        <v>-0.1165809</v>
      </c>
      <c r="W4712">
        <v>4.4533610000000001E-2</v>
      </c>
      <c r="X4712">
        <v>0.99218229999999996</v>
      </c>
      <c r="Y4712">
        <v>-0.14756949999999999</v>
      </c>
      <c r="Z4712">
        <v>1.6659980000000001E-2</v>
      </c>
      <c r="AA4712">
        <v>0.9889114</v>
      </c>
      <c r="AB4712">
        <v>24</v>
      </c>
      <c r="AC4712">
        <v>12.502599999999999</v>
      </c>
      <c r="AD4712">
        <v>-1.111322265326</v>
      </c>
      <c r="AE4712">
        <v>0.429290000000001</v>
      </c>
      <c r="AF4712">
        <v>-1.8585747122243099</v>
      </c>
      <c r="AG4712">
        <v>-1.111322265326</v>
      </c>
      <c r="AH4712">
        <v>12.272076316723</v>
      </c>
      <c r="AI4712">
        <v>95.116391576599696</v>
      </c>
      <c r="AJ4712">
        <v>98.611856404874004</v>
      </c>
      <c r="AK4712">
        <v>12.4616689998492</v>
      </c>
    </row>
    <row r="4713" spans="1:37" x14ac:dyDescent="0.2">
      <c r="A4713" t="str">
        <f>"20200111154157016"</f>
        <v>20200111154157016</v>
      </c>
      <c r="B4713" t="str">
        <f>"1578728517010821"</f>
        <v>1578728517010821</v>
      </c>
      <c r="C4713" t="s">
        <v>37</v>
      </c>
      <c r="D4713">
        <v>5.6908909999999997</v>
      </c>
      <c r="E4713">
        <v>0.48710789999999998</v>
      </c>
      <c r="F4713" t="s">
        <v>53</v>
      </c>
      <c r="G4713">
        <v>-258.99349999999998</v>
      </c>
      <c r="H4713" s="1">
        <v>-3.224545E-6</v>
      </c>
      <c r="I4713">
        <v>-61.437980000000003</v>
      </c>
      <c r="J4713">
        <v>-271.50400000000002</v>
      </c>
      <c r="K4713">
        <v>1.111313</v>
      </c>
      <c r="L4713">
        <v>-61.873569999999901</v>
      </c>
      <c r="M4713">
        <v>0.99329069999999997</v>
      </c>
      <c r="N4713">
        <v>0</v>
      </c>
      <c r="O4713">
        <v>-0.11501549999999899</v>
      </c>
      <c r="P4713">
        <v>0.99946399999999902</v>
      </c>
      <c r="Q4713">
        <v>3.2709210000000002E-2</v>
      </c>
      <c r="R4713">
        <v>1.290352E-3</v>
      </c>
      <c r="S4713">
        <v>3.0102540000000002</v>
      </c>
      <c r="T4713">
        <v>-0.26498100000000002</v>
      </c>
      <c r="U4713">
        <v>0.10086059999999999</v>
      </c>
      <c r="V4713">
        <v>-0.11633930000000001</v>
      </c>
      <c r="W4713">
        <v>4.4409280000000002E-2</v>
      </c>
      <c r="X4713">
        <v>0.99221619999999999</v>
      </c>
      <c r="Y4713">
        <v>-0.1472116</v>
      </c>
      <c r="Z4713">
        <v>1.6555690000000001E-2</v>
      </c>
      <c r="AA4713">
        <v>0.98896649999999997</v>
      </c>
      <c r="AB4713">
        <v>24</v>
      </c>
      <c r="AC4713">
        <v>12.5105</v>
      </c>
      <c r="AD4713">
        <v>-1.1113162245449999</v>
      </c>
      <c r="AE4713">
        <v>0.43558999999998999</v>
      </c>
      <c r="AF4713">
        <v>-1.8570684519276</v>
      </c>
      <c r="AG4713">
        <v>-1.1113162245449999</v>
      </c>
      <c r="AH4713">
        <v>12.2805738957255</v>
      </c>
      <c r="AI4713">
        <v>95.113013538987005</v>
      </c>
      <c r="AJ4713">
        <v>98.599116342603196</v>
      </c>
      <c r="AK4713">
        <v>12.469812436218</v>
      </c>
    </row>
    <row r="4714" spans="1:37" x14ac:dyDescent="0.2">
      <c r="A4714" t="str">
        <f>"20200111154157026"</f>
        <v>20200111154157026</v>
      </c>
      <c r="B4714" t="str">
        <f>"1578728517020581"</f>
        <v>1578728517020581</v>
      </c>
      <c r="C4714" t="s">
        <v>37</v>
      </c>
      <c r="D4714">
        <v>5.659198</v>
      </c>
      <c r="E4714">
        <v>0.48712919999999998</v>
      </c>
      <c r="F4714" t="s">
        <v>53</v>
      </c>
      <c r="G4714">
        <v>-258.88850000000002</v>
      </c>
      <c r="H4714" s="1">
        <v>-3.1852029999999999E-6</v>
      </c>
      <c r="I4714">
        <v>-61.444600000000001</v>
      </c>
      <c r="J4714">
        <v>-271.39949999999999</v>
      </c>
      <c r="K4714">
        <v>1.1113059999999999</v>
      </c>
      <c r="L4714">
        <v>-61.884950000000003</v>
      </c>
      <c r="M4714">
        <v>0.9933649</v>
      </c>
      <c r="N4714">
        <v>0</v>
      </c>
      <c r="O4714">
        <v>-0.11437799999999999</v>
      </c>
      <c r="P4714">
        <v>0.99947059999999999</v>
      </c>
      <c r="Q4714">
        <v>3.2507109999999999E-2</v>
      </c>
      <c r="R4714">
        <v>1.436971E-3</v>
      </c>
      <c r="S4714">
        <v>3.0101619999999998</v>
      </c>
      <c r="T4714">
        <v>-0.26516889999999999</v>
      </c>
      <c r="U4714">
        <v>0.102355999999999</v>
      </c>
      <c r="V4714">
        <v>-0.11584849999999999</v>
      </c>
      <c r="W4714">
        <v>4.417633E-2</v>
      </c>
      <c r="X4714">
        <v>0.99228400000000005</v>
      </c>
      <c r="Y4714">
        <v>-0.14707000000000001</v>
      </c>
      <c r="Z4714">
        <v>1.6505769999999999E-2</v>
      </c>
      <c r="AA4714">
        <v>0.98898829999999904</v>
      </c>
      <c r="AB4714">
        <v>24</v>
      </c>
      <c r="AC4714">
        <v>12.5109999999999</v>
      </c>
      <c r="AD4714">
        <v>-1.1113091852029999</v>
      </c>
      <c r="AE4714">
        <v>0.44035000000000202</v>
      </c>
      <c r="AF4714">
        <v>-1.8539360390934601</v>
      </c>
      <c r="AG4714">
        <v>-1.1113091852029999</v>
      </c>
      <c r="AH4714">
        <v>12.281727376498701</v>
      </c>
      <c r="AI4714">
        <v>95.112705924761798</v>
      </c>
      <c r="AJ4714">
        <v>98.584033800262603</v>
      </c>
      <c r="AK4714">
        <v>12.470481718554501</v>
      </c>
    </row>
    <row r="4715" spans="1:37" x14ac:dyDescent="0.2">
      <c r="A4715" t="str">
        <f>"20200111154157038"</f>
        <v>20200111154157038</v>
      </c>
      <c r="B4715" t="str">
        <f>"1578728517030341"</f>
        <v>1578728517030341</v>
      </c>
      <c r="C4715" t="s">
        <v>37</v>
      </c>
      <c r="D4715">
        <v>5.7342360000000001</v>
      </c>
      <c r="E4715">
        <v>0.4871452</v>
      </c>
      <c r="F4715" t="s">
        <v>53</v>
      </c>
      <c r="G4715">
        <v>-258.80540000000002</v>
      </c>
      <c r="H4715" s="1">
        <v>-3.1519109999999999E-6</v>
      </c>
      <c r="I4715">
        <v>-61.455159999999999</v>
      </c>
      <c r="J4715">
        <v>-271.26979999999998</v>
      </c>
      <c r="K4715">
        <v>1.111299</v>
      </c>
      <c r="L4715">
        <v>-61.899050000000003</v>
      </c>
      <c r="M4715">
        <v>0.99345620000000001</v>
      </c>
      <c r="N4715">
        <v>0</v>
      </c>
      <c r="O4715">
        <v>-0.1135864</v>
      </c>
      <c r="P4715">
        <v>0.99947949999999997</v>
      </c>
      <c r="Q4715">
        <v>3.2215889999999997E-2</v>
      </c>
      <c r="R4715">
        <v>1.768691E-3</v>
      </c>
      <c r="S4715">
        <v>3.0100709999999999</v>
      </c>
      <c r="T4715">
        <v>-0.26560990000000001</v>
      </c>
      <c r="U4715">
        <v>0.1027222</v>
      </c>
      <c r="V4715">
        <v>-0.1153874</v>
      </c>
      <c r="W4715">
        <v>4.384192E-2</v>
      </c>
      <c r="X4715">
        <v>0.99235249999999997</v>
      </c>
      <c r="Y4715">
        <v>-0.14640529999999999</v>
      </c>
      <c r="Z4715">
        <v>1.643491E-2</v>
      </c>
      <c r="AA4715">
        <v>0.98908819999999997</v>
      </c>
      <c r="AB4715">
        <v>24</v>
      </c>
      <c r="AC4715">
        <v>12.4643999999999</v>
      </c>
      <c r="AD4715">
        <v>-1.111302151911</v>
      </c>
      <c r="AE4715">
        <v>0.443890000000003</v>
      </c>
      <c r="AF4715">
        <v>-1.8422782594035401</v>
      </c>
      <c r="AG4715">
        <v>-1.111302151911</v>
      </c>
      <c r="AH4715">
        <v>12.2361528853816</v>
      </c>
      <c r="AI4715">
        <v>95.131908619935004</v>
      </c>
      <c r="AJ4715">
        <v>98.562156731674406</v>
      </c>
      <c r="AK4715">
        <v>12.423864901565301</v>
      </c>
    </row>
    <row r="4716" spans="1:37" x14ac:dyDescent="0.2">
      <c r="A4716" t="str">
        <f>"20200111154157048"</f>
        <v>20200111154157048</v>
      </c>
      <c r="B4716" t="str">
        <f>"1578728517041077"</f>
        <v>1578728517041077</v>
      </c>
      <c r="C4716" t="s">
        <v>37</v>
      </c>
      <c r="D4716">
        <v>5.4615929999999997</v>
      </c>
      <c r="E4716">
        <v>0.48716169999999998</v>
      </c>
      <c r="F4716" t="s">
        <v>53</v>
      </c>
      <c r="G4716">
        <v>-258.70599999999899</v>
      </c>
      <c r="H4716" s="1">
        <v>-3.1116520000000002E-6</v>
      </c>
      <c r="I4716">
        <v>-61.465940000000003</v>
      </c>
      <c r="J4716">
        <v>-271.161</v>
      </c>
      <c r="K4716">
        <v>1.1112899999999999</v>
      </c>
      <c r="L4716">
        <v>-61.910739999999997</v>
      </c>
      <c r="M4716">
        <v>0.99353239999999998</v>
      </c>
      <c r="N4716">
        <v>0</v>
      </c>
      <c r="O4716">
        <v>-0.1129237</v>
      </c>
      <c r="P4716">
        <v>0.99949519999999903</v>
      </c>
      <c r="Q4716">
        <v>3.1692409999999997E-2</v>
      </c>
      <c r="R4716">
        <v>2.3530320000000001E-3</v>
      </c>
      <c r="S4716">
        <v>3.0099490000000002</v>
      </c>
      <c r="T4716">
        <v>-0.26623790000000003</v>
      </c>
      <c r="U4716">
        <v>0.1037598</v>
      </c>
      <c r="V4716">
        <v>-0.11530650000000001</v>
      </c>
      <c r="W4716">
        <v>4.3276920000000003E-2</v>
      </c>
      <c r="X4716">
        <v>0.99238680000000001</v>
      </c>
      <c r="Y4716">
        <v>-0.14608650000000001</v>
      </c>
      <c r="Z4716">
        <v>1.6401900000000001E-2</v>
      </c>
      <c r="AA4716">
        <v>0.98913589999999996</v>
      </c>
      <c r="AB4716">
        <v>24</v>
      </c>
      <c r="AC4716">
        <v>12.455</v>
      </c>
      <c r="AD4716">
        <v>-1.111293111652</v>
      </c>
      <c r="AE4716">
        <v>0.44479999999999997</v>
      </c>
      <c r="AF4716">
        <v>-1.83393733167925</v>
      </c>
      <c r="AG4716">
        <v>-1.111293111652</v>
      </c>
      <c r="AH4716">
        <v>12.2278677354654</v>
      </c>
      <c r="AI4716">
        <v>95.135761128035796</v>
      </c>
      <c r="AJ4716">
        <v>98.529652828806704</v>
      </c>
      <c r="AK4716">
        <v>12.4144692948417</v>
      </c>
    </row>
    <row r="4717" spans="1:37" x14ac:dyDescent="0.2">
      <c r="A4717" t="str">
        <f>"20200111154157059"</f>
        <v>20200111154157059</v>
      </c>
      <c r="B4717" t="str">
        <f>"1578728517050837"</f>
        <v>1578728517050837</v>
      </c>
      <c r="C4717" t="s">
        <v>37</v>
      </c>
      <c r="D4717">
        <v>5.7055410000000002</v>
      </c>
      <c r="E4717">
        <v>0.48719479999999998</v>
      </c>
      <c r="F4717" t="s">
        <v>53</v>
      </c>
      <c r="G4717">
        <v>-258.66550000000001</v>
      </c>
      <c r="H4717" s="1">
        <v>-3.0957459999999999E-6</v>
      </c>
      <c r="I4717">
        <v>-61.472490000000001</v>
      </c>
      <c r="J4717">
        <v>-271.04739999999998</v>
      </c>
      <c r="K4717">
        <v>1.1112799999999901</v>
      </c>
      <c r="L4717">
        <v>-61.922909999999902</v>
      </c>
      <c r="M4717">
        <v>0.99361119999999903</v>
      </c>
      <c r="N4717">
        <v>0</v>
      </c>
      <c r="O4717">
        <v>-0.112231199999999</v>
      </c>
      <c r="P4717">
        <v>0.99950749999999999</v>
      </c>
      <c r="Q4717">
        <v>3.1251660000000001E-2</v>
      </c>
      <c r="R4717">
        <v>2.8642920000000001E-3</v>
      </c>
      <c r="S4717">
        <v>3.0097659999999999</v>
      </c>
      <c r="T4717">
        <v>-0.26767439999999998</v>
      </c>
      <c r="U4717">
        <v>0.1055603</v>
      </c>
      <c r="V4717">
        <v>-0.115123</v>
      </c>
      <c r="W4717">
        <v>4.2790519999999999E-2</v>
      </c>
      <c r="X4717">
        <v>0.99242919999999901</v>
      </c>
      <c r="Y4717">
        <v>-0.14598220000000001</v>
      </c>
      <c r="Z4717">
        <v>1.6425120000000001E-2</v>
      </c>
      <c r="AA4717">
        <v>0.98915090000000006</v>
      </c>
      <c r="AB4717">
        <v>24</v>
      </c>
      <c r="AC4717">
        <v>12.3818999999999</v>
      </c>
      <c r="AD4717">
        <v>-1.11128309574599</v>
      </c>
      <c r="AE4717">
        <v>0.45041999999999399</v>
      </c>
      <c r="AF4717">
        <v>-1.8226450156902201</v>
      </c>
      <c r="AG4717">
        <v>-1.11128309574599</v>
      </c>
      <c r="AH4717">
        <v>12.1553230303094</v>
      </c>
      <c r="AI4717">
        <v>95.166225944086094</v>
      </c>
      <c r="AJ4717">
        <v>98.527753289351097</v>
      </c>
      <c r="AK4717">
        <v>12.3413476955834</v>
      </c>
    </row>
    <row r="4718" spans="1:37" x14ac:dyDescent="0.2">
      <c r="A4718" t="str">
        <f>"20200111154157070"</f>
        <v>20200111154157070</v>
      </c>
      <c r="B4718" t="str">
        <f>"1578728517060598"</f>
        <v>1578728517060598</v>
      </c>
      <c r="C4718" t="s">
        <v>37</v>
      </c>
      <c r="D4718">
        <v>5.6623659999999996</v>
      </c>
      <c r="E4718">
        <v>0.487201099999999</v>
      </c>
      <c r="F4718" t="s">
        <v>53</v>
      </c>
      <c r="G4718">
        <v>-258.60270000000003</v>
      </c>
      <c r="H4718" s="1">
        <v>-3.0707219999999999E-6</v>
      </c>
      <c r="I4718">
        <v>-61.481119999999997</v>
      </c>
      <c r="J4718">
        <v>-270.93529999999998</v>
      </c>
      <c r="K4718">
        <v>1.1112690000000001</v>
      </c>
      <c r="L4718">
        <v>-61.934809999999999</v>
      </c>
      <c r="M4718">
        <v>0.99368869999999898</v>
      </c>
      <c r="N4718">
        <v>0</v>
      </c>
      <c r="O4718">
        <v>-0.111549</v>
      </c>
      <c r="P4718">
        <v>0.99952450000000004</v>
      </c>
      <c r="Q4718">
        <v>3.0668549999999999E-2</v>
      </c>
      <c r="R4718">
        <v>3.259657E-3</v>
      </c>
      <c r="S4718">
        <v>3.0095830000000001</v>
      </c>
      <c r="T4718">
        <v>-0.26874920000000002</v>
      </c>
      <c r="U4718">
        <v>0.10684200000000001</v>
      </c>
      <c r="V4718">
        <v>-0.11483450000000001</v>
      </c>
      <c r="W4718">
        <v>4.2156899999999997E-2</v>
      </c>
      <c r="X4718">
        <v>0.99248969999999903</v>
      </c>
      <c r="Y4718">
        <v>-0.1457213</v>
      </c>
      <c r="Z4718">
        <v>1.641956E-2</v>
      </c>
      <c r="AA4718">
        <v>0.9891894</v>
      </c>
      <c r="AB4718">
        <v>24</v>
      </c>
      <c r="AC4718">
        <v>12.3325999999999</v>
      </c>
      <c r="AD4718">
        <v>-1.1112720707220001</v>
      </c>
      <c r="AE4718">
        <v>0.45369000000000098</v>
      </c>
      <c r="AF4718">
        <v>-1.8119509894800601</v>
      </c>
      <c r="AG4718">
        <v>-1.1112720707220001</v>
      </c>
      <c r="AH4718">
        <v>12.1068393345292</v>
      </c>
      <c r="AI4718">
        <v>95.186964848707802</v>
      </c>
      <c r="AJ4718">
        <v>98.511904464641304</v>
      </c>
      <c r="AK4718">
        <v>12.2920157287382</v>
      </c>
    </row>
    <row r="4719" spans="1:37" x14ac:dyDescent="0.2">
      <c r="A4719" t="str">
        <f>"20200111154157081"</f>
        <v>20200111154157081</v>
      </c>
      <c r="B4719" t="str">
        <f>"1578728517070358"</f>
        <v>1578728517070358</v>
      </c>
      <c r="C4719" t="s">
        <v>37</v>
      </c>
      <c r="D4719">
        <v>5.6587129999999997</v>
      </c>
      <c r="E4719">
        <v>0.48716739999999997</v>
      </c>
      <c r="F4719" t="s">
        <v>53</v>
      </c>
      <c r="G4719">
        <v>-258.55900000000003</v>
      </c>
      <c r="H4719" s="1">
        <v>-3.0539460000000001E-6</v>
      </c>
      <c r="I4719">
        <v>-61.490019999999902</v>
      </c>
      <c r="J4719">
        <v>-270.81990000000002</v>
      </c>
      <c r="K4719">
        <v>1.1112569999999999</v>
      </c>
      <c r="L4719">
        <v>-61.947019999999902</v>
      </c>
      <c r="M4719">
        <v>0.99376790000000004</v>
      </c>
      <c r="N4719">
        <v>0</v>
      </c>
      <c r="O4719">
        <v>-0.1108469</v>
      </c>
      <c r="P4719">
        <v>0.99953910000000001</v>
      </c>
      <c r="Q4719">
        <v>3.0122489999999998E-2</v>
      </c>
      <c r="R4719">
        <v>3.7871350000000001E-3</v>
      </c>
      <c r="S4719">
        <v>3.0093380000000001</v>
      </c>
      <c r="T4719">
        <v>-0.27020889999999997</v>
      </c>
      <c r="U4719">
        <v>0.10815429999999999</v>
      </c>
      <c r="V4719">
        <v>-0.1146576</v>
      </c>
      <c r="W4719">
        <v>4.1558049999999999E-2</v>
      </c>
      <c r="X4719">
        <v>0.99253539999999996</v>
      </c>
      <c r="Y4719">
        <v>-0.14544860000000001</v>
      </c>
      <c r="Z4719">
        <v>1.643476E-2</v>
      </c>
      <c r="AA4719">
        <v>0.98922929999999998</v>
      </c>
      <c r="AB4719">
        <v>24</v>
      </c>
      <c r="AC4719">
        <v>12.2608999999999</v>
      </c>
      <c r="AD4719">
        <v>-1.111260053946</v>
      </c>
      <c r="AE4719">
        <v>0.45700000000000002</v>
      </c>
      <c r="AF4719">
        <v>-1.79860576915738</v>
      </c>
      <c r="AG4719">
        <v>-1.111260053946</v>
      </c>
      <c r="AH4719">
        <v>12.0359377972811</v>
      </c>
      <c r="AI4719">
        <v>95.217468471071697</v>
      </c>
      <c r="AJ4719">
        <v>98.499174947534399</v>
      </c>
      <c r="AK4719">
        <v>12.220216048841399</v>
      </c>
    </row>
    <row r="4720" spans="1:37" x14ac:dyDescent="0.2">
      <c r="A4720" t="str">
        <f>"20200111154157092"</f>
        <v>20200111154157092</v>
      </c>
      <c r="B4720" t="str">
        <f>"1578728517081093"</f>
        <v>1578728517081093</v>
      </c>
      <c r="C4720" t="s">
        <v>37</v>
      </c>
      <c r="D4720">
        <v>5.6669529999999897</v>
      </c>
      <c r="E4720">
        <v>0.48717729999999998</v>
      </c>
      <c r="F4720" t="s">
        <v>53</v>
      </c>
      <c r="G4720">
        <v>-258.5317</v>
      </c>
      <c r="H4720" s="1">
        <v>-3.0438509999999999E-6</v>
      </c>
      <c r="I4720">
        <v>-61.497259999999997</v>
      </c>
      <c r="J4720">
        <v>-270.7054</v>
      </c>
      <c r="K4720">
        <v>1.111246</v>
      </c>
      <c r="L4720">
        <v>-61.959009999999999</v>
      </c>
      <c r="M4720">
        <v>0.99384609999999995</v>
      </c>
      <c r="N4720">
        <v>0</v>
      </c>
      <c r="O4720">
        <v>-0.11014929999999901</v>
      </c>
      <c r="P4720">
        <v>0.99955509999999903</v>
      </c>
      <c r="Q4720">
        <v>2.9572129999999999E-2</v>
      </c>
      <c r="R4720">
        <v>3.9498650000000003E-3</v>
      </c>
      <c r="S4720">
        <v>3.009125</v>
      </c>
      <c r="T4720">
        <v>-0.27212389999999997</v>
      </c>
      <c r="U4720">
        <v>0.1101379</v>
      </c>
      <c r="V4720">
        <v>-0.1141228</v>
      </c>
      <c r="W4720">
        <v>4.0951540000000002E-2</v>
      </c>
      <c r="X4720">
        <v>0.99262229999999996</v>
      </c>
      <c r="Y4720">
        <v>-0.1453962</v>
      </c>
      <c r="Z4720">
        <v>1.6486750000000001E-2</v>
      </c>
      <c r="AA4720">
        <v>0.98923609999999995</v>
      </c>
      <c r="AB4720">
        <v>24</v>
      </c>
      <c r="AC4720">
        <v>12.173699999999901</v>
      </c>
      <c r="AD4720">
        <v>-1.1112490438510001</v>
      </c>
      <c r="AE4720">
        <v>0.46175000000000199</v>
      </c>
      <c r="AF4720">
        <v>-1.78510324432175</v>
      </c>
      <c r="AG4720">
        <v>-1.1112490438510001</v>
      </c>
      <c r="AH4720">
        <v>11.949323345883499</v>
      </c>
      <c r="AI4720">
        <v>95.255060178327497</v>
      </c>
      <c r="AJ4720">
        <v>98.496552269540899</v>
      </c>
      <c r="AK4720">
        <v>12.1329220081077</v>
      </c>
    </row>
    <row r="4721" spans="1:37" x14ac:dyDescent="0.2">
      <c r="A4721" t="str">
        <f>"20200111154157104"</f>
        <v>20200111154157104</v>
      </c>
      <c r="B4721" t="str">
        <f>"1578728517100614"</f>
        <v>1578728517100614</v>
      </c>
      <c r="C4721" t="s">
        <v>37</v>
      </c>
      <c r="D4721">
        <v>5.5472549999999998</v>
      </c>
      <c r="E4721">
        <v>0.48710639999999999</v>
      </c>
      <c r="F4721" t="s">
        <v>53</v>
      </c>
      <c r="G4721">
        <v>-258.48869999999999</v>
      </c>
      <c r="H4721" s="1">
        <v>-3.028219E-6</v>
      </c>
      <c r="I4721">
        <v>-61.509859999999897</v>
      </c>
      <c r="J4721">
        <v>-270.58609999999999</v>
      </c>
      <c r="K4721">
        <v>1.1112340000000001</v>
      </c>
      <c r="L4721">
        <v>-61.971469999999997</v>
      </c>
      <c r="M4721">
        <v>0.99392709999999995</v>
      </c>
      <c r="N4721">
        <v>0</v>
      </c>
      <c r="O4721">
        <v>-0.1094238</v>
      </c>
      <c r="P4721">
        <v>0.99957169999999895</v>
      </c>
      <c r="Q4721">
        <v>2.894977E-2</v>
      </c>
      <c r="R4721">
        <v>4.2819399999999997E-3</v>
      </c>
      <c r="S4721">
        <v>3.008972</v>
      </c>
      <c r="T4721">
        <v>-0.2737019</v>
      </c>
      <c r="U4721">
        <v>0.11062619999999999</v>
      </c>
      <c r="V4721">
        <v>-0.1137278</v>
      </c>
      <c r="W4721">
        <v>4.0269270000000003E-2</v>
      </c>
      <c r="X4721">
        <v>0.99269549999999995</v>
      </c>
      <c r="Y4721">
        <v>-0.14482929999999999</v>
      </c>
      <c r="Z4721">
        <v>1.649144E-2</v>
      </c>
      <c r="AA4721">
        <v>0.98931919999999995</v>
      </c>
      <c r="AB4721">
        <v>24</v>
      </c>
      <c r="AC4721">
        <v>12.097399999999899</v>
      </c>
      <c r="AD4721">
        <v>-1.1112370282190001</v>
      </c>
      <c r="AE4721">
        <v>0.46161000000000002</v>
      </c>
      <c r="AF4721">
        <v>-1.76777635457979</v>
      </c>
      <c r="AG4721">
        <v>-1.1112370282190001</v>
      </c>
      <c r="AH4721">
        <v>11.874186608458601</v>
      </c>
      <c r="AI4721">
        <v>95.288462264504602</v>
      </c>
      <c r="AJ4721">
        <v>98.467748073550794</v>
      </c>
      <c r="AK4721">
        <v>12.056375433155401</v>
      </c>
    </row>
    <row r="4722" spans="1:37" x14ac:dyDescent="0.2">
      <c r="A4722" t="str">
        <f>"20200111154157116"</f>
        <v>20200111154157116</v>
      </c>
      <c r="B4722" t="str">
        <f>"1578728517110373"</f>
        <v>1578728517110373</v>
      </c>
      <c r="C4722" t="s">
        <v>37</v>
      </c>
      <c r="D4722">
        <v>5.8900540000000001</v>
      </c>
      <c r="E4722">
        <v>0.48711389999999999</v>
      </c>
      <c r="F4722" t="s">
        <v>53</v>
      </c>
      <c r="G4722">
        <v>-258.53050000000002</v>
      </c>
      <c r="H4722" s="1">
        <v>-3.0488010000000002E-6</v>
      </c>
      <c r="I4722">
        <v>-61.521859999999997</v>
      </c>
      <c r="J4722">
        <v>-270.45499999999998</v>
      </c>
      <c r="K4722">
        <v>1.1112219999999999</v>
      </c>
      <c r="L4722">
        <v>-61.984990000000003</v>
      </c>
      <c r="M4722">
        <v>0.994015599999999</v>
      </c>
      <c r="N4722">
        <v>0</v>
      </c>
      <c r="O4722">
        <v>-0.10862329999999901</v>
      </c>
      <c r="P4722">
        <v>0.99958250000000004</v>
      </c>
      <c r="Q4722">
        <v>2.8531890000000001E-2</v>
      </c>
      <c r="R4722">
        <v>4.5623399999999998E-3</v>
      </c>
      <c r="S4722">
        <v>3.0088499999999998</v>
      </c>
      <c r="T4722">
        <v>-0.2773429</v>
      </c>
      <c r="U4722">
        <v>0.1122131</v>
      </c>
      <c r="V4722">
        <v>-0.1132075</v>
      </c>
      <c r="W4722">
        <v>3.9779479999999999E-2</v>
      </c>
      <c r="X4722">
        <v>0.99277469999999901</v>
      </c>
      <c r="Y4722">
        <v>-0.14453160000000001</v>
      </c>
      <c r="Z4722">
        <v>1.662344E-2</v>
      </c>
      <c r="AA4722">
        <v>0.98936049999999998</v>
      </c>
      <c r="AB4722">
        <v>24</v>
      </c>
      <c r="AC4722">
        <v>11.924499999999901</v>
      </c>
      <c r="AD4722">
        <v>-1.111225048801</v>
      </c>
      <c r="AE4722">
        <v>0.46313000000000598</v>
      </c>
      <c r="AF4722">
        <v>-1.74066132438715</v>
      </c>
      <c r="AG4722">
        <v>-1.111225048801</v>
      </c>
      <c r="AH4722">
        <v>11.702153630583</v>
      </c>
      <c r="AI4722">
        <v>95.365799535029197</v>
      </c>
      <c r="AJ4722">
        <v>98.460546056848102</v>
      </c>
      <c r="AK4722">
        <v>11.882976165467401</v>
      </c>
    </row>
    <row r="4723" spans="1:37" x14ac:dyDescent="0.2">
      <c r="A4723" t="str">
        <f>"20200111154157128"</f>
        <v>20200111154157128</v>
      </c>
      <c r="B4723" t="str">
        <f>"1578728517121109"</f>
        <v>1578728517121109</v>
      </c>
      <c r="C4723" t="s">
        <v>37</v>
      </c>
      <c r="D4723">
        <v>5.8298379999999996</v>
      </c>
      <c r="E4723">
        <v>0.4871066</v>
      </c>
      <c r="F4723" t="s">
        <v>53</v>
      </c>
      <c r="G4723">
        <v>-258.43990000000002</v>
      </c>
      <c r="H4723" s="1">
        <v>-3.0125509999999999E-6</v>
      </c>
      <c r="I4723">
        <v>-61.533569999999997</v>
      </c>
      <c r="J4723">
        <v>-270.33049999999997</v>
      </c>
      <c r="K4723">
        <v>1.1112089999999999</v>
      </c>
      <c r="L4723">
        <v>-61.997799999999998</v>
      </c>
      <c r="M4723">
        <v>0.99409950000000002</v>
      </c>
      <c r="N4723">
        <v>0</v>
      </c>
      <c r="O4723">
        <v>-0.1078614</v>
      </c>
      <c r="P4723">
        <v>0.99958829999999999</v>
      </c>
      <c r="Q4723">
        <v>2.831208E-2</v>
      </c>
      <c r="R4723">
        <v>4.6876319999999997E-3</v>
      </c>
      <c r="S4723">
        <v>3.0086979999999999</v>
      </c>
      <c r="T4723">
        <v>-0.27826040000000002</v>
      </c>
      <c r="U4723">
        <v>0.1130371</v>
      </c>
      <c r="V4723">
        <v>-0.11257060000000001</v>
      </c>
      <c r="W4723">
        <v>3.9490270000000001E-2</v>
      </c>
      <c r="X4723">
        <v>0.99285869999999998</v>
      </c>
      <c r="Y4723">
        <v>-0.1440437</v>
      </c>
      <c r="Z4723">
        <v>1.6586429999999999E-2</v>
      </c>
      <c r="AA4723">
        <v>0.98943230000000004</v>
      </c>
      <c r="AB4723">
        <v>24</v>
      </c>
      <c r="AC4723">
        <v>11.8905999999999</v>
      </c>
      <c r="AD4723">
        <v>-1.1112120125510001</v>
      </c>
      <c r="AE4723">
        <v>0.46422999999999998</v>
      </c>
      <c r="AF4723">
        <v>-1.7290650430054499</v>
      </c>
      <c r="AG4723">
        <v>-1.1112120125510001</v>
      </c>
      <c r="AH4723">
        <v>11.669385541269</v>
      </c>
      <c r="AI4723">
        <v>95.381163451849602</v>
      </c>
      <c r="AJ4723">
        <v>98.428252700949301</v>
      </c>
      <c r="AK4723">
        <v>11.8490091134474</v>
      </c>
    </row>
    <row r="4724" spans="1:37" x14ac:dyDescent="0.2">
      <c r="A4724" t="str">
        <f>"20200111154157140"</f>
        <v>20200111154157140</v>
      </c>
      <c r="B4724" t="str">
        <f>"1578728517130869"</f>
        <v>1578728517130869</v>
      </c>
      <c r="C4724" t="s">
        <v>37</v>
      </c>
      <c r="D4724">
        <v>5.6125379999999998</v>
      </c>
      <c r="E4724">
        <v>0.48710779999999998</v>
      </c>
      <c r="F4724" t="s">
        <v>53</v>
      </c>
      <c r="G4724">
        <v>-258.32929999999999</v>
      </c>
      <c r="H4724" s="1">
        <v>-2.9676249999999998E-6</v>
      </c>
      <c r="I4724">
        <v>-61.54495</v>
      </c>
      <c r="J4724">
        <v>-270.1995</v>
      </c>
      <c r="K4724">
        <v>1.111199</v>
      </c>
      <c r="L4724">
        <v>-62.011139999999997</v>
      </c>
      <c r="M4724">
        <v>0.99418709999999899</v>
      </c>
      <c r="N4724">
        <v>0</v>
      </c>
      <c r="O4724">
        <v>-0.107057999999999</v>
      </c>
      <c r="P4724">
        <v>0.99959639999999905</v>
      </c>
      <c r="Q4724">
        <v>2.798225E-2</v>
      </c>
      <c r="R4724">
        <v>4.9295010000000002E-3</v>
      </c>
      <c r="S4724">
        <v>3.0086059999999999</v>
      </c>
      <c r="T4724">
        <v>-0.27857159999999997</v>
      </c>
      <c r="U4724">
        <v>0.113525399999999</v>
      </c>
      <c r="V4724">
        <v>-0.112009</v>
      </c>
      <c r="W4724">
        <v>3.9086219999999998E-2</v>
      </c>
      <c r="X4724">
        <v>0.99293819999999999</v>
      </c>
      <c r="Y4724">
        <v>-0.14340919999999999</v>
      </c>
      <c r="Z4724">
        <v>1.6502099999999999E-2</v>
      </c>
      <c r="AA4724">
        <v>0.98952589999999996</v>
      </c>
      <c r="AB4724">
        <v>24</v>
      </c>
      <c r="AC4724">
        <v>11.870200000000001</v>
      </c>
      <c r="AD4724">
        <v>-1.111201967625</v>
      </c>
      <c r="AE4724">
        <v>0.46619000000000399</v>
      </c>
      <c r="AF4724">
        <v>-1.7193491648220001</v>
      </c>
      <c r="AG4724">
        <v>-1.111201967625</v>
      </c>
      <c r="AH4724">
        <v>11.650120947294401</v>
      </c>
      <c r="AI4724">
        <v>95.390417618703907</v>
      </c>
      <c r="AJ4724">
        <v>98.395230059102801</v>
      </c>
      <c r="AK4724">
        <v>11.8286199300686</v>
      </c>
    </row>
    <row r="4725" spans="1:37" x14ac:dyDescent="0.2">
      <c r="A4725" t="str">
        <f>"20200111154157151"</f>
        <v>20200111154157151</v>
      </c>
      <c r="B4725" t="str">
        <f>"1578728517140629"</f>
        <v>1578728517140629</v>
      </c>
      <c r="C4725" t="s">
        <v>37</v>
      </c>
      <c r="D4725">
        <v>5.0681669999999999</v>
      </c>
      <c r="E4725">
        <v>0.4871008</v>
      </c>
      <c r="F4725" t="s">
        <v>53</v>
      </c>
      <c r="G4725">
        <v>-258.23219999999998</v>
      </c>
      <c r="H4725" s="1">
        <v>-2.928555E-6</v>
      </c>
      <c r="I4725">
        <v>-61.556509999999903</v>
      </c>
      <c r="J4725">
        <v>-270.0865</v>
      </c>
      <c r="K4725">
        <v>1.111194</v>
      </c>
      <c r="L4725">
        <v>-62.022519999999901</v>
      </c>
      <c r="M4725">
        <v>0.99426309999999996</v>
      </c>
      <c r="N4725">
        <v>0</v>
      </c>
      <c r="O4725">
        <v>-0.106359199999999</v>
      </c>
      <c r="P4725">
        <v>0.99960439999999995</v>
      </c>
      <c r="Q4725">
        <v>2.7654410000000001E-2</v>
      </c>
      <c r="R4725">
        <v>5.16769E-3</v>
      </c>
      <c r="S4725">
        <v>3.0084840000000002</v>
      </c>
      <c r="T4725">
        <v>-0.27934699999999901</v>
      </c>
      <c r="U4725">
        <v>0.1142883</v>
      </c>
      <c r="V4725">
        <v>-0.111547699999999</v>
      </c>
      <c r="W4725">
        <v>3.868837E-2</v>
      </c>
      <c r="X4725">
        <v>0.99300569999999899</v>
      </c>
      <c r="Y4725">
        <v>-0.1429646</v>
      </c>
      <c r="Z4725">
        <v>1.6463350000000002E-2</v>
      </c>
      <c r="AA4725">
        <v>0.98959089999999905</v>
      </c>
      <c r="AB4725">
        <v>24</v>
      </c>
      <c r="AC4725">
        <v>11.8543</v>
      </c>
      <c r="AD4725">
        <v>-1.1111969285550001</v>
      </c>
      <c r="AE4725">
        <v>0.46600999999999698</v>
      </c>
      <c r="AF4725">
        <v>-1.7092655103518799</v>
      </c>
      <c r="AG4725">
        <v>-1.1111969285550001</v>
      </c>
      <c r="AH4725">
        <v>11.635403320792699</v>
      </c>
      <c r="AI4725">
        <v>95.397697184403796</v>
      </c>
      <c r="AJ4725">
        <v>98.357097995537302</v>
      </c>
      <c r="AK4725">
        <v>11.812660904149499</v>
      </c>
    </row>
    <row r="4726" spans="1:37" x14ac:dyDescent="0.2">
      <c r="A4726" t="str">
        <f>"20200111154157161"</f>
        <v>20200111154157161</v>
      </c>
      <c r="B4726" t="str">
        <f>"1578728517150390"</f>
        <v>1578728517150390</v>
      </c>
      <c r="C4726" t="s">
        <v>37</v>
      </c>
      <c r="D4726">
        <v>5.5787300000000002</v>
      </c>
      <c r="E4726">
        <v>0.48710609999999999</v>
      </c>
      <c r="F4726" t="s">
        <v>53</v>
      </c>
      <c r="G4726">
        <v>-258.1508</v>
      </c>
      <c r="H4726" s="1">
        <v>-2.8958560000000001E-6</v>
      </c>
      <c r="I4726">
        <v>-61.566419999999901</v>
      </c>
      <c r="J4726">
        <v>-269.98140000000001</v>
      </c>
      <c r="K4726">
        <v>1.1111879999999901</v>
      </c>
      <c r="L4726">
        <v>-62.033110000000001</v>
      </c>
      <c r="M4726">
        <v>0.99433329999999998</v>
      </c>
      <c r="N4726">
        <v>0</v>
      </c>
      <c r="O4726">
        <v>-0.10570789999999999</v>
      </c>
      <c r="P4726">
        <v>0.9996003</v>
      </c>
      <c r="Q4726">
        <v>2.7762930000000002E-2</v>
      </c>
      <c r="R4726">
        <v>5.3421600000000003E-3</v>
      </c>
      <c r="S4726">
        <v>3.0083310000000001</v>
      </c>
      <c r="T4726">
        <v>-0.28007320000000002</v>
      </c>
      <c r="U4726">
        <v>0.1149597</v>
      </c>
      <c r="V4726">
        <v>-0.11107069999999999</v>
      </c>
      <c r="W4726">
        <v>3.8729819999999998E-2</v>
      </c>
      <c r="X4726">
        <v>0.99305750000000004</v>
      </c>
      <c r="Y4726">
        <v>-0.14253769999999999</v>
      </c>
      <c r="Z4726">
        <v>1.6426630000000001E-2</v>
      </c>
      <c r="AA4726">
        <v>0.98965309999999995</v>
      </c>
      <c r="AB4726">
        <v>24</v>
      </c>
      <c r="AC4726">
        <v>11.8306</v>
      </c>
      <c r="AD4726">
        <v>-1.1111908958559999</v>
      </c>
      <c r="AE4726">
        <v>0.46669000000000599</v>
      </c>
      <c r="AF4726">
        <v>-1.6997703256534999</v>
      </c>
      <c r="AG4726">
        <v>-1.1111908958559999</v>
      </c>
      <c r="AH4726">
        <v>11.612684232184501</v>
      </c>
      <c r="AI4726">
        <v>95.408574751543199</v>
      </c>
      <c r="AJ4726">
        <v>98.327356055438599</v>
      </c>
      <c r="AK4726">
        <v>11.788910019311899</v>
      </c>
    </row>
    <row r="4727" spans="1:37" x14ac:dyDescent="0.2">
      <c r="A4727" t="str">
        <f>"20200111154157170"</f>
        <v>20200111154157170</v>
      </c>
      <c r="B4727" t="str">
        <f>"1578728517161126"</f>
        <v>1578728517161126</v>
      </c>
      <c r="C4727" t="s">
        <v>37</v>
      </c>
      <c r="D4727">
        <v>5.6674639999999998</v>
      </c>
      <c r="E4727">
        <v>0.48712509999999998</v>
      </c>
      <c r="F4727" t="s">
        <v>53</v>
      </c>
      <c r="G4727">
        <v>-258.0249</v>
      </c>
      <c r="H4727" s="1">
        <v>-2.8436000000000002E-6</v>
      </c>
      <c r="I4727">
        <v>-61.574390000000001</v>
      </c>
      <c r="J4727">
        <v>-269.87709999999998</v>
      </c>
      <c r="K4727">
        <v>1.1111839999999999</v>
      </c>
      <c r="L4727">
        <v>-62.043489999999998</v>
      </c>
      <c r="M4727">
        <v>0.99440339999999905</v>
      </c>
      <c r="N4727">
        <v>0</v>
      </c>
      <c r="O4727">
        <v>-0.1050547</v>
      </c>
      <c r="P4727">
        <v>0.99960349999999998</v>
      </c>
      <c r="Q4727">
        <v>2.7606510000000001E-2</v>
      </c>
      <c r="R4727">
        <v>5.5645419999999996E-3</v>
      </c>
      <c r="S4727">
        <v>3.008362</v>
      </c>
      <c r="T4727">
        <v>-0.27958630000000001</v>
      </c>
      <c r="U4727">
        <v>0.11541749999999899</v>
      </c>
      <c r="V4727">
        <v>-0.1106398</v>
      </c>
      <c r="W4727">
        <v>3.8498249999999998E-2</v>
      </c>
      <c r="X4727">
        <v>0.99311469999999902</v>
      </c>
      <c r="Y4727">
        <v>-0.14204610000000001</v>
      </c>
      <c r="Z4727">
        <v>1.6314849999999999E-2</v>
      </c>
      <c r="AA4727">
        <v>0.98972559999999998</v>
      </c>
      <c r="AB4727">
        <v>24</v>
      </c>
      <c r="AC4727">
        <v>11.8521999999999</v>
      </c>
      <c r="AD4727">
        <v>-1.1111868436000001</v>
      </c>
      <c r="AE4727">
        <v>0.46910000000000401</v>
      </c>
      <c r="AF4727">
        <v>-1.6968199814009499</v>
      </c>
      <c r="AG4727">
        <v>-1.1111868436000001</v>
      </c>
      <c r="AH4727">
        <v>11.6352121192986</v>
      </c>
      <c r="AI4727">
        <v>95.398557335911704</v>
      </c>
      <c r="AJ4727">
        <v>98.297232794033704</v>
      </c>
      <c r="AK4727">
        <v>11.8106771741397</v>
      </c>
    </row>
    <row r="4728" spans="1:37" x14ac:dyDescent="0.2">
      <c r="A4728" t="str">
        <f>"20200111154157182"</f>
        <v>20200111154157182</v>
      </c>
      <c r="B4728" t="str">
        <f>"1578728517170885"</f>
        <v>1578728517170885</v>
      </c>
      <c r="C4728" t="s">
        <v>37</v>
      </c>
      <c r="D4728">
        <v>5.6365679999999996</v>
      </c>
      <c r="E4728">
        <v>0.48714579999999902</v>
      </c>
      <c r="F4728" t="s">
        <v>53</v>
      </c>
      <c r="G4728">
        <v>-257.93459999999999</v>
      </c>
      <c r="H4728" s="1">
        <v>-2.8068430000000001E-6</v>
      </c>
      <c r="I4728">
        <v>-61.583350000000003</v>
      </c>
      <c r="J4728">
        <v>-269.75529999999998</v>
      </c>
      <c r="K4728">
        <v>1.1111799999999901</v>
      </c>
      <c r="L4728">
        <v>-62.055540000000001</v>
      </c>
      <c r="M4728">
        <v>0.9944847</v>
      </c>
      <c r="N4728">
        <v>0</v>
      </c>
      <c r="O4728">
        <v>-0.104290699999999</v>
      </c>
      <c r="P4728">
        <v>0.99959169999999997</v>
      </c>
      <c r="Q4728">
        <v>2.7961130000000001E-2</v>
      </c>
      <c r="R4728">
        <v>5.9169869999999899E-3</v>
      </c>
      <c r="S4728">
        <v>3.00827</v>
      </c>
      <c r="T4728">
        <v>-0.27990409999999999</v>
      </c>
      <c r="U4728">
        <v>0.1159058</v>
      </c>
      <c r="V4728">
        <v>-0.11022709999999999</v>
      </c>
      <c r="W4728">
        <v>3.8762699999999997E-2</v>
      </c>
      <c r="X4728">
        <v>0.99315019999999998</v>
      </c>
      <c r="Y4728">
        <v>-0.14145050000000001</v>
      </c>
      <c r="Z4728">
        <v>1.623544E-2</v>
      </c>
      <c r="AA4728">
        <v>0.98981219999999903</v>
      </c>
      <c r="AB4728">
        <v>24</v>
      </c>
      <c r="AC4728">
        <v>11.820699999999899</v>
      </c>
      <c r="AD4728">
        <v>-1.1111828068430001</v>
      </c>
      <c r="AE4728">
        <v>0.472189999999997</v>
      </c>
      <c r="AF4728">
        <v>-1.68759125937354</v>
      </c>
      <c r="AG4728">
        <v>-1.1111828068430001</v>
      </c>
      <c r="AH4728">
        <v>11.604602238596399</v>
      </c>
      <c r="AI4728">
        <v>95.413008350309696</v>
      </c>
      <c r="AJ4728">
        <v>98.274196280439497</v>
      </c>
      <c r="AK4728">
        <v>11.779197112068999</v>
      </c>
    </row>
    <row r="4729" spans="1:37" x14ac:dyDescent="0.2">
      <c r="A4729" t="str">
        <f>"20200111154157195"</f>
        <v>20200111154157195</v>
      </c>
      <c r="B4729" t="str">
        <f>"1578728517190405"</f>
        <v>1578728517190405</v>
      </c>
      <c r="C4729" t="s">
        <v>37</v>
      </c>
      <c r="D4729">
        <v>5.6138059999999896</v>
      </c>
      <c r="E4729">
        <v>0.48718249999999902</v>
      </c>
      <c r="F4729" t="s">
        <v>53</v>
      </c>
      <c r="G4729">
        <v>-257.760999999999</v>
      </c>
      <c r="H4729" s="1">
        <v>-2.7337289999999999E-6</v>
      </c>
      <c r="I4729">
        <v>-61.589530000000003</v>
      </c>
      <c r="J4729">
        <v>-269.62979999999999</v>
      </c>
      <c r="K4729">
        <v>1.1111770000000001</v>
      </c>
      <c r="L4729">
        <v>-62.067839999999997</v>
      </c>
      <c r="M4729">
        <v>0.99456919999999904</v>
      </c>
      <c r="N4729">
        <v>0</v>
      </c>
      <c r="O4729">
        <v>-0.1034933</v>
      </c>
      <c r="P4729">
        <v>0.99957629999999997</v>
      </c>
      <c r="Q4729">
        <v>2.843878E-2</v>
      </c>
      <c r="R4729">
        <v>6.2204440000000003E-3</v>
      </c>
      <c r="S4729">
        <v>3.0083310000000001</v>
      </c>
      <c r="T4729">
        <v>-0.2786978</v>
      </c>
      <c r="U4729">
        <v>0.11688229999999999</v>
      </c>
      <c r="V4729">
        <v>-0.1097325</v>
      </c>
      <c r="W4729">
        <v>3.9140069999999999E-2</v>
      </c>
      <c r="X4729">
        <v>0.99319020000000002</v>
      </c>
      <c r="Y4729">
        <v>-0.14099139999999999</v>
      </c>
      <c r="Z4729">
        <v>1.60707E-2</v>
      </c>
      <c r="AA4729">
        <v>0.98988039999999999</v>
      </c>
      <c r="AB4729">
        <v>24</v>
      </c>
      <c r="AC4729">
        <v>11.8688</v>
      </c>
      <c r="AD4729">
        <v>-1.1111797337289999</v>
      </c>
      <c r="AE4729">
        <v>0.47831000000000001</v>
      </c>
      <c r="AF4729">
        <v>-1.6893735303881301</v>
      </c>
      <c r="AG4729">
        <v>-1.1111797337289999</v>
      </c>
      <c r="AH4729">
        <v>11.653575014417999</v>
      </c>
      <c r="AI4729">
        <v>95.390729414894693</v>
      </c>
      <c r="AJ4729">
        <v>98.248485898097499</v>
      </c>
      <c r="AK4729">
        <v>11.827701126698001</v>
      </c>
    </row>
    <row r="4730" spans="1:37" x14ac:dyDescent="0.2">
      <c r="A4730" t="str">
        <f>"20200111154157205"</f>
        <v>20200111154157205</v>
      </c>
      <c r="B4730" t="str">
        <f>"1578728517201141"</f>
        <v>1578728517201141</v>
      </c>
      <c r="C4730" t="s">
        <v>37</v>
      </c>
      <c r="D4730">
        <v>5.6160180000000004</v>
      </c>
      <c r="E4730">
        <v>0.48719699999999999</v>
      </c>
      <c r="F4730" t="s">
        <v>53</v>
      </c>
      <c r="G4730">
        <v>-257.5684</v>
      </c>
      <c r="H4730" s="1">
        <v>-2.6526619999999998E-6</v>
      </c>
      <c r="I4730">
        <v>-61.596419999999902</v>
      </c>
      <c r="J4730">
        <v>-269.52229999999997</v>
      </c>
      <c r="K4730">
        <v>1.1111739999999899</v>
      </c>
      <c r="L4730">
        <v>-62.078309999999902</v>
      </c>
      <c r="M4730">
        <v>0.994641</v>
      </c>
      <c r="N4730">
        <v>0</v>
      </c>
      <c r="O4730">
        <v>-0.1028086</v>
      </c>
      <c r="P4730">
        <v>0.99956690000000004</v>
      </c>
      <c r="Q4730">
        <v>2.8725339999999999E-2</v>
      </c>
      <c r="R4730">
        <v>6.37380699999999E-3</v>
      </c>
      <c r="S4730">
        <v>3.0084230000000001</v>
      </c>
      <c r="T4730">
        <v>-0.27715669999999998</v>
      </c>
      <c r="U4730">
        <v>0.117584199999999</v>
      </c>
      <c r="V4730">
        <v>-0.1092012</v>
      </c>
      <c r="W4730">
        <v>3.9340180000000002E-2</v>
      </c>
      <c r="X4730">
        <v>0.99324089999999998</v>
      </c>
      <c r="Y4730">
        <v>-0.14055570000000001</v>
      </c>
      <c r="Z4730">
        <v>1.589892E-2</v>
      </c>
      <c r="AA4730">
        <v>0.98994509999999902</v>
      </c>
      <c r="AB4730">
        <v>24</v>
      </c>
      <c r="AC4730">
        <v>11.9538999999999</v>
      </c>
      <c r="AD4730">
        <v>-1.1111766526619999</v>
      </c>
      <c r="AE4730">
        <v>0.48188999999999899</v>
      </c>
      <c r="AF4730">
        <v>-1.6937620221587799</v>
      </c>
      <c r="AG4730">
        <v>-1.1111766526619999</v>
      </c>
      <c r="AH4730">
        <v>11.739730702277701</v>
      </c>
      <c r="AI4730">
        <v>95.351903726986393</v>
      </c>
      <c r="AJ4730">
        <v>98.209758153735294</v>
      </c>
      <c r="AK4730">
        <v>11.913220400174399</v>
      </c>
    </row>
    <row r="4731" spans="1:37" x14ac:dyDescent="0.2">
      <c r="A4731" t="str">
        <f>"20200111154157215"</f>
        <v>20200111154157215</v>
      </c>
      <c r="B4731" t="str">
        <f>"1578728517210901"</f>
        <v>1578728517210901</v>
      </c>
      <c r="C4731" t="s">
        <v>37</v>
      </c>
      <c r="D4731">
        <v>5.6277330000000001</v>
      </c>
      <c r="E4731">
        <v>0.48721619999999999</v>
      </c>
      <c r="F4731" t="s">
        <v>53</v>
      </c>
      <c r="G4731">
        <v>-257.4178</v>
      </c>
      <c r="H4731" s="1">
        <v>-2.5894830000000001E-6</v>
      </c>
      <c r="I4731">
        <v>-61.602879999999999</v>
      </c>
      <c r="J4731">
        <v>-269.4033</v>
      </c>
      <c r="K4731">
        <v>1.1111679999999999</v>
      </c>
      <c r="L4731">
        <v>-62.089779999999998</v>
      </c>
      <c r="M4731">
        <v>0.99472109999999903</v>
      </c>
      <c r="N4731">
        <v>0</v>
      </c>
      <c r="O4731">
        <v>-0.10204299999999999</v>
      </c>
      <c r="P4731">
        <v>0.99955490000000002</v>
      </c>
      <c r="Q4731">
        <v>2.9122849999999999E-2</v>
      </c>
      <c r="R4731">
        <v>6.4841450000000002E-3</v>
      </c>
      <c r="S4731">
        <v>3.0084840000000002</v>
      </c>
      <c r="T4731">
        <v>-0.27617379999999903</v>
      </c>
      <c r="U4731">
        <v>0.11816409999999999</v>
      </c>
      <c r="V4731">
        <v>-0.1085463</v>
      </c>
      <c r="W4731">
        <v>3.9636539999999998E-2</v>
      </c>
      <c r="X4731">
        <v>0.99330090000000004</v>
      </c>
      <c r="Y4731">
        <v>-0.13999610000000001</v>
      </c>
      <c r="Z4731">
        <v>1.5746880000000001E-2</v>
      </c>
      <c r="AA4731">
        <v>0.99002679999999998</v>
      </c>
      <c r="AB4731">
        <v>24</v>
      </c>
      <c r="AC4731">
        <v>11.9855</v>
      </c>
      <c r="AD4731">
        <v>-1.111170589483</v>
      </c>
      <c r="AE4731">
        <v>0.486899999999998</v>
      </c>
      <c r="AF4731">
        <v>-1.69293915786712</v>
      </c>
      <c r="AG4731">
        <v>-1.111170589483</v>
      </c>
      <c r="AH4731">
        <v>11.772224235251899</v>
      </c>
      <c r="AI4731">
        <v>95.337538491820197</v>
      </c>
      <c r="AJ4731">
        <v>98.183481607022401</v>
      </c>
      <c r="AK4731">
        <v>11.945124801199199</v>
      </c>
    </row>
    <row r="4732" spans="1:37" x14ac:dyDescent="0.2">
      <c r="A4732" t="str">
        <f>"20200111154157228"</f>
        <v>20200111154157228</v>
      </c>
      <c r="B4732" t="str">
        <f>"1578728517220661"</f>
        <v>1578728517220661</v>
      </c>
      <c r="C4732" t="s">
        <v>37</v>
      </c>
      <c r="D4732">
        <v>5.6194030000000001</v>
      </c>
      <c r="E4732">
        <v>0.48723559999999999</v>
      </c>
      <c r="F4732" t="s">
        <v>53</v>
      </c>
      <c r="G4732">
        <v>-257.23919999999998</v>
      </c>
      <c r="H4732" s="1">
        <v>-2.5146550000000001E-6</v>
      </c>
      <c r="I4732">
        <v>-61.610919999999901</v>
      </c>
      <c r="J4732">
        <v>-269.27350000000001</v>
      </c>
      <c r="K4732">
        <v>1.1111599999999999</v>
      </c>
      <c r="L4732">
        <v>-62.102200000000003</v>
      </c>
      <c r="M4732">
        <v>0.99480780000000002</v>
      </c>
      <c r="N4732">
        <v>0</v>
      </c>
      <c r="O4732">
        <v>-0.10120510000000001</v>
      </c>
      <c r="P4732">
        <v>0.99954219999999905</v>
      </c>
      <c r="Q4732">
        <v>2.948222E-2</v>
      </c>
      <c r="R4732">
        <v>6.8079100000000004E-3</v>
      </c>
      <c r="S4732">
        <v>3.008575</v>
      </c>
      <c r="T4732">
        <v>-0.27482889999999999</v>
      </c>
      <c r="U4732">
        <v>0.11843869999999999</v>
      </c>
      <c r="V4732">
        <v>-0.1080318</v>
      </c>
      <c r="W4732">
        <v>3.9884780000000002E-2</v>
      </c>
      <c r="X4732">
        <v>0.99334699999999998</v>
      </c>
      <c r="Y4732">
        <v>-0.13926749999999999</v>
      </c>
      <c r="Z4732">
        <v>1.556068E-2</v>
      </c>
      <c r="AA4732">
        <v>0.99013249999999997</v>
      </c>
      <c r="AB4732">
        <v>24</v>
      </c>
      <c r="AC4732">
        <v>12.0343</v>
      </c>
      <c r="AD4732">
        <v>-1.1111625146549999</v>
      </c>
      <c r="AE4732">
        <v>0.49128000000000999</v>
      </c>
      <c r="AF4732">
        <v>-1.6923558620805099</v>
      </c>
      <c r="AG4732">
        <v>-1.1111625146549999</v>
      </c>
      <c r="AH4732">
        <v>11.8221601979828</v>
      </c>
      <c r="AI4732">
        <v>95.315572067075493</v>
      </c>
      <c r="AJ4732">
        <v>98.146610297968493</v>
      </c>
      <c r="AK4732">
        <v>11.9942578863664</v>
      </c>
    </row>
    <row r="4733" spans="1:37" x14ac:dyDescent="0.2">
      <c r="A4733" t="str">
        <f>"20200111154157238"</f>
        <v>20200111154157238</v>
      </c>
      <c r="B4733" t="str">
        <f>"1578728517230421"</f>
        <v>1578728517230421</v>
      </c>
      <c r="C4733" t="s">
        <v>37</v>
      </c>
      <c r="D4733">
        <v>5.4415100000000001</v>
      </c>
      <c r="E4733">
        <v>0.48724089999999998</v>
      </c>
      <c r="F4733" t="s">
        <v>53</v>
      </c>
      <c r="G4733">
        <v>-257.06689999999998</v>
      </c>
      <c r="H4733" s="1">
        <v>-2.44239499999999E-6</v>
      </c>
      <c r="I4733">
        <v>-61.618340000000003</v>
      </c>
      <c r="J4733">
        <v>-269.15879999999999</v>
      </c>
      <c r="K4733">
        <v>1.111151</v>
      </c>
      <c r="L4733">
        <v>-62.113100000000003</v>
      </c>
      <c r="M4733">
        <v>0.9948844</v>
      </c>
      <c r="N4733">
        <v>0</v>
      </c>
      <c r="O4733">
        <v>-0.1004603</v>
      </c>
      <c r="P4733">
        <v>0.99954399999999999</v>
      </c>
      <c r="Q4733">
        <v>2.9394549999999998E-2</v>
      </c>
      <c r="R4733">
        <v>6.9317210000000001E-3</v>
      </c>
      <c r="S4733">
        <v>3.008667</v>
      </c>
      <c r="T4733">
        <v>-0.27387840000000002</v>
      </c>
      <c r="U4733">
        <v>0.1192627</v>
      </c>
      <c r="V4733">
        <v>-0.1074111</v>
      </c>
      <c r="W4733">
        <v>3.9698009999999999E-2</v>
      </c>
      <c r="X4733">
        <v>0.99342180000000002</v>
      </c>
      <c r="Y4733">
        <v>-0.1388076</v>
      </c>
      <c r="Z4733">
        <v>1.541824E-2</v>
      </c>
      <c r="AA4733">
        <v>0.9901993</v>
      </c>
      <c r="AB4733">
        <v>24</v>
      </c>
      <c r="AC4733">
        <v>12.091900000000001</v>
      </c>
      <c r="AD4733">
        <v>-1.111153442395</v>
      </c>
      <c r="AE4733">
        <v>0.49475999999999898</v>
      </c>
      <c r="AF4733">
        <v>-1.69281059892696</v>
      </c>
      <c r="AG4733">
        <v>-1.111153442395</v>
      </c>
      <c r="AH4733">
        <v>11.880857672876401</v>
      </c>
      <c r="AI4733">
        <v>95.289909283093394</v>
      </c>
      <c r="AJ4733">
        <v>98.109047596899799</v>
      </c>
      <c r="AK4733">
        <v>12.052180248383801</v>
      </c>
    </row>
    <row r="4734" spans="1:37" x14ac:dyDescent="0.2">
      <c r="A4734" t="str">
        <f>"20200111154157249"</f>
        <v>20200111154157249</v>
      </c>
      <c r="B4734" t="str">
        <f>"1578728517241157"</f>
        <v>1578728517241157</v>
      </c>
      <c r="C4734" t="s">
        <v>37</v>
      </c>
      <c r="D4734">
        <v>5.6346350000000003</v>
      </c>
      <c r="E4734">
        <v>0.487257</v>
      </c>
      <c r="F4734" t="s">
        <v>53</v>
      </c>
      <c r="G4734">
        <v>-256.952</v>
      </c>
      <c r="H4734" s="1">
        <v>-2.3952730000000001E-6</v>
      </c>
      <c r="I4734">
        <v>-61.628100000000003</v>
      </c>
      <c r="J4734">
        <v>-269.04239999999999</v>
      </c>
      <c r="K4734">
        <v>1.1111389999999901</v>
      </c>
      <c r="L4734">
        <v>-62.124019999999902</v>
      </c>
      <c r="M4734">
        <v>0.99496189999999995</v>
      </c>
      <c r="N4734">
        <v>0</v>
      </c>
      <c r="O4734">
        <v>-9.9701699999999893E-2</v>
      </c>
      <c r="P4734">
        <v>0.99954469999999995</v>
      </c>
      <c r="Q4734">
        <v>2.9297179999999999E-2</v>
      </c>
      <c r="R4734">
        <v>7.2309640000000003E-3</v>
      </c>
      <c r="S4734">
        <v>3.0086059999999999</v>
      </c>
      <c r="T4734">
        <v>-0.27386700000000003</v>
      </c>
      <c r="U4734">
        <v>0.1195374</v>
      </c>
      <c r="V4734">
        <v>-0.10695109999999999</v>
      </c>
      <c r="W4734">
        <v>3.9495990000000002E-2</v>
      </c>
      <c r="X4734">
        <v>0.99347949999999996</v>
      </c>
      <c r="Y4734">
        <v>-0.13814939999999901</v>
      </c>
      <c r="Z4734">
        <v>1.53192999999999E-2</v>
      </c>
      <c r="AA4734">
        <v>0.99029290000000003</v>
      </c>
      <c r="AB4734">
        <v>24</v>
      </c>
      <c r="AC4734">
        <v>12.090399999999899</v>
      </c>
      <c r="AD4734">
        <v>-1.1111413952729901</v>
      </c>
      <c r="AE4734">
        <v>0.49591999999999098</v>
      </c>
      <c r="AF4734">
        <v>-1.68474306985541</v>
      </c>
      <c r="AG4734">
        <v>-1.1111413952729901</v>
      </c>
      <c r="AH4734">
        <v>11.8805287269308</v>
      </c>
      <c r="AI4734">
        <v>95.290492680033296</v>
      </c>
      <c r="AJ4734">
        <v>98.071132735400994</v>
      </c>
      <c r="AK4734">
        <v>12.0507243451646</v>
      </c>
    </row>
    <row r="4735" spans="1:37" x14ac:dyDescent="0.2">
      <c r="A4735" t="str">
        <f>"20200111154157260"</f>
        <v>20200111154157260</v>
      </c>
      <c r="B4735" t="str">
        <f>"1578728517250917"</f>
        <v>1578728517250917</v>
      </c>
      <c r="C4735" t="s">
        <v>37</v>
      </c>
      <c r="D4735">
        <v>5.5149359999999996</v>
      </c>
      <c r="E4735">
        <v>0.48723649999999902</v>
      </c>
      <c r="F4735" t="s">
        <v>53</v>
      </c>
      <c r="G4735">
        <v>-256.84910000000002</v>
      </c>
      <c r="H4735" s="1">
        <v>-2.353008E-6</v>
      </c>
      <c r="I4735">
        <v>-61.636589999999998</v>
      </c>
      <c r="J4735">
        <v>-268.92250000000001</v>
      </c>
      <c r="K4735">
        <v>1.11112099999999</v>
      </c>
      <c r="L4735">
        <v>-62.135249999999999</v>
      </c>
      <c r="M4735">
        <v>0.99504119999999996</v>
      </c>
      <c r="N4735">
        <v>0</v>
      </c>
      <c r="O4735">
        <v>-9.8917130000000006E-2</v>
      </c>
      <c r="P4735">
        <v>0.99955260000000001</v>
      </c>
      <c r="Q4735">
        <v>2.8862039999999999E-2</v>
      </c>
      <c r="R4735">
        <v>7.8477200000000007E-3</v>
      </c>
      <c r="S4735">
        <v>3.0085449999999998</v>
      </c>
      <c r="T4735">
        <v>-0.27416000000000001</v>
      </c>
      <c r="U4735">
        <v>0.1202698</v>
      </c>
      <c r="V4735">
        <v>-0.1067809</v>
      </c>
      <c r="W4735">
        <v>3.8951380000000001E-2</v>
      </c>
      <c r="X4735">
        <v>0.99351929999999999</v>
      </c>
      <c r="Y4735">
        <v>-0.13761329999999999</v>
      </c>
      <c r="Z4735">
        <v>1.524038E-2</v>
      </c>
      <c r="AA4735">
        <v>0.99036880000000005</v>
      </c>
      <c r="AB4735">
        <v>24</v>
      </c>
      <c r="AC4735">
        <v>12.0733999999999</v>
      </c>
      <c r="AD4735">
        <v>-1.11112335300799</v>
      </c>
      <c r="AE4735">
        <v>0.498659999999993</v>
      </c>
      <c r="AF4735">
        <v>-1.6763708698778601</v>
      </c>
      <c r="AG4735">
        <v>-1.11112335300799</v>
      </c>
      <c r="AH4735">
        <v>11.8645356770774</v>
      </c>
      <c r="AI4735">
        <v>95.297874116697599</v>
      </c>
      <c r="AJ4735">
        <v>98.042233248953195</v>
      </c>
      <c r="AK4735">
        <v>12.033786653901499</v>
      </c>
    </row>
    <row r="4736" spans="1:37" x14ac:dyDescent="0.2">
      <c r="A4736" t="str">
        <f>"20200111154157271"</f>
        <v>20200111154157271</v>
      </c>
      <c r="B4736" t="str">
        <f>"1578728517260677"</f>
        <v>1578728517260677</v>
      </c>
      <c r="C4736" t="s">
        <v>37</v>
      </c>
      <c r="D4736">
        <v>5.5802949999999996</v>
      </c>
      <c r="E4736">
        <v>0.487234</v>
      </c>
      <c r="F4736" t="s">
        <v>53</v>
      </c>
      <c r="G4736">
        <v>-256.7921</v>
      </c>
      <c r="H4736" s="1">
        <v>-2.3299509999999998E-6</v>
      </c>
      <c r="I4736">
        <v>-61.642899999999997</v>
      </c>
      <c r="J4736">
        <v>-268.80990000000003</v>
      </c>
      <c r="K4736">
        <v>1.111103</v>
      </c>
      <c r="L4736">
        <v>-62.145629999999997</v>
      </c>
      <c r="M4736">
        <v>0.99511550000000004</v>
      </c>
      <c r="N4736">
        <v>0</v>
      </c>
      <c r="O4736">
        <v>-9.8178230000000005E-2</v>
      </c>
      <c r="P4736">
        <v>0.99956460000000003</v>
      </c>
      <c r="Q4736">
        <v>2.830951E-2</v>
      </c>
      <c r="R4736">
        <v>8.3403209999999995E-3</v>
      </c>
      <c r="S4736">
        <v>3.00827</v>
      </c>
      <c r="T4736">
        <v>-0.2755514</v>
      </c>
      <c r="U4736">
        <v>0.1221008</v>
      </c>
      <c r="V4736">
        <v>-0.106532999999999</v>
      </c>
      <c r="W4736">
        <v>3.8291930000000002E-2</v>
      </c>
      <c r="X4736">
        <v>0.9935716</v>
      </c>
      <c r="Y4736">
        <v>-0.13747679999999901</v>
      </c>
      <c r="Z4736">
        <v>1.5245099999999999E-2</v>
      </c>
      <c r="AA4736">
        <v>0.99038769999999998</v>
      </c>
      <c r="AB4736">
        <v>24</v>
      </c>
      <c r="AC4736">
        <v>12.017799999999999</v>
      </c>
      <c r="AD4736">
        <v>-1.1111053299510001</v>
      </c>
      <c r="AE4736">
        <v>0.50273000000000601</v>
      </c>
      <c r="AF4736">
        <v>-1.666033704285</v>
      </c>
      <c r="AG4736">
        <v>-1.1111053299510001</v>
      </c>
      <c r="AH4736">
        <v>11.809603018334901</v>
      </c>
      <c r="AI4736">
        <v>95.322450031547106</v>
      </c>
      <c r="AJ4736">
        <v>98.029981664831396</v>
      </c>
      <c r="AK4736">
        <v>11.9781862904499</v>
      </c>
    </row>
    <row r="4737" spans="1:37" x14ac:dyDescent="0.2">
      <c r="A4737" t="str">
        <f>"20200111154157282"</f>
        <v>20200111154157282</v>
      </c>
      <c r="B4737" t="str">
        <f>"1578728517270437"</f>
        <v>1578728517270437</v>
      </c>
      <c r="C4737" t="s">
        <v>37</v>
      </c>
      <c r="D4737">
        <v>5.6082489999999998</v>
      </c>
      <c r="E4737">
        <v>0.48727019999999999</v>
      </c>
      <c r="F4737" t="s">
        <v>53</v>
      </c>
      <c r="G4737">
        <v>-256.75240000000002</v>
      </c>
      <c r="H4737" s="1">
        <v>-2.3146299999999998E-6</v>
      </c>
      <c r="I4737">
        <v>-61.650459999999903</v>
      </c>
      <c r="J4737">
        <v>-268.69049999999999</v>
      </c>
      <c r="K4737">
        <v>1.1110850000000001</v>
      </c>
      <c r="L4737">
        <v>-62.156649999999999</v>
      </c>
      <c r="M4737">
        <v>0.99519400000000002</v>
      </c>
      <c r="N4737">
        <v>0</v>
      </c>
      <c r="O4737">
        <v>-9.7393300000000002E-2</v>
      </c>
      <c r="P4737">
        <v>0.99957659999999904</v>
      </c>
      <c r="Q4737">
        <v>2.7781400000000001E-2</v>
      </c>
      <c r="R4737">
        <v>8.6699199999999994E-3</v>
      </c>
      <c r="S4737">
        <v>3.0081180000000001</v>
      </c>
      <c r="T4737">
        <v>-0.27720070000000002</v>
      </c>
      <c r="U4737">
        <v>0.123535199999999</v>
      </c>
      <c r="V4737">
        <v>-0.106077</v>
      </c>
      <c r="W4737">
        <v>3.7649139999999998E-2</v>
      </c>
      <c r="X4737">
        <v>0.99364490000000005</v>
      </c>
      <c r="Y4737">
        <v>-0.1371618</v>
      </c>
      <c r="Z4737">
        <v>1.525019E-2</v>
      </c>
      <c r="AA4737">
        <v>0.99043119999999996</v>
      </c>
      <c r="AB4737">
        <v>24</v>
      </c>
      <c r="AC4737">
        <v>11.938099999999899</v>
      </c>
      <c r="AD4737">
        <v>-1.11108731463</v>
      </c>
      <c r="AE4737">
        <v>0.50619000000000303</v>
      </c>
      <c r="AF4737">
        <v>-1.65224806318957</v>
      </c>
      <c r="AG4737">
        <v>-1.11108731463</v>
      </c>
      <c r="AH4737">
        <v>11.7306080017878</v>
      </c>
      <c r="AI4737">
        <v>95.358163420574598</v>
      </c>
      <c r="AJ4737">
        <v>98.017331355475093</v>
      </c>
      <c r="AK4737">
        <v>11.8983865618265</v>
      </c>
    </row>
    <row r="4738" spans="1:37" x14ac:dyDescent="0.2">
      <c r="A4738" t="str">
        <f>"20200111154157295"</f>
        <v>20200111154157295</v>
      </c>
      <c r="B4738" t="str">
        <f>"1578728517290934"</f>
        <v>1578728517290934</v>
      </c>
      <c r="C4738" t="s">
        <v>37</v>
      </c>
      <c r="D4738">
        <v>5.5412669999999897</v>
      </c>
      <c r="E4738">
        <v>0.48729319999999998</v>
      </c>
      <c r="F4738" t="s">
        <v>53</v>
      </c>
      <c r="G4738">
        <v>-256.70139999999998</v>
      </c>
      <c r="H4738" s="1">
        <v>-2.295235E-6</v>
      </c>
      <c r="I4738">
        <v>-61.661700000000003</v>
      </c>
      <c r="J4738">
        <v>-268.56610000000001</v>
      </c>
      <c r="K4738">
        <v>1.1110679999999999</v>
      </c>
      <c r="L4738">
        <v>-62.167909999999999</v>
      </c>
      <c r="M4738">
        <v>0.99527479999999902</v>
      </c>
      <c r="N4738">
        <v>0</v>
      </c>
      <c r="O4738">
        <v>-9.6575350000000004E-2</v>
      </c>
      <c r="P4738">
        <v>0.99958530000000001</v>
      </c>
      <c r="Q4738">
        <v>2.7338379999999999E-2</v>
      </c>
      <c r="R4738">
        <v>9.0541079999999999E-3</v>
      </c>
      <c r="S4738">
        <v>3.0079349999999998</v>
      </c>
      <c r="T4738">
        <v>-0.27876020000000001</v>
      </c>
      <c r="U4738">
        <v>0.12417599999999999</v>
      </c>
      <c r="V4738">
        <v>-0.1056424</v>
      </c>
      <c r="W4738">
        <v>3.7087820000000001E-2</v>
      </c>
      <c r="X4738">
        <v>0.99371229999999999</v>
      </c>
      <c r="Y4738">
        <v>-0.1365556</v>
      </c>
      <c r="Z4738">
        <v>1.523306E-2</v>
      </c>
      <c r="AA4738">
        <v>0.99051529999999999</v>
      </c>
      <c r="AB4738">
        <v>24</v>
      </c>
      <c r="AC4738">
        <v>11.864699999999999</v>
      </c>
      <c r="AD4738">
        <v>-1.111070295235</v>
      </c>
      <c r="AE4738">
        <v>0.50620999999999505</v>
      </c>
      <c r="AF4738">
        <v>-1.63542353853411</v>
      </c>
      <c r="AG4738">
        <v>-1.111070295235</v>
      </c>
      <c r="AH4738">
        <v>11.658294629946599</v>
      </c>
      <c r="AI4738">
        <v>95.391542113242394</v>
      </c>
      <c r="AJ4738">
        <v>97.985334418103506</v>
      </c>
      <c r="AK4738">
        <v>11.824758814875899</v>
      </c>
    </row>
    <row r="4739" spans="1:37" x14ac:dyDescent="0.2">
      <c r="A4739" t="str">
        <f>"20200111154157306"</f>
        <v>20200111154157306</v>
      </c>
      <c r="B4739" t="str">
        <f>"1578728517300693"</f>
        <v>1578728517300693</v>
      </c>
      <c r="C4739" t="s">
        <v>37</v>
      </c>
      <c r="D4739">
        <v>5.5531040000000003</v>
      </c>
      <c r="E4739">
        <v>0.48731069999999999</v>
      </c>
      <c r="F4739" t="s">
        <v>53</v>
      </c>
      <c r="G4739">
        <v>-256.63319999999999</v>
      </c>
      <c r="H4739" s="1">
        <v>-2.2681669999999999E-6</v>
      </c>
      <c r="I4739">
        <v>-61.671500000000002</v>
      </c>
      <c r="J4739">
        <v>-268.44639999999998</v>
      </c>
      <c r="K4739">
        <v>1.1110549999999999</v>
      </c>
      <c r="L4739">
        <v>-62.178739999999998</v>
      </c>
      <c r="M4739">
        <v>0.99535209999999996</v>
      </c>
      <c r="N4739">
        <v>0</v>
      </c>
      <c r="O4739">
        <v>-9.5787230000000001E-2</v>
      </c>
      <c r="P4739">
        <v>0.99958840000000004</v>
      </c>
      <c r="Q4739">
        <v>2.71851E-2</v>
      </c>
      <c r="R4739">
        <v>9.1835240000000002E-3</v>
      </c>
      <c r="S4739">
        <v>3.0077820000000002</v>
      </c>
      <c r="T4739">
        <v>-0.28005399999999903</v>
      </c>
      <c r="U4739">
        <v>0.12512210000000001</v>
      </c>
      <c r="V4739">
        <v>-0.1049838</v>
      </c>
      <c r="W4739">
        <v>3.6822399999999998E-2</v>
      </c>
      <c r="X4739">
        <v>0.99379200000000001</v>
      </c>
      <c r="Y4739">
        <v>-0.13608029999999999</v>
      </c>
      <c r="Z4739">
        <v>1.520907E-2</v>
      </c>
      <c r="AA4739">
        <v>0.99058099999999905</v>
      </c>
      <c r="AB4739">
        <v>24</v>
      </c>
      <c r="AC4739">
        <v>11.813199999999901</v>
      </c>
      <c r="AD4739">
        <v>-1.1110572681669999</v>
      </c>
      <c r="AE4739">
        <v>0.50724000000000302</v>
      </c>
      <c r="AF4739">
        <v>-1.62219390038295</v>
      </c>
      <c r="AG4739">
        <v>-1.1110572681669999</v>
      </c>
      <c r="AH4739">
        <v>11.607794586447801</v>
      </c>
      <c r="AI4739">
        <v>95.415187287574398</v>
      </c>
      <c r="AJ4739">
        <v>97.955583623944705</v>
      </c>
      <c r="AK4739">
        <v>11.7731413167749</v>
      </c>
    </row>
    <row r="4740" spans="1:37" x14ac:dyDescent="0.2">
      <c r="A4740" t="str">
        <f>"20200111154157316"</f>
        <v>20200111154157316</v>
      </c>
      <c r="B4740" t="str">
        <f>"1578728517310455"</f>
        <v>1578728517310455</v>
      </c>
      <c r="C4740" t="s">
        <v>37</v>
      </c>
      <c r="D4740">
        <v>5.5658769999999897</v>
      </c>
      <c r="E4740">
        <v>0.48732789999999998</v>
      </c>
      <c r="F4740" t="s">
        <v>53</v>
      </c>
      <c r="G4740">
        <v>-256.5308</v>
      </c>
      <c r="H4740" s="1">
        <v>-2.2264029999999998E-6</v>
      </c>
      <c r="I4740">
        <v>-61.681359999999998</v>
      </c>
      <c r="J4740">
        <v>-268.32920000000001</v>
      </c>
      <c r="K4740">
        <v>1.111043</v>
      </c>
      <c r="L4740">
        <v>-62.18918</v>
      </c>
      <c r="M4740">
        <v>0.99542699999999995</v>
      </c>
      <c r="N4740">
        <v>0</v>
      </c>
      <c r="O4740">
        <v>-9.5017249999999998E-2</v>
      </c>
      <c r="P4740">
        <v>0.99958769999999997</v>
      </c>
      <c r="Q4740">
        <v>2.6995310000000002E-2</v>
      </c>
      <c r="R4740">
        <v>9.8002309999999995E-3</v>
      </c>
      <c r="S4740">
        <v>3.0077210000000001</v>
      </c>
      <c r="T4740">
        <v>-0.28045229999999999</v>
      </c>
      <c r="U4740">
        <v>0.1255493</v>
      </c>
      <c r="V4740">
        <v>-0.10482760000000001</v>
      </c>
      <c r="W4740">
        <v>3.6524109999999999E-2</v>
      </c>
      <c r="X4740">
        <v>0.99381949999999997</v>
      </c>
      <c r="Y4740">
        <v>-0.13545839999999901</v>
      </c>
      <c r="Z4740">
        <v>1.513052E-2</v>
      </c>
      <c r="AA4740">
        <v>0.99066749999999903</v>
      </c>
      <c r="AB4740">
        <v>24</v>
      </c>
      <c r="AC4740">
        <v>11.798400000000001</v>
      </c>
      <c r="AD4740">
        <v>-1.111045226403</v>
      </c>
      <c r="AE4740">
        <v>0.50782000000000904</v>
      </c>
      <c r="AF4740">
        <v>-1.6123563413015201</v>
      </c>
      <c r="AG4740">
        <v>-1.111045226403</v>
      </c>
      <c r="AH4740">
        <v>11.5941357726603</v>
      </c>
      <c r="AI4740">
        <v>95.421974417471802</v>
      </c>
      <c r="AJ4740">
        <v>97.917148464608999</v>
      </c>
      <c r="AK4740">
        <v>11.7583204064751</v>
      </c>
    </row>
    <row r="4741" spans="1:37" x14ac:dyDescent="0.2">
      <c r="A4741" t="str">
        <f>"20200111154157328"</f>
        <v>20200111154157328</v>
      </c>
      <c r="B4741" t="str">
        <f>"1578728517321189"</f>
        <v>1578728517321189</v>
      </c>
      <c r="C4741" t="s">
        <v>37</v>
      </c>
      <c r="D4741">
        <v>5.4838500000000003</v>
      </c>
      <c r="E4741">
        <v>0.48732769999999997</v>
      </c>
      <c r="F4741" t="s">
        <v>53</v>
      </c>
      <c r="G4741">
        <v>-256.43830000000003</v>
      </c>
      <c r="H4741" s="1">
        <v>-2.187651E-6</v>
      </c>
      <c r="I4741">
        <v>-61.685559999999903</v>
      </c>
      <c r="J4741">
        <v>-268.20319999999998</v>
      </c>
      <c r="K4741">
        <v>1.11103</v>
      </c>
      <c r="L4741">
        <v>-62.200319999999998</v>
      </c>
      <c r="M4741">
        <v>0.99550669999999897</v>
      </c>
      <c r="N4741">
        <v>0</v>
      </c>
      <c r="O4741">
        <v>-9.4190170000000004E-2</v>
      </c>
      <c r="P4741">
        <v>0.99958959999999997</v>
      </c>
      <c r="Q4741">
        <v>2.675808E-2</v>
      </c>
      <c r="R4741">
        <v>1.0238010000000001E-2</v>
      </c>
      <c r="S4741">
        <v>3.007568</v>
      </c>
      <c r="T4741">
        <v>-0.28101709999999902</v>
      </c>
      <c r="U4741">
        <v>0.12738039999999901</v>
      </c>
      <c r="V4741">
        <v>-0.104436999999999</v>
      </c>
      <c r="W4741">
        <v>3.617385E-2</v>
      </c>
      <c r="X4741">
        <v>0.99387340000000002</v>
      </c>
      <c r="Y4741">
        <v>-0.13523979999999999</v>
      </c>
      <c r="Z4741">
        <v>1.50744E-2</v>
      </c>
      <c r="AA4741">
        <v>0.99069819999999997</v>
      </c>
      <c r="AB4741">
        <v>24</v>
      </c>
      <c r="AC4741">
        <v>11.7648999999999</v>
      </c>
      <c r="AD4741">
        <v>-1.1110321876510001</v>
      </c>
      <c r="AE4741">
        <v>0.51476000000000199</v>
      </c>
      <c r="AF4741">
        <v>-1.6063631554964199</v>
      </c>
      <c r="AG4741">
        <v>-1.1110321876510001</v>
      </c>
      <c r="AH4741">
        <v>11.56119534826</v>
      </c>
      <c r="AI4741">
        <v>95.437356985186895</v>
      </c>
      <c r="AJ4741">
        <v>97.910282089320702</v>
      </c>
      <c r="AK4741">
        <v>11.7250173982797</v>
      </c>
    </row>
    <row r="4742" spans="1:37" x14ac:dyDescent="0.2">
      <c r="A4742" t="str">
        <f>"20200111154157338"</f>
        <v>20200111154157338</v>
      </c>
      <c r="B4742" t="str">
        <f>"1578728517330949"</f>
        <v>1578728517330949</v>
      </c>
      <c r="C4742" t="s">
        <v>37</v>
      </c>
      <c r="D4742">
        <v>5.5621010000000002</v>
      </c>
      <c r="E4742">
        <v>0.48735729999999999</v>
      </c>
      <c r="F4742" t="s">
        <v>53</v>
      </c>
      <c r="G4742">
        <v>-256.34300000000002</v>
      </c>
      <c r="H4742" s="1">
        <v>-2.14832099999999E-6</v>
      </c>
      <c r="I4742">
        <v>-61.692439999999998</v>
      </c>
      <c r="J4742">
        <v>-268.08479999999997</v>
      </c>
      <c r="K4742">
        <v>1.1110169999999999</v>
      </c>
      <c r="L4742">
        <v>-62.210719999999903</v>
      </c>
      <c r="M4742">
        <v>0.99558089999999999</v>
      </c>
      <c r="N4742">
        <v>0</v>
      </c>
      <c r="O4742">
        <v>-9.3413899999999994E-2</v>
      </c>
      <c r="P4742">
        <v>0.99958590000000003</v>
      </c>
      <c r="Q4742">
        <v>2.654103E-2</v>
      </c>
      <c r="R4742">
        <v>1.111877E-2</v>
      </c>
      <c r="S4742">
        <v>3.0074459999999998</v>
      </c>
      <c r="T4742">
        <v>-0.28173029999999999</v>
      </c>
      <c r="U4742">
        <v>0.12878419999999999</v>
      </c>
      <c r="V4742">
        <v>-0.104537799999999</v>
      </c>
      <c r="W4742">
        <v>3.5851729999999998E-2</v>
      </c>
      <c r="X4742">
        <v>0.99387449999999999</v>
      </c>
      <c r="Y4742">
        <v>-0.1349301</v>
      </c>
      <c r="Z4742">
        <v>1.502617E-2</v>
      </c>
      <c r="AA4742">
        <v>0.99074119999999999</v>
      </c>
      <c r="AB4742">
        <v>24</v>
      </c>
      <c r="AC4742">
        <v>11.7417999999999</v>
      </c>
      <c r="AD4742">
        <v>-1.1110191483209999</v>
      </c>
      <c r="AE4742">
        <v>0.51827999999998997</v>
      </c>
      <c r="AF4742">
        <v>-1.5986267670847201</v>
      </c>
      <c r="AG4742">
        <v>-1.1110191483209999</v>
      </c>
      <c r="AH4742">
        <v>11.5389274446875</v>
      </c>
      <c r="AI4742">
        <v>95.448019976196093</v>
      </c>
      <c r="AJ4742">
        <v>97.887665971292506</v>
      </c>
      <c r="AK4742">
        <v>11.7020005837522</v>
      </c>
    </row>
    <row r="4743" spans="1:37" x14ac:dyDescent="0.2">
      <c r="A4743" t="str">
        <f>"20200111154157350"</f>
        <v>20200111154157350</v>
      </c>
      <c r="B4743" t="str">
        <f>"1578728517340710"</f>
        <v>1578728517340710</v>
      </c>
      <c r="C4743" t="s">
        <v>37</v>
      </c>
      <c r="D4743">
        <v>5.5462169999999897</v>
      </c>
      <c r="E4743">
        <v>0.48737900000000001</v>
      </c>
      <c r="F4743" t="s">
        <v>53</v>
      </c>
      <c r="G4743">
        <v>-256.24970000000002</v>
      </c>
      <c r="H4743" s="1">
        <v>-2.1086049999999999E-6</v>
      </c>
      <c r="I4743">
        <v>-61.693919999999999</v>
      </c>
      <c r="J4743">
        <v>-267.96449999999999</v>
      </c>
      <c r="K4743">
        <v>1.1110059999999999</v>
      </c>
      <c r="L4743">
        <v>-62.22119</v>
      </c>
      <c r="M4743">
        <v>0.99565559999999997</v>
      </c>
      <c r="N4743">
        <v>0</v>
      </c>
      <c r="O4743">
        <v>-9.2626420000000001E-2</v>
      </c>
      <c r="P4743">
        <v>0.99957790000000002</v>
      </c>
      <c r="Q4743">
        <v>2.6468599999999998E-2</v>
      </c>
      <c r="R4743">
        <v>1.198334E-2</v>
      </c>
      <c r="S4743">
        <v>3.0072329999999998</v>
      </c>
      <c r="T4743">
        <v>-0.28230369999999999</v>
      </c>
      <c r="U4743">
        <v>0.13131709999999999</v>
      </c>
      <c r="V4743">
        <v>-0.10461139999999999</v>
      </c>
      <c r="W4743">
        <v>3.5673499999999997E-2</v>
      </c>
      <c r="X4743">
        <v>0.99387320000000001</v>
      </c>
      <c r="Y4743">
        <v>-0.134981399999999</v>
      </c>
      <c r="Z4743">
        <v>1.4986319999999999E-2</v>
      </c>
      <c r="AA4743">
        <v>0.99073480000000003</v>
      </c>
      <c r="AB4743">
        <v>24</v>
      </c>
      <c r="AC4743">
        <v>11.714799999999901</v>
      </c>
      <c r="AD4743">
        <v>-1.1110081086049901</v>
      </c>
      <c r="AE4743">
        <v>0.52727000000000102</v>
      </c>
      <c r="AF4743">
        <v>-1.59582774387513</v>
      </c>
      <c r="AG4743">
        <v>-1.1110081086049901</v>
      </c>
      <c r="AH4743">
        <v>11.512256668076899</v>
      </c>
      <c r="AI4743">
        <v>95.460453991142799</v>
      </c>
      <c r="AJ4743">
        <v>97.892041286019193</v>
      </c>
      <c r="AK4743">
        <v>11.675318359564701</v>
      </c>
    </row>
    <row r="4744" spans="1:37" x14ac:dyDescent="0.2">
      <c r="A4744" t="str">
        <f>"20200111154157361"</f>
        <v>20200111154157361</v>
      </c>
      <c r="B4744" t="str">
        <f>"1578728517350470"</f>
        <v>1578728517350470</v>
      </c>
      <c r="C4744" t="s">
        <v>37</v>
      </c>
      <c r="D4744">
        <v>5.5371730000000001</v>
      </c>
      <c r="E4744">
        <v>0.48735899999999999</v>
      </c>
      <c r="F4744" t="s">
        <v>53</v>
      </c>
      <c r="G4744">
        <v>-256.1345</v>
      </c>
      <c r="H4744" s="1">
        <v>-2.0594199999999998E-6</v>
      </c>
      <c r="I4744">
        <v>-61.694980000000001</v>
      </c>
      <c r="J4744">
        <v>-267.83839999999998</v>
      </c>
      <c r="K4744">
        <v>1.110995</v>
      </c>
      <c r="L4744">
        <v>-62.232089999999999</v>
      </c>
      <c r="M4744">
        <v>0.99573279999999997</v>
      </c>
      <c r="N4744">
        <v>0</v>
      </c>
      <c r="O4744">
        <v>-9.1801259999999996E-2</v>
      </c>
      <c r="P4744">
        <v>0.99957269999999898</v>
      </c>
      <c r="Q4744">
        <v>2.620888E-2</v>
      </c>
      <c r="R4744">
        <v>1.29485E-2</v>
      </c>
      <c r="S4744">
        <v>3.0071110000000001</v>
      </c>
      <c r="T4744">
        <v>-0.28240939999999998</v>
      </c>
      <c r="U4744">
        <v>0.1337585</v>
      </c>
      <c r="V4744">
        <v>-0.1047469</v>
      </c>
      <c r="W4744">
        <v>3.5304189999999999E-2</v>
      </c>
      <c r="X4744">
        <v>0.99387199999999998</v>
      </c>
      <c r="Y4744">
        <v>-0.1349677</v>
      </c>
      <c r="Z4744">
        <v>1.491457E-2</v>
      </c>
      <c r="AA4744">
        <v>0.99073770000000005</v>
      </c>
      <c r="AB4744">
        <v>24</v>
      </c>
      <c r="AC4744">
        <v>11.7038999999999</v>
      </c>
      <c r="AD4744">
        <v>-1.11099705942</v>
      </c>
      <c r="AE4744">
        <v>0.53710999999999098</v>
      </c>
      <c r="AF4744">
        <v>-1.59498031601332</v>
      </c>
      <c r="AG4744">
        <v>-1.11099705942</v>
      </c>
      <c r="AH4744">
        <v>11.5017421688708</v>
      </c>
      <c r="AI4744">
        <v>95.465322317339897</v>
      </c>
      <c r="AJ4744">
        <v>97.895023126294603</v>
      </c>
      <c r="AK4744">
        <v>11.6648338862451</v>
      </c>
    </row>
    <row r="4745" spans="1:37" x14ac:dyDescent="0.2">
      <c r="A4745" t="str">
        <f>"20200111154157371"</f>
        <v>20200111154157371</v>
      </c>
      <c r="B4745" t="str">
        <f>"1578728517361206"</f>
        <v>1578728517361206</v>
      </c>
      <c r="C4745" t="s">
        <v>37</v>
      </c>
      <c r="D4745">
        <v>5.5732359999999996</v>
      </c>
      <c r="E4745">
        <v>0.48737639999999999</v>
      </c>
      <c r="F4745" t="s">
        <v>53</v>
      </c>
      <c r="G4745">
        <v>-256.0367</v>
      </c>
      <c r="H4745" s="1">
        <v>-2.0174829999999999E-6</v>
      </c>
      <c r="I4745">
        <v>-61.695009999999897</v>
      </c>
      <c r="J4745">
        <v>-267.72969999999998</v>
      </c>
      <c r="K4745">
        <v>1.110986</v>
      </c>
      <c r="L4745">
        <v>-62.241329999999998</v>
      </c>
      <c r="M4745">
        <v>0.99579910000000005</v>
      </c>
      <c r="N4745">
        <v>0</v>
      </c>
      <c r="O4745">
        <v>-9.1091560000000002E-2</v>
      </c>
      <c r="P4745">
        <v>0.99956219999999996</v>
      </c>
      <c r="Q4745">
        <v>2.6230880000000002E-2</v>
      </c>
      <c r="R4745">
        <v>1.3694390000000001E-2</v>
      </c>
      <c r="S4745">
        <v>3.0069270000000001</v>
      </c>
      <c r="T4745">
        <v>-0.28306729999999902</v>
      </c>
      <c r="U4745">
        <v>0.13684079999999901</v>
      </c>
      <c r="V4745">
        <v>-0.10478030000000001</v>
      </c>
      <c r="W4745">
        <v>3.5231279999999997E-2</v>
      </c>
      <c r="X4745">
        <v>0.99387119999999995</v>
      </c>
      <c r="Y4745">
        <v>-0.135274799999999</v>
      </c>
      <c r="Z4745">
        <v>1.489774E-2</v>
      </c>
      <c r="AA4745">
        <v>0.99069609999999997</v>
      </c>
      <c r="AB4745">
        <v>24</v>
      </c>
      <c r="AC4745">
        <v>11.6929999999999</v>
      </c>
      <c r="AD4745">
        <v>-1.110988017483</v>
      </c>
      <c r="AE4745">
        <v>0.54632000000000802</v>
      </c>
      <c r="AF4745">
        <v>-1.5948619260945001</v>
      </c>
      <c r="AG4745">
        <v>-1.110988017483</v>
      </c>
      <c r="AH4745">
        <v>11.491105255826101</v>
      </c>
      <c r="AI4745">
        <v>95.470219077376996</v>
      </c>
      <c r="AJ4745">
        <v>97.901659842369796</v>
      </c>
      <c r="AK4745">
        <v>11.654328763973099</v>
      </c>
    </row>
    <row r="4746" spans="1:37" x14ac:dyDescent="0.2">
      <c r="A4746" t="str">
        <f>"20200111154157383"</f>
        <v>20200111154157383</v>
      </c>
      <c r="B4746" t="str">
        <f>"1578728517370965"</f>
        <v>1578728517370965</v>
      </c>
      <c r="C4746" t="s">
        <v>37</v>
      </c>
      <c r="D4746">
        <v>5.6638970000000004</v>
      </c>
      <c r="E4746">
        <v>0.48737029999999998</v>
      </c>
      <c r="F4746" t="s">
        <v>53</v>
      </c>
      <c r="G4746">
        <v>-255.92750000000001</v>
      </c>
      <c r="H4746" s="1">
        <v>-1.97083499999999E-6</v>
      </c>
      <c r="I4746">
        <v>-61.695950000000003</v>
      </c>
      <c r="J4746">
        <v>-267.60480000000001</v>
      </c>
      <c r="K4746">
        <v>1.1109739999999999</v>
      </c>
      <c r="L4746">
        <v>-62.251950000000001</v>
      </c>
      <c r="M4746">
        <v>0.99587429999999999</v>
      </c>
      <c r="N4746">
        <v>0</v>
      </c>
      <c r="O4746">
        <v>-9.0276430000000005E-2</v>
      </c>
      <c r="P4746">
        <v>0.99954989999999999</v>
      </c>
      <c r="Q4746">
        <v>2.6301209999999998E-2</v>
      </c>
      <c r="R4746">
        <v>1.4435099999999999E-2</v>
      </c>
      <c r="S4746">
        <v>3.0068359999999998</v>
      </c>
      <c r="T4746">
        <v>-0.28304390000000001</v>
      </c>
      <c r="U4746">
        <v>0.1389465</v>
      </c>
      <c r="V4746">
        <v>-0.1047032</v>
      </c>
      <c r="W4746">
        <v>3.5192679999999997E-2</v>
      </c>
      <c r="X4746">
        <v>0.9938806</v>
      </c>
      <c r="Y4746">
        <v>-0.1351617</v>
      </c>
      <c r="Z4746">
        <v>1.4815109999999999E-2</v>
      </c>
      <c r="AA4746">
        <v>0.99071279999999995</v>
      </c>
      <c r="AB4746">
        <v>24</v>
      </c>
      <c r="AC4746">
        <v>11.677300000000001</v>
      </c>
      <c r="AD4746">
        <v>-1.110975970835</v>
      </c>
      <c r="AE4746">
        <v>0.55599999999999705</v>
      </c>
      <c r="AF4746">
        <v>-1.5935673629521501</v>
      </c>
      <c r="AG4746">
        <v>-1.110975970835</v>
      </c>
      <c r="AH4746">
        <v>11.475779771688901</v>
      </c>
      <c r="AI4746">
        <v>95.477367133333402</v>
      </c>
      <c r="AJ4746">
        <v>97.905737602228896</v>
      </c>
      <c r="AK4746">
        <v>11.6390397334292</v>
      </c>
    </row>
    <row r="4747" spans="1:37" x14ac:dyDescent="0.2">
      <c r="A4747" t="str">
        <f>"20200111154157394"</f>
        <v>20200111154157394</v>
      </c>
      <c r="B4747" t="str">
        <f>"1578728517390485"</f>
        <v>1578728517390485</v>
      </c>
      <c r="C4747" t="s">
        <v>37</v>
      </c>
      <c r="D4747">
        <v>5.5644669999999996</v>
      </c>
      <c r="E4747">
        <v>0.4874233</v>
      </c>
      <c r="F4747" t="s">
        <v>53</v>
      </c>
      <c r="G4747">
        <v>-255.8</v>
      </c>
      <c r="H4747" s="1">
        <v>-1.916416E-6</v>
      </c>
      <c r="I4747">
        <v>-61.697099999999999</v>
      </c>
      <c r="J4747">
        <v>-267.48419999999999</v>
      </c>
      <c r="K4747">
        <v>1.110965</v>
      </c>
      <c r="L4747">
        <v>-62.2620199999999</v>
      </c>
      <c r="M4747">
        <v>0.9959462</v>
      </c>
      <c r="N4747">
        <v>0</v>
      </c>
      <c r="O4747">
        <v>-8.9490410000000006E-2</v>
      </c>
      <c r="P4747">
        <v>0.99954069999999995</v>
      </c>
      <c r="Q4747">
        <v>2.6370250000000001E-2</v>
      </c>
      <c r="R4747">
        <v>1.493413E-2</v>
      </c>
      <c r="S4747">
        <v>3.0067750000000002</v>
      </c>
      <c r="T4747">
        <v>-0.28297440000000001</v>
      </c>
      <c r="U4747">
        <v>0.14132690000000001</v>
      </c>
      <c r="V4747">
        <v>-0.1044147</v>
      </c>
      <c r="W4747">
        <v>3.5159320000000001E-2</v>
      </c>
      <c r="X4747">
        <v>0.99391219999999902</v>
      </c>
      <c r="Y4747">
        <v>-0.13516719999999999</v>
      </c>
      <c r="Z4747">
        <v>1.473822E-2</v>
      </c>
      <c r="AA4747">
        <v>0.99071319999999996</v>
      </c>
      <c r="AB4747">
        <v>24</v>
      </c>
      <c r="AC4747">
        <v>11.684199999999899</v>
      </c>
      <c r="AD4747">
        <v>-1.1109669164159901</v>
      </c>
      <c r="AE4747">
        <v>0.56491999999999298</v>
      </c>
      <c r="AF4747">
        <v>-1.5939433972046</v>
      </c>
      <c r="AG4747">
        <v>-1.1109669164159901</v>
      </c>
      <c r="AH4747">
        <v>11.4831839675851</v>
      </c>
      <c r="AI4747">
        <v>95.473854606167393</v>
      </c>
      <c r="AJ4747">
        <v>97.902545265140205</v>
      </c>
      <c r="AK4747">
        <v>11.646390731736</v>
      </c>
    </row>
    <row r="4748" spans="1:37" x14ac:dyDescent="0.2">
      <c r="A4748" t="str">
        <f>"20200111154157406"</f>
        <v>20200111154157406</v>
      </c>
      <c r="B4748" t="str">
        <f>"1578728517401221"</f>
        <v>1578728517401221</v>
      </c>
      <c r="C4748" t="s">
        <v>37</v>
      </c>
      <c r="D4748">
        <v>5.541461</v>
      </c>
      <c r="E4748">
        <v>0.48746509999999998</v>
      </c>
      <c r="F4748" t="s">
        <v>53</v>
      </c>
      <c r="G4748">
        <v>-255.66099999999901</v>
      </c>
      <c r="H4748" s="1">
        <v>-1.857815E-6</v>
      </c>
      <c r="I4748">
        <v>-61.70185</v>
      </c>
      <c r="J4748">
        <v>-267.35950000000003</v>
      </c>
      <c r="K4748">
        <v>1.1109599999999999</v>
      </c>
      <c r="L4748">
        <v>-62.272399999999998</v>
      </c>
      <c r="M4748">
        <v>0.99601969999999995</v>
      </c>
      <c r="N4748">
        <v>0</v>
      </c>
      <c r="O4748">
        <v>-8.8678519999999997E-2</v>
      </c>
      <c r="P4748">
        <v>0.99953130000000001</v>
      </c>
      <c r="Q4748">
        <v>2.648706E-2</v>
      </c>
      <c r="R4748">
        <v>1.535624E-2</v>
      </c>
      <c r="S4748">
        <v>3.0067140000000001</v>
      </c>
      <c r="T4748">
        <v>-0.282526</v>
      </c>
      <c r="U4748">
        <v>0.1424561</v>
      </c>
      <c r="V4748">
        <v>-0.10402459999999999</v>
      </c>
      <c r="W4748">
        <v>3.5171229999999998E-2</v>
      </c>
      <c r="X4748">
        <v>0.99395259999999996</v>
      </c>
      <c r="Y4748">
        <v>-0.13474029999999901</v>
      </c>
      <c r="Z4748">
        <v>1.461922E-2</v>
      </c>
      <c r="AA4748">
        <v>0.99077309999999996</v>
      </c>
      <c r="AB4748">
        <v>24</v>
      </c>
      <c r="AC4748">
        <v>11.698499999999999</v>
      </c>
      <c r="AD4748">
        <v>-1.110961857815</v>
      </c>
      <c r="AE4748">
        <v>0.570549999999997</v>
      </c>
      <c r="AF4748">
        <v>-1.591431257145</v>
      </c>
      <c r="AG4748">
        <v>-1.110961857815</v>
      </c>
      <c r="AH4748">
        <v>11.498357375236999</v>
      </c>
      <c r="AI4748">
        <v>95.466947066840206</v>
      </c>
      <c r="AJ4748">
        <v>97.879966214445403</v>
      </c>
      <c r="AK4748">
        <v>11.6610081907357</v>
      </c>
    </row>
    <row r="4749" spans="1:37" x14ac:dyDescent="0.2">
      <c r="A4749" t="str">
        <f>"20200111154157416"</f>
        <v>20200111154157416</v>
      </c>
      <c r="B4749" t="str">
        <f>"1578728517410981"</f>
        <v>1578728517410981</v>
      </c>
      <c r="C4749" t="s">
        <v>37</v>
      </c>
      <c r="D4749">
        <v>5.5713800000000004</v>
      </c>
      <c r="E4749">
        <v>0.48748459999999899</v>
      </c>
      <c r="F4749" t="s">
        <v>53</v>
      </c>
      <c r="G4749">
        <v>-255.5127</v>
      </c>
      <c r="H4749" s="1">
        <v>-1.7953499999999899E-6</v>
      </c>
      <c r="I4749">
        <v>-61.707009999999997</v>
      </c>
      <c r="J4749">
        <v>-267.23570000000001</v>
      </c>
      <c r="K4749">
        <v>1.1109519999999999</v>
      </c>
      <c r="L4749">
        <v>-62.282559999999997</v>
      </c>
      <c r="M4749">
        <v>0.99609199999999998</v>
      </c>
      <c r="N4749">
        <v>0</v>
      </c>
      <c r="O4749">
        <v>-8.7872950000000005E-2</v>
      </c>
      <c r="P4749">
        <v>0.99952479999999999</v>
      </c>
      <c r="Q4749">
        <v>2.652471E-2</v>
      </c>
      <c r="R4749">
        <v>1.5701219999999998E-2</v>
      </c>
      <c r="S4749">
        <v>3.006653</v>
      </c>
      <c r="T4749">
        <v>-0.2819564</v>
      </c>
      <c r="U4749">
        <v>0.1434937</v>
      </c>
      <c r="V4749">
        <v>-0.10356319999999999</v>
      </c>
      <c r="W4749">
        <v>3.5105949999999997E-2</v>
      </c>
      <c r="X4749">
        <v>0.99400309999999903</v>
      </c>
      <c r="Y4749">
        <v>-0.1342904</v>
      </c>
      <c r="Z4749">
        <v>1.4493839999999999E-2</v>
      </c>
      <c r="AA4749">
        <v>0.99083600000000005</v>
      </c>
      <c r="AB4749">
        <v>25</v>
      </c>
      <c r="AC4749">
        <v>11.723000000000001</v>
      </c>
      <c r="AD4749">
        <v>-1.1109537953499999</v>
      </c>
      <c r="AE4749">
        <v>0.57554999999999901</v>
      </c>
      <c r="AF4749">
        <v>-1.58926025116831</v>
      </c>
      <c r="AG4749">
        <v>-1.1109537953499999</v>
      </c>
      <c r="AH4749">
        <v>11.5238267476189</v>
      </c>
      <c r="AI4749">
        <v>95.455261257897604</v>
      </c>
      <c r="AJ4749">
        <v>97.852176009615306</v>
      </c>
      <c r="AK4749">
        <v>11.6858268595116</v>
      </c>
    </row>
    <row r="4750" spans="1:37" x14ac:dyDescent="0.2">
      <c r="A4750" t="str">
        <f>"20200111154157429"</f>
        <v>20200111154157429</v>
      </c>
      <c r="B4750" t="str">
        <f>"1578728517420741"</f>
        <v>1578728517420741</v>
      </c>
      <c r="C4750" t="s">
        <v>37</v>
      </c>
      <c r="D4750">
        <v>5.5930070000000001</v>
      </c>
      <c r="E4750">
        <v>0.48752469999999998</v>
      </c>
      <c r="F4750" t="s">
        <v>53</v>
      </c>
      <c r="G4750">
        <v>-255.3871</v>
      </c>
      <c r="H4750" s="1">
        <v>-1.7429559999999999E-6</v>
      </c>
      <c r="I4750">
        <v>-61.713709999999999</v>
      </c>
      <c r="J4750">
        <v>-267.10419999999999</v>
      </c>
      <c r="K4750">
        <v>1.11094</v>
      </c>
      <c r="L4750">
        <v>-62.2932699999999</v>
      </c>
      <c r="M4750">
        <v>0.99616800000000005</v>
      </c>
      <c r="N4750">
        <v>0</v>
      </c>
      <c r="O4750">
        <v>-8.7018010000000007E-2</v>
      </c>
      <c r="P4750">
        <v>0.99951859999999904</v>
      </c>
      <c r="Q4750">
        <v>2.6394009999999999E-2</v>
      </c>
      <c r="R4750">
        <v>1.6310120000000001E-2</v>
      </c>
      <c r="S4750">
        <v>3.0066220000000001</v>
      </c>
      <c r="T4750">
        <v>-0.28190879999999902</v>
      </c>
      <c r="U4750">
        <v>0.14434810000000001</v>
      </c>
      <c r="V4750">
        <v>-0.1033158</v>
      </c>
      <c r="W4750">
        <v>3.4863390000000001E-2</v>
      </c>
      <c r="X4750">
        <v>0.99403739999999996</v>
      </c>
      <c r="Y4750">
        <v>-0.13372790000000001</v>
      </c>
      <c r="Z4750">
        <v>1.438537E-2</v>
      </c>
      <c r="AA4750">
        <v>0.99091369999999901</v>
      </c>
      <c r="AB4750">
        <v>25</v>
      </c>
      <c r="AC4750">
        <v>11.717099999999901</v>
      </c>
      <c r="AD4750">
        <v>-1.110941742956</v>
      </c>
      <c r="AE4750">
        <v>0.57955999999999297</v>
      </c>
      <c r="AF4750">
        <v>-1.5828053583587101</v>
      </c>
      <c r="AG4750">
        <v>-1.110941742956</v>
      </c>
      <c r="AH4750">
        <v>11.5189182329402</v>
      </c>
      <c r="AI4750">
        <v>95.457880623653196</v>
      </c>
      <c r="AJ4750">
        <v>97.823970617851501</v>
      </c>
      <c r="AK4750">
        <v>11.680108801541801</v>
      </c>
    </row>
    <row r="4751" spans="1:37" x14ac:dyDescent="0.2">
      <c r="A4751" t="str">
        <f>"20200111154157439"</f>
        <v>20200111154157439</v>
      </c>
      <c r="B4751" t="str">
        <f>"1578728517430501"</f>
        <v>1578728517430501</v>
      </c>
      <c r="C4751" t="s">
        <v>37</v>
      </c>
      <c r="D4751">
        <v>5.5399430000000001</v>
      </c>
      <c r="E4751">
        <v>0.487552499999999</v>
      </c>
      <c r="F4751" t="s">
        <v>53</v>
      </c>
      <c r="G4751">
        <v>-255.26929999999999</v>
      </c>
      <c r="H4751" s="1">
        <v>-1.6937509999999999E-6</v>
      </c>
      <c r="I4751">
        <v>-61.719659999999998</v>
      </c>
      <c r="J4751">
        <v>-266.98779999999999</v>
      </c>
      <c r="K4751">
        <v>1.110927</v>
      </c>
      <c r="L4751">
        <v>-62.302639999999997</v>
      </c>
      <c r="M4751">
        <v>0.99623479999999998</v>
      </c>
      <c r="N4751">
        <v>0</v>
      </c>
      <c r="O4751">
        <v>-8.6261110000000002E-2</v>
      </c>
      <c r="P4751">
        <v>0.99951889999999999</v>
      </c>
      <c r="Q4751">
        <v>2.6070449999999998E-2</v>
      </c>
      <c r="R4751">
        <v>1.6813649999999999E-2</v>
      </c>
      <c r="S4751">
        <v>3.0065309999999998</v>
      </c>
      <c r="T4751">
        <v>-0.28222239999999998</v>
      </c>
      <c r="U4751">
        <v>0.1457214</v>
      </c>
      <c r="V4751">
        <v>-0.10306079999999999</v>
      </c>
      <c r="W4751">
        <v>3.4439249999999998E-2</v>
      </c>
      <c r="X4751">
        <v>0.99407869999999998</v>
      </c>
      <c r="Y4751">
        <v>-0.13343039999999901</v>
      </c>
      <c r="Z4751">
        <v>1.431697E-2</v>
      </c>
      <c r="AA4751">
        <v>0.99095480000000002</v>
      </c>
      <c r="AB4751">
        <v>25</v>
      </c>
      <c r="AC4751">
        <v>11.718500000000001</v>
      </c>
      <c r="AD4751">
        <v>-1.1109286937509999</v>
      </c>
      <c r="AE4751">
        <v>0.58298000000000605</v>
      </c>
      <c r="AF4751">
        <v>-1.57755275811716</v>
      </c>
      <c r="AG4751">
        <v>-1.1109286937509999</v>
      </c>
      <c r="AH4751">
        <v>11.5212373846355</v>
      </c>
      <c r="AI4751">
        <v>95.457078034437103</v>
      </c>
      <c r="AJ4751">
        <v>97.796776019212999</v>
      </c>
      <c r="AK4751">
        <v>11.6816842167713</v>
      </c>
    </row>
    <row r="4752" spans="1:37" x14ac:dyDescent="0.2">
      <c r="A4752" t="str">
        <f>"20200111154157450"</f>
        <v>20200111154157450</v>
      </c>
      <c r="B4752" t="str">
        <f>"1578728517441238"</f>
        <v>1578728517441238</v>
      </c>
      <c r="C4752" t="s">
        <v>37</v>
      </c>
      <c r="D4752">
        <v>5.4592179999999999</v>
      </c>
      <c r="E4752">
        <v>0.48757299999999998</v>
      </c>
      <c r="F4752" t="s">
        <v>53</v>
      </c>
      <c r="G4752">
        <v>-255.19589999999999</v>
      </c>
      <c r="H4752" s="1">
        <v>-1.663751E-6</v>
      </c>
      <c r="I4752">
        <v>-61.726289999999999</v>
      </c>
      <c r="J4752">
        <v>-266.86579999999998</v>
      </c>
      <c r="K4752">
        <v>1.11091299999999</v>
      </c>
      <c r="L4752">
        <v>-62.312379999999997</v>
      </c>
      <c r="M4752">
        <v>0.99630409999999903</v>
      </c>
      <c r="N4752">
        <v>0</v>
      </c>
      <c r="O4752">
        <v>-8.5467340000000003E-2</v>
      </c>
      <c r="P4752">
        <v>0.99951759999999901</v>
      </c>
      <c r="Q4752">
        <v>2.5792490000000001E-2</v>
      </c>
      <c r="R4752">
        <v>1.730669E-2</v>
      </c>
      <c r="S4752">
        <v>3.006348</v>
      </c>
      <c r="T4752">
        <v>-0.28323179999999998</v>
      </c>
      <c r="U4752">
        <v>0.14694209999999999</v>
      </c>
      <c r="V4752">
        <v>-0.1027588</v>
      </c>
      <c r="W4752">
        <v>3.4048960000000003E-2</v>
      </c>
      <c r="X4752">
        <v>0.99412339999999999</v>
      </c>
      <c r="Y4752">
        <v>-0.1330433</v>
      </c>
      <c r="Z4752">
        <v>1.427608E-2</v>
      </c>
      <c r="AA4752">
        <v>0.99100739999999998</v>
      </c>
      <c r="AB4752">
        <v>25</v>
      </c>
      <c r="AC4752">
        <v>11.669899999999901</v>
      </c>
      <c r="AD4752">
        <v>-1.1109146637509999</v>
      </c>
      <c r="AE4752">
        <v>0.586089999999998</v>
      </c>
      <c r="AF4752">
        <v>-1.5672108439307899</v>
      </c>
      <c r="AG4752">
        <v>-1.1109146637509999</v>
      </c>
      <c r="AH4752">
        <v>11.473391955394799</v>
      </c>
      <c r="AI4752">
        <v>95.4798692682226</v>
      </c>
      <c r="AJ4752">
        <v>97.778193844771096</v>
      </c>
      <c r="AK4752">
        <v>11.6330995087977</v>
      </c>
    </row>
    <row r="4753" spans="1:37" x14ac:dyDescent="0.2">
      <c r="A4753" t="str">
        <f>"20200111154157461"</f>
        <v>20200111154157461</v>
      </c>
      <c r="B4753" t="str">
        <f>"1578728517450997"</f>
        <v>1578728517450997</v>
      </c>
      <c r="C4753" t="s">
        <v>37</v>
      </c>
      <c r="D4753">
        <v>5.5621929999999997</v>
      </c>
      <c r="E4753">
        <v>0.4876066</v>
      </c>
      <c r="F4753" t="s">
        <v>53</v>
      </c>
      <c r="G4753">
        <v>-255.10570000000001</v>
      </c>
      <c r="H4753" s="1">
        <v>-1.626553E-6</v>
      </c>
      <c r="I4753">
        <v>-61.733019999999897</v>
      </c>
      <c r="J4753">
        <v>-266.73750000000001</v>
      </c>
      <c r="K4753">
        <v>1.110897</v>
      </c>
      <c r="L4753">
        <v>-62.322539999999996</v>
      </c>
      <c r="M4753">
        <v>0.99637659999999995</v>
      </c>
      <c r="N4753">
        <v>0</v>
      </c>
      <c r="O4753">
        <v>-8.46335E-2</v>
      </c>
      <c r="P4753">
        <v>0.99951119999999904</v>
      </c>
      <c r="Q4753">
        <v>2.5594860000000001E-2</v>
      </c>
      <c r="R4753">
        <v>1.7962880000000001E-2</v>
      </c>
      <c r="S4753">
        <v>3.0062259999999998</v>
      </c>
      <c r="T4753">
        <v>-0.2839834</v>
      </c>
      <c r="U4753">
        <v>0.14810179999999901</v>
      </c>
      <c r="V4753">
        <v>-0.1025793</v>
      </c>
      <c r="W4753">
        <v>3.3729660000000002E-2</v>
      </c>
      <c r="X4753">
        <v>0.99415279999999995</v>
      </c>
      <c r="Y4753">
        <v>-0.13259770000000001</v>
      </c>
      <c r="Z4753">
        <v>1.4214859999999999E-2</v>
      </c>
      <c r="AA4753">
        <v>0.99106799999999995</v>
      </c>
      <c r="AB4753">
        <v>25</v>
      </c>
      <c r="AC4753">
        <v>11.631799999999901</v>
      </c>
      <c r="AD4753">
        <v>-1.1108986265530001</v>
      </c>
      <c r="AE4753">
        <v>0.58952000000000704</v>
      </c>
      <c r="AF4753">
        <v>-1.55770769666783</v>
      </c>
      <c r="AG4753">
        <v>-1.1108986265530001</v>
      </c>
      <c r="AH4753">
        <v>11.436124313226699</v>
      </c>
      <c r="AI4753">
        <v>95.497821086198002</v>
      </c>
      <c r="AJ4753">
        <v>97.756490395759997</v>
      </c>
      <c r="AK4753">
        <v>11.5950631017822</v>
      </c>
    </row>
    <row r="4754" spans="1:37" x14ac:dyDescent="0.2">
      <c r="A4754" t="str">
        <f>"20200111154157474"</f>
        <v>20200111154157474</v>
      </c>
      <c r="B4754" t="str">
        <f>"1578728517470517"</f>
        <v>1578728517470517</v>
      </c>
      <c r="C4754" t="s">
        <v>37</v>
      </c>
      <c r="D4754">
        <v>5.786314</v>
      </c>
      <c r="E4754">
        <v>0.4876143</v>
      </c>
      <c r="F4754" t="s">
        <v>53</v>
      </c>
      <c r="G4754">
        <v>-255.0033</v>
      </c>
      <c r="H4754" s="1">
        <v>-1.5838040000000001E-6</v>
      </c>
      <c r="I4754">
        <v>-61.738349999999997</v>
      </c>
      <c r="J4754">
        <v>-266.61669999999998</v>
      </c>
      <c r="K4754">
        <v>1.110881</v>
      </c>
      <c r="L4754">
        <v>-62.331969999999998</v>
      </c>
      <c r="M4754">
        <v>0.99644370000000004</v>
      </c>
      <c r="N4754">
        <v>0</v>
      </c>
      <c r="O4754">
        <v>-8.3849969999999996E-2</v>
      </c>
      <c r="P4754">
        <v>0.99950209999999995</v>
      </c>
      <c r="Q4754">
        <v>2.550581E-2</v>
      </c>
      <c r="R4754">
        <v>1.8575830000000002E-2</v>
      </c>
      <c r="S4754">
        <v>3.0060419999999999</v>
      </c>
      <c r="T4754">
        <v>-0.2845877</v>
      </c>
      <c r="U4754">
        <v>0.14965819999999999</v>
      </c>
      <c r="V4754">
        <v>-0.102407</v>
      </c>
      <c r="W4754">
        <v>3.3519970000000003E-2</v>
      </c>
      <c r="X4754">
        <v>0.99417759999999999</v>
      </c>
      <c r="Y4754">
        <v>-0.1323336</v>
      </c>
      <c r="Z4754">
        <v>1.4159379999999999E-2</v>
      </c>
      <c r="AA4754">
        <v>0.99110409999999904</v>
      </c>
      <c r="AB4754">
        <v>25</v>
      </c>
      <c r="AC4754">
        <v>11.613399999999899</v>
      </c>
      <c r="AD4754">
        <v>-1.110882583804</v>
      </c>
      <c r="AE4754">
        <v>0.59362000000000104</v>
      </c>
      <c r="AF4754">
        <v>-1.55118997655677</v>
      </c>
      <c r="AG4754">
        <v>-1.110882583804</v>
      </c>
      <c r="AH4754">
        <v>11.4185162613839</v>
      </c>
      <c r="AI4754">
        <v>95.506431646477097</v>
      </c>
      <c r="AJ4754">
        <v>97.736195927843198</v>
      </c>
      <c r="AK4754">
        <v>11.576820119093901</v>
      </c>
    </row>
    <row r="4755" spans="1:37" x14ac:dyDescent="0.2">
      <c r="A4755" t="str">
        <f>"20200111154157485"</f>
        <v>20200111154157485</v>
      </c>
      <c r="B4755" t="str">
        <f>"1578728517481256"</f>
        <v>1578728517481256</v>
      </c>
      <c r="C4755" t="s">
        <v>37</v>
      </c>
      <c r="D4755">
        <v>5.494904</v>
      </c>
      <c r="E4755">
        <v>0.48764649999999998</v>
      </c>
      <c r="F4755" t="s">
        <v>53</v>
      </c>
      <c r="G4755">
        <v>-254.8956</v>
      </c>
      <c r="H4755" s="1">
        <v>-1.5383810000000001E-6</v>
      </c>
      <c r="I4755">
        <v>-61.741979999999998</v>
      </c>
      <c r="J4755">
        <v>-266.49029999999999</v>
      </c>
      <c r="K4755">
        <v>1.1108639999999901</v>
      </c>
      <c r="L4755">
        <v>-62.341799999999999</v>
      </c>
      <c r="M4755">
        <v>0.99651339999999999</v>
      </c>
      <c r="N4755">
        <v>0</v>
      </c>
      <c r="O4755">
        <v>-8.3030450000000006E-2</v>
      </c>
      <c r="P4755">
        <v>0.99950490000000003</v>
      </c>
      <c r="Q4755">
        <v>2.5040389999999999E-2</v>
      </c>
      <c r="R4755">
        <v>1.904921E-2</v>
      </c>
      <c r="S4755">
        <v>3.005951</v>
      </c>
      <c r="T4755">
        <v>-0.28489109999999901</v>
      </c>
      <c r="U4755">
        <v>0.1513062</v>
      </c>
      <c r="V4755">
        <v>-0.1020596</v>
      </c>
      <c r="W4755">
        <v>3.292759E-2</v>
      </c>
      <c r="X4755">
        <v>0.99423320000000004</v>
      </c>
      <c r="Y4755">
        <v>-0.13206470000000001</v>
      </c>
      <c r="Z4755">
        <v>1.4084650000000001E-2</v>
      </c>
      <c r="AA4755">
        <v>0.99114099999999905</v>
      </c>
      <c r="AB4755">
        <v>25</v>
      </c>
      <c r="AC4755">
        <v>11.5946999999999</v>
      </c>
      <c r="AD4755">
        <v>-1.11086553838099</v>
      </c>
      <c r="AE4755">
        <v>0.59981999999999402</v>
      </c>
      <c r="AF4755">
        <v>-1.54633786367504</v>
      </c>
      <c r="AG4755">
        <v>-1.11086553838099</v>
      </c>
      <c r="AH4755">
        <v>11.4004881072938</v>
      </c>
      <c r="AI4755">
        <v>95.515155480468394</v>
      </c>
      <c r="AJ4755">
        <v>97.724337540068106</v>
      </c>
      <c r="AK4755">
        <v>11.5583870897953</v>
      </c>
    </row>
    <row r="4756" spans="1:37" x14ac:dyDescent="0.2">
      <c r="A4756" t="str">
        <f>"20200111154157495"</f>
        <v>20200111154157495</v>
      </c>
      <c r="B4756" t="str">
        <f>"1578728517491014"</f>
        <v>1578728517491014</v>
      </c>
      <c r="C4756" t="s">
        <v>37</v>
      </c>
      <c r="D4756">
        <v>5.5762119999999999</v>
      </c>
      <c r="E4756">
        <v>0.48768</v>
      </c>
      <c r="F4756" t="s">
        <v>53</v>
      </c>
      <c r="G4756">
        <v>-254.81710000000001</v>
      </c>
      <c r="H4756" s="1">
        <v>-1.506482E-6</v>
      </c>
      <c r="I4756">
        <v>-61.749789999999997</v>
      </c>
      <c r="J4756">
        <v>-266.36279999999999</v>
      </c>
      <c r="K4756">
        <v>1.1108439999999999</v>
      </c>
      <c r="L4756">
        <v>-62.351529999999997</v>
      </c>
      <c r="M4756">
        <v>0.99658259999999899</v>
      </c>
      <c r="N4756">
        <v>0</v>
      </c>
      <c r="O4756">
        <v>-8.2207699999999995E-2</v>
      </c>
      <c r="P4756">
        <v>0.99949940000000004</v>
      </c>
      <c r="Q4756">
        <v>2.4886370000000001E-2</v>
      </c>
      <c r="R4756">
        <v>1.9547350000000002E-2</v>
      </c>
      <c r="S4756">
        <v>3.0057369999999999</v>
      </c>
      <c r="T4756">
        <v>-0.28603849999999997</v>
      </c>
      <c r="U4756">
        <v>0.1524353</v>
      </c>
      <c r="V4756">
        <v>-0.1017335</v>
      </c>
      <c r="W4756">
        <v>3.2644020000000003E-2</v>
      </c>
      <c r="X4756">
        <v>0.99427589999999999</v>
      </c>
      <c r="Y4756">
        <v>-0.13161919999999999</v>
      </c>
      <c r="Z4756">
        <v>1.404291E-2</v>
      </c>
      <c r="AA4756">
        <v>0.99120090000000005</v>
      </c>
      <c r="AB4756">
        <v>25</v>
      </c>
      <c r="AC4756">
        <v>11.545699999999901</v>
      </c>
      <c r="AD4756">
        <v>-1.110845506482</v>
      </c>
      <c r="AE4756">
        <v>0.60173999999999905</v>
      </c>
      <c r="AF4756">
        <v>-1.53471118434202</v>
      </c>
      <c r="AG4756">
        <v>-1.110845506482</v>
      </c>
      <c r="AH4756">
        <v>11.3523453716881</v>
      </c>
      <c r="AI4756">
        <v>95.538628233620102</v>
      </c>
      <c r="AJ4756">
        <v>97.699077455791894</v>
      </c>
      <c r="AK4756">
        <v>11.5093467059041</v>
      </c>
    </row>
    <row r="4757" spans="1:37" x14ac:dyDescent="0.2">
      <c r="A4757" t="str">
        <f>"20200111154157507"</f>
        <v>20200111154157507</v>
      </c>
      <c r="B4757" t="str">
        <f>"1578728517500773"</f>
        <v>1578728517500773</v>
      </c>
      <c r="C4757" t="s">
        <v>37</v>
      </c>
      <c r="D4757">
        <v>5.655208</v>
      </c>
      <c r="E4757">
        <v>0.4877167</v>
      </c>
      <c r="F4757" t="s">
        <v>53</v>
      </c>
      <c r="G4757">
        <v>-254.69749999999999</v>
      </c>
      <c r="H4757" s="1">
        <v>-1.4562689999999999E-6</v>
      </c>
      <c r="I4757">
        <v>-61.754809999999999</v>
      </c>
      <c r="J4757">
        <v>-266.2473</v>
      </c>
      <c r="K4757">
        <v>1.1108209999999901</v>
      </c>
      <c r="L4757">
        <v>-62.360319999999902</v>
      </c>
      <c r="M4757">
        <v>0.99664489999999994</v>
      </c>
      <c r="N4757">
        <v>0</v>
      </c>
      <c r="O4757">
        <v>-8.1463679999999997E-2</v>
      </c>
      <c r="P4757">
        <v>0.99949679999999996</v>
      </c>
      <c r="Q4757">
        <v>2.4484510000000001E-2</v>
      </c>
      <c r="R4757">
        <v>2.0167839999999999E-2</v>
      </c>
      <c r="S4757">
        <v>3.005585</v>
      </c>
      <c r="T4757">
        <v>-0.28621069999999998</v>
      </c>
      <c r="U4757">
        <v>0.15374760000000001</v>
      </c>
      <c r="V4757">
        <v>-0.10160760000000001</v>
      </c>
      <c r="W4757">
        <v>3.2125969999999997E-2</v>
      </c>
      <c r="X4757">
        <v>0.99430569999999896</v>
      </c>
      <c r="Y4757">
        <v>-0.13131679999999901</v>
      </c>
      <c r="Z4757">
        <v>1.396701E-2</v>
      </c>
      <c r="AA4757">
        <v>0.99124210000000001</v>
      </c>
      <c r="AB4757">
        <v>25</v>
      </c>
      <c r="AC4757">
        <v>11.549799999999999</v>
      </c>
      <c r="AD4757">
        <v>-1.1108224562689999</v>
      </c>
      <c r="AE4757">
        <v>0.605509999999995</v>
      </c>
      <c r="AF4757">
        <v>-1.5302995869537901</v>
      </c>
      <c r="AG4757">
        <v>-1.1108224562689999</v>
      </c>
      <c r="AH4757">
        <v>11.3573141547053</v>
      </c>
      <c r="AI4757">
        <v>95.536432408541103</v>
      </c>
      <c r="AJ4757">
        <v>97.673891708222996</v>
      </c>
      <c r="AK4757">
        <v>11.5136583310367</v>
      </c>
    </row>
    <row r="4758" spans="1:37" x14ac:dyDescent="0.2">
      <c r="A4758" t="str">
        <f>"20200111154157519"</f>
        <v>20200111154157519</v>
      </c>
      <c r="B4758" t="str">
        <f>"1578728517510534"</f>
        <v>1578728517510534</v>
      </c>
      <c r="C4758" t="s">
        <v>37</v>
      </c>
      <c r="D4758">
        <v>5.6006669999999996</v>
      </c>
      <c r="E4758">
        <v>0.48784460000000002</v>
      </c>
      <c r="F4758" t="s">
        <v>53</v>
      </c>
      <c r="G4758">
        <v>-254.61439999999999</v>
      </c>
      <c r="H4758" s="1">
        <v>-1.4216149999999899E-6</v>
      </c>
      <c r="I4758">
        <v>-61.759309999999999</v>
      </c>
      <c r="J4758">
        <v>-266.1112</v>
      </c>
      <c r="K4758">
        <v>1.1108020000000001</v>
      </c>
      <c r="L4758">
        <v>-62.370509999999904</v>
      </c>
      <c r="M4758">
        <v>0.99671679999999996</v>
      </c>
      <c r="N4758">
        <v>0</v>
      </c>
      <c r="O4758">
        <v>-8.059028E-2</v>
      </c>
      <c r="P4758">
        <v>0.99949409999999905</v>
      </c>
      <c r="Q4758">
        <v>2.382946E-2</v>
      </c>
      <c r="R4758">
        <v>2.1065150000000001E-2</v>
      </c>
      <c r="S4758">
        <v>3.0054020000000001</v>
      </c>
      <c r="T4758">
        <v>-0.28698429999999903</v>
      </c>
      <c r="U4758">
        <v>0.15527340000000001</v>
      </c>
      <c r="V4758">
        <v>-0.101628699999999</v>
      </c>
      <c r="W4758">
        <v>3.1336719999999998E-2</v>
      </c>
      <c r="X4758">
        <v>0.99432869999999995</v>
      </c>
      <c r="Y4758">
        <v>-0.1309534</v>
      </c>
      <c r="Z4758">
        <v>1.3904959999999999E-2</v>
      </c>
      <c r="AA4758">
        <v>0.99129100000000003</v>
      </c>
      <c r="AB4758">
        <v>25</v>
      </c>
      <c r="AC4758">
        <v>11.4968</v>
      </c>
      <c r="AD4758">
        <v>-1.110803421615</v>
      </c>
      <c r="AE4758">
        <v>0.61119999999999597</v>
      </c>
      <c r="AF4758">
        <v>-1.5216059878300101</v>
      </c>
      <c r="AG4758">
        <v>-1.110803421615</v>
      </c>
      <c r="AH4758">
        <v>11.304908565792701</v>
      </c>
      <c r="AI4758">
        <v>95.561947657250101</v>
      </c>
      <c r="AJ4758">
        <v>97.665765712311497</v>
      </c>
      <c r="AK4758">
        <v>11.4608082919402</v>
      </c>
    </row>
    <row r="4759" spans="1:37" x14ac:dyDescent="0.2">
      <c r="A4759" t="str">
        <f>"20200111154157530"</f>
        <v>20200111154157530</v>
      </c>
      <c r="B4759" t="str">
        <f>"1578728517520294"</f>
        <v>1578728517520294</v>
      </c>
      <c r="C4759" t="s">
        <v>37</v>
      </c>
      <c r="D4759">
        <v>5.8271459999999999</v>
      </c>
      <c r="E4759">
        <v>0.48784460000000002</v>
      </c>
      <c r="F4759" t="s">
        <v>53</v>
      </c>
      <c r="G4759">
        <v>-254.5719</v>
      </c>
      <c r="H4759" s="1">
        <v>-1.405402E-6</v>
      </c>
      <c r="I4759">
        <v>-61.76831</v>
      </c>
      <c r="J4759">
        <v>-265.98110000000003</v>
      </c>
      <c r="K4759">
        <v>1.1107819999999999</v>
      </c>
      <c r="L4759">
        <v>-62.380159999999997</v>
      </c>
      <c r="M4759">
        <v>0.99678459999999902</v>
      </c>
      <c r="N4759">
        <v>0</v>
      </c>
      <c r="O4759">
        <v>-7.975923E-2</v>
      </c>
      <c r="P4759">
        <v>0.99949009999999905</v>
      </c>
      <c r="Q4759">
        <v>2.3347079999999999E-2</v>
      </c>
      <c r="R4759">
        <v>2.178012E-2</v>
      </c>
      <c r="S4759">
        <v>3.0051269999999999</v>
      </c>
      <c r="T4759">
        <v>-0.28928199999999998</v>
      </c>
      <c r="U4759">
        <v>0.15682979999999899</v>
      </c>
      <c r="V4759">
        <v>-0.10151019999999999</v>
      </c>
      <c r="W4759">
        <v>3.0728579999999998E-2</v>
      </c>
      <c r="X4759">
        <v>0.99435980000000002</v>
      </c>
      <c r="Y4759">
        <v>-0.13063330000000001</v>
      </c>
      <c r="Z4759">
        <v>1.3921879999999999E-2</v>
      </c>
      <c r="AA4759">
        <v>0.99133300000000002</v>
      </c>
      <c r="AB4759">
        <v>25</v>
      </c>
      <c r="AC4759">
        <v>11.4092</v>
      </c>
      <c r="AD4759">
        <v>-1.110783405402</v>
      </c>
      <c r="AE4759">
        <v>0.61184999999999601</v>
      </c>
      <c r="AF4759">
        <v>-1.5056854466473999</v>
      </c>
      <c r="AG4759">
        <v>-1.110783405402</v>
      </c>
      <c r="AH4759">
        <v>11.218020594778</v>
      </c>
      <c r="AI4759">
        <v>95.604930482114398</v>
      </c>
      <c r="AJ4759">
        <v>97.644566099437995</v>
      </c>
      <c r="AK4759">
        <v>11.372990569890799</v>
      </c>
    </row>
    <row r="4760" spans="1:37" x14ac:dyDescent="0.2">
      <c r="A4760" t="str">
        <f>"20200111154157539"</f>
        <v>20200111154157539</v>
      </c>
      <c r="B4760" t="str">
        <f>"1578728517531029"</f>
        <v>1578728517531029</v>
      </c>
      <c r="C4760" t="s">
        <v>37</v>
      </c>
      <c r="D4760">
        <v>5.8163939999999998</v>
      </c>
      <c r="E4760">
        <v>0.54873629999999995</v>
      </c>
      <c r="F4760" t="s">
        <v>53</v>
      </c>
      <c r="G4760">
        <v>-254.50099999999901</v>
      </c>
      <c r="H4760" s="1">
        <v>-1.376122E-6</v>
      </c>
      <c r="I4760">
        <v>-61.773400000000002</v>
      </c>
      <c r="J4760">
        <v>-265.86590000000001</v>
      </c>
      <c r="K4760">
        <v>1.1107670000000001</v>
      </c>
      <c r="L4760">
        <v>-62.388669999999998</v>
      </c>
      <c r="M4760">
        <v>0.9968439</v>
      </c>
      <c r="N4760">
        <v>0</v>
      </c>
      <c r="O4760">
        <v>-7.9025609999999996E-2</v>
      </c>
      <c r="P4760">
        <v>0.99948079999999995</v>
      </c>
      <c r="Q4760">
        <v>2.285655E-2</v>
      </c>
      <c r="R4760">
        <v>2.2712630000000001E-2</v>
      </c>
      <c r="S4760">
        <v>3.0048219999999999</v>
      </c>
      <c r="T4760">
        <v>-0.29073979999999999</v>
      </c>
      <c r="U4760">
        <v>0.1588135</v>
      </c>
      <c r="V4760">
        <v>-0.101704999999999</v>
      </c>
      <c r="W4760">
        <v>3.0127560000000001E-2</v>
      </c>
      <c r="X4760">
        <v>0.99435830000000003</v>
      </c>
      <c r="Y4760">
        <v>-0.13055539999999999</v>
      </c>
      <c r="Z4760">
        <v>1.39185E-2</v>
      </c>
      <c r="AA4760">
        <v>0.99134330000000004</v>
      </c>
      <c r="AB4760">
        <v>25</v>
      </c>
      <c r="AC4760">
        <v>11.3649</v>
      </c>
      <c r="AD4760">
        <v>-1.110768376122</v>
      </c>
      <c r="AE4760">
        <v>0.61526999999999499</v>
      </c>
      <c r="AF4760">
        <v>-1.49722908150248</v>
      </c>
      <c r="AG4760">
        <v>-1.110768376122</v>
      </c>
      <c r="AH4760">
        <v>11.174301473744499</v>
      </c>
      <c r="AI4760">
        <v>95.6268141093406</v>
      </c>
      <c r="AJ4760">
        <v>97.631528778908503</v>
      </c>
      <c r="AK4760">
        <v>11.328747271169</v>
      </c>
    </row>
    <row r="4761" spans="1:37" x14ac:dyDescent="0.2">
      <c r="A4761" t="str">
        <f>"20200111154157551"</f>
        <v>20200111154157551</v>
      </c>
      <c r="B4761" t="str">
        <f>"1578728517540791"</f>
        <v>1578728517540791</v>
      </c>
      <c r="C4761" t="s">
        <v>37</v>
      </c>
      <c r="D4761">
        <v>5.7026250000000003</v>
      </c>
      <c r="E4761">
        <v>0.55988839999999995</v>
      </c>
      <c r="F4761" t="s">
        <v>38</v>
      </c>
      <c r="G4761">
        <v>-265.14909999999998</v>
      </c>
      <c r="H4761">
        <v>0.97425589999999995</v>
      </c>
      <c r="I4761">
        <v>-62.466230000000003</v>
      </c>
      <c r="J4761">
        <v>-265.74610000000001</v>
      </c>
      <c r="K4761">
        <v>1.1107479999999901</v>
      </c>
      <c r="L4761">
        <v>-62.397369999999903</v>
      </c>
      <c r="M4761">
        <v>0.99690460000000003</v>
      </c>
      <c r="N4761">
        <v>0</v>
      </c>
      <c r="O4761">
        <v>-7.8266849999999999E-2</v>
      </c>
      <c r="P4761">
        <v>0.99947989999999998</v>
      </c>
      <c r="Q4761">
        <v>2.2188949999999999E-2</v>
      </c>
      <c r="R4761">
        <v>2.340662E-2</v>
      </c>
      <c r="S4761">
        <v>3.022125</v>
      </c>
      <c r="T4761">
        <v>-0.57553679999999996</v>
      </c>
      <c r="U4761">
        <v>-0.32662959999999902</v>
      </c>
      <c r="V4761">
        <v>-0.1016381</v>
      </c>
      <c r="W4761">
        <v>2.9348280000000001E-2</v>
      </c>
      <c r="X4761">
        <v>0.99438850000000001</v>
      </c>
      <c r="Y4761">
        <v>3.0158979999999998E-2</v>
      </c>
      <c r="Z4761">
        <v>1.186621E-2</v>
      </c>
      <c r="AA4761">
        <v>0.99947469999999905</v>
      </c>
      <c r="AB4761">
        <v>25</v>
      </c>
      <c r="AC4761">
        <v>0.59700000000003595</v>
      </c>
      <c r="AD4761">
        <v>-0.13649209999999901</v>
      </c>
      <c r="AE4761">
        <v>-6.8860000000007901E-2</v>
      </c>
      <c r="AF4761">
        <v>2.0846761882155999E-2</v>
      </c>
      <c r="AG4761">
        <v>-0.13649209999999901</v>
      </c>
      <c r="AH4761">
        <v>0.571097876156484</v>
      </c>
      <c r="AI4761">
        <v>103.432896066453</v>
      </c>
      <c r="AJ4761">
        <v>87.909462750873601</v>
      </c>
      <c r="AK4761">
        <v>0.587552095557345</v>
      </c>
    </row>
    <row r="4762" spans="1:37" x14ac:dyDescent="0.2">
      <c r="A4762" t="str">
        <f>"20200111154157562"</f>
        <v>20200111154157562</v>
      </c>
      <c r="B4762" t="str">
        <f>"1578728517550550"</f>
        <v>1578728517550550</v>
      </c>
      <c r="C4762" t="s">
        <v>37</v>
      </c>
      <c r="D4762">
        <v>5.7559399999999998</v>
      </c>
      <c r="E4762">
        <v>0.56741249999999999</v>
      </c>
      <c r="F4762" t="s">
        <v>38</v>
      </c>
      <c r="G4762">
        <v>-264.94029999999998</v>
      </c>
      <c r="H4762">
        <v>0.94578479999999998</v>
      </c>
      <c r="I4762">
        <v>-62.507750000000001</v>
      </c>
      <c r="J4762">
        <v>-265.61849999999998</v>
      </c>
      <c r="K4762">
        <v>1.1107290000000001</v>
      </c>
      <c r="L4762">
        <v>-62.406619999999997</v>
      </c>
      <c r="M4762">
        <v>0.99696849999999904</v>
      </c>
      <c r="N4762">
        <v>0</v>
      </c>
      <c r="O4762">
        <v>-7.7461470000000004E-2</v>
      </c>
      <c r="P4762">
        <v>0.99947430000000004</v>
      </c>
      <c r="Q4762">
        <v>2.1899910000000002E-2</v>
      </c>
      <c r="R4762">
        <v>2.3916739999999999E-2</v>
      </c>
      <c r="S4762">
        <v>3.024994</v>
      </c>
      <c r="T4762">
        <v>-0.619332199999999</v>
      </c>
      <c r="U4762">
        <v>-0.41403199999999901</v>
      </c>
      <c r="V4762">
        <v>-0.1013416</v>
      </c>
      <c r="W4762">
        <v>2.8941709999999999E-2</v>
      </c>
      <c r="X4762">
        <v>0.99443060000000005</v>
      </c>
      <c r="Y4762">
        <v>5.8826740000000002E-2</v>
      </c>
      <c r="Z4762">
        <v>9.660676E-3</v>
      </c>
      <c r="AA4762">
        <v>0.99822149999999998</v>
      </c>
      <c r="AB4762">
        <v>25</v>
      </c>
      <c r="AC4762">
        <v>0.67820000000000302</v>
      </c>
      <c r="AD4762">
        <v>-0.16494420000000001</v>
      </c>
      <c r="AE4762">
        <v>-0.10113000000000399</v>
      </c>
      <c r="AF4762">
        <v>4.56489237071835E-2</v>
      </c>
      <c r="AG4762">
        <v>-0.16494420000000001</v>
      </c>
      <c r="AH4762">
        <v>0.64658225855095797</v>
      </c>
      <c r="AI4762">
        <v>104.276941339052</v>
      </c>
      <c r="AJ4762">
        <v>85.961599585717806</v>
      </c>
      <c r="AK4762">
        <v>0.66884903410420005</v>
      </c>
    </row>
    <row r="4763" spans="1:37" x14ac:dyDescent="0.2">
      <c r="A4763" t="str">
        <f>"20200111154157573"</f>
        <v>20200111154157573</v>
      </c>
      <c r="B4763" t="str">
        <f>"1578728517561286"</f>
        <v>1578728517561286</v>
      </c>
      <c r="C4763" t="s">
        <v>37</v>
      </c>
      <c r="D4763">
        <v>5.6852359999999997</v>
      </c>
      <c r="E4763">
        <v>0.57140649999999904</v>
      </c>
      <c r="F4763" t="s">
        <v>38</v>
      </c>
      <c r="G4763">
        <v>-264.93189999999998</v>
      </c>
      <c r="H4763">
        <v>0.96425369999999999</v>
      </c>
      <c r="I4763">
        <v>-62.513919999999999</v>
      </c>
      <c r="J4763">
        <v>-265.50229999999999</v>
      </c>
      <c r="K4763">
        <v>1.110711</v>
      </c>
      <c r="L4763">
        <v>-62.414859999999997</v>
      </c>
      <c r="M4763">
        <v>0.9970253</v>
      </c>
      <c r="N4763">
        <v>0</v>
      </c>
      <c r="O4763">
        <v>-7.6735399999999995E-2</v>
      </c>
      <c r="P4763">
        <v>0.99946019999999902</v>
      </c>
      <c r="Q4763">
        <v>2.1674059999999998E-2</v>
      </c>
      <c r="R4763">
        <v>2.4692769999999999E-2</v>
      </c>
      <c r="S4763">
        <v>3.0270389999999998</v>
      </c>
      <c r="T4763">
        <v>-0.64584699999999995</v>
      </c>
      <c r="U4763">
        <v>-0.47268679999999902</v>
      </c>
      <c r="V4763">
        <v>-0.10138849999999899</v>
      </c>
      <c r="W4763">
        <v>2.8615209999999999E-2</v>
      </c>
      <c r="X4763">
        <v>0.99443530000000002</v>
      </c>
      <c r="Y4763">
        <v>7.7981830000000002E-2</v>
      </c>
      <c r="Z4763">
        <v>7.8818869999999902E-3</v>
      </c>
      <c r="AA4763">
        <v>0.99692359999999902</v>
      </c>
      <c r="AB4763">
        <v>25</v>
      </c>
      <c r="AC4763">
        <v>0.57040000000000601</v>
      </c>
      <c r="AD4763">
        <v>-0.14645729999999901</v>
      </c>
      <c r="AE4763">
        <v>-9.9060000000001397E-2</v>
      </c>
      <c r="AF4763">
        <v>5.1688962937026101E-2</v>
      </c>
      <c r="AG4763">
        <v>-0.14645729999999901</v>
      </c>
      <c r="AH4763">
        <v>0.54165548188613</v>
      </c>
      <c r="AI4763">
        <v>105.065001021095</v>
      </c>
      <c r="AJ4763">
        <v>84.5488995222737</v>
      </c>
      <c r="AK4763">
        <v>0.56348216535227702</v>
      </c>
    </row>
    <row r="4764" spans="1:37" x14ac:dyDescent="0.2">
      <c r="A4764" t="str">
        <f>"20200111154157584"</f>
        <v>20200111154157584</v>
      </c>
      <c r="B4764" t="str">
        <f>"1578728517580805"</f>
        <v>1578728517580805</v>
      </c>
      <c r="C4764" t="s">
        <v>37</v>
      </c>
      <c r="D4764">
        <v>5.6327870000000004</v>
      </c>
      <c r="E4764">
        <v>0.57538819999999902</v>
      </c>
      <c r="F4764" t="s">
        <v>38</v>
      </c>
      <c r="G4764">
        <v>-264.72129999999999</v>
      </c>
      <c r="H4764">
        <v>0.93478779999999995</v>
      </c>
      <c r="I4764">
        <v>-62.544449999999998</v>
      </c>
      <c r="J4764">
        <v>-265.3734</v>
      </c>
      <c r="K4764">
        <v>1.1106959999999999</v>
      </c>
      <c r="L4764">
        <v>-62.42398</v>
      </c>
      <c r="M4764">
        <v>0.99708759999999996</v>
      </c>
      <c r="N4764">
        <v>0</v>
      </c>
      <c r="O4764">
        <v>-7.5932669999999994E-2</v>
      </c>
      <c r="P4764">
        <v>0.99944949999999999</v>
      </c>
      <c r="Q4764">
        <v>2.1706940000000001E-2</v>
      </c>
      <c r="R4764">
        <v>2.5093520000000001E-2</v>
      </c>
      <c r="S4764">
        <v>3.0288390000000001</v>
      </c>
      <c r="T4764">
        <v>-0.68226399999999998</v>
      </c>
      <c r="U4764">
        <v>-0.50241089999999999</v>
      </c>
      <c r="V4764">
        <v>-0.1009866</v>
      </c>
      <c r="W4764">
        <v>2.8538939999999999E-2</v>
      </c>
      <c r="X4764">
        <v>0.99447830000000004</v>
      </c>
      <c r="Y4764">
        <v>8.7961150000000002E-2</v>
      </c>
      <c r="Z4764">
        <v>7.0241490000000004E-3</v>
      </c>
      <c r="AA4764">
        <v>0.99609910000000002</v>
      </c>
      <c r="AB4764">
        <v>25</v>
      </c>
      <c r="AC4764">
        <v>0.652100000000018</v>
      </c>
      <c r="AD4764">
        <v>-0.17590819999999899</v>
      </c>
      <c r="AE4764">
        <v>-0.12046999999999</v>
      </c>
      <c r="AF4764">
        <v>6.5963576460135703E-2</v>
      </c>
      <c r="AG4764">
        <v>-0.17590819999999899</v>
      </c>
      <c r="AH4764">
        <v>0.61601779135785295</v>
      </c>
      <c r="AI4764">
        <v>105.851037656881</v>
      </c>
      <c r="AJ4764">
        <v>83.888021044596798</v>
      </c>
      <c r="AK4764">
        <v>0.64402857662999602</v>
      </c>
    </row>
    <row r="4765" spans="1:37" x14ac:dyDescent="0.2">
      <c r="A4765" t="str">
        <f>"20200111154157595"</f>
        <v>20200111154157595</v>
      </c>
      <c r="B4765" t="str">
        <f>"1578728517590565"</f>
        <v>1578728517590565</v>
      </c>
      <c r="C4765" t="s">
        <v>37</v>
      </c>
      <c r="D4765">
        <v>5.639068</v>
      </c>
      <c r="E4765">
        <v>0.57582480000000003</v>
      </c>
      <c r="F4765" t="s">
        <v>38</v>
      </c>
      <c r="G4765">
        <v>-264.50740000000002</v>
      </c>
      <c r="H4765">
        <v>0.90787530000000005</v>
      </c>
      <c r="I4765">
        <v>-62.576540000000001</v>
      </c>
      <c r="J4765">
        <v>-265.24689999999998</v>
      </c>
      <c r="K4765">
        <v>1.1106830000000001</v>
      </c>
      <c r="L4765">
        <v>-62.432830000000003</v>
      </c>
      <c r="M4765">
        <v>0.99714729999999996</v>
      </c>
      <c r="N4765">
        <v>0</v>
      </c>
      <c r="O4765">
        <v>-7.51531E-2</v>
      </c>
      <c r="P4765">
        <v>0.99944</v>
      </c>
      <c r="Q4765">
        <v>2.1335659999999999E-2</v>
      </c>
      <c r="R4765">
        <v>2.5780549999999999E-2</v>
      </c>
      <c r="S4765">
        <v>3.0304259999999998</v>
      </c>
      <c r="T4765">
        <v>-0.709704</v>
      </c>
      <c r="U4765">
        <v>-0.53305049999999998</v>
      </c>
      <c r="V4765">
        <v>-0.100891699999999</v>
      </c>
      <c r="W4765">
        <v>2.8068969999999999E-2</v>
      </c>
      <c r="X4765">
        <v>0.99450139999999998</v>
      </c>
      <c r="Y4765">
        <v>9.812738E-2</v>
      </c>
      <c r="Z4765">
        <v>5.9445009999999996E-3</v>
      </c>
      <c r="AA4765">
        <v>0.99515609999999999</v>
      </c>
      <c r="AB4765">
        <v>25</v>
      </c>
      <c r="AC4765">
        <v>0.73949999999996396</v>
      </c>
      <c r="AD4765">
        <v>-0.20280770000000001</v>
      </c>
      <c r="AE4765">
        <v>-0.14370999999999801</v>
      </c>
      <c r="AF4765">
        <v>8.1798097236796596E-2</v>
      </c>
      <c r="AG4765">
        <v>-0.20280770000000001</v>
      </c>
      <c r="AH4765">
        <v>0.69764659677434104</v>
      </c>
      <c r="AI4765">
        <v>106.10474145104401</v>
      </c>
      <c r="AJ4765">
        <v>83.312681720514703</v>
      </c>
      <c r="AK4765">
        <v>0.73111740909492196</v>
      </c>
    </row>
    <row r="4766" spans="1:37" x14ac:dyDescent="0.2">
      <c r="A4766" t="str">
        <f>"20200111154157608"</f>
        <v>20200111154157608</v>
      </c>
      <c r="B4766" t="str">
        <f>"1578728517601304"</f>
        <v>1578728517601304</v>
      </c>
      <c r="C4766" t="s">
        <v>37</v>
      </c>
      <c r="D4766">
        <v>5.6706989999999999</v>
      </c>
      <c r="E4766">
        <v>0.57641409999999904</v>
      </c>
      <c r="F4766" t="s">
        <v>38</v>
      </c>
      <c r="G4766">
        <v>-264.49549999999999</v>
      </c>
      <c r="H4766">
        <v>0.93232289999999995</v>
      </c>
      <c r="I4766">
        <v>-62.56561</v>
      </c>
      <c r="J4766">
        <v>-265.11180000000002</v>
      </c>
      <c r="K4766">
        <v>1.1106670000000001</v>
      </c>
      <c r="L4766">
        <v>-62.442169999999997</v>
      </c>
      <c r="M4766">
        <v>0.99721009999999999</v>
      </c>
      <c r="N4766">
        <v>0</v>
      </c>
      <c r="O4766">
        <v>-7.4324409999999994E-2</v>
      </c>
      <c r="P4766">
        <v>0.99942119999999901</v>
      </c>
      <c r="Q4766">
        <v>2.1319049999999999E-2</v>
      </c>
      <c r="R4766">
        <v>2.6514590000000001E-2</v>
      </c>
      <c r="S4766">
        <v>3.0308229999999998</v>
      </c>
      <c r="T4766">
        <v>-0.71951180000000003</v>
      </c>
      <c r="U4766">
        <v>-0.53469849999999997</v>
      </c>
      <c r="V4766">
        <v>-0.1007953</v>
      </c>
      <c r="W4766">
        <v>2.794934E-2</v>
      </c>
      <c r="X4766">
        <v>0.99451449999999997</v>
      </c>
      <c r="Y4766">
        <v>9.938458E-2</v>
      </c>
      <c r="Z4766">
        <v>5.6856950000000002E-3</v>
      </c>
      <c r="AA4766">
        <v>0.99503280000000005</v>
      </c>
      <c r="AB4766">
        <v>25</v>
      </c>
      <c r="AC4766">
        <v>0.61630000000002305</v>
      </c>
      <c r="AD4766">
        <v>-0.17834410000000001</v>
      </c>
      <c r="AE4766">
        <v>-0.12344000000000201</v>
      </c>
      <c r="AF4766">
        <v>7.1532254579943694E-2</v>
      </c>
      <c r="AG4766">
        <v>-0.17834410000000001</v>
      </c>
      <c r="AH4766">
        <v>0.57729220762406697</v>
      </c>
      <c r="AI4766">
        <v>107.044882427384</v>
      </c>
      <c r="AJ4766">
        <v>82.936485706628901</v>
      </c>
      <c r="AK4766">
        <v>0.60843222665599195</v>
      </c>
    </row>
    <row r="4767" spans="1:37" x14ac:dyDescent="0.2">
      <c r="A4767" t="str">
        <f>"20200111154157617"</f>
        <v>20200111154157617</v>
      </c>
      <c r="B4767" t="str">
        <f>"1578728517611063"</f>
        <v>1578728517611063</v>
      </c>
      <c r="C4767" t="s">
        <v>37</v>
      </c>
      <c r="D4767">
        <v>8.5205160000000006</v>
      </c>
      <c r="E4767">
        <v>0.57665679999999997</v>
      </c>
      <c r="F4767" t="s">
        <v>38</v>
      </c>
      <c r="G4767">
        <v>-264.27760000000001</v>
      </c>
      <c r="H4767">
        <v>0.91107749999999998</v>
      </c>
      <c r="I4767">
        <v>-62.590179999999997</v>
      </c>
      <c r="J4767">
        <v>-264.98430000000002</v>
      </c>
      <c r="K4767">
        <v>1.110652</v>
      </c>
      <c r="L4767">
        <v>-62.450899999999997</v>
      </c>
      <c r="M4767">
        <v>0.99726819999999905</v>
      </c>
      <c r="N4767">
        <v>0</v>
      </c>
      <c r="O4767">
        <v>-7.3549149999999994E-2</v>
      </c>
      <c r="P4767">
        <v>0.99940200000000001</v>
      </c>
      <c r="Q4767">
        <v>2.1341120000000002E-2</v>
      </c>
      <c r="R4767">
        <v>2.7208070000000001E-2</v>
      </c>
      <c r="S4767">
        <v>3.0314640000000002</v>
      </c>
      <c r="T4767">
        <v>-0.72534889999999996</v>
      </c>
      <c r="U4767">
        <v>-0.53747559999999905</v>
      </c>
      <c r="V4767">
        <v>-0.1007115</v>
      </c>
      <c r="W4767">
        <v>2.7880700000000001E-2</v>
      </c>
      <c r="X4767">
        <v>0.99452499999999999</v>
      </c>
      <c r="Y4767">
        <v>0.1009322</v>
      </c>
      <c r="Z4767">
        <v>5.3670289999999997E-3</v>
      </c>
      <c r="AA4767">
        <v>0.99487879999999995</v>
      </c>
      <c r="AB4767">
        <v>26</v>
      </c>
      <c r="AC4767">
        <v>0.70670000000001199</v>
      </c>
      <c r="AD4767">
        <v>-0.19957449999999999</v>
      </c>
      <c r="AE4767">
        <v>-0.13928000000000601</v>
      </c>
      <c r="AF4767">
        <v>8.07269682905708E-2</v>
      </c>
      <c r="AG4767">
        <v>-0.19957449999999999</v>
      </c>
      <c r="AH4767">
        <v>0.66405100569224096</v>
      </c>
      <c r="AI4767">
        <v>106.612180380789</v>
      </c>
      <c r="AJ4767">
        <v>83.068711309662206</v>
      </c>
      <c r="AK4767">
        <v>0.69807633008182801</v>
      </c>
    </row>
    <row r="4768" spans="1:37" x14ac:dyDescent="0.2">
      <c r="A4768" t="str">
        <f>"20200111154157629"</f>
        <v>20200111154157629</v>
      </c>
      <c r="B4768" t="str">
        <f>"1578728517620821"</f>
        <v>1578728517620821</v>
      </c>
      <c r="C4768" t="s">
        <v>37</v>
      </c>
      <c r="D4768">
        <v>5.6719099999999996</v>
      </c>
      <c r="E4768">
        <v>0.57702640000000005</v>
      </c>
      <c r="F4768" t="s">
        <v>38</v>
      </c>
      <c r="G4768">
        <v>-264.26400000000001</v>
      </c>
      <c r="H4768">
        <v>0.93869080000000005</v>
      </c>
      <c r="I4768">
        <v>-62.578659999999999</v>
      </c>
      <c r="J4768">
        <v>-264.85899999999998</v>
      </c>
      <c r="K4768">
        <v>1.1106400000000001</v>
      </c>
      <c r="L4768">
        <v>-62.459319999999998</v>
      </c>
      <c r="M4768">
        <v>0.99732430000000005</v>
      </c>
      <c r="N4768">
        <v>0</v>
      </c>
      <c r="O4768">
        <v>-7.2792620000000002E-2</v>
      </c>
      <c r="P4768">
        <v>0.99938629999999995</v>
      </c>
      <c r="Q4768">
        <v>2.1402299999999999E-2</v>
      </c>
      <c r="R4768">
        <v>2.7731140000000001E-2</v>
      </c>
      <c r="S4768">
        <v>3.03186</v>
      </c>
      <c r="T4768">
        <v>-0.72385189999999999</v>
      </c>
      <c r="U4768">
        <v>-0.53729249999999995</v>
      </c>
      <c r="V4768">
        <v>-0.10047780000000001</v>
      </c>
      <c r="W4768">
        <v>2.7858290000000001E-2</v>
      </c>
      <c r="X4768">
        <v>0.99454920000000002</v>
      </c>
      <c r="Y4768">
        <v>0.1015716</v>
      </c>
      <c r="Z4768">
        <v>5.1050100000000001E-3</v>
      </c>
      <c r="AA4768">
        <v>0.99481509999999995</v>
      </c>
      <c r="AB4768">
        <v>26</v>
      </c>
      <c r="AC4768">
        <v>0.59500000000002695</v>
      </c>
      <c r="AD4768">
        <v>-0.171949199999999</v>
      </c>
      <c r="AE4768">
        <v>-0.119340000000001</v>
      </c>
      <c r="AF4768">
        <v>7.00840564242807E-2</v>
      </c>
      <c r="AG4768">
        <v>-0.171949199999999</v>
      </c>
      <c r="AH4768">
        <v>0.55736070107055402</v>
      </c>
      <c r="AI4768">
        <v>107.019127315052</v>
      </c>
      <c r="AJ4768">
        <v>82.833086862962105</v>
      </c>
      <c r="AK4768">
        <v>0.58747702375785005</v>
      </c>
    </row>
    <row r="4769" spans="1:37" x14ac:dyDescent="0.2">
      <c r="A4769" t="str">
        <f>"20200111154157639"</f>
        <v>20200111154157639</v>
      </c>
      <c r="B4769" t="str">
        <f>"1578728517630581"</f>
        <v>1578728517630581</v>
      </c>
      <c r="C4769" t="s">
        <v>37</v>
      </c>
      <c r="D4769">
        <v>5.6478000000000002</v>
      </c>
      <c r="E4769">
        <v>0.57732079999999997</v>
      </c>
      <c r="F4769" t="s">
        <v>38</v>
      </c>
      <c r="G4769">
        <v>-264.04599999999999</v>
      </c>
      <c r="H4769">
        <v>0.9158809</v>
      </c>
      <c r="I4769">
        <v>-62.603990000000003</v>
      </c>
      <c r="J4769">
        <v>-264.73540000000003</v>
      </c>
      <c r="K4769">
        <v>1.1106309999999999</v>
      </c>
      <c r="L4769">
        <v>-62.467649999999999</v>
      </c>
      <c r="M4769">
        <v>0.99737889999999996</v>
      </c>
      <c r="N4769">
        <v>0</v>
      </c>
      <c r="O4769">
        <v>-7.2050290000000003E-2</v>
      </c>
      <c r="P4769">
        <v>0.99937469999999995</v>
      </c>
      <c r="Q4769">
        <v>2.1161030000000001E-2</v>
      </c>
      <c r="R4769">
        <v>2.8329090000000001E-2</v>
      </c>
      <c r="S4769">
        <v>3.032349</v>
      </c>
      <c r="T4769">
        <v>-0.7264716</v>
      </c>
      <c r="U4769">
        <v>-0.53875729999999999</v>
      </c>
      <c r="V4769">
        <v>-0.1003317</v>
      </c>
      <c r="W4769">
        <v>2.7537510000000001E-2</v>
      </c>
      <c r="X4769">
        <v>0.99457289999999998</v>
      </c>
      <c r="Y4769">
        <v>0.1026941</v>
      </c>
      <c r="Z4769">
        <v>4.81715099999999E-3</v>
      </c>
      <c r="AA4769">
        <v>0.99470130000000001</v>
      </c>
      <c r="AB4769">
        <v>26</v>
      </c>
      <c r="AC4769">
        <v>0.68940000000003399</v>
      </c>
      <c r="AD4769">
        <v>-0.19475009999999901</v>
      </c>
      <c r="AE4769">
        <v>-0.13634000000000401</v>
      </c>
      <c r="AF4769">
        <v>8.01571519439431E-2</v>
      </c>
      <c r="AG4769">
        <v>-0.19475009999999901</v>
      </c>
      <c r="AH4769">
        <v>0.64769031406299304</v>
      </c>
      <c r="AI4769">
        <v>106.615494475284</v>
      </c>
      <c r="AJ4769">
        <v>82.945035276005896</v>
      </c>
      <c r="AK4769">
        <v>0.68106938955497998</v>
      </c>
    </row>
    <row r="4770" spans="1:37" x14ac:dyDescent="0.2">
      <c r="A4770" t="str">
        <f>"20200111154157651"</f>
        <v>20200111154157651</v>
      </c>
      <c r="B4770" t="str">
        <f>"1578728517640341"</f>
        <v>1578728517640341</v>
      </c>
      <c r="C4770" t="s">
        <v>37</v>
      </c>
      <c r="D4770">
        <v>5.6806960000000002</v>
      </c>
      <c r="E4770">
        <v>0.57830230000000005</v>
      </c>
      <c r="F4770" t="s">
        <v>38</v>
      </c>
      <c r="G4770">
        <v>-264.03309999999999</v>
      </c>
      <c r="H4770">
        <v>0.94198470000000001</v>
      </c>
      <c r="I4770">
        <v>-62.592750000000002</v>
      </c>
      <c r="J4770">
        <v>-264.61290000000002</v>
      </c>
      <c r="K4770">
        <v>1.1106229999999999</v>
      </c>
      <c r="L4770">
        <v>-62.475740000000002</v>
      </c>
      <c r="M4770">
        <v>0.99743150000000003</v>
      </c>
      <c r="N4770">
        <v>0</v>
      </c>
      <c r="O4770">
        <v>-7.1321919999999997E-2</v>
      </c>
      <c r="P4770">
        <v>0.99936899999999995</v>
      </c>
      <c r="Q4770">
        <v>2.1027810000000001E-2</v>
      </c>
      <c r="R4770">
        <v>2.8623719999999998E-2</v>
      </c>
      <c r="S4770">
        <v>3.032562</v>
      </c>
      <c r="T4770">
        <v>-0.72828749999999998</v>
      </c>
      <c r="U4770">
        <v>-0.53915409999999997</v>
      </c>
      <c r="V4770">
        <v>-9.9897819999999998E-2</v>
      </c>
      <c r="W4770">
        <v>2.7332539999999999E-2</v>
      </c>
      <c r="X4770">
        <v>0.99462220000000001</v>
      </c>
      <c r="Y4770">
        <v>0.103488699999999</v>
      </c>
      <c r="Z4770">
        <v>4.5647739999999997E-3</v>
      </c>
      <c r="AA4770">
        <v>0.99462009999999901</v>
      </c>
      <c r="AB4770">
        <v>26</v>
      </c>
      <c r="AC4770">
        <v>0.57980000000003395</v>
      </c>
      <c r="AD4770">
        <v>-0.16863829999999899</v>
      </c>
      <c r="AE4770">
        <v>-0.11701</v>
      </c>
      <c r="AF4770">
        <v>6.9693505475331097E-2</v>
      </c>
      <c r="AG4770">
        <v>-0.16863829999999899</v>
      </c>
      <c r="AH4770">
        <v>0.54256563633256505</v>
      </c>
      <c r="AI4770">
        <v>107.133666760222</v>
      </c>
      <c r="AJ4770">
        <v>82.680339010720402</v>
      </c>
      <c r="AK4770">
        <v>0.57242775147724201</v>
      </c>
    </row>
    <row r="4771" spans="1:37" x14ac:dyDescent="0.2">
      <c r="A4771" t="str">
        <f>"20200111154157661"</f>
        <v>20200111154157661</v>
      </c>
      <c r="B4771" t="str">
        <f>"1578728517651078"</f>
        <v>1578728517651078</v>
      </c>
      <c r="C4771" t="s">
        <v>37</v>
      </c>
      <c r="D4771">
        <v>5.6153779999999998</v>
      </c>
      <c r="E4771">
        <v>0.58015569999999905</v>
      </c>
      <c r="F4771" t="s">
        <v>38</v>
      </c>
      <c r="G4771">
        <v>-263.81490000000002</v>
      </c>
      <c r="H4771">
        <v>0.91758629999999997</v>
      </c>
      <c r="I4771">
        <v>-62.619519999999902</v>
      </c>
      <c r="J4771">
        <v>-264.48410000000001</v>
      </c>
      <c r="K4771">
        <v>1.1106129999999901</v>
      </c>
      <c r="L4771">
        <v>-62.484219999999901</v>
      </c>
      <c r="M4771">
        <v>0.9974864</v>
      </c>
      <c r="N4771">
        <v>0</v>
      </c>
      <c r="O4771">
        <v>-7.0559700000000003E-2</v>
      </c>
      <c r="P4771">
        <v>0.99935189999999996</v>
      </c>
      <c r="Q4771">
        <v>2.1005309999999999E-2</v>
      </c>
      <c r="R4771">
        <v>2.9232890000000001E-2</v>
      </c>
      <c r="S4771">
        <v>3.0329899999999999</v>
      </c>
      <c r="T4771">
        <v>-0.73373509999999997</v>
      </c>
      <c r="U4771">
        <v>-0.54605099999999995</v>
      </c>
      <c r="V4771">
        <v>-9.9743949999999998E-2</v>
      </c>
      <c r="W4771">
        <v>2.72353E-2</v>
      </c>
      <c r="X4771">
        <v>0.99464039999999998</v>
      </c>
      <c r="Y4771">
        <v>0.1063037</v>
      </c>
      <c r="Z4771">
        <v>4.0835810000000002E-3</v>
      </c>
      <c r="AA4771">
        <v>0.99432529999999997</v>
      </c>
      <c r="AB4771">
        <v>26</v>
      </c>
      <c r="AC4771">
        <v>0.66919999999998903</v>
      </c>
      <c r="AD4771">
        <v>-0.193026699999999</v>
      </c>
      <c r="AE4771">
        <v>-0.1353</v>
      </c>
      <c r="AF4771">
        <v>8.1248792709515003E-2</v>
      </c>
      <c r="AG4771">
        <v>-0.193026699999999</v>
      </c>
      <c r="AH4771">
        <v>0.62696411703639199</v>
      </c>
      <c r="AI4771">
        <v>106.978589382192</v>
      </c>
      <c r="AJ4771">
        <v>82.616143858889401</v>
      </c>
      <c r="AK4771">
        <v>0.66101790995469001</v>
      </c>
    </row>
    <row r="4772" spans="1:37" x14ac:dyDescent="0.2">
      <c r="A4772" t="str">
        <f>"20200111154157673"</f>
        <v>20200111154157673</v>
      </c>
      <c r="B4772" t="str">
        <f>"1578728517670597"</f>
        <v>1578728517670597</v>
      </c>
      <c r="C4772" t="s">
        <v>37</v>
      </c>
      <c r="D4772">
        <v>5.6061420000000002</v>
      </c>
      <c r="E4772">
        <v>0.58325450000000001</v>
      </c>
      <c r="F4772" t="s">
        <v>38</v>
      </c>
      <c r="G4772">
        <v>-263.80160000000001</v>
      </c>
      <c r="H4772">
        <v>0.94485019999999997</v>
      </c>
      <c r="I4772">
        <v>-62.610030000000002</v>
      </c>
      <c r="J4772">
        <v>-264.35579999999999</v>
      </c>
      <c r="K4772">
        <v>1.1106020000000001</v>
      </c>
      <c r="L4772">
        <v>-62.492489999999997</v>
      </c>
      <c r="M4772">
        <v>0.99753950000000002</v>
      </c>
      <c r="N4772">
        <v>0</v>
      </c>
      <c r="O4772">
        <v>-6.9811440000000002E-2</v>
      </c>
      <c r="P4772">
        <v>0.99934590000000001</v>
      </c>
      <c r="Q4772">
        <v>2.0941629999999999E-2</v>
      </c>
      <c r="R4772">
        <v>2.9486189999999999E-2</v>
      </c>
      <c r="S4772">
        <v>3.0338129999999999</v>
      </c>
      <c r="T4772">
        <v>-0.73688409999999904</v>
      </c>
      <c r="U4772">
        <v>-0.55871579999999998</v>
      </c>
      <c r="V4772">
        <v>-9.9249149999999994E-2</v>
      </c>
      <c r="W4772">
        <v>2.7106129999999999E-2</v>
      </c>
      <c r="X4772">
        <v>0.9946933</v>
      </c>
      <c r="Y4772">
        <v>0.1108633</v>
      </c>
      <c r="Z4772">
        <v>3.3792570000000001E-3</v>
      </c>
      <c r="AA4772">
        <v>0.99382990000000004</v>
      </c>
      <c r="AB4772">
        <v>26</v>
      </c>
      <c r="AC4772">
        <v>0.55419999999998004</v>
      </c>
      <c r="AD4772">
        <v>-0.16575179999999901</v>
      </c>
      <c r="AE4772">
        <v>-0.11753999999999799</v>
      </c>
      <c r="AF4772">
        <v>7.2368185810633603E-2</v>
      </c>
      <c r="AG4772">
        <v>-0.16575179999999901</v>
      </c>
      <c r="AH4772">
        <v>0.51681422568398006</v>
      </c>
      <c r="AI4772">
        <v>107.620866161962</v>
      </c>
      <c r="AJ4772">
        <v>82.028846242681098</v>
      </c>
      <c r="AK4772">
        <v>0.54754703669191196</v>
      </c>
    </row>
    <row r="4773" spans="1:37" x14ac:dyDescent="0.2">
      <c r="A4773" t="str">
        <f>"20200111154157685"</f>
        <v>20200111154157685</v>
      </c>
      <c r="B4773" t="str">
        <f>"1578728517680356"</f>
        <v>1578728517680356</v>
      </c>
      <c r="C4773" t="s">
        <v>37</v>
      </c>
      <c r="D4773">
        <v>5.5848740000000001</v>
      </c>
      <c r="E4773">
        <v>0.58400940000000001</v>
      </c>
      <c r="F4773" t="s">
        <v>38</v>
      </c>
      <c r="G4773">
        <v>-263.58269999999999</v>
      </c>
      <c r="H4773">
        <v>0.92010809999999998</v>
      </c>
      <c r="I4773">
        <v>-62.641280000000002</v>
      </c>
      <c r="J4773">
        <v>-264.22289999999998</v>
      </c>
      <c r="K4773">
        <v>1.1105929999999999</v>
      </c>
      <c r="L4773">
        <v>-62.501069999999999</v>
      </c>
      <c r="M4773">
        <v>0.99759370000000003</v>
      </c>
      <c r="N4773">
        <v>0</v>
      </c>
      <c r="O4773">
        <v>-6.9037559999999998E-2</v>
      </c>
      <c r="P4773">
        <v>0.99933780000000005</v>
      </c>
      <c r="Q4773">
        <v>2.069383E-2</v>
      </c>
      <c r="R4773">
        <v>2.9926589999999999E-2</v>
      </c>
      <c r="S4773">
        <v>3.0347900000000001</v>
      </c>
      <c r="T4773">
        <v>-0.74786049999999904</v>
      </c>
      <c r="U4773">
        <v>-0.58248900000000003</v>
      </c>
      <c r="V4773">
        <v>-9.8915100000000006E-2</v>
      </c>
      <c r="W4773">
        <v>2.6791530000000001E-2</v>
      </c>
      <c r="X4773">
        <v>0.99473509999999998</v>
      </c>
      <c r="Y4773">
        <v>0.1188109</v>
      </c>
      <c r="Z4773">
        <v>2.2818700000000001E-3</v>
      </c>
      <c r="AA4773">
        <v>0.99291430000000003</v>
      </c>
      <c r="AB4773">
        <v>26</v>
      </c>
      <c r="AC4773">
        <v>0.640199999999992</v>
      </c>
      <c r="AD4773">
        <v>-0.19048489999999901</v>
      </c>
      <c r="AE4773">
        <v>-0.140210000000003</v>
      </c>
      <c r="AF4773">
        <v>8.8223756314544904E-2</v>
      </c>
      <c r="AG4773">
        <v>-0.19048489999999901</v>
      </c>
      <c r="AH4773">
        <v>0.59784753409971603</v>
      </c>
      <c r="AI4773">
        <v>107.495075622158</v>
      </c>
      <c r="AJ4773">
        <v>81.605504400923294</v>
      </c>
      <c r="AK4773">
        <v>0.63363207173829905</v>
      </c>
    </row>
    <row r="4774" spans="1:37" x14ac:dyDescent="0.2">
      <c r="A4774" t="str">
        <f>"20200111154157695"</f>
        <v>20200111154157695</v>
      </c>
      <c r="B4774" t="str">
        <f>"1578728517691093"</f>
        <v>1578728517691093</v>
      </c>
      <c r="C4774" t="s">
        <v>37</v>
      </c>
      <c r="D4774">
        <v>5.5636589999999897</v>
      </c>
      <c r="E4774">
        <v>0.58504829999999997</v>
      </c>
      <c r="F4774" t="s">
        <v>38</v>
      </c>
      <c r="G4774">
        <v>-263.3612</v>
      </c>
      <c r="H4774">
        <v>0.89564069999999996</v>
      </c>
      <c r="I4774">
        <v>-62.66769</v>
      </c>
      <c r="J4774">
        <v>-264.08640000000003</v>
      </c>
      <c r="K4774">
        <v>1.110581</v>
      </c>
      <c r="L4774">
        <v>-62.5096699999999</v>
      </c>
      <c r="M4774">
        <v>0.99764809999999904</v>
      </c>
      <c r="N4774">
        <v>0</v>
      </c>
      <c r="O4774">
        <v>-6.8254259999999997E-2</v>
      </c>
      <c r="P4774">
        <v>0.99932549999999898</v>
      </c>
      <c r="Q4774">
        <v>2.0594910000000001E-2</v>
      </c>
      <c r="R4774">
        <v>3.0410380000000001E-2</v>
      </c>
      <c r="S4774">
        <v>3.0352169999999998</v>
      </c>
      <c r="T4774">
        <v>-0.7571563</v>
      </c>
      <c r="U4774">
        <v>-0.58697509999999997</v>
      </c>
      <c r="V4774">
        <v>-9.8615289999999994E-2</v>
      </c>
      <c r="W4774">
        <v>2.6629940000000001E-2</v>
      </c>
      <c r="X4774">
        <v>0.99476929999999997</v>
      </c>
      <c r="Y4774">
        <v>0.1208615</v>
      </c>
      <c r="Z4774">
        <v>1.8690999999999901E-3</v>
      </c>
      <c r="AA4774">
        <v>0.99266759999999998</v>
      </c>
      <c r="AB4774">
        <v>26</v>
      </c>
      <c r="AC4774">
        <v>0.72520000000002904</v>
      </c>
      <c r="AD4774">
        <v>-0.2149403</v>
      </c>
      <c r="AE4774">
        <v>-0.15802000000000699</v>
      </c>
      <c r="AF4774">
        <v>9.9784223321389004E-2</v>
      </c>
      <c r="AG4774">
        <v>-0.2149403</v>
      </c>
      <c r="AH4774">
        <v>0.67747856994310296</v>
      </c>
      <c r="AI4774">
        <v>107.425965770348</v>
      </c>
      <c r="AJ4774">
        <v>81.621281306143004</v>
      </c>
      <c r="AK4774">
        <v>0.71772796832789998</v>
      </c>
    </row>
    <row r="4775" spans="1:37" x14ac:dyDescent="0.2">
      <c r="A4775" t="str">
        <f>"20200111154157707"</f>
        <v>20200111154157707</v>
      </c>
      <c r="B4775" t="str">
        <f>"1578728517700853"</f>
        <v>1578728517700853</v>
      </c>
      <c r="C4775" t="s">
        <v>37</v>
      </c>
      <c r="D4775">
        <v>5.588546</v>
      </c>
      <c r="E4775">
        <v>0.58582069999999997</v>
      </c>
      <c r="F4775" t="s">
        <v>38</v>
      </c>
      <c r="G4775">
        <v>-263.34789999999998</v>
      </c>
      <c r="H4775">
        <v>0.92519259999999903</v>
      </c>
      <c r="I4775">
        <v>-62.65408</v>
      </c>
      <c r="J4775">
        <v>-263.9581</v>
      </c>
      <c r="K4775">
        <v>1.1105670000000001</v>
      </c>
      <c r="L4775">
        <v>-62.51773</v>
      </c>
      <c r="M4775">
        <v>0.99769810000000003</v>
      </c>
      <c r="N4775">
        <v>0</v>
      </c>
      <c r="O4775">
        <v>-6.7522719999999994E-2</v>
      </c>
      <c r="P4775">
        <v>0.99931719999999902</v>
      </c>
      <c r="Q4775">
        <v>2.0217220000000001E-2</v>
      </c>
      <c r="R4775">
        <v>3.0931710000000001E-2</v>
      </c>
      <c r="S4775">
        <v>3.0357970000000001</v>
      </c>
      <c r="T4775">
        <v>-0.76213180000000003</v>
      </c>
      <c r="U4775">
        <v>-0.59371949999999996</v>
      </c>
      <c r="V4775">
        <v>-9.8403900000000002E-2</v>
      </c>
      <c r="W4775">
        <v>2.6196649999999998E-2</v>
      </c>
      <c r="X4775">
        <v>0.99480170000000001</v>
      </c>
      <c r="Y4775">
        <v>0.1235575</v>
      </c>
      <c r="Z4775">
        <v>1.371412E-3</v>
      </c>
      <c r="AA4775">
        <v>0.99233649999999995</v>
      </c>
      <c r="AB4775">
        <v>26</v>
      </c>
      <c r="AC4775">
        <v>0.61020000000001995</v>
      </c>
      <c r="AD4775">
        <v>-0.18537439999999999</v>
      </c>
      <c r="AE4775">
        <v>-0.13635</v>
      </c>
      <c r="AF4775">
        <v>8.7173021330524597E-2</v>
      </c>
      <c r="AG4775">
        <v>-0.18537439999999999</v>
      </c>
      <c r="AH4775">
        <v>0.56807938042911998</v>
      </c>
      <c r="AI4775">
        <v>107.876708074308</v>
      </c>
      <c r="AJ4775">
        <v>81.275889964580401</v>
      </c>
      <c r="AK4775">
        <v>0.60388491146242895</v>
      </c>
    </row>
    <row r="4776" spans="1:37" x14ac:dyDescent="0.2">
      <c r="A4776" t="str">
        <f>"20200111154157718"</f>
        <v>20200111154157718</v>
      </c>
      <c r="B4776" t="str">
        <f>"1578728517710613"</f>
        <v>1578728517710613</v>
      </c>
      <c r="C4776" t="s">
        <v>37</v>
      </c>
      <c r="D4776">
        <v>5.6261070000000002</v>
      </c>
      <c r="E4776">
        <v>0.58672569999999902</v>
      </c>
      <c r="F4776" t="s">
        <v>38</v>
      </c>
      <c r="G4776">
        <v>-263.1259</v>
      </c>
      <c r="H4776">
        <v>0.90008509999999997</v>
      </c>
      <c r="I4776">
        <v>-62.68186</v>
      </c>
      <c r="J4776">
        <v>-263.8229</v>
      </c>
      <c r="K4776">
        <v>1.1105559999999901</v>
      </c>
      <c r="L4776">
        <v>-62.526119999999999</v>
      </c>
      <c r="M4776">
        <v>0.99775000000000003</v>
      </c>
      <c r="N4776">
        <v>0</v>
      </c>
      <c r="O4776">
        <v>-6.6758639999999994E-2</v>
      </c>
      <c r="P4776">
        <v>0.99930350000000001</v>
      </c>
      <c r="Q4776">
        <v>2.0259780000000002E-2</v>
      </c>
      <c r="R4776">
        <v>3.133888E-2</v>
      </c>
      <c r="S4776">
        <v>3.0361020000000001</v>
      </c>
      <c r="T4776">
        <v>-0.76793889999999998</v>
      </c>
      <c r="U4776">
        <v>-0.59854130000000005</v>
      </c>
      <c r="V4776">
        <v>-9.8046729999999999E-2</v>
      </c>
      <c r="W4776">
        <v>2.618521E-2</v>
      </c>
      <c r="X4776">
        <v>0.99483729999999904</v>
      </c>
      <c r="Y4776">
        <v>0.1257036</v>
      </c>
      <c r="Z4776">
        <v>9.2862730000000001E-4</v>
      </c>
      <c r="AA4776">
        <v>0.99206740000000004</v>
      </c>
      <c r="AB4776">
        <v>26</v>
      </c>
      <c r="AC4776">
        <v>0.69700000000000195</v>
      </c>
      <c r="AD4776">
        <v>-0.21047089999999899</v>
      </c>
      <c r="AE4776">
        <v>-0.15574000000000099</v>
      </c>
      <c r="AF4776">
        <v>0.10016202819897201</v>
      </c>
      <c r="AG4776">
        <v>-0.21047089999999899</v>
      </c>
      <c r="AH4776">
        <v>0.64943973136043398</v>
      </c>
      <c r="AI4776">
        <v>107.759940042124</v>
      </c>
      <c r="AJ4776">
        <v>81.232446195609299</v>
      </c>
      <c r="AK4776">
        <v>0.69000173645379703</v>
      </c>
    </row>
    <row r="4777" spans="1:37" x14ac:dyDescent="0.2">
      <c r="A4777" t="str">
        <f>"20200111154157730"</f>
        <v>20200111154157730</v>
      </c>
      <c r="B4777" t="str">
        <f>"1578728517721349"</f>
        <v>1578728517721349</v>
      </c>
      <c r="C4777" t="s">
        <v>37</v>
      </c>
      <c r="D4777">
        <v>5.6128489999999998</v>
      </c>
      <c r="E4777">
        <v>0.58734219999999904</v>
      </c>
      <c r="F4777" t="s">
        <v>38</v>
      </c>
      <c r="G4777">
        <v>-263.1123</v>
      </c>
      <c r="H4777">
        <v>0.93001639999999997</v>
      </c>
      <c r="I4777">
        <v>-62.66769</v>
      </c>
      <c r="J4777">
        <v>-263.69690000000003</v>
      </c>
      <c r="K4777">
        <v>1.1105449999999999</v>
      </c>
      <c r="L4777">
        <v>-62.533839999999998</v>
      </c>
      <c r="M4777">
        <v>0.9977973</v>
      </c>
      <c r="N4777">
        <v>0</v>
      </c>
      <c r="O4777">
        <v>-6.6053459999999994E-2</v>
      </c>
      <c r="P4777">
        <v>0.99929140000000005</v>
      </c>
      <c r="Q4777">
        <v>2.00152E-2</v>
      </c>
      <c r="R4777">
        <v>3.1888569999999998E-2</v>
      </c>
      <c r="S4777">
        <v>3.036743</v>
      </c>
      <c r="T4777">
        <v>-0.77158930000000003</v>
      </c>
      <c r="U4777">
        <v>-0.60467530000000003</v>
      </c>
      <c r="V4777">
        <v>-9.7890469999999993E-2</v>
      </c>
      <c r="W4777">
        <v>2.5893010000000001E-2</v>
      </c>
      <c r="X4777">
        <v>0.99486030000000003</v>
      </c>
      <c r="Y4777">
        <v>0.12818070000000001</v>
      </c>
      <c r="Z4777">
        <v>4.5150889999999899E-4</v>
      </c>
      <c r="AA4777">
        <v>0.99175069999999999</v>
      </c>
      <c r="AB4777">
        <v>26</v>
      </c>
      <c r="AC4777">
        <v>0.58460000000002299</v>
      </c>
      <c r="AD4777">
        <v>-0.18052860000000001</v>
      </c>
      <c r="AE4777">
        <v>-0.133849999999995</v>
      </c>
      <c r="AF4777">
        <v>8.7053986976962899E-2</v>
      </c>
      <c r="AG4777">
        <v>-0.18052860000000001</v>
      </c>
      <c r="AH4777">
        <v>0.54296562608041699</v>
      </c>
      <c r="AI4777">
        <v>108.174670811233</v>
      </c>
      <c r="AJ4777">
        <v>80.891256672425499</v>
      </c>
      <c r="AK4777">
        <v>0.57877512314494295</v>
      </c>
    </row>
    <row r="4778" spans="1:37" x14ac:dyDescent="0.2">
      <c r="A4778" t="str">
        <f>"20200111154157740"</f>
        <v>20200111154157740</v>
      </c>
      <c r="B4778" t="str">
        <f>"1578728517731109"</f>
        <v>1578728517731109</v>
      </c>
      <c r="C4778" t="s">
        <v>37</v>
      </c>
      <c r="D4778">
        <v>5.6436909999999996</v>
      </c>
      <c r="E4778">
        <v>0.58768359999999997</v>
      </c>
      <c r="F4778" t="s">
        <v>38</v>
      </c>
      <c r="G4778">
        <v>-262.88990000000001</v>
      </c>
      <c r="H4778">
        <v>0.90415049999999997</v>
      </c>
      <c r="I4778">
        <v>-62.695459999999997</v>
      </c>
      <c r="J4778">
        <v>-263.56779999999998</v>
      </c>
      <c r="K4778">
        <v>1.1105339999999999</v>
      </c>
      <c r="L4778">
        <v>-62.541690000000003</v>
      </c>
      <c r="M4778">
        <v>0.99784479999999998</v>
      </c>
      <c r="N4778">
        <v>0</v>
      </c>
      <c r="O4778">
        <v>-6.5334450000000002E-2</v>
      </c>
      <c r="P4778">
        <v>0.99927790000000005</v>
      </c>
      <c r="Q4778">
        <v>1.995216E-2</v>
      </c>
      <c r="R4778">
        <v>3.2337100000000001E-2</v>
      </c>
      <c r="S4778">
        <v>3.037048</v>
      </c>
      <c r="T4778">
        <v>-0.77669370000000004</v>
      </c>
      <c r="U4778">
        <v>-0.60784910000000003</v>
      </c>
      <c r="V4778">
        <v>-9.7619380000000006E-2</v>
      </c>
      <c r="W4778">
        <v>2.578337E-2</v>
      </c>
      <c r="X4778">
        <v>0.99488980000000005</v>
      </c>
      <c r="Y4778">
        <v>0.12977719999999901</v>
      </c>
      <c r="Z4778" s="1">
        <v>7.6737249999999998E-5</v>
      </c>
      <c r="AA4778">
        <v>0.99154319999999896</v>
      </c>
      <c r="AB4778">
        <v>26</v>
      </c>
      <c r="AC4778">
        <v>0.67789999999996498</v>
      </c>
      <c r="AD4778">
        <v>-0.206383499999999</v>
      </c>
      <c r="AE4778">
        <v>-0.15376999999999399</v>
      </c>
      <c r="AF4778">
        <v>0.100308108714477</v>
      </c>
      <c r="AG4778">
        <v>-0.206383499999999</v>
      </c>
      <c r="AH4778">
        <v>0.63088489733620801</v>
      </c>
      <c r="AI4778">
        <v>107.904359741599</v>
      </c>
      <c r="AJ4778">
        <v>80.9658268136251</v>
      </c>
      <c r="AK4778">
        <v>0.67132080217511703</v>
      </c>
    </row>
    <row r="4779" spans="1:37" x14ac:dyDescent="0.2">
      <c r="A4779" t="str">
        <f>"20200111154157752"</f>
        <v>20200111154157752</v>
      </c>
      <c r="B4779" t="str">
        <f>"1578728517740870"</f>
        <v>1578728517740870</v>
      </c>
      <c r="C4779" t="s">
        <v>37</v>
      </c>
      <c r="D4779">
        <v>5.5866660000000001</v>
      </c>
      <c r="E4779">
        <v>0.58817079999999999</v>
      </c>
      <c r="F4779" t="s">
        <v>38</v>
      </c>
      <c r="G4779">
        <v>-262.8766</v>
      </c>
      <c r="H4779">
        <v>0.93293740000000003</v>
      </c>
      <c r="I4779">
        <v>-62.68038</v>
      </c>
      <c r="J4779">
        <v>-263.43950000000001</v>
      </c>
      <c r="K4779">
        <v>1.110522</v>
      </c>
      <c r="L4779">
        <v>-62.549379999999999</v>
      </c>
      <c r="M4779">
        <v>0.99789099999999997</v>
      </c>
      <c r="N4779">
        <v>0</v>
      </c>
      <c r="O4779">
        <v>-6.4629030000000004E-2</v>
      </c>
      <c r="P4779">
        <v>0.99926170000000003</v>
      </c>
      <c r="Q4779">
        <v>1.984056E-2</v>
      </c>
      <c r="R4779">
        <v>3.2901090000000001E-2</v>
      </c>
      <c r="S4779">
        <v>3.0374759999999998</v>
      </c>
      <c r="T4779">
        <v>-0.78053249999999996</v>
      </c>
      <c r="U4779">
        <v>-0.60916139999999996</v>
      </c>
      <c r="V4779">
        <v>-9.7477439999999999E-2</v>
      </c>
      <c r="W4779">
        <v>2.563035E-2</v>
      </c>
      <c r="X4779">
        <v>0.99490769999999995</v>
      </c>
      <c r="Y4779">
        <v>0.13079069999999901</v>
      </c>
      <c r="Z4779">
        <v>-2.2574509999999999E-4</v>
      </c>
      <c r="AA4779">
        <v>0.99141000000000001</v>
      </c>
      <c r="AB4779">
        <v>26</v>
      </c>
      <c r="AC4779">
        <v>0.56290000000001295</v>
      </c>
      <c r="AD4779">
        <v>-0.17758459999999901</v>
      </c>
      <c r="AE4779">
        <v>-0.13100000000000001</v>
      </c>
      <c r="AF4779">
        <v>8.6206566137353696E-2</v>
      </c>
      <c r="AG4779">
        <v>-0.17758459999999901</v>
      </c>
      <c r="AH4779">
        <v>0.52099947114015199</v>
      </c>
      <c r="AI4779">
        <v>108.586834042124</v>
      </c>
      <c r="AJ4779">
        <v>80.604745864636698</v>
      </c>
      <c r="AK4779">
        <v>0.55714298984252897</v>
      </c>
    </row>
    <row r="4780" spans="1:37" x14ac:dyDescent="0.2">
      <c r="A4780" t="str">
        <f>"20200111154157763"</f>
        <v>20200111154157763</v>
      </c>
      <c r="B4780" t="str">
        <f>"1578728517750629"</f>
        <v>1578728517750629</v>
      </c>
      <c r="C4780" t="s">
        <v>37</v>
      </c>
      <c r="D4780">
        <v>5.6698750000000002</v>
      </c>
      <c r="E4780">
        <v>0.58844770000000002</v>
      </c>
      <c r="F4780" t="s">
        <v>38</v>
      </c>
      <c r="G4780">
        <v>-262.65280000000001</v>
      </c>
      <c r="H4780">
        <v>0.90786669999999903</v>
      </c>
      <c r="I4780">
        <v>-62.707880000000003</v>
      </c>
      <c r="J4780">
        <v>-263.30360000000002</v>
      </c>
      <c r="K4780">
        <v>1.1105100000000001</v>
      </c>
      <c r="L4780">
        <v>-62.557429999999997</v>
      </c>
      <c r="M4780">
        <v>0.99793920000000003</v>
      </c>
      <c r="N4780">
        <v>0</v>
      </c>
      <c r="O4780">
        <v>-6.3885239999999996E-2</v>
      </c>
      <c r="P4780">
        <v>0.9992529</v>
      </c>
      <c r="Q4780">
        <v>1.9576570000000001E-2</v>
      </c>
      <c r="R4780">
        <v>3.3320049999999997E-2</v>
      </c>
      <c r="S4780">
        <v>3.0378720000000001</v>
      </c>
      <c r="T4780">
        <v>-0.78272430000000004</v>
      </c>
      <c r="U4780">
        <v>-0.61123660000000002</v>
      </c>
      <c r="V4780">
        <v>-9.7151799999999996E-2</v>
      </c>
      <c r="W4780">
        <v>2.5323370000000001E-2</v>
      </c>
      <c r="X4780">
        <v>0.99494740000000004</v>
      </c>
      <c r="Y4780">
        <v>0.13208120000000001</v>
      </c>
      <c r="Z4780">
        <v>-5.7432800000000003E-4</v>
      </c>
      <c r="AA4780">
        <v>0.99123869999999903</v>
      </c>
      <c r="AB4780">
        <v>26</v>
      </c>
      <c r="AC4780">
        <v>0.65080000000000304</v>
      </c>
      <c r="AD4780">
        <v>-0.2026433</v>
      </c>
      <c r="AE4780">
        <v>-0.150449999999999</v>
      </c>
      <c r="AF4780">
        <v>9.9415568036592503E-2</v>
      </c>
      <c r="AG4780">
        <v>-0.2026433</v>
      </c>
      <c r="AH4780">
        <v>0.60353518385772598</v>
      </c>
      <c r="AI4780">
        <v>108.329828965964</v>
      </c>
      <c r="AJ4780">
        <v>80.646117465787299</v>
      </c>
      <c r="AK4780">
        <v>0.64436207240735999</v>
      </c>
    </row>
    <row r="4781" spans="1:37" x14ac:dyDescent="0.2">
      <c r="A4781" t="str">
        <f>"20200111154157775"</f>
        <v>20200111154157775</v>
      </c>
      <c r="B4781" t="str">
        <f>"1578728517771126"</f>
        <v>1578728517771126</v>
      </c>
      <c r="C4781" t="s">
        <v>37</v>
      </c>
      <c r="D4781">
        <v>5.6167210000000001</v>
      </c>
      <c r="E4781">
        <v>0.58890710000000002</v>
      </c>
      <c r="F4781" t="s">
        <v>38</v>
      </c>
      <c r="G4781">
        <v>-262.4271</v>
      </c>
      <c r="H4781">
        <v>0.88349290000000003</v>
      </c>
      <c r="I4781">
        <v>-62.734139999999996</v>
      </c>
      <c r="J4781">
        <v>-263.1748</v>
      </c>
      <c r="K4781">
        <v>1.110501</v>
      </c>
      <c r="L4781">
        <v>-62.56494</v>
      </c>
      <c r="M4781">
        <v>0.99798359999999997</v>
      </c>
      <c r="N4781">
        <v>0</v>
      </c>
      <c r="O4781">
        <v>-6.3190209999999997E-2</v>
      </c>
      <c r="P4781">
        <v>0.99924690000000005</v>
      </c>
      <c r="Q4781">
        <v>1.920761E-2</v>
      </c>
      <c r="R4781">
        <v>3.3718970000000001E-2</v>
      </c>
      <c r="S4781">
        <v>3.0380859999999998</v>
      </c>
      <c r="T4781">
        <v>-0.78685859999999996</v>
      </c>
      <c r="U4781">
        <v>-0.61218260000000002</v>
      </c>
      <c r="V4781">
        <v>-9.6855800000000006E-2</v>
      </c>
      <c r="W4781">
        <v>2.4918659999999999E-2</v>
      </c>
      <c r="X4781">
        <v>0.99498639999999905</v>
      </c>
      <c r="Y4781">
        <v>0.13298209999999999</v>
      </c>
      <c r="Z4781">
        <v>-8.6554139999999997E-4</v>
      </c>
      <c r="AA4781">
        <v>0.9911181</v>
      </c>
      <c r="AB4781">
        <v>26</v>
      </c>
      <c r="AC4781">
        <v>0.74770000000000802</v>
      </c>
      <c r="AD4781">
        <v>-0.22700809999999999</v>
      </c>
      <c r="AE4781">
        <v>-0.16920000000000299</v>
      </c>
      <c r="AF4781">
        <v>0.111809366810698</v>
      </c>
      <c r="AG4781">
        <v>-0.22700809999999999</v>
      </c>
      <c r="AH4781">
        <v>0.695877699026759</v>
      </c>
      <c r="AI4781">
        <v>107.853093535002</v>
      </c>
      <c r="AJ4781">
        <v>80.872080566798203</v>
      </c>
      <c r="AK4781">
        <v>0.74045917103848202</v>
      </c>
    </row>
    <row r="4782" spans="1:37" x14ac:dyDescent="0.2">
      <c r="A4782" t="str">
        <f>"20200111154157786"</f>
        <v>20200111154157786</v>
      </c>
      <c r="B4782" t="str">
        <f>"1578728517780886"</f>
        <v>1578728517780886</v>
      </c>
      <c r="C4782" t="s">
        <v>37</v>
      </c>
      <c r="D4782">
        <v>5.56881</v>
      </c>
      <c r="E4782">
        <v>0.58914029999999995</v>
      </c>
      <c r="F4782" t="s">
        <v>38</v>
      </c>
      <c r="G4782">
        <v>-262.41469999999998</v>
      </c>
      <c r="H4782">
        <v>0.91206219999999905</v>
      </c>
      <c r="I4782">
        <v>-62.718819999999901</v>
      </c>
      <c r="J4782">
        <v>-263.03800000000001</v>
      </c>
      <c r="K4782">
        <v>1.110487</v>
      </c>
      <c r="L4782">
        <v>-62.57291</v>
      </c>
      <c r="M4782">
        <v>0.99803009999999903</v>
      </c>
      <c r="N4782">
        <v>0</v>
      </c>
      <c r="O4782">
        <v>-6.2455480000000001E-2</v>
      </c>
      <c r="P4782">
        <v>0.99923240000000002</v>
      </c>
      <c r="Q4782">
        <v>1.879202E-2</v>
      </c>
      <c r="R4782">
        <v>3.4374210000000002E-2</v>
      </c>
      <c r="S4782">
        <v>3.0383</v>
      </c>
      <c r="T4782">
        <v>-0.79323710000000003</v>
      </c>
      <c r="U4782">
        <v>-0.61477660000000001</v>
      </c>
      <c r="V4782">
        <v>-9.6774789999999999E-2</v>
      </c>
      <c r="W4782">
        <v>2.4465810000000001E-2</v>
      </c>
      <c r="X4782">
        <v>0.99500549999999999</v>
      </c>
      <c r="Y4782">
        <v>0.134407</v>
      </c>
      <c r="Z4782">
        <v>-1.2394979999999999E-3</v>
      </c>
      <c r="AA4782">
        <v>0.99092539999999996</v>
      </c>
      <c r="AB4782">
        <v>26</v>
      </c>
      <c r="AC4782">
        <v>0.62330000000002805</v>
      </c>
      <c r="AD4782">
        <v>-0.19842480000000001</v>
      </c>
      <c r="AE4782">
        <v>-0.14590999999999299</v>
      </c>
      <c r="AF4782">
        <v>9.7343317350360795E-2</v>
      </c>
      <c r="AG4782">
        <v>-0.19842480000000001</v>
      </c>
      <c r="AH4782">
        <v>0.57586747793038795</v>
      </c>
      <c r="AI4782">
        <v>108.765040505719</v>
      </c>
      <c r="AJ4782">
        <v>80.4055499256894</v>
      </c>
      <c r="AK4782">
        <v>0.61682369833342099</v>
      </c>
    </row>
    <row r="4783" spans="1:37" x14ac:dyDescent="0.2">
      <c r="A4783" t="str">
        <f>"20200111154157797"</f>
        <v>20200111154157797</v>
      </c>
      <c r="B4783" t="str">
        <f>"1578728517790646"</f>
        <v>1578728517790646</v>
      </c>
      <c r="C4783" t="s">
        <v>37</v>
      </c>
      <c r="D4783">
        <v>5.5141730000000004</v>
      </c>
      <c r="E4783">
        <v>0.58926859999999903</v>
      </c>
      <c r="F4783" t="s">
        <v>38</v>
      </c>
      <c r="G4783">
        <v>-262.18779999999998</v>
      </c>
      <c r="H4783">
        <v>0.88774560000000002</v>
      </c>
      <c r="I4783">
        <v>-62.744869999999999</v>
      </c>
      <c r="J4783">
        <v>-262.89839999999998</v>
      </c>
      <c r="K4783">
        <v>1.1104750000000001</v>
      </c>
      <c r="L4783">
        <v>-62.5809</v>
      </c>
      <c r="M4783">
        <v>0.99807639999999997</v>
      </c>
      <c r="N4783">
        <v>0</v>
      </c>
      <c r="O4783">
        <v>-6.1715039999999999E-2</v>
      </c>
      <c r="P4783">
        <v>0.99922169999999899</v>
      </c>
      <c r="Q4783">
        <v>1.8624660000000001E-2</v>
      </c>
      <c r="R4783">
        <v>3.4776090000000003E-2</v>
      </c>
      <c r="S4783">
        <v>3.0384519999999999</v>
      </c>
      <c r="T4783">
        <v>-0.7961395</v>
      </c>
      <c r="U4783">
        <v>-0.61428830000000001</v>
      </c>
      <c r="V4783">
        <v>-9.6436049999999995E-2</v>
      </c>
      <c r="W4783">
        <v>2.4264170000000002E-2</v>
      </c>
      <c r="X4783">
        <v>0.99504340000000002</v>
      </c>
      <c r="Y4783">
        <v>0.13492209999999999</v>
      </c>
      <c r="Z4783">
        <v>-1.4976739999999901E-3</v>
      </c>
      <c r="AA4783">
        <v>0.99085509999999999</v>
      </c>
      <c r="AB4783">
        <v>27</v>
      </c>
      <c r="AC4783">
        <v>0.71059999999999901</v>
      </c>
      <c r="AD4783">
        <v>-0.22272939999999999</v>
      </c>
      <c r="AE4783">
        <v>-0.16396999999999901</v>
      </c>
      <c r="AF4783">
        <v>0.109580595208606</v>
      </c>
      <c r="AG4783">
        <v>-0.22272939999999999</v>
      </c>
      <c r="AH4783">
        <v>0.65798960510994298</v>
      </c>
      <c r="AI4783">
        <v>108.46422444482801</v>
      </c>
      <c r="AJ4783">
        <v>80.544823441755199</v>
      </c>
      <c r="AK4783">
        <v>0.703254301731153</v>
      </c>
    </row>
    <row r="4784" spans="1:37" x14ac:dyDescent="0.2">
      <c r="A4784" t="str">
        <f>"20200111154157808"</f>
        <v>20200111154157808</v>
      </c>
      <c r="B4784" t="str">
        <f>"1578728517801381"</f>
        <v>1578728517801381</v>
      </c>
      <c r="C4784" t="s">
        <v>37</v>
      </c>
      <c r="D4784">
        <v>5.5169050000000004</v>
      </c>
      <c r="E4784">
        <v>0.58941960000000004</v>
      </c>
      <c r="F4784" t="s">
        <v>38</v>
      </c>
      <c r="G4784">
        <v>-262.1737</v>
      </c>
      <c r="H4784">
        <v>0.92022899999999996</v>
      </c>
      <c r="I4784">
        <v>-62.72739</v>
      </c>
      <c r="J4784">
        <v>-262.7758</v>
      </c>
      <c r="K4784">
        <v>1.1104609999999999</v>
      </c>
      <c r="L4784">
        <v>-62.587829999999997</v>
      </c>
      <c r="M4784">
        <v>0.99811649999999996</v>
      </c>
      <c r="N4784">
        <v>0</v>
      </c>
      <c r="O4784">
        <v>-6.1069020000000002E-2</v>
      </c>
      <c r="P4784">
        <v>0.99919999999999998</v>
      </c>
      <c r="Q4784">
        <v>1.8255239999999999E-2</v>
      </c>
      <c r="R4784">
        <v>3.5585720000000001E-2</v>
      </c>
      <c r="S4784">
        <v>3.0385439999999999</v>
      </c>
      <c r="T4784">
        <v>-0.79778070000000001</v>
      </c>
      <c r="U4784">
        <v>-0.61386109999999905</v>
      </c>
      <c r="V4784">
        <v>-9.6597799999999998E-2</v>
      </c>
      <c r="W4784">
        <v>2.3865170000000002E-2</v>
      </c>
      <c r="X4784">
        <v>0.99503730000000001</v>
      </c>
      <c r="Y4784">
        <v>0.1353781</v>
      </c>
      <c r="Z4784">
        <v>-1.7234139999999999E-3</v>
      </c>
      <c r="AA4784">
        <v>0.99079249999999996</v>
      </c>
      <c r="AB4784">
        <v>27</v>
      </c>
      <c r="AC4784">
        <v>0.60210000000000696</v>
      </c>
      <c r="AD4784">
        <v>-0.19023200000000001</v>
      </c>
      <c r="AE4784">
        <v>-0.13955999999999499</v>
      </c>
      <c r="AF4784">
        <v>9.3656816641478194E-2</v>
      </c>
      <c r="AG4784">
        <v>-0.19023200000000001</v>
      </c>
      <c r="AH4784">
        <v>0.55675584626498398</v>
      </c>
      <c r="AI4784">
        <v>108.62100113565199</v>
      </c>
      <c r="AJ4784">
        <v>80.451170843523599</v>
      </c>
      <c r="AK4784">
        <v>0.59576579750574299</v>
      </c>
    </row>
    <row r="4785" spans="1:37" x14ac:dyDescent="0.2">
      <c r="A4785" t="str">
        <f>"20200111154157818"</f>
        <v>20200111154157818</v>
      </c>
      <c r="B4785" t="str">
        <f>"1578728517811141"</f>
        <v>1578728517811141</v>
      </c>
      <c r="C4785" t="s">
        <v>37</v>
      </c>
      <c r="D4785">
        <v>5.5182599999999997</v>
      </c>
      <c r="E4785">
        <v>0.58958759999999999</v>
      </c>
      <c r="F4785" t="s">
        <v>38</v>
      </c>
      <c r="G4785">
        <v>-261.94740000000002</v>
      </c>
      <c r="H4785">
        <v>0.89236550000000003</v>
      </c>
      <c r="I4785">
        <v>-62.754890000000003</v>
      </c>
      <c r="J4785">
        <v>-262.640999999999</v>
      </c>
      <c r="K4785">
        <v>1.110447</v>
      </c>
      <c r="L4785">
        <v>-62.595399999999998</v>
      </c>
      <c r="M4785">
        <v>0.99815940000000003</v>
      </c>
      <c r="N4785">
        <v>0</v>
      </c>
      <c r="O4785">
        <v>-6.0364580000000001E-2</v>
      </c>
      <c r="P4785">
        <v>0.99918390000000001</v>
      </c>
      <c r="Q4785">
        <v>1.8169060000000001E-2</v>
      </c>
      <c r="R4785">
        <v>3.6079720000000003E-2</v>
      </c>
      <c r="S4785">
        <v>3.038818</v>
      </c>
      <c r="T4785">
        <v>-0.8002148</v>
      </c>
      <c r="U4785">
        <v>-0.61236569999999901</v>
      </c>
      <c r="V4785">
        <v>-9.6386940000000004E-2</v>
      </c>
      <c r="W4785">
        <v>2.3749329999999999E-2</v>
      </c>
      <c r="X4785">
        <v>0.99506059999999996</v>
      </c>
      <c r="Y4785">
        <v>0.13554829999999901</v>
      </c>
      <c r="Z4785">
        <v>-1.9300679999999901E-3</v>
      </c>
      <c r="AA4785">
        <v>0.99076880000000001</v>
      </c>
      <c r="AB4785">
        <v>27</v>
      </c>
      <c r="AC4785">
        <v>0.69359999999994604</v>
      </c>
      <c r="AD4785">
        <v>-0.21808150000000001</v>
      </c>
      <c r="AE4785">
        <v>-0.15949000000000499</v>
      </c>
      <c r="AF4785">
        <v>0.107258515594783</v>
      </c>
      <c r="AG4785">
        <v>-0.21808150000000001</v>
      </c>
      <c r="AH4785">
        <v>0.64170946574571597</v>
      </c>
      <c r="AI4785">
        <v>108.530874556935</v>
      </c>
      <c r="AJ4785">
        <v>80.511015230794598</v>
      </c>
      <c r="AK4785">
        <v>0.68618872639930395</v>
      </c>
    </row>
    <row r="4786" spans="1:37" x14ac:dyDescent="0.2">
      <c r="A4786" t="str">
        <f>"20200111154157830"</f>
        <v>20200111154157830</v>
      </c>
      <c r="B4786" t="str">
        <f>"1578728517820901"</f>
        <v>1578728517820901</v>
      </c>
      <c r="C4786" t="s">
        <v>37</v>
      </c>
      <c r="D4786">
        <v>5.58026</v>
      </c>
      <c r="E4786">
        <v>0.58974839999999995</v>
      </c>
      <c r="F4786" t="s">
        <v>38</v>
      </c>
      <c r="G4786">
        <v>-261.93360000000001</v>
      </c>
      <c r="H4786">
        <v>0.92386950000000001</v>
      </c>
      <c r="I4786">
        <v>-62.738</v>
      </c>
      <c r="J4786">
        <v>-262.5093</v>
      </c>
      <c r="K4786">
        <v>1.110436</v>
      </c>
      <c r="L4786">
        <v>-62.602690000000003</v>
      </c>
      <c r="M4786">
        <v>0.99820049999999905</v>
      </c>
      <c r="N4786">
        <v>0</v>
      </c>
      <c r="O4786">
        <v>-5.9684349999999997E-2</v>
      </c>
      <c r="P4786">
        <v>0.99917109999999998</v>
      </c>
      <c r="Q4786">
        <v>1.7886550000000001E-2</v>
      </c>
      <c r="R4786">
        <v>3.65686E-2</v>
      </c>
      <c r="S4786">
        <v>3.0391240000000002</v>
      </c>
      <c r="T4786">
        <v>-0.8017244</v>
      </c>
      <c r="U4786">
        <v>-0.61206050000000001</v>
      </c>
      <c r="V4786">
        <v>-9.619453E-2</v>
      </c>
      <c r="W4786">
        <v>2.3440430000000002E-2</v>
      </c>
      <c r="X4786">
        <v>0.99508649999999998</v>
      </c>
      <c r="Y4786">
        <v>0.1360604</v>
      </c>
      <c r="Z4786">
        <v>-2.1732129999999998E-3</v>
      </c>
      <c r="AA4786">
        <v>0.99069819999999997</v>
      </c>
      <c r="AB4786">
        <v>27</v>
      </c>
      <c r="AC4786">
        <v>0.575699999999983</v>
      </c>
      <c r="AD4786">
        <v>-0.1865665</v>
      </c>
      <c r="AE4786">
        <v>-0.13530999999999599</v>
      </c>
      <c r="AF4786">
        <v>9.1592381232539904E-2</v>
      </c>
      <c r="AG4786">
        <v>-0.1865665</v>
      </c>
      <c r="AH4786">
        <v>0.53000233450546597</v>
      </c>
      <c r="AI4786">
        <v>109.13008439439</v>
      </c>
      <c r="AJ4786">
        <v>80.195267699676705</v>
      </c>
      <c r="AK4786">
        <v>0.56929666941177604</v>
      </c>
    </row>
    <row r="4787" spans="1:37" x14ac:dyDescent="0.2">
      <c r="A4787" t="str">
        <f>"20200111154157840"</f>
        <v>20200111154157840</v>
      </c>
      <c r="B4787" t="str">
        <f>"1578728517830663"</f>
        <v>1578728517830663</v>
      </c>
      <c r="C4787" t="s">
        <v>37</v>
      </c>
      <c r="D4787">
        <v>5.507854</v>
      </c>
      <c r="E4787">
        <v>0.59012980000000004</v>
      </c>
      <c r="F4787" t="s">
        <v>38</v>
      </c>
      <c r="G4787">
        <v>-261.70569999999998</v>
      </c>
      <c r="H4787">
        <v>0.89789509999999995</v>
      </c>
      <c r="I4787">
        <v>-62.764789999999998</v>
      </c>
      <c r="J4787">
        <v>-262.38229999999999</v>
      </c>
      <c r="K4787">
        <v>1.1104270000000001</v>
      </c>
      <c r="L4787">
        <v>-62.609650000000002</v>
      </c>
      <c r="M4787">
        <v>0.9982394</v>
      </c>
      <c r="N4787">
        <v>0</v>
      </c>
      <c r="O4787">
        <v>-5.903166E-2</v>
      </c>
      <c r="P4787">
        <v>0.99915499999999902</v>
      </c>
      <c r="Q4787">
        <v>1.7613489999999999E-2</v>
      </c>
      <c r="R4787">
        <v>3.7139289999999998E-2</v>
      </c>
      <c r="S4787">
        <v>3.0392759999999899</v>
      </c>
      <c r="T4787">
        <v>-0.80397969999999996</v>
      </c>
      <c r="U4787">
        <v>-0.61166379999999998</v>
      </c>
      <c r="V4787">
        <v>-9.6112149999999993E-2</v>
      </c>
      <c r="W4787">
        <v>2.3142960000000001E-2</v>
      </c>
      <c r="X4787">
        <v>0.99510149999999997</v>
      </c>
      <c r="Y4787">
        <v>0.13652349999999999</v>
      </c>
      <c r="Z4787">
        <v>-2.4061070000000002E-3</v>
      </c>
      <c r="AA4787">
        <v>0.99063389999999996</v>
      </c>
      <c r="AB4787">
        <v>27</v>
      </c>
      <c r="AC4787">
        <v>0.67660000000000697</v>
      </c>
      <c r="AD4787">
        <v>-0.2125319</v>
      </c>
      <c r="AE4787">
        <v>-0.155140000000002</v>
      </c>
      <c r="AF4787">
        <v>0.105077824169205</v>
      </c>
      <c r="AG4787">
        <v>-0.2125319</v>
      </c>
      <c r="AH4787">
        <v>0.62590519938572797</v>
      </c>
      <c r="AI4787">
        <v>108.514306051674</v>
      </c>
      <c r="AJ4787">
        <v>80.469974634502606</v>
      </c>
      <c r="AK4787">
        <v>0.66930447202138998</v>
      </c>
    </row>
    <row r="4788" spans="1:37" x14ac:dyDescent="0.2">
      <c r="A4788" t="str">
        <f>"20200111154157852"</f>
        <v>20200111154157852</v>
      </c>
      <c r="B4788" t="str">
        <f>"1578728517841398"</f>
        <v>1578728517841398</v>
      </c>
      <c r="C4788" t="s">
        <v>37</v>
      </c>
      <c r="D4788">
        <v>5.4926240000000002</v>
      </c>
      <c r="E4788">
        <v>0.59052799999999905</v>
      </c>
      <c r="F4788" t="s">
        <v>38</v>
      </c>
      <c r="G4788">
        <v>-261.69260000000003</v>
      </c>
      <c r="H4788">
        <v>0.92745599999999995</v>
      </c>
      <c r="I4788">
        <v>-62.749109999999902</v>
      </c>
      <c r="J4788">
        <v>-262.24959999999999</v>
      </c>
      <c r="K4788">
        <v>1.1104160000000001</v>
      </c>
      <c r="L4788">
        <v>-62.616819999999997</v>
      </c>
      <c r="M4788">
        <v>0.99827900000000003</v>
      </c>
      <c r="N4788">
        <v>0</v>
      </c>
      <c r="O4788">
        <v>-5.8360019999999999E-2</v>
      </c>
      <c r="P4788">
        <v>0.99913799999999997</v>
      </c>
      <c r="Q4788">
        <v>1.7626949999999999E-2</v>
      </c>
      <c r="R4788">
        <v>3.7583329999999998E-2</v>
      </c>
      <c r="S4788">
        <v>3.0395509999999999</v>
      </c>
      <c r="T4788">
        <v>-0.80652049999999997</v>
      </c>
      <c r="U4788">
        <v>-0.61297609999999902</v>
      </c>
      <c r="V4788">
        <v>-9.5884410000000003E-2</v>
      </c>
      <c r="W4788">
        <v>2.3133899999999999E-2</v>
      </c>
      <c r="X4788">
        <v>0.995123599999999</v>
      </c>
      <c r="Y4788">
        <v>0.1375131</v>
      </c>
      <c r="Z4788">
        <v>-2.7138319999999998E-3</v>
      </c>
      <c r="AA4788">
        <v>0.99049619999999905</v>
      </c>
      <c r="AB4788">
        <v>27</v>
      </c>
      <c r="AC4788">
        <v>0.55699999999995897</v>
      </c>
      <c r="AD4788">
        <v>-0.18296000000000001</v>
      </c>
      <c r="AE4788">
        <v>-0.13228999999999699</v>
      </c>
      <c r="AF4788">
        <v>9.0331532666978603E-2</v>
      </c>
      <c r="AG4788">
        <v>-0.18296000000000001</v>
      </c>
      <c r="AH4788">
        <v>0.51152693378497205</v>
      </c>
      <c r="AI4788">
        <v>109.40350640641999</v>
      </c>
      <c r="AJ4788">
        <v>79.985277484187307</v>
      </c>
      <c r="AK4788">
        <v>0.55072130100570804</v>
      </c>
    </row>
    <row r="4789" spans="1:37" x14ac:dyDescent="0.2">
      <c r="A4789" t="str">
        <f>"20200111154157863"</f>
        <v>20200111154157863</v>
      </c>
      <c r="B4789" t="str">
        <f>"1578728517860918"</f>
        <v>1578728517860918</v>
      </c>
      <c r="C4789" t="s">
        <v>37</v>
      </c>
      <c r="D4789">
        <v>5.4719939999999996</v>
      </c>
      <c r="E4789">
        <v>0.5912636</v>
      </c>
      <c r="F4789" t="s">
        <v>38</v>
      </c>
      <c r="G4789">
        <v>-261.46390000000002</v>
      </c>
      <c r="H4789">
        <v>0.9014529</v>
      </c>
      <c r="I4789">
        <v>-62.775829999999999</v>
      </c>
      <c r="J4789">
        <v>-262.10849999999999</v>
      </c>
      <c r="K4789">
        <v>1.110406</v>
      </c>
      <c r="L4789">
        <v>-62.624389999999998</v>
      </c>
      <c r="M4789">
        <v>0.99832049999999894</v>
      </c>
      <c r="N4789">
        <v>0</v>
      </c>
      <c r="O4789">
        <v>-5.7649279999999997E-2</v>
      </c>
      <c r="P4789">
        <v>0.99911469999999902</v>
      </c>
      <c r="Q4789">
        <v>1.7606920000000002E-2</v>
      </c>
      <c r="R4789">
        <v>3.8209239999999998E-2</v>
      </c>
      <c r="S4789">
        <v>3.0400390000000002</v>
      </c>
      <c r="T4789">
        <v>-0.80851399999999995</v>
      </c>
      <c r="U4789">
        <v>-0.61483759999999998</v>
      </c>
      <c r="V4789">
        <v>-9.5798620000000001E-2</v>
      </c>
      <c r="W4789">
        <v>2.308957E-2</v>
      </c>
      <c r="X4789">
        <v>0.99513289999999999</v>
      </c>
      <c r="Y4789">
        <v>0.13869519999999999</v>
      </c>
      <c r="Z4789">
        <v>-3.0561159999999898E-3</v>
      </c>
      <c r="AA4789">
        <v>0.99033040000000006</v>
      </c>
      <c r="AB4789">
        <v>27</v>
      </c>
      <c r="AC4789">
        <v>0.64459999999996798</v>
      </c>
      <c r="AD4789">
        <v>-0.2089531</v>
      </c>
      <c r="AE4789">
        <v>-0.15143999999999999</v>
      </c>
      <c r="AF4789">
        <v>0.103700056851428</v>
      </c>
      <c r="AG4789">
        <v>-0.2089531</v>
      </c>
      <c r="AH4789">
        <v>0.59318724157352198</v>
      </c>
      <c r="AI4789">
        <v>109.13638967732101</v>
      </c>
      <c r="AJ4789">
        <v>80.083849376097803</v>
      </c>
      <c r="AK4789">
        <v>0.63740583881558799</v>
      </c>
    </row>
    <row r="4790" spans="1:37" x14ac:dyDescent="0.2">
      <c r="A4790" t="str">
        <f>"20200111154157874"</f>
        <v>20200111154157874</v>
      </c>
      <c r="B4790" t="str">
        <f>"1578728517870678"</f>
        <v>1578728517870678</v>
      </c>
      <c r="C4790" t="s">
        <v>37</v>
      </c>
      <c r="D4790">
        <v>5.4704249999999996</v>
      </c>
      <c r="E4790">
        <v>0.591620699999999</v>
      </c>
      <c r="F4790" t="s">
        <v>38</v>
      </c>
      <c r="G4790">
        <v>-261.233</v>
      </c>
      <c r="H4790">
        <v>0.87693120000000002</v>
      </c>
      <c r="I4790">
        <v>-62.802750000000003</v>
      </c>
      <c r="J4790">
        <v>-261.97379999999998</v>
      </c>
      <c r="K4790">
        <v>1.1104000000000001</v>
      </c>
      <c r="L4790">
        <v>-62.631469999999901</v>
      </c>
      <c r="M4790">
        <v>0.998359</v>
      </c>
      <c r="N4790">
        <v>0</v>
      </c>
      <c r="O4790">
        <v>-5.6982659999999997E-2</v>
      </c>
      <c r="P4790">
        <v>0.99909499999999996</v>
      </c>
      <c r="Q4790">
        <v>1.774543E-2</v>
      </c>
      <c r="R4790">
        <v>3.865801E-2</v>
      </c>
      <c r="S4790">
        <v>3.0405880000000001</v>
      </c>
      <c r="T4790">
        <v>-0.81089140000000004</v>
      </c>
      <c r="U4790">
        <v>-0.61895749999999905</v>
      </c>
      <c r="V4790">
        <v>-9.5581009999999994E-2</v>
      </c>
      <c r="W4790">
        <v>2.320827E-2</v>
      </c>
      <c r="X4790">
        <v>0.99515100000000001</v>
      </c>
      <c r="Y4790">
        <v>0.1405131</v>
      </c>
      <c r="Z4790">
        <v>-3.4723089999999998E-3</v>
      </c>
      <c r="AA4790">
        <v>0.99007269999999903</v>
      </c>
      <c r="AB4790">
        <v>27</v>
      </c>
      <c r="AC4790">
        <v>0.74079999999997803</v>
      </c>
      <c r="AD4790">
        <v>-0.2334688</v>
      </c>
      <c r="AE4790">
        <v>-0.17128000000001001</v>
      </c>
      <c r="AF4790">
        <v>0.117691786220256</v>
      </c>
      <c r="AG4790">
        <v>-0.2334688</v>
      </c>
      <c r="AH4790">
        <v>0.68479146573873295</v>
      </c>
      <c r="AI4790">
        <v>108.57275169414901</v>
      </c>
      <c r="AJ4790">
        <v>80.248123372020899</v>
      </c>
      <c r="AK4790">
        <v>0.733006404246073</v>
      </c>
    </row>
    <row r="4791" spans="1:37" x14ac:dyDescent="0.2">
      <c r="A4791" t="str">
        <f>"20200111154157887"</f>
        <v>20200111154157887</v>
      </c>
      <c r="B4791" t="str">
        <f>"1578728517880437"</f>
        <v>1578728517880437</v>
      </c>
      <c r="C4791" t="s">
        <v>37</v>
      </c>
      <c r="D4791">
        <v>5.4600530000000003</v>
      </c>
      <c r="E4791">
        <v>0.59192449999999996</v>
      </c>
      <c r="F4791" t="s">
        <v>38</v>
      </c>
      <c r="G4791">
        <v>-261.2192</v>
      </c>
      <c r="H4791">
        <v>0.90901119999999902</v>
      </c>
      <c r="I4791">
        <v>-62.785469999999997</v>
      </c>
      <c r="J4791">
        <v>-261.832999999999</v>
      </c>
      <c r="K4791">
        <v>1.110393</v>
      </c>
      <c r="L4791">
        <v>-62.638819999999903</v>
      </c>
      <c r="M4791">
        <v>0.99839840000000002</v>
      </c>
      <c r="N4791">
        <v>0</v>
      </c>
      <c r="O4791">
        <v>-5.6288970000000001E-2</v>
      </c>
      <c r="P4791">
        <v>0.99906949999999894</v>
      </c>
      <c r="Q4791">
        <v>1.7936379999999998E-2</v>
      </c>
      <c r="R4791">
        <v>3.9226160000000003E-2</v>
      </c>
      <c r="S4791">
        <v>3.0411679999999999</v>
      </c>
      <c r="T4791">
        <v>-0.81161890000000003</v>
      </c>
      <c r="U4791">
        <v>-0.62005619999999995</v>
      </c>
      <c r="V4791">
        <v>-9.5455369999999998E-2</v>
      </c>
      <c r="W4791">
        <v>2.337941E-2</v>
      </c>
      <c r="X4791">
        <v>0.99515909999999996</v>
      </c>
      <c r="Y4791">
        <v>0.14144879999999899</v>
      </c>
      <c r="Z4791">
        <v>-3.7755979999999998E-3</v>
      </c>
      <c r="AA4791">
        <v>0.9899384</v>
      </c>
      <c r="AB4791">
        <v>27</v>
      </c>
      <c r="AC4791">
        <v>0.61379999999996904</v>
      </c>
      <c r="AD4791">
        <v>-0.2013818</v>
      </c>
      <c r="AE4791">
        <v>-0.146650000000001</v>
      </c>
      <c r="AF4791">
        <v>0.101528109406538</v>
      </c>
      <c r="AG4791">
        <v>-0.2013818</v>
      </c>
      <c r="AH4791">
        <v>0.56368177812152598</v>
      </c>
      <c r="AI4791">
        <v>109.371862993535</v>
      </c>
      <c r="AJ4791">
        <v>79.789588458115404</v>
      </c>
      <c r="AK4791">
        <v>0.60712414987146701</v>
      </c>
    </row>
    <row r="4792" spans="1:37" x14ac:dyDescent="0.2">
      <c r="A4792" t="str">
        <f>"20200111154157898"</f>
        <v>20200111154157898</v>
      </c>
      <c r="B4792" t="str">
        <f>"1578728517891174"</f>
        <v>1578728517891174</v>
      </c>
      <c r="C4792" t="s">
        <v>37</v>
      </c>
      <c r="D4792">
        <v>5.4121129999999997</v>
      </c>
      <c r="E4792">
        <v>0.59218950000000004</v>
      </c>
      <c r="F4792" t="s">
        <v>38</v>
      </c>
      <c r="G4792">
        <v>-260.98739999999998</v>
      </c>
      <c r="H4792">
        <v>0.88456959999999996</v>
      </c>
      <c r="I4792">
        <v>-62.811579999999999</v>
      </c>
      <c r="J4792">
        <v>-261.69540000000001</v>
      </c>
      <c r="K4792">
        <v>1.110384</v>
      </c>
      <c r="L4792">
        <v>-62.645940000000003</v>
      </c>
      <c r="M4792">
        <v>0.99843599999999999</v>
      </c>
      <c r="N4792">
        <v>0</v>
      </c>
      <c r="O4792">
        <v>-5.5620089999999997E-2</v>
      </c>
      <c r="P4792">
        <v>0.99904919999999997</v>
      </c>
      <c r="Q4792">
        <v>1.8266660000000001E-2</v>
      </c>
      <c r="R4792">
        <v>3.9585469999999998E-2</v>
      </c>
      <c r="S4792">
        <v>3.0417179999999999</v>
      </c>
      <c r="T4792">
        <v>-0.81233840000000002</v>
      </c>
      <c r="U4792">
        <v>-0.6205444</v>
      </c>
      <c r="V4792">
        <v>-9.5146220000000004E-2</v>
      </c>
      <c r="W4792">
        <v>2.3692599999999901E-2</v>
      </c>
      <c r="X4792">
        <v>0.99518130000000005</v>
      </c>
      <c r="Y4792">
        <v>0.14217839999999901</v>
      </c>
      <c r="Z4792">
        <v>-4.046137E-3</v>
      </c>
      <c r="AA4792">
        <v>0.98983279999999996</v>
      </c>
      <c r="AB4792">
        <v>27</v>
      </c>
      <c r="AC4792">
        <v>0.70800000000002605</v>
      </c>
      <c r="AD4792">
        <v>-0.2258144</v>
      </c>
      <c r="AE4792">
        <v>-0.16564000000000301</v>
      </c>
      <c r="AF4792">
        <v>0.114920108395574</v>
      </c>
      <c r="AG4792">
        <v>-0.2258144</v>
      </c>
      <c r="AH4792">
        <v>0.65312446189470397</v>
      </c>
      <c r="AI4792">
        <v>108.8044200163</v>
      </c>
      <c r="AJ4792">
        <v>80.0207061477374</v>
      </c>
      <c r="AK4792">
        <v>0.70055002482781803</v>
      </c>
    </row>
    <row r="4793" spans="1:37" x14ac:dyDescent="0.2">
      <c r="A4793" t="str">
        <f>"20200111154157909"</f>
        <v>20200111154157909</v>
      </c>
      <c r="B4793" t="str">
        <f>"1578728517900934"</f>
        <v>1578728517900934</v>
      </c>
      <c r="C4793" t="s">
        <v>37</v>
      </c>
      <c r="D4793">
        <v>5.4639550000000003</v>
      </c>
      <c r="E4793">
        <v>0.59247309999999997</v>
      </c>
      <c r="F4793" t="s">
        <v>38</v>
      </c>
      <c r="G4793">
        <v>-260.97320000000002</v>
      </c>
      <c r="H4793">
        <v>0.91754590000000003</v>
      </c>
      <c r="I4793">
        <v>-62.793669999999999</v>
      </c>
      <c r="J4793">
        <v>-261.55549999999999</v>
      </c>
      <c r="K4793">
        <v>1.1103809999999901</v>
      </c>
      <c r="L4793">
        <v>-62.65305</v>
      </c>
      <c r="M4793">
        <v>0.99847330000000001</v>
      </c>
      <c r="N4793">
        <v>0</v>
      </c>
      <c r="O4793">
        <v>-5.4946910000000002E-2</v>
      </c>
      <c r="P4793">
        <v>0.99902219999999997</v>
      </c>
      <c r="Q4793">
        <v>1.8575930000000001E-2</v>
      </c>
      <c r="R4793">
        <v>4.0118719999999997E-2</v>
      </c>
      <c r="S4793">
        <v>3.042297</v>
      </c>
      <c r="T4793">
        <v>-0.81239530000000004</v>
      </c>
      <c r="U4793">
        <v>-0.62136840000000004</v>
      </c>
      <c r="V4793">
        <v>-9.5006499999999994E-2</v>
      </c>
      <c r="W4793">
        <v>2.398482E-2</v>
      </c>
      <c r="X4793">
        <v>0.99518759999999995</v>
      </c>
      <c r="Y4793">
        <v>0.143016</v>
      </c>
      <c r="Z4793">
        <v>-4.3287070000000002E-3</v>
      </c>
      <c r="AA4793">
        <v>0.98971089999999995</v>
      </c>
      <c r="AB4793">
        <v>27</v>
      </c>
      <c r="AC4793">
        <v>0.58229999999997495</v>
      </c>
      <c r="AD4793">
        <v>-0.19283509999999901</v>
      </c>
      <c r="AE4793">
        <v>-0.140619999999998</v>
      </c>
      <c r="AF4793">
        <v>9.8232195385091606E-2</v>
      </c>
      <c r="AG4793">
        <v>-0.19283509999999901</v>
      </c>
      <c r="AH4793">
        <v>0.533829238442319</v>
      </c>
      <c r="AI4793">
        <v>109.558352651213</v>
      </c>
      <c r="AJ4793">
        <v>79.573400871566093</v>
      </c>
      <c r="AK4793">
        <v>0.57602829428604596</v>
      </c>
    </row>
    <row r="4794" spans="1:37" x14ac:dyDescent="0.2">
      <c r="A4794" t="str">
        <f>"20200111154157921"</f>
        <v>20200111154157921</v>
      </c>
      <c r="B4794" t="str">
        <f>"1578728517910694"</f>
        <v>1578728517910694</v>
      </c>
      <c r="C4794" t="s">
        <v>37</v>
      </c>
      <c r="D4794">
        <v>5.3971689999999999</v>
      </c>
      <c r="E4794">
        <v>0.59269910000000003</v>
      </c>
      <c r="F4794" t="s">
        <v>38</v>
      </c>
      <c r="G4794">
        <v>-260.74040000000002</v>
      </c>
      <c r="H4794">
        <v>0.89280939999999998</v>
      </c>
      <c r="I4794">
        <v>-62.819789999999998</v>
      </c>
      <c r="J4794">
        <v>-261.41250000000002</v>
      </c>
      <c r="K4794">
        <v>1.1103749999999999</v>
      </c>
      <c r="L4794">
        <v>-62.660249999999998</v>
      </c>
      <c r="M4794">
        <v>0.99851080000000003</v>
      </c>
      <c r="N4794">
        <v>0</v>
      </c>
      <c r="O4794">
        <v>-5.4264430000000002E-2</v>
      </c>
      <c r="P4794">
        <v>0.99898099999999901</v>
      </c>
      <c r="Q4794">
        <v>1.8904560000000001E-2</v>
      </c>
      <c r="R4794">
        <v>4.0985260000000003E-2</v>
      </c>
      <c r="S4794">
        <v>3.042999</v>
      </c>
      <c r="T4794">
        <v>-0.81235500000000005</v>
      </c>
      <c r="U4794">
        <v>-0.62170409999999998</v>
      </c>
      <c r="V4794">
        <v>-9.5189919999999997E-2</v>
      </c>
      <c r="W4794">
        <v>2.42960999999999E-2</v>
      </c>
      <c r="X4794">
        <v>0.99516260000000001</v>
      </c>
      <c r="Y4794">
        <v>0.14370769999999999</v>
      </c>
      <c r="Z4794">
        <v>-4.5940169999999997E-3</v>
      </c>
      <c r="AA4794">
        <v>0.98960949999999903</v>
      </c>
      <c r="AB4794">
        <v>27</v>
      </c>
      <c r="AC4794">
        <v>0.67210000000000003</v>
      </c>
      <c r="AD4794">
        <v>-0.217565599999999</v>
      </c>
      <c r="AE4794">
        <v>-0.15954000000000601</v>
      </c>
      <c r="AF4794">
        <v>0.11174797265221401</v>
      </c>
      <c r="AG4794">
        <v>-0.217565599999999</v>
      </c>
      <c r="AH4794">
        <v>0.61842064890021198</v>
      </c>
      <c r="AI4794">
        <v>109.09594166069201</v>
      </c>
      <c r="AJ4794">
        <v>79.757239961015003</v>
      </c>
      <c r="AK4794">
        <v>0.66503120128411997</v>
      </c>
    </row>
    <row r="4795" spans="1:37" x14ac:dyDescent="0.2">
      <c r="A4795" t="str">
        <f>"20200111154157932"</f>
        <v>20200111154157932</v>
      </c>
      <c r="B4795" t="str">
        <f>"1578728517920454"</f>
        <v>1578728517920454</v>
      </c>
      <c r="C4795" t="s">
        <v>37</v>
      </c>
      <c r="D4795">
        <v>5.3833320000000002</v>
      </c>
      <c r="E4795">
        <v>0.59289429999999999</v>
      </c>
      <c r="F4795" t="s">
        <v>38</v>
      </c>
      <c r="G4795">
        <v>-260.72539999999998</v>
      </c>
      <c r="H4795">
        <v>0.9271433</v>
      </c>
      <c r="I4795">
        <v>-62.800569999999901</v>
      </c>
      <c r="J4795">
        <v>-261.28280000000001</v>
      </c>
      <c r="K4795">
        <v>1.110368</v>
      </c>
      <c r="L4795">
        <v>-62.666690000000003</v>
      </c>
      <c r="M4795">
        <v>0.99854370000000003</v>
      </c>
      <c r="N4795">
        <v>0</v>
      </c>
      <c r="O4795">
        <v>-5.3657299999999998E-2</v>
      </c>
      <c r="P4795">
        <v>0.99895020000000001</v>
      </c>
      <c r="Q4795">
        <v>1.931741E-2</v>
      </c>
      <c r="R4795">
        <v>4.1541269999999998E-2</v>
      </c>
      <c r="S4795">
        <v>3.0438839999999998</v>
      </c>
      <c r="T4795">
        <v>-0.81185090000000004</v>
      </c>
      <c r="U4795">
        <v>-0.62075809999999998</v>
      </c>
      <c r="V4795">
        <v>-9.5138680000000003E-2</v>
      </c>
      <c r="W4795">
        <v>2.4695580000000002E-2</v>
      </c>
      <c r="X4795">
        <v>0.99515769999999903</v>
      </c>
      <c r="Y4795">
        <v>0.14393449999999999</v>
      </c>
      <c r="Z4795">
        <v>-4.7765519999999999E-3</v>
      </c>
      <c r="AA4795">
        <v>0.98957569999999995</v>
      </c>
      <c r="AB4795">
        <v>27</v>
      </c>
      <c r="AC4795">
        <v>0.55740000000002898</v>
      </c>
      <c r="AD4795">
        <v>-0.18322469999999899</v>
      </c>
      <c r="AE4795">
        <v>-0.13387999999999001</v>
      </c>
      <c r="AF4795">
        <v>9.4158915544199404E-2</v>
      </c>
      <c r="AG4795">
        <v>-0.18322469999999899</v>
      </c>
      <c r="AH4795">
        <v>0.51152404728058598</v>
      </c>
      <c r="AI4795">
        <v>109.406098877068</v>
      </c>
      <c r="AJ4795">
        <v>79.570021357995003</v>
      </c>
      <c r="AK4795">
        <v>0.55144722595445195</v>
      </c>
    </row>
    <row r="4796" spans="1:37" x14ac:dyDescent="0.2">
      <c r="A4796" t="str">
        <f>"20200111154157941"</f>
        <v>20200111154157941</v>
      </c>
      <c r="B4796" t="str">
        <f>"1578728517931190"</f>
        <v>1578728517931190</v>
      </c>
      <c r="C4796" t="s">
        <v>37</v>
      </c>
      <c r="D4796">
        <v>5.4176589999999996</v>
      </c>
      <c r="E4796">
        <v>0.59311659999999999</v>
      </c>
      <c r="F4796" t="s">
        <v>38</v>
      </c>
      <c r="G4796">
        <v>-260.49299999999999</v>
      </c>
      <c r="H4796">
        <v>0.89980830000000001</v>
      </c>
      <c r="I4796">
        <v>-62.82788</v>
      </c>
      <c r="J4796">
        <v>-261.15499999999997</v>
      </c>
      <c r="K4796">
        <v>1.11036</v>
      </c>
      <c r="L4796">
        <v>-62.673000000000002</v>
      </c>
      <c r="M4796">
        <v>0.99857569999999996</v>
      </c>
      <c r="N4796">
        <v>0</v>
      </c>
      <c r="O4796">
        <v>-5.3060669999999997E-2</v>
      </c>
      <c r="P4796">
        <v>0.99890489999999998</v>
      </c>
      <c r="Q4796">
        <v>1.9771339999999998E-2</v>
      </c>
      <c r="R4796">
        <v>4.2410169999999997E-2</v>
      </c>
      <c r="S4796">
        <v>3.0446469999999999</v>
      </c>
      <c r="T4796">
        <v>-0.81175039999999998</v>
      </c>
      <c r="U4796">
        <v>-0.62078859999999902</v>
      </c>
      <c r="V4796">
        <v>-9.5409999999999995E-2</v>
      </c>
      <c r="W4796">
        <v>2.513603E-2</v>
      </c>
      <c r="X4796">
        <v>0.99512060000000002</v>
      </c>
      <c r="Y4796">
        <v>0.1444513</v>
      </c>
      <c r="Z4796">
        <v>-4.9961529999999997E-3</v>
      </c>
      <c r="AA4796">
        <v>0.98949929999999997</v>
      </c>
      <c r="AB4796">
        <v>27</v>
      </c>
      <c r="AC4796">
        <v>0.66199999999997705</v>
      </c>
      <c r="AD4796">
        <v>-0.21055170000000001</v>
      </c>
      <c r="AE4796">
        <v>-0.15488000000000501</v>
      </c>
      <c r="AF4796">
        <v>0.10907396746332</v>
      </c>
      <c r="AG4796">
        <v>-0.21055170000000001</v>
      </c>
      <c r="AH4796">
        <v>0.61071293137207605</v>
      </c>
      <c r="AI4796">
        <v>108.746864770211</v>
      </c>
      <c r="AJ4796">
        <v>79.873683919731505</v>
      </c>
      <c r="AK4796">
        <v>0.65513314165607095</v>
      </c>
    </row>
    <row r="4797" spans="1:37" x14ac:dyDescent="0.2">
      <c r="A4797" t="str">
        <f>"20200111154157952"</f>
        <v>20200111154157952</v>
      </c>
      <c r="B4797" t="str">
        <f>"1578728517940949"</f>
        <v>1578728517940949</v>
      </c>
      <c r="C4797" t="s">
        <v>37</v>
      </c>
      <c r="D4797">
        <v>5.3631000000000002</v>
      </c>
      <c r="E4797">
        <v>0.59331330000000004</v>
      </c>
      <c r="F4797" t="s">
        <v>38</v>
      </c>
      <c r="G4797">
        <v>-260.47949999999997</v>
      </c>
      <c r="H4797">
        <v>0.93045069999999996</v>
      </c>
      <c r="I4797">
        <v>-62.810569999999998</v>
      </c>
      <c r="J4797">
        <v>-261.02859999999998</v>
      </c>
      <c r="K4797">
        <v>1.110352</v>
      </c>
      <c r="L4797">
        <v>-62.679139999999997</v>
      </c>
      <c r="M4797">
        <v>0.9986062</v>
      </c>
      <c r="N4797">
        <v>0</v>
      </c>
      <c r="O4797">
        <v>-5.2485619999999997E-2</v>
      </c>
      <c r="P4797">
        <v>0.99887099999999995</v>
      </c>
      <c r="Q4797">
        <v>1.9978070000000001E-2</v>
      </c>
      <c r="R4797">
        <v>4.3104650000000001E-2</v>
      </c>
      <c r="S4797">
        <v>3.0456539999999999</v>
      </c>
      <c r="T4797">
        <v>-0.81126739999999997</v>
      </c>
      <c r="U4797">
        <v>-0.61956789999999995</v>
      </c>
      <c r="V4797">
        <v>-9.5528160000000001E-2</v>
      </c>
      <c r="W4797">
        <v>2.5331469999999998E-2</v>
      </c>
      <c r="X4797">
        <v>0.9951044</v>
      </c>
      <c r="Y4797">
        <v>0.144558399999999</v>
      </c>
      <c r="Z4797">
        <v>-5.1542990000000002E-3</v>
      </c>
      <c r="AA4797">
        <v>0.9894828</v>
      </c>
      <c r="AB4797">
        <v>27</v>
      </c>
      <c r="AC4797">
        <v>0.54910000000000903</v>
      </c>
      <c r="AD4797">
        <v>-0.17990129999999999</v>
      </c>
      <c r="AE4797">
        <v>-0.131429999999994</v>
      </c>
      <c r="AF4797">
        <v>9.2987977138063699E-2</v>
      </c>
      <c r="AG4797">
        <v>-0.17990129999999999</v>
      </c>
      <c r="AH4797">
        <v>0.50406631275546498</v>
      </c>
      <c r="AI4797">
        <v>109.33994672084501</v>
      </c>
      <c r="AJ4797">
        <v>79.547831615299401</v>
      </c>
      <c r="AK4797">
        <v>0.54322563386571598</v>
      </c>
    </row>
    <row r="4798" spans="1:37" x14ac:dyDescent="0.2">
      <c r="A4798" t="str">
        <f>"20200111154157964"</f>
        <v>20200111154157964</v>
      </c>
      <c r="B4798" t="str">
        <f>"1578728517960470"</f>
        <v>1578728517960470</v>
      </c>
      <c r="C4798" t="s">
        <v>37</v>
      </c>
      <c r="D4798">
        <v>5.3515499999999996</v>
      </c>
      <c r="E4798">
        <v>0.5936633</v>
      </c>
      <c r="F4798" t="s">
        <v>38</v>
      </c>
      <c r="G4798">
        <v>-260.24669999999998</v>
      </c>
      <c r="H4798">
        <v>0.90205599999999997</v>
      </c>
      <c r="I4798">
        <v>-62.838099999999997</v>
      </c>
      <c r="J4798">
        <v>-260.89179999999999</v>
      </c>
      <c r="K4798">
        <v>1.110341</v>
      </c>
      <c r="L4798">
        <v>-62.685759999999902</v>
      </c>
      <c r="M4798">
        <v>0.99863849999999998</v>
      </c>
      <c r="N4798">
        <v>0</v>
      </c>
      <c r="O4798">
        <v>-5.1864430000000003E-2</v>
      </c>
      <c r="P4798">
        <v>0.99882119999999996</v>
      </c>
      <c r="Q4798">
        <v>2.0441279999999999E-2</v>
      </c>
      <c r="R4798">
        <v>4.4028600000000001E-2</v>
      </c>
      <c r="S4798">
        <v>3.0463559999999998</v>
      </c>
      <c r="T4798">
        <v>-0.81153730000000002</v>
      </c>
      <c r="U4798">
        <v>-0.61871339999999997</v>
      </c>
      <c r="V4798">
        <v>-9.5829780000000003E-2</v>
      </c>
      <c r="W4798">
        <v>2.578194E-2</v>
      </c>
      <c r="X4798">
        <v>0.99506380000000005</v>
      </c>
      <c r="Y4798">
        <v>0.14483180000000001</v>
      </c>
      <c r="Z4798">
        <v>-5.3508799999999997E-3</v>
      </c>
      <c r="AA4798">
        <v>0.98944179999999904</v>
      </c>
      <c r="AB4798">
        <v>27</v>
      </c>
      <c r="AC4798">
        <v>0.645100000000013</v>
      </c>
      <c r="AD4798">
        <v>-0.208285</v>
      </c>
      <c r="AE4798">
        <v>-0.152340000000002</v>
      </c>
      <c r="AF4798">
        <v>0.108011610222348</v>
      </c>
      <c r="AG4798">
        <v>-0.208285</v>
      </c>
      <c r="AH4798">
        <v>0.59352784715321805</v>
      </c>
      <c r="AI4798">
        <v>109.047572761959</v>
      </c>
      <c r="AJ4798">
        <v>79.686046983162498</v>
      </c>
      <c r="AK4798">
        <v>0.63821975409271003</v>
      </c>
    </row>
    <row r="4799" spans="1:37" x14ac:dyDescent="0.2">
      <c r="A4799" t="str">
        <f>"20200111154157976"</f>
        <v>20200111154157976</v>
      </c>
      <c r="B4799" t="str">
        <f>"1578728517971205"</f>
        <v>1578728517971205</v>
      </c>
      <c r="C4799" t="s">
        <v>37</v>
      </c>
      <c r="D4799">
        <v>5.3598589999999904</v>
      </c>
      <c r="E4799">
        <v>0.59379819999999905</v>
      </c>
      <c r="F4799" t="s">
        <v>38</v>
      </c>
      <c r="G4799">
        <v>-260.01150000000001</v>
      </c>
      <c r="H4799">
        <v>0.87586339999999996</v>
      </c>
      <c r="I4799">
        <v>-62.864440000000002</v>
      </c>
      <c r="J4799">
        <v>-260.74630000000002</v>
      </c>
      <c r="K4799">
        <v>1.1103319999999901</v>
      </c>
      <c r="L4799">
        <v>-62.692630000000001</v>
      </c>
      <c r="M4799">
        <v>0.9986718</v>
      </c>
      <c r="N4799">
        <v>0</v>
      </c>
      <c r="O4799">
        <v>-5.1221910000000002E-2</v>
      </c>
      <c r="P4799">
        <v>0.99879649999999998</v>
      </c>
      <c r="Q4799">
        <v>2.050753E-2</v>
      </c>
      <c r="R4799">
        <v>4.4551960000000002E-2</v>
      </c>
      <c r="S4799">
        <v>3.0474239999999999</v>
      </c>
      <c r="T4799">
        <v>-0.81175330000000001</v>
      </c>
      <c r="U4799">
        <v>-0.61834719999999999</v>
      </c>
      <c r="V4799">
        <v>-9.5710550000000005E-2</v>
      </c>
      <c r="W4799">
        <v>2.583771E-2</v>
      </c>
      <c r="X4799">
        <v>0.99507380000000001</v>
      </c>
      <c r="Y4799">
        <v>0.14525099999999999</v>
      </c>
      <c r="Z4799">
        <v>-5.5708930000000004E-3</v>
      </c>
      <c r="AA4799">
        <v>0.98937919999999901</v>
      </c>
      <c r="AB4799">
        <v>28</v>
      </c>
      <c r="AC4799">
        <v>0.734800000000007</v>
      </c>
      <c r="AD4799">
        <v>-0.234468599999999</v>
      </c>
      <c r="AE4799">
        <v>-0.17180999999999999</v>
      </c>
      <c r="AF4799">
        <v>0.122153166657925</v>
      </c>
      <c r="AG4799">
        <v>-0.234468599999999</v>
      </c>
      <c r="AH4799">
        <v>0.67725295800777696</v>
      </c>
      <c r="AI4799">
        <v>108.814376780431</v>
      </c>
      <c r="AJ4799">
        <v>79.775735127643401</v>
      </c>
      <c r="AK4799">
        <v>0.72702715880550295</v>
      </c>
    </row>
    <row r="4800" spans="1:37" x14ac:dyDescent="0.2">
      <c r="A4800" t="str">
        <f>"20200111154157986"</f>
        <v>20200111154157986</v>
      </c>
      <c r="B4800" t="str">
        <f>"1578728517980964"</f>
        <v>1578728517980964</v>
      </c>
      <c r="C4800" t="s">
        <v>37</v>
      </c>
      <c r="D4800">
        <v>5.3411039999999996</v>
      </c>
      <c r="E4800">
        <v>0.59397800000000001</v>
      </c>
      <c r="F4800" t="s">
        <v>38</v>
      </c>
      <c r="G4800">
        <v>-259.99669999999998</v>
      </c>
      <c r="H4800">
        <v>0.91053329999999999</v>
      </c>
      <c r="I4800">
        <v>-62.844569999999997</v>
      </c>
      <c r="J4800">
        <v>-260.60770000000002</v>
      </c>
      <c r="K4800">
        <v>1.1103179999999999</v>
      </c>
      <c r="L4800">
        <v>-62.699190000000002</v>
      </c>
      <c r="M4800">
        <v>0.9987028</v>
      </c>
      <c r="N4800">
        <v>0</v>
      </c>
      <c r="O4800">
        <v>-5.0615760000000003E-2</v>
      </c>
      <c r="P4800">
        <v>0.99876929999999997</v>
      </c>
      <c r="Q4800">
        <v>2.091548E-2</v>
      </c>
      <c r="R4800">
        <v>4.4971669999999998E-2</v>
      </c>
      <c r="S4800">
        <v>3.0478519999999998</v>
      </c>
      <c r="T4800">
        <v>-0.81243050000000006</v>
      </c>
      <c r="U4800">
        <v>-0.61755369999999998</v>
      </c>
      <c r="V4800">
        <v>-9.5524510000000007E-2</v>
      </c>
      <c r="W4800">
        <v>2.6237170000000001E-2</v>
      </c>
      <c r="X4800">
        <v>0.9950812</v>
      </c>
      <c r="Y4800">
        <v>0.14554220000000001</v>
      </c>
      <c r="Z4800">
        <v>-5.7692790000000004E-3</v>
      </c>
      <c r="AA4800">
        <v>0.98933519999999897</v>
      </c>
      <c r="AB4800">
        <v>28</v>
      </c>
      <c r="AC4800">
        <v>0.61100000000004595</v>
      </c>
      <c r="AD4800">
        <v>-0.19978470000000001</v>
      </c>
      <c r="AE4800">
        <v>-0.14537999999999501</v>
      </c>
      <c r="AF4800">
        <v>0.103767046161809</v>
      </c>
      <c r="AG4800">
        <v>-0.19978470000000001</v>
      </c>
      <c r="AH4800">
        <v>0.56082693159730601</v>
      </c>
      <c r="AI4800">
        <v>109.30468935659501</v>
      </c>
      <c r="AJ4800">
        <v>79.517392607239401</v>
      </c>
      <c r="AK4800">
        <v>0.60432472515038305</v>
      </c>
    </row>
    <row r="4801" spans="1:37" x14ac:dyDescent="0.2">
      <c r="A4801" t="str">
        <f>"20200111154157998"</f>
        <v>20200111154157998</v>
      </c>
      <c r="B4801" t="str">
        <f>"1578728517990726"</f>
        <v>1578728517990726</v>
      </c>
      <c r="C4801" t="s">
        <v>37</v>
      </c>
      <c r="D4801">
        <v>5.3570719999999996</v>
      </c>
      <c r="E4801">
        <v>0.59417149999999996</v>
      </c>
      <c r="F4801" t="s">
        <v>38</v>
      </c>
      <c r="G4801">
        <v>-259.76029999999997</v>
      </c>
      <c r="H4801">
        <v>0.88462109999999905</v>
      </c>
      <c r="I4801">
        <v>-62.871109999999902</v>
      </c>
      <c r="J4801">
        <v>-260.46660000000003</v>
      </c>
      <c r="K4801">
        <v>1.110304</v>
      </c>
      <c r="L4801">
        <v>-62.7057199999999</v>
      </c>
      <c r="M4801">
        <v>0.99873349999999905</v>
      </c>
      <c r="N4801">
        <v>0</v>
      </c>
      <c r="O4801">
        <v>-5.0009730000000002E-2</v>
      </c>
      <c r="P4801">
        <v>0.99874130000000005</v>
      </c>
      <c r="Q4801">
        <v>2.102422E-2</v>
      </c>
      <c r="R4801">
        <v>4.5538719999999998E-2</v>
      </c>
      <c r="S4801">
        <v>3.0485229999999999</v>
      </c>
      <c r="T4801">
        <v>-0.81200519999999998</v>
      </c>
      <c r="U4801">
        <v>-0.61758419999999903</v>
      </c>
      <c r="V4801">
        <v>-9.5484869999999999E-2</v>
      </c>
      <c r="W4801">
        <v>2.6337260000000001E-2</v>
      </c>
      <c r="X4801">
        <v>0.99508240000000003</v>
      </c>
      <c r="Y4801">
        <v>0.14607579999999901</v>
      </c>
      <c r="Z4801">
        <v>-5.9909280000000004E-3</v>
      </c>
      <c r="AA4801">
        <v>0.9892552</v>
      </c>
      <c r="AB4801">
        <v>28</v>
      </c>
      <c r="AC4801">
        <v>0.70630000000005499</v>
      </c>
      <c r="AD4801">
        <v>-0.22568289999999999</v>
      </c>
      <c r="AE4801">
        <v>-0.16539000000000201</v>
      </c>
      <c r="AF4801">
        <v>0.118400523398313</v>
      </c>
      <c r="AG4801">
        <v>-0.22568289999999999</v>
      </c>
      <c r="AH4801">
        <v>0.65070500358024197</v>
      </c>
      <c r="AI4801">
        <v>108.84095263275</v>
      </c>
      <c r="AJ4801">
        <v>79.687438087047596</v>
      </c>
      <c r="AK4801">
        <v>0.69883364041649199</v>
      </c>
    </row>
    <row r="4802" spans="1:37" x14ac:dyDescent="0.2">
      <c r="A4802" t="str">
        <f>"20200111154158009"</f>
        <v>20200111154158009</v>
      </c>
      <c r="B4802" t="str">
        <f>"1578728518000485"</f>
        <v>1578728518000485</v>
      </c>
      <c r="C4802" t="s">
        <v>37</v>
      </c>
      <c r="D4802">
        <v>5.2927989999999996</v>
      </c>
      <c r="E4802">
        <v>0.59434069999999894</v>
      </c>
      <c r="F4802" t="s">
        <v>38</v>
      </c>
      <c r="G4802">
        <v>-259.74599999999998</v>
      </c>
      <c r="H4802">
        <v>0.91833659999999995</v>
      </c>
      <c r="I4802">
        <v>-62.851840000000003</v>
      </c>
      <c r="J4802">
        <v>-260.32650000000001</v>
      </c>
      <c r="K4802">
        <v>1.1102939999999999</v>
      </c>
      <c r="L4802">
        <v>-62.712130000000002</v>
      </c>
      <c r="M4802">
        <v>0.99876290000000001</v>
      </c>
      <c r="N4802">
        <v>0</v>
      </c>
      <c r="O4802">
        <v>-4.9419440000000002E-2</v>
      </c>
      <c r="P4802">
        <v>0.99870599999999998</v>
      </c>
      <c r="Q4802">
        <v>2.1168840000000001E-2</v>
      </c>
      <c r="R4802">
        <v>4.6242760000000001E-2</v>
      </c>
      <c r="S4802">
        <v>3.0490110000000001</v>
      </c>
      <c r="T4802">
        <v>-0.81234300000000004</v>
      </c>
      <c r="U4802">
        <v>-0.61724849999999998</v>
      </c>
      <c r="V4802">
        <v>-9.5597459999999995E-2</v>
      </c>
      <c r="W4802">
        <v>2.6473590000000002E-2</v>
      </c>
      <c r="X4802">
        <v>0.99506799999999995</v>
      </c>
      <c r="Y4802">
        <v>0.14648939999999999</v>
      </c>
      <c r="Z4802">
        <v>-6.1986949999999997E-3</v>
      </c>
      <c r="AA4802">
        <v>0.98919279999999998</v>
      </c>
      <c r="AB4802">
        <v>28</v>
      </c>
      <c r="AC4802">
        <v>0.58050000000002899</v>
      </c>
      <c r="AD4802">
        <v>-0.1919574</v>
      </c>
      <c r="AE4802">
        <v>-0.13971</v>
      </c>
      <c r="AF4802">
        <v>0.10046666031735001</v>
      </c>
      <c r="AG4802">
        <v>-0.1919574</v>
      </c>
      <c r="AH4802">
        <v>0.53173517945784599</v>
      </c>
      <c r="AI4802">
        <v>109.530907264832</v>
      </c>
      <c r="AJ4802">
        <v>79.3005976876304</v>
      </c>
      <c r="AK4802">
        <v>0.57418071573603902</v>
      </c>
    </row>
    <row r="4803" spans="1:37" x14ac:dyDescent="0.2">
      <c r="A4803" t="str">
        <f>"20200111154158020"</f>
        <v>20200111154158020</v>
      </c>
      <c r="B4803" t="str">
        <f>"1578728518011222"</f>
        <v>1578728518011222</v>
      </c>
      <c r="C4803" t="s">
        <v>37</v>
      </c>
      <c r="D4803">
        <v>5.3258700000000001</v>
      </c>
      <c r="E4803">
        <v>0.59452380000000005</v>
      </c>
      <c r="F4803" t="s">
        <v>38</v>
      </c>
      <c r="G4803">
        <v>-259.5086</v>
      </c>
      <c r="H4803">
        <v>0.89244950000000001</v>
      </c>
      <c r="I4803">
        <v>-62.877559999999903</v>
      </c>
      <c r="J4803">
        <v>-260.19529999999997</v>
      </c>
      <c r="K4803">
        <v>1.110279</v>
      </c>
      <c r="L4803">
        <v>-62.718139999999998</v>
      </c>
      <c r="M4803">
        <v>0.998789699999999</v>
      </c>
      <c r="N4803">
        <v>0</v>
      </c>
      <c r="O4803">
        <v>-4.8874090000000002E-2</v>
      </c>
      <c r="P4803">
        <v>0.99868049999999997</v>
      </c>
      <c r="Q4803">
        <v>2.1310989999999998E-2</v>
      </c>
      <c r="R4803">
        <v>4.6725290000000003E-2</v>
      </c>
      <c r="S4803">
        <v>3.0496829999999999</v>
      </c>
      <c r="T4803">
        <v>-0.81237040000000005</v>
      </c>
      <c r="U4803">
        <v>-0.61645509999999903</v>
      </c>
      <c r="V4803">
        <v>-9.5534469999999996E-2</v>
      </c>
      <c r="W4803">
        <v>2.6609440000000002E-2</v>
      </c>
      <c r="X4803">
        <v>0.99507040000000002</v>
      </c>
      <c r="Y4803">
        <v>0.1467147</v>
      </c>
      <c r="Z4803">
        <v>-6.3679030000000003E-3</v>
      </c>
      <c r="AA4803">
        <v>0.98915830000000005</v>
      </c>
      <c r="AB4803">
        <v>28</v>
      </c>
      <c r="AC4803">
        <v>0.686699999999973</v>
      </c>
      <c r="AD4803">
        <v>-0.21782949999999901</v>
      </c>
      <c r="AE4803">
        <v>-0.15941999999998999</v>
      </c>
      <c r="AF4803">
        <v>0.114714461166913</v>
      </c>
      <c r="AG4803">
        <v>-0.21782949999999901</v>
      </c>
      <c r="AH4803">
        <v>0.63321323653752104</v>
      </c>
      <c r="AI4803">
        <v>108.700789777892</v>
      </c>
      <c r="AJ4803">
        <v>79.731526140411006</v>
      </c>
      <c r="AK4803">
        <v>0.67938803462924402</v>
      </c>
    </row>
    <row r="4804" spans="1:37" x14ac:dyDescent="0.2">
      <c r="A4804" t="str">
        <f>"20200111154158030"</f>
        <v>20200111154158030</v>
      </c>
      <c r="B4804" t="str">
        <f>"1578728518020984"</f>
        <v>1578728518020984</v>
      </c>
      <c r="C4804" t="s">
        <v>37</v>
      </c>
      <c r="D4804">
        <v>5.294537</v>
      </c>
      <c r="E4804">
        <v>0.59467409999999998</v>
      </c>
      <c r="F4804" t="s">
        <v>38</v>
      </c>
      <c r="G4804">
        <v>-259.49520000000001</v>
      </c>
      <c r="H4804">
        <v>0.92387039999999998</v>
      </c>
      <c r="I4804">
        <v>-62.859780000000001</v>
      </c>
      <c r="J4804">
        <v>-260.05799999999999</v>
      </c>
      <c r="K4804">
        <v>1.1102620000000001</v>
      </c>
      <c r="L4804">
        <v>-62.724269999999997</v>
      </c>
      <c r="M4804">
        <v>0.99881679999999995</v>
      </c>
      <c r="N4804">
        <v>0</v>
      </c>
      <c r="O4804">
        <v>-4.8320160000000001E-2</v>
      </c>
      <c r="P4804">
        <v>0.99864649999999999</v>
      </c>
      <c r="Q4804">
        <v>2.131338E-2</v>
      </c>
      <c r="R4804">
        <v>4.7446250000000002E-2</v>
      </c>
      <c r="S4804">
        <v>3.0501099999999899</v>
      </c>
      <c r="T4804">
        <v>-0.81217119999999998</v>
      </c>
      <c r="U4804">
        <v>-0.61660769999999998</v>
      </c>
      <c r="V4804">
        <v>-9.5700569999999999E-2</v>
      </c>
      <c r="W4804">
        <v>2.6605159999999999E-2</v>
      </c>
      <c r="X4804">
        <v>0.99505449999999995</v>
      </c>
      <c r="Y4804">
        <v>0.14724970000000001</v>
      </c>
      <c r="Z4804">
        <v>-6.5779819999999996E-3</v>
      </c>
      <c r="AA4804">
        <v>0.9890774</v>
      </c>
      <c r="AB4804">
        <v>28</v>
      </c>
      <c r="AC4804">
        <v>0.56279999999998098</v>
      </c>
      <c r="AD4804">
        <v>-0.18639159999999999</v>
      </c>
      <c r="AE4804">
        <v>-0.13551000000001001</v>
      </c>
      <c r="AF4804">
        <v>9.7996980584858395E-2</v>
      </c>
      <c r="AG4804">
        <v>-0.18639159999999999</v>
      </c>
      <c r="AH4804">
        <v>0.51527044081506701</v>
      </c>
      <c r="AI4804">
        <v>109.56346737057299</v>
      </c>
      <c r="AJ4804">
        <v>79.231773689301605</v>
      </c>
      <c r="AK4804">
        <v>0.55664069554072504</v>
      </c>
    </row>
    <row r="4805" spans="1:37" x14ac:dyDescent="0.2">
      <c r="A4805" t="str">
        <f>"20200111154158041"</f>
        <v>20200111154158041</v>
      </c>
      <c r="B4805" t="str">
        <f>"1578728518030745"</f>
        <v>1578728518030745</v>
      </c>
      <c r="C4805" t="s">
        <v>37</v>
      </c>
      <c r="D4805">
        <v>5.298635</v>
      </c>
      <c r="E4805">
        <v>0.59481459999999997</v>
      </c>
      <c r="F4805" t="s">
        <v>38</v>
      </c>
      <c r="G4805">
        <v>-259.25729999999999</v>
      </c>
      <c r="H4805">
        <v>0.89691690000000002</v>
      </c>
      <c r="I4805">
        <v>-62.88608</v>
      </c>
      <c r="J4805">
        <v>-259.92320000000001</v>
      </c>
      <c r="K4805">
        <v>1.1102479999999999</v>
      </c>
      <c r="L4805">
        <v>-62.730289999999997</v>
      </c>
      <c r="M4805">
        <v>0.99884269999999997</v>
      </c>
      <c r="N4805">
        <v>0</v>
      </c>
      <c r="O4805">
        <v>-4.7780780000000002E-2</v>
      </c>
      <c r="P4805">
        <v>0.99861259999999996</v>
      </c>
      <c r="Q4805">
        <v>2.1187999999999999E-2</v>
      </c>
      <c r="R4805">
        <v>4.8210980000000001E-2</v>
      </c>
      <c r="S4805">
        <v>3.0506899999999999</v>
      </c>
      <c r="T4805">
        <v>-0.81282869999999996</v>
      </c>
      <c r="U4805">
        <v>-0.61572269999999996</v>
      </c>
      <c r="V4805">
        <v>-9.5924369999999995E-2</v>
      </c>
      <c r="W4805">
        <v>2.6473590000000002E-2</v>
      </c>
      <c r="X4805">
        <v>0.99503649999999999</v>
      </c>
      <c r="Y4805">
        <v>0.1474425</v>
      </c>
      <c r="Z4805">
        <v>-6.746564E-3</v>
      </c>
      <c r="AA4805">
        <v>0.98904760000000003</v>
      </c>
      <c r="AB4805">
        <v>28</v>
      </c>
      <c r="AC4805">
        <v>0.66590000000002103</v>
      </c>
      <c r="AD4805">
        <v>-0.213331099999999</v>
      </c>
      <c r="AE4805">
        <v>-0.15579000000000301</v>
      </c>
      <c r="AF4805">
        <v>0.112816447728056</v>
      </c>
      <c r="AG4805">
        <v>-0.213331099999999</v>
      </c>
      <c r="AH4805">
        <v>0.61293956374622804</v>
      </c>
      <c r="AI4805">
        <v>108.895877543368</v>
      </c>
      <c r="AJ4805">
        <v>79.570975593858506</v>
      </c>
      <c r="AK4805">
        <v>0.65873562064807401</v>
      </c>
    </row>
    <row r="4806" spans="1:37" x14ac:dyDescent="0.2">
      <c r="A4806" t="str">
        <f>"20200111154158054"</f>
        <v>20200111154158054</v>
      </c>
      <c r="B4806" t="str">
        <f>"1578728518050265"</f>
        <v>1578728518050265</v>
      </c>
      <c r="C4806" t="s">
        <v>37</v>
      </c>
      <c r="D4806">
        <v>5.2970410000000001</v>
      </c>
      <c r="E4806">
        <v>0.59508969999999894</v>
      </c>
      <c r="F4806" t="s">
        <v>38</v>
      </c>
      <c r="G4806">
        <v>-259.24340000000001</v>
      </c>
      <c r="H4806">
        <v>0.92896780000000001</v>
      </c>
      <c r="I4806">
        <v>-62.867350000000002</v>
      </c>
      <c r="J4806">
        <v>-259.78149999999999</v>
      </c>
      <c r="K4806">
        <v>1.110228</v>
      </c>
      <c r="L4806">
        <v>-62.736509999999903</v>
      </c>
      <c r="M4806">
        <v>0.9988686</v>
      </c>
      <c r="N4806">
        <v>0</v>
      </c>
      <c r="O4806">
        <v>-4.7236279999999999E-2</v>
      </c>
      <c r="P4806">
        <v>0.99857980000000002</v>
      </c>
      <c r="Q4806">
        <v>2.137008E-2</v>
      </c>
      <c r="R4806">
        <v>4.8802140000000001E-2</v>
      </c>
      <c r="S4806">
        <v>3.0510860000000002</v>
      </c>
      <c r="T4806">
        <v>-0.81362489999999998</v>
      </c>
      <c r="U4806">
        <v>-0.61431880000000005</v>
      </c>
      <c r="V4806">
        <v>-9.5970420000000001E-2</v>
      </c>
      <c r="W4806">
        <v>2.6650920000000002E-2</v>
      </c>
      <c r="X4806">
        <v>0.99502739999999901</v>
      </c>
      <c r="Y4806">
        <v>0.14749309999999999</v>
      </c>
      <c r="Z4806">
        <v>-6.899858E-3</v>
      </c>
      <c r="AA4806">
        <v>0.989038999999999</v>
      </c>
      <c r="AB4806">
        <v>28</v>
      </c>
      <c r="AC4806">
        <v>0.53809999999998503</v>
      </c>
      <c r="AD4806">
        <v>-0.18126020000000001</v>
      </c>
      <c r="AE4806">
        <v>-0.13084000000000601</v>
      </c>
      <c r="AF4806">
        <v>9.5088393944731703E-2</v>
      </c>
      <c r="AG4806">
        <v>-0.18126020000000001</v>
      </c>
      <c r="AH4806">
        <v>0.49106898786732101</v>
      </c>
      <c r="AI4806">
        <v>109.919620969127</v>
      </c>
      <c r="AJ4806">
        <v>79.041125900976297</v>
      </c>
      <c r="AK4806">
        <v>0.53202050112008203</v>
      </c>
    </row>
    <row r="4807" spans="1:37" x14ac:dyDescent="0.2">
      <c r="A4807" t="str">
        <f>"20200111154158064"</f>
        <v>20200111154158064</v>
      </c>
      <c r="B4807" t="str">
        <f>"1578728518061001"</f>
        <v>1578728518061001</v>
      </c>
      <c r="C4807" t="s">
        <v>37</v>
      </c>
      <c r="D4807">
        <v>5.3675369999999996</v>
      </c>
      <c r="E4807">
        <v>0.59490310000000002</v>
      </c>
      <c r="F4807" t="s">
        <v>38</v>
      </c>
      <c r="G4807">
        <v>-259.0043</v>
      </c>
      <c r="H4807">
        <v>0.90289240000000004</v>
      </c>
      <c r="I4807">
        <v>-62.893159999999902</v>
      </c>
      <c r="J4807">
        <v>-259.64249999999998</v>
      </c>
      <c r="K4807">
        <v>1.1102099999999999</v>
      </c>
      <c r="L4807">
        <v>-62.742579999999997</v>
      </c>
      <c r="M4807">
        <v>0.99889349999999999</v>
      </c>
      <c r="N4807">
        <v>0</v>
      </c>
      <c r="O4807">
        <v>-4.6708720000000002E-2</v>
      </c>
      <c r="P4807">
        <v>0.99854519999999902</v>
      </c>
      <c r="Q4807">
        <v>2.167053E-2</v>
      </c>
      <c r="R4807">
        <v>4.9373750000000001E-2</v>
      </c>
      <c r="S4807">
        <v>3.0517270000000001</v>
      </c>
      <c r="T4807">
        <v>-0.81414010000000003</v>
      </c>
      <c r="U4807">
        <v>-0.61474609999999996</v>
      </c>
      <c r="V4807">
        <v>-9.6013310000000004E-2</v>
      </c>
      <c r="W4807">
        <v>2.69474E-2</v>
      </c>
      <c r="X4807">
        <v>0.99501519999999999</v>
      </c>
      <c r="Y4807">
        <v>0.14806829999999899</v>
      </c>
      <c r="Z4807">
        <v>-7.1139089999999999E-3</v>
      </c>
      <c r="AA4807">
        <v>0.98895159999999904</v>
      </c>
      <c r="AB4807">
        <v>28</v>
      </c>
      <c r="AC4807">
        <v>0.638199999999983</v>
      </c>
      <c r="AD4807">
        <v>-0.20731759999999999</v>
      </c>
      <c r="AE4807">
        <v>-0.15057999999999</v>
      </c>
      <c r="AF4807">
        <v>0.10964542549396</v>
      </c>
      <c r="AG4807">
        <v>-0.20731759999999999</v>
      </c>
      <c r="AH4807">
        <v>0.58596343299203801</v>
      </c>
      <c r="AI4807">
        <v>109.176160063072</v>
      </c>
      <c r="AJ4807">
        <v>79.401384047888698</v>
      </c>
      <c r="AK4807">
        <v>0.63115438000961899</v>
      </c>
    </row>
    <row r="4808" spans="1:37" x14ac:dyDescent="0.2">
      <c r="A4808" t="str">
        <f>"20200111154158076"</f>
        <v>20200111154158076</v>
      </c>
      <c r="B4808" t="str">
        <f>"1578728518070763"</f>
        <v>1578728518070763</v>
      </c>
      <c r="C4808" t="s">
        <v>37</v>
      </c>
      <c r="D4808">
        <v>5.3280019999999997</v>
      </c>
      <c r="E4808">
        <v>0.59490310000000002</v>
      </c>
      <c r="F4808" t="s">
        <v>38</v>
      </c>
      <c r="G4808">
        <v>-258.76420000000002</v>
      </c>
      <c r="H4808">
        <v>0.87605440000000001</v>
      </c>
      <c r="I4808">
        <v>-62.918619999999997</v>
      </c>
      <c r="J4808">
        <v>-259.49430000000001</v>
      </c>
      <c r="K4808">
        <v>1.1101889999999901</v>
      </c>
      <c r="L4808">
        <v>-62.748989999999999</v>
      </c>
      <c r="M4808">
        <v>0.99891849999999904</v>
      </c>
      <c r="N4808">
        <v>0</v>
      </c>
      <c r="O4808">
        <v>-4.61733E-2</v>
      </c>
      <c r="P4808">
        <v>0.9985117</v>
      </c>
      <c r="Q4808">
        <v>2.1967759999999999E-2</v>
      </c>
      <c r="R4808">
        <v>4.9921359999999998E-2</v>
      </c>
      <c r="S4808">
        <v>3.0522459999999998</v>
      </c>
      <c r="T4808">
        <v>-0.81375679999999995</v>
      </c>
      <c r="U4808">
        <v>-0.61132810000000004</v>
      </c>
      <c r="V4808">
        <v>-9.6024880000000007E-2</v>
      </c>
      <c r="W4808">
        <v>2.7241979999999999E-2</v>
      </c>
      <c r="X4808">
        <v>0.9950061</v>
      </c>
      <c r="Y4808">
        <v>0.1475052</v>
      </c>
      <c r="Z4808">
        <v>-7.1756629999999997E-3</v>
      </c>
      <c r="AA4808">
        <v>0.989035199999999</v>
      </c>
      <c r="AB4808">
        <v>28</v>
      </c>
      <c r="AC4808">
        <v>0.73009999999999298</v>
      </c>
      <c r="AD4808">
        <v>-0.234134599999999</v>
      </c>
      <c r="AE4808">
        <v>-0.16962999999999701</v>
      </c>
      <c r="AF4808">
        <v>0.12367043648838801</v>
      </c>
      <c r="AG4808">
        <v>-0.234134599999999</v>
      </c>
      <c r="AH4808">
        <v>0.67162107996926401</v>
      </c>
      <c r="AI4808">
        <v>108.924136113776</v>
      </c>
      <c r="AJ4808">
        <v>79.566587167337602</v>
      </c>
      <c r="AK4808">
        <v>0.72193369698156395</v>
      </c>
    </row>
    <row r="4809" spans="1:37" x14ac:dyDescent="0.2">
      <c r="A4809" t="str">
        <f>"20200111154158087"</f>
        <v>20200111154158087</v>
      </c>
      <c r="B4809" t="str">
        <f>"1578728518080521"</f>
        <v>1578728518080521</v>
      </c>
      <c r="C4809" t="s">
        <v>37</v>
      </c>
      <c r="D4809">
        <v>5.2271559999999999</v>
      </c>
      <c r="E4809">
        <v>0.54380669999999898</v>
      </c>
      <c r="F4809" t="s">
        <v>38</v>
      </c>
      <c r="G4809">
        <v>-258.74919999999997</v>
      </c>
      <c r="H4809">
        <v>0.91172180000000003</v>
      </c>
      <c r="I4809">
        <v>-62.897880000000001</v>
      </c>
      <c r="J4809">
        <v>-259.34969999999998</v>
      </c>
      <c r="K4809">
        <v>1.110166</v>
      </c>
      <c r="L4809">
        <v>-62.755159999999997</v>
      </c>
      <c r="M4809">
        <v>0.998942</v>
      </c>
      <c r="N4809">
        <v>0</v>
      </c>
      <c r="O4809">
        <v>-4.5664240000000002E-2</v>
      </c>
      <c r="P4809">
        <v>0.99848130000000002</v>
      </c>
      <c r="Q4809">
        <v>2.2316610000000001E-2</v>
      </c>
      <c r="R4809">
        <v>5.0374589999999997E-2</v>
      </c>
      <c r="S4809">
        <v>3.0527950000000001</v>
      </c>
      <c r="T4809">
        <v>-0.81312289999999998</v>
      </c>
      <c r="U4809">
        <v>-0.60946659999999997</v>
      </c>
      <c r="V4809">
        <v>-9.5968449999999997E-2</v>
      </c>
      <c r="W4809">
        <v>2.758851E-2</v>
      </c>
      <c r="X4809">
        <v>0.99500200000000005</v>
      </c>
      <c r="Y4809">
        <v>0.1473875</v>
      </c>
      <c r="Z4809">
        <v>-7.2857619999999899E-3</v>
      </c>
      <c r="AA4809">
        <v>0.98905200000000004</v>
      </c>
      <c r="AB4809">
        <v>28</v>
      </c>
      <c r="AC4809">
        <v>0.60050000000001003</v>
      </c>
      <c r="AD4809">
        <v>-0.19844419999999999</v>
      </c>
      <c r="AE4809">
        <v>-0.142720000000011</v>
      </c>
      <c r="AF4809">
        <v>0.104361658263772</v>
      </c>
      <c r="AG4809">
        <v>-0.19844419999999999</v>
      </c>
      <c r="AH4809">
        <v>0.54958160898103203</v>
      </c>
      <c r="AI4809">
        <v>109.53178731768701</v>
      </c>
      <c r="AJ4809">
        <v>79.247954318270601</v>
      </c>
      <c r="AK4809">
        <v>0.59355825422563602</v>
      </c>
    </row>
    <row r="4810" spans="1:37" x14ac:dyDescent="0.2">
      <c r="A4810" t="str">
        <f>"20200111154158098"</f>
        <v>20200111154158098</v>
      </c>
      <c r="B4810" t="str">
        <f>"1578728518090281"</f>
        <v>1578728518090281</v>
      </c>
      <c r="C4810" t="s">
        <v>37</v>
      </c>
      <c r="D4810">
        <v>5.3069350000000002</v>
      </c>
      <c r="E4810">
        <v>0.53669809999999996</v>
      </c>
      <c r="F4810" t="s">
        <v>38</v>
      </c>
      <c r="G4810">
        <v>-258.48379999999997</v>
      </c>
      <c r="H4810">
        <v>0.93080130000000005</v>
      </c>
      <c r="I4810">
        <v>-62.812289999999997</v>
      </c>
      <c r="J4810">
        <v>-259.20999999999998</v>
      </c>
      <c r="K4810">
        <v>1.110144</v>
      </c>
      <c r="L4810">
        <v>-62.761049999999997</v>
      </c>
      <c r="M4810">
        <v>0.99896359999999995</v>
      </c>
      <c r="N4810">
        <v>0</v>
      </c>
      <c r="O4810">
        <v>-4.5190349999999997E-2</v>
      </c>
      <c r="P4810">
        <v>0.99845360000000005</v>
      </c>
      <c r="Q4810">
        <v>2.2564629999999999E-2</v>
      </c>
      <c r="R4810">
        <v>5.0810330000000001E-2</v>
      </c>
      <c r="S4810">
        <v>3.0287169999999999</v>
      </c>
      <c r="T4810">
        <v>-0.62739419999999901</v>
      </c>
      <c r="U4810">
        <v>-0.20004269999999999</v>
      </c>
      <c r="V4810">
        <v>-9.5928899999999998E-2</v>
      </c>
      <c r="W4810">
        <v>2.7834939999999999E-2</v>
      </c>
      <c r="X4810">
        <v>0.99499889999999902</v>
      </c>
      <c r="Y4810">
        <v>2.125018E-2</v>
      </c>
      <c r="Z4810">
        <v>7.071801E-3</v>
      </c>
      <c r="AA4810">
        <v>0.9997492</v>
      </c>
      <c r="AB4810">
        <v>28</v>
      </c>
      <c r="AC4810">
        <v>0.72620000000000495</v>
      </c>
      <c r="AD4810">
        <v>-0.17934269999999899</v>
      </c>
      <c r="AE4810">
        <v>-5.1240000000007002E-2</v>
      </c>
      <c r="AF4810">
        <v>1.7318896408863999E-2</v>
      </c>
      <c r="AG4810">
        <v>-0.17934269999999899</v>
      </c>
      <c r="AH4810">
        <v>0.68613402592722095</v>
      </c>
      <c r="AI4810">
        <v>104.643866489334</v>
      </c>
      <c r="AJ4810">
        <v>88.554088597156607</v>
      </c>
      <c r="AK4810">
        <v>0.70939668011008195</v>
      </c>
    </row>
    <row r="4811" spans="1:37" x14ac:dyDescent="0.2">
      <c r="A4811" t="str">
        <f>"20200111154158109"</f>
        <v>20200111154158109</v>
      </c>
      <c r="B4811" t="str">
        <f>"1578728518101017"</f>
        <v>1578728518101017</v>
      </c>
      <c r="C4811" t="s">
        <v>37</v>
      </c>
      <c r="D4811">
        <v>5.3426859999999996</v>
      </c>
      <c r="E4811">
        <v>0.53178619999999899</v>
      </c>
      <c r="F4811" t="s">
        <v>38</v>
      </c>
      <c r="G4811">
        <v>-258.46289999999999</v>
      </c>
      <c r="H4811">
        <v>0.9732982</v>
      </c>
      <c r="I4811">
        <v>-62.796009999999903</v>
      </c>
      <c r="J4811">
        <v>-259.07380000000001</v>
      </c>
      <c r="K4811">
        <v>1.1101129999999999</v>
      </c>
      <c r="L4811">
        <v>-62.766779999999997</v>
      </c>
      <c r="M4811">
        <v>0.99898330000000002</v>
      </c>
      <c r="N4811">
        <v>0</v>
      </c>
      <c r="O4811">
        <v>-4.4749610000000002E-2</v>
      </c>
      <c r="P4811">
        <v>0.99841360000000001</v>
      </c>
      <c r="Q4811">
        <v>2.291963E-2</v>
      </c>
      <c r="R4811">
        <v>5.1427319999999999E-2</v>
      </c>
      <c r="S4811">
        <v>3.0243530000000001</v>
      </c>
      <c r="T4811">
        <v>-0.55390989999999996</v>
      </c>
      <c r="U4811">
        <v>-0.14172360000000001</v>
      </c>
      <c r="V4811">
        <v>-9.6103480000000005E-2</v>
      </c>
      <c r="W4811">
        <v>2.818909E-2</v>
      </c>
      <c r="X4811">
        <v>0.99497209999999903</v>
      </c>
      <c r="Y4811">
        <v>2.7575579999999998E-3</v>
      </c>
      <c r="Z4811">
        <v>7.8695859999999996E-3</v>
      </c>
      <c r="AA4811">
        <v>0.99996529999999995</v>
      </c>
      <c r="AB4811">
        <v>28</v>
      </c>
      <c r="AC4811">
        <v>0.61090000000001499</v>
      </c>
      <c r="AD4811">
        <v>-0.13681479999999899</v>
      </c>
      <c r="AE4811">
        <v>-2.9229999999991201E-2</v>
      </c>
      <c r="AF4811">
        <v>1.7739988354463401E-3</v>
      </c>
      <c r="AG4811">
        <v>-0.13681479999999899</v>
      </c>
      <c r="AH4811">
        <v>0.58244925412820203</v>
      </c>
      <c r="AI4811">
        <v>103.21882634561599</v>
      </c>
      <c r="AJ4811">
        <v>89.825491523745697</v>
      </c>
      <c r="AK4811">
        <v>0.59830474693537805</v>
      </c>
    </row>
    <row r="4812" spans="1:37" x14ac:dyDescent="0.2">
      <c r="A4812" t="str">
        <f>"20200111154158120"</f>
        <v>20200111154158120</v>
      </c>
      <c r="B4812" t="str">
        <f>"1578728518110777"</f>
        <v>1578728518110777</v>
      </c>
      <c r="C4812" t="s">
        <v>37</v>
      </c>
      <c r="D4812">
        <v>5.2578610000000001</v>
      </c>
      <c r="E4812">
        <v>0.52729740000000003</v>
      </c>
      <c r="F4812" t="s">
        <v>38</v>
      </c>
      <c r="G4812">
        <v>-258.21030000000002</v>
      </c>
      <c r="H4812">
        <v>0.97000049999999904</v>
      </c>
      <c r="I4812">
        <v>-62.795719999999903</v>
      </c>
      <c r="J4812">
        <v>-258.92689999999999</v>
      </c>
      <c r="K4812">
        <v>1.11008</v>
      </c>
      <c r="L4812">
        <v>-62.772889999999997</v>
      </c>
      <c r="M4812">
        <v>0.99900389999999994</v>
      </c>
      <c r="N4812">
        <v>0</v>
      </c>
      <c r="O4812">
        <v>-4.4288969999999997E-2</v>
      </c>
      <c r="P4812">
        <v>0.99837909999999996</v>
      </c>
      <c r="Q4812">
        <v>2.2964040000000002E-2</v>
      </c>
      <c r="R4812">
        <v>5.2075280000000002E-2</v>
      </c>
      <c r="S4812">
        <v>3.0211790000000001</v>
      </c>
      <c r="T4812">
        <v>-0.490166299999999</v>
      </c>
      <c r="U4812">
        <v>-0.100524899999999</v>
      </c>
      <c r="V4812">
        <v>-9.6288860000000004E-2</v>
      </c>
      <c r="W4812">
        <v>2.8233419999999999E-2</v>
      </c>
      <c r="X4812">
        <v>0.99495290000000003</v>
      </c>
      <c r="Y4812">
        <v>-1.0329899999999999E-2</v>
      </c>
      <c r="Z4812">
        <v>7.9663289999999994E-3</v>
      </c>
      <c r="AA4812">
        <v>0.99991489999999905</v>
      </c>
      <c r="AB4812">
        <v>28</v>
      </c>
      <c r="AC4812">
        <v>0.71659999999997104</v>
      </c>
      <c r="AD4812">
        <v>-0.1400795</v>
      </c>
      <c r="AE4812">
        <v>-2.2829999999991898E-2</v>
      </c>
      <c r="AF4812">
        <v>-8.6019868082228591E-3</v>
      </c>
      <c r="AG4812">
        <v>-0.1400795</v>
      </c>
      <c r="AH4812">
        <v>0.69054775637021304</v>
      </c>
      <c r="AI4812">
        <v>101.466142968261</v>
      </c>
      <c r="AJ4812">
        <v>90.713682790209106</v>
      </c>
      <c r="AK4812">
        <v>0.704664788623097</v>
      </c>
    </row>
    <row r="4813" spans="1:37" x14ac:dyDescent="0.2">
      <c r="A4813" t="str">
        <f>"20200111154158131"</f>
        <v>20200111154158131</v>
      </c>
      <c r="B4813" t="str">
        <f>"1578728518120542"</f>
        <v>1578728518120542</v>
      </c>
      <c r="C4813" t="s">
        <v>37</v>
      </c>
      <c r="D4813">
        <v>8.0639079999999996</v>
      </c>
      <c r="E4813">
        <v>0.52577609999999997</v>
      </c>
      <c r="F4813" t="s">
        <v>38</v>
      </c>
      <c r="G4813">
        <v>-258.19260000000003</v>
      </c>
      <c r="H4813">
        <v>1.0064200000000001</v>
      </c>
      <c r="I4813">
        <v>-62.788350000000001</v>
      </c>
      <c r="J4813">
        <v>-258.79680000000002</v>
      </c>
      <c r="K4813">
        <v>1.1100540000000001</v>
      </c>
      <c r="L4813">
        <v>-62.778289999999998</v>
      </c>
      <c r="M4813">
        <v>0.99902060000000004</v>
      </c>
      <c r="N4813">
        <v>0</v>
      </c>
      <c r="O4813">
        <v>-4.39125E-2</v>
      </c>
      <c r="P4813">
        <v>0.99835910000000005</v>
      </c>
      <c r="Q4813">
        <v>2.2802799999999901E-2</v>
      </c>
      <c r="R4813">
        <v>5.2528810000000002E-2</v>
      </c>
      <c r="S4813">
        <v>3.0179749999999999</v>
      </c>
      <c r="T4813">
        <v>-0.42595549999999999</v>
      </c>
      <c r="U4813">
        <v>-6.2744140000000004E-2</v>
      </c>
      <c r="V4813">
        <v>-9.6363799999999999E-2</v>
      </c>
      <c r="W4813">
        <v>2.807136E-2</v>
      </c>
      <c r="X4813">
        <v>0.99495020000000001</v>
      </c>
      <c r="Y4813">
        <v>-2.2480670000000001E-2</v>
      </c>
      <c r="Z4813">
        <v>7.7429309999999998E-3</v>
      </c>
      <c r="AA4813">
        <v>0.99971730000000003</v>
      </c>
      <c r="AB4813">
        <v>28</v>
      </c>
      <c r="AC4813">
        <v>0.60419999999999097</v>
      </c>
      <c r="AD4813">
        <v>-0.103634</v>
      </c>
      <c r="AE4813">
        <v>-1.0059999999995701E-2</v>
      </c>
      <c r="AF4813">
        <v>-1.6011111842017998E-2</v>
      </c>
      <c r="AG4813">
        <v>-0.103634</v>
      </c>
      <c r="AH4813">
        <v>0.58680003735293595</v>
      </c>
      <c r="AI4813">
        <v>100.012003807051</v>
      </c>
      <c r="AJ4813">
        <v>91.562954188343895</v>
      </c>
      <c r="AK4813">
        <v>0.59609617134806803</v>
      </c>
    </row>
    <row r="4814" spans="1:37" x14ac:dyDescent="0.2">
      <c r="A4814" t="str">
        <f>"20200111154158142"</f>
        <v>20200111154158142</v>
      </c>
      <c r="B4814" t="str">
        <f>"1578728518130301"</f>
        <v>1578728518130301</v>
      </c>
      <c r="C4814" t="s">
        <v>37</v>
      </c>
      <c r="D4814">
        <v>5.4709510000000003</v>
      </c>
      <c r="E4814">
        <v>0.52582689999999999</v>
      </c>
      <c r="F4814" t="s">
        <v>38</v>
      </c>
      <c r="G4814">
        <v>-257.93849999999998</v>
      </c>
      <c r="H4814">
        <v>1.004842</v>
      </c>
      <c r="I4814">
        <v>-62.792269999999903</v>
      </c>
      <c r="J4814">
        <v>-258.65660000000003</v>
      </c>
      <c r="K4814">
        <v>1.1100190000000001</v>
      </c>
      <c r="L4814">
        <v>-62.784059999999997</v>
      </c>
      <c r="M4814">
        <v>0.99903819999999999</v>
      </c>
      <c r="N4814">
        <v>0</v>
      </c>
      <c r="O4814">
        <v>-4.3514110000000002E-2</v>
      </c>
      <c r="P4814">
        <v>0.9983455</v>
      </c>
      <c r="Q4814">
        <v>2.2537250000000002E-2</v>
      </c>
      <c r="R4814">
        <v>5.2904039999999999E-2</v>
      </c>
      <c r="S4814">
        <v>3.0159609999999999</v>
      </c>
      <c r="T4814">
        <v>-0.36973400000000001</v>
      </c>
      <c r="U4814">
        <v>-4.9163819999999997E-2</v>
      </c>
      <c r="V4814">
        <v>-9.6339359999999999E-2</v>
      </c>
      <c r="W4814">
        <v>2.7805860000000002E-2</v>
      </c>
      <c r="X4814">
        <v>0.99496010000000001</v>
      </c>
      <c r="Y4814">
        <v>-2.6700089999999999E-2</v>
      </c>
      <c r="Z4814">
        <v>6.9430069999999898E-3</v>
      </c>
      <c r="AA4814">
        <v>0.99961939999999905</v>
      </c>
      <c r="AB4814">
        <v>28</v>
      </c>
      <c r="AC4814">
        <v>0.71810000000004903</v>
      </c>
      <c r="AD4814">
        <v>-0.10517700000000001</v>
      </c>
      <c r="AE4814">
        <v>-8.2099999999982708E-3</v>
      </c>
      <c r="AF4814">
        <v>-2.2561778818805101E-2</v>
      </c>
      <c r="AG4814">
        <v>-0.10517700000000001</v>
      </c>
      <c r="AH4814">
        <v>0.70270447862336505</v>
      </c>
      <c r="AI4814">
        <v>98.508209960705301</v>
      </c>
      <c r="AJ4814">
        <v>91.838967618885306</v>
      </c>
      <c r="AK4814">
        <v>0.71089015991910098</v>
      </c>
    </row>
    <row r="4815" spans="1:37" x14ac:dyDescent="0.2">
      <c r="A4815" t="str">
        <f>"20200111154158153"</f>
        <v>20200111154158153</v>
      </c>
      <c r="B4815" t="str">
        <f>"1578728518150797"</f>
        <v>1578728518150797</v>
      </c>
      <c r="C4815" t="s">
        <v>37</v>
      </c>
      <c r="D4815">
        <v>5.5780050000000001</v>
      </c>
      <c r="E4815">
        <v>0.52459619999999996</v>
      </c>
      <c r="F4815" t="s">
        <v>38</v>
      </c>
      <c r="G4815">
        <v>-257.92430000000002</v>
      </c>
      <c r="H4815">
        <v>1.0314159999999899</v>
      </c>
      <c r="I4815">
        <v>-62.7958</v>
      </c>
      <c r="J4815">
        <v>-258.51400000000001</v>
      </c>
      <c r="K4815">
        <v>1.10998</v>
      </c>
      <c r="L4815">
        <v>-62.78989</v>
      </c>
      <c r="M4815">
        <v>0.99905379999999999</v>
      </c>
      <c r="N4815">
        <v>0</v>
      </c>
      <c r="O4815">
        <v>-4.3155319999999997E-2</v>
      </c>
      <c r="P4815">
        <v>0.99833320000000003</v>
      </c>
      <c r="Q4815">
        <v>2.2131350000000001E-2</v>
      </c>
      <c r="R4815">
        <v>5.3305270000000002E-2</v>
      </c>
      <c r="S4815">
        <v>3.0148470000000001</v>
      </c>
      <c r="T4815">
        <v>-0.32367979999999902</v>
      </c>
      <c r="U4815">
        <v>-4.8370360000000001E-2</v>
      </c>
      <c r="V4815">
        <v>-9.6378870000000005E-2</v>
      </c>
      <c r="W4815">
        <v>2.7398800000000001E-2</v>
      </c>
      <c r="X4815">
        <v>0.99496749999999901</v>
      </c>
      <c r="Y4815">
        <v>-2.6722070000000001E-2</v>
      </c>
      <c r="Z4815">
        <v>6.0485239999999996E-3</v>
      </c>
      <c r="AA4815">
        <v>0.99962459999999898</v>
      </c>
      <c r="AB4815">
        <v>28</v>
      </c>
      <c r="AC4815">
        <v>0.58969999999999301</v>
      </c>
      <c r="AD4815">
        <v>-7.8563999999999995E-2</v>
      </c>
      <c r="AE4815">
        <v>-5.9100000000000801E-3</v>
      </c>
      <c r="AF4815">
        <v>-1.9203747115975101E-2</v>
      </c>
      <c r="AG4815">
        <v>-7.8563999999999995E-2</v>
      </c>
      <c r="AH4815">
        <v>0.57912749393678098</v>
      </c>
      <c r="AI4815">
        <v>97.721347859835504</v>
      </c>
      <c r="AJ4815">
        <v>91.899220213157193</v>
      </c>
      <c r="AK4815">
        <v>0.58474758676953098</v>
      </c>
    </row>
    <row r="4816" spans="1:37" x14ac:dyDescent="0.2">
      <c r="A4816" t="str">
        <f>"20200111154158165"</f>
        <v>20200111154158165</v>
      </c>
      <c r="B4816" t="str">
        <f>"1578728518160556"</f>
        <v>1578728518160556</v>
      </c>
      <c r="C4816" t="s">
        <v>37</v>
      </c>
      <c r="D4816">
        <v>5.2057010000000004</v>
      </c>
      <c r="E4816">
        <v>0.52350359999999996</v>
      </c>
      <c r="F4816" t="s">
        <v>54</v>
      </c>
      <c r="G4816">
        <v>-245.10939999999999</v>
      </c>
      <c r="H4816" s="1">
        <v>-1.8632100000000001E-6</v>
      </c>
      <c r="I4816">
        <v>-62.954949999999997</v>
      </c>
      <c r="J4816">
        <v>-258.3707</v>
      </c>
      <c r="K4816">
        <v>1.1099379999999901</v>
      </c>
      <c r="L4816">
        <v>-62.795719999999903</v>
      </c>
      <c r="M4816">
        <v>0.99906870000000003</v>
      </c>
      <c r="N4816">
        <v>0</v>
      </c>
      <c r="O4816">
        <v>-4.2805950000000002E-2</v>
      </c>
      <c r="P4816">
        <v>0.99832759999999998</v>
      </c>
      <c r="Q4816">
        <v>2.1967549999999999E-2</v>
      </c>
      <c r="R4816">
        <v>5.3474239999999999E-2</v>
      </c>
      <c r="S4816">
        <v>3.012527</v>
      </c>
      <c r="T4816">
        <v>-0.24945429999999899</v>
      </c>
      <c r="U4816">
        <v>-3.7109379999999997E-2</v>
      </c>
      <c r="V4816">
        <v>-9.6197110000000002E-2</v>
      </c>
      <c r="W4816">
        <v>2.72353E-2</v>
      </c>
      <c r="X4816">
        <v>0.99498960000000003</v>
      </c>
      <c r="Y4816">
        <v>-3.0247309999999999E-2</v>
      </c>
      <c r="Z4816">
        <v>4.7875299999999999E-3</v>
      </c>
      <c r="AA4816">
        <v>0.99953099999999995</v>
      </c>
      <c r="AB4816">
        <v>29</v>
      </c>
      <c r="AC4816">
        <v>13.2613</v>
      </c>
      <c r="AD4816">
        <v>-1.1099398632099999</v>
      </c>
      <c r="AE4816">
        <v>-0.15923000000000001</v>
      </c>
      <c r="AF4816">
        <v>-0.405744883850789</v>
      </c>
      <c r="AG4816">
        <v>-1.1099398632099999</v>
      </c>
      <c r="AH4816">
        <v>13.1637577256672</v>
      </c>
      <c r="AI4816">
        <v>94.817380168218193</v>
      </c>
      <c r="AJ4816">
        <v>91.765461807917902</v>
      </c>
      <c r="AK4816">
        <v>13.2166982590501</v>
      </c>
    </row>
    <row r="4817" spans="1:37" x14ac:dyDescent="0.2">
      <c r="A4817" t="str">
        <f>"20200111154158177"</f>
        <v>20200111154158177</v>
      </c>
      <c r="B4817" t="str">
        <f>"1578728518170318"</f>
        <v>1578728518170318</v>
      </c>
      <c r="C4817" t="s">
        <v>37</v>
      </c>
      <c r="D4817">
        <v>5.1743309999999996</v>
      </c>
      <c r="E4817">
        <v>0.52242860000000002</v>
      </c>
      <c r="F4817" t="s">
        <v>54</v>
      </c>
      <c r="G4817">
        <v>-243.76140000000001</v>
      </c>
      <c r="H4817" s="1">
        <v>-1.2785440000000001E-6</v>
      </c>
      <c r="I4817">
        <v>-62.930969999999903</v>
      </c>
      <c r="J4817">
        <v>-258.21910000000003</v>
      </c>
      <c r="K4817">
        <v>1.10989</v>
      </c>
      <c r="L4817">
        <v>-62.801879999999997</v>
      </c>
      <c r="M4817">
        <v>0.99908259999999904</v>
      </c>
      <c r="N4817">
        <v>0</v>
      </c>
      <c r="O4817">
        <v>-4.2483930000000003E-2</v>
      </c>
      <c r="P4817">
        <v>0.99832790000000005</v>
      </c>
      <c r="Q4817">
        <v>2.1540819999999999E-2</v>
      </c>
      <c r="R4817">
        <v>5.3646319999999997E-2</v>
      </c>
      <c r="S4817">
        <v>3.0115509999999999</v>
      </c>
      <c r="T4817">
        <v>-0.22880139999999999</v>
      </c>
      <c r="U4817">
        <v>-2.7893069999999999E-2</v>
      </c>
      <c r="V4817">
        <v>-9.6044969999999993E-2</v>
      </c>
      <c r="W4817">
        <v>2.6811069999999999E-2</v>
      </c>
      <c r="X4817">
        <v>0.99501589999999995</v>
      </c>
      <c r="Y4817">
        <v>-3.3011980000000003E-2</v>
      </c>
      <c r="Z4817">
        <v>4.474352E-3</v>
      </c>
      <c r="AA4817">
        <v>0.99944500000000003</v>
      </c>
      <c r="AB4817">
        <v>29</v>
      </c>
      <c r="AC4817">
        <v>14.457700000000001</v>
      </c>
      <c r="AD4817">
        <v>-1.109891278544</v>
      </c>
      <c r="AE4817">
        <v>-0.12908999999998999</v>
      </c>
      <c r="AF4817">
        <v>-0.48241259504640099</v>
      </c>
      <c r="AG4817">
        <v>-1.109891278544</v>
      </c>
      <c r="AH4817">
        <v>14.3654767426854</v>
      </c>
      <c r="AI4817">
        <v>94.415474111778806</v>
      </c>
      <c r="AJ4817">
        <v>91.923348814652798</v>
      </c>
      <c r="AK4817">
        <v>14.416362322260101</v>
      </c>
    </row>
    <row r="4818" spans="1:37" x14ac:dyDescent="0.2">
      <c r="A4818" t="str">
        <f>"20200111154158187"</f>
        <v>20200111154158187</v>
      </c>
      <c r="B4818" t="str">
        <f>"1578728518181053"</f>
        <v>1578728518181053</v>
      </c>
      <c r="C4818" t="s">
        <v>37</v>
      </c>
      <c r="D4818">
        <v>5.1923949999999897</v>
      </c>
      <c r="E4818">
        <v>0.52168760000000003</v>
      </c>
      <c r="F4818" t="s">
        <v>54</v>
      </c>
      <c r="G4818">
        <v>-242.75960000000001</v>
      </c>
      <c r="H4818" s="1">
        <v>-8.4018100000000002E-7</v>
      </c>
      <c r="I4818">
        <v>-62.89866</v>
      </c>
      <c r="J4818">
        <v>-258.07299999999998</v>
      </c>
      <c r="K4818">
        <v>1.1098459999999899</v>
      </c>
      <c r="L4818">
        <v>-62.807769999999998</v>
      </c>
      <c r="M4818">
        <v>0.9990947</v>
      </c>
      <c r="N4818">
        <v>0</v>
      </c>
      <c r="O4818">
        <v>-4.2196350000000001E-2</v>
      </c>
      <c r="P4818">
        <v>0.99833680000000002</v>
      </c>
      <c r="Q4818">
        <v>2.1188149999999999E-2</v>
      </c>
      <c r="R4818">
        <v>5.3616839999999999E-2</v>
      </c>
      <c r="S4818">
        <v>3.010742</v>
      </c>
      <c r="T4818">
        <v>-0.21615100000000001</v>
      </c>
      <c r="U4818">
        <v>-1.8859859999999999E-2</v>
      </c>
      <c r="V4818">
        <v>-9.5726549999999994E-2</v>
      </c>
      <c r="W4818">
        <v>2.6460729999999998E-2</v>
      </c>
      <c r="X4818">
        <v>0.99505589999999999</v>
      </c>
      <c r="Y4818">
        <v>-3.5737140000000001E-2</v>
      </c>
      <c r="Z4818">
        <v>4.3059420000000001E-3</v>
      </c>
      <c r="AA4818">
        <v>0.99935189999999996</v>
      </c>
      <c r="AB4818">
        <v>29</v>
      </c>
      <c r="AC4818">
        <v>15.3133999999999</v>
      </c>
      <c r="AD4818">
        <v>-1.109846840181</v>
      </c>
      <c r="AE4818">
        <v>-9.0890000000001595E-2</v>
      </c>
      <c r="AF4818">
        <v>-0.55246814188587601</v>
      </c>
      <c r="AG4818">
        <v>-1.109846840181</v>
      </c>
      <c r="AH4818">
        <v>15.2236334022723</v>
      </c>
      <c r="AI4818">
        <v>94.166917945880797</v>
      </c>
      <c r="AJ4818">
        <v>92.078361130121493</v>
      </c>
      <c r="AK4818">
        <v>15.274030084533599</v>
      </c>
    </row>
    <row r="4819" spans="1:37" x14ac:dyDescent="0.2">
      <c r="A4819" t="str">
        <f>"20200111154158199"</f>
        <v>20200111154158199</v>
      </c>
      <c r="B4819" t="str">
        <f>"1578728518190813"</f>
        <v>1578728518190813</v>
      </c>
      <c r="C4819" t="s">
        <v>37</v>
      </c>
      <c r="D4819">
        <v>5.18424</v>
      </c>
      <c r="E4819">
        <v>0.52049849999999998</v>
      </c>
      <c r="F4819" t="s">
        <v>54</v>
      </c>
      <c r="G4819">
        <v>-241.9862</v>
      </c>
      <c r="H4819" s="1">
        <v>-5.0276879999999998E-7</v>
      </c>
      <c r="I4819">
        <v>-62.877510000000001</v>
      </c>
      <c r="J4819">
        <v>-257.92039999999997</v>
      </c>
      <c r="K4819">
        <v>1.1097999999999999</v>
      </c>
      <c r="L4819">
        <v>-62.813959999999902</v>
      </c>
      <c r="M4819">
        <v>0.9991063</v>
      </c>
      <c r="N4819">
        <v>0</v>
      </c>
      <c r="O4819">
        <v>-4.1925839999999999E-2</v>
      </c>
      <c r="P4819">
        <v>0.99833490000000003</v>
      </c>
      <c r="Q4819">
        <v>2.099326E-2</v>
      </c>
      <c r="R4819">
        <v>5.3732620000000002E-2</v>
      </c>
      <c r="S4819">
        <v>3.0101009999999899</v>
      </c>
      <c r="T4819">
        <v>-0.20766970000000001</v>
      </c>
      <c r="U4819">
        <v>-1.306152E-2</v>
      </c>
      <c r="V4819">
        <v>-9.5569509999999996E-2</v>
      </c>
      <c r="W4819">
        <v>2.6269099999999899E-2</v>
      </c>
      <c r="X4819">
        <v>0.99507610000000002</v>
      </c>
      <c r="Y4819">
        <v>-3.7402159999999997E-2</v>
      </c>
      <c r="Z4819">
        <v>4.177063E-3</v>
      </c>
      <c r="AA4819">
        <v>0.9992915</v>
      </c>
      <c r="AB4819">
        <v>29</v>
      </c>
      <c r="AC4819">
        <v>15.934199999999899</v>
      </c>
      <c r="AD4819">
        <v>-1.1098005027687901</v>
      </c>
      <c r="AE4819">
        <v>-6.3550000000006407E-2</v>
      </c>
      <c r="AF4819">
        <v>-0.60165167524016305</v>
      </c>
      <c r="AG4819">
        <v>-1.1098005027687901</v>
      </c>
      <c r="AH4819">
        <v>15.845986176371399</v>
      </c>
      <c r="AI4819">
        <v>94.003389898676502</v>
      </c>
      <c r="AJ4819">
        <v>92.174402425938894</v>
      </c>
      <c r="AK4819">
        <v>15.896191990411401</v>
      </c>
    </row>
    <row r="4820" spans="1:37" x14ac:dyDescent="0.2">
      <c r="A4820" t="str">
        <f>"20200111154158211"</f>
        <v>20200111154158211</v>
      </c>
      <c r="B4820" t="str">
        <f>"1578728518200574"</f>
        <v>1578728518200574</v>
      </c>
      <c r="C4820" t="s">
        <v>37</v>
      </c>
      <c r="D4820">
        <v>5.1679500000000003</v>
      </c>
      <c r="E4820">
        <v>0.51928940000000001</v>
      </c>
      <c r="F4820" t="s">
        <v>54</v>
      </c>
      <c r="G4820">
        <v>-241.39879999999999</v>
      </c>
      <c r="H4820" s="1">
        <v>-2.386998E-7</v>
      </c>
      <c r="I4820">
        <v>-62.832159999999902</v>
      </c>
      <c r="J4820">
        <v>-257.77589999999998</v>
      </c>
      <c r="K4820">
        <v>1.1097589999999999</v>
      </c>
      <c r="L4820">
        <v>-62.819759999999903</v>
      </c>
      <c r="M4820">
        <v>0.99911550000000005</v>
      </c>
      <c r="N4820">
        <v>0</v>
      </c>
      <c r="O4820">
        <v>-4.1704909999999998E-2</v>
      </c>
      <c r="P4820">
        <v>0.99833300000000003</v>
      </c>
      <c r="Q4820">
        <v>2.1007379999999999E-2</v>
      </c>
      <c r="R4820">
        <v>5.3761349999999999E-2</v>
      </c>
      <c r="S4820">
        <v>3.0094599999999998</v>
      </c>
      <c r="T4820">
        <v>-0.20215329999999901</v>
      </c>
      <c r="U4820">
        <v>-3.32641599999999E-3</v>
      </c>
      <c r="V4820">
        <v>-9.5375399999999902E-2</v>
      </c>
      <c r="W4820">
        <v>2.6286259999999999E-2</v>
      </c>
      <c r="X4820">
        <v>0.99509419999999904</v>
      </c>
      <c r="Y4820">
        <v>-4.0416109999999998E-2</v>
      </c>
      <c r="Z4820">
        <v>4.1535879999999997E-3</v>
      </c>
      <c r="AA4820">
        <v>0.99917429999999996</v>
      </c>
      <c r="AB4820">
        <v>29</v>
      </c>
      <c r="AC4820">
        <v>16.377099999999899</v>
      </c>
      <c r="AD4820">
        <v>-1.1097592386998001</v>
      </c>
      <c r="AE4820">
        <v>-1.23999999999995E-2</v>
      </c>
      <c r="AF4820">
        <v>-0.66756083791994503</v>
      </c>
      <c r="AG4820">
        <v>-1.1097592386998001</v>
      </c>
      <c r="AH4820">
        <v>16.288574265639301</v>
      </c>
      <c r="AI4820">
        <v>93.894344790452493</v>
      </c>
      <c r="AJ4820">
        <v>92.346861365544299</v>
      </c>
      <c r="AK4820">
        <v>16.339977192378502</v>
      </c>
    </row>
    <row r="4821" spans="1:37" x14ac:dyDescent="0.2">
      <c r="A4821" t="str">
        <f>"20200111154158221"</f>
        <v>20200111154158221</v>
      </c>
      <c r="B4821" t="str">
        <f>"1578728518210334"</f>
        <v>1578728518210334</v>
      </c>
      <c r="C4821" t="s">
        <v>37</v>
      </c>
      <c r="D4821">
        <v>5.1583420000000002</v>
      </c>
      <c r="E4821">
        <v>0.51834340000000001</v>
      </c>
      <c r="F4821" t="s">
        <v>54</v>
      </c>
      <c r="G4821">
        <v>-241.03399999999999</v>
      </c>
      <c r="H4821" s="1">
        <v>-6.9495850000000001E-8</v>
      </c>
      <c r="I4821">
        <v>-62.784379999999999</v>
      </c>
      <c r="J4821">
        <v>-257.6379</v>
      </c>
      <c r="K4821">
        <v>1.1097170000000001</v>
      </c>
      <c r="L4821">
        <v>-62.825319999999998</v>
      </c>
      <c r="M4821">
        <v>0.99912380000000001</v>
      </c>
      <c r="N4821">
        <v>0</v>
      </c>
      <c r="O4821">
        <v>-4.150686E-2</v>
      </c>
      <c r="P4821">
        <v>0.99832379999999998</v>
      </c>
      <c r="Q4821">
        <v>2.1272409999999999E-2</v>
      </c>
      <c r="R4821">
        <v>5.3825190000000002E-2</v>
      </c>
      <c r="S4821">
        <v>3.0088650000000001</v>
      </c>
      <c r="T4821">
        <v>-0.19944579999999901</v>
      </c>
      <c r="U4821">
        <v>6.3476560000000001E-3</v>
      </c>
      <c r="V4821">
        <v>-9.5239480000000001E-2</v>
      </c>
      <c r="W4821">
        <v>2.6553670000000001E-2</v>
      </c>
      <c r="X4821">
        <v>0.99510010000000004</v>
      </c>
      <c r="Y4821">
        <v>-4.3428840000000003E-2</v>
      </c>
      <c r="Z4821">
        <v>4.1855690000000001E-3</v>
      </c>
      <c r="AA4821">
        <v>0.99904780000000004</v>
      </c>
      <c r="AB4821">
        <v>29</v>
      </c>
      <c r="AC4821">
        <v>16.6038999999999</v>
      </c>
      <c r="AD4821">
        <v>-1.10971706949585</v>
      </c>
      <c r="AE4821">
        <v>4.09399999999919E-2</v>
      </c>
      <c r="AF4821">
        <v>-0.72684369515064295</v>
      </c>
      <c r="AG4821">
        <v>-1.10971706949585</v>
      </c>
      <c r="AH4821">
        <v>16.514125173978702</v>
      </c>
      <c r="AI4821">
        <v>93.840678170055</v>
      </c>
      <c r="AJ4821">
        <v>92.520158681026899</v>
      </c>
      <c r="AK4821">
        <v>16.567320362489198</v>
      </c>
    </row>
    <row r="4822" spans="1:37" x14ac:dyDescent="0.2">
      <c r="A4822" t="str">
        <f>"20200111154158232"</f>
        <v>20200111154158232</v>
      </c>
      <c r="B4822" t="str">
        <f>"1578728518221070"</f>
        <v>1578728518221070</v>
      </c>
      <c r="C4822" t="s">
        <v>37</v>
      </c>
      <c r="D4822">
        <v>5.1946329999999996</v>
      </c>
      <c r="E4822">
        <v>0.51772299999999905</v>
      </c>
      <c r="F4822" t="s">
        <v>54</v>
      </c>
      <c r="G4822">
        <v>-240.54300000000001</v>
      </c>
      <c r="H4822" s="1">
        <v>1.5155019999999999E-7</v>
      </c>
      <c r="I4822">
        <v>-62.745139999999999</v>
      </c>
      <c r="J4822">
        <v>-257.49959999999999</v>
      </c>
      <c r="K4822">
        <v>1.109677</v>
      </c>
      <c r="L4822">
        <v>-62.830869999999997</v>
      </c>
      <c r="M4822">
        <v>0.99913039999999997</v>
      </c>
      <c r="N4822">
        <v>0</v>
      </c>
      <c r="O4822">
        <v>-4.1347780000000001E-2</v>
      </c>
      <c r="P4822">
        <v>0.99832829999999995</v>
      </c>
      <c r="Q4822">
        <v>2.1413789999999999E-2</v>
      </c>
      <c r="R4822">
        <v>5.3687100000000001E-2</v>
      </c>
      <c r="S4822">
        <v>3.0084379999999999</v>
      </c>
      <c r="T4822">
        <v>-0.1952931</v>
      </c>
      <c r="U4822">
        <v>1.409912E-2</v>
      </c>
      <c r="V4822">
        <v>-9.4940650000000001E-2</v>
      </c>
      <c r="W4822">
        <v>2.669763E-2</v>
      </c>
      <c r="X4822">
        <v>0.99512489999999998</v>
      </c>
      <c r="Y4822">
        <v>-4.5846899999999899E-2</v>
      </c>
      <c r="Z4822">
        <v>4.1672940000000002E-3</v>
      </c>
      <c r="AA4822">
        <v>0.99893980000000004</v>
      </c>
      <c r="AB4822">
        <v>29</v>
      </c>
      <c r="AC4822">
        <v>16.956599999999899</v>
      </c>
      <c r="AD4822">
        <v>-1.1096768484498001</v>
      </c>
      <c r="AE4822">
        <v>8.5729999999998002E-2</v>
      </c>
      <c r="AF4822">
        <v>-0.78342945630857697</v>
      </c>
      <c r="AG4822">
        <v>-1.1096768484498001</v>
      </c>
      <c r="AH4822">
        <v>16.866322558700901</v>
      </c>
      <c r="AI4822">
        <v>93.760162700806902</v>
      </c>
      <c r="AJ4822">
        <v>92.659439304251705</v>
      </c>
      <c r="AK4822">
        <v>16.920933221165399</v>
      </c>
    </row>
    <row r="4823" spans="1:37" x14ac:dyDescent="0.2">
      <c r="A4823" t="str">
        <f>"20200111154158243"</f>
        <v>20200111154158243</v>
      </c>
      <c r="B4823" t="str">
        <f>"1578728518240589"</f>
        <v>1578728518240589</v>
      </c>
      <c r="C4823" t="s">
        <v>37</v>
      </c>
      <c r="D4823">
        <v>5.1914030000000002</v>
      </c>
      <c r="E4823">
        <v>0.51663870000000001</v>
      </c>
      <c r="F4823" t="s">
        <v>54</v>
      </c>
      <c r="G4823">
        <v>-240.37379999999999</v>
      </c>
      <c r="H4823" s="1">
        <v>2.294843E-7</v>
      </c>
      <c r="I4823">
        <v>-62.725180000000002</v>
      </c>
      <c r="J4823">
        <v>-257.36020000000002</v>
      </c>
      <c r="K4823">
        <v>1.10964</v>
      </c>
      <c r="L4823">
        <v>-62.836519999999901</v>
      </c>
      <c r="M4823">
        <v>0.99913680000000005</v>
      </c>
      <c r="N4823">
        <v>0</v>
      </c>
      <c r="O4823">
        <v>-4.119312E-2</v>
      </c>
      <c r="P4823">
        <v>0.99830750000000001</v>
      </c>
      <c r="Q4823">
        <v>2.170853E-2</v>
      </c>
      <c r="R4823">
        <v>5.3953719999999997E-2</v>
      </c>
      <c r="S4823">
        <v>3.0081790000000002</v>
      </c>
      <c r="T4823">
        <v>-0.19491629999999999</v>
      </c>
      <c r="U4823">
        <v>1.8554689999999999E-2</v>
      </c>
      <c r="V4823">
        <v>-9.5050480000000007E-2</v>
      </c>
      <c r="W4823">
        <v>2.6995069999999999E-2</v>
      </c>
      <c r="X4823">
        <v>0.9951063</v>
      </c>
      <c r="Y4823">
        <v>-4.7170379999999998E-2</v>
      </c>
      <c r="Z4823">
        <v>4.1924589999999999E-3</v>
      </c>
      <c r="AA4823">
        <v>0.99887809999999899</v>
      </c>
      <c r="AB4823">
        <v>29</v>
      </c>
      <c r="AC4823">
        <v>16.9864</v>
      </c>
      <c r="AD4823">
        <v>-1.1096397705157</v>
      </c>
      <c r="AE4823">
        <v>0.111339999999991</v>
      </c>
      <c r="AF4823">
        <v>-0.80753247563165098</v>
      </c>
      <c r="AG4823">
        <v>-1.1096397705157</v>
      </c>
      <c r="AH4823">
        <v>16.895299506449099</v>
      </c>
      <c r="AI4823">
        <v>93.753370040148994</v>
      </c>
      <c r="AJ4823">
        <v>92.736442634494907</v>
      </c>
      <c r="AK4823">
        <v>16.950945535047001</v>
      </c>
    </row>
    <row r="4824" spans="1:37" x14ac:dyDescent="0.2">
      <c r="A4824" t="str">
        <f>"20200111154158254"</f>
        <v>20200111154158254</v>
      </c>
      <c r="B4824" t="str">
        <f>"1578728518250349"</f>
        <v>1578728518250349</v>
      </c>
      <c r="C4824" t="s">
        <v>37</v>
      </c>
      <c r="D4824">
        <v>5.1872559999999996</v>
      </c>
      <c r="E4824">
        <v>0.51603449999999995</v>
      </c>
      <c r="F4824" t="s">
        <v>54</v>
      </c>
      <c r="G4824">
        <v>-240.07660000000001</v>
      </c>
      <c r="H4824" s="1">
        <v>3.7019190000000002E-7</v>
      </c>
      <c r="I4824">
        <v>-62.675469999999997</v>
      </c>
      <c r="J4824">
        <v>-257.21039999999999</v>
      </c>
      <c r="K4824">
        <v>1.1096059999999901</v>
      </c>
      <c r="L4824">
        <v>-62.842529999999996</v>
      </c>
      <c r="M4824">
        <v>0.99914199999999997</v>
      </c>
      <c r="N4824">
        <v>0</v>
      </c>
      <c r="O4824">
        <v>-4.1066699999999998E-2</v>
      </c>
      <c r="P4824">
        <v>0.99829419999999902</v>
      </c>
      <c r="Q4824">
        <v>2.1944749999999999E-2</v>
      </c>
      <c r="R4824">
        <v>5.4102810000000001E-2</v>
      </c>
      <c r="S4824">
        <v>3.0077669999999999</v>
      </c>
      <c r="T4824">
        <v>-0.19310429999999901</v>
      </c>
      <c r="U4824">
        <v>2.8015140000000001E-2</v>
      </c>
      <c r="V4824">
        <v>-9.5070730000000006E-2</v>
      </c>
      <c r="W4824">
        <v>2.7232920000000001E-2</v>
      </c>
      <c r="X4824">
        <v>0.99509789999999998</v>
      </c>
      <c r="Y4824">
        <v>-5.0183680000000001E-2</v>
      </c>
      <c r="Z4824">
        <v>4.2426499999999997E-3</v>
      </c>
      <c r="AA4824">
        <v>0.99873099999999904</v>
      </c>
      <c r="AB4824">
        <v>29</v>
      </c>
      <c r="AC4824">
        <v>17.133799999999901</v>
      </c>
      <c r="AD4824">
        <v>-1.1096056298080901</v>
      </c>
      <c r="AE4824">
        <v>0.16706000000000601</v>
      </c>
      <c r="AF4824">
        <v>-0.86692227984882497</v>
      </c>
      <c r="AG4824">
        <v>-1.1096056298080901</v>
      </c>
      <c r="AH4824">
        <v>17.041021437299602</v>
      </c>
      <c r="AI4824">
        <v>93.720688674187201</v>
      </c>
      <c r="AJ4824">
        <v>92.912278728070604</v>
      </c>
      <c r="AK4824">
        <v>17.099099114266402</v>
      </c>
    </row>
    <row r="4825" spans="1:37" x14ac:dyDescent="0.2">
      <c r="A4825" t="str">
        <f>"20200111154158266"</f>
        <v>20200111154158266</v>
      </c>
      <c r="B4825" t="str">
        <f>"1578728518261088"</f>
        <v>1578728518261088</v>
      </c>
      <c r="C4825" t="s">
        <v>37</v>
      </c>
      <c r="D4825">
        <v>5.1770269999999998</v>
      </c>
      <c r="E4825">
        <v>0.51556970000000002</v>
      </c>
      <c r="F4825" t="s">
        <v>55</v>
      </c>
      <c r="G4825">
        <v>-239.80940000000001</v>
      </c>
      <c r="H4825" s="1">
        <v>-3.6141529999999998E-6</v>
      </c>
      <c r="I4825">
        <v>-62.649299999999997</v>
      </c>
      <c r="J4825">
        <v>-257.05840000000001</v>
      </c>
      <c r="K4825">
        <v>1.109577</v>
      </c>
      <c r="L4825">
        <v>-62.84863</v>
      </c>
      <c r="M4825">
        <v>0.99914689999999995</v>
      </c>
      <c r="N4825">
        <v>0</v>
      </c>
      <c r="O4825">
        <v>-4.094718E-2</v>
      </c>
      <c r="P4825">
        <v>0.99827319999999997</v>
      </c>
      <c r="Q4825">
        <v>2.2214979999999999E-2</v>
      </c>
      <c r="R4825">
        <v>5.4380850000000001E-2</v>
      </c>
      <c r="S4825">
        <v>3.007568</v>
      </c>
      <c r="T4825">
        <v>-0.19178419999999999</v>
      </c>
      <c r="U4825">
        <v>3.3386230000000003E-2</v>
      </c>
      <c r="V4825">
        <v>-9.5226599999999995E-2</v>
      </c>
      <c r="W4825">
        <v>2.7505089999999999E-2</v>
      </c>
      <c r="X4825">
        <v>0.99507559999999995</v>
      </c>
      <c r="Y4825">
        <v>-5.1847549999999999E-2</v>
      </c>
      <c r="Z4825">
        <v>4.2593539999999999E-3</v>
      </c>
      <c r="AA4825">
        <v>0.99864589999999998</v>
      </c>
      <c r="AB4825">
        <v>29</v>
      </c>
      <c r="AC4825">
        <v>17.248999999999899</v>
      </c>
      <c r="AD4825">
        <v>-1.109580614153</v>
      </c>
      <c r="AE4825">
        <v>0.19933000000001</v>
      </c>
      <c r="AF4825">
        <v>-0.90174000191808901</v>
      </c>
      <c r="AG4825">
        <v>-1.109580614153</v>
      </c>
      <c r="AH4825">
        <v>17.155391512345702</v>
      </c>
      <c r="AI4825">
        <v>93.695548461931693</v>
      </c>
      <c r="AJ4825">
        <v>93.008872916575896</v>
      </c>
      <c r="AK4825">
        <v>17.2148703774448</v>
      </c>
    </row>
    <row r="4826" spans="1:37" x14ac:dyDescent="0.2">
      <c r="A4826" t="str">
        <f>"20200111154158277"</f>
        <v>20200111154158277</v>
      </c>
      <c r="B4826" t="str">
        <f>"1578728518270845"</f>
        <v>1578728518270845</v>
      </c>
      <c r="C4826" t="s">
        <v>37</v>
      </c>
      <c r="D4826">
        <v>5.163043</v>
      </c>
      <c r="E4826">
        <v>0.51516079999999997</v>
      </c>
      <c r="F4826" t="s">
        <v>55</v>
      </c>
      <c r="G4826">
        <v>-239.49029999999999</v>
      </c>
      <c r="H4826" s="1">
        <v>-3.5016059999999998E-6</v>
      </c>
      <c r="I4826">
        <v>-62.62715</v>
      </c>
      <c r="J4826">
        <v>-256.90640000000002</v>
      </c>
      <c r="K4826">
        <v>1.109551</v>
      </c>
      <c r="L4826">
        <v>-62.85474</v>
      </c>
      <c r="M4826">
        <v>0.99915100000000001</v>
      </c>
      <c r="N4826">
        <v>0</v>
      </c>
      <c r="O4826">
        <v>-4.0848740000000001E-2</v>
      </c>
      <c r="P4826">
        <v>0.99824919999999995</v>
      </c>
      <c r="Q4826">
        <v>2.269239E-2</v>
      </c>
      <c r="R4826">
        <v>5.462384E-2</v>
      </c>
      <c r="S4826">
        <v>3.0073240000000001</v>
      </c>
      <c r="T4826">
        <v>-0.18993889999999999</v>
      </c>
      <c r="U4826">
        <v>3.7902829999999998E-2</v>
      </c>
      <c r="V4826">
        <v>-9.5369120000000002E-2</v>
      </c>
      <c r="W4826">
        <v>2.798318E-2</v>
      </c>
      <c r="X4826">
        <v>0.99504859999999995</v>
      </c>
      <c r="Y4826">
        <v>-5.3250619999999999E-2</v>
      </c>
      <c r="Z4826">
        <v>4.2568320000000003E-3</v>
      </c>
      <c r="AA4826">
        <v>0.99857209999999996</v>
      </c>
      <c r="AB4826">
        <v>29</v>
      </c>
      <c r="AC4826">
        <v>17.4161</v>
      </c>
      <c r="AD4826">
        <v>-1.109554501606</v>
      </c>
      <c r="AE4826">
        <v>0.22758999999999899</v>
      </c>
      <c r="AF4826">
        <v>-0.93504149097095401</v>
      </c>
      <c r="AG4826">
        <v>-1.109554501606</v>
      </c>
      <c r="AH4826">
        <v>17.321972134393999</v>
      </c>
      <c r="AI4826">
        <v>93.659745822300707</v>
      </c>
      <c r="AJ4826">
        <v>93.089832151760106</v>
      </c>
      <c r="AK4826">
        <v>17.382638821726498</v>
      </c>
    </row>
    <row r="4827" spans="1:37" x14ac:dyDescent="0.2">
      <c r="A4827" t="str">
        <f>"20200111154158289"</f>
        <v>20200111154158289</v>
      </c>
      <c r="B4827" t="str">
        <f>"1578728518280605"</f>
        <v>1578728518280605</v>
      </c>
      <c r="C4827" t="s">
        <v>37</v>
      </c>
      <c r="D4827">
        <v>5.1744079999999997</v>
      </c>
      <c r="E4827">
        <v>0.51480329999999996</v>
      </c>
      <c r="F4827" t="s">
        <v>55</v>
      </c>
      <c r="G4827">
        <v>-239.2149</v>
      </c>
      <c r="H4827" s="1">
        <v>-3.4046069999999898E-6</v>
      </c>
      <c r="I4827">
        <v>-62.608539999999998</v>
      </c>
      <c r="J4827">
        <v>-256.75970000000001</v>
      </c>
      <c r="K4827">
        <v>1.1095299999999999</v>
      </c>
      <c r="L4827">
        <v>-62.86063</v>
      </c>
      <c r="M4827">
        <v>0.9991546</v>
      </c>
      <c r="N4827">
        <v>0</v>
      </c>
      <c r="O4827">
        <v>-4.0764099999999998E-2</v>
      </c>
      <c r="P4827">
        <v>0.99822880000000003</v>
      </c>
      <c r="Q4827">
        <v>2.3048140000000002E-2</v>
      </c>
      <c r="R4827">
        <v>5.484853E-2</v>
      </c>
      <c r="S4827">
        <v>3.007263</v>
      </c>
      <c r="T4827">
        <v>-0.18860589999999999</v>
      </c>
      <c r="U4827">
        <v>4.1839599999999998E-2</v>
      </c>
      <c r="V4827">
        <v>-9.5506690000000005E-2</v>
      </c>
      <c r="W4827">
        <v>2.8338760000000001E-2</v>
      </c>
      <c r="X4827">
        <v>0.9950253</v>
      </c>
      <c r="Y4827">
        <v>-5.4473599999999997E-2</v>
      </c>
      <c r="Z4827">
        <v>4.26009299999999E-3</v>
      </c>
      <c r="AA4827">
        <v>0.99850609999999995</v>
      </c>
      <c r="AB4827">
        <v>29</v>
      </c>
      <c r="AC4827">
        <v>17.544799999999999</v>
      </c>
      <c r="AD4827">
        <v>-1.109533404607</v>
      </c>
      <c r="AE4827">
        <v>0.25209000000000198</v>
      </c>
      <c r="AF4827">
        <v>-0.96323710624662995</v>
      </c>
      <c r="AG4827">
        <v>-1.109533404607</v>
      </c>
      <c r="AH4827">
        <v>17.450165922805201</v>
      </c>
      <c r="AI4827">
        <v>93.632623263369794</v>
      </c>
      <c r="AJ4827">
        <v>93.159481117090493</v>
      </c>
      <c r="AK4827">
        <v>17.511915395873299</v>
      </c>
    </row>
    <row r="4828" spans="1:37" x14ac:dyDescent="0.2">
      <c r="A4828" t="str">
        <f>"20200111154158300"</f>
        <v>20200111154158300</v>
      </c>
      <c r="B4828" t="str">
        <f>"1578728518291342"</f>
        <v>1578728518291342</v>
      </c>
      <c r="C4828" t="s">
        <v>37</v>
      </c>
      <c r="D4828">
        <v>5.2104080000000002</v>
      </c>
      <c r="E4828">
        <v>0.51456059999999904</v>
      </c>
      <c r="F4828" t="s">
        <v>55</v>
      </c>
      <c r="G4828">
        <v>-238.9195</v>
      </c>
      <c r="H4828" s="1">
        <v>-3.3010400000000001E-6</v>
      </c>
      <c r="I4828">
        <v>-62.591529999999999</v>
      </c>
      <c r="J4828">
        <v>-256.60879999999997</v>
      </c>
      <c r="K4828">
        <v>1.109515</v>
      </c>
      <c r="L4828">
        <v>-62.866700000000002</v>
      </c>
      <c r="M4828">
        <v>0.99915769999999904</v>
      </c>
      <c r="N4828">
        <v>0</v>
      </c>
      <c r="O4828">
        <v>-4.0685399999999997E-2</v>
      </c>
      <c r="P4828">
        <v>0.99817809999999996</v>
      </c>
      <c r="Q4828">
        <v>2.3620410000000001E-2</v>
      </c>
      <c r="R4828">
        <v>5.552261E-2</v>
      </c>
      <c r="S4828">
        <v>3.0071560000000002</v>
      </c>
      <c r="T4828">
        <v>-0.18702299999999999</v>
      </c>
      <c r="U4828">
        <v>4.534912E-2</v>
      </c>
      <c r="V4828">
        <v>-9.6098649999999994E-2</v>
      </c>
      <c r="W4828">
        <v>2.8910720000000001E-2</v>
      </c>
      <c r="X4828">
        <v>0.99495180000000005</v>
      </c>
      <c r="Y4828">
        <v>-5.5561649999999997E-2</v>
      </c>
      <c r="Z4828">
        <v>4.2534499999999998E-3</v>
      </c>
      <c r="AA4828">
        <v>0.99844619999999995</v>
      </c>
      <c r="AB4828">
        <v>29</v>
      </c>
      <c r="AC4828">
        <v>17.6892999999999</v>
      </c>
      <c r="AD4828">
        <v>-1.10951830104</v>
      </c>
      <c r="AE4828">
        <v>0.27516999999999497</v>
      </c>
      <c r="AF4828">
        <v>-0.99075189423944199</v>
      </c>
      <c r="AG4828">
        <v>-1.10951830104</v>
      </c>
      <c r="AH4828">
        <v>17.594256214334699</v>
      </c>
      <c r="AI4828">
        <v>93.602681174754295</v>
      </c>
      <c r="AJ4828">
        <v>93.222984528064899</v>
      </c>
      <c r="AK4828">
        <v>17.657023302695599</v>
      </c>
    </row>
    <row r="4829" spans="1:37" x14ac:dyDescent="0.2">
      <c r="A4829" t="str">
        <f>"20200111154158310"</f>
        <v>20200111154158310</v>
      </c>
      <c r="B4829" t="str">
        <f>"1578728518301101"</f>
        <v>1578728518301101</v>
      </c>
      <c r="C4829" t="s">
        <v>37</v>
      </c>
      <c r="D4829">
        <v>5.1750889999999998</v>
      </c>
      <c r="E4829">
        <v>0.51428320000000005</v>
      </c>
      <c r="F4829" t="s">
        <v>55</v>
      </c>
      <c r="G4829">
        <v>-238.6275</v>
      </c>
      <c r="H4829" s="1">
        <v>-3.1981739999999998E-6</v>
      </c>
      <c r="I4829">
        <v>-62.571739999999998</v>
      </c>
      <c r="J4829">
        <v>-256.46839999999997</v>
      </c>
      <c r="K4829">
        <v>1.1095059999999899</v>
      </c>
      <c r="L4829">
        <v>-62.872340000000001</v>
      </c>
      <c r="M4829">
        <v>0.9991603</v>
      </c>
      <c r="N4829">
        <v>0</v>
      </c>
      <c r="O4829">
        <v>-4.0620620000000003E-2</v>
      </c>
      <c r="P4829">
        <v>0.99814319999999901</v>
      </c>
      <c r="Q4829">
        <v>2.4078559999999999E-2</v>
      </c>
      <c r="R4829">
        <v>5.5951059999999997E-2</v>
      </c>
      <c r="S4829">
        <v>3.007126</v>
      </c>
      <c r="T4829">
        <v>-0.18555179999999999</v>
      </c>
      <c r="U4829">
        <v>4.9316409999999998E-2</v>
      </c>
      <c r="V4829">
        <v>-9.6460309999999994E-2</v>
      </c>
      <c r="W4829">
        <v>2.9367339999999999E-2</v>
      </c>
      <c r="X4829">
        <v>0.99490349999999905</v>
      </c>
      <c r="Y4829">
        <v>-5.6814599999999903E-2</v>
      </c>
      <c r="Z4829">
        <v>4.2546959999999997E-3</v>
      </c>
      <c r="AA4829">
        <v>0.99837569999999998</v>
      </c>
      <c r="AB4829">
        <v>29</v>
      </c>
      <c r="AC4829">
        <v>17.840899999999898</v>
      </c>
      <c r="AD4829">
        <v>-1.109509198174</v>
      </c>
      <c r="AE4829">
        <v>0.30059999999999498</v>
      </c>
      <c r="AF4829">
        <v>-1.0211226423794399</v>
      </c>
      <c r="AG4829">
        <v>-1.109509198174</v>
      </c>
      <c r="AH4829">
        <v>17.745353358655201</v>
      </c>
      <c r="AI4829">
        <v>93.571806742846803</v>
      </c>
      <c r="AJ4829">
        <v>93.293344988853505</v>
      </c>
      <c r="AK4829">
        <v>17.8093028480945</v>
      </c>
    </row>
    <row r="4830" spans="1:37" x14ac:dyDescent="0.2">
      <c r="A4830" t="str">
        <f>"20200111154158321"</f>
        <v>20200111154158321</v>
      </c>
      <c r="B4830" t="str">
        <f>"1578728518310861"</f>
        <v>1578728518310861</v>
      </c>
      <c r="C4830" t="s">
        <v>37</v>
      </c>
      <c r="D4830">
        <v>5.1634519999999897</v>
      </c>
      <c r="E4830">
        <v>0.51408089999999995</v>
      </c>
      <c r="F4830" t="s">
        <v>55</v>
      </c>
      <c r="G4830">
        <v>-238.4205</v>
      </c>
      <c r="H4830" s="1">
        <v>-3.1248460000000001E-6</v>
      </c>
      <c r="I4830">
        <v>-62.555409999999902</v>
      </c>
      <c r="J4830">
        <v>-256.32479999999998</v>
      </c>
      <c r="K4830">
        <v>1.10949599999999</v>
      </c>
      <c r="L4830">
        <v>-62.87811</v>
      </c>
      <c r="M4830">
        <v>0.99916309999999997</v>
      </c>
      <c r="N4830">
        <v>0</v>
      </c>
      <c r="O4830">
        <v>-4.0556780000000001E-2</v>
      </c>
      <c r="P4830">
        <v>0.99811709999999998</v>
      </c>
      <c r="Q4830">
        <v>2.4739290000000001E-2</v>
      </c>
      <c r="R4830">
        <v>5.613042E-2</v>
      </c>
      <c r="S4830">
        <v>3.00705</v>
      </c>
      <c r="T4830">
        <v>-0.18486150000000001</v>
      </c>
      <c r="U4830">
        <v>5.2795410000000001E-2</v>
      </c>
      <c r="V4830">
        <v>-9.6574160000000006E-2</v>
      </c>
      <c r="W4830">
        <v>3.0026520000000001E-2</v>
      </c>
      <c r="X4830">
        <v>0.99487269999999906</v>
      </c>
      <c r="Y4830">
        <v>-5.790534E-2</v>
      </c>
      <c r="Z4830">
        <v>4.2685509999999998E-3</v>
      </c>
      <c r="AA4830">
        <v>0.99831299999999901</v>
      </c>
      <c r="AB4830">
        <v>29</v>
      </c>
      <c r="AC4830">
        <v>17.9042999999999</v>
      </c>
      <c r="AD4830">
        <v>-1.10949912484599</v>
      </c>
      <c r="AE4830">
        <v>0.32270000000000398</v>
      </c>
      <c r="AF4830">
        <v>-1.0445755569263699</v>
      </c>
      <c r="AG4830">
        <v>-1.10949912484599</v>
      </c>
      <c r="AH4830">
        <v>17.8081184715242</v>
      </c>
      <c r="AI4830">
        <v>93.558988989971596</v>
      </c>
      <c r="AJ4830">
        <v>93.356967275543298</v>
      </c>
      <c r="AK4830">
        <v>17.873198088143099</v>
      </c>
    </row>
    <row r="4831" spans="1:37" x14ac:dyDescent="0.2">
      <c r="A4831" t="str">
        <f>"20200111154158333"</f>
        <v>20200111154158333</v>
      </c>
      <c r="B4831" t="str">
        <f>"1578728518330381"</f>
        <v>1578728518330381</v>
      </c>
      <c r="C4831" t="s">
        <v>37</v>
      </c>
      <c r="D4831">
        <v>5.1427649999999998</v>
      </c>
      <c r="E4831">
        <v>0.51371239999999996</v>
      </c>
      <c r="F4831" t="s">
        <v>55</v>
      </c>
      <c r="G4831">
        <v>-238.1275</v>
      </c>
      <c r="H4831" s="1">
        <v>-3.0232449999999999E-6</v>
      </c>
      <c r="I4831">
        <v>-62.544899999999998</v>
      </c>
      <c r="J4831">
        <v>-256.17899999999997</v>
      </c>
      <c r="K4831">
        <v>1.109488</v>
      </c>
      <c r="L4831">
        <v>-62.883940000000003</v>
      </c>
      <c r="M4831">
        <v>0.99916550000000004</v>
      </c>
      <c r="N4831">
        <v>0</v>
      </c>
      <c r="O4831">
        <v>-4.0496619999999997E-2</v>
      </c>
      <c r="P4831">
        <v>0.99809029999999999</v>
      </c>
      <c r="Q4831">
        <v>2.4985429999999999E-2</v>
      </c>
      <c r="R4831">
        <v>5.6494990000000002E-2</v>
      </c>
      <c r="S4831">
        <v>3.0071110000000001</v>
      </c>
      <c r="T4831">
        <v>-0.18334489999999901</v>
      </c>
      <c r="U4831">
        <v>5.5053709999999999E-2</v>
      </c>
      <c r="V4831">
        <v>-9.6877050000000006E-2</v>
      </c>
      <c r="W4831">
        <v>3.0270539999999999E-2</v>
      </c>
      <c r="X4831">
        <v>0.9948359</v>
      </c>
      <c r="Y4831">
        <v>-5.8596210000000003E-2</v>
      </c>
      <c r="Z4831">
        <v>4.2508709999999998E-3</v>
      </c>
      <c r="AA4831">
        <v>0.99827269999999901</v>
      </c>
      <c r="AB4831">
        <v>29</v>
      </c>
      <c r="AC4831">
        <v>18.051500000000001</v>
      </c>
      <c r="AD4831">
        <v>-1.1094910232449999</v>
      </c>
      <c r="AE4831">
        <v>0.339040000000004</v>
      </c>
      <c r="AF4831">
        <v>-1.06577227125466</v>
      </c>
      <c r="AG4831">
        <v>-1.1094910232449999</v>
      </c>
      <c r="AH4831">
        <v>17.955157055048701</v>
      </c>
      <c r="AI4831">
        <v>93.529746998335099</v>
      </c>
      <c r="AJ4831">
        <v>93.3969454056421</v>
      </c>
      <c r="AK4831">
        <v>18.020946305238802</v>
      </c>
    </row>
    <row r="4832" spans="1:37" x14ac:dyDescent="0.2">
      <c r="A4832" t="str">
        <f>"20200111154158345"</f>
        <v>20200111154158345</v>
      </c>
      <c r="B4832" t="str">
        <f>"1578728518341117"</f>
        <v>1578728518341117</v>
      </c>
      <c r="C4832" t="s">
        <v>37</v>
      </c>
      <c r="D4832">
        <v>5.2791860000000002</v>
      </c>
      <c r="E4832">
        <v>0.51339389999999996</v>
      </c>
      <c r="F4832" t="s">
        <v>55</v>
      </c>
      <c r="G4832">
        <v>-238.11170000000001</v>
      </c>
      <c r="H4832" s="1">
        <v>-3.015016E-6</v>
      </c>
      <c r="I4832">
        <v>-62.528709999999997</v>
      </c>
      <c r="J4832">
        <v>-256.02229999999997</v>
      </c>
      <c r="K4832">
        <v>1.1094809999999999</v>
      </c>
      <c r="L4832">
        <v>-62.8902</v>
      </c>
      <c r="M4832">
        <v>0.99916799999999995</v>
      </c>
      <c r="N4832">
        <v>0</v>
      </c>
      <c r="O4832">
        <v>-4.043252E-2</v>
      </c>
      <c r="P4832">
        <v>0.99806209999999995</v>
      </c>
      <c r="Q4832">
        <v>2.5339779999999999E-2</v>
      </c>
      <c r="R4832">
        <v>5.6834750000000003E-2</v>
      </c>
      <c r="S4832">
        <v>3.0069889999999999</v>
      </c>
      <c r="T4832">
        <v>-0.1846554</v>
      </c>
      <c r="U4832">
        <v>5.911255E-2</v>
      </c>
      <c r="V4832">
        <v>-9.7151150000000006E-2</v>
      </c>
      <c r="W4832">
        <v>3.0622759999999999E-2</v>
      </c>
      <c r="X4832">
        <v>0.99479839999999997</v>
      </c>
      <c r="Y4832">
        <v>-5.9874919999999998E-2</v>
      </c>
      <c r="Z4832">
        <v>4.3166250000000001E-3</v>
      </c>
      <c r="AA4832">
        <v>0.99819650000000004</v>
      </c>
      <c r="AB4832">
        <v>30</v>
      </c>
      <c r="AC4832">
        <v>17.910599999999899</v>
      </c>
      <c r="AD4832">
        <v>-1.1094840150159999</v>
      </c>
      <c r="AE4832">
        <v>0.36149000000000298</v>
      </c>
      <c r="AF4832">
        <v>-1.08122814026511</v>
      </c>
      <c r="AG4832">
        <v>-1.1094840150159999</v>
      </c>
      <c r="AH4832">
        <v>17.813011990209301</v>
      </c>
      <c r="AI4832">
        <v>93.557534654647696</v>
      </c>
      <c r="AJ4832">
        <v>93.473522359650502</v>
      </c>
      <c r="AK4832">
        <v>17.880251822449701</v>
      </c>
    </row>
    <row r="4833" spans="1:37" x14ac:dyDescent="0.2">
      <c r="A4833" t="str">
        <f>"20200111154158355"</f>
        <v>20200111154158355</v>
      </c>
      <c r="B4833" t="str">
        <f>"1578728518350877"</f>
        <v>1578728518350877</v>
      </c>
      <c r="C4833" t="s">
        <v>37</v>
      </c>
      <c r="D4833">
        <v>5.2324109999999999</v>
      </c>
      <c r="E4833">
        <v>0.51317650000000004</v>
      </c>
      <c r="F4833" t="s">
        <v>55</v>
      </c>
      <c r="G4833">
        <v>-237.85339999999999</v>
      </c>
      <c r="H4833" s="1">
        <v>-2.9223629999999998E-6</v>
      </c>
      <c r="I4833">
        <v>-62.511380000000003</v>
      </c>
      <c r="J4833">
        <v>-255.87469999999999</v>
      </c>
      <c r="K4833">
        <v>1.1094740000000001</v>
      </c>
      <c r="L4833">
        <v>-62.896119999999897</v>
      </c>
      <c r="M4833">
        <v>0.99917060000000002</v>
      </c>
      <c r="N4833">
        <v>0</v>
      </c>
      <c r="O4833">
        <v>-4.0372690000000003E-2</v>
      </c>
      <c r="P4833">
        <v>0.99803850000000005</v>
      </c>
      <c r="Q4833">
        <v>2.567908E-2</v>
      </c>
      <c r="R4833">
        <v>5.7096019999999997E-2</v>
      </c>
      <c r="S4833">
        <v>3.0069430000000001</v>
      </c>
      <c r="T4833">
        <v>-0.18361859999999999</v>
      </c>
      <c r="U4833">
        <v>6.268311E-2</v>
      </c>
      <c r="V4833">
        <v>-9.7351279999999998E-2</v>
      </c>
      <c r="W4833">
        <v>3.0959730000000001E-2</v>
      </c>
      <c r="X4833">
        <v>0.9947684</v>
      </c>
      <c r="Y4833">
        <v>-6.1000329999999998E-2</v>
      </c>
      <c r="Z4833">
        <v>4.3231379999999998E-3</v>
      </c>
      <c r="AA4833">
        <v>0.99812839999999903</v>
      </c>
      <c r="AB4833">
        <v>30</v>
      </c>
      <c r="AC4833">
        <v>18.0213</v>
      </c>
      <c r="AD4833">
        <v>-1.1094769223630001</v>
      </c>
      <c r="AE4833">
        <v>0.38473999999999298</v>
      </c>
      <c r="AF4833">
        <v>-1.10780798889623</v>
      </c>
      <c r="AG4833">
        <v>-1.1094769223630001</v>
      </c>
      <c r="AH4833">
        <v>17.9231716447803</v>
      </c>
      <c r="AI4833">
        <v>93.535463510970899</v>
      </c>
      <c r="AJ4833">
        <v>93.536878387828295</v>
      </c>
      <c r="AK4833">
        <v>17.991616364011801</v>
      </c>
    </row>
    <row r="4834" spans="1:37" x14ac:dyDescent="0.2">
      <c r="A4834" t="str">
        <f>"20200111154158367"</f>
        <v>20200111154158367</v>
      </c>
      <c r="B4834" t="str">
        <f>"1578728518360638"</f>
        <v>1578728518360638</v>
      </c>
      <c r="C4834" t="s">
        <v>37</v>
      </c>
      <c r="D4834">
        <v>5.2036280000000001</v>
      </c>
      <c r="E4834">
        <v>0.51307100000000005</v>
      </c>
      <c r="F4834" t="s">
        <v>55</v>
      </c>
      <c r="G4834">
        <v>-237.6388</v>
      </c>
      <c r="H4834" s="1">
        <v>-2.8275500000000001E-6</v>
      </c>
      <c r="I4834">
        <v>-62.501089999999998</v>
      </c>
      <c r="J4834">
        <v>-255.72479999999999</v>
      </c>
      <c r="K4834">
        <v>1.109461</v>
      </c>
      <c r="L4834">
        <v>-62.902069999999902</v>
      </c>
      <c r="M4834">
        <v>0.99917299999999998</v>
      </c>
      <c r="N4834">
        <v>0</v>
      </c>
      <c r="O4834">
        <v>-4.0311300000000001E-2</v>
      </c>
      <c r="P4834">
        <v>0.99802119999999905</v>
      </c>
      <c r="Q4834">
        <v>2.537085E-2</v>
      </c>
      <c r="R4834">
        <v>5.7532489999999999E-2</v>
      </c>
      <c r="S4834">
        <v>3.006866</v>
      </c>
      <c r="T4834">
        <v>-0.1829385</v>
      </c>
      <c r="U4834">
        <v>6.5124509999999997E-2</v>
      </c>
      <c r="V4834">
        <v>-9.7725489999999998E-2</v>
      </c>
      <c r="W4834">
        <v>3.064946E-2</v>
      </c>
      <c r="X4834">
        <v>0.99474130000000005</v>
      </c>
      <c r="Y4834">
        <v>-6.1749709999999999E-2</v>
      </c>
      <c r="Z4834">
        <v>4.3262819999999999E-3</v>
      </c>
      <c r="AA4834">
        <v>0.99808229999999998</v>
      </c>
      <c r="AB4834">
        <v>30</v>
      </c>
      <c r="AC4834">
        <v>18.085999999999899</v>
      </c>
      <c r="AD4834">
        <v>-1.1094638275499999</v>
      </c>
      <c r="AE4834">
        <v>0.40097999999998901</v>
      </c>
      <c r="AF4834">
        <v>-1.1255013066728199</v>
      </c>
      <c r="AG4834">
        <v>-1.1094638275499999</v>
      </c>
      <c r="AH4834">
        <v>17.987479746003899</v>
      </c>
      <c r="AI4834">
        <v>93.522648059160304</v>
      </c>
      <c r="AJ4834">
        <v>93.580407823449093</v>
      </c>
      <c r="AK4834">
        <v>18.056774096966102</v>
      </c>
    </row>
    <row r="4835" spans="1:37" x14ac:dyDescent="0.2">
      <c r="A4835" t="str">
        <f>"20200111154158378"</f>
        <v>20200111154158378</v>
      </c>
      <c r="B4835" t="str">
        <f>"1578728518370399"</f>
        <v>1578728518370399</v>
      </c>
      <c r="C4835" t="s">
        <v>37</v>
      </c>
      <c r="D4835">
        <v>5.1874039999999999</v>
      </c>
      <c r="E4835">
        <v>0.512988</v>
      </c>
      <c r="F4835" t="s">
        <v>55</v>
      </c>
      <c r="G4835">
        <v>-237.62260000000001</v>
      </c>
      <c r="H4835" s="1">
        <v>-2.8196909999999998E-6</v>
      </c>
      <c r="I4835">
        <v>-62.497619999999998</v>
      </c>
      <c r="J4835">
        <v>-255.57339999999999</v>
      </c>
      <c r="K4835">
        <v>1.109453</v>
      </c>
      <c r="L4835">
        <v>-62.908079999999998</v>
      </c>
      <c r="M4835">
        <v>0.99917559999999905</v>
      </c>
      <c r="N4835">
        <v>0</v>
      </c>
      <c r="O4835">
        <v>-4.0248010000000001E-2</v>
      </c>
      <c r="P4835">
        <v>0.99799499999999997</v>
      </c>
      <c r="Q4835">
        <v>2.4684350000000001E-2</v>
      </c>
      <c r="R4835">
        <v>5.8284280000000001E-2</v>
      </c>
      <c r="S4835">
        <v>3.0067750000000002</v>
      </c>
      <c r="T4835">
        <v>-0.18428159999999999</v>
      </c>
      <c r="U4835">
        <v>6.7169190000000004E-2</v>
      </c>
      <c r="V4835">
        <v>-9.8412479999999997E-2</v>
      </c>
      <c r="W4835">
        <v>2.9960270000000001E-2</v>
      </c>
      <c r="X4835">
        <v>0.99469459999999998</v>
      </c>
      <c r="Y4835">
        <v>-6.2361710000000001E-2</v>
      </c>
      <c r="Z4835">
        <v>4.3729529999999997E-3</v>
      </c>
      <c r="AA4835">
        <v>0.99804400000000004</v>
      </c>
      <c r="AB4835">
        <v>30</v>
      </c>
      <c r="AC4835">
        <v>17.950799999999902</v>
      </c>
      <c r="AD4835">
        <v>-1.109455819691</v>
      </c>
      <c r="AE4835">
        <v>0.41046000000000699</v>
      </c>
      <c r="AF4835">
        <v>-1.1283137773857299</v>
      </c>
      <c r="AG4835">
        <v>-1.109455819691</v>
      </c>
      <c r="AH4835">
        <v>17.851578319867802</v>
      </c>
      <c r="AI4835">
        <v>93.549231031417406</v>
      </c>
      <c r="AJ4835">
        <v>93.616584201429603</v>
      </c>
      <c r="AK4835">
        <v>17.921574504112598</v>
      </c>
    </row>
    <row r="4836" spans="1:37" x14ac:dyDescent="0.2">
      <c r="A4836" t="str">
        <f>"20200111154158389"</f>
        <v>20200111154158389</v>
      </c>
      <c r="B4836" t="str">
        <f>"1578728518381133"</f>
        <v>1578728518381133</v>
      </c>
      <c r="C4836" t="s">
        <v>37</v>
      </c>
      <c r="D4836">
        <v>5.2283910000000002</v>
      </c>
      <c r="E4836">
        <v>0.51285320000000001</v>
      </c>
      <c r="F4836" t="s">
        <v>55</v>
      </c>
      <c r="G4836">
        <v>-237.88210000000001</v>
      </c>
      <c r="H4836" s="1">
        <v>-2.930625E-6</v>
      </c>
      <c r="I4836">
        <v>-62.496090000000002</v>
      </c>
      <c r="J4836">
        <v>-255.4265</v>
      </c>
      <c r="K4836">
        <v>1.109445</v>
      </c>
      <c r="L4836">
        <v>-62.913939999999997</v>
      </c>
      <c r="M4836">
        <v>0.99917819999999902</v>
      </c>
      <c r="N4836">
        <v>0</v>
      </c>
      <c r="O4836">
        <v>-4.0184709999999998E-2</v>
      </c>
      <c r="P4836">
        <v>0.99798419999999899</v>
      </c>
      <c r="Q4836">
        <v>2.4117409999999999E-2</v>
      </c>
      <c r="R4836">
        <v>5.8704390000000002E-2</v>
      </c>
      <c r="S4836">
        <v>3.0066069999999998</v>
      </c>
      <c r="T4836">
        <v>-0.18855039999999901</v>
      </c>
      <c r="U4836">
        <v>7.0007319999999998E-2</v>
      </c>
      <c r="V4836">
        <v>-9.8768439999999999E-2</v>
      </c>
      <c r="W4836">
        <v>2.9391170000000001E-2</v>
      </c>
      <c r="X4836">
        <v>0.99467629999999996</v>
      </c>
      <c r="Y4836">
        <v>-6.3230709999999996E-2</v>
      </c>
      <c r="Z4836">
        <v>4.4975199999999996E-3</v>
      </c>
      <c r="AA4836">
        <v>0.99798880000000001</v>
      </c>
      <c r="AB4836">
        <v>30</v>
      </c>
      <c r="AC4836">
        <v>17.5443999999999</v>
      </c>
      <c r="AD4836">
        <v>-1.109447930625</v>
      </c>
      <c r="AE4836">
        <v>0.417850000000001</v>
      </c>
      <c r="AF4836">
        <v>-1.11807053735304</v>
      </c>
      <c r="AG4836">
        <v>-1.109447930625</v>
      </c>
      <c r="AH4836">
        <v>17.443721464176999</v>
      </c>
      <c r="AI4836">
        <v>93.631766798308803</v>
      </c>
      <c r="AJ4836">
        <v>93.667406192574006</v>
      </c>
      <c r="AK4836">
        <v>17.514690261522102</v>
      </c>
    </row>
    <row r="4837" spans="1:37" x14ac:dyDescent="0.2">
      <c r="A4837" t="str">
        <f>"20200111154158400"</f>
        <v>20200111154158400</v>
      </c>
      <c r="B4837" t="str">
        <f>"1578728518390893"</f>
        <v>1578728518390893</v>
      </c>
      <c r="C4837" t="s">
        <v>37</v>
      </c>
      <c r="D4837">
        <v>5.2561549999999997</v>
      </c>
      <c r="E4837">
        <v>0.51271949999999999</v>
      </c>
      <c r="F4837" t="s">
        <v>55</v>
      </c>
      <c r="G4837">
        <v>-237.90170000000001</v>
      </c>
      <c r="H4837" s="1">
        <v>-2.9372179999999899E-6</v>
      </c>
      <c r="I4837">
        <v>-62.492980000000003</v>
      </c>
      <c r="J4837">
        <v>-255.27950000000001</v>
      </c>
      <c r="K4837">
        <v>1.10944</v>
      </c>
      <c r="L4837">
        <v>-62.9197699999999</v>
      </c>
      <c r="M4837">
        <v>0.99918079999999998</v>
      </c>
      <c r="N4837">
        <v>0</v>
      </c>
      <c r="O4837">
        <v>-4.0120459999999997E-2</v>
      </c>
      <c r="P4837">
        <v>0.99797119999999995</v>
      </c>
      <c r="Q4837">
        <v>2.3518830000000001E-2</v>
      </c>
      <c r="R4837">
        <v>5.9168869999999998E-2</v>
      </c>
      <c r="S4837">
        <v>3.0063930000000001</v>
      </c>
      <c r="T4837">
        <v>-0.19032679999999999</v>
      </c>
      <c r="U4837">
        <v>7.2204589999999999E-2</v>
      </c>
      <c r="V4837">
        <v>-9.9168110000000004E-2</v>
      </c>
      <c r="W4837">
        <v>2.8790619999999999E-2</v>
      </c>
      <c r="X4837">
        <v>0.99465409999999899</v>
      </c>
      <c r="Y4837">
        <v>-6.3892089999999999E-2</v>
      </c>
      <c r="Z4837">
        <v>4.5569520000000004E-3</v>
      </c>
      <c r="AA4837">
        <v>0.99794640000000001</v>
      </c>
      <c r="AB4837">
        <v>30</v>
      </c>
      <c r="AC4837">
        <v>17.377800000000001</v>
      </c>
      <c r="AD4837">
        <v>-1.1094429372179999</v>
      </c>
      <c r="AE4837">
        <v>0.42678999999998901</v>
      </c>
      <c r="AF4837">
        <v>-1.1191029097213501</v>
      </c>
      <c r="AG4837">
        <v>-1.1094429372179999</v>
      </c>
      <c r="AH4837">
        <v>17.276311068311198</v>
      </c>
      <c r="AI4837">
        <v>93.666687454557604</v>
      </c>
      <c r="AJ4837">
        <v>93.706255089565104</v>
      </c>
      <c r="AK4837">
        <v>17.348030985749901</v>
      </c>
    </row>
    <row r="4838" spans="1:37" x14ac:dyDescent="0.2">
      <c r="A4838" t="str">
        <f>"20200111154158412"</f>
        <v>20200111154158412</v>
      </c>
      <c r="B4838" t="str">
        <f>"1578728518400654"</f>
        <v>1578728518400654</v>
      </c>
      <c r="C4838" t="s">
        <v>37</v>
      </c>
      <c r="D4838">
        <v>5.2605760000000004</v>
      </c>
      <c r="E4838">
        <v>0.51262969999999997</v>
      </c>
      <c r="F4838" t="s">
        <v>55</v>
      </c>
      <c r="G4838">
        <v>-237.9365</v>
      </c>
      <c r="H4838" s="1">
        <v>-2.9483909999999898E-6</v>
      </c>
      <c r="I4838">
        <v>-62.489249999999998</v>
      </c>
      <c r="J4838">
        <v>-255.1317</v>
      </c>
      <c r="K4838">
        <v>1.1094329999999999</v>
      </c>
      <c r="L4838">
        <v>-62.925660000000001</v>
      </c>
      <c r="M4838">
        <v>0.999183499999999</v>
      </c>
      <c r="N4838">
        <v>0</v>
      </c>
      <c r="O4838">
        <v>-4.005322E-2</v>
      </c>
      <c r="P4838">
        <v>0.99796079999999998</v>
      </c>
      <c r="Q4838">
        <v>2.2889260000000002E-2</v>
      </c>
      <c r="R4838">
        <v>5.9586890000000003E-2</v>
      </c>
      <c r="S4838">
        <v>3.006195</v>
      </c>
      <c r="T4838">
        <v>-0.19230829999999999</v>
      </c>
      <c r="U4838">
        <v>7.4615479999999998E-2</v>
      </c>
      <c r="V4838">
        <v>-9.9518019999999999E-2</v>
      </c>
      <c r="W4838">
        <v>2.8157149999999999E-2</v>
      </c>
      <c r="X4838">
        <v>0.99463729999999995</v>
      </c>
      <c r="Y4838">
        <v>-6.4620629999999998E-2</v>
      </c>
      <c r="Z4838">
        <v>4.6235470000000004E-3</v>
      </c>
      <c r="AA4838">
        <v>0.99789919999999999</v>
      </c>
      <c r="AB4838">
        <v>30</v>
      </c>
      <c r="AC4838">
        <v>17.1952</v>
      </c>
      <c r="AD4838">
        <v>-1.1094359483909999</v>
      </c>
      <c r="AE4838">
        <v>0.43641000000000202</v>
      </c>
      <c r="AF4838">
        <v>-1.12013265351064</v>
      </c>
      <c r="AG4838">
        <v>-1.1094359483909999</v>
      </c>
      <c r="AH4838">
        <v>17.092812528606</v>
      </c>
      <c r="AI4838">
        <v>93.705737317024102</v>
      </c>
      <c r="AJ4838">
        <v>93.749367609170605</v>
      </c>
      <c r="AK4838">
        <v>17.1653658691889</v>
      </c>
    </row>
    <row r="4839" spans="1:37" x14ac:dyDescent="0.2">
      <c r="A4839" t="str">
        <f>"20200111154158434"</f>
        <v>20200111154158434</v>
      </c>
      <c r="B4839" t="str">
        <f>"1578728518430909"</f>
        <v>1578728518430909</v>
      </c>
      <c r="C4839" t="s">
        <v>37</v>
      </c>
      <c r="D4839">
        <v>5.2582379999999898</v>
      </c>
      <c r="E4839">
        <v>0.51247609999999999</v>
      </c>
      <c r="F4839" t="s">
        <v>55</v>
      </c>
      <c r="G4839">
        <v>-237.99279999999999</v>
      </c>
      <c r="H4839" s="1">
        <v>-2.96759299999999E-6</v>
      </c>
      <c r="I4839">
        <v>-62.489559999999997</v>
      </c>
      <c r="J4839">
        <v>-254.82390000000001</v>
      </c>
      <c r="K4839">
        <v>1.1094219999999999</v>
      </c>
      <c r="L4839">
        <v>-62.937840000000001</v>
      </c>
      <c r="M4839">
        <v>0.99918940000000001</v>
      </c>
      <c r="N4839">
        <v>0</v>
      </c>
      <c r="O4839">
        <v>-3.9909430000000003E-2</v>
      </c>
      <c r="P4839">
        <v>0.99793240000000005</v>
      </c>
      <c r="Q4839">
        <v>2.2465189999999999E-2</v>
      </c>
      <c r="R4839">
        <v>6.0222079999999997E-2</v>
      </c>
      <c r="S4839">
        <v>3.0060419999999999</v>
      </c>
      <c r="T4839">
        <v>-0.1945865</v>
      </c>
      <c r="U4839">
        <v>7.6477050000000005E-2</v>
      </c>
      <c r="V4839">
        <v>-0.10000820000000001</v>
      </c>
      <c r="W4839">
        <v>2.7721019999999999E-2</v>
      </c>
      <c r="X4839">
        <v>0.99460040000000005</v>
      </c>
      <c r="Y4839">
        <v>-6.5090060000000005E-2</v>
      </c>
      <c r="Z4839">
        <v>4.6842969999999996E-3</v>
      </c>
      <c r="AA4839">
        <v>0.99786839999999999</v>
      </c>
      <c r="AB4839">
        <v>30</v>
      </c>
      <c r="AC4839">
        <v>16.831099999999999</v>
      </c>
      <c r="AD4839">
        <v>-1.1094249675929999</v>
      </c>
      <c r="AE4839">
        <v>0.44828000000000401</v>
      </c>
      <c r="AF4839">
        <v>-1.1148115718982099</v>
      </c>
      <c r="AG4839">
        <v>-1.1094249675929999</v>
      </c>
      <c r="AH4839">
        <v>16.727174573748702</v>
      </c>
      <c r="AI4839">
        <v>93.786193387857296</v>
      </c>
      <c r="AJ4839">
        <v>93.812937888176407</v>
      </c>
      <c r="AK4839">
        <v>16.800952289088301</v>
      </c>
    </row>
    <row r="4840" spans="1:37" x14ac:dyDescent="0.2">
      <c r="A4840" t="str">
        <f>"20200111154158445"</f>
        <v>20200111154158445</v>
      </c>
      <c r="B4840" t="str">
        <f>"1578728518440669"</f>
        <v>1578728518440669</v>
      </c>
      <c r="C4840" t="s">
        <v>37</v>
      </c>
      <c r="D4840">
        <v>5.2432059999999998</v>
      </c>
      <c r="E4840">
        <v>0.5124708</v>
      </c>
      <c r="F4840" t="s">
        <v>55</v>
      </c>
      <c r="G4840">
        <v>-237.8314</v>
      </c>
      <c r="H4840" s="1">
        <v>-2.9066280000000002E-6</v>
      </c>
      <c r="I4840">
        <v>-62.487659999999998</v>
      </c>
      <c r="J4840">
        <v>-254.67840000000001</v>
      </c>
      <c r="K4840">
        <v>1.1094120000000001</v>
      </c>
      <c r="L4840">
        <v>-62.943600000000004</v>
      </c>
      <c r="M4840">
        <v>0.99919210000000003</v>
      </c>
      <c r="N4840">
        <v>0</v>
      </c>
      <c r="O4840">
        <v>-3.983979E-2</v>
      </c>
      <c r="P4840">
        <v>0.99789740000000005</v>
      </c>
      <c r="Q4840">
        <v>2.2216179999999999E-2</v>
      </c>
      <c r="R4840">
        <v>6.0886759999999998E-2</v>
      </c>
      <c r="S4840">
        <v>3.0058289999999999</v>
      </c>
      <c r="T4840">
        <v>-0.1962477</v>
      </c>
      <c r="U4840">
        <v>7.9620360000000001E-2</v>
      </c>
      <c r="V4840">
        <v>-0.100601699999999</v>
      </c>
      <c r="W4840">
        <v>2.7463149999999999E-2</v>
      </c>
      <c r="X4840">
        <v>0.99454769999999904</v>
      </c>
      <c r="Y4840">
        <v>-6.6059389999999996E-2</v>
      </c>
      <c r="Z4840">
        <v>4.751552E-3</v>
      </c>
      <c r="AA4840">
        <v>0.99780440000000004</v>
      </c>
      <c r="AB4840">
        <v>30</v>
      </c>
      <c r="AC4840">
        <v>16.847000000000001</v>
      </c>
      <c r="AD4840">
        <v>-1.1094149066279999</v>
      </c>
      <c r="AE4840">
        <v>0.45594000000000501</v>
      </c>
      <c r="AF4840">
        <v>-1.12190670169299</v>
      </c>
      <c r="AG4840">
        <v>-1.1094149066279999</v>
      </c>
      <c r="AH4840">
        <v>16.742906597629801</v>
      </c>
      <c r="AI4840">
        <v>93.782521301588602</v>
      </c>
      <c r="AJ4840">
        <v>93.833538058915593</v>
      </c>
      <c r="AK4840">
        <v>16.8170864723741</v>
      </c>
    </row>
    <row r="4841" spans="1:37" x14ac:dyDescent="0.2">
      <c r="A4841" t="str">
        <f>"20200111154158456"</f>
        <v>20200111154158456</v>
      </c>
      <c r="B4841" t="str">
        <f>"1578728518450428"</f>
        <v>1578728518450428</v>
      </c>
      <c r="C4841" t="s">
        <v>37</v>
      </c>
      <c r="D4841">
        <v>5.2538179999999999</v>
      </c>
      <c r="E4841">
        <v>0.51238419999999996</v>
      </c>
      <c r="F4841" t="s">
        <v>55</v>
      </c>
      <c r="G4841">
        <v>-237.8381</v>
      </c>
      <c r="H4841" s="1">
        <v>-2.9091240000000001E-6</v>
      </c>
      <c r="I4841">
        <v>-62.486339999999998</v>
      </c>
      <c r="J4841">
        <v>-254.53579999999999</v>
      </c>
      <c r="K4841">
        <v>1.1094079999999999</v>
      </c>
      <c r="L4841">
        <v>-62.949190000000002</v>
      </c>
      <c r="M4841">
        <v>0.9991949</v>
      </c>
      <c r="N4841">
        <v>0</v>
      </c>
      <c r="O4841">
        <v>-3.9770630000000001E-2</v>
      </c>
      <c r="P4841">
        <v>0.99786509999999995</v>
      </c>
      <c r="Q4841">
        <v>2.2490299999999901E-2</v>
      </c>
      <c r="R4841">
        <v>6.1315540000000002E-2</v>
      </c>
      <c r="S4841">
        <v>3.0057529999999999</v>
      </c>
      <c r="T4841">
        <v>-0.1980141</v>
      </c>
      <c r="U4841">
        <v>8.1603999999999996E-2</v>
      </c>
      <c r="V4841">
        <v>-0.10095999999999999</v>
      </c>
      <c r="W4841">
        <v>2.7726259999999999E-2</v>
      </c>
      <c r="X4841">
        <v>0.994504099999999</v>
      </c>
      <c r="Y4841">
        <v>-6.6643820000000006E-2</v>
      </c>
      <c r="Z4841">
        <v>4.8089939999999996E-3</v>
      </c>
      <c r="AA4841">
        <v>0.99776520000000002</v>
      </c>
      <c r="AB4841">
        <v>30</v>
      </c>
      <c r="AC4841">
        <v>16.697699999999902</v>
      </c>
      <c r="AD4841">
        <v>-1.1094109091240001</v>
      </c>
      <c r="AE4841">
        <v>0.46284999999999599</v>
      </c>
      <c r="AF4841">
        <v>-1.1216236026467099</v>
      </c>
      <c r="AG4841">
        <v>-1.1094109091240001</v>
      </c>
      <c r="AH4841">
        <v>16.5928895200339</v>
      </c>
      <c r="AI4841">
        <v>93.816454814040299</v>
      </c>
      <c r="AJ4841">
        <v>93.867119403924505</v>
      </c>
      <c r="AK4841">
        <v>16.667717741051099</v>
      </c>
    </row>
    <row r="4842" spans="1:37" x14ac:dyDescent="0.2">
      <c r="A4842" t="str">
        <f>"20200111154158467"</f>
        <v>20200111154158467</v>
      </c>
      <c r="B4842" t="str">
        <f>"1578728518461165"</f>
        <v>1578728518461165</v>
      </c>
      <c r="C4842" t="s">
        <v>37</v>
      </c>
      <c r="D4842">
        <v>5.4909850000000002</v>
      </c>
      <c r="E4842">
        <v>0.51228019999999996</v>
      </c>
      <c r="F4842" t="s">
        <v>55</v>
      </c>
      <c r="G4842">
        <v>-237.70099999999999</v>
      </c>
      <c r="H4842" s="1">
        <v>-2.84882999999999E-6</v>
      </c>
      <c r="I4842">
        <v>-62.480789999999999</v>
      </c>
      <c r="J4842">
        <v>-254.3827</v>
      </c>
      <c r="K4842">
        <v>1.1094120000000001</v>
      </c>
      <c r="L4842">
        <v>-62.95523</v>
      </c>
      <c r="M4842">
        <v>0.99919789999999997</v>
      </c>
      <c r="N4842">
        <v>0</v>
      </c>
      <c r="O4842">
        <v>-3.9696210000000003E-2</v>
      </c>
      <c r="P4842">
        <v>0.99784139999999999</v>
      </c>
      <c r="Q4842">
        <v>2.2664190000000001E-2</v>
      </c>
      <c r="R4842">
        <v>6.1638739999999997E-2</v>
      </c>
      <c r="S4842">
        <v>3.0057369999999999</v>
      </c>
      <c r="T4842">
        <v>-0.19807720000000001</v>
      </c>
      <c r="U4842">
        <v>8.3618159999999997E-2</v>
      </c>
      <c r="V4842">
        <v>-0.10120800000000001</v>
      </c>
      <c r="W4842">
        <v>2.7888799999999998E-2</v>
      </c>
      <c r="X4842">
        <v>0.99447430000000003</v>
      </c>
      <c r="Y4842">
        <v>-6.7236450000000003E-2</v>
      </c>
      <c r="Z4842">
        <v>4.825116E-3</v>
      </c>
      <c r="AA4842">
        <v>0.99772539999999998</v>
      </c>
      <c r="AB4842">
        <v>30</v>
      </c>
      <c r="AC4842">
        <v>16.681699999999999</v>
      </c>
      <c r="AD4842">
        <v>-1.10941484883</v>
      </c>
      <c r="AE4842">
        <v>0.47444000000000802</v>
      </c>
      <c r="AF4842">
        <v>-1.1312760147297201</v>
      </c>
      <c r="AG4842">
        <v>-1.10941484883</v>
      </c>
      <c r="AH4842">
        <v>16.576460493319999</v>
      </c>
      <c r="AI4842">
        <v>93.820072454374298</v>
      </c>
      <c r="AJ4842">
        <v>93.904150245401595</v>
      </c>
      <c r="AK4842">
        <v>16.6520157703176</v>
      </c>
    </row>
    <row r="4843" spans="1:37" x14ac:dyDescent="0.2">
      <c r="A4843" t="str">
        <f>"20200111154158477"</f>
        <v>20200111154158477</v>
      </c>
      <c r="B4843" t="str">
        <f>"1578728518470925"</f>
        <v>1578728518470925</v>
      </c>
      <c r="C4843" t="s">
        <v>37</v>
      </c>
      <c r="D4843">
        <v>5.2627069999999998</v>
      </c>
      <c r="E4843">
        <v>0.51212179999999996</v>
      </c>
      <c r="F4843" t="s">
        <v>55</v>
      </c>
      <c r="G4843">
        <v>-237.3991</v>
      </c>
      <c r="H4843" s="1">
        <v>-2.7171869999999999E-6</v>
      </c>
      <c r="I4843">
        <v>-62.47269</v>
      </c>
      <c r="J4843">
        <v>-254.22559999999999</v>
      </c>
      <c r="K4843">
        <v>1.1094109999999999</v>
      </c>
      <c r="L4843">
        <v>-62.961399999999998</v>
      </c>
      <c r="M4843">
        <v>0.99920089999999995</v>
      </c>
      <c r="N4843">
        <v>0</v>
      </c>
      <c r="O4843">
        <v>-3.9619170000000002E-2</v>
      </c>
      <c r="P4843">
        <v>0.99782099999999996</v>
      </c>
      <c r="Q4843">
        <v>2.3008529999999999E-2</v>
      </c>
      <c r="R4843">
        <v>6.18357E-2</v>
      </c>
      <c r="S4843">
        <v>3.0056759999999998</v>
      </c>
      <c r="T4843">
        <v>-0.1963394</v>
      </c>
      <c r="U4843">
        <v>8.5388179999999994E-2</v>
      </c>
      <c r="V4843">
        <v>-0.1013275</v>
      </c>
      <c r="W4843">
        <v>2.822055E-2</v>
      </c>
      <c r="X4843">
        <v>0.99445280000000003</v>
      </c>
      <c r="Y4843">
        <v>-6.7750279999999996E-2</v>
      </c>
      <c r="Z4843">
        <v>4.794675E-3</v>
      </c>
      <c r="AA4843">
        <v>0.99769079999999999</v>
      </c>
      <c r="AB4843">
        <v>30</v>
      </c>
      <c r="AC4843">
        <v>16.8264999999999</v>
      </c>
      <c r="AD4843">
        <v>-1.109413717187</v>
      </c>
      <c r="AE4843">
        <v>0.48870999999999698</v>
      </c>
      <c r="AF4843">
        <v>-1.14999262038659</v>
      </c>
      <c r="AG4843">
        <v>-1.109413717187</v>
      </c>
      <c r="AH4843">
        <v>16.7212979281225</v>
      </c>
      <c r="AI4843">
        <v>93.786940400676002</v>
      </c>
      <c r="AJ4843">
        <v>93.934271982046496</v>
      </c>
      <c r="AK4843">
        <v>16.797472614172101</v>
      </c>
    </row>
    <row r="4844" spans="1:37" x14ac:dyDescent="0.2">
      <c r="A4844" t="str">
        <f>"20200111154158489"</f>
        <v>20200111154158489</v>
      </c>
      <c r="B4844" t="str">
        <f>"1578728518480685"</f>
        <v>1578728518480685</v>
      </c>
      <c r="C4844" t="s">
        <v>37</v>
      </c>
      <c r="D4844">
        <v>5.2634239999999997</v>
      </c>
      <c r="E4844">
        <v>0.51198980000000005</v>
      </c>
      <c r="F4844" t="s">
        <v>55</v>
      </c>
      <c r="G4844">
        <v>-237.0077</v>
      </c>
      <c r="H4844" s="1">
        <v>-2.5463000000000001E-6</v>
      </c>
      <c r="I4844">
        <v>-62.461519999999901</v>
      </c>
      <c r="J4844">
        <v>-254.07859999999999</v>
      </c>
      <c r="K4844">
        <v>1.10941</v>
      </c>
      <c r="L4844">
        <v>-62.96716</v>
      </c>
      <c r="M4844">
        <v>0.99920399999999998</v>
      </c>
      <c r="N4844">
        <v>0</v>
      </c>
      <c r="O4844">
        <v>-3.9547260000000001E-2</v>
      </c>
      <c r="P4844">
        <v>0.99779629999999997</v>
      </c>
      <c r="Q4844">
        <v>2.340923E-2</v>
      </c>
      <c r="R4844">
        <v>6.20864E-2</v>
      </c>
      <c r="S4844">
        <v>3.0056150000000001</v>
      </c>
      <c r="T4844">
        <v>-0.1936631</v>
      </c>
      <c r="U4844">
        <v>8.7249759999999996E-2</v>
      </c>
      <c r="V4844">
        <v>-0.1015052</v>
      </c>
      <c r="W4844">
        <v>2.8610440000000001E-2</v>
      </c>
      <c r="X4844">
        <v>0.99442350000000002</v>
      </c>
      <c r="Y4844">
        <v>-6.830166E-2</v>
      </c>
      <c r="Z4844">
        <v>4.7426329999999996E-3</v>
      </c>
      <c r="AA4844">
        <v>0.99765339999999902</v>
      </c>
      <c r="AB4844">
        <v>30</v>
      </c>
      <c r="AC4844">
        <v>17.070899999999899</v>
      </c>
      <c r="AD4844">
        <v>-1.1094125463</v>
      </c>
      <c r="AE4844">
        <v>0.50564000000000597</v>
      </c>
      <c r="AF4844">
        <v>-1.1754010269959101</v>
      </c>
      <c r="AG4844">
        <v>-1.1094125463</v>
      </c>
      <c r="AH4844">
        <v>16.965955104443101</v>
      </c>
      <c r="AI4844">
        <v>93.732353133185299</v>
      </c>
      <c r="AJ4844">
        <v>93.963117929713405</v>
      </c>
      <c r="AK4844">
        <v>17.0427696216938</v>
      </c>
    </row>
    <row r="4845" spans="1:37" x14ac:dyDescent="0.2">
      <c r="A4845" t="str">
        <f>"20200111154158500"</f>
        <v>20200111154158500</v>
      </c>
      <c r="B4845" t="str">
        <f>"1578728518491422"</f>
        <v>1578728518491422</v>
      </c>
      <c r="C4845" t="s">
        <v>37</v>
      </c>
      <c r="D4845">
        <v>5.2402360000000003</v>
      </c>
      <c r="E4845">
        <v>0.51186960000000004</v>
      </c>
      <c r="F4845" t="s">
        <v>55</v>
      </c>
      <c r="G4845">
        <v>-236.56540000000001</v>
      </c>
      <c r="H4845" s="1">
        <v>-2.3530280000000001E-6</v>
      </c>
      <c r="I4845">
        <v>-62.448209999999897</v>
      </c>
      <c r="J4845">
        <v>-253.9289</v>
      </c>
      <c r="K4845">
        <v>1.1094079999999999</v>
      </c>
      <c r="L4845">
        <v>-62.973019999999998</v>
      </c>
      <c r="M4845">
        <v>0.99920699999999996</v>
      </c>
      <c r="N4845">
        <v>0</v>
      </c>
      <c r="O4845">
        <v>-3.9473670000000002E-2</v>
      </c>
      <c r="P4845">
        <v>0.99776889999999996</v>
      </c>
      <c r="Q4845">
        <v>2.349832E-2</v>
      </c>
      <c r="R4845">
        <v>6.2493130000000001E-2</v>
      </c>
      <c r="S4845">
        <v>3.0055540000000001</v>
      </c>
      <c r="T4845">
        <v>-0.190393799999999</v>
      </c>
      <c r="U4845">
        <v>8.9050290000000004E-2</v>
      </c>
      <c r="V4845">
        <v>-0.10183780000000001</v>
      </c>
      <c r="W4845">
        <v>2.8688129999999999E-2</v>
      </c>
      <c r="X4845">
        <v>0.99438729999999997</v>
      </c>
      <c r="Y4845">
        <v>-6.8832459999999998E-2</v>
      </c>
      <c r="Z4845">
        <v>4.6749299999999999E-3</v>
      </c>
      <c r="AA4845">
        <v>0.99761730000000004</v>
      </c>
      <c r="AB4845">
        <v>30</v>
      </c>
      <c r="AC4845">
        <v>17.363499999999899</v>
      </c>
      <c r="AD4845">
        <v>-1.109410353028</v>
      </c>
      <c r="AE4845">
        <v>0.524810000000002</v>
      </c>
      <c r="AF4845">
        <v>-1.20489703060109</v>
      </c>
      <c r="AG4845">
        <v>-1.109410353028</v>
      </c>
      <c r="AH4845">
        <v>17.2588579164408</v>
      </c>
      <c r="AI4845">
        <v>93.669043014684803</v>
      </c>
      <c r="AJ4845">
        <v>93.993525214972294</v>
      </c>
      <c r="AK4845">
        <v>17.336399417573698</v>
      </c>
    </row>
    <row r="4846" spans="1:37" x14ac:dyDescent="0.2">
      <c r="A4846" t="str">
        <f>"20200111154158510"</f>
        <v>20200111154158510</v>
      </c>
      <c r="B4846" t="str">
        <f>"1578728518501182"</f>
        <v>1578728518501182</v>
      </c>
      <c r="C4846" t="s">
        <v>37</v>
      </c>
      <c r="D4846">
        <v>5.5322230000000001</v>
      </c>
      <c r="E4846">
        <v>0.51177870000000003</v>
      </c>
      <c r="F4846" t="s">
        <v>55</v>
      </c>
      <c r="G4846">
        <v>-236.35409999999999</v>
      </c>
      <c r="H4846" s="1">
        <v>-2.2600960000000001E-6</v>
      </c>
      <c r="I4846">
        <v>-62.43974</v>
      </c>
      <c r="J4846">
        <v>-253.77940000000001</v>
      </c>
      <c r="K4846">
        <v>1.109407</v>
      </c>
      <c r="L4846">
        <v>-62.978850000000001</v>
      </c>
      <c r="M4846">
        <v>0.99920989999999998</v>
      </c>
      <c r="N4846">
        <v>0</v>
      </c>
      <c r="O4846">
        <v>-3.9400440000000002E-2</v>
      </c>
      <c r="P4846">
        <v>0.997745199999999</v>
      </c>
      <c r="Q4846">
        <v>2.39762E-2</v>
      </c>
      <c r="R4846">
        <v>6.269015E-2</v>
      </c>
      <c r="S4846">
        <v>3.0054630000000002</v>
      </c>
      <c r="T4846">
        <v>-0.18971939999999901</v>
      </c>
      <c r="U4846">
        <v>9.1186519999999993E-2</v>
      </c>
      <c r="V4846">
        <v>-0.1019607</v>
      </c>
      <c r="W4846">
        <v>2.915334E-2</v>
      </c>
      <c r="X4846">
        <v>0.99436119999999995</v>
      </c>
      <c r="Y4846">
        <v>-6.9469080000000002E-2</v>
      </c>
      <c r="Z4846">
        <v>4.6739579999999998E-3</v>
      </c>
      <c r="AA4846">
        <v>0.99757309999999999</v>
      </c>
      <c r="AB4846">
        <v>30</v>
      </c>
      <c r="AC4846">
        <v>17.4253</v>
      </c>
      <c r="AD4846">
        <v>-1.1094092600959999</v>
      </c>
      <c r="AE4846">
        <v>0.53910999999999998</v>
      </c>
      <c r="AF4846">
        <v>-1.22032341886536</v>
      </c>
      <c r="AG4846">
        <v>-1.1094092600959999</v>
      </c>
      <c r="AH4846">
        <v>17.320387546053698</v>
      </c>
      <c r="AI4846">
        <v>93.655877255895405</v>
      </c>
      <c r="AJ4846">
        <v>94.030165646117297</v>
      </c>
      <c r="AK4846">
        <v>17.398729921994601</v>
      </c>
    </row>
    <row r="4847" spans="1:37" x14ac:dyDescent="0.2">
      <c r="A4847" t="str">
        <f>"20200111154158521"</f>
        <v>20200111154158521</v>
      </c>
      <c r="B4847" t="str">
        <f>"1578728518510942"</f>
        <v>1578728518510942</v>
      </c>
      <c r="C4847" t="s">
        <v>37</v>
      </c>
      <c r="D4847">
        <v>5.2951290000000002</v>
      </c>
      <c r="E4847">
        <v>0.51165450000000001</v>
      </c>
      <c r="F4847" t="s">
        <v>55</v>
      </c>
      <c r="G4847">
        <v>-235.9931</v>
      </c>
      <c r="H4847" s="1">
        <v>-2.1030399999999999E-6</v>
      </c>
      <c r="I4847">
        <v>-62.43139</v>
      </c>
      <c r="J4847">
        <v>-253.63030000000001</v>
      </c>
      <c r="K4847">
        <v>1.109405</v>
      </c>
      <c r="L4847">
        <v>-62.984679999999997</v>
      </c>
      <c r="M4847">
        <v>0.99921289999999996</v>
      </c>
      <c r="N4847">
        <v>0</v>
      </c>
      <c r="O4847">
        <v>-3.9327210000000001E-2</v>
      </c>
      <c r="P4847">
        <v>0.99771699999999996</v>
      </c>
      <c r="Q4847">
        <v>2.4444509999999999E-2</v>
      </c>
      <c r="R4847">
        <v>6.2954860000000001E-2</v>
      </c>
      <c r="S4847">
        <v>3.005493</v>
      </c>
      <c r="T4847">
        <v>-0.18746570000000001</v>
      </c>
      <c r="U4847">
        <v>9.2498780000000003E-2</v>
      </c>
      <c r="V4847">
        <v>-0.1021518</v>
      </c>
      <c r="W4847">
        <v>2.9608519999999999E-2</v>
      </c>
      <c r="X4847">
        <v>0.99432809999999905</v>
      </c>
      <c r="Y4847">
        <v>-6.9835369999999994E-2</v>
      </c>
      <c r="Z4847">
        <v>4.6253190000000001E-3</v>
      </c>
      <c r="AA4847">
        <v>0.99754779999999998</v>
      </c>
      <c r="AB4847">
        <v>31</v>
      </c>
      <c r="AC4847">
        <v>17.6372</v>
      </c>
      <c r="AD4847">
        <v>-1.1094071030399999</v>
      </c>
      <c r="AE4847">
        <v>0.55329000000000395</v>
      </c>
      <c r="AF4847">
        <v>-1.2415855380593299</v>
      </c>
      <c r="AG4847">
        <v>-1.1094071030399999</v>
      </c>
      <c r="AH4847">
        <v>17.532494661297299</v>
      </c>
      <c r="AI4847">
        <v>93.6116682122029</v>
      </c>
      <c r="AJ4847">
        <v>94.050709962521907</v>
      </c>
      <c r="AK4847">
        <v>17.611379497842101</v>
      </c>
    </row>
    <row r="4848" spans="1:37" x14ac:dyDescent="0.2">
      <c r="A4848" t="str">
        <f>"20200111154158533"</f>
        <v>20200111154158533</v>
      </c>
      <c r="B4848" t="str">
        <f>"1578728518520661"</f>
        <v>1578728518520661</v>
      </c>
      <c r="C4848" t="s">
        <v>37</v>
      </c>
      <c r="D4848">
        <v>5.2829449999999998</v>
      </c>
      <c r="E4848">
        <v>0.51155139999999999</v>
      </c>
      <c r="F4848" t="s">
        <v>55</v>
      </c>
      <c r="G4848">
        <v>-235.678</v>
      </c>
      <c r="H4848" s="1">
        <v>-1.9652499999999999E-6</v>
      </c>
      <c r="I4848">
        <v>-62.421709999999997</v>
      </c>
      <c r="J4848">
        <v>-253.4794</v>
      </c>
      <c r="K4848">
        <v>1.1094079999999999</v>
      </c>
      <c r="L4848">
        <v>-62.990569999999998</v>
      </c>
      <c r="M4848">
        <v>0.99921569999999904</v>
      </c>
      <c r="N4848">
        <v>0</v>
      </c>
      <c r="O4848">
        <v>-3.9253030000000001E-2</v>
      </c>
      <c r="P4848">
        <v>0.99768769999999996</v>
      </c>
      <c r="Q4848">
        <v>2.484244E-2</v>
      </c>
      <c r="R4848">
        <v>6.3262789999999999E-2</v>
      </c>
      <c r="S4848">
        <v>3.0054470000000002</v>
      </c>
      <c r="T4848">
        <v>-0.185728799999999</v>
      </c>
      <c r="U4848">
        <v>9.4238279999999994E-2</v>
      </c>
      <c r="V4848">
        <v>-0.1023844</v>
      </c>
      <c r="W4848">
        <v>2.9992680000000001E-2</v>
      </c>
      <c r="X4848">
        <v>0.99429269999999903</v>
      </c>
      <c r="Y4848">
        <v>-7.034166E-2</v>
      </c>
      <c r="Z4848">
        <v>4.5936299999999996E-3</v>
      </c>
      <c r="AA4848">
        <v>0.99751239999999997</v>
      </c>
      <c r="AB4848">
        <v>31</v>
      </c>
      <c r="AC4848">
        <v>17.801400000000001</v>
      </c>
      <c r="AD4848">
        <v>-1.10940996525</v>
      </c>
      <c r="AE4848">
        <v>0.56886000000000003</v>
      </c>
      <c r="AF4848">
        <v>-1.2622922523000999</v>
      </c>
      <c r="AG4848">
        <v>-1.10940996525</v>
      </c>
      <c r="AH4848">
        <v>17.696687081417899</v>
      </c>
      <c r="AI4848">
        <v>93.578125828559706</v>
      </c>
      <c r="AJ4848">
        <v>94.079957618869599</v>
      </c>
      <c r="AK4848">
        <v>17.776301804898502</v>
      </c>
    </row>
    <row r="4849" spans="1:37" x14ac:dyDescent="0.2">
      <c r="A4849" t="str">
        <f>"20200111154158546"</f>
        <v>20200111154158546</v>
      </c>
      <c r="B4849" t="str">
        <f>"1578728518541156"</f>
        <v>1578728518541156</v>
      </c>
      <c r="C4849" t="s">
        <v>37</v>
      </c>
      <c r="D4849">
        <v>5.3134860000000002</v>
      </c>
      <c r="E4849">
        <v>0.51127959999999995</v>
      </c>
      <c r="F4849" t="s">
        <v>55</v>
      </c>
      <c r="G4849">
        <v>-235.3689</v>
      </c>
      <c r="H4849" s="1">
        <v>-1.830113E-6</v>
      </c>
      <c r="I4849">
        <v>-62.41216</v>
      </c>
      <c r="J4849">
        <v>-253.31399999999999</v>
      </c>
      <c r="K4849">
        <v>1.109407</v>
      </c>
      <c r="L4849">
        <v>-62.996949999999998</v>
      </c>
      <c r="M4849">
        <v>0.99921909999999903</v>
      </c>
      <c r="N4849">
        <v>0</v>
      </c>
      <c r="O4849">
        <v>-3.9172279999999997E-2</v>
      </c>
      <c r="P4849">
        <v>0.99767329999999999</v>
      </c>
      <c r="Q4849">
        <v>2.4831990000000002E-2</v>
      </c>
      <c r="R4849">
        <v>6.3495510000000005E-2</v>
      </c>
      <c r="S4849">
        <v>3.0054630000000002</v>
      </c>
      <c r="T4849">
        <v>-0.184108299999999</v>
      </c>
      <c r="U4849">
        <v>9.5977779999999999E-2</v>
      </c>
      <c r="V4849">
        <v>-0.10253619999999999</v>
      </c>
      <c r="W4849">
        <v>2.996789E-2</v>
      </c>
      <c r="X4849">
        <v>0.99427779999999999</v>
      </c>
      <c r="Y4849">
        <v>-7.0840479999999997E-2</v>
      </c>
      <c r="Z4849">
        <v>4.5638879999999899E-3</v>
      </c>
      <c r="AA4849">
        <v>0.99747719999999995</v>
      </c>
      <c r="AB4849">
        <v>31</v>
      </c>
      <c r="AC4849">
        <v>17.9451</v>
      </c>
      <c r="AD4849">
        <v>-1.1094088301130001</v>
      </c>
      <c r="AE4849">
        <v>0.58478999999999803</v>
      </c>
      <c r="AF4849">
        <v>-1.2824048587564501</v>
      </c>
      <c r="AG4849">
        <v>-1.1094088301130001</v>
      </c>
      <c r="AH4849">
        <v>17.840304960244602</v>
      </c>
      <c r="AI4849">
        <v>93.549252031115202</v>
      </c>
      <c r="AJ4849">
        <v>94.111489357660503</v>
      </c>
      <c r="AK4849">
        <v>17.920709563201498</v>
      </c>
    </row>
    <row r="4850" spans="1:37" x14ac:dyDescent="0.2">
      <c r="A4850" t="str">
        <f>"20200111154158555"</f>
        <v>20200111154158555</v>
      </c>
      <c r="B4850" t="str">
        <f>"1578728518550915"</f>
        <v>1578728518550915</v>
      </c>
      <c r="C4850" t="s">
        <v>37</v>
      </c>
      <c r="D4850">
        <v>5.3004379999999998</v>
      </c>
      <c r="E4850">
        <v>0.51116439999999996</v>
      </c>
      <c r="F4850" t="s">
        <v>55</v>
      </c>
      <c r="G4850">
        <v>-235.17269999999999</v>
      </c>
      <c r="H4850" s="1">
        <v>-1.7427770000000001E-6</v>
      </c>
      <c r="I4850">
        <v>-62.400199999999998</v>
      </c>
      <c r="J4850">
        <v>-253.16290000000001</v>
      </c>
      <c r="K4850">
        <v>1.1094040000000001</v>
      </c>
      <c r="L4850">
        <v>-63.002809999999997</v>
      </c>
      <c r="M4850">
        <v>0.99922199999999906</v>
      </c>
      <c r="N4850">
        <v>0</v>
      </c>
      <c r="O4850">
        <v>-3.9098460000000002E-2</v>
      </c>
      <c r="P4850">
        <v>0.99764660000000005</v>
      </c>
      <c r="Q4850">
        <v>2.516202E-2</v>
      </c>
      <c r="R4850">
        <v>6.3784350000000004E-2</v>
      </c>
      <c r="S4850">
        <v>3.00528</v>
      </c>
      <c r="T4850">
        <v>-0.183784</v>
      </c>
      <c r="U4850">
        <v>9.8846439999999994E-2</v>
      </c>
      <c r="V4850">
        <v>-0.10275039999999901</v>
      </c>
      <c r="W4850">
        <v>3.0285320000000001E-2</v>
      </c>
      <c r="X4850">
        <v>0.99424599999999996</v>
      </c>
      <c r="Y4850">
        <v>-7.1719030000000003E-2</v>
      </c>
      <c r="Z4850">
        <v>4.5784049999999998E-3</v>
      </c>
      <c r="AA4850">
        <v>0.99741440000000003</v>
      </c>
      <c r="AB4850">
        <v>31</v>
      </c>
      <c r="AC4850">
        <v>17.990200000000002</v>
      </c>
      <c r="AD4850">
        <v>-1.1094057427770001</v>
      </c>
      <c r="AE4850">
        <v>0.60260999999999798</v>
      </c>
      <c r="AF4850">
        <v>-1.30060725015871</v>
      </c>
      <c r="AG4850">
        <v>-1.1094057427770001</v>
      </c>
      <c r="AH4850">
        <v>17.884944741501201</v>
      </c>
      <c r="AI4850">
        <v>93.540193108666401</v>
      </c>
      <c r="AJ4850">
        <v>94.159272621939195</v>
      </c>
      <c r="AK4850">
        <v>17.9664578792767</v>
      </c>
    </row>
    <row r="4851" spans="1:37" x14ac:dyDescent="0.2">
      <c r="A4851" t="str">
        <f>"20200111154158567"</f>
        <v>20200111154158567</v>
      </c>
      <c r="B4851" t="str">
        <f>"1578728518560674"</f>
        <v>1578728518560674</v>
      </c>
      <c r="C4851" t="s">
        <v>37</v>
      </c>
      <c r="D4851">
        <v>5.2917589999999999</v>
      </c>
      <c r="E4851">
        <v>0.51107570000000002</v>
      </c>
      <c r="F4851" t="s">
        <v>55</v>
      </c>
      <c r="G4851">
        <v>-234.9631</v>
      </c>
      <c r="H4851" s="1">
        <v>-1.65104E-6</v>
      </c>
      <c r="I4851">
        <v>-62.3934199999999</v>
      </c>
      <c r="J4851">
        <v>-253.00799999999899</v>
      </c>
      <c r="K4851">
        <v>1.1093979999999899</v>
      </c>
      <c r="L4851">
        <v>-63.008819999999901</v>
      </c>
      <c r="M4851">
        <v>0.99922500000000003</v>
      </c>
      <c r="N4851">
        <v>0</v>
      </c>
      <c r="O4851">
        <v>-3.9022840000000003E-2</v>
      </c>
      <c r="P4851">
        <v>0.99762899999999999</v>
      </c>
      <c r="Q4851">
        <v>2.506102E-2</v>
      </c>
      <c r="R4851">
        <v>6.4096959999999994E-2</v>
      </c>
      <c r="S4851">
        <v>3.00528</v>
      </c>
      <c r="T4851">
        <v>-0.183192299999999</v>
      </c>
      <c r="U4851">
        <v>0.1006165</v>
      </c>
      <c r="V4851">
        <v>-0.10298689999999899</v>
      </c>
      <c r="W4851">
        <v>3.017189E-2</v>
      </c>
      <c r="X4851">
        <v>0.99422500000000003</v>
      </c>
      <c r="Y4851">
        <v>-7.2230859999999994E-2</v>
      </c>
      <c r="Z4851">
        <v>4.5746329999999998E-3</v>
      </c>
      <c r="AA4851">
        <v>0.99737749999999903</v>
      </c>
      <c r="AB4851">
        <v>31</v>
      </c>
      <c r="AC4851">
        <v>18.044899999999899</v>
      </c>
      <c r="AD4851">
        <v>-1.1093996510399999</v>
      </c>
      <c r="AE4851">
        <v>0.61540000000000095</v>
      </c>
      <c r="AF4851">
        <v>-1.31414246072563</v>
      </c>
      <c r="AG4851">
        <v>-1.1093996510399999</v>
      </c>
      <c r="AH4851">
        <v>17.939411853428599</v>
      </c>
      <c r="AI4851">
        <v>93.529315951490602</v>
      </c>
      <c r="AJ4851">
        <v>94.189689518427897</v>
      </c>
      <c r="AK4851">
        <v>18.0216601798986</v>
      </c>
    </row>
    <row r="4852" spans="1:37" x14ac:dyDescent="0.2">
      <c r="A4852" t="str">
        <f>"20200111154158578"</f>
        <v>20200111154158578</v>
      </c>
      <c r="B4852" t="str">
        <f>"1578728518570435"</f>
        <v>1578728518570435</v>
      </c>
      <c r="C4852" t="s">
        <v>37</v>
      </c>
      <c r="D4852">
        <v>5.3229749999999996</v>
      </c>
      <c r="E4852">
        <v>0.51096949999999997</v>
      </c>
      <c r="F4852" t="s">
        <v>55</v>
      </c>
      <c r="G4852">
        <v>-234.82149999999999</v>
      </c>
      <c r="H4852" s="1">
        <v>-1.589317E-6</v>
      </c>
      <c r="I4852">
        <v>-62.389690000000002</v>
      </c>
      <c r="J4852">
        <v>-252.85419999999999</v>
      </c>
      <c r="K4852">
        <v>1.1093959999999901</v>
      </c>
      <c r="L4852">
        <v>-63.014769999999999</v>
      </c>
      <c r="M4852">
        <v>0.99922809999999995</v>
      </c>
      <c r="N4852">
        <v>0</v>
      </c>
      <c r="O4852">
        <v>-3.8947830000000003E-2</v>
      </c>
      <c r="P4852">
        <v>0.99762139999999999</v>
      </c>
      <c r="Q4852">
        <v>2.5096319999999998E-2</v>
      </c>
      <c r="R4852">
        <v>6.4203930000000006E-2</v>
      </c>
      <c r="S4852">
        <v>3.00514199999999</v>
      </c>
      <c r="T4852">
        <v>-0.18331739999999999</v>
      </c>
      <c r="U4852">
        <v>0.10229489999999999</v>
      </c>
      <c r="V4852">
        <v>-0.103019</v>
      </c>
      <c r="W4852">
        <v>3.0195240000000002E-2</v>
      </c>
      <c r="X4852">
        <v>0.99422099999999902</v>
      </c>
      <c r="Y4852">
        <v>-7.2712879999999994E-2</v>
      </c>
      <c r="Z4852">
        <v>4.5880360000000002E-3</v>
      </c>
      <c r="AA4852">
        <v>0.99734230000000001</v>
      </c>
      <c r="AB4852">
        <v>31</v>
      </c>
      <c r="AC4852">
        <v>18.032699999999998</v>
      </c>
      <c r="AD4852">
        <v>-1.1093975893169901</v>
      </c>
      <c r="AE4852">
        <v>0.62507999999999697</v>
      </c>
      <c r="AF4852">
        <v>-1.32195203054677</v>
      </c>
      <c r="AG4852">
        <v>-1.1093975893169901</v>
      </c>
      <c r="AH4852">
        <v>17.9269015505668</v>
      </c>
      <c r="AI4852">
        <v>93.531640757408994</v>
      </c>
      <c r="AJ4852">
        <v>94.217428669399098</v>
      </c>
      <c r="AK4852">
        <v>18.009778438003199</v>
      </c>
    </row>
    <row r="4853" spans="1:37" x14ac:dyDescent="0.2">
      <c r="A4853" t="str">
        <f>"20200111154158589"</f>
        <v>20200111154158589</v>
      </c>
      <c r="B4853" t="str">
        <f>"1578728518581171"</f>
        <v>1578728518581171</v>
      </c>
      <c r="C4853" t="s">
        <v>37</v>
      </c>
      <c r="D4853">
        <v>5.3266359999999997</v>
      </c>
      <c r="E4853">
        <v>0.51084909999999994</v>
      </c>
      <c r="F4853" t="s">
        <v>55</v>
      </c>
      <c r="G4853">
        <v>-234.67429999999999</v>
      </c>
      <c r="H4853" s="1">
        <v>-1.525812E-6</v>
      </c>
      <c r="I4853">
        <v>-62.388289999999998</v>
      </c>
      <c r="J4853">
        <v>-252.6977</v>
      </c>
      <c r="K4853">
        <v>1.1093930000000001</v>
      </c>
      <c r="L4853">
        <v>-63.020780000000002</v>
      </c>
      <c r="M4853">
        <v>0.99923099999999998</v>
      </c>
      <c r="N4853">
        <v>0</v>
      </c>
      <c r="O4853">
        <v>-3.8871740000000002E-2</v>
      </c>
      <c r="P4853">
        <v>0.99759469999999995</v>
      </c>
      <c r="Q4853">
        <v>2.5140920000000001E-2</v>
      </c>
      <c r="R4853">
        <v>6.4595970000000003E-2</v>
      </c>
      <c r="S4853">
        <v>3.005096</v>
      </c>
      <c r="T4853">
        <v>-0.18338170000000001</v>
      </c>
      <c r="U4853">
        <v>0.1035461</v>
      </c>
      <c r="V4853">
        <v>-0.1033337</v>
      </c>
      <c r="W4853">
        <v>3.0228600000000001E-2</v>
      </c>
      <c r="X4853">
        <v>0.9941873</v>
      </c>
      <c r="Y4853">
        <v>-7.3051569999999996E-2</v>
      </c>
      <c r="Z4853">
        <v>4.595371E-3</v>
      </c>
      <c r="AA4853">
        <v>0.99731759999999903</v>
      </c>
      <c r="AB4853">
        <v>31</v>
      </c>
      <c r="AC4853">
        <v>18.023399999999999</v>
      </c>
      <c r="AD4853">
        <v>-1.1093945258119999</v>
      </c>
      <c r="AE4853">
        <v>0.632489999999997</v>
      </c>
      <c r="AF4853">
        <v>-1.32759834021276</v>
      </c>
      <c r="AG4853">
        <v>-1.1093945258119999</v>
      </c>
      <c r="AH4853">
        <v>17.9173899655494</v>
      </c>
      <c r="AI4853">
        <v>93.533409278186298</v>
      </c>
      <c r="AJ4853">
        <v>94.237616896273494</v>
      </c>
      <c r="AK4853">
        <v>18.0007260060367</v>
      </c>
    </row>
    <row r="4854" spans="1:37" x14ac:dyDescent="0.2">
      <c r="A4854" t="str">
        <f>"20200111154158599"</f>
        <v>20200111154158599</v>
      </c>
      <c r="B4854" t="str">
        <f>"1578728518590932"</f>
        <v>1578728518590932</v>
      </c>
      <c r="C4854" t="s">
        <v>37</v>
      </c>
      <c r="D4854">
        <v>5.3100500000000004</v>
      </c>
      <c r="E4854">
        <v>0.51084909999999994</v>
      </c>
      <c r="F4854" t="s">
        <v>55</v>
      </c>
      <c r="G4854">
        <v>-234.524</v>
      </c>
      <c r="H4854" s="1">
        <v>-1.4594270000000001E-6</v>
      </c>
      <c r="I4854">
        <v>-62.3812</v>
      </c>
      <c r="J4854">
        <v>-252.5471</v>
      </c>
      <c r="K4854">
        <v>1.1093959999999901</v>
      </c>
      <c r="L4854">
        <v>-63.026580000000003</v>
      </c>
      <c r="M4854">
        <v>0.99923390000000001</v>
      </c>
      <c r="N4854">
        <v>0</v>
      </c>
      <c r="O4854">
        <v>-3.8798279999999997E-2</v>
      </c>
      <c r="P4854">
        <v>0.99757960000000001</v>
      </c>
      <c r="Q4854">
        <v>2.507301E-2</v>
      </c>
      <c r="R4854">
        <v>6.4856159999999996E-2</v>
      </c>
      <c r="S4854">
        <v>3.0050050000000001</v>
      </c>
      <c r="T4854">
        <v>-0.18343760000000001</v>
      </c>
      <c r="U4854">
        <v>0.1057434</v>
      </c>
      <c r="V4854">
        <v>-0.1035203</v>
      </c>
      <c r="W4854">
        <v>3.014996E-2</v>
      </c>
      <c r="X4854">
        <v>0.994170199999999</v>
      </c>
      <c r="Y4854">
        <v>-7.3706460000000001E-2</v>
      </c>
      <c r="Z4854">
        <v>4.6123459999999998E-3</v>
      </c>
      <c r="AA4854">
        <v>0.99726930000000003</v>
      </c>
      <c r="AB4854">
        <v>31</v>
      </c>
      <c r="AC4854">
        <v>18.023099999999999</v>
      </c>
      <c r="AD4854">
        <v>-1.10939745942699</v>
      </c>
      <c r="AE4854">
        <v>0.64538000000000295</v>
      </c>
      <c r="AF4854">
        <v>-1.33910128582608</v>
      </c>
      <c r="AG4854">
        <v>-1.10939745942699</v>
      </c>
      <c r="AH4854">
        <v>17.9166914624046</v>
      </c>
      <c r="AI4854">
        <v>93.533387782496504</v>
      </c>
      <c r="AJ4854">
        <v>94.274364162280804</v>
      </c>
      <c r="AK4854">
        <v>18.000882976556699</v>
      </c>
    </row>
    <row r="4855" spans="1:37" x14ac:dyDescent="0.2">
      <c r="A4855" t="str">
        <f>"20200111154158611"</f>
        <v>20200111154158611</v>
      </c>
      <c r="B4855" t="str">
        <f>"1578728518600691"</f>
        <v>1578728518600691</v>
      </c>
      <c r="C4855" t="s">
        <v>37</v>
      </c>
      <c r="D4855">
        <v>5.2737259999999999</v>
      </c>
      <c r="E4855">
        <v>0.49092159999999901</v>
      </c>
      <c r="F4855" t="s">
        <v>55</v>
      </c>
      <c r="G4855">
        <v>-234.3912</v>
      </c>
      <c r="H4855" s="1">
        <v>-1.403032E-6</v>
      </c>
      <c r="I4855">
        <v>-62.383380000000002</v>
      </c>
      <c r="J4855">
        <v>-252.39250000000001</v>
      </c>
      <c r="K4855">
        <v>1.1093949999999999</v>
      </c>
      <c r="L4855">
        <v>-63.032530000000001</v>
      </c>
      <c r="M4855">
        <v>0.99923709999999899</v>
      </c>
      <c r="N4855">
        <v>0</v>
      </c>
      <c r="O4855">
        <v>-3.8723149999999998E-2</v>
      </c>
      <c r="P4855">
        <v>0.99755229999999995</v>
      </c>
      <c r="Q4855">
        <v>2.527159E-2</v>
      </c>
      <c r="R4855">
        <v>6.5201679999999998E-2</v>
      </c>
      <c r="S4855">
        <v>3.0049739999999998</v>
      </c>
      <c r="T4855">
        <v>-0.18361529999999901</v>
      </c>
      <c r="U4855">
        <v>0.10644529999999899</v>
      </c>
      <c r="V4855">
        <v>-0.10378989999999901</v>
      </c>
      <c r="W4855">
        <v>3.03387E-2</v>
      </c>
      <c r="X4855">
        <v>0.99413639999999903</v>
      </c>
      <c r="Y4855">
        <v>-7.3863910000000005E-2</v>
      </c>
      <c r="Z4855">
        <v>4.6170550000000001E-3</v>
      </c>
      <c r="AA4855">
        <v>0.99725759999999997</v>
      </c>
      <c r="AB4855">
        <v>31</v>
      </c>
      <c r="AC4855">
        <v>18.001300000000001</v>
      </c>
      <c r="AD4855">
        <v>-1.109396403032</v>
      </c>
      <c r="AE4855">
        <v>0.64914999999999801</v>
      </c>
      <c r="AF4855">
        <v>-1.34065380357362</v>
      </c>
      <c r="AG4855">
        <v>-1.109396403032</v>
      </c>
      <c r="AH4855">
        <v>17.894783009425399</v>
      </c>
      <c r="AI4855">
        <v>93.537652535635303</v>
      </c>
      <c r="AJ4855">
        <v>94.284520966528106</v>
      </c>
      <c r="AK4855">
        <v>17.9791927503578</v>
      </c>
    </row>
    <row r="4856" spans="1:37" x14ac:dyDescent="0.2">
      <c r="A4856" t="str">
        <f>"20200111154158622"</f>
        <v>20200111154158622</v>
      </c>
      <c r="B4856" t="str">
        <f>"1578728518610452"</f>
        <v>1578728518610452</v>
      </c>
      <c r="C4856" t="s">
        <v>37</v>
      </c>
      <c r="D4856">
        <v>5.196701</v>
      </c>
      <c r="E4856">
        <v>0.484552499999999</v>
      </c>
      <c r="F4856" t="s">
        <v>55</v>
      </c>
      <c r="G4856">
        <v>-238.48179999999999</v>
      </c>
      <c r="H4856" s="1">
        <v>-3.002298E-6</v>
      </c>
      <c r="I4856">
        <v>-61.7986</v>
      </c>
      <c r="J4856">
        <v>-252.23990000000001</v>
      </c>
      <c r="K4856">
        <v>1.1093919999999999</v>
      </c>
      <c r="L4856">
        <v>-63.03839</v>
      </c>
      <c r="M4856">
        <v>0.99923989999999996</v>
      </c>
      <c r="N4856">
        <v>0</v>
      </c>
      <c r="O4856">
        <v>-3.8648620000000002E-2</v>
      </c>
      <c r="P4856">
        <v>0.99753199999999997</v>
      </c>
      <c r="Q4856">
        <v>2.5367549999999999E-2</v>
      </c>
      <c r="R4856">
        <v>6.5473030000000002E-2</v>
      </c>
      <c r="S4856">
        <v>2.996048</v>
      </c>
      <c r="T4856">
        <v>-0.23893929999999999</v>
      </c>
      <c r="U4856">
        <v>0.26574709999999901</v>
      </c>
      <c r="V4856">
        <v>-0.1039863</v>
      </c>
      <c r="W4856">
        <v>3.0424969999999999E-2</v>
      </c>
      <c r="X4856">
        <v>0.99411329999999998</v>
      </c>
      <c r="Y4856">
        <v>-0.1262644</v>
      </c>
      <c r="Z4856">
        <v>8.0892800000000008E-3</v>
      </c>
      <c r="AA4856">
        <v>0.99196359999999995</v>
      </c>
      <c r="AB4856">
        <v>31</v>
      </c>
      <c r="AC4856">
        <v>13.758100000000001</v>
      </c>
      <c r="AD4856">
        <v>-1.1093950022979999</v>
      </c>
      <c r="AE4856">
        <v>1.23978999999999</v>
      </c>
      <c r="AF4856">
        <v>-1.75925538725369</v>
      </c>
      <c r="AG4856">
        <v>-1.1093950022979999</v>
      </c>
      <c r="AH4856">
        <v>13.6121090165501</v>
      </c>
      <c r="AI4856">
        <v>94.621076418526101</v>
      </c>
      <c r="AJ4856">
        <v>97.364196231079205</v>
      </c>
      <c r="AK4856">
        <v>13.7700852817675</v>
      </c>
    </row>
    <row r="4857" spans="1:37" x14ac:dyDescent="0.2">
      <c r="A4857" t="str">
        <f>"20200111154158634"</f>
        <v>20200111154158634</v>
      </c>
      <c r="B4857" t="str">
        <f>"1578728518630947"</f>
        <v>1578728518630947</v>
      </c>
      <c r="C4857" t="s">
        <v>37</v>
      </c>
      <c r="D4857">
        <v>5.3521839999999896</v>
      </c>
      <c r="E4857">
        <v>0.45156239999999997</v>
      </c>
      <c r="F4857" t="s">
        <v>55</v>
      </c>
      <c r="G4857">
        <v>-238.11949999999999</v>
      </c>
      <c r="H4857" s="1">
        <v>-2.7783990000000001E-6</v>
      </c>
      <c r="I4857">
        <v>-61.541350000000001</v>
      </c>
      <c r="J4857">
        <v>-252.07929999999999</v>
      </c>
      <c r="K4857">
        <v>1.1093869999999999</v>
      </c>
      <c r="L4857">
        <v>-63.044530000000002</v>
      </c>
      <c r="M4857">
        <v>0.99924279999999999</v>
      </c>
      <c r="N4857">
        <v>0</v>
      </c>
      <c r="O4857">
        <v>-3.8570640000000003E-2</v>
      </c>
      <c r="P4857">
        <v>0.99750689999999997</v>
      </c>
      <c r="Q4857">
        <v>2.531568E-2</v>
      </c>
      <c r="R4857">
        <v>6.5874799999999997E-2</v>
      </c>
      <c r="S4857">
        <v>2.9925989999999998</v>
      </c>
      <c r="T4857">
        <v>-0.2351191</v>
      </c>
      <c r="U4857">
        <v>0.31726070000000001</v>
      </c>
      <c r="V4857">
        <v>-0.1043089</v>
      </c>
      <c r="W4857">
        <v>3.0364439999999999E-2</v>
      </c>
      <c r="X4857">
        <v>0.99408129999999995</v>
      </c>
      <c r="Y4857">
        <v>-0.14314779999999999</v>
      </c>
      <c r="Z4857">
        <v>8.6173780000000002E-3</v>
      </c>
      <c r="AA4857">
        <v>0.98966379999999998</v>
      </c>
      <c r="AB4857">
        <v>31</v>
      </c>
      <c r="AC4857">
        <v>13.9598</v>
      </c>
      <c r="AD4857">
        <v>-1.1093897783990001</v>
      </c>
      <c r="AE4857">
        <v>1.50318</v>
      </c>
      <c r="AF4857">
        <v>-2.0278467354984602</v>
      </c>
      <c r="AG4857">
        <v>-1.1093897783990001</v>
      </c>
      <c r="AH4857">
        <v>13.805244408539901</v>
      </c>
      <c r="AI4857">
        <v>94.545845002839897</v>
      </c>
      <c r="AJ4857">
        <v>98.356394964174299</v>
      </c>
      <c r="AK4857">
        <v>13.997416948944901</v>
      </c>
    </row>
    <row r="4858" spans="1:37" x14ac:dyDescent="0.2">
      <c r="A4858" t="str">
        <f>"20200111154158646"</f>
        <v>20200111154158646</v>
      </c>
      <c r="B4858" t="str">
        <f>"1578728518640706"</f>
        <v>1578728518640706</v>
      </c>
      <c r="C4858" t="s">
        <v>37</v>
      </c>
      <c r="D4858">
        <v>5.2843499999999999</v>
      </c>
      <c r="E4858">
        <v>0.45154149999999998</v>
      </c>
      <c r="F4858" t="s">
        <v>55</v>
      </c>
      <c r="G4858">
        <v>-238.86869999999999</v>
      </c>
      <c r="H4858" s="1">
        <v>-2.8134980000000002E-6</v>
      </c>
      <c r="I4858">
        <v>-60.465209999999999</v>
      </c>
      <c r="J4858">
        <v>-251.91970000000001</v>
      </c>
      <c r="K4858">
        <v>1.109383</v>
      </c>
      <c r="L4858">
        <v>-63.050629999999998</v>
      </c>
      <c r="M4858">
        <v>0.99924590000000002</v>
      </c>
      <c r="N4858">
        <v>0</v>
      </c>
      <c r="O4858">
        <v>-3.8492529999999997E-2</v>
      </c>
      <c r="P4858">
        <v>0.99749619999999894</v>
      </c>
      <c r="Q4858">
        <v>2.4868129999999999E-2</v>
      </c>
      <c r="R4858">
        <v>6.6203449999999997E-2</v>
      </c>
      <c r="S4858">
        <v>2.9754640000000001</v>
      </c>
      <c r="T4858">
        <v>-0.2498717</v>
      </c>
      <c r="U4858">
        <v>0.58093260000000002</v>
      </c>
      <c r="V4858">
        <v>-0.1045596</v>
      </c>
      <c r="W4858">
        <v>2.9908790000000001E-2</v>
      </c>
      <c r="X4858">
        <v>0.99406879999999997</v>
      </c>
      <c r="Y4858">
        <v>-0.2283541</v>
      </c>
      <c r="Z4858">
        <v>1.2681619999999999E-2</v>
      </c>
      <c r="AA4858">
        <v>0.97349549999999996</v>
      </c>
      <c r="AB4858">
        <v>31</v>
      </c>
      <c r="AC4858">
        <v>13.051</v>
      </c>
      <c r="AD4858">
        <v>-1.1093858134979999</v>
      </c>
      <c r="AE4858">
        <v>2.5854200000000001</v>
      </c>
      <c r="AF4858">
        <v>-3.06456904184118</v>
      </c>
      <c r="AG4858">
        <v>-1.1093858134979999</v>
      </c>
      <c r="AH4858">
        <v>12.8524462919552</v>
      </c>
      <c r="AI4858">
        <v>94.799481432902795</v>
      </c>
      <c r="AJ4858">
        <v>103.411323888929</v>
      </c>
      <c r="AK4858">
        <v>13.259249450213799</v>
      </c>
    </row>
    <row r="4859" spans="1:37" x14ac:dyDescent="0.2">
      <c r="A4859" t="str">
        <f>"20200111154158656"</f>
        <v>20200111154158656</v>
      </c>
      <c r="B4859" t="str">
        <f>"1578728518650467"</f>
        <v>1578728518650467</v>
      </c>
      <c r="C4859" t="s">
        <v>37</v>
      </c>
      <c r="D4859">
        <v>5.2278560000000001</v>
      </c>
      <c r="E4859">
        <v>0.451370299999999</v>
      </c>
      <c r="F4859" t="s">
        <v>55</v>
      </c>
      <c r="G4859">
        <v>-238.97280000000001</v>
      </c>
      <c r="H4859" s="1">
        <v>-2.8720159999999998E-6</v>
      </c>
      <c r="I4859">
        <v>-60.517299999999999</v>
      </c>
      <c r="J4859">
        <v>-251.7593</v>
      </c>
      <c r="K4859">
        <v>1.109378</v>
      </c>
      <c r="L4859">
        <v>-63.056730000000002</v>
      </c>
      <c r="M4859">
        <v>0.9992491</v>
      </c>
      <c r="N4859">
        <v>0</v>
      </c>
      <c r="O4859">
        <v>-3.841323E-2</v>
      </c>
      <c r="P4859">
        <v>0.99749959999999904</v>
      </c>
      <c r="Q4859">
        <v>2.4383459999999999E-2</v>
      </c>
      <c r="R4859">
        <v>6.6334329999999997E-2</v>
      </c>
      <c r="S4859">
        <v>2.9752350000000001</v>
      </c>
      <c r="T4859">
        <v>-0.25494099999999997</v>
      </c>
      <c r="U4859">
        <v>0.58215329999999998</v>
      </c>
      <c r="V4859">
        <v>-0.10461139999999999</v>
      </c>
      <c r="W4859">
        <v>2.941643E-2</v>
      </c>
      <c r="X4859">
        <v>0.99407800000000002</v>
      </c>
      <c r="Y4859">
        <v>-0.228637799999999</v>
      </c>
      <c r="Z4859">
        <v>1.294376E-2</v>
      </c>
      <c r="AA4859">
        <v>0.97342549999999906</v>
      </c>
      <c r="AB4859">
        <v>31</v>
      </c>
      <c r="AC4859">
        <v>12.786499999999901</v>
      </c>
      <c r="AD4859">
        <v>-1.1093808720160001</v>
      </c>
      <c r="AE4859">
        <v>2.5394299999999999</v>
      </c>
      <c r="AF4859">
        <v>-3.0069564471138901</v>
      </c>
      <c r="AG4859">
        <v>-1.1093808720160001</v>
      </c>
      <c r="AH4859">
        <v>12.588349012837501</v>
      </c>
      <c r="AI4859">
        <v>94.899196565206907</v>
      </c>
      <c r="AJ4859">
        <v>103.434402730515</v>
      </c>
      <c r="AK4859">
        <v>12.9899593480135</v>
      </c>
    </row>
    <row r="4860" spans="1:37" x14ac:dyDescent="0.2">
      <c r="A4860" t="str">
        <f>"20200111154158669"</f>
        <v>20200111154158669</v>
      </c>
      <c r="B4860" t="str">
        <f>"1578728518661203"</f>
        <v>1578728518661203</v>
      </c>
      <c r="C4860" t="s">
        <v>37</v>
      </c>
      <c r="D4860">
        <v>5.2369870000000001</v>
      </c>
      <c r="E4860">
        <v>0.4519244</v>
      </c>
      <c r="F4860" t="s">
        <v>55</v>
      </c>
      <c r="G4860">
        <v>-238.71119999999999</v>
      </c>
      <c r="H4860" s="1">
        <v>-2.753716E-6</v>
      </c>
      <c r="I4860">
        <v>-60.494549999999997</v>
      </c>
      <c r="J4860">
        <v>-251.5968</v>
      </c>
      <c r="K4860">
        <v>1.1093759999999999</v>
      </c>
      <c r="L4860">
        <v>-63.062930000000001</v>
      </c>
      <c r="M4860">
        <v>0.99925229999999998</v>
      </c>
      <c r="N4860">
        <v>0</v>
      </c>
      <c r="O4860">
        <v>-3.8331190000000001E-2</v>
      </c>
      <c r="P4860">
        <v>0.99750360000000005</v>
      </c>
      <c r="Q4860">
        <v>2.383453E-2</v>
      </c>
      <c r="R4860">
        <v>6.6473619999999997E-2</v>
      </c>
      <c r="S4860">
        <v>2.9748380000000001</v>
      </c>
      <c r="T4860">
        <v>-0.25292739999999903</v>
      </c>
      <c r="U4860">
        <v>0.58413700000000002</v>
      </c>
      <c r="V4860">
        <v>-0.1046686</v>
      </c>
      <c r="W4860">
        <v>2.885973E-2</v>
      </c>
      <c r="X4860">
        <v>0.99408839999999998</v>
      </c>
      <c r="Y4860">
        <v>-0.22922039999999899</v>
      </c>
      <c r="Z4860">
        <v>1.286034E-2</v>
      </c>
      <c r="AA4860">
        <v>0.97328959999999998</v>
      </c>
      <c r="AB4860">
        <v>31</v>
      </c>
      <c r="AC4860">
        <v>12.8856</v>
      </c>
      <c r="AD4860">
        <v>-1.10937875371599</v>
      </c>
      <c r="AE4860">
        <v>2.5683799999999999</v>
      </c>
      <c r="AF4860">
        <v>-3.0387557501116498</v>
      </c>
      <c r="AG4860">
        <v>-1.10937875371599</v>
      </c>
      <c r="AH4860">
        <v>12.6872320772272</v>
      </c>
      <c r="AI4860">
        <v>94.860481560609202</v>
      </c>
      <c r="AJ4860">
        <v>103.469341594871</v>
      </c>
      <c r="AK4860">
        <v>13.093151473555</v>
      </c>
    </row>
    <row r="4861" spans="1:37" x14ac:dyDescent="0.2">
      <c r="A4861" t="str">
        <f>"20200111154158678"</f>
        <v>20200111154158678</v>
      </c>
      <c r="B4861" t="str">
        <f>"1578728518670963"</f>
        <v>1578728518670963</v>
      </c>
      <c r="C4861" t="s">
        <v>37</v>
      </c>
      <c r="D4861">
        <v>5.18668</v>
      </c>
      <c r="E4861">
        <v>0.45209079999999902</v>
      </c>
      <c r="F4861" t="s">
        <v>55</v>
      </c>
      <c r="G4861">
        <v>-238.32749999999999</v>
      </c>
      <c r="H4861" s="1">
        <v>-2.5837509999999999E-6</v>
      </c>
      <c r="I4861">
        <v>-60.474290000000003</v>
      </c>
      <c r="J4861">
        <v>-251.44309999999999</v>
      </c>
      <c r="K4861">
        <v>1.1093759999999999</v>
      </c>
      <c r="L4861">
        <v>-63.068759999999997</v>
      </c>
      <c r="M4861">
        <v>0.99925520000000001</v>
      </c>
      <c r="N4861">
        <v>0</v>
      </c>
      <c r="O4861">
        <v>-3.8252130000000002E-2</v>
      </c>
      <c r="P4861">
        <v>0.99751699999999999</v>
      </c>
      <c r="Q4861">
        <v>2.3405539999999999E-2</v>
      </c>
      <c r="R4861">
        <v>6.6422309999999998E-2</v>
      </c>
      <c r="S4861">
        <v>2.974777</v>
      </c>
      <c r="T4861">
        <v>-0.24870679999999901</v>
      </c>
      <c r="U4861">
        <v>0.58032229999999996</v>
      </c>
      <c r="V4861">
        <v>-0.10453999999999999</v>
      </c>
      <c r="W4861">
        <v>2.842503E-2</v>
      </c>
      <c r="X4861">
        <v>0.99411439999999995</v>
      </c>
      <c r="Y4861">
        <v>-0.22797979999999901</v>
      </c>
      <c r="Z4861">
        <v>1.259041E-2</v>
      </c>
      <c r="AA4861">
        <v>0.97358449999999996</v>
      </c>
      <c r="AB4861">
        <v>31</v>
      </c>
      <c r="AC4861">
        <v>13.115600000000001</v>
      </c>
      <c r="AD4861">
        <v>-1.109378583751</v>
      </c>
      <c r="AE4861">
        <v>2.5944699999999901</v>
      </c>
      <c r="AF4861">
        <v>-3.0731183645267199</v>
      </c>
      <c r="AG4861">
        <v>-1.109378583751</v>
      </c>
      <c r="AH4861">
        <v>12.917814422761699</v>
      </c>
      <c r="AI4861">
        <v>94.775859840825504</v>
      </c>
      <c r="AJ4861">
        <v>103.381786474237</v>
      </c>
      <c r="AK4861">
        <v>13.324590304598001</v>
      </c>
    </row>
    <row r="4862" spans="1:37" x14ac:dyDescent="0.2">
      <c r="A4862" t="str">
        <f>"20200111154158690"</f>
        <v>20200111154158690</v>
      </c>
      <c r="B4862" t="str">
        <f>"1578728518680723"</f>
        <v>1578728518680723</v>
      </c>
      <c r="C4862" t="s">
        <v>37</v>
      </c>
      <c r="D4862">
        <v>5.2225469999999996</v>
      </c>
      <c r="E4862">
        <v>0.45252039999999999</v>
      </c>
      <c r="F4862" t="s">
        <v>55</v>
      </c>
      <c r="G4862">
        <v>-238.17429999999999</v>
      </c>
      <c r="H4862" s="1">
        <v>-2.5211989999999999E-6</v>
      </c>
      <c r="I4862">
        <v>-60.486289999999997</v>
      </c>
      <c r="J4862">
        <v>-251.2868</v>
      </c>
      <c r="K4862">
        <v>1.10938</v>
      </c>
      <c r="L4862">
        <v>-63.074649999999998</v>
      </c>
      <c r="M4862">
        <v>0.999258599999999</v>
      </c>
      <c r="N4862">
        <v>0</v>
      </c>
      <c r="O4862">
        <v>-3.816758E-2</v>
      </c>
      <c r="P4862">
        <v>0.99753080000000005</v>
      </c>
      <c r="Q4862">
        <v>2.3119379999999998E-2</v>
      </c>
      <c r="R4862">
        <v>6.6316609999999998E-2</v>
      </c>
      <c r="S4862">
        <v>2.9747469999999998</v>
      </c>
      <c r="T4862">
        <v>-0.24871170000000001</v>
      </c>
      <c r="U4862">
        <v>0.57894899999999905</v>
      </c>
      <c r="V4862">
        <v>-0.10435079999999999</v>
      </c>
      <c r="W4862">
        <v>2.8132850000000001E-2</v>
      </c>
      <c r="X4862">
        <v>0.99414259999999999</v>
      </c>
      <c r="Y4862">
        <v>-0.22746810000000001</v>
      </c>
      <c r="Z4862">
        <v>1.256316E-2</v>
      </c>
      <c r="AA4862">
        <v>0.97370449999999997</v>
      </c>
      <c r="AB4862">
        <v>31</v>
      </c>
      <c r="AC4862">
        <v>13.112500000000001</v>
      </c>
      <c r="AD4862">
        <v>-1.109382521199</v>
      </c>
      <c r="AE4862">
        <v>2.58835999999999</v>
      </c>
      <c r="AF4862">
        <v>-3.0658305408061799</v>
      </c>
      <c r="AG4862">
        <v>-1.109382521199</v>
      </c>
      <c r="AH4862">
        <v>12.9151729955937</v>
      </c>
      <c r="AI4862">
        <v>94.777400467666197</v>
      </c>
      <c r="AJ4862">
        <v>103.353822335489</v>
      </c>
      <c r="AK4862">
        <v>13.320350595588501</v>
      </c>
    </row>
    <row r="4863" spans="1:37" x14ac:dyDescent="0.2">
      <c r="A4863" t="str">
        <f>"20200111154158700"</f>
        <v>20200111154158700</v>
      </c>
      <c r="B4863" t="str">
        <f>"1578728518690483"</f>
        <v>1578728518690483</v>
      </c>
      <c r="C4863" t="s">
        <v>37</v>
      </c>
      <c r="D4863">
        <v>5.2173669999999897</v>
      </c>
      <c r="E4863">
        <v>0.45282250000000002</v>
      </c>
      <c r="F4863" t="s">
        <v>55</v>
      </c>
      <c r="G4863">
        <v>-237.92070000000001</v>
      </c>
      <c r="H4863" s="1">
        <v>-2.4131939999999999E-6</v>
      </c>
      <c r="I4863">
        <v>-60.489280000000001</v>
      </c>
      <c r="J4863">
        <v>-251.1328</v>
      </c>
      <c r="K4863">
        <v>1.109381</v>
      </c>
      <c r="L4863">
        <v>-63.080469999999998</v>
      </c>
      <c r="M4863">
        <v>0.99926170000000003</v>
      </c>
      <c r="N4863">
        <v>0</v>
      </c>
      <c r="O4863">
        <v>-3.8082070000000003E-2</v>
      </c>
      <c r="P4863">
        <v>0.99752890000000005</v>
      </c>
      <c r="Q4863">
        <v>2.3334170000000001E-2</v>
      </c>
      <c r="R4863">
        <v>6.6270700000000002E-2</v>
      </c>
      <c r="S4863">
        <v>2.9748990000000002</v>
      </c>
      <c r="T4863">
        <v>-0.24691489999999999</v>
      </c>
      <c r="U4863">
        <v>0.5754089</v>
      </c>
      <c r="V4863">
        <v>-0.1042203</v>
      </c>
      <c r="W4863">
        <v>2.8341140000000001E-2</v>
      </c>
      <c r="X4863">
        <v>0.99415030000000004</v>
      </c>
      <c r="Y4863">
        <v>-0.22627559999999999</v>
      </c>
      <c r="Z4863">
        <v>1.241747E-2</v>
      </c>
      <c r="AA4863">
        <v>0.97398419999999897</v>
      </c>
      <c r="AB4863">
        <v>32</v>
      </c>
      <c r="AC4863">
        <v>13.2120999999999</v>
      </c>
      <c r="AD4863">
        <v>-1.1093834131939999</v>
      </c>
      <c r="AE4863">
        <v>2.5911899999999899</v>
      </c>
      <c r="AF4863">
        <v>-3.0716067392296398</v>
      </c>
      <c r="AG4863">
        <v>-1.1093834131939999</v>
      </c>
      <c r="AH4863">
        <v>13.0154701619962</v>
      </c>
      <c r="AI4863">
        <v>94.742223734912898</v>
      </c>
      <c r="AJ4863">
        <v>103.278651914159</v>
      </c>
      <c r="AK4863">
        <v>13.418940459505899</v>
      </c>
    </row>
    <row r="4864" spans="1:37" x14ac:dyDescent="0.2">
      <c r="A4864" t="str">
        <f>"20200111154158711"</f>
        <v>20200111154158711</v>
      </c>
      <c r="B4864" t="str">
        <f>"1578728518701219"</f>
        <v>1578728518701219</v>
      </c>
      <c r="C4864" t="s">
        <v>37</v>
      </c>
      <c r="D4864">
        <v>5.232704</v>
      </c>
      <c r="E4864">
        <v>0.45327289999999998</v>
      </c>
      <c r="F4864" t="s">
        <v>55</v>
      </c>
      <c r="G4864">
        <v>-237.7389</v>
      </c>
      <c r="H4864" s="1">
        <v>-2.338227E-6</v>
      </c>
      <c r="I4864">
        <v>-60.500540000000001</v>
      </c>
      <c r="J4864">
        <v>-250.98070000000001</v>
      </c>
      <c r="K4864">
        <v>1.109389</v>
      </c>
      <c r="L4864">
        <v>-63.086179999999999</v>
      </c>
      <c r="M4864">
        <v>0.99926539999999997</v>
      </c>
      <c r="N4864">
        <v>0</v>
      </c>
      <c r="O4864">
        <v>-3.7988670000000002E-2</v>
      </c>
      <c r="P4864">
        <v>0.99752249999999998</v>
      </c>
      <c r="Q4864">
        <v>2.348886E-2</v>
      </c>
      <c r="R4864">
        <v>6.6313800000000006E-2</v>
      </c>
      <c r="S4864">
        <v>2.9751430000000001</v>
      </c>
      <c r="T4864">
        <v>-0.246423999999999</v>
      </c>
      <c r="U4864">
        <v>0.57305909999999904</v>
      </c>
      <c r="V4864">
        <v>-0.1041705</v>
      </c>
      <c r="W4864">
        <v>2.8489850000000001E-2</v>
      </c>
      <c r="X4864">
        <v>0.99415129999999996</v>
      </c>
      <c r="Y4864">
        <v>-0.22543449999999901</v>
      </c>
      <c r="Z4864">
        <v>1.2350659999999999E-2</v>
      </c>
      <c r="AA4864">
        <v>0.97417999999999905</v>
      </c>
      <c r="AB4864">
        <v>32</v>
      </c>
      <c r="AC4864">
        <v>13.2418</v>
      </c>
      <c r="AD4864">
        <v>-1.109391338227</v>
      </c>
      <c r="AE4864">
        <v>2.5856400000000002</v>
      </c>
      <c r="AF4864">
        <v>-3.0660878741264002</v>
      </c>
      <c r="AG4864">
        <v>-1.109391338227</v>
      </c>
      <c r="AH4864">
        <v>13.045809642393801</v>
      </c>
      <c r="AI4864">
        <v>94.732300404410495</v>
      </c>
      <c r="AJ4864">
        <v>103.225893893747</v>
      </c>
      <c r="AK4864">
        <v>13.447110961792999</v>
      </c>
    </row>
    <row r="4865" spans="1:37" x14ac:dyDescent="0.2">
      <c r="A4865" t="str">
        <f>"20200111154158723"</f>
        <v>20200111154158723</v>
      </c>
      <c r="B4865" t="str">
        <f>"1578728518720739"</f>
        <v>1578728518720739</v>
      </c>
      <c r="C4865" t="s">
        <v>37</v>
      </c>
      <c r="D4865">
        <v>5.2137949999999904</v>
      </c>
      <c r="E4865">
        <v>0.4536848</v>
      </c>
      <c r="F4865" t="s">
        <v>55</v>
      </c>
      <c r="G4865">
        <v>-237.52879999999999</v>
      </c>
      <c r="H4865" s="1">
        <v>-2.2507689999999999E-6</v>
      </c>
      <c r="I4865">
        <v>-60.510709999999897</v>
      </c>
      <c r="J4865">
        <v>-250.81989999999999</v>
      </c>
      <c r="K4865">
        <v>1.1093949999999999</v>
      </c>
      <c r="L4865">
        <v>-63.09225</v>
      </c>
      <c r="M4865">
        <v>0.99926930000000003</v>
      </c>
      <c r="N4865">
        <v>0</v>
      </c>
      <c r="O4865">
        <v>-3.788789E-2</v>
      </c>
      <c r="P4865">
        <v>0.99749730000000003</v>
      </c>
      <c r="Q4865">
        <v>2.3812449999999999E-2</v>
      </c>
      <c r="R4865">
        <v>6.6576919999999998E-2</v>
      </c>
      <c r="S4865">
        <v>2.9753569999999998</v>
      </c>
      <c r="T4865">
        <v>-0.2453803</v>
      </c>
      <c r="U4865">
        <v>0.56964110000000001</v>
      </c>
      <c r="V4865">
        <v>-0.1043326</v>
      </c>
      <c r="W4865">
        <v>2.88072999999999E-2</v>
      </c>
      <c r="X4865">
        <v>0.99412520000000004</v>
      </c>
      <c r="Y4865">
        <v>-0.22425529999999999</v>
      </c>
      <c r="Z4865">
        <v>1.2242609999999999E-2</v>
      </c>
      <c r="AA4865">
        <v>0.97445349999999997</v>
      </c>
      <c r="AB4865">
        <v>32</v>
      </c>
      <c r="AC4865">
        <v>13.2911</v>
      </c>
      <c r="AD4865">
        <v>-1.109397250769</v>
      </c>
      <c r="AE4865">
        <v>2.5815399999999999</v>
      </c>
      <c r="AF4865">
        <v>-3.0627020853953599</v>
      </c>
      <c r="AG4865">
        <v>-1.109397250769</v>
      </c>
      <c r="AH4865">
        <v>13.095823330038501</v>
      </c>
      <c r="AI4865">
        <v>94.715540030548993</v>
      </c>
      <c r="AJ4865">
        <v>103.16310476493599</v>
      </c>
      <c r="AK4865">
        <v>13.4948692107585</v>
      </c>
    </row>
    <row r="4866" spans="1:37" x14ac:dyDescent="0.2">
      <c r="A4866" t="str">
        <f>"20200111154158734"</f>
        <v>20200111154158734</v>
      </c>
      <c r="B4866" t="str">
        <f>"1578728518730499"</f>
        <v>1578728518730499</v>
      </c>
      <c r="C4866" t="s">
        <v>37</v>
      </c>
      <c r="D4866">
        <v>5.2396919999999998</v>
      </c>
      <c r="E4866">
        <v>0.45382909999999999</v>
      </c>
      <c r="F4866" t="s">
        <v>55</v>
      </c>
      <c r="G4866">
        <v>-237.46420000000001</v>
      </c>
      <c r="H4866" s="1">
        <v>-2.2324859999999998E-6</v>
      </c>
      <c r="I4866">
        <v>-60.54618</v>
      </c>
      <c r="J4866">
        <v>-250.65299999999999</v>
      </c>
      <c r="K4866">
        <v>1.1094040000000001</v>
      </c>
      <c r="L4866">
        <v>-63.09845</v>
      </c>
      <c r="M4866">
        <v>0.99927389999999905</v>
      </c>
      <c r="N4866">
        <v>0</v>
      </c>
      <c r="O4866">
        <v>-3.7766809999999998E-2</v>
      </c>
      <c r="P4866">
        <v>0.99749149999999998</v>
      </c>
      <c r="Q4866">
        <v>2.3901929999999998E-2</v>
      </c>
      <c r="R4866">
        <v>6.6630369999999994E-2</v>
      </c>
      <c r="S4866">
        <v>2.9755549999999999</v>
      </c>
      <c r="T4866">
        <v>-0.2471642</v>
      </c>
      <c r="U4866">
        <v>0.56723020000000002</v>
      </c>
      <c r="V4866">
        <v>-0.104266</v>
      </c>
      <c r="W4866">
        <v>2.888976E-2</v>
      </c>
      <c r="X4866">
        <v>0.99412979999999995</v>
      </c>
      <c r="Y4866">
        <v>-0.22335429999999901</v>
      </c>
      <c r="Z4866">
        <v>1.2284440000000001E-2</v>
      </c>
      <c r="AA4866">
        <v>0.97465990000000002</v>
      </c>
      <c r="AB4866">
        <v>32</v>
      </c>
      <c r="AC4866">
        <v>13.188799999999899</v>
      </c>
      <c r="AD4866">
        <v>-1.1094062324859999</v>
      </c>
      <c r="AE4866">
        <v>2.5522699999999898</v>
      </c>
      <c r="AF4866">
        <v>-3.0279031046639902</v>
      </c>
      <c r="AG4866">
        <v>-1.1094062324859999</v>
      </c>
      <c r="AH4866">
        <v>12.9943726998793</v>
      </c>
      <c r="AI4866">
        <v>94.753118329724998</v>
      </c>
      <c r="AJ4866">
        <v>103.11680460523201</v>
      </c>
      <c r="AK4866">
        <v>13.3885287191417</v>
      </c>
    </row>
    <row r="4867" spans="1:37" x14ac:dyDescent="0.2">
      <c r="A4867" t="str">
        <f>"20200111154158746"</f>
        <v>20200111154158746</v>
      </c>
      <c r="B4867" t="str">
        <f>"1578728518740259"</f>
        <v>1578728518740259</v>
      </c>
      <c r="C4867" t="s">
        <v>37</v>
      </c>
      <c r="D4867">
        <v>5.2274699999999896</v>
      </c>
      <c r="E4867">
        <v>0.45396570000000003</v>
      </c>
      <c r="F4867" t="s">
        <v>55</v>
      </c>
      <c r="G4867">
        <v>-237.30240000000001</v>
      </c>
      <c r="H4867" s="1">
        <v>-2.16609399999999E-6</v>
      </c>
      <c r="I4867">
        <v>-60.557429999999997</v>
      </c>
      <c r="J4867">
        <v>-250.49449999999999</v>
      </c>
      <c r="K4867">
        <v>1.109416</v>
      </c>
      <c r="L4867">
        <v>-63.104369999999903</v>
      </c>
      <c r="M4867">
        <v>0.99927829999999995</v>
      </c>
      <c r="N4867">
        <v>0</v>
      </c>
      <c r="O4867">
        <v>-3.7647880000000002E-2</v>
      </c>
      <c r="P4867">
        <v>0.99749200000000005</v>
      </c>
      <c r="Q4867">
        <v>2.3936550000000001E-2</v>
      </c>
      <c r="R4867">
        <v>6.6610749999999996E-2</v>
      </c>
      <c r="S4867">
        <v>2.9756469999999999</v>
      </c>
      <c r="T4867">
        <v>-0.24727089999999999</v>
      </c>
      <c r="U4867">
        <v>0.56634519999999899</v>
      </c>
      <c r="V4867">
        <v>-0.104129399999999</v>
      </c>
      <c r="W4867">
        <v>2.8918349999999999E-2</v>
      </c>
      <c r="X4867">
        <v>0.99414319999999901</v>
      </c>
      <c r="Y4867">
        <v>-0.22295389999999901</v>
      </c>
      <c r="Z4867">
        <v>1.2263430000000001E-2</v>
      </c>
      <c r="AA4867">
        <v>0.97475179999999995</v>
      </c>
      <c r="AB4867">
        <v>32</v>
      </c>
      <c r="AC4867">
        <v>13.1920999999999</v>
      </c>
      <c r="AD4867">
        <v>-1.1094181660939999</v>
      </c>
      <c r="AE4867">
        <v>2.54693999999999</v>
      </c>
      <c r="AF4867">
        <v>-3.0211961914265899</v>
      </c>
      <c r="AG4867">
        <v>-1.1094181660939999</v>
      </c>
      <c r="AH4867">
        <v>12.998234908495</v>
      </c>
      <c r="AI4867">
        <v>94.752374512993399</v>
      </c>
      <c r="AJ4867">
        <v>103.084996512835</v>
      </c>
      <c r="AK4867">
        <v>13.3907634521251</v>
      </c>
    </row>
    <row r="4868" spans="1:37" x14ac:dyDescent="0.2">
      <c r="A4868" t="str">
        <f>"20200111154158757"</f>
        <v>20200111154158757</v>
      </c>
      <c r="B4868" t="str">
        <f>"1578728518750995"</f>
        <v>1578728518750995</v>
      </c>
      <c r="C4868" t="s">
        <v>37</v>
      </c>
      <c r="D4868">
        <v>5.2308830000000004</v>
      </c>
      <c r="E4868">
        <v>0.454192599999999</v>
      </c>
      <c r="F4868" t="s">
        <v>55</v>
      </c>
      <c r="G4868">
        <v>-237.14949999999999</v>
      </c>
      <c r="H4868" s="1">
        <v>-2.1036999999999999E-6</v>
      </c>
      <c r="I4868">
        <v>-60.569400000000002</v>
      </c>
      <c r="J4868">
        <v>-250.32929999999999</v>
      </c>
      <c r="K4868">
        <v>1.1094310000000001</v>
      </c>
      <c r="L4868">
        <v>-63.110500000000002</v>
      </c>
      <c r="M4868">
        <v>0.99928359999999905</v>
      </c>
      <c r="N4868">
        <v>0</v>
      </c>
      <c r="O4868">
        <v>-3.7511650000000001E-2</v>
      </c>
      <c r="P4868">
        <v>0.99749149999999998</v>
      </c>
      <c r="Q4868">
        <v>2.3978050000000001E-2</v>
      </c>
      <c r="R4868">
        <v>6.6603759999999998E-2</v>
      </c>
      <c r="S4868">
        <v>2.9757389999999999</v>
      </c>
      <c r="T4868">
        <v>-0.24738449999999901</v>
      </c>
      <c r="U4868">
        <v>0.56524659999999904</v>
      </c>
      <c r="V4868">
        <v>-0.103988</v>
      </c>
      <c r="W4868">
        <v>2.8953619999999999E-2</v>
      </c>
      <c r="X4868">
        <v>0.99415699999999996</v>
      </c>
      <c r="Y4868">
        <v>-0.22246949999999999</v>
      </c>
      <c r="Z4868">
        <v>1.2237949999999999E-2</v>
      </c>
      <c r="AA4868">
        <v>0.97486280000000003</v>
      </c>
      <c r="AB4868">
        <v>32</v>
      </c>
      <c r="AC4868">
        <v>13.1798</v>
      </c>
      <c r="AD4868">
        <v>-1.1094331037</v>
      </c>
      <c r="AE4868">
        <v>2.5411000000000001</v>
      </c>
      <c r="AF4868">
        <v>-3.0131287561217301</v>
      </c>
      <c r="AG4868">
        <v>-1.1094331037</v>
      </c>
      <c r="AH4868">
        <v>12.9864809467676</v>
      </c>
      <c r="AI4868">
        <v>94.757148528768994</v>
      </c>
      <c r="AJ4868">
        <v>103.062661270232</v>
      </c>
      <c r="AK4868">
        <v>13.377536174247901</v>
      </c>
    </row>
    <row r="4869" spans="1:37" x14ac:dyDescent="0.2">
      <c r="A4869" t="str">
        <f>"20200111154158768"</f>
        <v>20200111154158768</v>
      </c>
      <c r="B4869" t="str">
        <f>"1578728518760755"</f>
        <v>1578728518760755</v>
      </c>
      <c r="C4869" t="s">
        <v>37</v>
      </c>
      <c r="D4869">
        <v>7.1923690000000002</v>
      </c>
      <c r="E4869">
        <v>0.454192599999999</v>
      </c>
      <c r="F4869" t="s">
        <v>55</v>
      </c>
      <c r="G4869">
        <v>-237.053</v>
      </c>
      <c r="H4869" s="1">
        <v>-2.0693659999999999E-6</v>
      </c>
      <c r="I4869">
        <v>-60.596069999999997</v>
      </c>
      <c r="J4869">
        <v>-250.16470000000001</v>
      </c>
      <c r="K4869">
        <v>1.1094489999999999</v>
      </c>
      <c r="L4869">
        <v>-63.116549999999997</v>
      </c>
      <c r="M4869">
        <v>0.99928899999999998</v>
      </c>
      <c r="N4869">
        <v>0</v>
      </c>
      <c r="O4869">
        <v>-3.7365290000000002E-2</v>
      </c>
      <c r="P4869">
        <v>0.99747989999999997</v>
      </c>
      <c r="Q4869">
        <v>2.426385E-2</v>
      </c>
      <c r="R4869">
        <v>6.6674709999999998E-2</v>
      </c>
      <c r="S4869">
        <v>2.9758909999999998</v>
      </c>
      <c r="T4869">
        <v>-0.248680499999999</v>
      </c>
      <c r="U4869">
        <v>0.56359859999999995</v>
      </c>
      <c r="V4869">
        <v>-0.1039142</v>
      </c>
      <c r="W4869">
        <v>2.9233889999999998E-2</v>
      </c>
      <c r="X4869">
        <v>0.9941565</v>
      </c>
      <c r="Y4869">
        <v>-0.22179009999999999</v>
      </c>
      <c r="Z4869">
        <v>1.2261640000000001E-2</v>
      </c>
      <c r="AA4869">
        <v>0.97501729999999998</v>
      </c>
      <c r="AB4869">
        <v>32</v>
      </c>
      <c r="AC4869">
        <v>13.111700000000001</v>
      </c>
      <c r="AD4869">
        <v>-1.10945106936599</v>
      </c>
      <c r="AE4869">
        <v>2.5204799999999898</v>
      </c>
      <c r="AF4869">
        <v>-2.9880174153299999</v>
      </c>
      <c r="AG4869">
        <v>-1.10945106936599</v>
      </c>
      <c r="AH4869">
        <v>12.9191620650352</v>
      </c>
      <c r="AI4869">
        <v>94.782668307150999</v>
      </c>
      <c r="AJ4869">
        <v>103.022708807463</v>
      </c>
      <c r="AK4869">
        <v>13.3065351693173</v>
      </c>
    </row>
    <row r="4870" spans="1:37" x14ac:dyDescent="0.2">
      <c r="A4870" t="str">
        <f>"20200111154158779"</f>
        <v>20200111154158779</v>
      </c>
      <c r="B4870" t="str">
        <f>"1578728518770515"</f>
        <v>1578728518770515</v>
      </c>
      <c r="C4870" t="s">
        <v>37</v>
      </c>
      <c r="D4870">
        <v>5.2154689999999997</v>
      </c>
      <c r="E4870">
        <v>0.454596</v>
      </c>
      <c r="F4870" t="s">
        <v>55</v>
      </c>
      <c r="G4870">
        <v>-236.83699999999999</v>
      </c>
      <c r="H4870" s="1">
        <v>-1.975408E-6</v>
      </c>
      <c r="I4870">
        <v>-60.591180000000001</v>
      </c>
      <c r="J4870">
        <v>-250.0153</v>
      </c>
      <c r="K4870">
        <v>1.1094629999999901</v>
      </c>
      <c r="L4870">
        <v>-63.122009999999896</v>
      </c>
      <c r="M4870">
        <v>0.99929419999999902</v>
      </c>
      <c r="N4870">
        <v>0</v>
      </c>
      <c r="O4870">
        <v>-3.7224060000000003E-2</v>
      </c>
      <c r="P4870">
        <v>0.9974864</v>
      </c>
      <c r="Q4870">
        <v>2.408306E-2</v>
      </c>
      <c r="R4870">
        <v>6.6641309999999995E-2</v>
      </c>
      <c r="S4870">
        <v>2.9759370000000001</v>
      </c>
      <c r="T4870">
        <v>-0.247728899999999</v>
      </c>
      <c r="U4870">
        <v>0.56387330000000002</v>
      </c>
      <c r="V4870">
        <v>-0.10374169999999901</v>
      </c>
      <c r="W4870">
        <v>2.904752E-2</v>
      </c>
      <c r="X4870">
        <v>0.99417999999999995</v>
      </c>
      <c r="Y4870">
        <v>-0.22174379999999999</v>
      </c>
      <c r="Z4870">
        <v>1.220104E-2</v>
      </c>
      <c r="AA4870">
        <v>0.97502860000000002</v>
      </c>
      <c r="AB4870">
        <v>32</v>
      </c>
      <c r="AC4870">
        <v>13.178299999999901</v>
      </c>
      <c r="AD4870">
        <v>-1.1094649754079999</v>
      </c>
      <c r="AE4870">
        <v>2.5308299999999901</v>
      </c>
      <c r="AF4870">
        <v>-2.9991310397383799</v>
      </c>
      <c r="AG4870">
        <v>-1.1094649754079999</v>
      </c>
      <c r="AH4870">
        <v>12.9861885649008</v>
      </c>
      <c r="AI4870">
        <v>94.758507373298798</v>
      </c>
      <c r="AJ4870">
        <v>103.00432768447</v>
      </c>
      <c r="AK4870">
        <v>13.374109053254299</v>
      </c>
    </row>
    <row r="4871" spans="1:37" x14ac:dyDescent="0.2">
      <c r="A4871" t="str">
        <f>"20200111154158791"</f>
        <v>20200111154158791</v>
      </c>
      <c r="B4871" t="str">
        <f>"1578728518780275"</f>
        <v>1578728518780275</v>
      </c>
      <c r="C4871" t="s">
        <v>37</v>
      </c>
      <c r="D4871">
        <v>5.2718290000000003</v>
      </c>
      <c r="E4871">
        <v>0.45486019999999999</v>
      </c>
      <c r="F4871" t="s">
        <v>55</v>
      </c>
      <c r="G4871">
        <v>-236.5505</v>
      </c>
      <c r="H4871" s="1">
        <v>-1.8510130000000001E-6</v>
      </c>
      <c r="I4871">
        <v>-60.585639999999998</v>
      </c>
      <c r="J4871">
        <v>-249.85400000000001</v>
      </c>
      <c r="K4871">
        <v>1.1094790000000001</v>
      </c>
      <c r="L4871">
        <v>-63.127899999999997</v>
      </c>
      <c r="M4871">
        <v>0.99930049999999904</v>
      </c>
      <c r="N4871">
        <v>0</v>
      </c>
      <c r="O4871">
        <v>-3.7055640000000001E-2</v>
      </c>
      <c r="P4871">
        <v>0.99748609999999904</v>
      </c>
      <c r="Q4871">
        <v>2.421541E-2</v>
      </c>
      <c r="R4871">
        <v>6.6596459999999996E-2</v>
      </c>
      <c r="S4871">
        <v>2.976013</v>
      </c>
      <c r="T4871">
        <v>-0.24521489999999899</v>
      </c>
      <c r="U4871">
        <v>0.5605774</v>
      </c>
      <c r="V4871">
        <v>-0.103530399999999</v>
      </c>
      <c r="W4871">
        <v>2.9173830000000001E-2</v>
      </c>
      <c r="X4871">
        <v>0.99419829999999998</v>
      </c>
      <c r="Y4871">
        <v>-0.220553899999999</v>
      </c>
      <c r="Z4871">
        <v>1.2016270000000001E-2</v>
      </c>
      <c r="AA4871">
        <v>0.97530079999999997</v>
      </c>
      <c r="AB4871">
        <v>32</v>
      </c>
      <c r="AC4871">
        <v>13.3035</v>
      </c>
      <c r="AD4871">
        <v>-1.1094808510130001</v>
      </c>
      <c r="AE4871">
        <v>2.54225999999999</v>
      </c>
      <c r="AF4871">
        <v>-3.0132704713465599</v>
      </c>
      <c r="AG4871">
        <v>-1.1094808510130001</v>
      </c>
      <c r="AH4871">
        <v>13.1121723337628</v>
      </c>
      <c r="AI4871">
        <v>94.714231900758804</v>
      </c>
      <c r="AJ4871">
        <v>102.942267726298</v>
      </c>
      <c r="AK4871">
        <v>13.4996225874114</v>
      </c>
    </row>
    <row r="4872" spans="1:37" x14ac:dyDescent="0.2">
      <c r="A4872" t="str">
        <f>"20200111154158800"</f>
        <v>20200111154158800</v>
      </c>
      <c r="B4872" t="str">
        <f>"1578728518791012"</f>
        <v>1578728518791012</v>
      </c>
      <c r="C4872" t="s">
        <v>37</v>
      </c>
      <c r="D4872">
        <v>5.2355429999999998</v>
      </c>
      <c r="E4872">
        <v>0.45502579999999998</v>
      </c>
      <c r="F4872" t="s">
        <v>55</v>
      </c>
      <c r="G4872">
        <v>-236.31960000000001</v>
      </c>
      <c r="H4872" s="1">
        <v>-1.752726E-6</v>
      </c>
      <c r="I4872">
        <v>-60.588439999999999</v>
      </c>
      <c r="J4872">
        <v>-249.6942</v>
      </c>
      <c r="K4872">
        <v>1.109494</v>
      </c>
      <c r="L4872">
        <v>-63.133669999999903</v>
      </c>
      <c r="M4872">
        <v>0.99930699999999995</v>
      </c>
      <c r="N4872">
        <v>0</v>
      </c>
      <c r="O4872">
        <v>-3.6881490000000003E-2</v>
      </c>
      <c r="P4872">
        <v>0.99747439999999998</v>
      </c>
      <c r="Q4872">
        <v>2.422245E-2</v>
      </c>
      <c r="R4872">
        <v>6.6773269999999996E-2</v>
      </c>
      <c r="S4872">
        <v>2.9761959999999998</v>
      </c>
      <c r="T4872">
        <v>-0.24397339999999901</v>
      </c>
      <c r="U4872">
        <v>0.55841059999999998</v>
      </c>
      <c r="V4872">
        <v>-0.1035346</v>
      </c>
      <c r="W4872">
        <v>2.9175739999999999E-2</v>
      </c>
      <c r="X4872">
        <v>0.99419780000000002</v>
      </c>
      <c r="Y4872">
        <v>-0.21969899999999901</v>
      </c>
      <c r="Z4872">
        <v>1.190686E-2</v>
      </c>
      <c r="AA4872">
        <v>0.975495</v>
      </c>
      <c r="AB4872">
        <v>32</v>
      </c>
      <c r="AC4872">
        <v>13.3745999999999</v>
      </c>
      <c r="AD4872">
        <v>-1.1094957527259901</v>
      </c>
      <c r="AE4872">
        <v>2.5452299999999801</v>
      </c>
      <c r="AF4872">
        <v>-3.0167452194475</v>
      </c>
      <c r="AG4872">
        <v>-1.1094957527259901</v>
      </c>
      <c r="AH4872">
        <v>13.1840705909385</v>
      </c>
      <c r="AI4872">
        <v>94.689707364253493</v>
      </c>
      <c r="AJ4872">
        <v>102.88839615428699</v>
      </c>
      <c r="AK4872">
        <v>13.570241335039899</v>
      </c>
    </row>
    <row r="4873" spans="1:37" x14ac:dyDescent="0.2">
      <c r="A4873" t="str">
        <f>"20200111154158812"</f>
        <v>20200111154158812</v>
      </c>
      <c r="B4873" t="str">
        <f>"1578728518800771"</f>
        <v>1578728518800771</v>
      </c>
      <c r="C4873" t="s">
        <v>37</v>
      </c>
      <c r="D4873">
        <v>5.2160479999999998</v>
      </c>
      <c r="E4873">
        <v>0.45517370000000001</v>
      </c>
      <c r="F4873" t="s">
        <v>55</v>
      </c>
      <c r="G4873">
        <v>-236.1061</v>
      </c>
      <c r="H4873" s="1">
        <v>-1.6608480000000001E-6</v>
      </c>
      <c r="I4873">
        <v>-60.587429999999998</v>
      </c>
      <c r="J4873">
        <v>-249.5351</v>
      </c>
      <c r="K4873">
        <v>1.1095139999999999</v>
      </c>
      <c r="L4873">
        <v>-63.139400000000002</v>
      </c>
      <c r="M4873">
        <v>0.99931429999999999</v>
      </c>
      <c r="N4873">
        <v>0</v>
      </c>
      <c r="O4873">
        <v>-3.6685519999999999E-2</v>
      </c>
      <c r="P4873">
        <v>0.99747280000000005</v>
      </c>
      <c r="Q4873">
        <v>2.425826E-2</v>
      </c>
      <c r="R4873">
        <v>6.6779430000000001E-2</v>
      </c>
      <c r="S4873">
        <v>2.9761660000000001</v>
      </c>
      <c r="T4873">
        <v>-0.24300849999999999</v>
      </c>
      <c r="U4873">
        <v>0.55767819999999901</v>
      </c>
      <c r="V4873">
        <v>-0.1033468</v>
      </c>
      <c r="W4873">
        <v>2.9205760000000001E-2</v>
      </c>
      <c r="X4873">
        <v>0.99421649999999995</v>
      </c>
      <c r="Y4873">
        <v>-0.21928600000000001</v>
      </c>
      <c r="Z4873">
        <v>1.182776E-2</v>
      </c>
      <c r="AA4873">
        <v>0.97558889999999998</v>
      </c>
      <c r="AB4873">
        <v>32</v>
      </c>
      <c r="AC4873">
        <v>13.429</v>
      </c>
      <c r="AD4873">
        <v>-1.1095156608479999</v>
      </c>
      <c r="AE4873">
        <v>2.5519699999999901</v>
      </c>
      <c r="AF4873">
        <v>-3.0229918222117602</v>
      </c>
      <c r="AG4873">
        <v>-1.1095156608479999</v>
      </c>
      <c r="AH4873">
        <v>13.2391155809357</v>
      </c>
      <c r="AI4873">
        <v>94.670862957359304</v>
      </c>
      <c r="AJ4873">
        <v>102.862284939457</v>
      </c>
      <c r="AK4873">
        <v>13.6251123270305</v>
      </c>
    </row>
    <row r="4874" spans="1:37" x14ac:dyDescent="0.2">
      <c r="A4874" t="str">
        <f>"20200111154158825"</f>
        <v>20200111154158825</v>
      </c>
      <c r="B4874" t="str">
        <f>"1578728518821267"</f>
        <v>1578728518821267</v>
      </c>
      <c r="C4874" t="s">
        <v>37</v>
      </c>
      <c r="D4874">
        <v>5.2448259999999998</v>
      </c>
      <c r="E4874">
        <v>0.45546170000000002</v>
      </c>
      <c r="F4874" t="s">
        <v>55</v>
      </c>
      <c r="G4874">
        <v>-235.91569999999999</v>
      </c>
      <c r="H4874" s="1">
        <v>-1.580534E-6</v>
      </c>
      <c r="I4874">
        <v>-60.59254</v>
      </c>
      <c r="J4874">
        <v>-249.36580000000001</v>
      </c>
      <c r="K4874">
        <v>1.1095360000000001</v>
      </c>
      <c r="L4874">
        <v>-63.145449999999997</v>
      </c>
      <c r="M4874">
        <v>0.99932219999999905</v>
      </c>
      <c r="N4874">
        <v>0</v>
      </c>
      <c r="O4874">
        <v>-3.6470700000000002E-2</v>
      </c>
      <c r="P4874">
        <v>0.99745729999999999</v>
      </c>
      <c r="Q4874">
        <v>2.4248809999999999E-2</v>
      </c>
      <c r="R4874">
        <v>6.7017289999999993E-2</v>
      </c>
      <c r="S4874">
        <v>2.9762419999999898</v>
      </c>
      <c r="T4874">
        <v>-0.24246109999999901</v>
      </c>
      <c r="U4874">
        <v>0.55654910000000002</v>
      </c>
      <c r="V4874">
        <v>-0.10337200000000001</v>
      </c>
      <c r="W4874">
        <v>2.9190509999999999E-2</v>
      </c>
      <c r="X4874">
        <v>0.99421440000000005</v>
      </c>
      <c r="Y4874">
        <v>-0.21872030000000001</v>
      </c>
      <c r="Z4874">
        <v>1.176116E-2</v>
      </c>
      <c r="AA4874">
        <v>0.97571669999999999</v>
      </c>
      <c r="AB4874">
        <v>32</v>
      </c>
      <c r="AC4874">
        <v>13.450100000000001</v>
      </c>
      <c r="AD4874">
        <v>-1.109537580534</v>
      </c>
      <c r="AE4874">
        <v>2.55290999999999</v>
      </c>
      <c r="AF4874">
        <v>-3.0219030773142102</v>
      </c>
      <c r="AG4874">
        <v>-1.109537580534</v>
      </c>
      <c r="AH4874">
        <v>13.2609404628036</v>
      </c>
      <c r="AI4874">
        <v>94.663762269406305</v>
      </c>
      <c r="AJ4874">
        <v>102.83734679208</v>
      </c>
      <c r="AK4874">
        <v>13.6460805291967</v>
      </c>
    </row>
    <row r="4875" spans="1:37" x14ac:dyDescent="0.2">
      <c r="A4875" t="str">
        <f>"20200111154158834"</f>
        <v>20200111154158834</v>
      </c>
      <c r="B4875" t="str">
        <f>"1578728518831027"</f>
        <v>1578728518831027</v>
      </c>
      <c r="C4875" t="s">
        <v>37</v>
      </c>
      <c r="D4875">
        <v>5.2394999999999996</v>
      </c>
      <c r="E4875">
        <v>0.45549049999999902</v>
      </c>
      <c r="F4875" t="s">
        <v>55</v>
      </c>
      <c r="G4875">
        <v>-235.7475</v>
      </c>
      <c r="H4875" s="1">
        <v>-1.5118869999999999E-6</v>
      </c>
      <c r="I4875">
        <v>-60.60568</v>
      </c>
      <c r="J4875">
        <v>-249.20480000000001</v>
      </c>
      <c r="K4875">
        <v>1.1095600000000001</v>
      </c>
      <c r="L4875">
        <v>-63.151119999999999</v>
      </c>
      <c r="M4875">
        <v>0.99933019999999995</v>
      </c>
      <c r="N4875">
        <v>0</v>
      </c>
      <c r="O4875">
        <v>-3.6242780000000002E-2</v>
      </c>
      <c r="P4875">
        <v>0.99745019999999995</v>
      </c>
      <c r="Q4875">
        <v>2.4128899999999998E-2</v>
      </c>
      <c r="R4875">
        <v>6.7164139999999997E-2</v>
      </c>
      <c r="S4875">
        <v>2.9762729999999999</v>
      </c>
      <c r="T4875">
        <v>-0.24249000000000001</v>
      </c>
      <c r="U4875">
        <v>0.55505369999999998</v>
      </c>
      <c r="V4875">
        <v>-0.103293699999999</v>
      </c>
      <c r="W4875">
        <v>2.9064679999999999E-2</v>
      </c>
      <c r="X4875">
        <v>0.99422619999999895</v>
      </c>
      <c r="Y4875">
        <v>-0.218025</v>
      </c>
      <c r="Z4875">
        <v>1.1716519999999999E-2</v>
      </c>
      <c r="AA4875">
        <v>0.97587289999999904</v>
      </c>
      <c r="AB4875">
        <v>32</v>
      </c>
      <c r="AC4875">
        <v>13.4573</v>
      </c>
      <c r="AD4875">
        <v>-1.1095615118869999</v>
      </c>
      <c r="AE4875">
        <v>2.5454399999999899</v>
      </c>
      <c r="AF4875">
        <v>-3.0117369992845999</v>
      </c>
      <c r="AG4875">
        <v>-1.1095615118869999</v>
      </c>
      <c r="AH4875">
        <v>13.2691147063441</v>
      </c>
      <c r="AI4875">
        <v>94.661911731961695</v>
      </c>
      <c r="AJ4875">
        <v>102.787960943977</v>
      </c>
      <c r="AK4875">
        <v>13.651779795749601</v>
      </c>
    </row>
    <row r="4876" spans="1:37" x14ac:dyDescent="0.2">
      <c r="A4876" t="str">
        <f>"20200111154158847"</f>
        <v>20200111154158847</v>
      </c>
      <c r="B4876" t="str">
        <f>"1578728518840786"</f>
        <v>1578728518840786</v>
      </c>
      <c r="C4876" t="s">
        <v>37</v>
      </c>
      <c r="D4876">
        <v>5.2414379999999996</v>
      </c>
      <c r="E4876">
        <v>0.45552529999999902</v>
      </c>
      <c r="F4876" t="s">
        <v>55</v>
      </c>
      <c r="G4876">
        <v>-235.5804</v>
      </c>
      <c r="H4876" s="1">
        <v>-1.441013E-6</v>
      </c>
      <c r="I4876">
        <v>-60.608800000000002</v>
      </c>
      <c r="J4876">
        <v>-249.03799999999899</v>
      </c>
      <c r="K4876">
        <v>1.1095820000000001</v>
      </c>
      <c r="L4876">
        <v>-63.156979999999997</v>
      </c>
      <c r="M4876">
        <v>0.99933919999999998</v>
      </c>
      <c r="N4876">
        <v>0</v>
      </c>
      <c r="O4876">
        <v>-3.599923E-2</v>
      </c>
      <c r="P4876">
        <v>0.9974288</v>
      </c>
      <c r="Q4876">
        <v>2.438005E-2</v>
      </c>
      <c r="R4876">
        <v>6.7392270000000004E-2</v>
      </c>
      <c r="S4876">
        <v>2.9761199999999999</v>
      </c>
      <c r="T4876">
        <v>-0.2423717</v>
      </c>
      <c r="U4876">
        <v>0.55532840000000006</v>
      </c>
      <c r="V4876">
        <v>-0.1032801</v>
      </c>
      <c r="W4876">
        <v>2.93111E-2</v>
      </c>
      <c r="X4876">
        <v>0.99422029999999995</v>
      </c>
      <c r="Y4876">
        <v>-0.2178852</v>
      </c>
      <c r="Z4876">
        <v>1.168603E-2</v>
      </c>
      <c r="AA4876">
        <v>0.97590449999999995</v>
      </c>
      <c r="AB4876">
        <v>32</v>
      </c>
      <c r="AC4876">
        <v>13.4575999999999</v>
      </c>
      <c r="AD4876">
        <v>-1.1095834410130001</v>
      </c>
      <c r="AE4876">
        <v>2.5481799999999999</v>
      </c>
      <c r="AF4876">
        <v>-3.0112355998431801</v>
      </c>
      <c r="AG4876">
        <v>-1.1095834410130001</v>
      </c>
      <c r="AH4876">
        <v>13.270054926788699</v>
      </c>
      <c r="AI4876">
        <v>94.661728560359293</v>
      </c>
      <c r="AJ4876">
        <v>102.785025823165</v>
      </c>
      <c r="AK4876">
        <v>13.652584847211999</v>
      </c>
    </row>
    <row r="4877" spans="1:37" x14ac:dyDescent="0.2">
      <c r="A4877" t="str">
        <f>"20200111154158858"</f>
        <v>20200111154158858</v>
      </c>
      <c r="B4877" t="str">
        <f>"1578728518850546"</f>
        <v>1578728518850546</v>
      </c>
      <c r="C4877" t="s">
        <v>37</v>
      </c>
      <c r="D4877">
        <v>5.2445079999999997</v>
      </c>
      <c r="E4877">
        <v>0.45560390000000001</v>
      </c>
      <c r="F4877" t="s">
        <v>55</v>
      </c>
      <c r="G4877">
        <v>-235.3168</v>
      </c>
      <c r="H4877" s="1">
        <v>-1.3241599999999999E-6</v>
      </c>
      <c r="I4877">
        <v>-60.594569999999997</v>
      </c>
      <c r="J4877">
        <v>-248.86529999999999</v>
      </c>
      <c r="K4877">
        <v>1.109605</v>
      </c>
      <c r="L4877">
        <v>-63.162990000000001</v>
      </c>
      <c r="M4877">
        <v>0.99934869999999898</v>
      </c>
      <c r="N4877">
        <v>0</v>
      </c>
      <c r="O4877">
        <v>-3.5730539999999998E-2</v>
      </c>
      <c r="P4877">
        <v>0.99741480000000005</v>
      </c>
      <c r="Q4877">
        <v>2.460385E-2</v>
      </c>
      <c r="R4877">
        <v>6.7516380000000001E-2</v>
      </c>
      <c r="S4877">
        <v>2.9760439999999999</v>
      </c>
      <c r="T4877">
        <v>-0.24066129999999999</v>
      </c>
      <c r="U4877">
        <v>0.55575559999999902</v>
      </c>
      <c r="V4877">
        <v>-0.1031382</v>
      </c>
      <c r="W4877">
        <v>2.9528929999999998E-2</v>
      </c>
      <c r="X4877">
        <v>0.99422860000000002</v>
      </c>
      <c r="Y4877">
        <v>-0.21777529999999901</v>
      </c>
      <c r="Z4877">
        <v>1.157803E-2</v>
      </c>
      <c r="AA4877">
        <v>0.97593030000000003</v>
      </c>
      <c r="AB4877">
        <v>33</v>
      </c>
      <c r="AC4877">
        <v>13.548499999999899</v>
      </c>
      <c r="AD4877">
        <v>-1.10960632416</v>
      </c>
      <c r="AE4877">
        <v>2.5684200000000001</v>
      </c>
      <c r="AF4877">
        <v>-3.0312547525930098</v>
      </c>
      <c r="AG4877">
        <v>-1.10960632416</v>
      </c>
      <c r="AH4877">
        <v>13.361563776615</v>
      </c>
      <c r="AI4877">
        <v>94.630091837642993</v>
      </c>
      <c r="AJ4877">
        <v>102.781983518331</v>
      </c>
      <c r="AK4877">
        <v>13.7459491533427</v>
      </c>
    </row>
    <row r="4878" spans="1:37" x14ac:dyDescent="0.2">
      <c r="A4878" t="str">
        <f>"20200111154158870"</f>
        <v>20200111154158870</v>
      </c>
      <c r="B4878" t="str">
        <f>"1578728518861284"</f>
        <v>1578728518861284</v>
      </c>
      <c r="C4878" t="s">
        <v>37</v>
      </c>
      <c r="D4878">
        <v>5.2293629999999904</v>
      </c>
      <c r="E4878">
        <v>0.4556444</v>
      </c>
      <c r="F4878" t="s">
        <v>55</v>
      </c>
      <c r="G4878">
        <v>-235.1302</v>
      </c>
      <c r="H4878" s="1">
        <v>-1.24534E-6</v>
      </c>
      <c r="I4878">
        <v>-60.59919</v>
      </c>
      <c r="J4878">
        <v>-248.70439999999999</v>
      </c>
      <c r="K4878">
        <v>1.1096269999999999</v>
      </c>
      <c r="L4878">
        <v>-63.168550000000003</v>
      </c>
      <c r="M4878">
        <v>0.99935810000000003</v>
      </c>
      <c r="N4878">
        <v>0</v>
      </c>
      <c r="O4878">
        <v>-3.5468300000000001E-2</v>
      </c>
      <c r="P4878">
        <v>0.99740620000000002</v>
      </c>
      <c r="Q4878">
        <v>2.4743359999999999E-2</v>
      </c>
      <c r="R4878">
        <v>6.7592440000000004E-2</v>
      </c>
      <c r="S4878">
        <v>2.976105</v>
      </c>
      <c r="T4878">
        <v>-0.240429</v>
      </c>
      <c r="U4878">
        <v>0.55551149999999905</v>
      </c>
      <c r="V4878">
        <v>-0.1029543</v>
      </c>
      <c r="W4878">
        <v>2.9664280000000001E-2</v>
      </c>
      <c r="X4878">
        <v>0.99424369999999995</v>
      </c>
      <c r="Y4878">
        <v>-0.21744169999999999</v>
      </c>
      <c r="Z4878">
        <v>1.153241E-2</v>
      </c>
      <c r="AA4878">
        <v>0.97600520000000002</v>
      </c>
      <c r="AB4878">
        <v>33</v>
      </c>
      <c r="AC4878">
        <v>13.5741999999999</v>
      </c>
      <c r="AD4878">
        <v>-1.1096282453399999</v>
      </c>
      <c r="AE4878">
        <v>2.5693600000000001</v>
      </c>
      <c r="AF4878">
        <v>-3.0296583716638201</v>
      </c>
      <c r="AG4878">
        <v>-1.1096282453399999</v>
      </c>
      <c r="AH4878">
        <v>13.388157569179899</v>
      </c>
      <c r="AI4878">
        <v>94.621590652976906</v>
      </c>
      <c r="AJ4878">
        <v>102.75092660239299</v>
      </c>
      <c r="AK4878">
        <v>13.771451186749999</v>
      </c>
    </row>
    <row r="4879" spans="1:37" x14ac:dyDescent="0.2">
      <c r="A4879" t="str">
        <f>"20200111154158879"</f>
        <v>20200111154158879</v>
      </c>
      <c r="B4879" t="str">
        <f>"1578728518871043"</f>
        <v>1578728518871043</v>
      </c>
      <c r="C4879" t="s">
        <v>37</v>
      </c>
      <c r="D4879">
        <v>5.3941109999999997</v>
      </c>
      <c r="E4879">
        <v>0.45572429999999903</v>
      </c>
      <c r="F4879" t="s">
        <v>55</v>
      </c>
      <c r="G4879">
        <v>-234.93950000000001</v>
      </c>
      <c r="H4879" s="1">
        <v>-1.1635299999999999E-6</v>
      </c>
      <c r="I4879">
        <v>-60.599169999999901</v>
      </c>
      <c r="J4879">
        <v>-248.54159999999999</v>
      </c>
      <c r="K4879">
        <v>1.1096469999999901</v>
      </c>
      <c r="L4879">
        <v>-63.174100000000003</v>
      </c>
      <c r="M4879">
        <v>0.99936780000000003</v>
      </c>
      <c r="N4879">
        <v>0</v>
      </c>
      <c r="O4879">
        <v>-3.5194969999999999E-2</v>
      </c>
      <c r="P4879">
        <v>0.99739279999999997</v>
      </c>
      <c r="Q4879">
        <v>2.4911249999999999E-2</v>
      </c>
      <c r="R4879">
        <v>6.7727739999999995E-2</v>
      </c>
      <c r="S4879">
        <v>2.976105</v>
      </c>
      <c r="T4879">
        <v>-0.2399126</v>
      </c>
      <c r="U4879">
        <v>0.55551149999999905</v>
      </c>
      <c r="V4879">
        <v>-0.102818699999999</v>
      </c>
      <c r="W4879">
        <v>2.9828239999999999E-2</v>
      </c>
      <c r="X4879">
        <v>0.99425280000000005</v>
      </c>
      <c r="Y4879">
        <v>-0.21717990000000001</v>
      </c>
      <c r="Z4879">
        <v>1.147544E-2</v>
      </c>
      <c r="AA4879">
        <v>0.97606409999999999</v>
      </c>
      <c r="AB4879">
        <v>33</v>
      </c>
      <c r="AC4879">
        <v>13.602099999999901</v>
      </c>
      <c r="AD4879">
        <v>-1.10964816352999</v>
      </c>
      <c r="AE4879">
        <v>2.5749300000000002</v>
      </c>
      <c r="AF4879">
        <v>-3.0325821652641798</v>
      </c>
      <c r="AG4879">
        <v>-1.10964816352999</v>
      </c>
      <c r="AH4879">
        <v>13.416844931518201</v>
      </c>
      <c r="AI4879">
        <v>94.612096792749597</v>
      </c>
      <c r="AJ4879">
        <v>102.73643118803599</v>
      </c>
      <c r="AK4879">
        <v>13.799985563481901</v>
      </c>
    </row>
    <row r="4880" spans="1:37" x14ac:dyDescent="0.2">
      <c r="A4880" t="str">
        <f>"20200111154158891"</f>
        <v>20200111154158891</v>
      </c>
      <c r="B4880" t="str">
        <f>"1578728518880804"</f>
        <v>1578728518880804</v>
      </c>
      <c r="C4880" t="s">
        <v>37</v>
      </c>
      <c r="D4880">
        <v>5.1983709999999999</v>
      </c>
      <c r="E4880">
        <v>0.45584019999999997</v>
      </c>
      <c r="F4880" t="s">
        <v>55</v>
      </c>
      <c r="G4880">
        <v>-234.72110000000001</v>
      </c>
      <c r="H4880" s="1">
        <v>-1.0688469999999899E-6</v>
      </c>
      <c r="I4880">
        <v>-60.595489999999998</v>
      </c>
      <c r="J4880">
        <v>-248.38419999999999</v>
      </c>
      <c r="K4880">
        <v>1.1096619999999999</v>
      </c>
      <c r="L4880">
        <v>-63.179409999999997</v>
      </c>
      <c r="M4880">
        <v>0.99937749999999903</v>
      </c>
      <c r="N4880">
        <v>0</v>
      </c>
      <c r="O4880">
        <v>-3.4918560000000001E-2</v>
      </c>
      <c r="P4880">
        <v>0.99736689999999995</v>
      </c>
      <c r="Q4880">
        <v>2.5088840000000001E-2</v>
      </c>
      <c r="R4880">
        <v>6.8045510000000003E-2</v>
      </c>
      <c r="S4880">
        <v>2.9761199999999999</v>
      </c>
      <c r="T4880">
        <v>-0.23895269999999999</v>
      </c>
      <c r="U4880">
        <v>0.55526730000000002</v>
      </c>
      <c r="V4880">
        <v>-0.1028622</v>
      </c>
      <c r="W4880">
        <v>3.0002689999999999E-2</v>
      </c>
      <c r="X4880">
        <v>0.99424299999999999</v>
      </c>
      <c r="Y4880">
        <v>-0.2168399</v>
      </c>
      <c r="Z4880">
        <v>1.139419E-2</v>
      </c>
      <c r="AA4880">
        <v>0.97614069999999997</v>
      </c>
      <c r="AB4880">
        <v>33</v>
      </c>
      <c r="AC4880">
        <v>13.663099999999901</v>
      </c>
      <c r="AD4880">
        <v>-1.1096630688469999</v>
      </c>
      <c r="AE4880">
        <v>2.5839199999999898</v>
      </c>
      <c r="AF4880">
        <v>-3.0400858661564101</v>
      </c>
      <c r="AG4880">
        <v>-1.1096630688469999</v>
      </c>
      <c r="AH4880">
        <v>13.4787033679688</v>
      </c>
      <c r="AI4880">
        <v>94.591554419025499</v>
      </c>
      <c r="AJ4880">
        <v>102.710229856336</v>
      </c>
      <c r="AK4880">
        <v>13.861779059040799</v>
      </c>
    </row>
    <row r="4881" spans="1:37" x14ac:dyDescent="0.2">
      <c r="A4881" t="str">
        <f>"20200111154158903"</f>
        <v>20200111154158903</v>
      </c>
      <c r="B4881" t="str">
        <f>"1578728518890563"</f>
        <v>1578728518890563</v>
      </c>
      <c r="C4881" t="s">
        <v>37</v>
      </c>
      <c r="D4881">
        <v>5.197533</v>
      </c>
      <c r="E4881">
        <v>0.45588220000000002</v>
      </c>
      <c r="F4881" t="s">
        <v>55</v>
      </c>
      <c r="G4881">
        <v>-234.52940000000001</v>
      </c>
      <c r="H4881" s="1">
        <v>-9.8642269999999996E-7</v>
      </c>
      <c r="I4881">
        <v>-60.594769999999997</v>
      </c>
      <c r="J4881">
        <v>-248.2148</v>
      </c>
      <c r="K4881">
        <v>1.10968</v>
      </c>
      <c r="L4881">
        <v>-63.185090000000002</v>
      </c>
      <c r="M4881">
        <v>0.9993879</v>
      </c>
      <c r="N4881">
        <v>0</v>
      </c>
      <c r="O4881">
        <v>-3.4617710000000003E-2</v>
      </c>
      <c r="P4881">
        <v>0.99735409999999902</v>
      </c>
      <c r="Q4881">
        <v>2.5115040000000002E-2</v>
      </c>
      <c r="R4881">
        <v>6.8220240000000001E-2</v>
      </c>
      <c r="S4881">
        <v>2.9760439999999999</v>
      </c>
      <c r="T4881">
        <v>-0.23835899999999999</v>
      </c>
      <c r="U4881">
        <v>0.5551758</v>
      </c>
      <c r="V4881">
        <v>-0.10273839999999999</v>
      </c>
      <c r="W4881">
        <v>3.002604E-2</v>
      </c>
      <c r="X4881">
        <v>0.99425509999999995</v>
      </c>
      <c r="Y4881">
        <v>-0.21652729999999901</v>
      </c>
      <c r="Z4881">
        <v>1.133001E-2</v>
      </c>
      <c r="AA4881">
        <v>0.97621080000000005</v>
      </c>
      <c r="AB4881">
        <v>33</v>
      </c>
      <c r="AC4881">
        <v>13.6853999999999</v>
      </c>
      <c r="AD4881">
        <v>-1.1096809864227</v>
      </c>
      <c r="AE4881">
        <v>2.5903200000000002</v>
      </c>
      <c r="AF4881">
        <v>-3.0432141820044301</v>
      </c>
      <c r="AG4881">
        <v>-1.1096809864227</v>
      </c>
      <c r="AH4881">
        <v>13.5018238021794</v>
      </c>
      <c r="AI4881">
        <v>94.583950439034496</v>
      </c>
      <c r="AJ4881">
        <v>102.70180426887801</v>
      </c>
      <c r="AK4881">
        <v>13.8849483410734</v>
      </c>
    </row>
    <row r="4882" spans="1:37" x14ac:dyDescent="0.2">
      <c r="A4882" t="str">
        <f>"20200111154158913"</f>
        <v>20200111154158913</v>
      </c>
      <c r="B4882" t="str">
        <f>"1578728518911059"</f>
        <v>1578728518911059</v>
      </c>
      <c r="C4882" t="s">
        <v>37</v>
      </c>
      <c r="D4882">
        <v>5.2397019999999896</v>
      </c>
      <c r="E4882">
        <v>0.45599399999999901</v>
      </c>
      <c r="F4882" t="s">
        <v>55</v>
      </c>
      <c r="G4882">
        <v>-234.3518</v>
      </c>
      <c r="H4882" s="1">
        <v>-9.1113409999999998E-7</v>
      </c>
      <c r="I4882">
        <v>-60.598140000000001</v>
      </c>
      <c r="J4882">
        <v>-248.04939999999999</v>
      </c>
      <c r="K4882">
        <v>1.109694</v>
      </c>
      <c r="L4882">
        <v>-63.190550000000002</v>
      </c>
      <c r="M4882">
        <v>0.99939849999999997</v>
      </c>
      <c r="N4882">
        <v>0</v>
      </c>
      <c r="O4882">
        <v>-3.431331E-2</v>
      </c>
      <c r="P4882">
        <v>0.99732430000000005</v>
      </c>
      <c r="Q4882">
        <v>2.5195579999999999E-2</v>
      </c>
      <c r="R4882">
        <v>6.8624959999999999E-2</v>
      </c>
      <c r="S4882">
        <v>2.9759669999999998</v>
      </c>
      <c r="T4882">
        <v>-0.23821619999999999</v>
      </c>
      <c r="U4882">
        <v>0.55532840000000006</v>
      </c>
      <c r="V4882">
        <v>-0.102839599999999</v>
      </c>
      <c r="W4882">
        <v>3.0104680000000002E-2</v>
      </c>
      <c r="X4882">
        <v>0.99424230000000002</v>
      </c>
      <c r="Y4882">
        <v>-0.21628549999999999</v>
      </c>
      <c r="Z4882">
        <v>1.1289749999999999E-2</v>
      </c>
      <c r="AA4882">
        <v>0.97626489999999999</v>
      </c>
      <c r="AB4882">
        <v>33</v>
      </c>
      <c r="AC4882">
        <v>13.6975999999999</v>
      </c>
      <c r="AD4882">
        <v>-1.1096949111340999</v>
      </c>
      <c r="AE4882">
        <v>2.5924100000000001</v>
      </c>
      <c r="AF4882">
        <v>-3.04162669093117</v>
      </c>
      <c r="AG4882">
        <v>-1.1096949111340999</v>
      </c>
      <c r="AH4882">
        <v>13.514943897581499</v>
      </c>
      <c r="AI4882">
        <v>94.579905273507407</v>
      </c>
      <c r="AJ4882">
        <v>102.683467582896</v>
      </c>
      <c r="AK4882">
        <v>13.897360334882199</v>
      </c>
    </row>
    <row r="4883" spans="1:37" x14ac:dyDescent="0.2">
      <c r="A4883" t="str">
        <f>"20200111154158925"</f>
        <v>20200111154158925</v>
      </c>
      <c r="B4883" t="str">
        <f>"1578728518920820"</f>
        <v>1578728518920820</v>
      </c>
      <c r="C4883" t="s">
        <v>37</v>
      </c>
      <c r="D4883">
        <v>5.1741809999999999</v>
      </c>
      <c r="E4883">
        <v>0.45603050000000001</v>
      </c>
      <c r="F4883" t="s">
        <v>55</v>
      </c>
      <c r="G4883">
        <v>-234.1276</v>
      </c>
      <c r="H4883" s="1">
        <v>-8.1326139999999996E-7</v>
      </c>
      <c r="I4883">
        <v>-60.591790000000003</v>
      </c>
      <c r="J4883">
        <v>-247.8921</v>
      </c>
      <c r="K4883">
        <v>1.109707</v>
      </c>
      <c r="L4883">
        <v>-63.195740000000001</v>
      </c>
      <c r="M4883">
        <v>0.99940830000000003</v>
      </c>
      <c r="N4883">
        <v>0</v>
      </c>
      <c r="O4883">
        <v>-3.4022139999999999E-2</v>
      </c>
      <c r="P4883">
        <v>0.99727479999999902</v>
      </c>
      <c r="Q4883">
        <v>2.5382620000000002E-2</v>
      </c>
      <c r="R4883">
        <v>6.9274000000000002E-2</v>
      </c>
      <c r="S4883">
        <v>2.97582999999999</v>
      </c>
      <c r="T4883">
        <v>-0.23720050000000001</v>
      </c>
      <c r="U4883">
        <v>0.555481</v>
      </c>
      <c r="V4883">
        <v>-0.1031979</v>
      </c>
      <c r="W4883">
        <v>3.0289610000000002E-2</v>
      </c>
      <c r="X4883">
        <v>0.99419950000000001</v>
      </c>
      <c r="Y4883">
        <v>-0.2160657</v>
      </c>
      <c r="Z4883">
        <v>1.121054E-2</v>
      </c>
      <c r="AA4883">
        <v>0.97631449999999997</v>
      </c>
      <c r="AB4883">
        <v>33</v>
      </c>
      <c r="AC4883">
        <v>13.7644999999999</v>
      </c>
      <c r="AD4883">
        <v>-1.10970781326139</v>
      </c>
      <c r="AE4883">
        <v>2.60394999999999</v>
      </c>
      <c r="AF4883">
        <v>-3.0515969279747401</v>
      </c>
      <c r="AG4883">
        <v>-1.10970781326139</v>
      </c>
      <c r="AH4883">
        <v>13.582704421927399</v>
      </c>
      <c r="AI4883">
        <v>94.557584149283997</v>
      </c>
      <c r="AJ4883">
        <v>102.66226813308501</v>
      </c>
      <c r="AK4883">
        <v>13.965441441468499</v>
      </c>
    </row>
    <row r="4884" spans="1:37" x14ac:dyDescent="0.2">
      <c r="A4884" t="str">
        <f>"20200111154158935"</f>
        <v>20200111154158935</v>
      </c>
      <c r="B4884" t="str">
        <f>"1578728518930579"</f>
        <v>1578728518930579</v>
      </c>
      <c r="C4884" t="s">
        <v>37</v>
      </c>
      <c r="D4884">
        <v>5.1534309999999897</v>
      </c>
      <c r="E4884">
        <v>0.45605800000000002</v>
      </c>
      <c r="F4884" t="s">
        <v>55</v>
      </c>
      <c r="G4884">
        <v>-233.92</v>
      </c>
      <c r="H4884" s="1">
        <v>-7.2100410000000001E-7</v>
      </c>
      <c r="I4884">
        <v>-60.579729999999998</v>
      </c>
      <c r="J4884">
        <v>-247.7296</v>
      </c>
      <c r="K4884">
        <v>1.10972</v>
      </c>
      <c r="L4884">
        <v>-63.2010199999999</v>
      </c>
      <c r="M4884">
        <v>0.99941880000000005</v>
      </c>
      <c r="N4884">
        <v>0</v>
      </c>
      <c r="O4884">
        <v>-3.3715729999999999E-2</v>
      </c>
      <c r="P4884">
        <v>0.99723439999999997</v>
      </c>
      <c r="Q4884">
        <v>2.565833E-2</v>
      </c>
      <c r="R4884">
        <v>6.9753190000000007E-2</v>
      </c>
      <c r="S4884">
        <v>2.9755250000000002</v>
      </c>
      <c r="T4884">
        <v>-0.23632590000000001</v>
      </c>
      <c r="U4884">
        <v>0.55709839999999999</v>
      </c>
      <c r="V4884">
        <v>-0.10337200000000001</v>
      </c>
      <c r="W4884">
        <v>3.056414E-2</v>
      </c>
      <c r="X4884">
        <v>0.99417299999999997</v>
      </c>
      <c r="Y4884">
        <v>-0.2163031</v>
      </c>
      <c r="Z4884">
        <v>1.1155129999999999E-2</v>
      </c>
      <c r="AA4884">
        <v>0.97626259999999998</v>
      </c>
      <c r="AB4884">
        <v>33</v>
      </c>
      <c r="AC4884">
        <v>13.8096</v>
      </c>
      <c r="AD4884">
        <v>-1.1097207210041</v>
      </c>
      <c r="AE4884">
        <v>2.6212899999999801</v>
      </c>
      <c r="AF4884">
        <v>-3.0662942811482701</v>
      </c>
      <c r="AG4884">
        <v>-1.1097207210041</v>
      </c>
      <c r="AH4884">
        <v>13.628423605524601</v>
      </c>
      <c r="AI4884">
        <v>94.542097195992497</v>
      </c>
      <c r="AJ4884">
        <v>102.679979213243</v>
      </c>
      <c r="AK4884">
        <v>14.013121374941701</v>
      </c>
    </row>
    <row r="4885" spans="1:37" x14ac:dyDescent="0.2">
      <c r="A4885" t="str">
        <f>"20200111154158948"</f>
        <v>20200111154158948</v>
      </c>
      <c r="B4885" t="str">
        <f>"1578728518941314"</f>
        <v>1578728518941314</v>
      </c>
      <c r="C4885" t="s">
        <v>37</v>
      </c>
      <c r="D4885">
        <v>5.1481639999999897</v>
      </c>
      <c r="E4885">
        <v>0.45608209999999999</v>
      </c>
      <c r="F4885" t="s">
        <v>55</v>
      </c>
      <c r="G4885">
        <v>-233.69799999999901</v>
      </c>
      <c r="H4885" s="1">
        <v>-6.2274639999999995E-7</v>
      </c>
      <c r="I4885">
        <v>-60.568379999999998</v>
      </c>
      <c r="J4885">
        <v>-247.55599999999899</v>
      </c>
      <c r="K4885">
        <v>1.1097319999999999</v>
      </c>
      <c r="L4885">
        <v>-63.2065699999999</v>
      </c>
      <c r="M4885">
        <v>0.99942980000000003</v>
      </c>
      <c r="N4885">
        <v>0</v>
      </c>
      <c r="O4885">
        <v>-3.3386550000000001E-2</v>
      </c>
      <c r="P4885">
        <v>0.99718249999999997</v>
      </c>
      <c r="Q4885">
        <v>2.5913510000000001E-2</v>
      </c>
      <c r="R4885">
        <v>7.0399130000000004E-2</v>
      </c>
      <c r="S4885">
        <v>2.9753270000000001</v>
      </c>
      <c r="T4885">
        <v>-0.23531189999999999</v>
      </c>
      <c r="U4885">
        <v>0.55822749999999999</v>
      </c>
      <c r="V4885">
        <v>-0.1036898</v>
      </c>
      <c r="W4885">
        <v>3.0818180000000001E-2</v>
      </c>
      <c r="X4885">
        <v>0.99413209999999996</v>
      </c>
      <c r="Y4885">
        <v>-0.21635850000000001</v>
      </c>
      <c r="Z4885">
        <v>1.1084129999999999E-2</v>
      </c>
      <c r="AA4885">
        <v>0.97625110000000004</v>
      </c>
      <c r="AB4885">
        <v>33</v>
      </c>
      <c r="AC4885">
        <v>13.858000000000001</v>
      </c>
      <c r="AD4885">
        <v>-1.1097326227463999</v>
      </c>
      <c r="AE4885">
        <v>2.6381899999999798</v>
      </c>
      <c r="AF4885">
        <v>-3.0803337324260598</v>
      </c>
      <c r="AG4885">
        <v>-1.1097326227463999</v>
      </c>
      <c r="AH4885">
        <v>13.677551584458</v>
      </c>
      <c r="AI4885">
        <v>94.525688008887101</v>
      </c>
      <c r="AJ4885">
        <v>102.691884513479</v>
      </c>
      <c r="AK4885">
        <v>14.063974535764</v>
      </c>
    </row>
    <row r="4886" spans="1:37" x14ac:dyDescent="0.2">
      <c r="A4886" t="str">
        <f>"20200111154158957"</f>
        <v>20200111154158957</v>
      </c>
      <c r="B4886" t="str">
        <f>"1578728518951074"</f>
        <v>1578728518951074</v>
      </c>
      <c r="C4886" t="s">
        <v>37</v>
      </c>
      <c r="D4886">
        <v>5.3264719999999999</v>
      </c>
      <c r="E4886">
        <v>0.45608270000000001</v>
      </c>
      <c r="F4886" t="s">
        <v>55</v>
      </c>
      <c r="G4886">
        <v>-233.4675</v>
      </c>
      <c r="H4886" s="1">
        <v>-5.201596E-7</v>
      </c>
      <c r="I4886">
        <v>-60.554600000000001</v>
      </c>
      <c r="J4886">
        <v>-247.3938</v>
      </c>
      <c r="K4886">
        <v>1.1097410000000001</v>
      </c>
      <c r="L4886">
        <v>-63.211790000000001</v>
      </c>
      <c r="M4886">
        <v>0.99944009999999905</v>
      </c>
      <c r="N4886">
        <v>0</v>
      </c>
      <c r="O4886">
        <v>-3.3076700000000001E-2</v>
      </c>
      <c r="P4886">
        <v>0.99714879999999995</v>
      </c>
      <c r="Q4886">
        <v>2.635001E-2</v>
      </c>
      <c r="R4886">
        <v>7.0711949999999996E-2</v>
      </c>
      <c r="S4886">
        <v>2.9750369999999999</v>
      </c>
      <c r="T4886">
        <v>-0.23433950000000001</v>
      </c>
      <c r="U4886">
        <v>0.55999759999999998</v>
      </c>
      <c r="V4886">
        <v>-0.1036945</v>
      </c>
      <c r="W4886">
        <v>3.1254749999999998E-2</v>
      </c>
      <c r="X4886">
        <v>0.99411799999999995</v>
      </c>
      <c r="Y4886">
        <v>-0.21664040000000001</v>
      </c>
      <c r="Z4886">
        <v>1.1025729999999999E-2</v>
      </c>
      <c r="AA4886">
        <v>0.97618919999999998</v>
      </c>
      <c r="AB4886">
        <v>33</v>
      </c>
      <c r="AC4886">
        <v>13.9262999999999</v>
      </c>
      <c r="AD4886">
        <v>-1.1097415201595999</v>
      </c>
      <c r="AE4886">
        <v>2.6571899999999999</v>
      </c>
      <c r="AF4886">
        <v>-3.0974003682582301</v>
      </c>
      <c r="AG4886">
        <v>-1.1097415201595999</v>
      </c>
      <c r="AH4886">
        <v>13.746563269967799</v>
      </c>
      <c r="AI4886">
        <v>94.502990774019295</v>
      </c>
      <c r="AJ4886">
        <v>102.69793158232299</v>
      </c>
      <c r="AK4886">
        <v>14.134829925332699</v>
      </c>
    </row>
    <row r="4887" spans="1:37" x14ac:dyDescent="0.2">
      <c r="A4887" t="str">
        <f>"20200111154158969"</f>
        <v>20200111154158969</v>
      </c>
      <c r="B4887" t="str">
        <f>"1578728518960835"</f>
        <v>1578728518960835</v>
      </c>
      <c r="C4887" t="s">
        <v>37</v>
      </c>
      <c r="D4887">
        <v>5.3217369999999997</v>
      </c>
      <c r="E4887">
        <v>0.45610909999999899</v>
      </c>
      <c r="F4887" t="s">
        <v>55</v>
      </c>
      <c r="G4887">
        <v>-233.17930000000001</v>
      </c>
      <c r="H4887" s="1">
        <v>-3.9018859999999998E-7</v>
      </c>
      <c r="I4887">
        <v>-60.530769999999997</v>
      </c>
      <c r="J4887">
        <v>-247.2319</v>
      </c>
      <c r="K4887">
        <v>1.109745</v>
      </c>
      <c r="L4887">
        <v>-63.216889999999999</v>
      </c>
      <c r="M4887">
        <v>0.99945030000000001</v>
      </c>
      <c r="N4887">
        <v>0</v>
      </c>
      <c r="O4887">
        <v>-3.2766610000000002E-2</v>
      </c>
      <c r="P4887">
        <v>0.99709930000000002</v>
      </c>
      <c r="Q4887">
        <v>2.7088629999999999E-2</v>
      </c>
      <c r="R4887">
        <v>7.1130260000000001E-2</v>
      </c>
      <c r="S4887">
        <v>2.974945</v>
      </c>
      <c r="T4887">
        <v>-0.23225660000000001</v>
      </c>
      <c r="U4887">
        <v>0.56109619999999905</v>
      </c>
      <c r="V4887">
        <v>-0.10380350000000001</v>
      </c>
      <c r="W4887">
        <v>3.1993479999999998E-2</v>
      </c>
      <c r="X4887">
        <v>0.9940831</v>
      </c>
      <c r="Y4887">
        <v>-0.21670519999999999</v>
      </c>
      <c r="Z4887">
        <v>1.09065E-2</v>
      </c>
      <c r="AA4887">
        <v>0.97617609999999999</v>
      </c>
      <c r="AB4887">
        <v>33</v>
      </c>
      <c r="AC4887">
        <v>14.052599999999901</v>
      </c>
      <c r="AD4887">
        <v>-1.1097453901886001</v>
      </c>
      <c r="AE4887">
        <v>2.6861199999999998</v>
      </c>
      <c r="AF4887">
        <v>-3.1263297658134901</v>
      </c>
      <c r="AG4887">
        <v>-1.1097453901886001</v>
      </c>
      <c r="AH4887">
        <v>13.873566656521801</v>
      </c>
      <c r="AI4887">
        <v>94.461930090452199</v>
      </c>
      <c r="AJ4887">
        <v>102.699160843912</v>
      </c>
      <c r="AK4887">
        <v>14.264688023528899</v>
      </c>
    </row>
    <row r="4888" spans="1:37" x14ac:dyDescent="0.2">
      <c r="A4888" t="str">
        <f>"20200111154158980"</f>
        <v>20200111154158980</v>
      </c>
      <c r="B4888" t="str">
        <f>"1578728518970596"</f>
        <v>1578728518970596</v>
      </c>
      <c r="C4888" t="s">
        <v>37</v>
      </c>
      <c r="D4888">
        <v>5.1496639999999996</v>
      </c>
      <c r="E4888">
        <v>0.45616179999999901</v>
      </c>
      <c r="F4888" t="s">
        <v>55</v>
      </c>
      <c r="G4888">
        <v>-232.88800000000001</v>
      </c>
      <c r="H4888" s="1">
        <v>-2.5849339999999998E-7</v>
      </c>
      <c r="I4888">
        <v>-60.505490000000002</v>
      </c>
      <c r="J4888">
        <v>-247.06829999999999</v>
      </c>
      <c r="K4888">
        <v>1.109753</v>
      </c>
      <c r="L4888">
        <v>-63.222019999999901</v>
      </c>
      <c r="M4888">
        <v>0.99946039999999903</v>
      </c>
      <c r="N4888">
        <v>0</v>
      </c>
      <c r="O4888">
        <v>-3.2452229999999999E-2</v>
      </c>
      <c r="P4888">
        <v>0.99707380000000001</v>
      </c>
      <c r="Q4888">
        <v>2.744713E-2</v>
      </c>
      <c r="R4888">
        <v>7.134762E-2</v>
      </c>
      <c r="S4888">
        <v>2.9748540000000001</v>
      </c>
      <c r="T4888">
        <v>-0.2301551</v>
      </c>
      <c r="U4888">
        <v>0.56231690000000001</v>
      </c>
      <c r="V4888">
        <v>-0.10370839999999901</v>
      </c>
      <c r="W4888">
        <v>3.2352819999999997E-2</v>
      </c>
      <c r="X4888">
        <v>0.9940814</v>
      </c>
      <c r="Y4888">
        <v>-0.2168042</v>
      </c>
      <c r="Z4888">
        <v>1.0787720000000001E-2</v>
      </c>
      <c r="AA4888">
        <v>0.97615549999999995</v>
      </c>
      <c r="AB4888">
        <v>33</v>
      </c>
      <c r="AC4888">
        <v>14.1802999999999</v>
      </c>
      <c r="AD4888">
        <v>-1.1097532584934</v>
      </c>
      <c r="AE4888">
        <v>2.7165299999999899</v>
      </c>
      <c r="AF4888">
        <v>-3.15663848246357</v>
      </c>
      <c r="AG4888">
        <v>-1.1097532584934</v>
      </c>
      <c r="AH4888">
        <v>14.0019509005398</v>
      </c>
      <c r="AI4888">
        <v>94.421119752253006</v>
      </c>
      <c r="AJ4888">
        <v>102.704527196041</v>
      </c>
      <c r="AK4888">
        <v>14.3961990756183</v>
      </c>
    </row>
    <row r="4889" spans="1:37" x14ac:dyDescent="0.2">
      <c r="A4889" t="str">
        <f>"20200111154158992"</f>
        <v>20200111154158992</v>
      </c>
      <c r="B4889" t="str">
        <f>"1578728518981330"</f>
        <v>1578728518981330</v>
      </c>
      <c r="C4889" t="s">
        <v>37</v>
      </c>
      <c r="D4889">
        <v>5.1348399999999996</v>
      </c>
      <c r="E4889">
        <v>0.45604859999999903</v>
      </c>
      <c r="F4889" t="s">
        <v>55</v>
      </c>
      <c r="G4889">
        <v>-232.64859999999999</v>
      </c>
      <c r="H4889" s="1">
        <v>-1.5285069999999999E-7</v>
      </c>
      <c r="I4889">
        <v>-60.49436</v>
      </c>
      <c r="J4889">
        <v>-246.90360000000001</v>
      </c>
      <c r="K4889">
        <v>1.109761</v>
      </c>
      <c r="L4889">
        <v>-63.227080000000001</v>
      </c>
      <c r="M4889">
        <v>0.99947079999999999</v>
      </c>
      <c r="N4889">
        <v>0</v>
      </c>
      <c r="O4889">
        <v>-3.21363E-2</v>
      </c>
      <c r="P4889">
        <v>0.99705679999999997</v>
      </c>
      <c r="Q4889">
        <v>2.7750779999999999E-2</v>
      </c>
      <c r="R4889">
        <v>7.1468320000000002E-2</v>
      </c>
      <c r="S4889">
        <v>2.9748380000000001</v>
      </c>
      <c r="T4889">
        <v>-0.2289467</v>
      </c>
      <c r="U4889">
        <v>0.56271359999999904</v>
      </c>
      <c r="V4889">
        <v>-0.1035145</v>
      </c>
      <c r="W4889">
        <v>3.265784E-2</v>
      </c>
      <c r="X4889">
        <v>0.99409159999999996</v>
      </c>
      <c r="Y4889">
        <v>-0.2166312</v>
      </c>
      <c r="Z4889">
        <v>1.070048E-2</v>
      </c>
      <c r="AA4889">
        <v>0.97619489999999998</v>
      </c>
      <c r="AB4889">
        <v>33</v>
      </c>
      <c r="AC4889">
        <v>14.255000000000001</v>
      </c>
      <c r="AD4889">
        <v>-1.1097611528507001</v>
      </c>
      <c r="AE4889">
        <v>2.73272</v>
      </c>
      <c r="AF4889">
        <v>-3.17088065415505</v>
      </c>
      <c r="AG4889">
        <v>-1.1097611528507001</v>
      </c>
      <c r="AH4889">
        <v>14.0775207893599</v>
      </c>
      <c r="AI4889">
        <v>94.397697606714601</v>
      </c>
      <c r="AJ4889">
        <v>102.69370311891799</v>
      </c>
      <c r="AK4889">
        <v>14.4728243793025</v>
      </c>
    </row>
    <row r="4890" spans="1:37" x14ac:dyDescent="0.2">
      <c r="A4890" t="str">
        <f>"20200111154159001"</f>
        <v>20200111154159001</v>
      </c>
      <c r="B4890" t="str">
        <f>"1578728518991091"</f>
        <v>1578728518991091</v>
      </c>
      <c r="C4890" t="s">
        <v>37</v>
      </c>
      <c r="D4890">
        <v>5.4071579999999999</v>
      </c>
      <c r="E4890">
        <v>0.45618049999999999</v>
      </c>
      <c r="F4890" t="s">
        <v>55</v>
      </c>
      <c r="G4890">
        <v>-232.40969999999999</v>
      </c>
      <c r="H4890" s="1">
        <v>-4.6192209999999902E-8</v>
      </c>
      <c r="I4890">
        <v>-60.478630000000003</v>
      </c>
      <c r="J4890">
        <v>-246.73859999999999</v>
      </c>
      <c r="K4890">
        <v>1.1097669999999999</v>
      </c>
      <c r="L4890">
        <v>-63.232149999999997</v>
      </c>
      <c r="M4890">
        <v>0.99948090000000001</v>
      </c>
      <c r="N4890">
        <v>0</v>
      </c>
      <c r="O4890">
        <v>-3.1819430000000003E-2</v>
      </c>
      <c r="P4890">
        <v>0.99704470000000001</v>
      </c>
      <c r="Q4890">
        <v>2.7865350000000001E-2</v>
      </c>
      <c r="R4890">
        <v>7.1594539999999998E-2</v>
      </c>
      <c r="S4890">
        <v>2.9747619999999899</v>
      </c>
      <c r="T4890">
        <v>-0.22777020000000001</v>
      </c>
      <c r="U4890">
        <v>0.56408689999999995</v>
      </c>
      <c r="V4890">
        <v>-0.1033259</v>
      </c>
      <c r="W4890">
        <v>3.2774129999999999E-2</v>
      </c>
      <c r="X4890">
        <v>0.99410739999999997</v>
      </c>
      <c r="Y4890">
        <v>-0.2167692</v>
      </c>
      <c r="Z4890">
        <v>1.062666E-2</v>
      </c>
      <c r="AA4890">
        <v>0.97616510000000001</v>
      </c>
      <c r="AB4890">
        <v>33</v>
      </c>
      <c r="AC4890">
        <v>14.328900000000001</v>
      </c>
      <c r="AD4890">
        <v>-1.10976704619221</v>
      </c>
      <c r="AE4890">
        <v>2.7535199999999902</v>
      </c>
      <c r="AF4890">
        <v>-3.1896175587720501</v>
      </c>
      <c r="AG4890">
        <v>-1.10976704619221</v>
      </c>
      <c r="AH4890">
        <v>14.152159955433801</v>
      </c>
      <c r="AI4890">
        <v>94.374490264359096</v>
      </c>
      <c r="AJ4890">
        <v>102.70111952526899</v>
      </c>
      <c r="AK4890">
        <v>14.5495317612707</v>
      </c>
    </row>
    <row r="4891" spans="1:37" x14ac:dyDescent="0.2">
      <c r="A4891" t="str">
        <f>"20200111154159014"</f>
        <v>20200111154159014</v>
      </c>
      <c r="B4891" t="str">
        <f>"1578728519010612"</f>
        <v>1578728519010612</v>
      </c>
      <c r="C4891" t="s">
        <v>37</v>
      </c>
      <c r="D4891">
        <v>5.2605729999999999</v>
      </c>
      <c r="E4891">
        <v>0.49941599999999903</v>
      </c>
      <c r="F4891" t="s">
        <v>55</v>
      </c>
      <c r="G4891">
        <v>-232.1688</v>
      </c>
      <c r="H4891" s="1">
        <v>5.8992209999999997E-8</v>
      </c>
      <c r="I4891">
        <v>-60.471829999999997</v>
      </c>
      <c r="J4891">
        <v>-246.56559999999999</v>
      </c>
      <c r="K4891">
        <v>1.1097709999999901</v>
      </c>
      <c r="L4891">
        <v>-63.237400000000001</v>
      </c>
      <c r="M4891">
        <v>0.99949129999999997</v>
      </c>
      <c r="N4891">
        <v>0</v>
      </c>
      <c r="O4891">
        <v>-3.1488009999999997E-2</v>
      </c>
      <c r="P4891">
        <v>0.99702329999999995</v>
      </c>
      <c r="Q4891">
        <v>2.804332E-2</v>
      </c>
      <c r="R4891">
        <v>7.1821259999999998E-2</v>
      </c>
      <c r="S4891">
        <v>2.9747619999999899</v>
      </c>
      <c r="T4891">
        <v>-0.2265836</v>
      </c>
      <c r="U4891">
        <v>0.56356809999999902</v>
      </c>
      <c r="V4891">
        <v>-0.10322290000000001</v>
      </c>
      <c r="W4891">
        <v>3.2953799999999998E-2</v>
      </c>
      <c r="X4891">
        <v>0.994112199999999</v>
      </c>
      <c r="Y4891">
        <v>-0.21629079999999901</v>
      </c>
      <c r="Z4891">
        <v>1.0528569999999999E-2</v>
      </c>
      <c r="AA4891">
        <v>0.97627219999999904</v>
      </c>
      <c r="AB4891">
        <v>33</v>
      </c>
      <c r="AC4891">
        <v>14.396799999999899</v>
      </c>
      <c r="AD4891">
        <v>-1.1097709410077801</v>
      </c>
      <c r="AE4891">
        <v>2.7655699999999901</v>
      </c>
      <c r="AF4891">
        <v>-3.1991977835269898</v>
      </c>
      <c r="AG4891">
        <v>-1.1097709410077801</v>
      </c>
      <c r="AH4891">
        <v>14.221082611540201</v>
      </c>
      <c r="AI4891">
        <v>94.353775253365797</v>
      </c>
      <c r="AJ4891">
        <v>102.678290427466</v>
      </c>
      <c r="AK4891">
        <v>14.6186746541497</v>
      </c>
    </row>
    <row r="4892" spans="1:37" x14ac:dyDescent="0.2">
      <c r="A4892" t="str">
        <f>"20200111154159026"</f>
        <v>20200111154159026</v>
      </c>
      <c r="B4892" t="str">
        <f>"1578728519021347"</f>
        <v>1578728519021347</v>
      </c>
      <c r="C4892" t="s">
        <v>37</v>
      </c>
      <c r="D4892">
        <v>5.3665370000000001</v>
      </c>
      <c r="E4892">
        <v>0.49941599999999903</v>
      </c>
      <c r="F4892" t="s">
        <v>56</v>
      </c>
      <c r="G4892">
        <v>-224.3734</v>
      </c>
      <c r="H4892" s="1">
        <v>-1.266008E-6</v>
      </c>
      <c r="I4892">
        <v>-61.606009999999998</v>
      </c>
      <c r="J4892">
        <v>-246.39019999999999</v>
      </c>
      <c r="K4892">
        <v>1.109775</v>
      </c>
      <c r="L4892">
        <v>-63.242649999999998</v>
      </c>
      <c r="M4892">
        <v>0.9995018</v>
      </c>
      <c r="N4892">
        <v>0</v>
      </c>
      <c r="O4892">
        <v>-3.1152059999999999E-2</v>
      </c>
      <c r="P4892">
        <v>0.99703790000000003</v>
      </c>
      <c r="Q4892">
        <v>2.8020639999999999E-2</v>
      </c>
      <c r="R4892">
        <v>7.1626889999999999E-2</v>
      </c>
      <c r="S4892">
        <v>2.9972989999999999</v>
      </c>
      <c r="T4892">
        <v>-0.14988660000000001</v>
      </c>
      <c r="U4892">
        <v>0.2203369</v>
      </c>
      <c r="V4892">
        <v>-0.10269489999999901</v>
      </c>
      <c r="W4892">
        <v>3.293426E-2</v>
      </c>
      <c r="X4892">
        <v>0.99416759999999904</v>
      </c>
      <c r="Y4892">
        <v>-0.1041788</v>
      </c>
      <c r="Z4892">
        <v>4.1547559999999999E-3</v>
      </c>
      <c r="AA4892">
        <v>0.99454989999999999</v>
      </c>
      <c r="AB4892">
        <v>33</v>
      </c>
      <c r="AC4892">
        <v>22.0167999999999</v>
      </c>
      <c r="AD4892">
        <v>-1.1097762660079999</v>
      </c>
      <c r="AE4892">
        <v>1.6366399999999901</v>
      </c>
      <c r="AF4892">
        <v>-2.3158714140904602</v>
      </c>
      <c r="AG4892">
        <v>-1.1097762660079999</v>
      </c>
      <c r="AH4892">
        <v>21.899792470669201</v>
      </c>
      <c r="AI4892">
        <v>92.884934788484102</v>
      </c>
      <c r="AJ4892">
        <v>96.036511004888794</v>
      </c>
      <c r="AK4892">
        <v>22.0498474830456</v>
      </c>
    </row>
    <row r="4893" spans="1:37" x14ac:dyDescent="0.2">
      <c r="A4893" t="str">
        <f>"20200111154159036"</f>
        <v>20200111154159036</v>
      </c>
      <c r="B4893" t="str">
        <f>"1578728519031106"</f>
        <v>1578728519031106</v>
      </c>
      <c r="C4893" t="s">
        <v>37</v>
      </c>
      <c r="D4893">
        <v>5.4076589999999998</v>
      </c>
      <c r="E4893">
        <v>0.55390240000000002</v>
      </c>
      <c r="F4893" t="s">
        <v>56</v>
      </c>
      <c r="G4893">
        <v>-224.2079</v>
      </c>
      <c r="H4893" s="1">
        <v>-1.197357E-6</v>
      </c>
      <c r="I4893">
        <v>-61.616519999999902</v>
      </c>
      <c r="J4893">
        <v>-246.21789999999999</v>
      </c>
      <c r="K4893">
        <v>1.1097760000000001</v>
      </c>
      <c r="L4893">
        <v>-63.247769999999903</v>
      </c>
      <c r="M4893">
        <v>0.99951199999999996</v>
      </c>
      <c r="N4893">
        <v>0</v>
      </c>
      <c r="O4893">
        <v>-3.0823389999999999E-2</v>
      </c>
      <c r="P4893">
        <v>0.99703410000000003</v>
      </c>
      <c r="Q4893">
        <v>2.8008849999999998E-2</v>
      </c>
      <c r="R4893">
        <v>7.1682960000000004E-2</v>
      </c>
      <c r="S4893">
        <v>2.9973299999999998</v>
      </c>
      <c r="T4893">
        <v>-0.14995600000000001</v>
      </c>
      <c r="U4893">
        <v>0.21972659999999999</v>
      </c>
      <c r="V4893">
        <v>-0.10242419999999899</v>
      </c>
      <c r="W4893">
        <v>3.2924719999999998E-2</v>
      </c>
      <c r="X4893">
        <v>0.99419579999999996</v>
      </c>
      <c r="Y4893">
        <v>-0.103650399999999</v>
      </c>
      <c r="Z4893">
        <v>4.1270589999999998E-3</v>
      </c>
      <c r="AA4893">
        <v>0.99460519999999997</v>
      </c>
      <c r="AB4893">
        <v>34</v>
      </c>
      <c r="AC4893">
        <v>22.009999999999899</v>
      </c>
      <c r="AD4893">
        <v>-1.1097771973570001</v>
      </c>
      <c r="AE4893">
        <v>1.6312500000000001</v>
      </c>
      <c r="AF4893">
        <v>-2.3030832052864301</v>
      </c>
      <c r="AG4893">
        <v>-1.1097771973570001</v>
      </c>
      <c r="AH4893">
        <v>21.8939028996475</v>
      </c>
      <c r="AI4893">
        <v>92.885878935482395</v>
      </c>
      <c r="AJ4893">
        <v>96.005024735691094</v>
      </c>
      <c r="AK4893">
        <v>22.042658230291501</v>
      </c>
    </row>
    <row r="4894" spans="1:37" x14ac:dyDescent="0.2">
      <c r="A4894" t="str">
        <f>"20200111154159048"</f>
        <v>20200111154159048</v>
      </c>
      <c r="B4894" t="str">
        <f>"1578728519040867"</f>
        <v>1578728519040867</v>
      </c>
      <c r="C4894" t="s">
        <v>37</v>
      </c>
      <c r="D4894">
        <v>5.2934729999999997</v>
      </c>
      <c r="E4894">
        <v>0.55759219999999998</v>
      </c>
      <c r="F4894" t="s">
        <v>56</v>
      </c>
      <c r="G4894">
        <v>-226.6294</v>
      </c>
      <c r="H4894" s="1">
        <v>-2.8321010000000002E-6</v>
      </c>
      <c r="I4894">
        <v>-64.628240000000005</v>
      </c>
      <c r="J4894">
        <v>-246.04730000000001</v>
      </c>
      <c r="K4894">
        <v>1.10978</v>
      </c>
      <c r="L4894">
        <v>-63.252780000000001</v>
      </c>
      <c r="M4894">
        <v>0.99952199999999902</v>
      </c>
      <c r="N4894">
        <v>0</v>
      </c>
      <c r="O4894">
        <v>-3.0498290000000001E-2</v>
      </c>
      <c r="P4894">
        <v>0.99705440000000001</v>
      </c>
      <c r="Q4894">
        <v>2.8017770000000001E-2</v>
      </c>
      <c r="R4894">
        <v>7.1397089999999996E-2</v>
      </c>
      <c r="S4894">
        <v>3.029083</v>
      </c>
      <c r="T4894">
        <v>-0.1716115</v>
      </c>
      <c r="U4894">
        <v>-0.21347049999999901</v>
      </c>
      <c r="V4894">
        <v>-0.1018159</v>
      </c>
      <c r="W4894">
        <v>3.2936640000000003E-2</v>
      </c>
      <c r="X4894">
        <v>0.99425790000000003</v>
      </c>
      <c r="Y4894">
        <v>3.9828450000000001E-2</v>
      </c>
      <c r="Z4894">
        <v>5.9777490000000001E-4</v>
      </c>
      <c r="AA4894">
        <v>0.99920640000000005</v>
      </c>
      <c r="AB4894">
        <v>34</v>
      </c>
      <c r="AC4894">
        <v>19.417899999999999</v>
      </c>
      <c r="AD4894">
        <v>-1.1097828321009999</v>
      </c>
      <c r="AE4894">
        <v>-1.3754599999999999</v>
      </c>
      <c r="AF4894">
        <v>0.78006451796989895</v>
      </c>
      <c r="AG4894">
        <v>-1.1097828321009999</v>
      </c>
      <c r="AH4894">
        <v>19.3878041806448</v>
      </c>
      <c r="AI4894">
        <v>93.273466289553397</v>
      </c>
      <c r="AJ4894">
        <v>87.6959582467221</v>
      </c>
      <c r="AK4894">
        <v>19.435201813555899</v>
      </c>
    </row>
    <row r="4895" spans="1:37" x14ac:dyDescent="0.2">
      <c r="A4895" t="str">
        <f>"20200111154159060"</f>
        <v>20200111154159060</v>
      </c>
      <c r="B4895" t="str">
        <f>"1578728519050628"</f>
        <v>1578728519050628</v>
      </c>
      <c r="C4895" t="s">
        <v>37</v>
      </c>
      <c r="D4895">
        <v>5.2434440000000002</v>
      </c>
      <c r="E4895">
        <v>0.5593283</v>
      </c>
      <c r="F4895" t="s">
        <v>38</v>
      </c>
      <c r="G4895">
        <v>-245.0932</v>
      </c>
      <c r="H4895">
        <v>1.0551200000000001</v>
      </c>
      <c r="I4895">
        <v>-63.329479999999997</v>
      </c>
      <c r="J4895">
        <v>-245.864</v>
      </c>
      <c r="K4895">
        <v>1.10978</v>
      </c>
      <c r="L4895">
        <v>-63.25806</v>
      </c>
      <c r="M4895">
        <v>0.99953250000000005</v>
      </c>
      <c r="N4895">
        <v>0</v>
      </c>
      <c r="O4895">
        <v>-3.014959E-2</v>
      </c>
      <c r="P4895">
        <v>0.99705509999999997</v>
      </c>
      <c r="Q4895">
        <v>2.8313899999999999E-2</v>
      </c>
      <c r="R4895">
        <v>7.1271169999999995E-2</v>
      </c>
      <c r="S4895">
        <v>3.0312189999999899</v>
      </c>
      <c r="T4895">
        <v>-0.17364859999999999</v>
      </c>
      <c r="U4895">
        <v>-0.24389649999999999</v>
      </c>
      <c r="V4895">
        <v>-0.10134410000000001</v>
      </c>
      <c r="W4895">
        <v>3.3235929999999997E-2</v>
      </c>
      <c r="X4895">
        <v>0.99429609999999902</v>
      </c>
      <c r="Y4895">
        <v>5.0080529999999998E-2</v>
      </c>
      <c r="Z4895">
        <v>2.9129159999999999E-4</v>
      </c>
      <c r="AA4895">
        <v>0.99874509999999905</v>
      </c>
      <c r="AB4895">
        <v>34</v>
      </c>
      <c r="AC4895">
        <v>0.77080000000000803</v>
      </c>
      <c r="AD4895">
        <v>-5.4659999999999903E-2</v>
      </c>
      <c r="AE4895">
        <v>-7.14200000000033E-2</v>
      </c>
      <c r="AF4895">
        <v>4.7909058322272997E-2</v>
      </c>
      <c r="AG4895">
        <v>-5.4659999999999903E-2</v>
      </c>
      <c r="AH4895">
        <v>0.76876988845769001</v>
      </c>
      <c r="AI4895">
        <v>94.059072311826895</v>
      </c>
      <c r="AJ4895">
        <v>86.433989418383305</v>
      </c>
      <c r="AK4895">
        <v>0.77219824842366502</v>
      </c>
    </row>
    <row r="4896" spans="1:37" x14ac:dyDescent="0.2">
      <c r="A4896" t="str">
        <f>"20200111154159071"</f>
        <v>20200111154159071</v>
      </c>
      <c r="B4896" t="str">
        <f>"1578728519061364"</f>
        <v>1578728519061364</v>
      </c>
      <c r="C4896" t="s">
        <v>37</v>
      </c>
      <c r="D4896">
        <v>5.2476699999999896</v>
      </c>
      <c r="E4896">
        <v>0.55986409999999998</v>
      </c>
      <c r="F4896" t="s">
        <v>56</v>
      </c>
      <c r="G4896">
        <v>-225.73419999999999</v>
      </c>
      <c r="H4896" s="1">
        <v>-2.5733349999999999E-6</v>
      </c>
      <c r="I4896">
        <v>-64.971289999999996</v>
      </c>
      <c r="J4896">
        <v>-245.7011</v>
      </c>
      <c r="K4896">
        <v>1.109783</v>
      </c>
      <c r="L4896">
        <v>-63.262729999999998</v>
      </c>
      <c r="M4896">
        <v>0.99954179999999904</v>
      </c>
      <c r="N4896">
        <v>0</v>
      </c>
      <c r="O4896">
        <v>-2.9839999999999998E-2</v>
      </c>
      <c r="P4896">
        <v>0.99706870000000003</v>
      </c>
      <c r="Q4896">
        <v>2.847307E-2</v>
      </c>
      <c r="R4896">
        <v>7.1016830000000003E-2</v>
      </c>
      <c r="S4896">
        <v>3.0320589999999998</v>
      </c>
      <c r="T4896">
        <v>-0.16716149999999999</v>
      </c>
      <c r="U4896">
        <v>-0.25805660000000002</v>
      </c>
      <c r="V4896">
        <v>-0.1007827</v>
      </c>
      <c r="W4896">
        <v>3.3398450000000003E-2</v>
      </c>
      <c r="X4896">
        <v>0.9943478</v>
      </c>
      <c r="Y4896">
        <v>5.499424E-2</v>
      </c>
      <c r="Z4896">
        <v>1.2815480000000001E-4</v>
      </c>
      <c r="AA4896">
        <v>0.9984866</v>
      </c>
      <c r="AB4896">
        <v>34</v>
      </c>
      <c r="AC4896">
        <v>19.966899999999999</v>
      </c>
      <c r="AD4896">
        <v>-1.1097855733349999</v>
      </c>
      <c r="AE4896">
        <v>-1.7085599999999901</v>
      </c>
      <c r="AF4896">
        <v>1.1085793518569</v>
      </c>
      <c r="AG4896">
        <v>-1.1097855733349999</v>
      </c>
      <c r="AH4896">
        <v>19.947815971190401</v>
      </c>
      <c r="AI4896">
        <v>93.179440023277294</v>
      </c>
      <c r="AJ4896">
        <v>86.819117984586995</v>
      </c>
      <c r="AK4896">
        <v>20.009396148275499</v>
      </c>
    </row>
    <row r="4897" spans="1:37" x14ac:dyDescent="0.2">
      <c r="A4897" t="str">
        <f>"20200111154159082"</f>
        <v>20200111154159082</v>
      </c>
      <c r="B4897" t="str">
        <f>"1578728519071124"</f>
        <v>1578728519071124</v>
      </c>
      <c r="C4897" t="s">
        <v>37</v>
      </c>
      <c r="D4897">
        <v>5.2282739999999999</v>
      </c>
      <c r="E4897">
        <v>0.56001820000000002</v>
      </c>
      <c r="F4897" t="s">
        <v>56</v>
      </c>
      <c r="G4897">
        <v>-224.9633</v>
      </c>
      <c r="H4897" s="1">
        <v>-2.2876369999999999E-6</v>
      </c>
      <c r="I4897">
        <v>-65.062269999999998</v>
      </c>
      <c r="J4897">
        <v>-245.52959999999999</v>
      </c>
      <c r="K4897">
        <v>1.1097870000000001</v>
      </c>
      <c r="L4897">
        <v>-63.267609999999998</v>
      </c>
      <c r="M4897">
        <v>0.99955149999999904</v>
      </c>
      <c r="N4897">
        <v>0</v>
      </c>
      <c r="O4897">
        <v>-2.9514430000000001E-2</v>
      </c>
      <c r="P4897">
        <v>0.9970793</v>
      </c>
      <c r="Q4897">
        <v>2.8276579999999999E-2</v>
      </c>
      <c r="R4897">
        <v>7.0950079999999999E-2</v>
      </c>
      <c r="S4897">
        <v>3.0321959999999999</v>
      </c>
      <c r="T4897">
        <v>-0.1622683</v>
      </c>
      <c r="U4897">
        <v>-0.26312259999999998</v>
      </c>
      <c r="V4897">
        <v>-0.1003931</v>
      </c>
      <c r="W4897">
        <v>3.3204949999999997E-2</v>
      </c>
      <c r="X4897">
        <v>0.99439359999999999</v>
      </c>
      <c r="Y4897">
        <v>5.6970390000000003E-2</v>
      </c>
      <c r="Z4897" s="1">
        <v>5.4282829999999997E-5</v>
      </c>
      <c r="AA4897">
        <v>0.99837589999999998</v>
      </c>
      <c r="AB4897">
        <v>34</v>
      </c>
      <c r="AC4897">
        <v>20.566299999999899</v>
      </c>
      <c r="AD4897">
        <v>-1.1097892876369999</v>
      </c>
      <c r="AE4897">
        <v>-1.7946599999999999</v>
      </c>
      <c r="AF4897">
        <v>1.1834477449390699</v>
      </c>
      <c r="AG4897">
        <v>-1.1097892876369999</v>
      </c>
      <c r="AH4897">
        <v>20.550920266296501</v>
      </c>
      <c r="AI4897">
        <v>93.085977410375307</v>
      </c>
      <c r="AJ4897">
        <v>86.704198329418602</v>
      </c>
      <c r="AK4897">
        <v>20.614861256375999</v>
      </c>
    </row>
    <row r="4898" spans="1:37" x14ac:dyDescent="0.2">
      <c r="A4898" t="str">
        <f>"20200111154159093"</f>
        <v>20200111154159093</v>
      </c>
      <c r="B4898" t="str">
        <f>"1578728519090643"</f>
        <v>1578728519090643</v>
      </c>
      <c r="C4898" t="s">
        <v>37</v>
      </c>
      <c r="D4898">
        <v>5.186426</v>
      </c>
      <c r="E4898">
        <v>0.55964429999999998</v>
      </c>
      <c r="F4898" t="s">
        <v>56</v>
      </c>
      <c r="G4898">
        <v>-224.0472</v>
      </c>
      <c r="H4898" s="1">
        <v>-1.912449E-6</v>
      </c>
      <c r="I4898">
        <v>-65.142449999999997</v>
      </c>
      <c r="J4898">
        <v>-245.36770000000001</v>
      </c>
      <c r="K4898">
        <v>1.109788</v>
      </c>
      <c r="L4898">
        <v>-63.272129999999997</v>
      </c>
      <c r="M4898">
        <v>0.99956049999999996</v>
      </c>
      <c r="N4898">
        <v>0</v>
      </c>
      <c r="O4898">
        <v>-2.920758E-2</v>
      </c>
      <c r="P4898">
        <v>0.99703989999999998</v>
      </c>
      <c r="Q4898">
        <v>2.8537949999999999E-2</v>
      </c>
      <c r="R4898">
        <v>7.1395050000000002E-2</v>
      </c>
      <c r="S4898">
        <v>3.0320589999999998</v>
      </c>
      <c r="T4898">
        <v>-0.15663740000000001</v>
      </c>
      <c r="U4898">
        <v>-0.26461790000000002</v>
      </c>
      <c r="V4898">
        <v>-0.1005312</v>
      </c>
      <c r="W4898">
        <v>3.3468980000000002E-2</v>
      </c>
      <c r="X4898">
        <v>0.9943708</v>
      </c>
      <c r="Y4898">
        <v>5.777065E-2</v>
      </c>
      <c r="Z4898" s="1">
        <v>1.5986039999999998E-5</v>
      </c>
      <c r="AA4898">
        <v>0.99832989999999999</v>
      </c>
      <c r="AB4898">
        <v>34</v>
      </c>
      <c r="AC4898">
        <v>21.320499999999999</v>
      </c>
      <c r="AD4898">
        <v>-1.109789912449</v>
      </c>
      <c r="AE4898">
        <v>-1.87031999999999</v>
      </c>
      <c r="AF4898">
        <v>1.24345043990773</v>
      </c>
      <c r="AG4898">
        <v>-1.109789912449</v>
      </c>
      <c r="AH4898">
        <v>21.308737179488201</v>
      </c>
      <c r="AI4898">
        <v>92.9762995560463</v>
      </c>
      <c r="AJ4898">
        <v>86.660348313960696</v>
      </c>
      <c r="AK4898">
        <v>21.373817694337699</v>
      </c>
    </row>
    <row r="4899" spans="1:37" x14ac:dyDescent="0.2">
      <c r="A4899" t="str">
        <f>"20200111154159104"</f>
        <v>20200111154159104</v>
      </c>
      <c r="B4899" t="str">
        <f>"1578728519101379"</f>
        <v>1578728519101379</v>
      </c>
      <c r="C4899" t="s">
        <v>37</v>
      </c>
      <c r="D4899">
        <v>5.110455</v>
      </c>
      <c r="E4899">
        <v>0.55927660000000001</v>
      </c>
      <c r="F4899" t="s">
        <v>56</v>
      </c>
      <c r="G4899">
        <v>-222.9855</v>
      </c>
      <c r="H4899" s="1">
        <v>-1.4685640000000001E-6</v>
      </c>
      <c r="I4899">
        <v>-65.19453</v>
      </c>
      <c r="J4899">
        <v>-245.20410000000001</v>
      </c>
      <c r="K4899">
        <v>1.1097939999999999</v>
      </c>
      <c r="L4899">
        <v>-63.276669999999903</v>
      </c>
      <c r="M4899">
        <v>0.99956939999999905</v>
      </c>
      <c r="N4899">
        <v>0</v>
      </c>
      <c r="O4899">
        <v>-2.8897389999999998E-2</v>
      </c>
      <c r="P4899">
        <v>0.99700859999999902</v>
      </c>
      <c r="Q4899">
        <v>2.854541E-2</v>
      </c>
      <c r="R4899">
        <v>7.1826070000000006E-2</v>
      </c>
      <c r="S4899">
        <v>3.03186</v>
      </c>
      <c r="T4899">
        <v>-0.1503302</v>
      </c>
      <c r="U4899">
        <v>-0.26040649999999999</v>
      </c>
      <c r="V4899">
        <v>-0.10065299999999899</v>
      </c>
      <c r="W4899">
        <v>3.3478979999999998E-2</v>
      </c>
      <c r="X4899">
        <v>0.99435819999999997</v>
      </c>
      <c r="Y4899">
        <v>5.6713529999999998E-2</v>
      </c>
      <c r="Z4899" s="1">
        <v>2.6167489999999999E-5</v>
      </c>
      <c r="AA4899">
        <v>0.99839049999999996</v>
      </c>
      <c r="AB4899">
        <v>34</v>
      </c>
      <c r="AC4899">
        <v>22.218599999999999</v>
      </c>
      <c r="AD4899">
        <v>-1.1097954685639999</v>
      </c>
      <c r="AE4899">
        <v>-1.9178599999999999</v>
      </c>
      <c r="AF4899">
        <v>1.2718415210460501</v>
      </c>
      <c r="AG4899">
        <v>-1.1097954685639999</v>
      </c>
      <c r="AH4899">
        <v>22.209741563355099</v>
      </c>
      <c r="AI4899">
        <v>92.855954342436704</v>
      </c>
      <c r="AJ4899">
        <v>86.722534908416193</v>
      </c>
      <c r="AK4899">
        <v>22.2737928325583</v>
      </c>
    </row>
    <row r="4900" spans="1:37" x14ac:dyDescent="0.2">
      <c r="A4900" t="str">
        <f>"20200111154159116"</f>
        <v>20200111154159116</v>
      </c>
      <c r="B4900" t="str">
        <f>"1578728519111139"</f>
        <v>1578728519111139</v>
      </c>
      <c r="C4900" t="s">
        <v>37</v>
      </c>
      <c r="D4900">
        <v>5.201263</v>
      </c>
      <c r="E4900">
        <v>0.55925329999999995</v>
      </c>
      <c r="F4900" t="s">
        <v>38</v>
      </c>
      <c r="G4900">
        <v>-244.17349999999999</v>
      </c>
      <c r="H4900">
        <v>1.059185</v>
      </c>
      <c r="I4900">
        <v>-63.363900000000001</v>
      </c>
      <c r="J4900">
        <v>-245.02440000000001</v>
      </c>
      <c r="K4900">
        <v>1.1097980000000001</v>
      </c>
      <c r="L4900">
        <v>-63.281559999999999</v>
      </c>
      <c r="M4900">
        <v>0.99957929999999995</v>
      </c>
      <c r="N4900">
        <v>0</v>
      </c>
      <c r="O4900">
        <v>-2.85574E-2</v>
      </c>
      <c r="P4900">
        <v>0.99696949999999995</v>
      </c>
      <c r="Q4900">
        <v>2.8809419999999999E-2</v>
      </c>
      <c r="R4900">
        <v>7.2266449999999996E-2</v>
      </c>
      <c r="S4900">
        <v>3.0317229999999999</v>
      </c>
      <c r="T4900">
        <v>-0.1488476</v>
      </c>
      <c r="U4900">
        <v>-0.25625609999999999</v>
      </c>
      <c r="V4900">
        <v>-0.1007545</v>
      </c>
      <c r="W4900">
        <v>3.3745379999999998E-2</v>
      </c>
      <c r="X4900">
        <v>0.99433890000000003</v>
      </c>
      <c r="Y4900">
        <v>5.5701479999999998E-2</v>
      </c>
      <c r="Z4900" s="1">
        <v>3.4066729999999999E-5</v>
      </c>
      <c r="AA4900">
        <v>0.99844750000000004</v>
      </c>
      <c r="AB4900">
        <v>34</v>
      </c>
      <c r="AC4900">
        <v>0.85090000000002397</v>
      </c>
      <c r="AD4900">
        <v>-5.0612999999999998E-2</v>
      </c>
      <c r="AE4900">
        <v>-8.2340000000001995E-2</v>
      </c>
      <c r="AF4900">
        <v>5.7803995647998298E-2</v>
      </c>
      <c r="AG4900">
        <v>-5.0612999999999998E-2</v>
      </c>
      <c r="AH4900">
        <v>0.84992519950775902</v>
      </c>
      <c r="AI4900">
        <v>93.400100053932206</v>
      </c>
      <c r="AJ4900">
        <v>86.1092661664606</v>
      </c>
      <c r="AK4900">
        <v>0.85339077944408204</v>
      </c>
    </row>
    <row r="4901" spans="1:37" x14ac:dyDescent="0.2">
      <c r="A4901" t="str">
        <f>"20200111154159127"</f>
        <v>20200111154159127</v>
      </c>
      <c r="B4901" t="str">
        <f>"1578728519120899"</f>
        <v>1578728519120899</v>
      </c>
      <c r="C4901" t="s">
        <v>37</v>
      </c>
      <c r="D4901">
        <v>5.106935</v>
      </c>
      <c r="E4901">
        <v>0.55891489999999999</v>
      </c>
      <c r="F4901" t="s">
        <v>56</v>
      </c>
      <c r="G4901">
        <v>-221.9238</v>
      </c>
      <c r="H4901" s="1">
        <v>-1.0195989999999999E-6</v>
      </c>
      <c r="I4901">
        <v>-65.223609999999994</v>
      </c>
      <c r="J4901">
        <v>-244.85040000000001</v>
      </c>
      <c r="K4901">
        <v>1.109801</v>
      </c>
      <c r="L4901">
        <v>-63.286290000000001</v>
      </c>
      <c r="M4901">
        <v>0.99958849999999999</v>
      </c>
      <c r="N4901">
        <v>0</v>
      </c>
      <c r="O4901">
        <v>-2.8228139999999999E-2</v>
      </c>
      <c r="P4901">
        <v>0.99694059999999995</v>
      </c>
      <c r="Q4901">
        <v>2.930402E-2</v>
      </c>
      <c r="R4901">
        <v>7.2463349999999996E-2</v>
      </c>
      <c r="S4901">
        <v>3.0317989999999999</v>
      </c>
      <c r="T4901">
        <v>-0.14565429999999999</v>
      </c>
      <c r="U4901">
        <v>-0.25488280000000002</v>
      </c>
      <c r="V4901">
        <v>-0.1006238</v>
      </c>
      <c r="W4901">
        <v>3.4243389999999999E-2</v>
      </c>
      <c r="X4901">
        <v>0.99433510000000003</v>
      </c>
      <c r="Y4901">
        <v>5.5580320000000003E-2</v>
      </c>
      <c r="Z4901" s="1">
        <v>2.0474889999999999E-5</v>
      </c>
      <c r="AA4901">
        <v>0.99845419999999996</v>
      </c>
      <c r="AB4901">
        <v>34</v>
      </c>
      <c r="AC4901">
        <v>22.926600000000001</v>
      </c>
      <c r="AD4901">
        <v>-1.1098020195989999</v>
      </c>
      <c r="AE4901">
        <v>-1.9373199999999899</v>
      </c>
      <c r="AF4901">
        <v>1.2863714104408299</v>
      </c>
      <c r="AG4901">
        <v>-1.1098020195989999</v>
      </c>
      <c r="AH4901">
        <v>22.918828374154199</v>
      </c>
      <c r="AI4901">
        <v>92.767927411980494</v>
      </c>
      <c r="AJ4901">
        <v>86.787514528764007</v>
      </c>
      <c r="AK4901">
        <v>22.981712424713798</v>
      </c>
    </row>
    <row r="4902" spans="1:37" x14ac:dyDescent="0.2">
      <c r="A4902" t="str">
        <f>"20200111154159138"</f>
        <v>20200111154159138</v>
      </c>
      <c r="B4902" t="str">
        <f>"1578728519130659"</f>
        <v>1578728519130659</v>
      </c>
      <c r="C4902" t="s">
        <v>37</v>
      </c>
      <c r="D4902">
        <v>5.0955649999999997</v>
      </c>
      <c r="E4902">
        <v>0.55857279999999998</v>
      </c>
      <c r="F4902" t="s">
        <v>56</v>
      </c>
      <c r="G4902">
        <v>-221.44730000000001</v>
      </c>
      <c r="H4902" s="1">
        <v>-8.1633799999999896E-7</v>
      </c>
      <c r="I4902">
        <v>-65.228840000000005</v>
      </c>
      <c r="J4902">
        <v>-244.68049999999999</v>
      </c>
      <c r="K4902">
        <v>1.1098079999999999</v>
      </c>
      <c r="L4902">
        <v>-63.29083</v>
      </c>
      <c r="M4902">
        <v>0.99959750000000003</v>
      </c>
      <c r="N4902">
        <v>0</v>
      </c>
      <c r="O4902">
        <v>-2.790687E-2</v>
      </c>
      <c r="P4902">
        <v>0.99692340000000002</v>
      </c>
      <c r="Q4902">
        <v>2.984991E-2</v>
      </c>
      <c r="R4902">
        <v>7.2474930000000007E-2</v>
      </c>
      <c r="S4902">
        <v>3.0317379999999998</v>
      </c>
      <c r="T4902">
        <v>-0.1437687</v>
      </c>
      <c r="U4902">
        <v>-0.25164789999999998</v>
      </c>
      <c r="V4902">
        <v>-0.10031610000000001</v>
      </c>
      <c r="W4902">
        <v>3.4792860000000002E-2</v>
      </c>
      <c r="X4902">
        <v>0.99434709999999904</v>
      </c>
      <c r="Y4902">
        <v>5.4846180000000001E-2</v>
      </c>
      <c r="Z4902" s="1">
        <v>2.2396679999999899E-5</v>
      </c>
      <c r="AA4902">
        <v>0.99849480000000002</v>
      </c>
      <c r="AB4902">
        <v>34</v>
      </c>
      <c r="AC4902">
        <v>23.233199999999901</v>
      </c>
      <c r="AD4902">
        <v>-1.109808816338</v>
      </c>
      <c r="AE4902">
        <v>-1.93800999999999</v>
      </c>
      <c r="AF4902">
        <v>1.2859667957946499</v>
      </c>
      <c r="AG4902">
        <v>-1.109808816338</v>
      </c>
      <c r="AH4902">
        <v>23.225605503853</v>
      </c>
      <c r="AI4902">
        <v>92.731554488892598</v>
      </c>
      <c r="AJ4902">
        <v>86.830854858242105</v>
      </c>
      <c r="AK4902">
        <v>23.287639151045699</v>
      </c>
    </row>
    <row r="4903" spans="1:37" x14ac:dyDescent="0.2">
      <c r="A4903" t="str">
        <f>"20200111154159149"</f>
        <v>20200111154159149</v>
      </c>
      <c r="B4903" t="str">
        <f>"1578728519141395"</f>
        <v>1578728519141395</v>
      </c>
      <c r="C4903" t="s">
        <v>37</v>
      </c>
      <c r="D4903">
        <v>5.0990159999999998</v>
      </c>
      <c r="E4903">
        <v>0.55843149999999997</v>
      </c>
      <c r="F4903" t="s">
        <v>56</v>
      </c>
      <c r="G4903">
        <v>-220.8843</v>
      </c>
      <c r="H4903" s="1">
        <v>-5.7834669999999898E-7</v>
      </c>
      <c r="I4903">
        <v>-65.244799999999998</v>
      </c>
      <c r="J4903">
        <v>-244.51390000000001</v>
      </c>
      <c r="K4903">
        <v>1.1098139999999901</v>
      </c>
      <c r="L4903">
        <v>-63.295229999999997</v>
      </c>
      <c r="M4903">
        <v>0.99960629999999995</v>
      </c>
      <c r="N4903">
        <v>0</v>
      </c>
      <c r="O4903">
        <v>-2.7592040000000002E-2</v>
      </c>
      <c r="P4903">
        <v>0.99688449999999995</v>
      </c>
      <c r="Q4903">
        <v>3.043417E-2</v>
      </c>
      <c r="R4903">
        <v>7.2768949999999999E-2</v>
      </c>
      <c r="S4903">
        <v>3.0315859999999999</v>
      </c>
      <c r="T4903">
        <v>-0.14138729999999999</v>
      </c>
      <c r="U4903">
        <v>-0.24893189999999901</v>
      </c>
      <c r="V4903">
        <v>-0.100297</v>
      </c>
      <c r="W4903">
        <v>3.5380429999999997E-2</v>
      </c>
      <c r="X4903">
        <v>0.99432830000000005</v>
      </c>
      <c r="Y4903">
        <v>5.4277529999999997E-2</v>
      </c>
      <c r="Z4903" s="1">
        <v>2.0624490000000001E-5</v>
      </c>
      <c r="AA4903">
        <v>0.99852589999999997</v>
      </c>
      <c r="AB4903">
        <v>34</v>
      </c>
      <c r="AC4903">
        <v>23.6296</v>
      </c>
      <c r="AD4903">
        <v>-1.1098145783466999</v>
      </c>
      <c r="AE4903">
        <v>-1.94956999999999</v>
      </c>
      <c r="AF4903">
        <v>1.29399525576454</v>
      </c>
      <c r="AG4903">
        <v>-1.1098145783466999</v>
      </c>
      <c r="AH4903">
        <v>23.622639376617101</v>
      </c>
      <c r="AI4903">
        <v>92.685813010527994</v>
      </c>
      <c r="AJ4903">
        <v>86.864599101809603</v>
      </c>
      <c r="AK4903">
        <v>23.684070664435101</v>
      </c>
    </row>
    <row r="4904" spans="1:37" x14ac:dyDescent="0.2">
      <c r="A4904" t="str">
        <f>"20200111154159158"</f>
        <v>20200111154159158</v>
      </c>
      <c r="B4904" t="str">
        <f>"1578728519151155"</f>
        <v>1578728519151155</v>
      </c>
      <c r="C4904" t="s">
        <v>37</v>
      </c>
      <c r="D4904">
        <v>5.0767739999999897</v>
      </c>
      <c r="E4904">
        <v>0.55838540000000003</v>
      </c>
      <c r="F4904" t="s">
        <v>56</v>
      </c>
      <c r="G4904">
        <v>-220.3476</v>
      </c>
      <c r="H4904" s="1">
        <v>-3.5224629999999901E-7</v>
      </c>
      <c r="I4904">
        <v>-65.263499999999993</v>
      </c>
      <c r="J4904">
        <v>-244.351</v>
      </c>
      <c r="K4904">
        <v>1.109818</v>
      </c>
      <c r="L4904">
        <v>-63.2994699999999</v>
      </c>
      <c r="M4904">
        <v>0.99961480000000003</v>
      </c>
      <c r="N4904">
        <v>0</v>
      </c>
      <c r="O4904">
        <v>-2.728388E-2</v>
      </c>
      <c r="P4904">
        <v>0.99683729999999904</v>
      </c>
      <c r="Q4904">
        <v>3.1435299999999999E-2</v>
      </c>
      <c r="R4904">
        <v>7.2991840000000002E-2</v>
      </c>
      <c r="S4904">
        <v>3.031647</v>
      </c>
      <c r="T4904">
        <v>-0.13922509999999999</v>
      </c>
      <c r="U4904">
        <v>-0.24691769999999999</v>
      </c>
      <c r="V4904">
        <v>-0.100213199999999</v>
      </c>
      <c r="W4904">
        <v>3.6384489999999998E-2</v>
      </c>
      <c r="X4904">
        <v>0.99430049999999903</v>
      </c>
      <c r="Y4904">
        <v>5.3925649999999999E-2</v>
      </c>
      <c r="Z4904" s="1">
        <v>1.42653E-5</v>
      </c>
      <c r="AA4904">
        <v>0.99854489999999996</v>
      </c>
      <c r="AB4904">
        <v>34</v>
      </c>
      <c r="AC4904">
        <v>24.003399999999999</v>
      </c>
      <c r="AD4904">
        <v>-1.1098183522462901</v>
      </c>
      <c r="AE4904">
        <v>-1.9640299999999999</v>
      </c>
      <c r="AF4904">
        <v>1.30561195716693</v>
      </c>
      <c r="AG4904">
        <v>-1.1098183522462901</v>
      </c>
      <c r="AH4904">
        <v>23.997092194280299</v>
      </c>
      <c r="AI4904">
        <v>92.644025526676998</v>
      </c>
      <c r="AJ4904">
        <v>86.885773779460706</v>
      </c>
      <c r="AK4904">
        <v>24.058195134682599</v>
      </c>
    </row>
    <row r="4905" spans="1:37" x14ac:dyDescent="0.2">
      <c r="A4905" t="str">
        <f>"20200111154159170"</f>
        <v>20200111154159170</v>
      </c>
      <c r="B4905" t="str">
        <f>"1578728519160915"</f>
        <v>1578728519160915</v>
      </c>
      <c r="C4905" t="s">
        <v>37</v>
      </c>
      <c r="D4905">
        <v>5.1153639999999996</v>
      </c>
      <c r="E4905">
        <v>0.558245199999999</v>
      </c>
      <c r="F4905" t="s">
        <v>57</v>
      </c>
      <c r="G4905">
        <v>-219.38040000000001</v>
      </c>
      <c r="H4905" s="1">
        <v>-3.9285300000000001E-6</v>
      </c>
      <c r="I4905">
        <v>-65.325800000000001</v>
      </c>
      <c r="J4905">
        <v>-244.17750000000001</v>
      </c>
      <c r="K4905">
        <v>1.109829</v>
      </c>
      <c r="L4905">
        <v>-63.303919999999998</v>
      </c>
      <c r="M4905">
        <v>0.9996235</v>
      </c>
      <c r="N4905">
        <v>0</v>
      </c>
      <c r="O4905">
        <v>-2.6955819999999998E-2</v>
      </c>
      <c r="P4905">
        <v>0.99677709999999997</v>
      </c>
      <c r="Q4905">
        <v>3.259393E-2</v>
      </c>
      <c r="R4905">
        <v>7.330209E-2</v>
      </c>
      <c r="S4905">
        <v>3.031784</v>
      </c>
      <c r="T4905">
        <v>-0.13474810000000001</v>
      </c>
      <c r="U4905">
        <v>-0.24603269999999999</v>
      </c>
      <c r="V4905">
        <v>-0.10019749999999999</v>
      </c>
      <c r="W4905">
        <v>3.7546219999999998E-2</v>
      </c>
      <c r="X4905">
        <v>0.99425889999999995</v>
      </c>
      <c r="Y4905">
        <v>5.3961530000000001E-2</v>
      </c>
      <c r="Z4905" s="1">
        <v>-1.525506E-6</v>
      </c>
      <c r="AA4905">
        <v>0.99854299999999996</v>
      </c>
      <c r="AB4905">
        <v>34</v>
      </c>
      <c r="AC4905">
        <v>24.7971</v>
      </c>
      <c r="AD4905">
        <v>-1.1098329285299999</v>
      </c>
      <c r="AE4905">
        <v>-2.0218799999999999</v>
      </c>
      <c r="AF4905">
        <v>1.3500239071854001</v>
      </c>
      <c r="AG4905">
        <v>-1.1098329285299999</v>
      </c>
      <c r="AH4905">
        <v>24.7932546875765</v>
      </c>
      <c r="AI4905">
        <v>92.5592626167291</v>
      </c>
      <c r="AJ4905">
        <v>86.883250621261197</v>
      </c>
      <c r="AK4905">
        <v>24.854773619613901</v>
      </c>
    </row>
    <row r="4906" spans="1:37" x14ac:dyDescent="0.2">
      <c r="A4906" t="str">
        <f>"20200111154159180"</f>
        <v>20200111154159180</v>
      </c>
      <c r="B4906" t="str">
        <f>"1578728519170675"</f>
        <v>1578728519170675</v>
      </c>
      <c r="C4906" t="s">
        <v>37</v>
      </c>
      <c r="D4906">
        <v>5.0650329999999997</v>
      </c>
      <c r="E4906">
        <v>0.55794480000000002</v>
      </c>
      <c r="F4906" t="s">
        <v>57</v>
      </c>
      <c r="G4906">
        <v>-218.29669999999999</v>
      </c>
      <c r="H4906" s="1">
        <v>-3.5706259999999899E-6</v>
      </c>
      <c r="I4906">
        <v>-65.387119999999996</v>
      </c>
      <c r="J4906">
        <v>-244.01740000000001</v>
      </c>
      <c r="K4906">
        <v>1.109834</v>
      </c>
      <c r="L4906">
        <v>-63.308039999999998</v>
      </c>
      <c r="M4906">
        <v>0.99963159999999895</v>
      </c>
      <c r="N4906">
        <v>0</v>
      </c>
      <c r="O4906">
        <v>-2.66535E-2</v>
      </c>
      <c r="P4906">
        <v>0.99671460000000001</v>
      </c>
      <c r="Q4906">
        <v>3.3424629999999997E-2</v>
      </c>
      <c r="R4906">
        <v>7.3775439999999998E-2</v>
      </c>
      <c r="S4906">
        <v>3.0318909999999999</v>
      </c>
      <c r="T4906">
        <v>-0.13001509999999999</v>
      </c>
      <c r="U4906">
        <v>-0.24404909999999999</v>
      </c>
      <c r="V4906">
        <v>-0.1003698</v>
      </c>
      <c r="W4906">
        <v>3.8379610000000002E-2</v>
      </c>
      <c r="X4906">
        <v>0.99420969999999997</v>
      </c>
      <c r="Y4906">
        <v>5.3613470000000003E-2</v>
      </c>
      <c r="Z4906" s="1">
        <v>-6.9489469999999897E-6</v>
      </c>
      <c r="AA4906">
        <v>0.9985617</v>
      </c>
      <c r="AB4906">
        <v>34</v>
      </c>
      <c r="AC4906">
        <v>25.720700000000001</v>
      </c>
      <c r="AD4906">
        <v>-1.109837570626</v>
      </c>
      <c r="AE4906">
        <v>-2.07907999999999</v>
      </c>
      <c r="AF4906">
        <v>1.39021405518523</v>
      </c>
      <c r="AG4906">
        <v>-1.109837570626</v>
      </c>
      <c r="AH4906">
        <v>25.719401757169901</v>
      </c>
      <c r="AI4906">
        <v>92.467283804818095</v>
      </c>
      <c r="AJ4906">
        <v>86.905994978944705</v>
      </c>
      <c r="AK4906">
        <v>25.780846791739101</v>
      </c>
    </row>
    <row r="4907" spans="1:37" x14ac:dyDescent="0.2">
      <c r="A4907" t="str">
        <f>"20200111154159193"</f>
        <v>20200111154159193</v>
      </c>
      <c r="B4907" t="str">
        <f>"1578728519181412"</f>
        <v>1578728519181412</v>
      </c>
      <c r="C4907" t="s">
        <v>37</v>
      </c>
      <c r="D4907">
        <v>5.0870069999999998</v>
      </c>
      <c r="E4907">
        <v>0.55772180000000005</v>
      </c>
      <c r="F4907" t="s">
        <v>57</v>
      </c>
      <c r="G4907">
        <v>-217.6935</v>
      </c>
      <c r="H4907" s="1">
        <v>-3.3665380000000001E-6</v>
      </c>
      <c r="I4907">
        <v>-65.393730000000005</v>
      </c>
      <c r="J4907">
        <v>-243.84289999999999</v>
      </c>
      <c r="K4907">
        <v>1.109837</v>
      </c>
      <c r="L4907">
        <v>-63.312440000000002</v>
      </c>
      <c r="M4907">
        <v>0.99964039999999998</v>
      </c>
      <c r="N4907">
        <v>0</v>
      </c>
      <c r="O4907">
        <v>-2.6324009999999998E-2</v>
      </c>
      <c r="P4907">
        <v>0.99666710000000003</v>
      </c>
      <c r="Q4907">
        <v>3.3907189999999997E-2</v>
      </c>
      <c r="R4907">
        <v>7.4195209999999998E-2</v>
      </c>
      <c r="S4907">
        <v>3.031952</v>
      </c>
      <c r="T4907">
        <v>-0.12782979999999999</v>
      </c>
      <c r="U4907">
        <v>-0.24023439999999999</v>
      </c>
      <c r="V4907">
        <v>-0.1004608</v>
      </c>
      <c r="W4907">
        <v>3.8865610000000002E-2</v>
      </c>
      <c r="X4907">
        <v>0.994181599999999</v>
      </c>
      <c r="Y4907">
        <v>5.269393E-2</v>
      </c>
      <c r="Z4907" s="1">
        <v>-1.3357490000000001E-6</v>
      </c>
      <c r="AA4907">
        <v>0.99861069999999996</v>
      </c>
      <c r="AB4907">
        <v>34</v>
      </c>
      <c r="AC4907">
        <v>26.149399999999901</v>
      </c>
      <c r="AD4907">
        <v>-1.1098403665379999</v>
      </c>
      <c r="AE4907">
        <v>-2.0812900000000001</v>
      </c>
      <c r="AF4907">
        <v>1.38971507990662</v>
      </c>
      <c r="AG4907">
        <v>-1.1098403665379999</v>
      </c>
      <c r="AH4907">
        <v>26.148320938359799</v>
      </c>
      <c r="AI4907">
        <v>92.426984409511505</v>
      </c>
      <c r="AJ4907">
        <v>86.957740989177395</v>
      </c>
      <c r="AK4907">
        <v>26.208734069733001</v>
      </c>
    </row>
    <row r="4908" spans="1:37" x14ac:dyDescent="0.2">
      <c r="A4908" t="str">
        <f>"20200111154159205"</f>
        <v>20200111154159205</v>
      </c>
      <c r="B4908" t="str">
        <f>"1578728519200931"</f>
        <v>1578728519200931</v>
      </c>
      <c r="C4908" t="s">
        <v>37</v>
      </c>
      <c r="D4908">
        <v>5.3065509999999998</v>
      </c>
      <c r="E4908">
        <v>0.55697509999999995</v>
      </c>
      <c r="F4908" t="s">
        <v>57</v>
      </c>
      <c r="G4908">
        <v>-217.27459999999999</v>
      </c>
      <c r="H4908" s="1">
        <v>-3.2235829999999899E-6</v>
      </c>
      <c r="I4908">
        <v>-65.391499999999994</v>
      </c>
      <c r="J4908">
        <v>-243.66739999999999</v>
      </c>
      <c r="K4908">
        <v>1.109836</v>
      </c>
      <c r="L4908">
        <v>-63.316800000000001</v>
      </c>
      <c r="M4908">
        <v>0.99964900000000001</v>
      </c>
      <c r="N4908">
        <v>0</v>
      </c>
      <c r="O4908">
        <v>-2.599272E-2</v>
      </c>
      <c r="P4908">
        <v>0.99662109999999904</v>
      </c>
      <c r="Q4908">
        <v>3.4248140000000003E-2</v>
      </c>
      <c r="R4908">
        <v>7.4656700000000006E-2</v>
      </c>
      <c r="S4908">
        <v>3.0320279999999999</v>
      </c>
      <c r="T4908">
        <v>-0.1266572</v>
      </c>
      <c r="U4908">
        <v>-0.23727419999999999</v>
      </c>
      <c r="V4908">
        <v>-0.10059269999999999</v>
      </c>
      <c r="W4908">
        <v>3.9209630000000002E-2</v>
      </c>
      <c r="X4908">
        <v>0.99415480000000001</v>
      </c>
      <c r="Y4908">
        <v>5.2054629999999998E-2</v>
      </c>
      <c r="Z4908" s="1">
        <v>-1.794309E-6</v>
      </c>
      <c r="AA4908">
        <v>0.99864419999999898</v>
      </c>
      <c r="AB4908">
        <v>35</v>
      </c>
      <c r="AC4908">
        <v>26.392799999999902</v>
      </c>
      <c r="AD4908">
        <v>-1.1098392235829999</v>
      </c>
      <c r="AE4908">
        <v>-2.0746999999999902</v>
      </c>
      <c r="AF4908">
        <v>1.38553438470075</v>
      </c>
      <c r="AG4908">
        <v>-1.1098392235829999</v>
      </c>
      <c r="AH4908">
        <v>26.391429651587199</v>
      </c>
      <c r="AI4908">
        <v>92.404733745508196</v>
      </c>
      <c r="AJ4908">
        <v>86.994764570710402</v>
      </c>
      <c r="AK4908">
        <v>26.451068176693099</v>
      </c>
    </row>
    <row r="4909" spans="1:37" x14ac:dyDescent="0.2">
      <c r="A4909" t="str">
        <f>"20200111154159214"</f>
        <v>20200111154159214</v>
      </c>
      <c r="B4909" t="str">
        <f>"1578728519210691"</f>
        <v>1578728519210691</v>
      </c>
      <c r="C4909" t="s">
        <v>37</v>
      </c>
      <c r="D4909">
        <v>5.1613249999999997</v>
      </c>
      <c r="E4909">
        <v>0.55675759999999996</v>
      </c>
      <c r="F4909" t="s">
        <v>57</v>
      </c>
      <c r="G4909">
        <v>-217.11160000000001</v>
      </c>
      <c r="H4909" s="1">
        <v>-3.157191E-6</v>
      </c>
      <c r="I4909">
        <v>-65.329859999999996</v>
      </c>
      <c r="J4909">
        <v>-243.49340000000001</v>
      </c>
      <c r="K4909">
        <v>1.109839</v>
      </c>
      <c r="L4909">
        <v>-63.321040000000004</v>
      </c>
      <c r="M4909">
        <v>0.99965749999999998</v>
      </c>
      <c r="N4909">
        <v>0</v>
      </c>
      <c r="O4909">
        <v>-2.566454E-2</v>
      </c>
      <c r="P4909">
        <v>0.99660519999999997</v>
      </c>
      <c r="Q4909">
        <v>3.4723379999999998E-2</v>
      </c>
      <c r="R4909">
        <v>7.4650149999999998E-2</v>
      </c>
      <c r="S4909">
        <v>3.0317379999999998</v>
      </c>
      <c r="T4909">
        <v>-0.1267046</v>
      </c>
      <c r="U4909">
        <v>-0.2298279</v>
      </c>
      <c r="V4909">
        <v>-0.1002594</v>
      </c>
      <c r="W4909">
        <v>3.9689429999999998E-2</v>
      </c>
      <c r="X4909">
        <v>0.99416939999999998</v>
      </c>
      <c r="Y4909">
        <v>4.9952990000000003E-2</v>
      </c>
      <c r="Z4909" s="1">
        <v>2.8367620000000001E-5</v>
      </c>
      <c r="AA4909">
        <v>0.99875159999999996</v>
      </c>
      <c r="AB4909">
        <v>35</v>
      </c>
      <c r="AC4909">
        <v>26.381799999999998</v>
      </c>
      <c r="AD4909">
        <v>-1.109842157191</v>
      </c>
      <c r="AE4909">
        <v>-2.0088199999999898</v>
      </c>
      <c r="AF4909">
        <v>1.3287346825490201</v>
      </c>
      <c r="AG4909">
        <v>-1.109842157191</v>
      </c>
      <c r="AH4909">
        <v>26.378252040667299</v>
      </c>
      <c r="AI4909">
        <v>92.406202240303202</v>
      </c>
      <c r="AJ4909">
        <v>87.116313988982796</v>
      </c>
      <c r="AK4909">
        <v>26.4350045619715</v>
      </c>
    </row>
    <row r="4910" spans="1:37" x14ac:dyDescent="0.2">
      <c r="A4910" t="str">
        <f>"20200111154159227"</f>
        <v>20200111154159227</v>
      </c>
      <c r="B4910" t="str">
        <f>"1578728519220451"</f>
        <v>1578728519220451</v>
      </c>
      <c r="C4910" t="s">
        <v>37</v>
      </c>
      <c r="D4910">
        <v>5.2001879999999998</v>
      </c>
      <c r="E4910">
        <v>0.55656169999999905</v>
      </c>
      <c r="F4910" t="s">
        <v>57</v>
      </c>
      <c r="G4910">
        <v>-216.6961</v>
      </c>
      <c r="H4910" s="1">
        <v>-3.0168789999999999E-6</v>
      </c>
      <c r="I4910">
        <v>-65.335999999999999</v>
      </c>
      <c r="J4910">
        <v>-243.30709999999999</v>
      </c>
      <c r="K4910">
        <v>1.109842</v>
      </c>
      <c r="L4910">
        <v>-63.325559999999903</v>
      </c>
      <c r="M4910">
        <v>0.99966650000000001</v>
      </c>
      <c r="N4910">
        <v>0</v>
      </c>
      <c r="O4910">
        <v>-2.531299E-2</v>
      </c>
      <c r="P4910">
        <v>0.99658239999999998</v>
      </c>
      <c r="Q4910">
        <v>3.5315480000000003E-2</v>
      </c>
      <c r="R4910">
        <v>7.4674550000000006E-2</v>
      </c>
      <c r="S4910">
        <v>3.0316770000000002</v>
      </c>
      <c r="T4910">
        <v>-0.12556049999999999</v>
      </c>
      <c r="U4910">
        <v>-0.22796630000000001</v>
      </c>
      <c r="V4910">
        <v>-9.9934620000000002E-2</v>
      </c>
      <c r="W4910">
        <v>4.0285469999999997E-2</v>
      </c>
      <c r="X4910">
        <v>0.99417809999999995</v>
      </c>
      <c r="Y4910">
        <v>4.9696230000000001E-2</v>
      </c>
      <c r="Z4910" s="1">
        <v>1.8899450000000001E-5</v>
      </c>
      <c r="AA4910">
        <v>0.9987644</v>
      </c>
      <c r="AB4910">
        <v>35</v>
      </c>
      <c r="AC4910">
        <v>26.610999999999901</v>
      </c>
      <c r="AD4910">
        <v>-1.1098450168789999</v>
      </c>
      <c r="AE4910">
        <v>-2.01044</v>
      </c>
      <c r="AF4910">
        <v>1.3338760148595701</v>
      </c>
      <c r="AG4910">
        <v>-1.1098450168789999</v>
      </c>
      <c r="AH4910">
        <v>26.607345400346901</v>
      </c>
      <c r="AI4910">
        <v>92.385543367108895</v>
      </c>
      <c r="AJ4910">
        <v>87.130057997467802</v>
      </c>
      <c r="AK4910">
        <v>26.6638671320923</v>
      </c>
    </row>
    <row r="4911" spans="1:37" x14ac:dyDescent="0.2">
      <c r="A4911" t="str">
        <f>"20200111154159238"</f>
        <v>20200111154159238</v>
      </c>
      <c r="B4911" t="str">
        <f>"1578728519231187"</f>
        <v>1578728519231187</v>
      </c>
      <c r="C4911" t="s">
        <v>37</v>
      </c>
      <c r="D4911">
        <v>5.2066980000000003</v>
      </c>
      <c r="E4911">
        <v>0.55640269999999903</v>
      </c>
      <c r="F4911" t="s">
        <v>57</v>
      </c>
      <c r="G4911">
        <v>-216.13299999999899</v>
      </c>
      <c r="H4911" s="1">
        <v>-2.8281259999999999E-6</v>
      </c>
      <c r="I4911">
        <v>-65.352199999999996</v>
      </c>
      <c r="J4911">
        <v>-243.1319</v>
      </c>
      <c r="K4911">
        <v>1.109847</v>
      </c>
      <c r="L4911">
        <v>-63.329740000000001</v>
      </c>
      <c r="M4911">
        <v>0.99967469999999903</v>
      </c>
      <c r="N4911">
        <v>0</v>
      </c>
      <c r="O4911">
        <v>-2.4982540000000001E-2</v>
      </c>
      <c r="P4911">
        <v>0.99657419999999997</v>
      </c>
      <c r="Q4911">
        <v>3.5813530000000003E-2</v>
      </c>
      <c r="R4911">
        <v>7.4548089999999997E-2</v>
      </c>
      <c r="S4911">
        <v>3.0316160000000001</v>
      </c>
      <c r="T4911">
        <v>-0.12381730000000001</v>
      </c>
      <c r="U4911">
        <v>-0.22610469999999999</v>
      </c>
      <c r="V4911">
        <v>-9.9480330000000006E-2</v>
      </c>
      <c r="W4911">
        <v>4.0788129999999999E-2</v>
      </c>
      <c r="X4911">
        <v>0.99420319999999995</v>
      </c>
      <c r="Y4911">
        <v>4.9418539999999997E-2</v>
      </c>
      <c r="Z4911" s="1">
        <v>1.0838270000000001E-5</v>
      </c>
      <c r="AA4911">
        <v>0.99877819999999995</v>
      </c>
      <c r="AB4911">
        <v>35</v>
      </c>
      <c r="AC4911">
        <v>26.998899999999999</v>
      </c>
      <c r="AD4911">
        <v>-1.1098498281260001</v>
      </c>
      <c r="AE4911">
        <v>-2.0224599999999899</v>
      </c>
      <c r="AF4911">
        <v>1.34505855462698</v>
      </c>
      <c r="AG4911">
        <v>-1.1098498281260001</v>
      </c>
      <c r="AH4911">
        <v>26.995637156204999</v>
      </c>
      <c r="AI4911">
        <v>92.351315802762898</v>
      </c>
      <c r="AJ4911">
        <v>87.147594642127501</v>
      </c>
      <c r="AK4911">
        <v>27.051901497414999</v>
      </c>
    </row>
    <row r="4912" spans="1:37" x14ac:dyDescent="0.2">
      <c r="A4912" t="str">
        <f>"20200111154159248"</f>
        <v>20200111154159248</v>
      </c>
      <c r="B4912" t="str">
        <f>"1578728519240946"</f>
        <v>1578728519240946</v>
      </c>
      <c r="C4912" t="s">
        <v>37</v>
      </c>
      <c r="D4912">
        <v>5.1477180000000002</v>
      </c>
      <c r="E4912">
        <v>0.55626249999999999</v>
      </c>
      <c r="F4912" t="s">
        <v>57</v>
      </c>
      <c r="G4912">
        <v>-215.69370000000001</v>
      </c>
      <c r="H4912" s="1">
        <v>-2.6812650000000002E-6</v>
      </c>
      <c r="I4912">
        <v>-65.367009999999993</v>
      </c>
      <c r="J4912">
        <v>-242.96350000000001</v>
      </c>
      <c r="K4912">
        <v>1.1098520000000001</v>
      </c>
      <c r="L4912">
        <v>-63.333709999999897</v>
      </c>
      <c r="M4912">
        <v>0.99968269999999904</v>
      </c>
      <c r="N4912">
        <v>0</v>
      </c>
      <c r="O4912">
        <v>-2.4664849999999999E-2</v>
      </c>
      <c r="P4912">
        <v>0.99656089999999997</v>
      </c>
      <c r="Q4912">
        <v>3.6338080000000002E-2</v>
      </c>
      <c r="R4912">
        <v>7.447173E-2</v>
      </c>
      <c r="S4912">
        <v>3.031555</v>
      </c>
      <c r="T4912">
        <v>-0.12262339999999999</v>
      </c>
      <c r="U4912">
        <v>-0.22509770000000001</v>
      </c>
      <c r="V4912">
        <v>-9.9088480000000007E-2</v>
      </c>
      <c r="W4912">
        <v>4.1317439999999997E-2</v>
      </c>
      <c r="X4912">
        <v>0.99422049999999995</v>
      </c>
      <c r="Y4912">
        <v>4.9407609999999998E-2</v>
      </c>
      <c r="Z4912" s="1">
        <v>-1.862762E-6</v>
      </c>
      <c r="AA4912">
        <v>0.99877870000000002</v>
      </c>
      <c r="AB4912">
        <v>35</v>
      </c>
      <c r="AC4912">
        <v>27.2698</v>
      </c>
      <c r="AD4912">
        <v>-1.1098546812650001</v>
      </c>
      <c r="AE4912">
        <v>-2.0332999999999899</v>
      </c>
      <c r="AF4912">
        <v>1.35783039524214</v>
      </c>
      <c r="AG4912">
        <v>-1.1098546812650001</v>
      </c>
      <c r="AH4912">
        <v>27.266740115552999</v>
      </c>
      <c r="AI4912">
        <v>92.327976689117804</v>
      </c>
      <c r="AJ4912">
        <v>87.149137111207693</v>
      </c>
      <c r="AK4912">
        <v>27.323078108530801</v>
      </c>
    </row>
    <row r="4913" spans="1:37" x14ac:dyDescent="0.2">
      <c r="A4913" t="str">
        <f>"20200111154159259"</f>
        <v>20200111154159259</v>
      </c>
      <c r="B4913" t="str">
        <f>"1578728519250707"</f>
        <v>1578728519250707</v>
      </c>
      <c r="C4913" t="s">
        <v>37</v>
      </c>
      <c r="D4913">
        <v>5.1287469999999997</v>
      </c>
      <c r="E4913">
        <v>0.55615879999999995</v>
      </c>
      <c r="F4913" t="s">
        <v>57</v>
      </c>
      <c r="G4913">
        <v>-215.19329999999999</v>
      </c>
      <c r="H4913" s="1">
        <v>-2.5143070000000002E-6</v>
      </c>
      <c r="I4913">
        <v>-65.38588</v>
      </c>
      <c r="J4913">
        <v>-242.78739999999999</v>
      </c>
      <c r="K4913">
        <v>1.1098589999999999</v>
      </c>
      <c r="L4913">
        <v>-63.337800000000001</v>
      </c>
      <c r="M4913">
        <v>0.99969069999999904</v>
      </c>
      <c r="N4913">
        <v>0</v>
      </c>
      <c r="O4913">
        <v>-2.4332969999999999E-2</v>
      </c>
      <c r="P4913">
        <v>0.99654959999999904</v>
      </c>
      <c r="Q4913">
        <v>3.6798459999999998E-2</v>
      </c>
      <c r="R4913">
        <v>7.4396110000000001E-2</v>
      </c>
      <c r="S4913">
        <v>3.0315089999999998</v>
      </c>
      <c r="T4913">
        <v>-0.12115629999999999</v>
      </c>
      <c r="U4913">
        <v>-0.22402949999999999</v>
      </c>
      <c r="V4913">
        <v>-9.8683580000000007E-2</v>
      </c>
      <c r="W4913">
        <v>4.178196E-2</v>
      </c>
      <c r="X4913">
        <v>0.99424140000000005</v>
      </c>
      <c r="Y4913">
        <v>4.9390530000000002E-2</v>
      </c>
      <c r="Z4913" s="1">
        <v>-1.4730499999999901E-5</v>
      </c>
      <c r="AA4913">
        <v>0.99877950000000004</v>
      </c>
      <c r="AB4913">
        <v>35</v>
      </c>
      <c r="AC4913">
        <v>27.594100000000001</v>
      </c>
      <c r="AD4913">
        <v>-1.1098615143070001</v>
      </c>
      <c r="AE4913">
        <v>-2.0480799999999899</v>
      </c>
      <c r="AF4913">
        <v>1.37380802276922</v>
      </c>
      <c r="AG4913">
        <v>-1.1098615143070001</v>
      </c>
      <c r="AH4913">
        <v>27.591375200986398</v>
      </c>
      <c r="AI4913">
        <v>92.300630675751606</v>
      </c>
      <c r="AJ4913">
        <v>87.149527714793294</v>
      </c>
      <c r="AK4913">
        <v>27.647841263758199</v>
      </c>
    </row>
    <row r="4914" spans="1:37" x14ac:dyDescent="0.2">
      <c r="A4914" t="str">
        <f>"20200111154159271"</f>
        <v>20200111154159271</v>
      </c>
      <c r="B4914" t="str">
        <f>"1578728519260467"</f>
        <v>1578728519260467</v>
      </c>
      <c r="C4914" t="s">
        <v>37</v>
      </c>
      <c r="D4914">
        <v>5.1281889999999999</v>
      </c>
      <c r="E4914">
        <v>0.55597890000000005</v>
      </c>
      <c r="F4914" t="s">
        <v>57</v>
      </c>
      <c r="G4914">
        <v>-214.60810000000001</v>
      </c>
      <c r="H4914" s="1">
        <v>-2.2845549999999999E-6</v>
      </c>
      <c r="I4914">
        <v>-65.414839999999998</v>
      </c>
      <c r="J4914">
        <v>-242.6225</v>
      </c>
      <c r="K4914">
        <v>1.1098629999999901</v>
      </c>
      <c r="L4914">
        <v>-63.341549999999998</v>
      </c>
      <c r="M4914">
        <v>0.99969819999999998</v>
      </c>
      <c r="N4914">
        <v>0</v>
      </c>
      <c r="O4914">
        <v>-2.4021959999999998E-2</v>
      </c>
      <c r="P4914">
        <v>0.9965347</v>
      </c>
      <c r="Q4914">
        <v>3.7244560000000003E-2</v>
      </c>
      <c r="R4914">
        <v>7.4376419999999999E-2</v>
      </c>
      <c r="S4914">
        <v>3.0314640000000002</v>
      </c>
      <c r="T4914">
        <v>-0.11939619999999999</v>
      </c>
      <c r="U4914">
        <v>-0.2234497</v>
      </c>
      <c r="V4914">
        <v>-9.8355070000000003E-2</v>
      </c>
      <c r="W4914">
        <v>4.2232169999999999E-2</v>
      </c>
      <c r="X4914">
        <v>0.99425490000000005</v>
      </c>
      <c r="Y4914">
        <v>4.9512590000000002E-2</v>
      </c>
      <c r="Z4914" s="1">
        <v>-2.913643E-5</v>
      </c>
      <c r="AA4914">
        <v>0.99877349999999998</v>
      </c>
      <c r="AB4914">
        <v>35</v>
      </c>
      <c r="AC4914">
        <v>28.014399999999899</v>
      </c>
      <c r="AD4914">
        <v>-1.1098652845550001</v>
      </c>
      <c r="AE4914">
        <v>-2.0732900000000001</v>
      </c>
      <c r="AF4914">
        <v>1.39754042488008</v>
      </c>
      <c r="AG4914">
        <v>-1.1098652845550001</v>
      </c>
      <c r="AH4914">
        <v>28.0123932255479</v>
      </c>
      <c r="AI4914">
        <v>92.266085759550293</v>
      </c>
      <c r="AJ4914">
        <v>87.1438772876391</v>
      </c>
      <c r="AK4914">
        <v>28.069184071001299</v>
      </c>
    </row>
    <row r="4915" spans="1:37" x14ac:dyDescent="0.2">
      <c r="A4915" t="str">
        <f>"20200111154159280"</f>
        <v>20200111154159280</v>
      </c>
      <c r="B4915" t="str">
        <f>"1578728519271203"</f>
        <v>1578728519271203</v>
      </c>
      <c r="C4915" t="s">
        <v>37</v>
      </c>
      <c r="D4915">
        <v>5.1219429999999999</v>
      </c>
      <c r="E4915">
        <v>0.55601690000000004</v>
      </c>
      <c r="F4915" t="s">
        <v>57</v>
      </c>
      <c r="G4915">
        <v>-214.1987</v>
      </c>
      <c r="H4915" s="1">
        <v>-2.111222E-6</v>
      </c>
      <c r="I4915">
        <v>-65.423479999999998</v>
      </c>
      <c r="J4915">
        <v>-242.45079999999999</v>
      </c>
      <c r="K4915">
        <v>1.109866</v>
      </c>
      <c r="L4915">
        <v>-63.34543</v>
      </c>
      <c r="M4915">
        <v>0.99970569999999903</v>
      </c>
      <c r="N4915">
        <v>0</v>
      </c>
      <c r="O4915">
        <v>-2.3697590000000001E-2</v>
      </c>
      <c r="P4915">
        <v>0.99652229999999997</v>
      </c>
      <c r="Q4915">
        <v>3.7629000000000003E-2</v>
      </c>
      <c r="R4915">
        <v>7.4347319999999995E-2</v>
      </c>
      <c r="S4915">
        <v>3.0314329999999998</v>
      </c>
      <c r="T4915">
        <v>-0.1183681</v>
      </c>
      <c r="U4915">
        <v>-0.22204589999999999</v>
      </c>
      <c r="V4915">
        <v>-9.8004040000000001E-2</v>
      </c>
      <c r="W4915">
        <v>4.2620449999999997E-2</v>
      </c>
      <c r="X4915">
        <v>0.99427289999999902</v>
      </c>
      <c r="Y4915">
        <v>4.9377560000000001E-2</v>
      </c>
      <c r="Z4915" s="1">
        <v>-3.8889059999999997E-5</v>
      </c>
      <c r="AA4915">
        <v>0.99878020000000001</v>
      </c>
      <c r="AB4915">
        <v>35</v>
      </c>
      <c r="AC4915">
        <v>28.252099999999899</v>
      </c>
      <c r="AD4915">
        <v>-1.1098681112219999</v>
      </c>
      <c r="AE4915">
        <v>-2.07804999999999</v>
      </c>
      <c r="AF4915">
        <v>1.40579287048197</v>
      </c>
      <c r="AG4915">
        <v>-1.1098681112219999</v>
      </c>
      <c r="AH4915">
        <v>28.250048476402299</v>
      </c>
      <c r="AI4915">
        <v>92.247061750899206</v>
      </c>
      <c r="AJ4915">
        <v>87.151169085037793</v>
      </c>
      <c r="AK4915">
        <v>28.306771270105699</v>
      </c>
    </row>
    <row r="4916" spans="1:37" x14ac:dyDescent="0.2">
      <c r="A4916" t="str">
        <f>"20200111154159293"</f>
        <v>20200111154159293</v>
      </c>
      <c r="B4916" t="str">
        <f>"1578728519280963"</f>
        <v>1578728519280963</v>
      </c>
      <c r="C4916" t="s">
        <v>37</v>
      </c>
      <c r="D4916">
        <v>5.1204190000000001</v>
      </c>
      <c r="E4916">
        <v>0.55602240000000003</v>
      </c>
      <c r="F4916" t="s">
        <v>57</v>
      </c>
      <c r="G4916">
        <v>-214.0702</v>
      </c>
      <c r="H4916" s="1">
        <v>-2.0571000000000002E-6</v>
      </c>
      <c r="I4916">
        <v>-65.427250000000001</v>
      </c>
      <c r="J4916">
        <v>-242.27420000000001</v>
      </c>
      <c r="K4916">
        <v>1.1098699999999999</v>
      </c>
      <c r="L4916">
        <v>-63.349369999999901</v>
      </c>
      <c r="M4916">
        <v>0.99971379999999999</v>
      </c>
      <c r="N4916">
        <v>0</v>
      </c>
      <c r="O4916">
        <v>-2.336189E-2</v>
      </c>
      <c r="P4916">
        <v>0.99651590000000001</v>
      </c>
      <c r="Q4916">
        <v>3.7940920000000003E-2</v>
      </c>
      <c r="R4916">
        <v>7.4277350000000006E-2</v>
      </c>
      <c r="S4916">
        <v>3.0315400000000001</v>
      </c>
      <c r="T4916">
        <v>-0.11855299999999901</v>
      </c>
      <c r="U4916">
        <v>-0.22238160000000001</v>
      </c>
      <c r="V4916">
        <v>-9.760067E-2</v>
      </c>
      <c r="W4916">
        <v>4.2936780000000001E-2</v>
      </c>
      <c r="X4916">
        <v>0.99429899999999904</v>
      </c>
      <c r="Y4916">
        <v>4.9819750000000003E-2</v>
      </c>
      <c r="Z4916" s="1">
        <v>-6.0677299999999901E-5</v>
      </c>
      <c r="AA4916">
        <v>0.99875820000000004</v>
      </c>
      <c r="AB4916">
        <v>35</v>
      </c>
      <c r="AC4916">
        <v>28.204000000000001</v>
      </c>
      <c r="AD4916">
        <v>-1.1098720571</v>
      </c>
      <c r="AE4916">
        <v>-2.0778799999999999</v>
      </c>
      <c r="AF4916">
        <v>1.4162241371545501</v>
      </c>
      <c r="AG4916">
        <v>-1.1098720571</v>
      </c>
      <c r="AH4916">
        <v>28.201410577094201</v>
      </c>
      <c r="AI4916">
        <v>92.250890086618796</v>
      </c>
      <c r="AJ4916">
        <v>87.125124024985496</v>
      </c>
      <c r="AK4916">
        <v>28.258752012918599</v>
      </c>
    </row>
    <row r="4917" spans="1:37" x14ac:dyDescent="0.2">
      <c r="A4917" t="str">
        <f>"20200111154159305"</f>
        <v>20200111154159305</v>
      </c>
      <c r="B4917" t="str">
        <f>"1578728519300483"</f>
        <v>1578728519300483</v>
      </c>
      <c r="C4917" t="s">
        <v>37</v>
      </c>
      <c r="D4917">
        <v>5.0972809999999997</v>
      </c>
      <c r="E4917">
        <v>0.55606979999999995</v>
      </c>
      <c r="F4917" t="s">
        <v>57</v>
      </c>
      <c r="G4917">
        <v>-214.00739999999999</v>
      </c>
      <c r="H4917" s="1">
        <v>-2.0296029999999999E-6</v>
      </c>
      <c r="I4917">
        <v>-65.425060000000002</v>
      </c>
      <c r="J4917">
        <v>-242.0822</v>
      </c>
      <c r="K4917">
        <v>1.109882</v>
      </c>
      <c r="L4917">
        <v>-63.353549999999998</v>
      </c>
      <c r="M4917">
        <v>0.99972220000000001</v>
      </c>
      <c r="N4917">
        <v>0</v>
      </c>
      <c r="O4917">
        <v>-2.2994480000000001E-2</v>
      </c>
      <c r="P4917">
        <v>0.99649979999999905</v>
      </c>
      <c r="Q4917">
        <v>3.834398E-2</v>
      </c>
      <c r="R4917">
        <v>7.4281760000000002E-2</v>
      </c>
      <c r="S4917">
        <v>3.0316160000000001</v>
      </c>
      <c r="T4917">
        <v>-0.1190338</v>
      </c>
      <c r="U4917">
        <v>-0.22262570000000001</v>
      </c>
      <c r="V4917">
        <v>-9.7239580000000006E-2</v>
      </c>
      <c r="W4917">
        <v>4.3344090000000002E-2</v>
      </c>
      <c r="X4917">
        <v>0.9943168</v>
      </c>
      <c r="Y4917">
        <v>5.0264179999999999E-2</v>
      </c>
      <c r="Z4917" s="1">
        <v>-8.4023920000000002E-5</v>
      </c>
      <c r="AA4917">
        <v>0.99873599999999996</v>
      </c>
      <c r="AB4917">
        <v>35</v>
      </c>
      <c r="AC4917">
        <v>28.0748</v>
      </c>
      <c r="AD4917">
        <v>-1.1098840296029999</v>
      </c>
      <c r="AE4917">
        <v>-2.07151</v>
      </c>
      <c r="AF4917">
        <v>1.42317600095031</v>
      </c>
      <c r="AG4917">
        <v>-1.1098840296029999</v>
      </c>
      <c r="AH4917">
        <v>28.071376277840699</v>
      </c>
      <c r="AI4917">
        <v>92.261275790295699</v>
      </c>
      <c r="AJ4917">
        <v>87.097676234862405</v>
      </c>
      <c r="AK4917">
        <v>28.129334130422698</v>
      </c>
    </row>
    <row r="4918" spans="1:37" x14ac:dyDescent="0.2">
      <c r="A4918" t="str">
        <f>"20200111154159316"</f>
        <v>20200111154159316</v>
      </c>
      <c r="B4918" t="str">
        <f>"1578728519311218"</f>
        <v>1578728519311218</v>
      </c>
      <c r="C4918" t="s">
        <v>37</v>
      </c>
      <c r="D4918">
        <v>5.1573729999999998</v>
      </c>
      <c r="E4918">
        <v>0.55610190000000004</v>
      </c>
      <c r="F4918" t="s">
        <v>57</v>
      </c>
      <c r="G4918">
        <v>-214.2313</v>
      </c>
      <c r="H4918" s="1">
        <v>-2.119331E-6</v>
      </c>
      <c r="I4918">
        <v>-65.401390000000006</v>
      </c>
      <c r="J4918">
        <v>-241.9153</v>
      </c>
      <c r="K4918">
        <v>1.10989</v>
      </c>
      <c r="L4918">
        <v>-63.357149999999997</v>
      </c>
      <c r="M4918">
        <v>0.9997296</v>
      </c>
      <c r="N4918">
        <v>0</v>
      </c>
      <c r="O4918">
        <v>-2.2669849999999998E-2</v>
      </c>
      <c r="P4918">
        <v>0.99649569999999998</v>
      </c>
      <c r="Q4918">
        <v>3.849201E-2</v>
      </c>
      <c r="R4918">
        <v>7.4260590000000001E-2</v>
      </c>
      <c r="S4918">
        <v>3.0317989999999999</v>
      </c>
      <c r="T4918">
        <v>-0.1208198</v>
      </c>
      <c r="U4918">
        <v>-0.22293089999999999</v>
      </c>
      <c r="V4918">
        <v>-9.6896599999999999E-2</v>
      </c>
      <c r="W4918">
        <v>4.3495579999999999E-2</v>
      </c>
      <c r="X4918">
        <v>0.99434359999999999</v>
      </c>
      <c r="Y4918">
        <v>5.0682850000000002E-2</v>
      </c>
      <c r="Z4918">
        <v>-1.0651249999999999E-4</v>
      </c>
      <c r="AA4918">
        <v>0.99871480000000001</v>
      </c>
      <c r="AB4918">
        <v>35</v>
      </c>
      <c r="AC4918">
        <v>27.684000000000001</v>
      </c>
      <c r="AD4918">
        <v>-1.1098921193310001</v>
      </c>
      <c r="AE4918">
        <v>-2.0442399999999998</v>
      </c>
      <c r="AF4918">
        <v>1.41385389006776</v>
      </c>
      <c r="AG4918">
        <v>-1.1098921193310001</v>
      </c>
      <c r="AH4918">
        <v>27.678980554647499</v>
      </c>
      <c r="AI4918">
        <v>92.293271444206795</v>
      </c>
      <c r="AJ4918">
        <v>87.075849119441997</v>
      </c>
      <c r="AK4918">
        <v>27.737281912320899</v>
      </c>
    </row>
    <row r="4919" spans="1:37" x14ac:dyDescent="0.2">
      <c r="A4919" t="str">
        <f>"20200111154159327"</f>
        <v>20200111154159327</v>
      </c>
      <c r="B4919" t="str">
        <f>"1578728519320979"</f>
        <v>1578728519320979</v>
      </c>
      <c r="C4919" t="s">
        <v>37</v>
      </c>
      <c r="D4919">
        <v>5.172714</v>
      </c>
      <c r="E4919">
        <v>0.55618800000000002</v>
      </c>
      <c r="F4919" t="s">
        <v>57</v>
      </c>
      <c r="G4919">
        <v>-214.215</v>
      </c>
      <c r="H4919" s="1">
        <v>-2.1113859999999998E-6</v>
      </c>
      <c r="I4919">
        <v>-65.397750000000002</v>
      </c>
      <c r="J4919">
        <v>-241.72579999999999</v>
      </c>
      <c r="K4919">
        <v>1.1098969999999999</v>
      </c>
      <c r="L4919">
        <v>-63.361179999999997</v>
      </c>
      <c r="M4919">
        <v>0.99973799999999902</v>
      </c>
      <c r="N4919">
        <v>0</v>
      </c>
      <c r="O4919">
        <v>-2.229706E-2</v>
      </c>
      <c r="P4919">
        <v>0.99647209999999997</v>
      </c>
      <c r="Q4919">
        <v>3.8656830000000003E-2</v>
      </c>
      <c r="R4919">
        <v>7.4491829999999995E-2</v>
      </c>
      <c r="S4919">
        <v>3.0318909999999999</v>
      </c>
      <c r="T4919">
        <v>-0.1214813</v>
      </c>
      <c r="U4919">
        <v>-0.22335820000000001</v>
      </c>
      <c r="V4919">
        <v>-9.6757430000000005E-2</v>
      </c>
      <c r="W4919">
        <v>4.3663739999999999E-2</v>
      </c>
      <c r="X4919">
        <v>0.99434979999999995</v>
      </c>
      <c r="Y4919">
        <v>5.1192080000000001E-2</v>
      </c>
      <c r="Z4919">
        <v>-1.3217759999999999E-4</v>
      </c>
      <c r="AA4919">
        <v>0.99868880000000004</v>
      </c>
      <c r="AB4919">
        <v>35</v>
      </c>
      <c r="AC4919">
        <v>27.5107999999999</v>
      </c>
      <c r="AD4919">
        <v>-1.1098991113859999</v>
      </c>
      <c r="AE4919">
        <v>-2.03656999999999</v>
      </c>
      <c r="AF4919">
        <v>1.42034628029057</v>
      </c>
      <c r="AG4919">
        <v>-1.1098991113859999</v>
      </c>
      <c r="AH4919">
        <v>27.504846261818599</v>
      </c>
      <c r="AI4919">
        <v>92.307723050224894</v>
      </c>
      <c r="AJ4919">
        <v>87.043880042228906</v>
      </c>
      <c r="AK4919">
        <v>27.563850011920898</v>
      </c>
    </row>
    <row r="4920" spans="1:37" x14ac:dyDescent="0.2">
      <c r="A4920" t="str">
        <f>"20200111154159337"</f>
        <v>20200111154159337</v>
      </c>
      <c r="B4920" t="str">
        <f>"1578728519330738"</f>
        <v>1578728519330738</v>
      </c>
      <c r="C4920" t="s">
        <v>37</v>
      </c>
      <c r="D4920">
        <v>5.1377459999999999</v>
      </c>
      <c r="E4920">
        <v>0.55623849999999997</v>
      </c>
      <c r="F4920" t="s">
        <v>57</v>
      </c>
      <c r="G4920">
        <v>-214.1208</v>
      </c>
      <c r="H4920" s="1">
        <v>-2.070297E-6</v>
      </c>
      <c r="I4920">
        <v>-65.395229999999998</v>
      </c>
      <c r="J4920">
        <v>-241.55779999999999</v>
      </c>
      <c r="K4920">
        <v>1.109907</v>
      </c>
      <c r="L4920">
        <v>-63.364649999999997</v>
      </c>
      <c r="M4920">
        <v>0.99974540000000001</v>
      </c>
      <c r="N4920">
        <v>0</v>
      </c>
      <c r="O4920">
        <v>-2.1961209999999998E-2</v>
      </c>
      <c r="P4920">
        <v>0.99647050000000004</v>
      </c>
      <c r="Q4920">
        <v>3.8384979999999999E-2</v>
      </c>
      <c r="R4920">
        <v>7.4653629999999999E-2</v>
      </c>
      <c r="S4920">
        <v>3.0320429999999998</v>
      </c>
      <c r="T4920">
        <v>-0.1219075</v>
      </c>
      <c r="U4920">
        <v>-0.22341920000000001</v>
      </c>
      <c r="V4920">
        <v>-9.6585530000000003E-2</v>
      </c>
      <c r="W4920">
        <v>4.339411E-2</v>
      </c>
      <c r="X4920">
        <v>0.99437830000000005</v>
      </c>
      <c r="Y4920">
        <v>5.1543159999999998E-2</v>
      </c>
      <c r="Z4920">
        <v>-1.5315120000000001E-4</v>
      </c>
      <c r="AA4920">
        <v>0.99867079999999997</v>
      </c>
      <c r="AB4920">
        <v>35</v>
      </c>
      <c r="AC4920">
        <v>27.436999999999902</v>
      </c>
      <c r="AD4920">
        <v>-1.109909070297</v>
      </c>
      <c r="AE4920">
        <v>-2.0305800000000001</v>
      </c>
      <c r="AF4920">
        <v>1.4252128752834501</v>
      </c>
      <c r="AG4920">
        <v>-1.109909070297</v>
      </c>
      <c r="AH4920">
        <v>27.4303335367857</v>
      </c>
      <c r="AI4920">
        <v>92.313967829719303</v>
      </c>
      <c r="AJ4920">
        <v>87.025726290297698</v>
      </c>
      <c r="AK4920">
        <v>27.489749504561001</v>
      </c>
    </row>
    <row r="4921" spans="1:37" x14ac:dyDescent="0.2">
      <c r="A4921" t="str">
        <f>"20200111154159349"</f>
        <v>20200111154159349</v>
      </c>
      <c r="B4921" t="str">
        <f>"1578728519340501"</f>
        <v>1578728519340501</v>
      </c>
      <c r="C4921" t="s">
        <v>37</v>
      </c>
      <c r="D4921">
        <v>5.0580819999999997</v>
      </c>
      <c r="E4921">
        <v>0.55632309999999996</v>
      </c>
      <c r="F4921" t="s">
        <v>57</v>
      </c>
      <c r="G4921">
        <v>-214.3914</v>
      </c>
      <c r="H4921" s="1">
        <v>-2.1785209999999999E-6</v>
      </c>
      <c r="I4921">
        <v>-65.365780000000001</v>
      </c>
      <c r="J4921">
        <v>-241.3827</v>
      </c>
      <c r="K4921">
        <v>1.1099159999999999</v>
      </c>
      <c r="L4921">
        <v>-63.368229999999997</v>
      </c>
      <c r="M4921">
        <v>0.99975329999999996</v>
      </c>
      <c r="N4921">
        <v>0</v>
      </c>
      <c r="O4921">
        <v>-2.1602590000000001E-2</v>
      </c>
      <c r="P4921">
        <v>0.99645159999999999</v>
      </c>
      <c r="Q4921">
        <v>3.8441580000000003E-2</v>
      </c>
      <c r="R4921">
        <v>7.4877609999999997E-2</v>
      </c>
      <c r="S4921">
        <v>3.0321349999999998</v>
      </c>
      <c r="T4921">
        <v>-0.1238805</v>
      </c>
      <c r="U4921">
        <v>-0.22335820000000001</v>
      </c>
      <c r="V4921">
        <v>-9.6453929999999993E-2</v>
      </c>
      <c r="W4921">
        <v>4.3452709999999999E-2</v>
      </c>
      <c r="X4921">
        <v>0.99438850000000001</v>
      </c>
      <c r="Y4921">
        <v>5.187783E-2</v>
      </c>
      <c r="Z4921">
        <v>-1.770656E-4</v>
      </c>
      <c r="AA4921">
        <v>0.99865339999999903</v>
      </c>
      <c r="AB4921">
        <v>35</v>
      </c>
      <c r="AC4921">
        <v>26.991299999999899</v>
      </c>
      <c r="AD4921">
        <v>-1.1099181785209999</v>
      </c>
      <c r="AE4921">
        <v>-1.9975499999999899</v>
      </c>
      <c r="AF4921">
        <v>1.4116200747388601</v>
      </c>
      <c r="AG4921">
        <v>-1.1099181785209999</v>
      </c>
      <c r="AH4921">
        <v>26.982775527544099</v>
      </c>
      <c r="AI4921">
        <v>92.352281935497501</v>
      </c>
      <c r="AJ4921">
        <v>87.005267078234496</v>
      </c>
      <c r="AK4921">
        <v>27.0424622541708</v>
      </c>
    </row>
    <row r="4922" spans="1:37" x14ac:dyDescent="0.2">
      <c r="A4922" t="str">
        <f>"20200111154159360"</f>
        <v>20200111154159360</v>
      </c>
      <c r="B4922" t="str">
        <f>"1578728519351235"</f>
        <v>1578728519351235</v>
      </c>
      <c r="C4922" t="s">
        <v>37</v>
      </c>
      <c r="D4922">
        <v>5.1468949999999998</v>
      </c>
      <c r="E4922">
        <v>0.55633250000000001</v>
      </c>
      <c r="F4922" t="s">
        <v>57</v>
      </c>
      <c r="G4922">
        <v>-214.69560000000001</v>
      </c>
      <c r="H4922" s="1">
        <v>-2.3004309999999998E-6</v>
      </c>
      <c r="I4922">
        <v>-65.333370000000002</v>
      </c>
      <c r="J4922">
        <v>-241.20750000000001</v>
      </c>
      <c r="K4922">
        <v>1.1099270000000001</v>
      </c>
      <c r="L4922">
        <v>-63.371729999999999</v>
      </c>
      <c r="M4922">
        <v>0.99976100000000001</v>
      </c>
      <c r="N4922">
        <v>0</v>
      </c>
      <c r="O4922">
        <v>-2.1238E-2</v>
      </c>
      <c r="P4922">
        <v>0.99642809999999904</v>
      </c>
      <c r="Q4922">
        <v>3.8572790000000003E-2</v>
      </c>
      <c r="R4922">
        <v>7.5122820000000007E-2</v>
      </c>
      <c r="S4922">
        <v>3.0323329999999999</v>
      </c>
      <c r="T4922">
        <v>-0.1261148</v>
      </c>
      <c r="U4922">
        <v>-0.2232971</v>
      </c>
      <c r="V4922">
        <v>-9.6337179999999994E-2</v>
      </c>
      <c r="W4922">
        <v>4.3586090000000001E-2</v>
      </c>
      <c r="X4922">
        <v>0.994394</v>
      </c>
      <c r="Y4922">
        <v>5.2215730000000002E-2</v>
      </c>
      <c r="Z4922">
        <v>-2.023866E-4</v>
      </c>
      <c r="AA4922">
        <v>0.99863579999999996</v>
      </c>
      <c r="AB4922">
        <v>35</v>
      </c>
      <c r="AC4922">
        <v>26.511900000000001</v>
      </c>
      <c r="AD4922">
        <v>-1.109929300431</v>
      </c>
      <c r="AE4922">
        <v>-1.9616399999999901</v>
      </c>
      <c r="AF4922">
        <v>1.3956973072134899</v>
      </c>
      <c r="AG4922">
        <v>-1.109929300431</v>
      </c>
      <c r="AH4922">
        <v>26.5013856903924</v>
      </c>
      <c r="AI4922">
        <v>92.394941340469003</v>
      </c>
      <c r="AJ4922">
        <v>86.985298958509603</v>
      </c>
      <c r="AK4922">
        <v>26.5613131741685</v>
      </c>
    </row>
    <row r="4923" spans="1:37" x14ac:dyDescent="0.2">
      <c r="A4923" t="str">
        <f>"20200111154159370"</f>
        <v>20200111154159370</v>
      </c>
      <c r="B4923" t="str">
        <f>"1578728519360995"</f>
        <v>1578728519360995</v>
      </c>
      <c r="C4923" t="s">
        <v>37</v>
      </c>
      <c r="D4923">
        <v>5.1663930000000002</v>
      </c>
      <c r="E4923">
        <v>0.55641529999999995</v>
      </c>
      <c r="F4923" t="s">
        <v>57</v>
      </c>
      <c r="G4923">
        <v>-214.70590000000001</v>
      </c>
      <c r="H4923" s="1">
        <v>-2.300623E-6</v>
      </c>
      <c r="I4923">
        <v>-65.317539999999994</v>
      </c>
      <c r="J4923">
        <v>-241.0359</v>
      </c>
      <c r="K4923">
        <v>1.109944</v>
      </c>
      <c r="L4923">
        <v>-63.375059999999998</v>
      </c>
      <c r="M4923">
        <v>0.99976889999999996</v>
      </c>
      <c r="N4923">
        <v>0</v>
      </c>
      <c r="O4923">
        <v>-2.0865649999999999E-2</v>
      </c>
      <c r="P4923">
        <v>0.99637450000000005</v>
      </c>
      <c r="Q4923">
        <v>3.8618729999999997E-2</v>
      </c>
      <c r="R4923">
        <v>7.5806369999999998E-2</v>
      </c>
      <c r="S4923">
        <v>3.0324550000000001</v>
      </c>
      <c r="T4923">
        <v>-0.1270038</v>
      </c>
      <c r="U4923">
        <v>-0.2226563</v>
      </c>
      <c r="V4923">
        <v>-9.665137E-2</v>
      </c>
      <c r="W4923">
        <v>4.3631830000000003E-2</v>
      </c>
      <c r="X4923">
        <v>0.99436150000000001</v>
      </c>
      <c r="Y4923">
        <v>5.2373969999999999E-2</v>
      </c>
      <c r="Z4923">
        <v>-2.2267129999999999E-4</v>
      </c>
      <c r="AA4923">
        <v>0.9986275</v>
      </c>
      <c r="AB4923">
        <v>35</v>
      </c>
      <c r="AC4923">
        <v>26.329999999999899</v>
      </c>
      <c r="AD4923">
        <v>-1.1099463006229999</v>
      </c>
      <c r="AE4923">
        <v>-1.94248000000001</v>
      </c>
      <c r="AF4923">
        <v>1.3902000735628799</v>
      </c>
      <c r="AG4923">
        <v>-1.1099463006229999</v>
      </c>
      <c r="AH4923">
        <v>26.318283145467898</v>
      </c>
      <c r="AI4923">
        <v>92.411600847262207</v>
      </c>
      <c r="AJ4923">
        <v>86.976298290593604</v>
      </c>
      <c r="AK4923">
        <v>26.3783370355264</v>
      </c>
    </row>
    <row r="4924" spans="1:37" x14ac:dyDescent="0.2">
      <c r="A4924" t="str">
        <f>"20200111154159382"</f>
        <v>20200111154159382</v>
      </c>
      <c r="B4924" t="str">
        <f>"1578728519370756"</f>
        <v>1578728519370756</v>
      </c>
      <c r="C4924" t="s">
        <v>37</v>
      </c>
      <c r="D4924">
        <v>5.1683699999999897</v>
      </c>
      <c r="E4924">
        <v>0.55645880000000003</v>
      </c>
      <c r="F4924" t="s">
        <v>57</v>
      </c>
      <c r="G4924">
        <v>-214.6994</v>
      </c>
      <c r="H4924" s="1">
        <v>-2.2922319999999999E-6</v>
      </c>
      <c r="I4924">
        <v>-65.296390000000002</v>
      </c>
      <c r="J4924">
        <v>-240.85390000000001</v>
      </c>
      <c r="K4924">
        <v>1.109964</v>
      </c>
      <c r="L4924">
        <v>-63.378599999999999</v>
      </c>
      <c r="M4924">
        <v>0.99977719999999903</v>
      </c>
      <c r="N4924">
        <v>0</v>
      </c>
      <c r="O4924">
        <v>-2.0465879999999999E-2</v>
      </c>
      <c r="P4924">
        <v>0.99633830000000001</v>
      </c>
      <c r="Q4924">
        <v>3.8672489999999997E-2</v>
      </c>
      <c r="R4924">
        <v>7.6254870000000002E-2</v>
      </c>
      <c r="S4924">
        <v>3.032715</v>
      </c>
      <c r="T4924">
        <v>-0.12781300000000001</v>
      </c>
      <c r="U4924">
        <v>-0.22125239999999999</v>
      </c>
      <c r="V4924">
        <v>-9.670281E-2</v>
      </c>
      <c r="W4924">
        <v>4.3686139999999998E-2</v>
      </c>
      <c r="X4924">
        <v>0.99435409999999902</v>
      </c>
      <c r="Y4924">
        <v>5.2306619999999998E-2</v>
      </c>
      <c r="Z4924">
        <v>-2.3946540000000001E-4</v>
      </c>
      <c r="AA4924">
        <v>0.99863109999999999</v>
      </c>
      <c r="AB4924">
        <v>36</v>
      </c>
      <c r="AC4924">
        <v>26.154499999999999</v>
      </c>
      <c r="AD4924">
        <v>-1.1099662922319999</v>
      </c>
      <c r="AE4924">
        <v>-1.9177900000000001</v>
      </c>
      <c r="AF4924">
        <v>1.37963479944029</v>
      </c>
      <c r="AG4924">
        <v>-1.1099662922319999</v>
      </c>
      <c r="AH4924">
        <v>26.141441269876001</v>
      </c>
      <c r="AI4924">
        <v>92.427945067226901</v>
      </c>
      <c r="AJ4924">
        <v>86.978973606406996</v>
      </c>
      <c r="AK4924">
        <v>26.2013428857395</v>
      </c>
    </row>
    <row r="4925" spans="1:37" x14ac:dyDescent="0.2">
      <c r="A4925" t="str">
        <f>"20200111154159394"</f>
        <v>20200111154159394</v>
      </c>
      <c r="B4925" t="str">
        <f>"1578728519391251"</f>
        <v>1578728519391251</v>
      </c>
      <c r="C4925" t="s">
        <v>37</v>
      </c>
      <c r="D4925">
        <v>5.1034459999999999</v>
      </c>
      <c r="E4925">
        <v>0.55673019999999995</v>
      </c>
      <c r="F4925" t="s">
        <v>57</v>
      </c>
      <c r="G4925">
        <v>-214.58510000000001</v>
      </c>
      <c r="H4925" s="1">
        <v>-2.2405789999999998E-6</v>
      </c>
      <c r="I4925">
        <v>-65.286699999999996</v>
      </c>
      <c r="J4925">
        <v>-240.6771</v>
      </c>
      <c r="K4925">
        <v>1.109988</v>
      </c>
      <c r="L4925">
        <v>-63.3818699999999</v>
      </c>
      <c r="M4925">
        <v>0.99978549999999999</v>
      </c>
      <c r="N4925">
        <v>0</v>
      </c>
      <c r="O4925">
        <v>-2.005154E-2</v>
      </c>
      <c r="P4925">
        <v>0.99623130000000004</v>
      </c>
      <c r="Q4925">
        <v>3.9069899999999998E-2</v>
      </c>
      <c r="R4925">
        <v>7.7440049999999996E-2</v>
      </c>
      <c r="S4925">
        <v>3.032883</v>
      </c>
      <c r="T4925">
        <v>-0.1281514</v>
      </c>
      <c r="U4925">
        <v>-0.22030639999999899</v>
      </c>
      <c r="V4925">
        <v>-9.7476339999999995E-2</v>
      </c>
      <c r="W4925">
        <v>4.4080580000000001E-2</v>
      </c>
      <c r="X4925">
        <v>0.99426109999999901</v>
      </c>
      <c r="Y4925">
        <v>5.240599E-2</v>
      </c>
      <c r="Z4925">
        <v>-2.5965130000000001E-4</v>
      </c>
      <c r="AA4925">
        <v>0.99862580000000001</v>
      </c>
      <c r="AB4925">
        <v>36</v>
      </c>
      <c r="AC4925">
        <v>26.091999999999899</v>
      </c>
      <c r="AD4925">
        <v>-1.1099902405789901</v>
      </c>
      <c r="AE4925">
        <v>-1.90483</v>
      </c>
      <c r="AF4925">
        <v>1.37877316810655</v>
      </c>
      <c r="AG4925">
        <v>-1.1099902405789901</v>
      </c>
      <c r="AH4925">
        <v>26.078004278547301</v>
      </c>
      <c r="AI4925">
        <v>92.433884398987601</v>
      </c>
      <c r="AJ4925">
        <v>86.973526165218999</v>
      </c>
      <c r="AK4925">
        <v>26.1380068278973</v>
      </c>
    </row>
    <row r="4926" spans="1:37" x14ac:dyDescent="0.2">
      <c r="A4926" t="str">
        <f>"20200111154159405"</f>
        <v>20200111154159405</v>
      </c>
      <c r="B4926" t="str">
        <f>"1578728519401010"</f>
        <v>1578728519401010</v>
      </c>
      <c r="C4926" t="s">
        <v>37</v>
      </c>
      <c r="D4926">
        <v>5.0547779999999998</v>
      </c>
      <c r="E4926">
        <v>0.55673019999999995</v>
      </c>
      <c r="F4926" t="s">
        <v>57</v>
      </c>
      <c r="G4926">
        <v>-213.90199999999999</v>
      </c>
      <c r="H4926" s="1">
        <v>-1.95497099999999E-6</v>
      </c>
      <c r="I4926">
        <v>-65.314610000000002</v>
      </c>
      <c r="J4926">
        <v>-240.49539999999999</v>
      </c>
      <c r="K4926">
        <v>1.1100110000000001</v>
      </c>
      <c r="L4926">
        <v>-63.385190000000001</v>
      </c>
      <c r="M4926">
        <v>0.99979409999999902</v>
      </c>
      <c r="N4926">
        <v>0</v>
      </c>
      <c r="O4926">
        <v>-1.9619080000000001E-2</v>
      </c>
      <c r="P4926">
        <v>0.99612749999999906</v>
      </c>
      <c r="Q4926">
        <v>3.948815E-2</v>
      </c>
      <c r="R4926">
        <v>7.8556780000000007E-2</v>
      </c>
      <c r="S4926">
        <v>3.0332949999999999</v>
      </c>
      <c r="T4926">
        <v>-0.12574839999999901</v>
      </c>
      <c r="U4926">
        <v>-0.21896360000000001</v>
      </c>
      <c r="V4926">
        <v>-9.8164790000000002E-2</v>
      </c>
      <c r="W4926">
        <v>4.4496929999999997E-2</v>
      </c>
      <c r="X4926">
        <v>0.99417489999999997</v>
      </c>
      <c r="Y4926">
        <v>5.2389129999999999E-2</v>
      </c>
      <c r="Z4926">
        <v>-2.7229469999999999E-4</v>
      </c>
      <c r="AA4926">
        <v>0.99862669999999998</v>
      </c>
      <c r="AB4926">
        <v>36</v>
      </c>
      <c r="AC4926">
        <v>26.5933999999999</v>
      </c>
      <c r="AD4926">
        <v>-1.1100129549710001</v>
      </c>
      <c r="AE4926">
        <v>-1.9294199999999999</v>
      </c>
      <c r="AF4926">
        <v>1.4048687788140199</v>
      </c>
      <c r="AG4926">
        <v>-1.1100129549710001</v>
      </c>
      <c r="AH4926">
        <v>26.580068901234601</v>
      </c>
      <c r="AI4926">
        <v>92.388015998643397</v>
      </c>
      <c r="AJ4926">
        <v>86.974491556247003</v>
      </c>
      <c r="AK4926">
        <v>26.6403049502116</v>
      </c>
    </row>
    <row r="4927" spans="1:37" x14ac:dyDescent="0.2">
      <c r="A4927" t="str">
        <f>"20200111154159416"</f>
        <v>20200111154159416</v>
      </c>
      <c r="B4927" t="str">
        <f>"1578728519410771"</f>
        <v>1578728519410771</v>
      </c>
      <c r="C4927" t="s">
        <v>37</v>
      </c>
      <c r="D4927">
        <v>5.4134390000000003</v>
      </c>
      <c r="E4927">
        <v>0.529219199999999</v>
      </c>
      <c r="F4927" t="s">
        <v>57</v>
      </c>
      <c r="G4927">
        <v>-213.38489999999999</v>
      </c>
      <c r="H4927" s="1">
        <v>-1.7326459999999999E-6</v>
      </c>
      <c r="I4927">
        <v>-65.31277</v>
      </c>
      <c r="J4927">
        <v>-240.31389999999999</v>
      </c>
      <c r="K4927">
        <v>1.1100429999999999</v>
      </c>
      <c r="L4927">
        <v>-63.388399999999997</v>
      </c>
      <c r="M4927">
        <v>0.99980279999999999</v>
      </c>
      <c r="N4927">
        <v>0</v>
      </c>
      <c r="O4927">
        <v>-1.916168E-2</v>
      </c>
      <c r="P4927">
        <v>0.99596849999999904</v>
      </c>
      <c r="Q4927">
        <v>4.0158569999999998E-2</v>
      </c>
      <c r="R4927">
        <v>8.0214510000000003E-2</v>
      </c>
      <c r="S4927">
        <v>3.0335999999999999</v>
      </c>
      <c r="T4927">
        <v>-0.1242077</v>
      </c>
      <c r="U4927">
        <v>-0.21569820000000001</v>
      </c>
      <c r="V4927">
        <v>-9.9368689999999996E-2</v>
      </c>
      <c r="W4927">
        <v>4.5162389999999997E-2</v>
      </c>
      <c r="X4927">
        <v>0.9940253</v>
      </c>
      <c r="Y4927">
        <v>5.1770120000000003E-2</v>
      </c>
      <c r="Z4927">
        <v>-2.7497859999999998E-4</v>
      </c>
      <c r="AA4927">
        <v>0.99865899999999996</v>
      </c>
      <c r="AB4927">
        <v>36</v>
      </c>
      <c r="AC4927">
        <v>26.928999999999998</v>
      </c>
      <c r="AD4927">
        <v>-1.1100447326459999</v>
      </c>
      <c r="AE4927">
        <v>-1.9243699999999999</v>
      </c>
      <c r="AF4927">
        <v>1.4056284891730699</v>
      </c>
      <c r="AG4927">
        <v>-1.1100447326459999</v>
      </c>
      <c r="AH4927">
        <v>26.915428401982599</v>
      </c>
      <c r="AI4927">
        <v>92.358440959370697</v>
      </c>
      <c r="AJ4927">
        <v>87.010507073413294</v>
      </c>
      <c r="AK4927">
        <v>26.974956474854601</v>
      </c>
    </row>
    <row r="4928" spans="1:37" x14ac:dyDescent="0.2">
      <c r="A4928" t="str">
        <f>"20200111154159428"</f>
        <v>20200111154159428</v>
      </c>
      <c r="B4928" t="str">
        <f>"1578728519420531"</f>
        <v>1578728519420531</v>
      </c>
      <c r="C4928" t="s">
        <v>37</v>
      </c>
      <c r="D4928">
        <v>5.0258979999999998</v>
      </c>
      <c r="E4928">
        <v>0.529219199999999</v>
      </c>
      <c r="F4928" t="s">
        <v>56</v>
      </c>
      <c r="G4928">
        <v>-221.80009999999999</v>
      </c>
      <c r="H4928" s="1">
        <v>-5.4772729999999999E-7</v>
      </c>
      <c r="I4928">
        <v>-63.340299999999999</v>
      </c>
      <c r="J4928">
        <v>-240.12530000000001</v>
      </c>
      <c r="K4928">
        <v>1.1100760000000001</v>
      </c>
      <c r="L4928">
        <v>-63.391629999999999</v>
      </c>
      <c r="M4928">
        <v>0.99981209999999898</v>
      </c>
      <c r="N4928">
        <v>0</v>
      </c>
      <c r="O4928">
        <v>-1.8671259999999999E-2</v>
      </c>
      <c r="P4928">
        <v>0.99581039999999998</v>
      </c>
      <c r="Q4928">
        <v>4.0752780000000002E-2</v>
      </c>
      <c r="R4928">
        <v>8.1857159999999998E-2</v>
      </c>
      <c r="S4928">
        <v>3.0188290000000002</v>
      </c>
      <c r="T4928">
        <v>-0.18100139999999901</v>
      </c>
      <c r="U4928">
        <v>7.8430180000000002E-3</v>
      </c>
      <c r="V4928">
        <v>-0.100524399999999</v>
      </c>
      <c r="W4928">
        <v>4.5751630000000001E-2</v>
      </c>
      <c r="X4928">
        <v>0.99388209999999999</v>
      </c>
      <c r="Y4928">
        <v>-2.119743E-2</v>
      </c>
      <c r="Z4928">
        <v>1.7533500000000001E-3</v>
      </c>
      <c r="AA4928">
        <v>0.99977380000000005</v>
      </c>
      <c r="AB4928">
        <v>36</v>
      </c>
      <c r="AC4928">
        <v>18.325199999999999</v>
      </c>
      <c r="AD4928">
        <v>-1.1100765477273</v>
      </c>
      <c r="AE4928">
        <v>5.1330000000007203E-2</v>
      </c>
      <c r="AF4928">
        <v>-0.39204167944926099</v>
      </c>
      <c r="AG4928">
        <v>-1.1100765477273</v>
      </c>
      <c r="AH4928">
        <v>18.254064001309999</v>
      </c>
      <c r="AI4928">
        <v>93.479217588886499</v>
      </c>
      <c r="AJ4928">
        <v>91.230349631976097</v>
      </c>
      <c r="AK4928">
        <v>18.291987841242399</v>
      </c>
    </row>
    <row r="4929" spans="1:37" x14ac:dyDescent="0.2">
      <c r="A4929" t="str">
        <f>"20200111154159439"</f>
        <v>20200111154159439</v>
      </c>
      <c r="B4929" t="str">
        <f>"1578728519431267"</f>
        <v>1578728519431267</v>
      </c>
      <c r="C4929" t="s">
        <v>37</v>
      </c>
      <c r="D4929">
        <v>5.1902239999999997</v>
      </c>
      <c r="E4929">
        <v>0.48120969999999902</v>
      </c>
      <c r="F4929" t="s">
        <v>56</v>
      </c>
      <c r="G4929">
        <v>-221.4101</v>
      </c>
      <c r="H4929" s="1">
        <v>-3.744597E-7</v>
      </c>
      <c r="I4929">
        <v>-63.313499999999998</v>
      </c>
      <c r="J4929">
        <v>-239.9504</v>
      </c>
      <c r="K4929">
        <v>1.110106</v>
      </c>
      <c r="L4929">
        <v>-63.394530000000003</v>
      </c>
      <c r="M4929">
        <v>0.99982079999999995</v>
      </c>
      <c r="N4929">
        <v>0</v>
      </c>
      <c r="O4929">
        <v>-1.8199920000000001E-2</v>
      </c>
      <c r="P4929">
        <v>0.99563259999999898</v>
      </c>
      <c r="Q4929">
        <v>4.1095010000000001E-2</v>
      </c>
      <c r="R4929">
        <v>8.3829609999999999E-2</v>
      </c>
      <c r="S4929">
        <v>3.0189059999999999</v>
      </c>
      <c r="T4929">
        <v>-0.1790638</v>
      </c>
      <c r="U4929">
        <v>1.260376E-2</v>
      </c>
      <c r="V4929">
        <v>-0.1020288</v>
      </c>
      <c r="W4929">
        <v>4.6087919999999998E-2</v>
      </c>
      <c r="X4929">
        <v>0.99371330000000002</v>
      </c>
      <c r="Y4929">
        <v>-2.2303050000000001E-2</v>
      </c>
      <c r="Z4929">
        <v>1.7394000000000001E-3</v>
      </c>
      <c r="AA4929">
        <v>0.99974969999999996</v>
      </c>
      <c r="AB4929">
        <v>36</v>
      </c>
      <c r="AC4929">
        <v>18.540299999999998</v>
      </c>
      <c r="AD4929">
        <v>-1.1101063744597</v>
      </c>
      <c r="AE4929">
        <v>8.1030000000005403E-2</v>
      </c>
      <c r="AF4929">
        <v>-0.41695834317783997</v>
      </c>
      <c r="AG4929">
        <v>-1.1101063744597</v>
      </c>
      <c r="AH4929">
        <v>18.469541250856199</v>
      </c>
      <c r="AI4929">
        <v>93.438734039897497</v>
      </c>
      <c r="AJ4929">
        <v>91.2932587603527</v>
      </c>
      <c r="AK4929">
        <v>18.5075699225922</v>
      </c>
    </row>
    <row r="4930" spans="1:37" x14ac:dyDescent="0.2">
      <c r="A4930" t="str">
        <f>"20200111154159449"</f>
        <v>20200111154159449</v>
      </c>
      <c r="B4930" t="str">
        <f>"1578728519441027"</f>
        <v>1578728519441027</v>
      </c>
      <c r="C4930" t="s">
        <v>37</v>
      </c>
      <c r="D4930">
        <v>4.9822350000000002</v>
      </c>
      <c r="E4930">
        <v>0.46898840000000003</v>
      </c>
      <c r="F4930" t="s">
        <v>56</v>
      </c>
      <c r="G4930">
        <v>-222.94470000000001</v>
      </c>
      <c r="H4930" s="1">
        <v>-5.445471E-7</v>
      </c>
      <c r="I4930">
        <v>-61.11768</v>
      </c>
      <c r="J4930">
        <v>-239.77549999999999</v>
      </c>
      <c r="K4930">
        <v>1.1101379999999901</v>
      </c>
      <c r="L4930">
        <v>-63.397309999999997</v>
      </c>
      <c r="M4930">
        <v>0.99982959999999999</v>
      </c>
      <c r="N4930">
        <v>0</v>
      </c>
      <c r="O4930">
        <v>-1.77082E-2</v>
      </c>
      <c r="P4930">
        <v>0.99546990000000002</v>
      </c>
      <c r="Q4930">
        <v>4.1624550000000003E-2</v>
      </c>
      <c r="R4930">
        <v>8.5481280000000007E-2</v>
      </c>
      <c r="S4930">
        <v>2.9875340000000001</v>
      </c>
      <c r="T4930">
        <v>-0.19502229999999901</v>
      </c>
      <c r="U4930">
        <v>0.39999390000000001</v>
      </c>
      <c r="V4930">
        <v>-0.1031923</v>
      </c>
      <c r="W4930">
        <v>4.6611890000000003E-2</v>
      </c>
      <c r="X4930">
        <v>0.99356869999999997</v>
      </c>
      <c r="Y4930">
        <v>-0.14988389999999999</v>
      </c>
      <c r="Z4930">
        <v>6.0152130000000002E-3</v>
      </c>
      <c r="AA4930">
        <v>0.98868529999999999</v>
      </c>
      <c r="AB4930">
        <v>36</v>
      </c>
      <c r="AC4930">
        <v>16.830799999999901</v>
      </c>
      <c r="AD4930">
        <v>-1.1101385445470999</v>
      </c>
      <c r="AE4930">
        <v>2.2796299999999898</v>
      </c>
      <c r="AF4930">
        <v>-2.5663558207041701</v>
      </c>
      <c r="AG4930">
        <v>-1.1101385445470999</v>
      </c>
      <c r="AH4930">
        <v>16.716376698328201</v>
      </c>
      <c r="AI4930">
        <v>93.755574758377406</v>
      </c>
      <c r="AJ4930">
        <v>98.728099318077497</v>
      </c>
      <c r="AK4930">
        <v>16.948623534286199</v>
      </c>
    </row>
    <row r="4931" spans="1:37" x14ac:dyDescent="0.2">
      <c r="A4931" t="str">
        <f>"20200111154159460"</f>
        <v>20200111154159460</v>
      </c>
      <c r="B4931" t="str">
        <f>"1578728519450787"</f>
        <v>1578728519450787</v>
      </c>
      <c r="C4931" t="s">
        <v>37</v>
      </c>
      <c r="D4931">
        <v>5.1907959999999997</v>
      </c>
      <c r="E4931">
        <v>0.46898840000000003</v>
      </c>
      <c r="F4931" t="s">
        <v>56</v>
      </c>
      <c r="G4931">
        <v>-221.71530000000001</v>
      </c>
      <c r="H4931" s="1">
        <v>1.3937629999999999E-7</v>
      </c>
      <c r="I4931">
        <v>-60.353209999999997</v>
      </c>
      <c r="J4931">
        <v>-239.5967</v>
      </c>
      <c r="K4931">
        <v>1.1101700000000001</v>
      </c>
      <c r="L4931">
        <v>-63.400119999999902</v>
      </c>
      <c r="M4931">
        <v>0.99983849999999996</v>
      </c>
      <c r="N4931">
        <v>0</v>
      </c>
      <c r="O4931">
        <v>-1.719478E-2</v>
      </c>
      <c r="P4931">
        <v>0.99527289999999902</v>
      </c>
      <c r="Q4931">
        <v>4.2315190000000003E-2</v>
      </c>
      <c r="R4931">
        <v>8.7416599999999997E-2</v>
      </c>
      <c r="S4931">
        <v>2.9781949999999999</v>
      </c>
      <c r="T4931">
        <v>-0.18306610000000001</v>
      </c>
      <c r="U4931">
        <v>0.50198359999999997</v>
      </c>
      <c r="V4931">
        <v>-0.10461959999999999</v>
      </c>
      <c r="W4931">
        <v>4.729539E-2</v>
      </c>
      <c r="X4931">
        <v>0.99338700000000002</v>
      </c>
      <c r="Y4931">
        <v>-0.1827725</v>
      </c>
      <c r="Z4931">
        <v>6.6218379999999997E-3</v>
      </c>
      <c r="AA4931">
        <v>0.98313300000000003</v>
      </c>
      <c r="AB4931">
        <v>36</v>
      </c>
      <c r="AC4931">
        <v>17.8813999999999</v>
      </c>
      <c r="AD4931">
        <v>-1.1101698606237</v>
      </c>
      <c r="AE4931">
        <v>3.0469099999999898</v>
      </c>
      <c r="AF4931">
        <v>-3.34141416180741</v>
      </c>
      <c r="AG4931">
        <v>-1.1101698606237</v>
      </c>
      <c r="AH4931">
        <v>17.759839658547499</v>
      </c>
      <c r="AI4931">
        <v>93.515392795203098</v>
      </c>
      <c r="AJ4931">
        <v>100.65531790541399</v>
      </c>
      <c r="AK4931">
        <v>18.1055082893986</v>
      </c>
    </row>
    <row r="4932" spans="1:37" x14ac:dyDescent="0.2">
      <c r="A4932" t="str">
        <f>"20200111154159472"</f>
        <v>20200111154159472</v>
      </c>
      <c r="B4932" t="str">
        <f>"1578728519460547"</f>
        <v>1578728519460547</v>
      </c>
      <c r="C4932" t="s">
        <v>37</v>
      </c>
      <c r="D4932">
        <v>5.1658980000000003</v>
      </c>
      <c r="E4932">
        <v>0.40970230000000002</v>
      </c>
      <c r="F4932" t="s">
        <v>56</v>
      </c>
      <c r="G4932">
        <v>-221.34780000000001</v>
      </c>
      <c r="H4932" s="1">
        <v>2.8275750000000001E-7</v>
      </c>
      <c r="I4932">
        <v>-60.28875</v>
      </c>
      <c r="J4932">
        <v>-239.41919999999999</v>
      </c>
      <c r="K4932">
        <v>1.110201</v>
      </c>
      <c r="L4932">
        <v>-63.402740000000001</v>
      </c>
      <c r="M4932">
        <v>0.99984740000000005</v>
      </c>
      <c r="N4932">
        <v>0</v>
      </c>
      <c r="O4932">
        <v>-1.6659899999999998E-2</v>
      </c>
      <c r="P4932">
        <v>0.99508920000000001</v>
      </c>
      <c r="Q4932">
        <v>4.2642590000000001E-2</v>
      </c>
      <c r="R4932">
        <v>8.9327320000000002E-2</v>
      </c>
      <c r="S4932">
        <v>2.9773559999999999</v>
      </c>
      <c r="T4932">
        <v>-0.1811275</v>
      </c>
      <c r="U4932">
        <v>0.50762940000000001</v>
      </c>
      <c r="V4932">
        <v>-0.1059992</v>
      </c>
      <c r="W4932">
        <v>4.761642E-2</v>
      </c>
      <c r="X4932">
        <v>0.99322549999999898</v>
      </c>
      <c r="Y4932">
        <v>-0.18411029999999901</v>
      </c>
      <c r="Z4932">
        <v>6.56070099999999E-3</v>
      </c>
      <c r="AA4932">
        <v>0.98288369999999903</v>
      </c>
      <c r="AB4932">
        <v>36</v>
      </c>
      <c r="AC4932">
        <v>18.071399999999901</v>
      </c>
      <c r="AD4932">
        <v>-1.1102007172424999</v>
      </c>
      <c r="AE4932">
        <v>3.1139899999999998</v>
      </c>
      <c r="AF4932">
        <v>-3.4021596864136998</v>
      </c>
      <c r="AG4932">
        <v>-1.1102007172424999</v>
      </c>
      <c r="AH4932">
        <v>17.951215473278602</v>
      </c>
      <c r="AI4932">
        <v>93.477232807355506</v>
      </c>
      <c r="AJ4932">
        <v>100.731560673863</v>
      </c>
      <c r="AK4932">
        <v>18.304463202522498</v>
      </c>
    </row>
    <row r="4933" spans="1:37" x14ac:dyDescent="0.2">
      <c r="A4933" t="str">
        <f>"20200111154159482"</f>
        <v>20200111154159482</v>
      </c>
      <c r="B4933" t="str">
        <f>"1578728519481042"</f>
        <v>1578728519481042</v>
      </c>
      <c r="C4933" t="s">
        <v>37</v>
      </c>
      <c r="D4933">
        <v>5.00854</v>
      </c>
      <c r="E4933">
        <v>0.41169289999999997</v>
      </c>
      <c r="F4933" t="s">
        <v>56</v>
      </c>
      <c r="G4933">
        <v>-220.5581</v>
      </c>
      <c r="H4933" s="1">
        <v>-3.36181799999999E-7</v>
      </c>
      <c r="I4933">
        <v>-57.076639999999998</v>
      </c>
      <c r="J4933">
        <v>-239.23670000000001</v>
      </c>
      <c r="K4933">
        <v>1.110233</v>
      </c>
      <c r="L4933">
        <v>-63.405359999999902</v>
      </c>
      <c r="M4933">
        <v>0.99985650000000004</v>
      </c>
      <c r="N4933">
        <v>0</v>
      </c>
      <c r="O4933">
        <v>-1.6104279999999999E-2</v>
      </c>
      <c r="P4933">
        <v>0.99487709999999996</v>
      </c>
      <c r="Q4933">
        <v>4.3140350000000001E-2</v>
      </c>
      <c r="R4933">
        <v>9.1425770000000003E-2</v>
      </c>
      <c r="S4933">
        <v>2.9338839999999999</v>
      </c>
      <c r="T4933">
        <v>-0.1726943</v>
      </c>
      <c r="U4933">
        <v>0.98403929999999995</v>
      </c>
      <c r="V4933">
        <v>-0.10754660000000001</v>
      </c>
      <c r="W4933">
        <v>4.8106990000000002E-2</v>
      </c>
      <c r="X4933">
        <v>0.99303549999999996</v>
      </c>
      <c r="Y4933">
        <v>-0.3326789</v>
      </c>
      <c r="Z4933">
        <v>1.0445110000000001E-2</v>
      </c>
      <c r="AA4933">
        <v>0.94298230000000005</v>
      </c>
      <c r="AB4933">
        <v>36</v>
      </c>
      <c r="AC4933">
        <v>18.678599999999999</v>
      </c>
      <c r="AD4933">
        <v>-1.1102333361818</v>
      </c>
      <c r="AE4933">
        <v>6.3287199999999899</v>
      </c>
      <c r="AF4933">
        <v>-6.6077678071570096</v>
      </c>
      <c r="AG4933">
        <v>-1.1102333361818</v>
      </c>
      <c r="AH4933">
        <v>18.515578117205401</v>
      </c>
      <c r="AI4933">
        <v>93.232266353898694</v>
      </c>
      <c r="AJ4933">
        <v>109.64026919125099</v>
      </c>
      <c r="AK4933">
        <v>19.690653784686901</v>
      </c>
    </row>
    <row r="4934" spans="1:37" x14ac:dyDescent="0.2">
      <c r="A4934" t="str">
        <f>"20200111154159494"</f>
        <v>20200111154159494</v>
      </c>
      <c r="B4934" t="str">
        <f>"1578728519490803"</f>
        <v>1578728519490803</v>
      </c>
      <c r="C4934" t="s">
        <v>37</v>
      </c>
      <c r="D4934">
        <v>4.9952629999999996</v>
      </c>
      <c r="E4934">
        <v>0.413746</v>
      </c>
      <c r="F4934" t="s">
        <v>56</v>
      </c>
      <c r="G4934">
        <v>-221.29490000000001</v>
      </c>
      <c r="H4934" s="1">
        <v>-4.72027E-7</v>
      </c>
      <c r="I4934">
        <v>-57.447519999999997</v>
      </c>
      <c r="J4934">
        <v>-239.05459999999999</v>
      </c>
      <c r="K4934">
        <v>1.110263</v>
      </c>
      <c r="L4934">
        <v>-63.40784</v>
      </c>
      <c r="M4934">
        <v>0.99986580000000003</v>
      </c>
      <c r="N4934">
        <v>0</v>
      </c>
      <c r="O4934">
        <v>-1.552221E-2</v>
      </c>
      <c r="P4934">
        <v>0.99466379999999999</v>
      </c>
      <c r="Q4934">
        <v>4.3534150000000001E-2</v>
      </c>
      <c r="R4934">
        <v>9.3535480000000004E-2</v>
      </c>
      <c r="S4934">
        <v>2.9338069999999998</v>
      </c>
      <c r="T4934">
        <v>-0.1815427</v>
      </c>
      <c r="U4934">
        <v>0.97421259999999998</v>
      </c>
      <c r="V4934">
        <v>-0.1090791</v>
      </c>
      <c r="W4934">
        <v>4.8493729999999999E-2</v>
      </c>
      <c r="X4934">
        <v>0.99284950000000005</v>
      </c>
      <c r="Y4934">
        <v>-0.32924239999999999</v>
      </c>
      <c r="Z4934">
        <v>1.084675E-2</v>
      </c>
      <c r="AA4934">
        <v>0.94418310000000005</v>
      </c>
      <c r="AB4934">
        <v>36</v>
      </c>
      <c r="AC4934">
        <v>17.759699999999899</v>
      </c>
      <c r="AD4934">
        <v>-1.1102634720269999</v>
      </c>
      <c r="AE4934">
        <v>5.9603200000000003</v>
      </c>
      <c r="AF4934">
        <v>-6.2134501114616603</v>
      </c>
      <c r="AG4934">
        <v>-1.1102634720269999</v>
      </c>
      <c r="AH4934">
        <v>17.603208672466199</v>
      </c>
      <c r="AI4934">
        <v>93.403678332010102</v>
      </c>
      <c r="AJ4934">
        <v>109.441635172603</v>
      </c>
      <c r="AK4934">
        <v>18.7006043440133</v>
      </c>
    </row>
    <row r="4935" spans="1:37" x14ac:dyDescent="0.2">
      <c r="A4935" t="str">
        <f>"20200111154159506"</f>
        <v>20200111154159506</v>
      </c>
      <c r="B4935" t="str">
        <f>"1578728519500562"</f>
        <v>1578728519500562</v>
      </c>
      <c r="C4935" t="s">
        <v>37</v>
      </c>
      <c r="D4935">
        <v>4.9741280000000003</v>
      </c>
      <c r="E4935">
        <v>0.41551080000000001</v>
      </c>
      <c r="F4935" t="s">
        <v>56</v>
      </c>
      <c r="G4935">
        <v>-221.13040000000001</v>
      </c>
      <c r="H4935" s="1">
        <v>-3.939108E-7</v>
      </c>
      <c r="I4935">
        <v>-57.51896</v>
      </c>
      <c r="J4935">
        <v>-238.87110000000001</v>
      </c>
      <c r="K4935">
        <v>1.110293</v>
      </c>
      <c r="L4935">
        <v>-63.410219999999903</v>
      </c>
      <c r="M4935">
        <v>0.99987469999999901</v>
      </c>
      <c r="N4935">
        <v>0</v>
      </c>
      <c r="O4935">
        <v>-1.493013E-2</v>
      </c>
      <c r="P4935">
        <v>0.99443189999999904</v>
      </c>
      <c r="Q4935">
        <v>4.3776240000000001E-2</v>
      </c>
      <c r="R4935">
        <v>9.5859180000000002E-2</v>
      </c>
      <c r="S4935">
        <v>2.933395</v>
      </c>
      <c r="T4935">
        <v>-0.1817001</v>
      </c>
      <c r="U4935">
        <v>0.96374509999999902</v>
      </c>
      <c r="V4935">
        <v>-0.1108152</v>
      </c>
      <c r="W4935">
        <v>4.872758E-2</v>
      </c>
      <c r="X4935">
        <v>0.99264569999999996</v>
      </c>
      <c r="Y4935">
        <v>-0.32568819999999998</v>
      </c>
      <c r="Z4935">
        <v>1.072057E-2</v>
      </c>
      <c r="AA4935">
        <v>0.94541649999999999</v>
      </c>
      <c r="AB4935">
        <v>36</v>
      </c>
      <c r="AC4935">
        <v>17.7407</v>
      </c>
      <c r="AD4935">
        <v>-1.1102933939108</v>
      </c>
      <c r="AE4935">
        <v>5.8912599999999902</v>
      </c>
      <c r="AF4935">
        <v>-6.13383901825644</v>
      </c>
      <c r="AG4935">
        <v>-1.1102933939108</v>
      </c>
      <c r="AH4935">
        <v>17.588714635486401</v>
      </c>
      <c r="AI4935">
        <v>93.4110677937296</v>
      </c>
      <c r="AJ4935">
        <v>109.225563524004</v>
      </c>
      <c r="AK4935">
        <v>18.660643479018098</v>
      </c>
    </row>
    <row r="4936" spans="1:37" x14ac:dyDescent="0.2">
      <c r="A4936" t="str">
        <f>"20200111154159516"</f>
        <v>20200111154159516</v>
      </c>
      <c r="B4936" t="str">
        <f>"1578728519511299"</f>
        <v>1578728519511299</v>
      </c>
      <c r="C4936" t="s">
        <v>37</v>
      </c>
      <c r="D4936">
        <v>5.1476680000000004</v>
      </c>
      <c r="E4936">
        <v>0.4177536</v>
      </c>
      <c r="F4936" t="s">
        <v>56</v>
      </c>
      <c r="G4936">
        <v>-221.35249999999999</v>
      </c>
      <c r="H4936" s="1">
        <v>-4.1412250000000002E-7</v>
      </c>
      <c r="I4936">
        <v>-57.697749999999999</v>
      </c>
      <c r="J4936">
        <v>-238.69059999999999</v>
      </c>
      <c r="K4936">
        <v>1.110317</v>
      </c>
      <c r="L4936">
        <v>-63.41245</v>
      </c>
      <c r="M4936">
        <v>0.99988349999999904</v>
      </c>
      <c r="N4936">
        <v>0</v>
      </c>
      <c r="O4936">
        <v>-1.433126E-2</v>
      </c>
      <c r="P4936">
        <v>0.99417230000000001</v>
      </c>
      <c r="Q4936">
        <v>4.4075370000000003E-2</v>
      </c>
      <c r="R4936">
        <v>9.8383200000000004E-2</v>
      </c>
      <c r="S4936">
        <v>2.9327999999999999</v>
      </c>
      <c r="T4936">
        <v>-0.1858754</v>
      </c>
      <c r="U4936">
        <v>0.95632929999999905</v>
      </c>
      <c r="V4936">
        <v>-0.1127441</v>
      </c>
      <c r="W4936">
        <v>4.9018579999999999E-2</v>
      </c>
      <c r="X4936">
        <v>0.99241420000000002</v>
      </c>
      <c r="Y4936">
        <v>-0.32299609999999901</v>
      </c>
      <c r="Z4936">
        <v>1.085268E-2</v>
      </c>
      <c r="AA4936">
        <v>0.94633809999999996</v>
      </c>
      <c r="AB4936">
        <v>36</v>
      </c>
      <c r="AC4936">
        <v>17.338099999999901</v>
      </c>
      <c r="AD4936">
        <v>-1.1103174141225001</v>
      </c>
      <c r="AE4936">
        <v>5.7146999999999997</v>
      </c>
      <c r="AF4936">
        <v>-5.9406181384763297</v>
      </c>
      <c r="AG4936">
        <v>-1.1103174141225001</v>
      </c>
      <c r="AH4936">
        <v>17.1908280229868</v>
      </c>
      <c r="AI4936">
        <v>93.4933189915876</v>
      </c>
      <c r="AJ4936">
        <v>109.063565554693</v>
      </c>
      <c r="AK4936">
        <v>18.222192972943901</v>
      </c>
    </row>
    <row r="4937" spans="1:37" x14ac:dyDescent="0.2">
      <c r="A4937" t="str">
        <f>"20200111154159528"</f>
        <v>20200111154159528</v>
      </c>
      <c r="B4937" t="str">
        <f>"1578728519521059"</f>
        <v>1578728519521059</v>
      </c>
      <c r="C4937" t="s">
        <v>37</v>
      </c>
      <c r="D4937">
        <v>5.0190149999999996</v>
      </c>
      <c r="E4937">
        <v>0.41970569999999902</v>
      </c>
      <c r="F4937" t="s">
        <v>56</v>
      </c>
      <c r="G4937">
        <v>-220.95490000000001</v>
      </c>
      <c r="H4937" s="1">
        <v>-2.80193E-7</v>
      </c>
      <c r="I4937">
        <v>-57.693300000000001</v>
      </c>
      <c r="J4937">
        <v>-238.49940000000001</v>
      </c>
      <c r="K4937">
        <v>1.110341</v>
      </c>
      <c r="L4937">
        <v>-63.414700000000003</v>
      </c>
      <c r="M4937">
        <v>0.99989240000000001</v>
      </c>
      <c r="N4937">
        <v>0</v>
      </c>
      <c r="O4937">
        <v>-1.3689359999999999E-2</v>
      </c>
      <c r="P4937">
        <v>0.99388940000000003</v>
      </c>
      <c r="Q4937">
        <v>4.428083E-2</v>
      </c>
      <c r="R4937">
        <v>0.10111009999999999</v>
      </c>
      <c r="S4937">
        <v>2.932175</v>
      </c>
      <c r="T4937">
        <v>-0.1835648</v>
      </c>
      <c r="U4937">
        <v>0.94552610000000004</v>
      </c>
      <c r="V4937">
        <v>-0.114833399999999</v>
      </c>
      <c r="W4937">
        <v>4.9216240000000001E-2</v>
      </c>
      <c r="X4937">
        <v>0.99216489999999902</v>
      </c>
      <c r="Y4937">
        <v>-0.3193127</v>
      </c>
      <c r="Z4937">
        <v>1.057457E-2</v>
      </c>
      <c r="AA4937">
        <v>0.94759040000000005</v>
      </c>
      <c r="AB4937">
        <v>36</v>
      </c>
      <c r="AC4937">
        <v>17.544499999999999</v>
      </c>
      <c r="AD4937">
        <v>-1.1103412801929999</v>
      </c>
      <c r="AE4937">
        <v>5.7214</v>
      </c>
      <c r="AF4937">
        <v>-5.9395375072613703</v>
      </c>
      <c r="AG4937">
        <v>-1.1103412801929999</v>
      </c>
      <c r="AH4937">
        <v>17.401534482668399</v>
      </c>
      <c r="AI4937">
        <v>93.455691236539295</v>
      </c>
      <c r="AJ4937">
        <v>108.845934368901</v>
      </c>
      <c r="AK4937">
        <v>18.420759102441</v>
      </c>
    </row>
    <row r="4938" spans="1:37" x14ac:dyDescent="0.2">
      <c r="A4938" t="str">
        <f>"20200111154159538"</f>
        <v>20200111154159538</v>
      </c>
      <c r="B4938" t="str">
        <f>"1578728519530819"</f>
        <v>1578728519530819</v>
      </c>
      <c r="C4938" t="s">
        <v>37</v>
      </c>
      <c r="D4938">
        <v>5.0405329999999999</v>
      </c>
      <c r="E4938">
        <v>0.42134169999999999</v>
      </c>
      <c r="F4938" t="s">
        <v>56</v>
      </c>
      <c r="G4938">
        <v>-220.6507</v>
      </c>
      <c r="H4938" s="1">
        <v>-1.7313679999999901E-7</v>
      </c>
      <c r="I4938">
        <v>-57.704740000000001</v>
      </c>
      <c r="J4938">
        <v>-238.32329999999999</v>
      </c>
      <c r="K4938">
        <v>1.1103609999999999</v>
      </c>
      <c r="L4938">
        <v>-63.416690000000003</v>
      </c>
      <c r="M4938">
        <v>0.99990049999999997</v>
      </c>
      <c r="N4938">
        <v>0</v>
      </c>
      <c r="O4938">
        <v>-1.30898E-2</v>
      </c>
      <c r="P4938">
        <v>0.99362909999999904</v>
      </c>
      <c r="Q4938">
        <v>4.4274760000000003E-2</v>
      </c>
      <c r="R4938">
        <v>0.1036403</v>
      </c>
      <c r="S4938">
        <v>2.9311829999999999</v>
      </c>
      <c r="T4938">
        <v>-0.182344799999999</v>
      </c>
      <c r="U4938">
        <v>0.93771360000000004</v>
      </c>
      <c r="V4938">
        <v>-0.1167673</v>
      </c>
      <c r="W4938">
        <v>4.9202419999999997E-2</v>
      </c>
      <c r="X4938">
        <v>0.99193980000000004</v>
      </c>
      <c r="Y4938">
        <v>-0.31656040000000002</v>
      </c>
      <c r="Z4938">
        <v>1.0392119999999999E-2</v>
      </c>
      <c r="AA4938">
        <v>0.94851540000000001</v>
      </c>
      <c r="AB4938">
        <v>37</v>
      </c>
      <c r="AC4938">
        <v>17.6725999999999</v>
      </c>
      <c r="AD4938">
        <v>-1.1103611731367999</v>
      </c>
      <c r="AE4938">
        <v>5.7119499999999999</v>
      </c>
      <c r="AF4938">
        <v>-5.9216296642612498</v>
      </c>
      <c r="AG4938">
        <v>-1.1103611731367999</v>
      </c>
      <c r="AH4938">
        <v>17.533648191938799</v>
      </c>
      <c r="AI4938">
        <v>93.433521560128398</v>
      </c>
      <c r="AJ4938">
        <v>108.66134099996</v>
      </c>
      <c r="AK4938">
        <v>18.5398872362845</v>
      </c>
    </row>
    <row r="4939" spans="1:37" x14ac:dyDescent="0.2">
      <c r="A4939" t="str">
        <f>"20200111154159550"</f>
        <v>20200111154159550</v>
      </c>
      <c r="B4939" t="str">
        <f>"1578728519540579"</f>
        <v>1578728519540579</v>
      </c>
      <c r="C4939" t="s">
        <v>37</v>
      </c>
      <c r="D4939">
        <v>5.072489</v>
      </c>
      <c r="E4939">
        <v>0.42286040000000003</v>
      </c>
      <c r="F4939" t="s">
        <v>56</v>
      </c>
      <c r="G4939">
        <v>-220.49809999999999</v>
      </c>
      <c r="H4939" s="1">
        <v>-1.076913E-7</v>
      </c>
      <c r="I4939">
        <v>-57.748289999999997</v>
      </c>
      <c r="J4939">
        <v>-238.1405</v>
      </c>
      <c r="K4939">
        <v>1.1103769999999999</v>
      </c>
      <c r="L4939">
        <v>-63.418579999999999</v>
      </c>
      <c r="M4939">
        <v>0.99990849999999898</v>
      </c>
      <c r="N4939">
        <v>0</v>
      </c>
      <c r="O4939">
        <v>-1.2460799999999999E-2</v>
      </c>
      <c r="P4939">
        <v>0.99334999999999996</v>
      </c>
      <c r="Q4939">
        <v>4.4570180000000001E-2</v>
      </c>
      <c r="R4939">
        <v>0.10615910000000001</v>
      </c>
      <c r="S4939">
        <v>2.9301759999999999</v>
      </c>
      <c r="T4939">
        <v>-0.18252550000000001</v>
      </c>
      <c r="U4939">
        <v>0.93179319999999899</v>
      </c>
      <c r="V4939">
        <v>-0.11866159999999901</v>
      </c>
      <c r="W4939">
        <v>4.949104E-2</v>
      </c>
      <c r="X4939">
        <v>0.99170059999999904</v>
      </c>
      <c r="Y4939">
        <v>-0.31432120000000002</v>
      </c>
      <c r="Z4939">
        <v>1.030266E-2</v>
      </c>
      <c r="AA4939">
        <v>0.94926080000000002</v>
      </c>
      <c r="AB4939">
        <v>37</v>
      </c>
      <c r="AC4939">
        <v>17.642399999999999</v>
      </c>
      <c r="AD4939">
        <v>-1.1103771076913</v>
      </c>
      <c r="AE4939">
        <v>5.6702899999999996</v>
      </c>
      <c r="AF4939">
        <v>-5.8686210213896901</v>
      </c>
      <c r="AG4939">
        <v>-1.1103771076913</v>
      </c>
      <c r="AH4939">
        <v>17.507515406825998</v>
      </c>
      <c r="AI4939">
        <v>93.441301211150204</v>
      </c>
      <c r="AJ4939">
        <v>108.531451438445</v>
      </c>
      <c r="AK4939">
        <v>18.4982903462517</v>
      </c>
    </row>
    <row r="4940" spans="1:37" x14ac:dyDescent="0.2">
      <c r="A4940" t="str">
        <f>"20200111154159561"</f>
        <v>20200111154159561</v>
      </c>
      <c r="B4940" t="str">
        <f>"1578728519551315"</f>
        <v>1578728519551315</v>
      </c>
      <c r="C4940" t="s">
        <v>37</v>
      </c>
      <c r="D4940">
        <v>5.0784039999999999</v>
      </c>
      <c r="E4940">
        <v>0.42402979999999901</v>
      </c>
      <c r="F4940" t="s">
        <v>56</v>
      </c>
      <c r="G4940">
        <v>-220.4049</v>
      </c>
      <c r="H4940" s="1">
        <v>-5.7565050000000002E-8</v>
      </c>
      <c r="I4940">
        <v>-57.8078</v>
      </c>
      <c r="J4940">
        <v>-237.96250000000001</v>
      </c>
      <c r="K4940">
        <v>1.110393</v>
      </c>
      <c r="L4940">
        <v>-63.420380000000002</v>
      </c>
      <c r="M4940">
        <v>0.99991600000000003</v>
      </c>
      <c r="N4940">
        <v>0</v>
      </c>
      <c r="O4940">
        <v>-1.1844560000000001E-2</v>
      </c>
      <c r="P4940">
        <v>0.99308189999999996</v>
      </c>
      <c r="Q4940">
        <v>4.4473569999999997E-2</v>
      </c>
      <c r="R4940">
        <v>0.1086771</v>
      </c>
      <c r="S4940">
        <v>2.92927599999999</v>
      </c>
      <c r="T4940">
        <v>-0.1833939</v>
      </c>
      <c r="U4940">
        <v>0.92669679999999999</v>
      </c>
      <c r="V4940">
        <v>-0.1205668</v>
      </c>
      <c r="W4940">
        <v>4.9387220000000003E-2</v>
      </c>
      <c r="X4940">
        <v>0.99147589999999997</v>
      </c>
      <c r="Y4940">
        <v>-0.31231769999999998</v>
      </c>
      <c r="Z4940">
        <v>1.0258440000000001E-2</v>
      </c>
      <c r="AA4940">
        <v>0.9499223</v>
      </c>
      <c r="AB4940">
        <v>37</v>
      </c>
      <c r="AC4940">
        <v>17.557600000000001</v>
      </c>
      <c r="AD4940">
        <v>-1.11039305756505</v>
      </c>
      <c r="AE4940">
        <v>5.6125800000000003</v>
      </c>
      <c r="AF4940">
        <v>-5.7991071583916503</v>
      </c>
      <c r="AG4940">
        <v>-1.11039305756505</v>
      </c>
      <c r="AH4940">
        <v>17.426650304408199</v>
      </c>
      <c r="AI4940">
        <v>93.459803539180498</v>
      </c>
      <c r="AJ4940">
        <v>108.406015537051</v>
      </c>
      <c r="AK4940">
        <v>18.399748840919798</v>
      </c>
    </row>
    <row r="4941" spans="1:37" x14ac:dyDescent="0.2">
      <c r="A4941" t="str">
        <f>"20200111154159572"</f>
        <v>20200111154159572</v>
      </c>
      <c r="B4941" t="str">
        <f>"1578728519561075"</f>
        <v>1578728519561075</v>
      </c>
      <c r="C4941" t="s">
        <v>37</v>
      </c>
      <c r="D4941">
        <v>5.0501829999999996</v>
      </c>
      <c r="E4941">
        <v>0.425048499999999</v>
      </c>
      <c r="F4941" t="s">
        <v>56</v>
      </c>
      <c r="G4941">
        <v>-220.32499999999999</v>
      </c>
      <c r="H4941" s="1">
        <v>-1.679086E-8</v>
      </c>
      <c r="I4941">
        <v>-57.851610000000001</v>
      </c>
      <c r="J4941">
        <v>-237.78200000000001</v>
      </c>
      <c r="K4941">
        <v>1.110409</v>
      </c>
      <c r="L4941">
        <v>-63.421999999999997</v>
      </c>
      <c r="M4941">
        <v>0.99992320000000001</v>
      </c>
      <c r="N4941">
        <v>0</v>
      </c>
      <c r="O4941">
        <v>-1.1214379999999999E-2</v>
      </c>
      <c r="P4941">
        <v>0.99279599999999901</v>
      </c>
      <c r="Q4941">
        <v>4.4331780000000001E-2</v>
      </c>
      <c r="R4941">
        <v>0.111315899999999</v>
      </c>
      <c r="S4941">
        <v>2.927994</v>
      </c>
      <c r="T4941">
        <v>-0.18433579999999999</v>
      </c>
      <c r="U4941">
        <v>0.92446899999999999</v>
      </c>
      <c r="V4941">
        <v>-0.1225791</v>
      </c>
      <c r="W4941">
        <v>4.9239099999999897E-2</v>
      </c>
      <c r="X4941">
        <v>0.99123660000000002</v>
      </c>
      <c r="Y4941">
        <v>-0.31117800000000001</v>
      </c>
      <c r="Z4941">
        <v>1.024276E-2</v>
      </c>
      <c r="AA4941">
        <v>0.95029649999999999</v>
      </c>
      <c r="AB4941">
        <v>37</v>
      </c>
      <c r="AC4941">
        <v>17.457000000000001</v>
      </c>
      <c r="AD4941">
        <v>-1.11040901679086</v>
      </c>
      <c r="AE4941">
        <v>5.57038999999999</v>
      </c>
      <c r="AF4941">
        <v>-5.7447166068633901</v>
      </c>
      <c r="AG4941">
        <v>-1.11040901679086</v>
      </c>
      <c r="AH4941">
        <v>17.329795888265402</v>
      </c>
      <c r="AI4941">
        <v>93.480470331374093</v>
      </c>
      <c r="AJ4941">
        <v>108.340028999353</v>
      </c>
      <c r="AK4941">
        <v>18.290888513319501</v>
      </c>
    </row>
    <row r="4942" spans="1:37" x14ac:dyDescent="0.2">
      <c r="A4942" t="str">
        <f>"20200111154159584"</f>
        <v>20200111154159584</v>
      </c>
      <c r="B4942" t="str">
        <f>"1578728519580595"</f>
        <v>1578728519580595</v>
      </c>
      <c r="C4942" t="s">
        <v>37</v>
      </c>
      <c r="D4942">
        <v>5.0839410000000003</v>
      </c>
      <c r="E4942">
        <v>0.43832870000000002</v>
      </c>
      <c r="F4942" t="s">
        <v>56</v>
      </c>
      <c r="G4942">
        <v>-220.31</v>
      </c>
      <c r="H4942" s="1">
        <v>5.5974849999999896E-9</v>
      </c>
      <c r="I4942">
        <v>-57.907429999999998</v>
      </c>
      <c r="J4942">
        <v>-237.58920000000001</v>
      </c>
      <c r="K4942">
        <v>1.1104229999999999</v>
      </c>
      <c r="L4942">
        <v>-63.423679999999997</v>
      </c>
      <c r="M4942">
        <v>0.99993050000000006</v>
      </c>
      <c r="N4942">
        <v>0</v>
      </c>
      <c r="O4942">
        <v>-1.053985E-2</v>
      </c>
      <c r="P4942">
        <v>0.99248250000000005</v>
      </c>
      <c r="Q4942">
        <v>4.410791E-2</v>
      </c>
      <c r="R4942">
        <v>0.1141635</v>
      </c>
      <c r="S4942">
        <v>2.9265140000000001</v>
      </c>
      <c r="T4942">
        <v>-0.18599079999999901</v>
      </c>
      <c r="U4942">
        <v>0.92367549999999898</v>
      </c>
      <c r="V4942">
        <v>-0.1247553</v>
      </c>
      <c r="W4942">
        <v>4.9008110000000001E-2</v>
      </c>
      <c r="X4942">
        <v>0.99097649999999904</v>
      </c>
      <c r="Y4942">
        <v>-0.31043229999999999</v>
      </c>
      <c r="Z4942">
        <v>1.027497E-2</v>
      </c>
      <c r="AA4942">
        <v>0.95053989999999999</v>
      </c>
      <c r="AB4942">
        <v>37</v>
      </c>
      <c r="AC4942">
        <v>17.279199999999999</v>
      </c>
      <c r="AD4942">
        <v>-1.1104229944025099</v>
      </c>
      <c r="AE4942">
        <v>5.5162499999999897</v>
      </c>
      <c r="AF4942">
        <v>-5.67679058887963</v>
      </c>
      <c r="AG4942">
        <v>-1.1104229944025099</v>
      </c>
      <c r="AH4942">
        <v>17.155801689617601</v>
      </c>
      <c r="AI4942">
        <v>93.516350604822193</v>
      </c>
      <c r="AJ4942">
        <v>108.30918637955899</v>
      </c>
      <c r="AK4942">
        <v>18.104709946032699</v>
      </c>
    </row>
    <row r="4943" spans="1:37" x14ac:dyDescent="0.2">
      <c r="A4943" t="str">
        <f>"20200111154159594"</f>
        <v>20200111154159594</v>
      </c>
      <c r="B4943" t="str">
        <f>"1578728519591331"</f>
        <v>1578728519591331</v>
      </c>
      <c r="C4943" t="s">
        <v>37</v>
      </c>
      <c r="D4943">
        <v>5.106077</v>
      </c>
      <c r="E4943">
        <v>0.43855329999999898</v>
      </c>
      <c r="F4943" t="s">
        <v>57</v>
      </c>
      <c r="G4943">
        <v>-219.92740000000001</v>
      </c>
      <c r="H4943" s="1">
        <v>-3.570534E-6</v>
      </c>
      <c r="I4943">
        <v>-58.451859999999897</v>
      </c>
      <c r="J4943">
        <v>-237.4118</v>
      </c>
      <c r="K4943">
        <v>1.1104339999999999</v>
      </c>
      <c r="L4943">
        <v>-63.425080000000001</v>
      </c>
      <c r="M4943">
        <v>0.99993690000000002</v>
      </c>
      <c r="N4943">
        <v>0</v>
      </c>
      <c r="O4943">
        <v>-9.9162380000000008E-3</v>
      </c>
      <c r="P4943">
        <v>0.99216990000000005</v>
      </c>
      <c r="Q4943">
        <v>4.3756499999999997E-2</v>
      </c>
      <c r="R4943">
        <v>0.116979399999999</v>
      </c>
      <c r="S4943">
        <v>2.935883</v>
      </c>
      <c r="T4943">
        <v>-0.18458429999999901</v>
      </c>
      <c r="U4943">
        <v>0.82644649999999997</v>
      </c>
      <c r="V4943">
        <v>-0.12695029999999999</v>
      </c>
      <c r="W4943">
        <v>4.8650430000000001E-2</v>
      </c>
      <c r="X4943">
        <v>0.99071529999999997</v>
      </c>
      <c r="Y4943">
        <v>-0.27996859999999901</v>
      </c>
      <c r="Z4943">
        <v>9.2364669999999999E-3</v>
      </c>
      <c r="AA4943">
        <v>0.95996479999999995</v>
      </c>
      <c r="AB4943">
        <v>37</v>
      </c>
      <c r="AC4943">
        <v>17.484399999999901</v>
      </c>
      <c r="AD4943">
        <v>-1.1104375705339999</v>
      </c>
      <c r="AE4943">
        <v>4.9732200000000004</v>
      </c>
      <c r="AF4943">
        <v>-5.1272244203370896</v>
      </c>
      <c r="AG4943">
        <v>-1.1104375705339999</v>
      </c>
      <c r="AH4943">
        <v>17.369407670947901</v>
      </c>
      <c r="AI4943">
        <v>93.508702833485003</v>
      </c>
      <c r="AJ4943">
        <v>106.445918540769</v>
      </c>
      <c r="AK4943">
        <v>18.144360685737499</v>
      </c>
    </row>
    <row r="4944" spans="1:37" x14ac:dyDescent="0.2">
      <c r="A4944" t="str">
        <f>"20200111154159606"</f>
        <v>20200111154159606</v>
      </c>
      <c r="B4944" t="str">
        <f>"1578728519601094"</f>
        <v>1578728519601094</v>
      </c>
      <c r="C4944" t="s">
        <v>37</v>
      </c>
      <c r="D4944">
        <v>5.1175369999999996</v>
      </c>
      <c r="E4944">
        <v>0.43751449999999997</v>
      </c>
      <c r="F4944" t="s">
        <v>56</v>
      </c>
      <c r="G4944">
        <v>-220.50839999999999</v>
      </c>
      <c r="H4944" s="1">
        <v>1.6172779999999999E-7</v>
      </c>
      <c r="I4944">
        <v>-58.629309999999997</v>
      </c>
      <c r="J4944">
        <v>-237.21619999999999</v>
      </c>
      <c r="K4944">
        <v>1.1104459999999901</v>
      </c>
      <c r="L4944">
        <v>-63.42651</v>
      </c>
      <c r="M4944">
        <v>0.99994340000000004</v>
      </c>
      <c r="N4944">
        <v>0</v>
      </c>
      <c r="O4944">
        <v>-9.2283709999999904E-3</v>
      </c>
      <c r="P4944">
        <v>0.99182420000000004</v>
      </c>
      <c r="Q4944">
        <v>4.4003019999999997E-2</v>
      </c>
      <c r="R4944">
        <v>0.1197873</v>
      </c>
      <c r="S4944">
        <v>2.934021</v>
      </c>
      <c r="T4944">
        <v>-0.1927442</v>
      </c>
      <c r="U4944">
        <v>0.83242799999999995</v>
      </c>
      <c r="V4944">
        <v>-0.12907579999999999</v>
      </c>
      <c r="W4944">
        <v>4.889048E-2</v>
      </c>
      <c r="X4944">
        <v>0.9904288</v>
      </c>
      <c r="Y4944">
        <v>-0.28122970000000003</v>
      </c>
      <c r="Z4944">
        <v>9.6435180000000002E-3</v>
      </c>
      <c r="AA4944">
        <v>0.959592</v>
      </c>
      <c r="AB4944">
        <v>37</v>
      </c>
      <c r="AC4944">
        <v>16.707799999999899</v>
      </c>
      <c r="AD4944">
        <v>-1.11044583827219</v>
      </c>
      <c r="AE4944">
        <v>4.7972000000000001</v>
      </c>
      <c r="AF4944">
        <v>-4.93106065306619</v>
      </c>
      <c r="AG4944">
        <v>-1.11044583827219</v>
      </c>
      <c r="AH4944">
        <v>16.595095182051502</v>
      </c>
      <c r="AI4944">
        <v>93.670058740644905</v>
      </c>
      <c r="AJ4944">
        <v>106.548771623265</v>
      </c>
      <c r="AK4944">
        <v>17.347784677742101</v>
      </c>
    </row>
    <row r="4945" spans="1:37" x14ac:dyDescent="0.2">
      <c r="A4945" t="str">
        <f>"20200111154159617"</f>
        <v>20200111154159617</v>
      </c>
      <c r="B4945" t="str">
        <f>"1578728519610851"</f>
        <v>1578728519610851</v>
      </c>
      <c r="C4945" t="s">
        <v>37</v>
      </c>
      <c r="D4945">
        <v>5.13422</v>
      </c>
      <c r="E4945">
        <v>0.43727579999999999</v>
      </c>
      <c r="F4945" t="s">
        <v>56</v>
      </c>
      <c r="G4945">
        <v>-220.928</v>
      </c>
      <c r="H4945" s="1">
        <v>4.4021819999999998E-8</v>
      </c>
      <c r="I4945">
        <v>-58.710269999999902</v>
      </c>
      <c r="J4945">
        <v>-237.03139999999999</v>
      </c>
      <c r="K4945">
        <v>1.110457</v>
      </c>
      <c r="L4945">
        <v>-63.427729999999997</v>
      </c>
      <c r="M4945">
        <v>0.99994919999999998</v>
      </c>
      <c r="N4945">
        <v>0</v>
      </c>
      <c r="O4945">
        <v>-8.5773440000000006E-3</v>
      </c>
      <c r="P4945">
        <v>0.99145419999999995</v>
      </c>
      <c r="Q4945">
        <v>4.4006780000000002E-2</v>
      </c>
      <c r="R4945">
        <v>0.122810199999999</v>
      </c>
      <c r="S4945">
        <v>2.9310909999999999</v>
      </c>
      <c r="T4945">
        <v>-0.19982620000000001</v>
      </c>
      <c r="U4945">
        <v>0.84869380000000005</v>
      </c>
      <c r="V4945">
        <v>-0.13145190000000001</v>
      </c>
      <c r="W4945">
        <v>4.8887609999999998E-2</v>
      </c>
      <c r="X4945">
        <v>0.99011640000000001</v>
      </c>
      <c r="Y4945">
        <v>-0.2857227</v>
      </c>
      <c r="Z4945">
        <v>1.0105650000000001E-2</v>
      </c>
      <c r="AA4945">
        <v>0.95825899999999997</v>
      </c>
      <c r="AB4945">
        <v>37</v>
      </c>
      <c r="AC4945">
        <v>16.103399999999901</v>
      </c>
      <c r="AD4945">
        <v>-1.1104569559781701</v>
      </c>
      <c r="AE4945">
        <v>4.7174600000000098</v>
      </c>
      <c r="AF4945">
        <v>-4.8342418909786504</v>
      </c>
      <c r="AG4945">
        <v>-1.1104569559781701</v>
      </c>
      <c r="AH4945">
        <v>15.992307623933799</v>
      </c>
      <c r="AI4945">
        <v>93.802660965784995</v>
      </c>
      <c r="AJ4945">
        <v>106.81930301845</v>
      </c>
      <c r="AK4945">
        <v>16.7438619335596</v>
      </c>
    </row>
    <row r="4946" spans="1:37" x14ac:dyDescent="0.2">
      <c r="A4946" t="str">
        <f>"20200111154159628"</f>
        <v>20200111154159628</v>
      </c>
      <c r="B4946" t="str">
        <f>"1578728519620612"</f>
        <v>1578728519620612</v>
      </c>
      <c r="C4946" t="s">
        <v>37</v>
      </c>
      <c r="D4946">
        <v>5.1584339999999997</v>
      </c>
      <c r="E4946">
        <v>0.4372414</v>
      </c>
      <c r="F4946" t="s">
        <v>56</v>
      </c>
      <c r="G4946">
        <v>-221.0008</v>
      </c>
      <c r="H4946" s="1">
        <v>2.3709159999999999E-8</v>
      </c>
      <c r="I4946">
        <v>-58.7247699999999</v>
      </c>
      <c r="J4946">
        <v>-236.8494</v>
      </c>
      <c r="K4946">
        <v>1.110468</v>
      </c>
      <c r="L4946">
        <v>-63.428829999999998</v>
      </c>
      <c r="M4946">
        <v>0.99995449999999997</v>
      </c>
      <c r="N4946">
        <v>0</v>
      </c>
      <c r="O4946">
        <v>-7.9364529999999996E-3</v>
      </c>
      <c r="P4946">
        <v>0.99111629999999995</v>
      </c>
      <c r="Q4946">
        <v>4.4113779999999998E-2</v>
      </c>
      <c r="R4946">
        <v>0.1254702</v>
      </c>
      <c r="S4946">
        <v>2.928436</v>
      </c>
      <c r="T4946">
        <v>-0.20285639999999999</v>
      </c>
      <c r="U4946">
        <v>0.85913090000000003</v>
      </c>
      <c r="V4946">
        <v>-0.13347539999999999</v>
      </c>
      <c r="W4946">
        <v>4.8988579999999997E-2</v>
      </c>
      <c r="X4946">
        <v>0.98984059999999996</v>
      </c>
      <c r="Y4946">
        <v>-0.28846290000000002</v>
      </c>
      <c r="Z4946">
        <v>1.0311860000000001E-2</v>
      </c>
      <c r="AA4946">
        <v>0.95743549999999999</v>
      </c>
      <c r="AB4946">
        <v>37</v>
      </c>
      <c r="AC4946">
        <v>15.848599999999999</v>
      </c>
      <c r="AD4946">
        <v>-1.11046797629084</v>
      </c>
      <c r="AE4946">
        <v>4.7040600000000099</v>
      </c>
      <c r="AF4946">
        <v>-4.8080019042728601</v>
      </c>
      <c r="AG4946">
        <v>-1.11046797629084</v>
      </c>
      <c r="AH4946">
        <v>15.7397501105731</v>
      </c>
      <c r="AI4946">
        <v>93.860123215730496</v>
      </c>
      <c r="AJ4946">
        <v>106.986274668189</v>
      </c>
      <c r="AK4946">
        <v>16.495143375586199</v>
      </c>
    </row>
    <row r="4947" spans="1:37" x14ac:dyDescent="0.2">
      <c r="A4947" t="str">
        <f>"20200111154159640"</f>
        <v>20200111154159640</v>
      </c>
      <c r="B4947" t="str">
        <f>"1578728519631347"</f>
        <v>1578728519631347</v>
      </c>
      <c r="C4947" t="s">
        <v>37</v>
      </c>
      <c r="D4947">
        <v>5.1292549999999997</v>
      </c>
      <c r="E4947">
        <v>0.43716339999999998</v>
      </c>
      <c r="F4947" t="s">
        <v>56</v>
      </c>
      <c r="G4947">
        <v>-220.93039999999999</v>
      </c>
      <c r="H4947" s="1">
        <v>4.4180069999999998E-8</v>
      </c>
      <c r="I4947">
        <v>-58.713439999999999</v>
      </c>
      <c r="J4947">
        <v>-236.6559</v>
      </c>
      <c r="K4947">
        <v>1.1104810000000001</v>
      </c>
      <c r="L4947">
        <v>-63.429869999999902</v>
      </c>
      <c r="M4947">
        <v>0.999959499999999</v>
      </c>
      <c r="N4947">
        <v>0</v>
      </c>
      <c r="O4947">
        <v>-7.255269E-3</v>
      </c>
      <c r="P4947">
        <v>0.99068400000000001</v>
      </c>
      <c r="Q4947">
        <v>4.4676010000000002E-2</v>
      </c>
      <c r="R4947">
        <v>0.12864410000000001</v>
      </c>
      <c r="S4947">
        <v>2.9262540000000001</v>
      </c>
      <c r="T4947">
        <v>-0.204128</v>
      </c>
      <c r="U4947">
        <v>0.86679079999999997</v>
      </c>
      <c r="V4947">
        <v>-0.1359747</v>
      </c>
      <c r="W4947">
        <v>4.9542940000000001E-2</v>
      </c>
      <c r="X4947">
        <v>0.98947280000000004</v>
      </c>
      <c r="Y4947">
        <v>-0.29029769999999999</v>
      </c>
      <c r="Z4947">
        <v>1.03961E-2</v>
      </c>
      <c r="AA4947">
        <v>0.95687990000000001</v>
      </c>
      <c r="AB4947">
        <v>37</v>
      </c>
      <c r="AC4947">
        <v>15.7255</v>
      </c>
      <c r="AD4947">
        <v>-1.11048095581993</v>
      </c>
      <c r="AE4947">
        <v>4.7164299999999804</v>
      </c>
      <c r="AF4947">
        <v>-4.8084010546637499</v>
      </c>
      <c r="AG4947">
        <v>-1.11048095581993</v>
      </c>
      <c r="AH4947">
        <v>15.6194055171161</v>
      </c>
      <c r="AI4947">
        <v>93.887233932917098</v>
      </c>
      <c r="AJ4947">
        <v>107.110871941447</v>
      </c>
      <c r="AK4947">
        <v>16.380467556326</v>
      </c>
    </row>
    <row r="4948" spans="1:37" x14ac:dyDescent="0.2">
      <c r="A4948" t="str">
        <f>"20200111154159650"</f>
        <v>20200111154159650</v>
      </c>
      <c r="B4948" t="str">
        <f>"1578728519641107"</f>
        <v>1578728519641107</v>
      </c>
      <c r="C4948" t="s">
        <v>37</v>
      </c>
      <c r="D4948">
        <v>5.1571360000000004</v>
      </c>
      <c r="E4948">
        <v>0.43750859999999903</v>
      </c>
      <c r="F4948" t="s">
        <v>56</v>
      </c>
      <c r="G4948">
        <v>-220.77590000000001</v>
      </c>
      <c r="H4948" s="1">
        <v>8.3171529999999895E-8</v>
      </c>
      <c r="I4948">
        <v>-58.669609999999999</v>
      </c>
      <c r="J4948">
        <v>-236.4776</v>
      </c>
      <c r="K4948">
        <v>1.110492</v>
      </c>
      <c r="L4948">
        <v>-63.430659999999897</v>
      </c>
      <c r="M4948">
        <v>0.99996399999999996</v>
      </c>
      <c r="N4948">
        <v>0</v>
      </c>
      <c r="O4948">
        <v>-6.628091E-3</v>
      </c>
      <c r="P4948">
        <v>0.99030469999999904</v>
      </c>
      <c r="Q4948">
        <v>4.4834649999999997E-2</v>
      </c>
      <c r="R4948">
        <v>0.13147909999999999</v>
      </c>
      <c r="S4948">
        <v>2.923645</v>
      </c>
      <c r="T4948">
        <v>-0.20444909999999999</v>
      </c>
      <c r="U4948">
        <v>0.87640379999999996</v>
      </c>
      <c r="V4948">
        <v>-0.13818849999999999</v>
      </c>
      <c r="W4948">
        <v>4.9694870000000002E-2</v>
      </c>
      <c r="X4948">
        <v>0.98915839999999999</v>
      </c>
      <c r="Y4948">
        <v>-0.29281200000000002</v>
      </c>
      <c r="Z4948">
        <v>1.045956E-2</v>
      </c>
      <c r="AA4948">
        <v>0.95611290000000004</v>
      </c>
      <c r="AB4948">
        <v>37</v>
      </c>
      <c r="AC4948">
        <v>15.701699999999899</v>
      </c>
      <c r="AD4948">
        <v>-1.1104919168284699</v>
      </c>
      <c r="AE4948">
        <v>4.7610499999999902</v>
      </c>
      <c r="AF4948">
        <v>-4.8428352811744402</v>
      </c>
      <c r="AG4948">
        <v>-1.1104919168284699</v>
      </c>
      <c r="AH4948">
        <v>15.5983456114276</v>
      </c>
      <c r="AI4948">
        <v>93.889632962887603</v>
      </c>
      <c r="AJ4948">
        <v>107.24805763680401</v>
      </c>
      <c r="AK4948">
        <v>16.370541581495399</v>
      </c>
    </row>
    <row r="4949" spans="1:37" x14ac:dyDescent="0.2">
      <c r="A4949" t="str">
        <f>"20200111154159661"</f>
        <v>20200111154159661</v>
      </c>
      <c r="B4949" t="str">
        <f>"1578728519650867"</f>
        <v>1578728519650867</v>
      </c>
      <c r="C4949" t="s">
        <v>37</v>
      </c>
      <c r="D4949">
        <v>5.146566</v>
      </c>
      <c r="E4949">
        <v>0.43778319999999998</v>
      </c>
      <c r="F4949" t="s">
        <v>56</v>
      </c>
      <c r="G4949">
        <v>-220.74430000000001</v>
      </c>
      <c r="H4949" s="1">
        <v>9.8161249999999995E-8</v>
      </c>
      <c r="I4949">
        <v>-58.683269999999901</v>
      </c>
      <c r="J4949">
        <v>-236.2979</v>
      </c>
      <c r="K4949">
        <v>1.1105020000000001</v>
      </c>
      <c r="L4949">
        <v>-63.431459999999902</v>
      </c>
      <c r="M4949">
        <v>0.99996790000000002</v>
      </c>
      <c r="N4949">
        <v>0</v>
      </c>
      <c r="O4949">
        <v>-5.9965019999999999E-3</v>
      </c>
      <c r="P4949">
        <v>0.98990239999999996</v>
      </c>
      <c r="Q4949">
        <v>4.5265409999999999E-2</v>
      </c>
      <c r="R4949">
        <v>0.13432920000000001</v>
      </c>
      <c r="S4949">
        <v>2.9216769999999999</v>
      </c>
      <c r="T4949">
        <v>-0.20621869999999901</v>
      </c>
      <c r="U4949">
        <v>0.88159179999999904</v>
      </c>
      <c r="V4949">
        <v>-0.14041289999999901</v>
      </c>
      <c r="W4949">
        <v>5.011968E-2</v>
      </c>
      <c r="X4949">
        <v>0.98882369999999997</v>
      </c>
      <c r="Y4949">
        <v>-0.29392869999999999</v>
      </c>
      <c r="Z4949">
        <v>1.0548979999999999E-2</v>
      </c>
      <c r="AA4949">
        <v>0.95576909999999904</v>
      </c>
      <c r="AB4949">
        <v>37</v>
      </c>
      <c r="AC4949">
        <v>15.5535999999999</v>
      </c>
      <c r="AD4949">
        <v>-1.1105019018387501</v>
      </c>
      <c r="AE4949">
        <v>4.7481900000000001</v>
      </c>
      <c r="AF4949">
        <v>-4.8189018981962901</v>
      </c>
      <c r="AG4949">
        <v>-1.1105019018387501</v>
      </c>
      <c r="AH4949">
        <v>15.452788813572599</v>
      </c>
      <c r="AI4949">
        <v>93.924665149302896</v>
      </c>
      <c r="AJ4949">
        <v>107.31991952195099</v>
      </c>
      <c r="AK4949">
        <v>16.224786966099099</v>
      </c>
    </row>
    <row r="4950" spans="1:37" x14ac:dyDescent="0.2">
      <c r="A4950" t="str">
        <f>"20200111154159673"</f>
        <v>20200111154159673</v>
      </c>
      <c r="B4950" t="str">
        <f>"1578728519670387"</f>
        <v>1578728519670387</v>
      </c>
      <c r="C4950" t="s">
        <v>37</v>
      </c>
      <c r="D4950">
        <v>5.1494849999999897</v>
      </c>
      <c r="E4950">
        <v>0.43918259999999998</v>
      </c>
      <c r="F4950" t="s">
        <v>56</v>
      </c>
      <c r="G4950">
        <v>-220.6687</v>
      </c>
      <c r="H4950" s="1">
        <v>1.228685E-7</v>
      </c>
      <c r="I4950">
        <v>-58.679940000000002</v>
      </c>
      <c r="J4950">
        <v>-236.11250000000001</v>
      </c>
      <c r="K4950">
        <v>1.1105119999999999</v>
      </c>
      <c r="L4950">
        <v>-63.432040000000001</v>
      </c>
      <c r="M4950">
        <v>0.99997150000000001</v>
      </c>
      <c r="N4950">
        <v>0</v>
      </c>
      <c r="O4950">
        <v>-5.3453650000000004E-3</v>
      </c>
      <c r="P4950">
        <v>0.98948340000000001</v>
      </c>
      <c r="Q4950">
        <v>4.5480739999999999E-2</v>
      </c>
      <c r="R4950">
        <v>0.13731099999999999</v>
      </c>
      <c r="S4950">
        <v>2.9196169999999899</v>
      </c>
      <c r="T4950">
        <v>-0.20744659999999901</v>
      </c>
      <c r="U4950">
        <v>0.88760380000000005</v>
      </c>
      <c r="V4950">
        <v>-0.14275009999999999</v>
      </c>
      <c r="W4950">
        <v>5.0327789999999997E-2</v>
      </c>
      <c r="X4950">
        <v>0.98847839999999998</v>
      </c>
      <c r="Y4950">
        <v>-0.29528509999999902</v>
      </c>
      <c r="Z4950">
        <v>1.061756E-2</v>
      </c>
      <c r="AA4950">
        <v>0.95535020000000004</v>
      </c>
      <c r="AB4950">
        <v>37</v>
      </c>
      <c r="AC4950">
        <v>15.4438</v>
      </c>
      <c r="AD4950">
        <v>-1.1105118771314999</v>
      </c>
      <c r="AE4950">
        <v>4.7520999999999898</v>
      </c>
      <c r="AF4950">
        <v>-4.8118579196298201</v>
      </c>
      <c r="AG4950">
        <v>-1.1105118771314999</v>
      </c>
      <c r="AH4950">
        <v>15.345694138233</v>
      </c>
      <c r="AI4950">
        <v>93.950076910152802</v>
      </c>
      <c r="AJ4950">
        <v>107.40954910238401</v>
      </c>
      <c r="AK4950">
        <v>16.120717783403901</v>
      </c>
    </row>
    <row r="4951" spans="1:37" x14ac:dyDescent="0.2">
      <c r="A4951" t="str">
        <f>"20200111154159685"</f>
        <v>20200111154159685</v>
      </c>
      <c r="B4951" t="str">
        <f>"1578728519681123"</f>
        <v>1578728519681123</v>
      </c>
      <c r="C4951" t="s">
        <v>37</v>
      </c>
      <c r="D4951">
        <v>5.1621110000000003</v>
      </c>
      <c r="E4951">
        <v>0.43967509999999999</v>
      </c>
      <c r="F4951" t="s">
        <v>56</v>
      </c>
      <c r="G4951">
        <v>-220.3065</v>
      </c>
      <c r="H4951" s="1">
        <v>2.3316329999999901E-7</v>
      </c>
      <c r="I4951">
        <v>-58.638150000000003</v>
      </c>
      <c r="J4951">
        <v>-235.92429999999999</v>
      </c>
      <c r="K4951">
        <v>1.11052</v>
      </c>
      <c r="L4951">
        <v>-63.432619999999901</v>
      </c>
      <c r="M4951">
        <v>0.9999749</v>
      </c>
      <c r="N4951">
        <v>0</v>
      </c>
      <c r="O4951">
        <v>-4.6855270000000001E-3</v>
      </c>
      <c r="P4951">
        <v>0.989040699999999</v>
      </c>
      <c r="Q4951">
        <v>4.5680680000000001E-2</v>
      </c>
      <c r="R4951">
        <v>0.1403991</v>
      </c>
      <c r="S4951">
        <v>2.918472</v>
      </c>
      <c r="T4951">
        <v>-0.20504919999999999</v>
      </c>
      <c r="U4951">
        <v>0.88516240000000002</v>
      </c>
      <c r="V4951">
        <v>-0.1451856</v>
      </c>
      <c r="W4951">
        <v>5.0520669999999997E-2</v>
      </c>
      <c r="X4951">
        <v>0.98811380000000004</v>
      </c>
      <c r="Y4951">
        <v>-0.29404669999999999</v>
      </c>
      <c r="Z4951">
        <v>1.041251E-2</v>
      </c>
      <c r="AA4951">
        <v>0.95573430000000004</v>
      </c>
      <c r="AB4951">
        <v>37</v>
      </c>
      <c r="AC4951">
        <v>15.6177999999999</v>
      </c>
      <c r="AD4951">
        <v>-1.1105197668367</v>
      </c>
      <c r="AE4951">
        <v>4.7944699999999898</v>
      </c>
      <c r="AF4951">
        <v>-4.84520818608613</v>
      </c>
      <c r="AG4951">
        <v>-1.1105197668367</v>
      </c>
      <c r="AH4951">
        <v>15.5234358055994</v>
      </c>
      <c r="AI4951">
        <v>93.906617177190398</v>
      </c>
      <c r="AJ4951">
        <v>107.33429948216801</v>
      </c>
      <c r="AK4951">
        <v>16.2998882121816</v>
      </c>
    </row>
    <row r="4952" spans="1:37" x14ac:dyDescent="0.2">
      <c r="A4952" t="str">
        <f>"20200111154159695"</f>
        <v>20200111154159695</v>
      </c>
      <c r="B4952" t="str">
        <f>"1578728519690883"</f>
        <v>1578728519690883</v>
      </c>
      <c r="C4952" t="s">
        <v>37</v>
      </c>
      <c r="D4952">
        <v>5.1726700000000001</v>
      </c>
      <c r="E4952">
        <v>0.44015100000000001</v>
      </c>
      <c r="F4952" t="s">
        <v>56</v>
      </c>
      <c r="G4952">
        <v>-220.04490000000001</v>
      </c>
      <c r="H4952" s="1">
        <v>3.0580159999999998E-7</v>
      </c>
      <c r="I4952">
        <v>-58.585269999999902</v>
      </c>
      <c r="J4952">
        <v>-235.73220000000001</v>
      </c>
      <c r="K4952">
        <v>1.110525</v>
      </c>
      <c r="L4952">
        <v>-63.432980000000001</v>
      </c>
      <c r="M4952">
        <v>0.99997769999999997</v>
      </c>
      <c r="N4952">
        <v>0</v>
      </c>
      <c r="O4952">
        <v>-4.0141300000000003E-3</v>
      </c>
      <c r="P4952">
        <v>0.98859240000000004</v>
      </c>
      <c r="Q4952">
        <v>4.5850929999999998E-2</v>
      </c>
      <c r="R4952">
        <v>0.14346709999999999</v>
      </c>
      <c r="S4952">
        <v>2.91629</v>
      </c>
      <c r="T4952">
        <v>-0.20394999999999999</v>
      </c>
      <c r="U4952">
        <v>0.89022829999999997</v>
      </c>
      <c r="V4952">
        <v>-0.14758969999999999</v>
      </c>
      <c r="W4952">
        <v>5.0684489999999999E-2</v>
      </c>
      <c r="X4952">
        <v>0.98774919999999999</v>
      </c>
      <c r="Y4952">
        <v>-0.29512880000000002</v>
      </c>
      <c r="Z4952">
        <v>1.0352750000000001E-2</v>
      </c>
      <c r="AA4952">
        <v>0.95540139999999996</v>
      </c>
      <c r="AB4952">
        <v>37</v>
      </c>
      <c r="AC4952">
        <v>15.687299999999899</v>
      </c>
      <c r="AD4952">
        <v>-1.1105246941983999</v>
      </c>
      <c r="AE4952">
        <v>4.84771000000001</v>
      </c>
      <c r="AF4952">
        <v>-4.8882809337900897</v>
      </c>
      <c r="AG4952">
        <v>-1.1105246941983999</v>
      </c>
      <c r="AH4952">
        <v>15.5963673709162</v>
      </c>
      <c r="AI4952">
        <v>93.886984582667495</v>
      </c>
      <c r="AJ4952">
        <v>107.40226017674399</v>
      </c>
      <c r="AK4952">
        <v>16.3821619682098</v>
      </c>
    </row>
    <row r="4953" spans="1:37" x14ac:dyDescent="0.2">
      <c r="A4953" t="str">
        <f>"20200111154159707"</f>
        <v>20200111154159707</v>
      </c>
      <c r="B4953" t="str">
        <f>"1578728519700643"</f>
        <v>1578728519700643</v>
      </c>
      <c r="C4953" t="s">
        <v>37</v>
      </c>
      <c r="D4953">
        <v>5.1670199999999999</v>
      </c>
      <c r="E4953">
        <v>0.44051469999999998</v>
      </c>
      <c r="F4953" t="s">
        <v>57</v>
      </c>
      <c r="G4953">
        <v>-219.8434</v>
      </c>
      <c r="H4953" s="1">
        <v>-3.51665E-6</v>
      </c>
      <c r="I4953">
        <v>-58.55236</v>
      </c>
      <c r="J4953">
        <v>-235.5394</v>
      </c>
      <c r="K4953">
        <v>1.110528</v>
      </c>
      <c r="L4953">
        <v>-63.43329</v>
      </c>
      <c r="M4953">
        <v>0.99998019999999999</v>
      </c>
      <c r="N4953">
        <v>0</v>
      </c>
      <c r="O4953">
        <v>-3.3419000000000001E-3</v>
      </c>
      <c r="P4953">
        <v>0.98817099999999902</v>
      </c>
      <c r="Q4953">
        <v>4.5600719999999997E-2</v>
      </c>
      <c r="R4953">
        <v>0.14641999999999999</v>
      </c>
      <c r="S4953">
        <v>2.9141539999999999</v>
      </c>
      <c r="T4953">
        <v>-0.20368120000000001</v>
      </c>
      <c r="U4953">
        <v>0.89514159999999898</v>
      </c>
      <c r="V4953">
        <v>-0.14987700000000001</v>
      </c>
      <c r="W4953">
        <v>5.0428279999999999E-2</v>
      </c>
      <c r="X4953">
        <v>0.98741780000000001</v>
      </c>
      <c r="Y4953">
        <v>-0.29615520000000001</v>
      </c>
      <c r="Z4953">
        <v>1.033301E-2</v>
      </c>
      <c r="AA4953">
        <v>0.95508400000000004</v>
      </c>
      <c r="AB4953">
        <v>37</v>
      </c>
      <c r="AC4953">
        <v>15.6959999999999</v>
      </c>
      <c r="AD4953">
        <v>-1.1105315166500001</v>
      </c>
      <c r="AE4953">
        <v>4.8809299999999904</v>
      </c>
      <c r="AF4953">
        <v>-4.9109418191728302</v>
      </c>
      <c r="AG4953">
        <v>-1.1105315166500001</v>
      </c>
      <c r="AH4953">
        <v>15.608355757222199</v>
      </c>
      <c r="AI4953">
        <v>93.882691766372204</v>
      </c>
      <c r="AJ4953">
        <v>107.465422879833</v>
      </c>
      <c r="AK4953">
        <v>16.400347534268398</v>
      </c>
    </row>
    <row r="4954" spans="1:37" x14ac:dyDescent="0.2">
      <c r="A4954" t="str">
        <f>"20200111154159718"</f>
        <v>20200111154159718</v>
      </c>
      <c r="B4954" t="str">
        <f>"1578728519710403"</f>
        <v>1578728519710403</v>
      </c>
      <c r="C4954" t="s">
        <v>37</v>
      </c>
      <c r="D4954">
        <v>5.2189769999999998</v>
      </c>
      <c r="E4954">
        <v>0.44096629999999998</v>
      </c>
      <c r="F4954" t="s">
        <v>57</v>
      </c>
      <c r="G4954">
        <v>-219.72210000000001</v>
      </c>
      <c r="H4954" s="1">
        <v>-3.4666649999999999E-6</v>
      </c>
      <c r="I4954">
        <v>-58.540869999999998</v>
      </c>
      <c r="J4954">
        <v>-235.3536</v>
      </c>
      <c r="K4954">
        <v>1.11053</v>
      </c>
      <c r="L4954">
        <v>-63.433409999999903</v>
      </c>
      <c r="M4954">
        <v>0.99998220000000004</v>
      </c>
      <c r="N4954">
        <v>0</v>
      </c>
      <c r="O4954">
        <v>-2.6962570000000001E-3</v>
      </c>
      <c r="P4954">
        <v>0.9877321</v>
      </c>
      <c r="Q4954">
        <v>4.525788E-2</v>
      </c>
      <c r="R4954">
        <v>0.14945729999999999</v>
      </c>
      <c r="S4954">
        <v>2.9119109999999999</v>
      </c>
      <c r="T4954">
        <v>-0.20444479999999901</v>
      </c>
      <c r="U4954">
        <v>0.9006653</v>
      </c>
      <c r="V4954">
        <v>-0.15227489999999999</v>
      </c>
      <c r="W4954">
        <v>5.0079680000000001E-2</v>
      </c>
      <c r="X4954">
        <v>0.98706859999999996</v>
      </c>
      <c r="Y4954">
        <v>-0.2973924</v>
      </c>
      <c r="Z4954">
        <v>1.037459E-2</v>
      </c>
      <c r="AA4954">
        <v>0.95469899999999996</v>
      </c>
      <c r="AB4954">
        <v>38</v>
      </c>
      <c r="AC4954">
        <v>15.6314999999999</v>
      </c>
      <c r="AD4954">
        <v>-1.110533466665</v>
      </c>
      <c r="AE4954">
        <v>4.8925399999999897</v>
      </c>
      <c r="AF4954">
        <v>-4.9120885192208101</v>
      </c>
      <c r="AG4954">
        <v>-1.110533466665</v>
      </c>
      <c r="AH4954">
        <v>15.546783000579101</v>
      </c>
      <c r="AI4954">
        <v>93.896557957026204</v>
      </c>
      <c r="AJ4954">
        <v>107.53420765327201</v>
      </c>
      <c r="AK4954">
        <v>16.342103899692301</v>
      </c>
    </row>
    <row r="4955" spans="1:37" x14ac:dyDescent="0.2">
      <c r="A4955" t="str">
        <f>"20200111154159728"</f>
        <v>20200111154159728</v>
      </c>
      <c r="B4955" t="str">
        <f>"1578728519721139"</f>
        <v>1578728519721139</v>
      </c>
      <c r="C4955" t="s">
        <v>37</v>
      </c>
      <c r="D4955">
        <v>5.1495889999999997</v>
      </c>
      <c r="E4955">
        <v>0.4412566</v>
      </c>
      <c r="F4955" t="s">
        <v>57</v>
      </c>
      <c r="G4955">
        <v>-219.68719999999999</v>
      </c>
      <c r="H4955" s="1">
        <v>-3.4489469999999999E-6</v>
      </c>
      <c r="I4955">
        <v>-58.5563199999999</v>
      </c>
      <c r="J4955">
        <v>-235.1696</v>
      </c>
      <c r="K4955">
        <v>1.11053</v>
      </c>
      <c r="L4955">
        <v>-63.433439999999997</v>
      </c>
      <c r="M4955">
        <v>0.99998339999999997</v>
      </c>
      <c r="N4955">
        <v>0</v>
      </c>
      <c r="O4955">
        <v>-2.0612289999999999E-3</v>
      </c>
      <c r="P4955">
        <v>0.98724829999999997</v>
      </c>
      <c r="Q4955">
        <v>4.5234259999999998E-2</v>
      </c>
      <c r="R4955">
        <v>0.15262439999999999</v>
      </c>
      <c r="S4955">
        <v>2.909653</v>
      </c>
      <c r="T4955">
        <v>-0.20625479999999999</v>
      </c>
      <c r="U4955">
        <v>0.90579219999999905</v>
      </c>
      <c r="V4955">
        <v>-0.15481389999999901</v>
      </c>
      <c r="W4955">
        <v>5.0049669999999997E-2</v>
      </c>
      <c r="X4955">
        <v>0.98667510000000003</v>
      </c>
      <c r="Y4955">
        <v>-0.2985159</v>
      </c>
      <c r="Z4955">
        <v>1.046623E-2</v>
      </c>
      <c r="AA4955">
        <v>0.95434730000000001</v>
      </c>
      <c r="AB4955">
        <v>38</v>
      </c>
      <c r="AC4955">
        <v>15.4824</v>
      </c>
      <c r="AD4955">
        <v>-1.110533448947</v>
      </c>
      <c r="AE4955">
        <v>4.8771200000000103</v>
      </c>
      <c r="AF4955">
        <v>-4.8861529581849803</v>
      </c>
      <c r="AG4955">
        <v>-1.110533448947</v>
      </c>
      <c r="AH4955">
        <v>15.4002324453363</v>
      </c>
      <c r="AI4955">
        <v>93.932030082146994</v>
      </c>
      <c r="AJ4955">
        <v>107.60308096740199</v>
      </c>
      <c r="AK4955">
        <v>16.1949045888637</v>
      </c>
    </row>
    <row r="4956" spans="1:37" x14ac:dyDescent="0.2">
      <c r="A4956" t="str">
        <f>"20200111154159739"</f>
        <v>20200111154159739</v>
      </c>
      <c r="B4956" t="str">
        <f>"1578728519730899"</f>
        <v>1578728519730899</v>
      </c>
      <c r="C4956" t="s">
        <v>37</v>
      </c>
      <c r="D4956">
        <v>5.1740620000000002</v>
      </c>
      <c r="E4956">
        <v>0.4413106</v>
      </c>
      <c r="F4956" t="s">
        <v>57</v>
      </c>
      <c r="G4956">
        <v>-219.53210000000001</v>
      </c>
      <c r="H4956" s="1">
        <v>-3.3880469999999998E-6</v>
      </c>
      <c r="I4956">
        <v>-58.524459999999998</v>
      </c>
      <c r="J4956">
        <v>-234.98349999999999</v>
      </c>
      <c r="K4956">
        <v>1.110533</v>
      </c>
      <c r="L4956">
        <v>-63.43338</v>
      </c>
      <c r="M4956">
        <v>0.9999846</v>
      </c>
      <c r="N4956">
        <v>0</v>
      </c>
      <c r="O4956">
        <v>-1.4227479999999999E-3</v>
      </c>
      <c r="P4956">
        <v>0.9868249</v>
      </c>
      <c r="Q4956">
        <v>4.5018549999999997E-2</v>
      </c>
      <c r="R4956">
        <v>0.1554035</v>
      </c>
      <c r="S4956">
        <v>2.9071039999999999</v>
      </c>
      <c r="T4956">
        <v>-0.2064549</v>
      </c>
      <c r="U4956">
        <v>0.91259769999999896</v>
      </c>
      <c r="V4956">
        <v>-0.15696199999999999</v>
      </c>
      <c r="W4956">
        <v>4.9830119999999999E-2</v>
      </c>
      <c r="X4956">
        <v>0.98634669999999902</v>
      </c>
      <c r="Y4956">
        <v>-0.30017440000000001</v>
      </c>
      <c r="Z4956">
        <v>1.0494750000000001E-2</v>
      </c>
      <c r="AA4956">
        <v>0.95382659999999997</v>
      </c>
      <c r="AB4956">
        <v>38</v>
      </c>
      <c r="AC4956">
        <v>15.4513999999999</v>
      </c>
      <c r="AD4956">
        <v>-1.1105363880470001</v>
      </c>
      <c r="AE4956">
        <v>4.9089200000000002</v>
      </c>
      <c r="AF4956">
        <v>-4.9078704982825601</v>
      </c>
      <c r="AG4956">
        <v>-1.1105363880470001</v>
      </c>
      <c r="AH4956">
        <v>15.3722716219738</v>
      </c>
      <c r="AI4956">
        <v>93.936912478244693</v>
      </c>
      <c r="AJ4956">
        <v>107.706605562764</v>
      </c>
      <c r="AK4956">
        <v>16.174894704968899</v>
      </c>
    </row>
    <row r="4957" spans="1:37" x14ac:dyDescent="0.2">
      <c r="A4957" t="str">
        <f>"20200111154159751"</f>
        <v>20200111154159751</v>
      </c>
      <c r="B4957" t="str">
        <f>"1578728519740659"</f>
        <v>1578728519740659</v>
      </c>
      <c r="C4957" t="s">
        <v>37</v>
      </c>
      <c r="D4957">
        <v>5.2027029999999996</v>
      </c>
      <c r="E4957">
        <v>0.4414187</v>
      </c>
      <c r="F4957" t="s">
        <v>57</v>
      </c>
      <c r="G4957">
        <v>-219.50479999999999</v>
      </c>
      <c r="H4957" s="1">
        <v>-3.3754360000000001E-6</v>
      </c>
      <c r="I4957">
        <v>-58.529490000000003</v>
      </c>
      <c r="J4957">
        <v>-234.8004</v>
      </c>
      <c r="K4957">
        <v>1.1105290000000001</v>
      </c>
      <c r="L4957">
        <v>-63.433199999999999</v>
      </c>
      <c r="M4957">
        <v>0.99998529999999997</v>
      </c>
      <c r="N4957">
        <v>0</v>
      </c>
      <c r="O4957">
        <v>-8.0454259999999998E-4</v>
      </c>
      <c r="P4957">
        <v>0.98642759999999996</v>
      </c>
      <c r="Q4957">
        <v>4.4773489999999999E-2</v>
      </c>
      <c r="R4957">
        <v>0.15797449999999999</v>
      </c>
      <c r="S4957">
        <v>2.9046630000000002</v>
      </c>
      <c r="T4957">
        <v>-0.20839749999999899</v>
      </c>
      <c r="U4957">
        <v>0.92022709999999996</v>
      </c>
      <c r="V4957">
        <v>-0.1589216</v>
      </c>
      <c r="W4957">
        <v>4.9583429999999998E-2</v>
      </c>
      <c r="X4957">
        <v>0.98604539999999996</v>
      </c>
      <c r="Y4957">
        <v>-0.30207539999999999</v>
      </c>
      <c r="Z4957">
        <v>1.0620910000000001E-2</v>
      </c>
      <c r="AA4957">
        <v>0.95322489999999904</v>
      </c>
      <c r="AB4957">
        <v>38</v>
      </c>
      <c r="AC4957">
        <v>15.2956</v>
      </c>
      <c r="AD4957">
        <v>-1.1105323754359999</v>
      </c>
      <c r="AE4957">
        <v>4.9037099999999896</v>
      </c>
      <c r="AF4957">
        <v>-4.8926271531018601</v>
      </c>
      <c r="AG4957">
        <v>-1.1105323754359999</v>
      </c>
      <c r="AH4957">
        <v>15.2189014074964</v>
      </c>
      <c r="AI4957">
        <v>93.973895098621099</v>
      </c>
      <c r="AJ4957">
        <v>107.82174632772001</v>
      </c>
      <c r="AK4957">
        <v>16.024545006559698</v>
      </c>
    </row>
    <row r="4958" spans="1:37" x14ac:dyDescent="0.2">
      <c r="A4958" t="str">
        <f>"20200111154159762"</f>
        <v>20200111154159762</v>
      </c>
      <c r="B4958" t="str">
        <f>"1578728519750419"</f>
        <v>1578728519750419</v>
      </c>
      <c r="C4958" t="s">
        <v>37</v>
      </c>
      <c r="D4958">
        <v>5.1765999999999996</v>
      </c>
      <c r="E4958">
        <v>0.44164399999999998</v>
      </c>
      <c r="F4958" t="s">
        <v>57</v>
      </c>
      <c r="G4958">
        <v>-219.48509999999999</v>
      </c>
      <c r="H4958" s="1">
        <v>-3.3646529999999999E-6</v>
      </c>
      <c r="I4958">
        <v>-58.542669999999902</v>
      </c>
      <c r="J4958">
        <v>-234.60990000000001</v>
      </c>
      <c r="K4958">
        <v>1.1105240000000001</v>
      </c>
      <c r="L4958">
        <v>-63.432919999999903</v>
      </c>
      <c r="M4958">
        <v>0.99998560000000003</v>
      </c>
      <c r="N4958">
        <v>0</v>
      </c>
      <c r="O4958">
        <v>-1.650027E-4</v>
      </c>
      <c r="P4958">
        <v>0.98600100000000002</v>
      </c>
      <c r="Q4958">
        <v>4.461764E-2</v>
      </c>
      <c r="R4958">
        <v>0.16066</v>
      </c>
      <c r="S4958">
        <v>2.9024049999999999</v>
      </c>
      <c r="T4958">
        <v>-0.210456</v>
      </c>
      <c r="U4958">
        <v>0.92678830000000001</v>
      </c>
      <c r="V4958">
        <v>-0.16097590000000001</v>
      </c>
      <c r="W4958">
        <v>4.9425789999999997E-2</v>
      </c>
      <c r="X4958">
        <v>0.98572000000000004</v>
      </c>
      <c r="Y4958">
        <v>-0.30361909999999998</v>
      </c>
      <c r="Z4958">
        <v>1.073927E-2</v>
      </c>
      <c r="AA4958">
        <v>0.95273299999999905</v>
      </c>
      <c r="AB4958">
        <v>38</v>
      </c>
      <c r="AC4958">
        <v>15.1248</v>
      </c>
      <c r="AD4958">
        <v>-1.1105273646529901</v>
      </c>
      <c r="AE4958">
        <v>4.89025</v>
      </c>
      <c r="AF4958">
        <v>-4.8689807114733004</v>
      </c>
      <c r="AG4958">
        <v>-1.1105273646529901</v>
      </c>
      <c r="AH4958">
        <v>15.050533093525299</v>
      </c>
      <c r="AI4958">
        <v>94.015818932796705</v>
      </c>
      <c r="AJ4958">
        <v>107.926853483969</v>
      </c>
      <c r="AK4958">
        <v>15.857452210101201</v>
      </c>
    </row>
    <row r="4959" spans="1:37" x14ac:dyDescent="0.2">
      <c r="A4959" t="str">
        <f>"20200111154159773"</f>
        <v>20200111154159773</v>
      </c>
      <c r="B4959" t="str">
        <f>"1578728519770916"</f>
        <v>1578728519770916</v>
      </c>
      <c r="C4959" t="s">
        <v>37</v>
      </c>
      <c r="D4959">
        <v>5.1471910000000003</v>
      </c>
      <c r="E4959">
        <v>0.44210680000000002</v>
      </c>
      <c r="F4959" t="s">
        <v>57</v>
      </c>
      <c r="G4959">
        <v>-219.4315</v>
      </c>
      <c r="H4959" s="1">
        <v>-3.3401250000000001E-6</v>
      </c>
      <c r="I4959">
        <v>-58.551359999999903</v>
      </c>
      <c r="J4959">
        <v>-234.42259999999999</v>
      </c>
      <c r="K4959">
        <v>1.1105160000000001</v>
      </c>
      <c r="L4959">
        <v>-63.432459999999999</v>
      </c>
      <c r="M4959">
        <v>0.99998549999999997</v>
      </c>
      <c r="N4959">
        <v>0</v>
      </c>
      <c r="O4959">
        <v>4.4704640000000002E-4</v>
      </c>
      <c r="P4959">
        <v>0.98558310000000005</v>
      </c>
      <c r="Q4959">
        <v>4.4499509999999999E-2</v>
      </c>
      <c r="R4959">
        <v>0.16323550000000001</v>
      </c>
      <c r="S4959">
        <v>2.9002379999999999</v>
      </c>
      <c r="T4959">
        <v>-0.21219549999999901</v>
      </c>
      <c r="U4959">
        <v>0.93273930000000005</v>
      </c>
      <c r="V4959">
        <v>-0.16294639999999999</v>
      </c>
      <c r="W4959">
        <v>4.930768E-2</v>
      </c>
      <c r="X4959">
        <v>0.985402</v>
      </c>
      <c r="Y4959">
        <v>-0.3050004</v>
      </c>
      <c r="Z4959">
        <v>1.083781E-2</v>
      </c>
      <c r="AA4959">
        <v>0.95229050000000004</v>
      </c>
      <c r="AB4959">
        <v>38</v>
      </c>
      <c r="AC4959">
        <v>14.9910999999999</v>
      </c>
      <c r="AD4959">
        <v>-1.110519340125</v>
      </c>
      <c r="AE4959">
        <v>4.8811</v>
      </c>
      <c r="AF4959">
        <v>-4.8503321585307502</v>
      </c>
      <c r="AG4959">
        <v>-1.110519340125</v>
      </c>
      <c r="AH4959">
        <v>14.919256821279699</v>
      </c>
      <c r="AI4959">
        <v>94.049117056989402</v>
      </c>
      <c r="AJ4959">
        <v>108.009627657876</v>
      </c>
      <c r="AK4959">
        <v>15.727148481278199</v>
      </c>
    </row>
    <row r="4960" spans="1:37" x14ac:dyDescent="0.2">
      <c r="A4960" t="str">
        <f>"20200111154159784"</f>
        <v>20200111154159784</v>
      </c>
      <c r="B4960" t="str">
        <f>"1578728519780674"</f>
        <v>1578728519780674</v>
      </c>
      <c r="C4960" t="s">
        <v>37</v>
      </c>
      <c r="D4960">
        <v>5.1399949999999999</v>
      </c>
      <c r="E4960">
        <v>0.44231569999999998</v>
      </c>
      <c r="F4960" t="s">
        <v>57</v>
      </c>
      <c r="G4960">
        <v>-219.4015</v>
      </c>
      <c r="H4960" s="1">
        <v>-3.322302E-6</v>
      </c>
      <c r="I4960">
        <v>-58.5792</v>
      </c>
      <c r="J4960">
        <v>-234.2312</v>
      </c>
      <c r="K4960">
        <v>1.1105039999999999</v>
      </c>
      <c r="L4960">
        <v>-63.431980000000003</v>
      </c>
      <c r="M4960">
        <v>0.99998500000000001</v>
      </c>
      <c r="N4960">
        <v>0</v>
      </c>
      <c r="O4960">
        <v>1.068032E-3</v>
      </c>
      <c r="P4960">
        <v>0.98520370000000002</v>
      </c>
      <c r="Q4960">
        <v>4.4269499999999899E-2</v>
      </c>
      <c r="R4960">
        <v>0.16557249999999901</v>
      </c>
      <c r="S4960">
        <v>2.8984380000000001</v>
      </c>
      <c r="T4960">
        <v>-0.2142828</v>
      </c>
      <c r="U4960">
        <v>0.93646240000000003</v>
      </c>
      <c r="V4960">
        <v>-0.16467010000000001</v>
      </c>
      <c r="W4960">
        <v>4.907955E-2</v>
      </c>
      <c r="X4960">
        <v>0.98512690000000003</v>
      </c>
      <c r="Y4960">
        <v>-0.30567440000000001</v>
      </c>
      <c r="Z4960">
        <v>1.092806E-2</v>
      </c>
      <c r="AA4960">
        <v>0.95207339999999996</v>
      </c>
      <c r="AB4960">
        <v>38</v>
      </c>
      <c r="AC4960">
        <v>14.829700000000001</v>
      </c>
      <c r="AD4960">
        <v>-1.1105073223020001</v>
      </c>
      <c r="AE4960">
        <v>4.8527800000000001</v>
      </c>
      <c r="AF4960">
        <v>-4.8125617244788597</v>
      </c>
      <c r="AG4960">
        <v>-1.1105073223020001</v>
      </c>
      <c r="AH4960">
        <v>14.7601113264069</v>
      </c>
      <c r="AI4960">
        <v>94.091447356248594</v>
      </c>
      <c r="AJ4960">
        <v>108.058654210523</v>
      </c>
      <c r="AK4960">
        <v>15.5645386450331</v>
      </c>
    </row>
    <row r="4961" spans="1:37" x14ac:dyDescent="0.2">
      <c r="A4961" t="str">
        <f>"20200111154159796"</f>
        <v>20200111154159796</v>
      </c>
      <c r="B4961" t="str">
        <f>"1578728519791410"</f>
        <v>1578728519791410</v>
      </c>
      <c r="C4961" t="s">
        <v>37</v>
      </c>
      <c r="D4961">
        <v>5.1579410000000001</v>
      </c>
      <c r="E4961">
        <v>0.44247929999999902</v>
      </c>
      <c r="F4961" t="s">
        <v>57</v>
      </c>
      <c r="G4961">
        <v>-219.31979999999999</v>
      </c>
      <c r="H4961" s="1">
        <v>-3.2861109999999999E-6</v>
      </c>
      <c r="I4961">
        <v>-58.585680000000004</v>
      </c>
      <c r="J4961">
        <v>-234.02549999999999</v>
      </c>
      <c r="K4961">
        <v>1.1104879999999999</v>
      </c>
      <c r="L4961">
        <v>-63.431240000000003</v>
      </c>
      <c r="M4961">
        <v>0.99998399999999998</v>
      </c>
      <c r="N4961">
        <v>0</v>
      </c>
      <c r="O4961">
        <v>1.715945E-3</v>
      </c>
      <c r="P4961">
        <v>0.98479899999999998</v>
      </c>
      <c r="Q4961">
        <v>4.4035930000000001E-2</v>
      </c>
      <c r="R4961">
        <v>0.16802349999999999</v>
      </c>
      <c r="S4961">
        <v>2.8965299999999998</v>
      </c>
      <c r="T4961">
        <v>-0.21571479999999901</v>
      </c>
      <c r="U4961">
        <v>0.94137569999999904</v>
      </c>
      <c r="V4961">
        <v>-0.16648060000000001</v>
      </c>
      <c r="W4961">
        <v>4.8849990000000003E-2</v>
      </c>
      <c r="X4961">
        <v>0.98483399999999999</v>
      </c>
      <c r="Y4961">
        <v>-0.30669079999999999</v>
      </c>
      <c r="Z4961">
        <v>1.099486E-2</v>
      </c>
      <c r="AA4961">
        <v>0.95174570000000003</v>
      </c>
      <c r="AB4961">
        <v>38</v>
      </c>
      <c r="AC4961">
        <v>14.7057</v>
      </c>
      <c r="AD4961">
        <v>-1.1104912861109999</v>
      </c>
      <c r="AE4961">
        <v>4.8455599999999901</v>
      </c>
      <c r="AF4961">
        <v>-4.7956498355471</v>
      </c>
      <c r="AG4961">
        <v>-1.1104912861109999</v>
      </c>
      <c r="AH4961">
        <v>14.638692760104499</v>
      </c>
      <c r="AI4961">
        <v>94.123327198969704</v>
      </c>
      <c r="AJ4961">
        <v>108.138845644249</v>
      </c>
      <c r="AK4961">
        <v>15.444182528267699</v>
      </c>
    </row>
    <row r="4962" spans="1:37" x14ac:dyDescent="0.2">
      <c r="A4962" t="str">
        <f>"20200111154159808"</f>
        <v>20200111154159808</v>
      </c>
      <c r="B4962" t="str">
        <f>"1578728519801170"</f>
        <v>1578728519801170</v>
      </c>
      <c r="C4962" t="s">
        <v>37</v>
      </c>
      <c r="D4962">
        <v>5.1272989999999998</v>
      </c>
      <c r="E4962">
        <v>0.44273379999999901</v>
      </c>
      <c r="F4962" t="s">
        <v>57</v>
      </c>
      <c r="G4962">
        <v>-219.25540000000001</v>
      </c>
      <c r="H4962" s="1">
        <v>-3.2563160000000001E-6</v>
      </c>
      <c r="I4962">
        <v>-58.59798</v>
      </c>
      <c r="J4962">
        <v>-233.839</v>
      </c>
      <c r="K4962">
        <v>1.110471</v>
      </c>
      <c r="L4962">
        <v>-63.430509999999998</v>
      </c>
      <c r="M4962">
        <v>0.99998279999999995</v>
      </c>
      <c r="N4962">
        <v>0</v>
      </c>
      <c r="O4962">
        <v>2.2944200000000001E-3</v>
      </c>
      <c r="P4962">
        <v>0.98442569999999996</v>
      </c>
      <c r="Q4962">
        <v>4.3754559999999998E-2</v>
      </c>
      <c r="R4962">
        <v>0.17026920000000001</v>
      </c>
      <c r="S4962">
        <v>2.8944399999999999</v>
      </c>
      <c r="T4962">
        <v>-0.2176187</v>
      </c>
      <c r="U4962">
        <v>0.94714359999999997</v>
      </c>
      <c r="V4962">
        <v>-0.1681549</v>
      </c>
      <c r="W4962">
        <v>4.8572320000000002E-2</v>
      </c>
      <c r="X4962">
        <v>0.98456319999999997</v>
      </c>
      <c r="Y4962">
        <v>-0.30804039999999999</v>
      </c>
      <c r="Z4962">
        <v>1.110297E-2</v>
      </c>
      <c r="AA4962">
        <v>0.951308499999999</v>
      </c>
      <c r="AB4962">
        <v>38</v>
      </c>
      <c r="AC4962">
        <v>14.583600000000001</v>
      </c>
      <c r="AD4962">
        <v>-1.1104742563159999</v>
      </c>
      <c r="AE4962">
        <v>4.8325299999999896</v>
      </c>
      <c r="AF4962">
        <v>-4.7741137416547303</v>
      </c>
      <c r="AG4962">
        <v>-1.1104742563159999</v>
      </c>
      <c r="AH4962">
        <v>14.5187968129206</v>
      </c>
      <c r="AI4962">
        <v>94.155695477305798</v>
      </c>
      <c r="AJ4962">
        <v>108.202052141026</v>
      </c>
      <c r="AK4962">
        <v>15.323862959028</v>
      </c>
    </row>
    <row r="4963" spans="1:37" x14ac:dyDescent="0.2">
      <c r="A4963" t="str">
        <f>"20200111154159817"</f>
        <v>20200111154159817</v>
      </c>
      <c r="B4963" t="str">
        <f>"1578728519810930"</f>
        <v>1578728519810930</v>
      </c>
      <c r="C4963" t="s">
        <v>37</v>
      </c>
      <c r="D4963">
        <v>5.1412899999999997</v>
      </c>
      <c r="E4963">
        <v>0.4429922</v>
      </c>
      <c r="F4963" t="s">
        <v>57</v>
      </c>
      <c r="G4963">
        <v>-219.1671</v>
      </c>
      <c r="H4963" s="1">
        <v>-3.2174790000000002E-6</v>
      </c>
      <c r="I4963">
        <v>-58.603409999999997</v>
      </c>
      <c r="J4963">
        <v>-233.65110000000001</v>
      </c>
      <c r="K4963">
        <v>1.1104540000000001</v>
      </c>
      <c r="L4963">
        <v>-63.429659999999998</v>
      </c>
      <c r="M4963">
        <v>0.99998129999999996</v>
      </c>
      <c r="N4963">
        <v>0</v>
      </c>
      <c r="O4963">
        <v>2.8657979999999902E-3</v>
      </c>
      <c r="P4963">
        <v>0.98411179999999998</v>
      </c>
      <c r="Q4963">
        <v>4.3450170000000003E-2</v>
      </c>
      <c r="R4963">
        <v>0.17215139999999901</v>
      </c>
      <c r="S4963">
        <v>2.8925930000000002</v>
      </c>
      <c r="T4963">
        <v>-0.21893189999999901</v>
      </c>
      <c r="U4963">
        <v>0.95166019999999896</v>
      </c>
      <c r="V4963">
        <v>-0.16947319999999999</v>
      </c>
      <c r="W4963">
        <v>4.827418E-2</v>
      </c>
      <c r="X4963">
        <v>0.9843518</v>
      </c>
      <c r="Y4963">
        <v>-0.30900620000000001</v>
      </c>
      <c r="Z4963">
        <v>1.1167399999999999E-2</v>
      </c>
      <c r="AA4963">
        <v>0.95099449999999996</v>
      </c>
      <c r="AB4963">
        <v>38</v>
      </c>
      <c r="AC4963">
        <v>14.484</v>
      </c>
      <c r="AD4963">
        <v>-1.1104572174789999</v>
      </c>
      <c r="AE4963">
        <v>4.8262499999999999</v>
      </c>
      <c r="AF4963">
        <v>-4.7595407802679803</v>
      </c>
      <c r="AG4963">
        <v>-1.1104572174789999</v>
      </c>
      <c r="AH4963">
        <v>14.421474285665401</v>
      </c>
      <c r="AI4963">
        <v>94.182079820238201</v>
      </c>
      <c r="AJ4963">
        <v>108.264517463749</v>
      </c>
      <c r="AK4963">
        <v>15.227122651472699</v>
      </c>
    </row>
    <row r="4964" spans="1:37" x14ac:dyDescent="0.2">
      <c r="A4964" t="str">
        <f>"20200111154159829"</f>
        <v>20200111154159829</v>
      </c>
      <c r="B4964" t="str">
        <f>"1578728519820691"</f>
        <v>1578728519820691</v>
      </c>
      <c r="C4964" t="s">
        <v>37</v>
      </c>
      <c r="D4964">
        <v>5.1238900000000003</v>
      </c>
      <c r="E4964">
        <v>0.44321670000000002</v>
      </c>
      <c r="F4964" t="s">
        <v>57</v>
      </c>
      <c r="G4964">
        <v>-219.084</v>
      </c>
      <c r="H4964" s="1">
        <v>-3.1793359999999999E-6</v>
      </c>
      <c r="I4964">
        <v>-58.617519999999899</v>
      </c>
      <c r="J4964">
        <v>-233.46019999999999</v>
      </c>
      <c r="K4964">
        <v>1.1104369999999999</v>
      </c>
      <c r="L4964">
        <v>-63.428709999999903</v>
      </c>
      <c r="M4964">
        <v>0.99997950000000002</v>
      </c>
      <c r="N4964">
        <v>0</v>
      </c>
      <c r="O4964">
        <v>3.4340130000000001E-3</v>
      </c>
      <c r="P4964">
        <v>0.9838462</v>
      </c>
      <c r="Q4964">
        <v>4.3381400000000001E-2</v>
      </c>
      <c r="R4964">
        <v>0.17368039999999901</v>
      </c>
      <c r="S4964">
        <v>2.8911129999999998</v>
      </c>
      <c r="T4964">
        <v>-0.220390999999999</v>
      </c>
      <c r="U4964">
        <v>0.9550476</v>
      </c>
      <c r="V4964">
        <v>-0.17044139999999999</v>
      </c>
      <c r="W4964">
        <v>4.8213680000000002E-2</v>
      </c>
      <c r="X4964">
        <v>0.98418749999999999</v>
      </c>
      <c r="Y4964">
        <v>-0.309604299999999</v>
      </c>
      <c r="Z4964">
        <v>1.122514E-2</v>
      </c>
      <c r="AA4964">
        <v>0.95079919999999996</v>
      </c>
      <c r="AB4964">
        <v>38</v>
      </c>
      <c r="AC4964">
        <v>14.3761999999999</v>
      </c>
      <c r="AD4964">
        <v>-1.1104401793359999</v>
      </c>
      <c r="AE4964">
        <v>4.8111899999999999</v>
      </c>
      <c r="AF4964">
        <v>-4.7363805482641803</v>
      </c>
      <c r="AG4964">
        <v>-1.1104401793359999</v>
      </c>
      <c r="AH4964">
        <v>14.3158278413294</v>
      </c>
      <c r="AI4964">
        <v>94.211744724764699</v>
      </c>
      <c r="AJ4964">
        <v>108.306757479514</v>
      </c>
      <c r="AK4964">
        <v>15.1198315093933</v>
      </c>
    </row>
    <row r="4965" spans="1:37" x14ac:dyDescent="0.2">
      <c r="A4965" t="str">
        <f>"20200111154159840"</f>
        <v>20200111154159840</v>
      </c>
      <c r="B4965" t="str">
        <f>"1578728519830451"</f>
        <v>1578728519830451</v>
      </c>
      <c r="C4965" t="s">
        <v>37</v>
      </c>
      <c r="D4965">
        <v>6.1854480000000001</v>
      </c>
      <c r="E4965">
        <v>0.44321670000000002</v>
      </c>
      <c r="F4965" t="s">
        <v>57</v>
      </c>
      <c r="G4965">
        <v>-218.9391</v>
      </c>
      <c r="H4965" s="1">
        <v>-3.117299E-6</v>
      </c>
      <c r="I4965">
        <v>-58.616810000000001</v>
      </c>
      <c r="J4965">
        <v>-233.2774</v>
      </c>
      <c r="K4965">
        <v>1.1104240000000001</v>
      </c>
      <c r="L4965">
        <v>-63.427700000000002</v>
      </c>
      <c r="M4965">
        <v>0.99997760000000002</v>
      </c>
      <c r="N4965">
        <v>0</v>
      </c>
      <c r="O4965">
        <v>3.9708770000000003E-3</v>
      </c>
      <c r="P4965">
        <v>0.98360569999999903</v>
      </c>
      <c r="Q4965">
        <v>4.3061660000000002E-2</v>
      </c>
      <c r="R4965">
        <v>0.17511689999999999</v>
      </c>
      <c r="S4965">
        <v>2.8899539999999999</v>
      </c>
      <c r="T4965">
        <v>-0.22099740000000001</v>
      </c>
      <c r="U4965">
        <v>0.95764159999999898</v>
      </c>
      <c r="V4965">
        <v>-0.17134730000000001</v>
      </c>
      <c r="W4965">
        <v>4.7903149999999999E-2</v>
      </c>
      <c r="X4965">
        <v>0.98404539999999996</v>
      </c>
      <c r="Y4965">
        <v>-0.30997259999999999</v>
      </c>
      <c r="Z4965">
        <v>1.123245E-2</v>
      </c>
      <c r="AA4965">
        <v>0.950679099999999</v>
      </c>
      <c r="AB4965">
        <v>38</v>
      </c>
      <c r="AC4965">
        <v>14.3383</v>
      </c>
      <c r="AD4965">
        <v>-1.1104271172989999</v>
      </c>
      <c r="AE4965">
        <v>4.8108899999999997</v>
      </c>
      <c r="AF4965">
        <v>-4.7284255683386496</v>
      </c>
      <c r="AG4965">
        <v>-1.1104271172989999</v>
      </c>
      <c r="AH4965">
        <v>14.280308238274801</v>
      </c>
      <c r="AI4965">
        <v>94.221799702661599</v>
      </c>
      <c r="AJ4965">
        <v>108.320486495804</v>
      </c>
      <c r="AK4965">
        <v>15.0837084338796</v>
      </c>
    </row>
    <row r="4966" spans="1:37" x14ac:dyDescent="0.2">
      <c r="A4966" t="str">
        <f>"20200111154159851"</f>
        <v>20200111154159851</v>
      </c>
      <c r="B4966" t="str">
        <f>"1578728519841187"</f>
        <v>1578728519841187</v>
      </c>
      <c r="C4966" t="s">
        <v>37</v>
      </c>
      <c r="D4966">
        <v>5.1172059999999897</v>
      </c>
      <c r="E4966">
        <v>0.45322190000000001</v>
      </c>
      <c r="F4966" t="s">
        <v>57</v>
      </c>
      <c r="G4966">
        <v>-218.85040000000001</v>
      </c>
      <c r="H4966" s="1">
        <v>-3.07774E-6</v>
      </c>
      <c r="I4966">
        <v>-58.625100000000003</v>
      </c>
      <c r="J4966">
        <v>-233.08619999999999</v>
      </c>
      <c r="K4966">
        <v>1.110411</v>
      </c>
      <c r="L4966">
        <v>-63.426540000000003</v>
      </c>
      <c r="M4966">
        <v>0.99997519999999995</v>
      </c>
      <c r="N4966">
        <v>0</v>
      </c>
      <c r="O4966">
        <v>4.5196020000000002E-3</v>
      </c>
      <c r="P4966">
        <v>0.98340550000000004</v>
      </c>
      <c r="Q4966">
        <v>4.286906E-2</v>
      </c>
      <c r="R4966">
        <v>0.17628369999999999</v>
      </c>
      <c r="S4966">
        <v>2.8885350000000001</v>
      </c>
      <c r="T4966">
        <v>-0.22232569999999999</v>
      </c>
      <c r="U4966">
        <v>0.96154789999999901</v>
      </c>
      <c r="V4966">
        <v>-0.1719733</v>
      </c>
      <c r="W4966">
        <v>4.7721680000000002E-2</v>
      </c>
      <c r="X4966">
        <v>0.98394499999999996</v>
      </c>
      <c r="Y4966">
        <v>-0.310737599999999</v>
      </c>
      <c r="Z4966">
        <v>1.129027E-2</v>
      </c>
      <c r="AA4966">
        <v>0.95042870000000002</v>
      </c>
      <c r="AB4966">
        <v>38</v>
      </c>
      <c r="AC4966">
        <v>14.2357999999999</v>
      </c>
      <c r="AD4966">
        <v>-1.11041407773999</v>
      </c>
      <c r="AE4966">
        <v>4.8014400000000004</v>
      </c>
      <c r="AF4966">
        <v>-4.7113128927834804</v>
      </c>
      <c r="AG4966">
        <v>-1.11041407773999</v>
      </c>
      <c r="AH4966">
        <v>14.179893537527599</v>
      </c>
      <c r="AI4966">
        <v>94.2500972030508</v>
      </c>
      <c r="AJ4966">
        <v>108.3792247322</v>
      </c>
      <c r="AK4966">
        <v>14.98328633289</v>
      </c>
    </row>
    <row r="4967" spans="1:37" x14ac:dyDescent="0.2">
      <c r="A4967" t="str">
        <f>"20200111154159863"</f>
        <v>20200111154159863</v>
      </c>
      <c r="B4967" t="str">
        <f>"1578728519860707"</f>
        <v>1578728519860707</v>
      </c>
      <c r="C4967" t="s">
        <v>37</v>
      </c>
      <c r="D4967">
        <v>5.0690589999999904</v>
      </c>
      <c r="E4967">
        <v>0.45196449999999999</v>
      </c>
      <c r="F4967" t="s">
        <v>57</v>
      </c>
      <c r="G4967">
        <v>-218.1943</v>
      </c>
      <c r="H4967" s="1">
        <v>-2.7515280000000002E-6</v>
      </c>
      <c r="I4967">
        <v>-58.877380000000002</v>
      </c>
      <c r="J4967">
        <v>-232.88409999999999</v>
      </c>
      <c r="K4967">
        <v>1.110401</v>
      </c>
      <c r="L4967">
        <v>-63.425259999999902</v>
      </c>
      <c r="M4967">
        <v>0.99997219999999998</v>
      </c>
      <c r="N4967">
        <v>0</v>
      </c>
      <c r="O4967">
        <v>5.0950869999999999E-3</v>
      </c>
      <c r="P4967">
        <v>0.98312909999999998</v>
      </c>
      <c r="Q4967">
        <v>4.2799660000000003E-2</v>
      </c>
      <c r="R4967">
        <v>0.17783599999999999</v>
      </c>
      <c r="S4967">
        <v>2.9011689999999999</v>
      </c>
      <c r="T4967">
        <v>-0.21632470000000001</v>
      </c>
      <c r="U4967">
        <v>0.88623050000000003</v>
      </c>
      <c r="V4967">
        <v>-0.172959</v>
      </c>
      <c r="W4967">
        <v>4.7663570000000002E-2</v>
      </c>
      <c r="X4967">
        <v>0.98377510000000001</v>
      </c>
      <c r="Y4967">
        <v>-0.28655579999999897</v>
      </c>
      <c r="Z4967">
        <v>1.0060799999999899E-2</v>
      </c>
      <c r="AA4967">
        <v>0.95801069999999999</v>
      </c>
      <c r="AB4967">
        <v>38</v>
      </c>
      <c r="AC4967">
        <v>14.6897999999999</v>
      </c>
      <c r="AD4967">
        <v>-1.1104037515279901</v>
      </c>
      <c r="AE4967">
        <v>4.5478799999999904</v>
      </c>
      <c r="AF4967">
        <v>-4.4497724831447503</v>
      </c>
      <c r="AG4967">
        <v>-1.1104037515279901</v>
      </c>
      <c r="AH4967">
        <v>14.6364654916944</v>
      </c>
      <c r="AI4967">
        <v>94.151547096772305</v>
      </c>
      <c r="AJ4967">
        <v>106.910300153664</v>
      </c>
      <c r="AK4967">
        <v>15.338174393738001</v>
      </c>
    </row>
    <row r="4968" spans="1:37" x14ac:dyDescent="0.2">
      <c r="A4968" t="str">
        <f>"20200111154159874"</f>
        <v>20200111154159874</v>
      </c>
      <c r="B4968" t="str">
        <f>"1578728519870467"</f>
        <v>1578728519870467</v>
      </c>
      <c r="C4968" t="s">
        <v>37</v>
      </c>
      <c r="D4968">
        <v>5.0653980000000001</v>
      </c>
      <c r="E4968">
        <v>0.45165159999999999</v>
      </c>
      <c r="F4968" t="s">
        <v>57</v>
      </c>
      <c r="G4968">
        <v>-218.18049999999999</v>
      </c>
      <c r="H4968" s="1">
        <v>-2.7491760000000001E-6</v>
      </c>
      <c r="I4968">
        <v>-58.8572699999999</v>
      </c>
      <c r="J4968">
        <v>-232.69900000000001</v>
      </c>
      <c r="K4968">
        <v>1.1103909999999999</v>
      </c>
      <c r="L4968">
        <v>-63.423919999999903</v>
      </c>
      <c r="M4968">
        <v>0.99996949999999996</v>
      </c>
      <c r="N4968">
        <v>0</v>
      </c>
      <c r="O4968">
        <v>5.6098440000000001E-3</v>
      </c>
      <c r="P4968">
        <v>0.98282839999999905</v>
      </c>
      <c r="Q4968">
        <v>4.2901080000000001E-2</v>
      </c>
      <c r="R4968">
        <v>0.17946609999999999</v>
      </c>
      <c r="S4968">
        <v>2.8981479999999999</v>
      </c>
      <c r="T4968">
        <v>-0.21886549999999999</v>
      </c>
      <c r="U4968">
        <v>0.9003601</v>
      </c>
      <c r="V4968">
        <v>-0.174083399999999</v>
      </c>
      <c r="W4968">
        <v>4.7775499999999999E-2</v>
      </c>
      <c r="X4968">
        <v>0.98357129999999904</v>
      </c>
      <c r="Y4968">
        <v>-0.29057840000000001</v>
      </c>
      <c r="Z4968">
        <v>1.0291939999999999E-2</v>
      </c>
      <c r="AA4968">
        <v>0.95679579999999997</v>
      </c>
      <c r="AB4968">
        <v>38</v>
      </c>
      <c r="AC4968">
        <v>14.5185</v>
      </c>
      <c r="AD4968">
        <v>-1.1103937491760001</v>
      </c>
      <c r="AE4968">
        <v>4.5666500000000001</v>
      </c>
      <c r="AF4968">
        <v>-4.4613834649567403</v>
      </c>
      <c r="AG4968">
        <v>-1.1103937491760001</v>
      </c>
      <c r="AH4968">
        <v>14.4668860931558</v>
      </c>
      <c r="AI4968">
        <v>94.194887858310096</v>
      </c>
      <c r="AJ4968">
        <v>107.13902402791599</v>
      </c>
      <c r="AK4968">
        <v>15.1798455173939</v>
      </c>
    </row>
    <row r="4969" spans="1:37" x14ac:dyDescent="0.2">
      <c r="A4969" t="str">
        <f>"20200111154159887"</f>
        <v>20200111154159887</v>
      </c>
      <c r="B4969" t="str">
        <f>"1578728519881202"</f>
        <v>1578728519881202</v>
      </c>
      <c r="C4969" t="s">
        <v>37</v>
      </c>
      <c r="D4969">
        <v>5.0189149999999998</v>
      </c>
      <c r="E4969">
        <v>0.45182549999999999</v>
      </c>
      <c r="F4969" t="s">
        <v>57</v>
      </c>
      <c r="G4969">
        <v>-218.1422</v>
      </c>
      <c r="H4969" s="1">
        <v>-2.7316459999999998E-6</v>
      </c>
      <c r="I4969">
        <v>-58.863459999999897</v>
      </c>
      <c r="J4969">
        <v>-232.49529999999999</v>
      </c>
      <c r="K4969">
        <v>1.1103829999999999</v>
      </c>
      <c r="L4969">
        <v>-63.422359999999998</v>
      </c>
      <c r="M4969">
        <v>0.99996609999999997</v>
      </c>
      <c r="N4969">
        <v>0</v>
      </c>
      <c r="O4969">
        <v>6.1737119999999996E-3</v>
      </c>
      <c r="P4969">
        <v>0.98245640000000001</v>
      </c>
      <c r="Q4969">
        <v>4.3324550000000003E-2</v>
      </c>
      <c r="R4969">
        <v>0.18139</v>
      </c>
      <c r="S4969">
        <v>2.8963619999999999</v>
      </c>
      <c r="T4969">
        <v>-0.220934299999999</v>
      </c>
      <c r="U4969">
        <v>0.90737919999999905</v>
      </c>
      <c r="V4969">
        <v>-0.1754542</v>
      </c>
      <c r="W4969">
        <v>4.8210349999999999E-2</v>
      </c>
      <c r="X4969">
        <v>0.98330649999999997</v>
      </c>
      <c r="Y4969">
        <v>-0.29230119999999998</v>
      </c>
      <c r="Z4969">
        <v>1.0413560000000001E-2</v>
      </c>
      <c r="AA4969">
        <v>0.95626959999999905</v>
      </c>
      <c r="AB4969">
        <v>38</v>
      </c>
      <c r="AC4969">
        <v>14.3530999999999</v>
      </c>
      <c r="AD4969">
        <v>-1.110385731646</v>
      </c>
      <c r="AE4969">
        <v>4.5589000000000004</v>
      </c>
      <c r="AF4969">
        <v>-4.4460293468591097</v>
      </c>
      <c r="AG4969">
        <v>-1.110385731646</v>
      </c>
      <c r="AH4969">
        <v>14.3032137230656</v>
      </c>
      <c r="AI4969">
        <v>94.239753846206398</v>
      </c>
      <c r="AJ4969">
        <v>107.267401758627</v>
      </c>
      <c r="AK4969">
        <v>15.019389342908299</v>
      </c>
    </row>
    <row r="4970" spans="1:37" x14ac:dyDescent="0.2">
      <c r="A4970" t="str">
        <f>"20200111154159897"</f>
        <v>20200111154159897</v>
      </c>
      <c r="B4970" t="str">
        <f>"1578728519890963"</f>
        <v>1578728519890963</v>
      </c>
      <c r="C4970" t="s">
        <v>37</v>
      </c>
      <c r="D4970">
        <v>5.0395580000000004</v>
      </c>
      <c r="E4970">
        <v>0.45193109999999997</v>
      </c>
      <c r="F4970" t="s">
        <v>57</v>
      </c>
      <c r="G4970">
        <v>-217.84389999999999</v>
      </c>
      <c r="H4970" s="1">
        <v>-2.613445E-6</v>
      </c>
      <c r="I4970">
        <v>-58.808579999999999</v>
      </c>
      <c r="J4970">
        <v>-232.2902</v>
      </c>
      <c r="K4970">
        <v>1.1103780000000001</v>
      </c>
      <c r="L4970">
        <v>-63.420719999999903</v>
      </c>
      <c r="M4970">
        <v>0.99996240000000003</v>
      </c>
      <c r="N4970">
        <v>0</v>
      </c>
      <c r="O4970">
        <v>6.7334099999999996E-3</v>
      </c>
      <c r="P4970">
        <v>0.98205560000000003</v>
      </c>
      <c r="Q4970">
        <v>4.3759600000000003E-2</v>
      </c>
      <c r="R4970">
        <v>0.18344530000000001</v>
      </c>
      <c r="S4970">
        <v>2.894943</v>
      </c>
      <c r="T4970">
        <v>-0.21939989999999901</v>
      </c>
      <c r="U4970">
        <v>0.91162109999999996</v>
      </c>
      <c r="V4970">
        <v>-0.17696219999999999</v>
      </c>
      <c r="W4970">
        <v>4.8658050000000001E-2</v>
      </c>
      <c r="X4970">
        <v>0.9830141</v>
      </c>
      <c r="Y4970">
        <v>-0.29318440000000001</v>
      </c>
      <c r="Z4970">
        <v>1.033534E-2</v>
      </c>
      <c r="AA4970">
        <v>0.95599999999999996</v>
      </c>
      <c r="AB4970">
        <v>39</v>
      </c>
      <c r="AC4970">
        <v>14.446300000000001</v>
      </c>
      <c r="AD4970">
        <v>-1.1103806134450001</v>
      </c>
      <c r="AE4970">
        <v>4.6121399999999797</v>
      </c>
      <c r="AF4970">
        <v>-4.4906848137055899</v>
      </c>
      <c r="AG4970">
        <v>-1.1103806134450001</v>
      </c>
      <c r="AH4970">
        <v>14.399825305974399</v>
      </c>
      <c r="AI4970">
        <v>94.210182297159704</v>
      </c>
      <c r="AJ4970">
        <v>107.320449530389</v>
      </c>
      <c r="AK4970">
        <v>15.124621120720301</v>
      </c>
    </row>
    <row r="4971" spans="1:37" x14ac:dyDescent="0.2">
      <c r="A4971" t="str">
        <f>"20200111154159909"</f>
        <v>20200111154159909</v>
      </c>
      <c r="B4971" t="str">
        <f>"1578728519900723"</f>
        <v>1578728519900723</v>
      </c>
      <c r="C4971" t="s">
        <v>37</v>
      </c>
      <c r="D4971">
        <v>5.0435910000000002</v>
      </c>
      <c r="E4971">
        <v>0.45188139999999999</v>
      </c>
      <c r="F4971" t="s">
        <v>57</v>
      </c>
      <c r="G4971">
        <v>-217.4999</v>
      </c>
      <c r="H4971" s="1">
        <v>-2.4787979999999998E-6</v>
      </c>
      <c r="I4971">
        <v>-58.735569999999903</v>
      </c>
      <c r="J4971">
        <v>-232.101</v>
      </c>
      <c r="K4971">
        <v>1.110376</v>
      </c>
      <c r="L4971">
        <v>-63.419069999999998</v>
      </c>
      <c r="M4971">
        <v>0.99995869999999998</v>
      </c>
      <c r="N4971">
        <v>0</v>
      </c>
      <c r="O4971">
        <v>7.2461419999999997E-3</v>
      </c>
      <c r="P4971">
        <v>0.98172579999999998</v>
      </c>
      <c r="Q4971">
        <v>4.3981020000000003E-2</v>
      </c>
      <c r="R4971">
        <v>0.18515009999999901</v>
      </c>
      <c r="S4971">
        <v>2.8932950000000002</v>
      </c>
      <c r="T4971">
        <v>-0.21721399999999999</v>
      </c>
      <c r="U4971">
        <v>0.91650390000000004</v>
      </c>
      <c r="V4971">
        <v>-0.1781652</v>
      </c>
      <c r="W4971">
        <v>4.8894760000000002E-2</v>
      </c>
      <c r="X4971">
        <v>0.98278500000000002</v>
      </c>
      <c r="Y4971">
        <v>-0.29432989999999998</v>
      </c>
      <c r="Z4971">
        <v>1.024007E-2</v>
      </c>
      <c r="AA4971">
        <v>0.95564899999999997</v>
      </c>
      <c r="AB4971">
        <v>39</v>
      </c>
      <c r="AC4971">
        <v>14.601100000000001</v>
      </c>
      <c r="AD4971">
        <v>-1.110378478798</v>
      </c>
      <c r="AE4971">
        <v>4.6835000000000004</v>
      </c>
      <c r="AF4971">
        <v>-4.5536955229228298</v>
      </c>
      <c r="AG4971">
        <v>-1.110378478798</v>
      </c>
      <c r="AH4971">
        <v>14.5583148286605</v>
      </c>
      <c r="AI4971">
        <v>94.163400406953002</v>
      </c>
      <c r="AJ4971">
        <v>107.369161706546</v>
      </c>
      <c r="AK4971">
        <v>15.2942346631684</v>
      </c>
    </row>
    <row r="4972" spans="1:37" x14ac:dyDescent="0.2">
      <c r="A4972" t="str">
        <f>"20200111154159919"</f>
        <v>20200111154159919</v>
      </c>
      <c r="B4972" t="str">
        <f>"1578728519910484"</f>
        <v>1578728519910484</v>
      </c>
      <c r="C4972" t="s">
        <v>37</v>
      </c>
      <c r="D4972">
        <v>5.0470519999999999</v>
      </c>
      <c r="E4972">
        <v>0.45195809999999997</v>
      </c>
      <c r="F4972" t="s">
        <v>57</v>
      </c>
      <c r="G4972">
        <v>-217.32740000000001</v>
      </c>
      <c r="H4972" s="1">
        <v>-2.4091680000000001E-6</v>
      </c>
      <c r="I4972">
        <v>-58.710880000000003</v>
      </c>
      <c r="J4972">
        <v>-231.90979999999999</v>
      </c>
      <c r="K4972">
        <v>1.110374</v>
      </c>
      <c r="L4972">
        <v>-63.417359999999903</v>
      </c>
      <c r="M4972">
        <v>0.99995480000000003</v>
      </c>
      <c r="N4972">
        <v>0</v>
      </c>
      <c r="O4972">
        <v>7.7611980000000004E-3</v>
      </c>
      <c r="P4972">
        <v>0.98138989999999904</v>
      </c>
      <c r="Q4972">
        <v>4.4324099999999998E-2</v>
      </c>
      <c r="R4972">
        <v>0.1868407</v>
      </c>
      <c r="S4972">
        <v>2.8917999999999999</v>
      </c>
      <c r="T4972">
        <v>-0.21734580000000001</v>
      </c>
      <c r="U4972">
        <v>0.92156979999999999</v>
      </c>
      <c r="V4972">
        <v>-0.17935219999999999</v>
      </c>
      <c r="W4972">
        <v>4.925529E-2</v>
      </c>
      <c r="X4972">
        <v>0.98255110000000001</v>
      </c>
      <c r="Y4972">
        <v>-0.29549759999999903</v>
      </c>
      <c r="Z4972">
        <v>1.0253719999999999E-2</v>
      </c>
      <c r="AA4972">
        <v>0.95528849999999998</v>
      </c>
      <c r="AB4972">
        <v>39</v>
      </c>
      <c r="AC4972">
        <v>14.5823999999999</v>
      </c>
      <c r="AD4972">
        <v>-1.110376409168</v>
      </c>
      <c r="AE4972">
        <v>4.7064799999999902</v>
      </c>
      <c r="AF4972">
        <v>-4.5691666583782498</v>
      </c>
      <c r="AG4972">
        <v>-1.110376409168</v>
      </c>
      <c r="AH4972">
        <v>14.5421276239494</v>
      </c>
      <c r="AI4972">
        <v>94.166337015627605</v>
      </c>
      <c r="AJ4972">
        <v>107.442826881149</v>
      </c>
      <c r="AK4972">
        <v>15.2834451467366</v>
      </c>
    </row>
    <row r="4973" spans="1:37" x14ac:dyDescent="0.2">
      <c r="A4973" t="str">
        <f>"20200111154159930"</f>
        <v>20200111154159930</v>
      </c>
      <c r="B4973" t="str">
        <f>"1578728519921219"</f>
        <v>1578728519921219</v>
      </c>
      <c r="C4973" t="s">
        <v>37</v>
      </c>
      <c r="D4973">
        <v>5.0030809999999999</v>
      </c>
      <c r="E4973">
        <v>0.45208979999999999</v>
      </c>
      <c r="F4973" t="s">
        <v>57</v>
      </c>
      <c r="G4973">
        <v>-217.0147</v>
      </c>
      <c r="H4973" s="1">
        <v>-2.2862069999999998E-6</v>
      </c>
      <c r="I4973">
        <v>-58.647950000000002</v>
      </c>
      <c r="J4973">
        <v>-231.71680000000001</v>
      </c>
      <c r="K4973">
        <v>1.110376</v>
      </c>
      <c r="L4973">
        <v>-63.415439999999997</v>
      </c>
      <c r="M4973">
        <v>0.99995049999999996</v>
      </c>
      <c r="N4973">
        <v>0</v>
      </c>
      <c r="O4973">
        <v>8.2777960000000005E-3</v>
      </c>
      <c r="P4973">
        <v>0.98110589999999998</v>
      </c>
      <c r="Q4973">
        <v>4.4407479999999999E-2</v>
      </c>
      <c r="R4973">
        <v>0.1883069</v>
      </c>
      <c r="S4973">
        <v>2.8904269999999999</v>
      </c>
      <c r="T4973">
        <v>-0.21547159999999899</v>
      </c>
      <c r="U4973">
        <v>0.92550659999999896</v>
      </c>
      <c r="V4973">
        <v>-0.180313</v>
      </c>
      <c r="W4973">
        <v>4.9363400000000002E-2</v>
      </c>
      <c r="X4973">
        <v>0.98236979999999996</v>
      </c>
      <c r="Y4973">
        <v>-0.29632750000000002</v>
      </c>
      <c r="Z4973">
        <v>1.016072E-2</v>
      </c>
      <c r="AA4973">
        <v>0.95503229999999995</v>
      </c>
      <c r="AB4973">
        <v>39</v>
      </c>
      <c r="AC4973">
        <v>14.7021</v>
      </c>
      <c r="AD4973">
        <v>-1.110378286207</v>
      </c>
      <c r="AE4973">
        <v>4.7674899999999996</v>
      </c>
      <c r="AF4973">
        <v>-4.6217693802460396</v>
      </c>
      <c r="AG4973">
        <v>-1.110378286207</v>
      </c>
      <c r="AH4973">
        <v>14.665368508444599</v>
      </c>
      <c r="AI4973">
        <v>94.130338207941605</v>
      </c>
      <c r="AJ4973">
        <v>107.492169129069</v>
      </c>
      <c r="AK4973">
        <v>15.416443352185301</v>
      </c>
    </row>
    <row r="4974" spans="1:37" x14ac:dyDescent="0.2">
      <c r="A4974" t="str">
        <f>"20200111154159941"</f>
        <v>20200111154159941</v>
      </c>
      <c r="B4974" t="str">
        <f>"1578728519930981"</f>
        <v>1578728519930981</v>
      </c>
      <c r="C4974" t="s">
        <v>37</v>
      </c>
      <c r="D4974">
        <v>4.9940600000000002</v>
      </c>
      <c r="E4974">
        <v>0.45213490000000001</v>
      </c>
      <c r="F4974" t="s">
        <v>57</v>
      </c>
      <c r="G4974">
        <v>-216.79519999999999</v>
      </c>
      <c r="H4974" s="1">
        <v>-2.1968770000000001E-6</v>
      </c>
      <c r="I4974">
        <v>-58.6205199999999</v>
      </c>
      <c r="J4974">
        <v>-231.53149999999999</v>
      </c>
      <c r="K4974">
        <v>1.110374</v>
      </c>
      <c r="L4974">
        <v>-63.413600000000002</v>
      </c>
      <c r="M4974">
        <v>0.999945999999999</v>
      </c>
      <c r="N4974">
        <v>0</v>
      </c>
      <c r="O4974">
        <v>8.7731159999999992E-3</v>
      </c>
      <c r="P4974">
        <v>0.98079620000000001</v>
      </c>
      <c r="Q4974">
        <v>4.4405859999999998E-2</v>
      </c>
      <c r="R4974">
        <v>0.18991350000000001</v>
      </c>
      <c r="S4974">
        <v>2.889313</v>
      </c>
      <c r="T4974">
        <v>-0.21500429999999901</v>
      </c>
      <c r="U4974">
        <v>0.92843629999999999</v>
      </c>
      <c r="V4974">
        <v>-0.18143499999999901</v>
      </c>
      <c r="W4974">
        <v>4.9386739999999998E-2</v>
      </c>
      <c r="X4974">
        <v>0.98216209999999904</v>
      </c>
      <c r="Y4974">
        <v>-0.2968422</v>
      </c>
      <c r="Z4974">
        <v>1.0123699999999999E-2</v>
      </c>
      <c r="AA4974">
        <v>0.95487279999999997</v>
      </c>
      <c r="AB4974">
        <v>39</v>
      </c>
      <c r="AC4974">
        <v>14.7363</v>
      </c>
      <c r="AD4974">
        <v>-1.1103761968770001</v>
      </c>
      <c r="AE4974">
        <v>4.7930799999999998</v>
      </c>
      <c r="AF4974">
        <v>-4.6397877187965504</v>
      </c>
      <c r="AG4974">
        <v>-1.1103761968770001</v>
      </c>
      <c r="AH4974">
        <v>14.702296245241</v>
      </c>
      <c r="AI4974">
        <v>94.119481010388199</v>
      </c>
      <c r="AJ4974">
        <v>107.514785476927</v>
      </c>
      <c r="AK4974">
        <v>15.4569751328296</v>
      </c>
    </row>
    <row r="4975" spans="1:37" x14ac:dyDescent="0.2">
      <c r="A4975" t="str">
        <f>"20200111154159953"</f>
        <v>20200111154159953</v>
      </c>
      <c r="B4975" t="str">
        <f>"1578728519950499"</f>
        <v>1578728519950499</v>
      </c>
      <c r="C4975" t="s">
        <v>37</v>
      </c>
      <c r="D4975">
        <v>5.0028629999999996</v>
      </c>
      <c r="E4975">
        <v>0.45181749999999998</v>
      </c>
      <c r="F4975" t="s">
        <v>57</v>
      </c>
      <c r="G4975">
        <v>-216.65559999999999</v>
      </c>
      <c r="H4975" s="1">
        <v>-2.1387069999999999E-6</v>
      </c>
      <c r="I4975">
        <v>-58.611080000000001</v>
      </c>
      <c r="J4975">
        <v>-231.33099999999999</v>
      </c>
      <c r="K4975">
        <v>1.110382</v>
      </c>
      <c r="L4975">
        <v>-63.411409999999997</v>
      </c>
      <c r="M4975">
        <v>0.99994099999999997</v>
      </c>
      <c r="N4975">
        <v>0</v>
      </c>
      <c r="O4975">
        <v>9.3063759999999999E-3</v>
      </c>
      <c r="P4975">
        <v>0.98051069999999996</v>
      </c>
      <c r="Q4975">
        <v>4.4295139999999997E-2</v>
      </c>
      <c r="R4975">
        <v>0.19140799999999999</v>
      </c>
      <c r="S4975">
        <v>2.8879700000000001</v>
      </c>
      <c r="T4975">
        <v>-0.21556620000000001</v>
      </c>
      <c r="U4975">
        <v>0.93234249999999996</v>
      </c>
      <c r="V4975">
        <v>-0.18240780000000001</v>
      </c>
      <c r="W4975">
        <v>4.9321469999999999E-2</v>
      </c>
      <c r="X4975">
        <v>0.981985199999999</v>
      </c>
      <c r="Y4975">
        <v>-0.2976277</v>
      </c>
      <c r="Z4975">
        <v>1.014233E-2</v>
      </c>
      <c r="AA4975">
        <v>0.95462809999999898</v>
      </c>
      <c r="AB4975">
        <v>39</v>
      </c>
      <c r="AC4975">
        <v>14.6753999999999</v>
      </c>
      <c r="AD4975">
        <v>-1.1103841387069999</v>
      </c>
      <c r="AE4975">
        <v>4.80032999999999</v>
      </c>
      <c r="AF4975">
        <v>-4.6395514893237504</v>
      </c>
      <c r="AG4975">
        <v>-1.1103841387069999</v>
      </c>
      <c r="AH4975">
        <v>14.6437081086027</v>
      </c>
      <c r="AI4975">
        <v>94.1344584965845</v>
      </c>
      <c r="AJ4975">
        <v>107.57971204734601</v>
      </c>
      <c r="AK4975">
        <v>15.401187555754699</v>
      </c>
    </row>
    <row r="4976" spans="1:37" x14ac:dyDescent="0.2">
      <c r="A4976" t="str">
        <f>"20200111154159965"</f>
        <v>20200111154159965</v>
      </c>
      <c r="B4976" t="str">
        <f>"1578728519961235"</f>
        <v>1578728519961235</v>
      </c>
      <c r="C4976" t="s">
        <v>37</v>
      </c>
      <c r="D4976">
        <v>4.8656829999999998</v>
      </c>
      <c r="E4976">
        <v>0.45181749999999998</v>
      </c>
      <c r="F4976" t="s">
        <v>57</v>
      </c>
      <c r="G4976">
        <v>-216.5789</v>
      </c>
      <c r="H4976" s="1">
        <v>-2.1054530000000002E-6</v>
      </c>
      <c r="I4976">
        <v>-58.613</v>
      </c>
      <c r="J4976">
        <v>-231.12379999999999</v>
      </c>
      <c r="K4976">
        <v>1.110392</v>
      </c>
      <c r="L4976">
        <v>-63.409089999999999</v>
      </c>
      <c r="M4976">
        <v>0.99993539999999903</v>
      </c>
      <c r="N4976">
        <v>0</v>
      </c>
      <c r="O4976">
        <v>9.8570830000000009E-3</v>
      </c>
      <c r="P4976">
        <v>0.98021190000000002</v>
      </c>
      <c r="Q4976">
        <v>4.4344149999999999E-2</v>
      </c>
      <c r="R4976">
        <v>0.19292029999999999</v>
      </c>
      <c r="S4976">
        <v>2.8862000000000001</v>
      </c>
      <c r="T4976">
        <v>-0.2172433</v>
      </c>
      <c r="U4976">
        <v>0.93878169999999905</v>
      </c>
      <c r="V4976">
        <v>-0.18338209999999999</v>
      </c>
      <c r="W4976">
        <v>4.942626E-2</v>
      </c>
      <c r="X4976">
        <v>0.98179839999999996</v>
      </c>
      <c r="Y4976">
        <v>-0.29918610000000001</v>
      </c>
      <c r="Z4976">
        <v>1.0240340000000001E-2</v>
      </c>
      <c r="AA4976">
        <v>0.95413979999999998</v>
      </c>
      <c r="AB4976">
        <v>39</v>
      </c>
      <c r="AC4976">
        <v>14.544899999999901</v>
      </c>
      <c r="AD4976">
        <v>-1.110394105453</v>
      </c>
      <c r="AE4976">
        <v>4.7960900000000004</v>
      </c>
      <c r="AF4976">
        <v>-4.6281559442571298</v>
      </c>
      <c r="AG4976">
        <v>-1.110394105453</v>
      </c>
      <c r="AH4976">
        <v>14.515168830337901</v>
      </c>
      <c r="AI4976">
        <v>94.168556257159395</v>
      </c>
      <c r="AJ4976">
        <v>107.684861762864</v>
      </c>
      <c r="AK4976">
        <v>15.2755663949655</v>
      </c>
    </row>
    <row r="4977" spans="1:37" x14ac:dyDescent="0.2">
      <c r="A4977" t="str">
        <f>"20200111154159975"</f>
        <v>20200111154159975</v>
      </c>
      <c r="B4977" t="str">
        <f>"1578728519970996"</f>
        <v>1578728519970996</v>
      </c>
      <c r="C4977" t="s">
        <v>37</v>
      </c>
      <c r="D4977">
        <v>4.939349</v>
      </c>
      <c r="E4977">
        <v>0.42224449999999902</v>
      </c>
      <c r="F4977" t="s">
        <v>57</v>
      </c>
      <c r="G4977">
        <v>-216.398</v>
      </c>
      <c r="H4977" s="1">
        <v>-2.030773E-6</v>
      </c>
      <c r="I4977">
        <v>-58.596409999999999</v>
      </c>
      <c r="J4977">
        <v>-230.93340000000001</v>
      </c>
      <c r="K4977">
        <v>1.1104099999999999</v>
      </c>
      <c r="L4977">
        <v>-63.406829999999999</v>
      </c>
      <c r="M4977">
        <v>0.99992979999999998</v>
      </c>
      <c r="N4977">
        <v>0</v>
      </c>
      <c r="O4977">
        <v>1.0361799999999999E-2</v>
      </c>
      <c r="P4977">
        <v>0.97991629999999996</v>
      </c>
      <c r="Q4977">
        <v>4.4448710000000002E-2</v>
      </c>
      <c r="R4977">
        <v>0.19439279999999901</v>
      </c>
      <c r="S4977">
        <v>2.8848419999999999</v>
      </c>
      <c r="T4977">
        <v>-0.21753040000000001</v>
      </c>
      <c r="U4977">
        <v>0.94281009999999998</v>
      </c>
      <c r="V4977">
        <v>-0.18436250000000001</v>
      </c>
      <c r="W4977">
        <v>4.9608190000000003E-2</v>
      </c>
      <c r="X4977">
        <v>0.98160559999999997</v>
      </c>
      <c r="Y4977">
        <v>-0.30003770000000002</v>
      </c>
      <c r="Z4977">
        <v>1.0250509999999999E-2</v>
      </c>
      <c r="AA4977">
        <v>0.95387230000000001</v>
      </c>
      <c r="AB4977">
        <v>39</v>
      </c>
      <c r="AC4977">
        <v>14.535399999999999</v>
      </c>
      <c r="AD4977">
        <v>-1.1104120307730001</v>
      </c>
      <c r="AE4977">
        <v>4.8104199999999997</v>
      </c>
      <c r="AF4977">
        <v>-4.6351658472115798</v>
      </c>
      <c r="AG4977">
        <v>-1.1104120307730001</v>
      </c>
      <c r="AH4977">
        <v>14.508153658799101</v>
      </c>
      <c r="AI4977">
        <v>94.169864701053797</v>
      </c>
      <c r="AJ4977">
        <v>107.718002864486</v>
      </c>
      <c r="AK4977">
        <v>15.271028121792201</v>
      </c>
    </row>
    <row r="4978" spans="1:37" x14ac:dyDescent="0.2">
      <c r="A4978" t="str">
        <f>"20200111154159986"</f>
        <v>20200111154159986</v>
      </c>
      <c r="B4978" t="str">
        <f>"1578728519980755"</f>
        <v>1578728519980755</v>
      </c>
      <c r="C4978" t="s">
        <v>37</v>
      </c>
      <c r="D4978">
        <v>4.8718769999999996</v>
      </c>
      <c r="E4978">
        <v>0.41648499999999999</v>
      </c>
      <c r="F4978" t="s">
        <v>57</v>
      </c>
      <c r="G4978">
        <v>-210.3219</v>
      </c>
      <c r="H4978" s="1">
        <v>-5.6337100000000002E-7</v>
      </c>
      <c r="I4978">
        <v>-54.817419999999998</v>
      </c>
      <c r="J4978">
        <v>-230.75219999999999</v>
      </c>
      <c r="K4978">
        <v>1.11043</v>
      </c>
      <c r="L4978">
        <v>-63.404629999999997</v>
      </c>
      <c r="M4978">
        <v>0.99992420000000004</v>
      </c>
      <c r="N4978">
        <v>0</v>
      </c>
      <c r="O4978">
        <v>1.084213E-2</v>
      </c>
      <c r="P4978">
        <v>0.97962950000000004</v>
      </c>
      <c r="Q4978">
        <v>4.4319980000000002E-2</v>
      </c>
      <c r="R4978">
        <v>0.19586139999999999</v>
      </c>
      <c r="S4978">
        <v>2.8341369999999899</v>
      </c>
      <c r="T4978">
        <v>-0.1526846</v>
      </c>
      <c r="U4978">
        <v>1.1810609999999999</v>
      </c>
      <c r="V4978">
        <v>-0.18536169999999999</v>
      </c>
      <c r="W4978">
        <v>4.9562950000000001E-2</v>
      </c>
      <c r="X4978">
        <v>0.98141970000000001</v>
      </c>
      <c r="Y4978">
        <v>-0.37418360000000001</v>
      </c>
      <c r="Z4978">
        <v>9.1097109999999995E-3</v>
      </c>
      <c r="AA4978">
        <v>0.92730990000000002</v>
      </c>
      <c r="AB4978">
        <v>39</v>
      </c>
      <c r="AC4978">
        <v>20.4302999999999</v>
      </c>
      <c r="AD4978">
        <v>-1.1104305633710001</v>
      </c>
      <c r="AE4978">
        <v>8.5872100000000007</v>
      </c>
      <c r="AF4978">
        <v>-8.3442443353413793</v>
      </c>
      <c r="AG4978">
        <v>-1.1104305633710001</v>
      </c>
      <c r="AH4978">
        <v>20.470810053932102</v>
      </c>
      <c r="AI4978">
        <v>92.875654244310994</v>
      </c>
      <c r="AJ4978">
        <v>112.17663032279199</v>
      </c>
      <c r="AK4978">
        <v>22.133990463269701</v>
      </c>
    </row>
    <row r="4979" spans="1:37" x14ac:dyDescent="0.2">
      <c r="A4979" t="str">
        <f>"20200111154159997"</f>
        <v>20200111154159997</v>
      </c>
      <c r="B4979" t="str">
        <f>"1578728519990515"</f>
        <v>1578728519990515</v>
      </c>
      <c r="C4979" t="s">
        <v>37</v>
      </c>
      <c r="D4979">
        <v>4.8733750000000002</v>
      </c>
      <c r="E4979">
        <v>0.41214689999999998</v>
      </c>
      <c r="F4979" t="s">
        <v>38</v>
      </c>
      <c r="G4979">
        <v>-229.73920000000001</v>
      </c>
      <c r="H4979">
        <v>1.055599</v>
      </c>
      <c r="I4979">
        <v>-62.963319999999896</v>
      </c>
      <c r="J4979">
        <v>-230.5609</v>
      </c>
      <c r="K4979">
        <v>1.1104540000000001</v>
      </c>
      <c r="L4979">
        <v>-63.402159999999903</v>
      </c>
      <c r="M4979">
        <v>0.99991790000000003</v>
      </c>
      <c r="N4979">
        <v>0</v>
      </c>
      <c r="O4979">
        <v>1.134959E-2</v>
      </c>
      <c r="P4979">
        <v>0.97936279999999998</v>
      </c>
      <c r="Q4979">
        <v>4.4177609999999999E-2</v>
      </c>
      <c r="R4979">
        <v>0.19722290000000001</v>
      </c>
      <c r="S4979">
        <v>2.8233489999999999</v>
      </c>
      <c r="T4979">
        <v>-0.1528283</v>
      </c>
      <c r="U4979">
        <v>1.230164</v>
      </c>
      <c r="V4979">
        <v>-0.18622820000000001</v>
      </c>
      <c r="W4979">
        <v>4.9530089999999999E-2</v>
      </c>
      <c r="X4979">
        <v>0.9812573</v>
      </c>
      <c r="Y4979">
        <v>-0.38854729999999998</v>
      </c>
      <c r="Z4979">
        <v>9.4659640000000003E-3</v>
      </c>
      <c r="AA4979">
        <v>0.92138019999999998</v>
      </c>
      <c r="AB4979">
        <v>39</v>
      </c>
      <c r="AC4979">
        <v>0.82169999999999199</v>
      </c>
      <c r="AD4979">
        <v>-5.4855000000000098E-2</v>
      </c>
      <c r="AE4979">
        <v>0.43883999999999801</v>
      </c>
      <c r="AF4979">
        <v>-0.42800147939796102</v>
      </c>
      <c r="AG4979">
        <v>-5.4855000000000098E-2</v>
      </c>
      <c r="AH4979">
        <v>0.82377131881883903</v>
      </c>
      <c r="AI4979">
        <v>93.381697964133494</v>
      </c>
      <c r="AJ4979">
        <v>117.45474005059801</v>
      </c>
      <c r="AK4979">
        <v>0.92994275259306802</v>
      </c>
    </row>
    <row r="4980" spans="1:37" x14ac:dyDescent="0.2">
      <c r="A4980" t="str">
        <f>"20200111154200010"</f>
        <v>20200111154200010</v>
      </c>
      <c r="B4980" t="str">
        <f>"1578728520001251"</f>
        <v>1578728520001251</v>
      </c>
      <c r="C4980" t="s">
        <v>37</v>
      </c>
      <c r="D4980">
        <v>4.7948170000000001</v>
      </c>
      <c r="E4980">
        <v>0.41040989999999999</v>
      </c>
      <c r="F4980" t="s">
        <v>57</v>
      </c>
      <c r="G4980">
        <v>-210.13630000000001</v>
      </c>
      <c r="H4980" s="1">
        <v>-6.640354E-7</v>
      </c>
      <c r="I4980">
        <v>-54.201700000000002</v>
      </c>
      <c r="J4980">
        <v>-230.36099999999999</v>
      </c>
      <c r="K4980">
        <v>1.110484</v>
      </c>
      <c r="L4980">
        <v>-63.399479999999997</v>
      </c>
      <c r="M4980">
        <v>0.99991079999999999</v>
      </c>
      <c r="N4980">
        <v>0</v>
      </c>
      <c r="O4980">
        <v>1.1879290000000001E-2</v>
      </c>
      <c r="P4980">
        <v>0.97907919999999904</v>
      </c>
      <c r="Q4980">
        <v>4.3859380000000003E-2</v>
      </c>
      <c r="R4980">
        <v>0.1986966</v>
      </c>
      <c r="S4980">
        <v>2.81478899999999</v>
      </c>
      <c r="T4980">
        <v>-0.15303620000000001</v>
      </c>
      <c r="U4980">
        <v>1.267944</v>
      </c>
      <c r="V4980">
        <v>-0.18718470000000001</v>
      </c>
      <c r="W4980">
        <v>4.9347210000000002E-2</v>
      </c>
      <c r="X4980">
        <v>0.98108449999999903</v>
      </c>
      <c r="Y4980">
        <v>-0.39937649999999902</v>
      </c>
      <c r="Z4980">
        <v>9.7337840000000005E-3</v>
      </c>
      <c r="AA4980">
        <v>0.91673530000000003</v>
      </c>
      <c r="AB4980">
        <v>39</v>
      </c>
      <c r="AC4980">
        <v>20.224699999999899</v>
      </c>
      <c r="AD4980">
        <v>-1.11048466403539</v>
      </c>
      <c r="AE4980">
        <v>9.1977799999999998</v>
      </c>
      <c r="AF4980">
        <v>-8.9345516494673003</v>
      </c>
      <c r="AG4980">
        <v>-1.11048466403539</v>
      </c>
      <c r="AH4980">
        <v>20.281871035918702</v>
      </c>
      <c r="AI4980">
        <v>92.868478370206205</v>
      </c>
      <c r="AJ4980">
        <v>113.77440799578901</v>
      </c>
      <c r="AK4980">
        <v>22.1903961677951</v>
      </c>
    </row>
    <row r="4981" spans="1:37" x14ac:dyDescent="0.2">
      <c r="A4981" t="str">
        <f>"20200111154200020"</f>
        <v>20200111154200020</v>
      </c>
      <c r="B4981" t="str">
        <f>"1578728520011010"</f>
        <v>1578728520011010</v>
      </c>
      <c r="C4981" t="s">
        <v>37</v>
      </c>
      <c r="D4981">
        <v>4.7504749999999998</v>
      </c>
      <c r="E4981">
        <v>0.40968359999999898</v>
      </c>
      <c r="F4981" t="s">
        <v>38</v>
      </c>
      <c r="G4981">
        <v>-229.39080000000001</v>
      </c>
      <c r="H4981">
        <v>1.0558989999999999</v>
      </c>
      <c r="I4981">
        <v>-62.955669999999998</v>
      </c>
      <c r="J4981">
        <v>-230.14660000000001</v>
      </c>
      <c r="K4981">
        <v>1.1105209999999901</v>
      </c>
      <c r="L4981">
        <v>-63.396549999999998</v>
      </c>
      <c r="M4981">
        <v>0.99990290000000004</v>
      </c>
      <c r="N4981">
        <v>0</v>
      </c>
      <c r="O4981">
        <v>1.244731E-2</v>
      </c>
      <c r="P4981">
        <v>0.97879930000000004</v>
      </c>
      <c r="Q4981">
        <v>4.348196E-2</v>
      </c>
      <c r="R4981">
        <v>0.20015260000000001</v>
      </c>
      <c r="S4981">
        <v>2.810349</v>
      </c>
      <c r="T4981">
        <v>-0.15811610000000001</v>
      </c>
      <c r="U4981">
        <v>1.2853699999999999</v>
      </c>
      <c r="V4981">
        <v>-0.1880858</v>
      </c>
      <c r="W4981">
        <v>4.9137649999999998E-2</v>
      </c>
      <c r="X4981">
        <v>0.98092259999999998</v>
      </c>
      <c r="Y4981">
        <v>-0.40406740000000002</v>
      </c>
      <c r="Z4981">
        <v>1.0153880000000001E-2</v>
      </c>
      <c r="AA4981">
        <v>0.91467289999999901</v>
      </c>
      <c r="AB4981">
        <v>39</v>
      </c>
      <c r="AC4981">
        <v>0.75579999999999303</v>
      </c>
      <c r="AD4981">
        <v>-5.46219999999999E-2</v>
      </c>
      <c r="AE4981">
        <v>0.44087999999999999</v>
      </c>
      <c r="AF4981">
        <v>-0.42976320282684299</v>
      </c>
      <c r="AG4981">
        <v>-5.46219999999999E-2</v>
      </c>
      <c r="AH4981">
        <v>0.75827434245788605</v>
      </c>
      <c r="AI4981">
        <v>93.585983856150904</v>
      </c>
      <c r="AJ4981">
        <v>119.54303787872399</v>
      </c>
      <c r="AK4981">
        <v>0.87330404317049104</v>
      </c>
    </row>
    <row r="4982" spans="1:37" x14ac:dyDescent="0.2">
      <c r="A4982" t="str">
        <f>"20200111154200031"</f>
        <v>20200111154200031</v>
      </c>
      <c r="B4982" t="str">
        <f>"1578728520020772"</f>
        <v>1578728520020772</v>
      </c>
      <c r="C4982" t="s">
        <v>37</v>
      </c>
      <c r="D4982">
        <v>4.7381180000000001</v>
      </c>
      <c r="E4982">
        <v>0.40933059999999899</v>
      </c>
      <c r="F4982" t="s">
        <v>57</v>
      </c>
      <c r="G4982">
        <v>-210.94370000000001</v>
      </c>
      <c r="H4982" s="1">
        <v>-8.4915169999999902E-7</v>
      </c>
      <c r="I4982">
        <v>-54.538600000000002</v>
      </c>
      <c r="J4982">
        <v>-229.96700000000001</v>
      </c>
      <c r="K4982">
        <v>1.1105609999999999</v>
      </c>
      <c r="L4982">
        <v>-63.393919999999902</v>
      </c>
      <c r="M4982">
        <v>0.9998956</v>
      </c>
      <c r="N4982">
        <v>0</v>
      </c>
      <c r="O4982">
        <v>1.292339E-2</v>
      </c>
      <c r="P4982">
        <v>0.97855599999999998</v>
      </c>
      <c r="Q4982">
        <v>4.3138000000000003E-2</v>
      </c>
      <c r="R4982">
        <v>0.20141410000000001</v>
      </c>
      <c r="S4982">
        <v>2.8073730000000001</v>
      </c>
      <c r="T4982">
        <v>-0.1623532</v>
      </c>
      <c r="U4982">
        <v>1.294983</v>
      </c>
      <c r="V4982">
        <v>-0.18888379999999999</v>
      </c>
      <c r="W4982">
        <v>4.8968100000000001E-2</v>
      </c>
      <c r="X4982">
        <v>0.98077769999999997</v>
      </c>
      <c r="Y4982">
        <v>-0.40655219999999997</v>
      </c>
      <c r="Z4982">
        <v>1.0470729999999999E-2</v>
      </c>
      <c r="AA4982">
        <v>0.91356749999999998</v>
      </c>
      <c r="AB4982">
        <v>39</v>
      </c>
      <c r="AC4982">
        <v>19.023299999999999</v>
      </c>
      <c r="AD4982">
        <v>-1.1105618491517</v>
      </c>
      <c r="AE4982">
        <v>8.8553199999999901</v>
      </c>
      <c r="AF4982">
        <v>-8.5846829311737807</v>
      </c>
      <c r="AG4982">
        <v>-1.1105618491517</v>
      </c>
      <c r="AH4982">
        <v>19.082701189079401</v>
      </c>
      <c r="AI4982">
        <v>93.038066483688297</v>
      </c>
      <c r="AJ4982">
        <v>114.221421395452</v>
      </c>
      <c r="AK4982">
        <v>20.954226621883901</v>
      </c>
    </row>
    <row r="4983" spans="1:37" x14ac:dyDescent="0.2">
      <c r="A4983" t="str">
        <f>"20200111154200042"</f>
        <v>20200111154200042</v>
      </c>
      <c r="B4983" t="str">
        <f>"1578728520030536"</f>
        <v>1578728520030536</v>
      </c>
      <c r="C4983" t="s">
        <v>37</v>
      </c>
      <c r="D4983">
        <v>4.7657299999999996</v>
      </c>
      <c r="E4983">
        <v>0.409165</v>
      </c>
      <c r="F4983" t="s">
        <v>38</v>
      </c>
      <c r="G4983">
        <v>-229.0231</v>
      </c>
      <c r="H4983">
        <v>1.055151</v>
      </c>
      <c r="I4983">
        <v>-62.956200000000003</v>
      </c>
      <c r="J4983">
        <v>-229.77350000000001</v>
      </c>
      <c r="K4983">
        <v>1.110606</v>
      </c>
      <c r="L4983">
        <v>-63.39105</v>
      </c>
      <c r="M4983">
        <v>0.99988759999999999</v>
      </c>
      <c r="N4983">
        <v>0</v>
      </c>
      <c r="O4983">
        <v>1.3436490000000001E-2</v>
      </c>
      <c r="P4983">
        <v>0.97825810000000002</v>
      </c>
      <c r="Q4983">
        <v>4.2953119999999997E-2</v>
      </c>
      <c r="R4983">
        <v>0.2028953</v>
      </c>
      <c r="S4983">
        <v>2.805161</v>
      </c>
      <c r="T4983">
        <v>-0.16468360000000001</v>
      </c>
      <c r="U4983">
        <v>1.301239</v>
      </c>
      <c r="V4983">
        <v>-0.1898658</v>
      </c>
      <c r="W4983">
        <v>4.897953E-2</v>
      </c>
      <c r="X4983">
        <v>0.9805876</v>
      </c>
      <c r="Y4983">
        <v>-0.40801799999999999</v>
      </c>
      <c r="Z4983">
        <v>1.063599E-2</v>
      </c>
      <c r="AA4983">
        <v>0.91291199999999995</v>
      </c>
      <c r="AB4983">
        <v>39</v>
      </c>
      <c r="AC4983">
        <v>0.75040000000001295</v>
      </c>
      <c r="AD4983">
        <v>-5.5454999999999997E-2</v>
      </c>
      <c r="AE4983">
        <v>0.43484999999999702</v>
      </c>
      <c r="AF4983">
        <v>-0.422998399746914</v>
      </c>
      <c r="AG4983">
        <v>-5.5454999999999997E-2</v>
      </c>
      <c r="AH4983">
        <v>0.75309629938484901</v>
      </c>
      <c r="AI4983">
        <v>93.673453219803406</v>
      </c>
      <c r="AJ4983">
        <v>119.322008836347</v>
      </c>
      <c r="AK4983">
        <v>0.86553852563626799</v>
      </c>
    </row>
    <row r="4984" spans="1:37" x14ac:dyDescent="0.2">
      <c r="A4984" t="str">
        <f>"20200111154200053"</f>
        <v>20200111154200053</v>
      </c>
      <c r="B4984" t="str">
        <f>"1578728520051031"</f>
        <v>1578728520051031</v>
      </c>
      <c r="C4984" t="s">
        <v>37</v>
      </c>
      <c r="D4984">
        <v>4.70505</v>
      </c>
      <c r="E4984">
        <v>0.4088948</v>
      </c>
      <c r="F4984" t="s">
        <v>57</v>
      </c>
      <c r="G4984">
        <v>-211.1942</v>
      </c>
      <c r="H4984" s="1">
        <v>-8.8316929999999999E-7</v>
      </c>
      <c r="I4984">
        <v>-54.731159999999903</v>
      </c>
      <c r="J4984">
        <v>-229.58439999999999</v>
      </c>
      <c r="K4984">
        <v>1.1106579999999999</v>
      </c>
      <c r="L4984">
        <v>-63.388089999999998</v>
      </c>
      <c r="M4984">
        <v>0.99987899999999996</v>
      </c>
      <c r="N4984">
        <v>0</v>
      </c>
      <c r="O4984">
        <v>1.393811E-2</v>
      </c>
      <c r="P4984">
        <v>0.97789079999999995</v>
      </c>
      <c r="Q4984">
        <v>4.2577650000000002E-2</v>
      </c>
      <c r="R4984">
        <v>0.2047361</v>
      </c>
      <c r="S4984">
        <v>2.80307</v>
      </c>
      <c r="T4984">
        <v>-0.16755829999999999</v>
      </c>
      <c r="U4984">
        <v>1.306519</v>
      </c>
      <c r="V4984">
        <v>-0.19121920000000001</v>
      </c>
      <c r="W4984">
        <v>4.8832359999999998E-2</v>
      </c>
      <c r="X4984">
        <v>0.98033189999999903</v>
      </c>
      <c r="Y4984">
        <v>-0.40921239999999998</v>
      </c>
      <c r="Z4984">
        <v>1.0830060000000001E-2</v>
      </c>
      <c r="AA4984">
        <v>0.91237489999999999</v>
      </c>
      <c r="AB4984">
        <v>39</v>
      </c>
      <c r="AC4984">
        <v>18.3902</v>
      </c>
      <c r="AD4984">
        <v>-1.1106588831692901</v>
      </c>
      <c r="AE4984">
        <v>8.6569300000000098</v>
      </c>
      <c r="AF4984">
        <v>-8.3747528582547002</v>
      </c>
      <c r="AG4984">
        <v>-1.1106588831692901</v>
      </c>
      <c r="AH4984">
        <v>18.4539775400373</v>
      </c>
      <c r="AI4984">
        <v>93.136997970171706</v>
      </c>
      <c r="AJ4984">
        <v>114.409416860631</v>
      </c>
      <c r="AK4984">
        <v>20.295796009021402</v>
      </c>
    </row>
    <row r="4985" spans="1:37" x14ac:dyDescent="0.2">
      <c r="A4985" t="str">
        <f>"20200111154200064"</f>
        <v>20200111154200064</v>
      </c>
      <c r="B4985" t="str">
        <f>"1578728520060791"</f>
        <v>1578728520060791</v>
      </c>
      <c r="C4985" t="s">
        <v>37</v>
      </c>
      <c r="D4985">
        <v>4.7335349999999998</v>
      </c>
      <c r="E4985">
        <v>0.40870759999999901</v>
      </c>
      <c r="F4985" t="s">
        <v>38</v>
      </c>
      <c r="G4985">
        <v>-228.62780000000001</v>
      </c>
      <c r="H4985">
        <v>1.0514649999999901</v>
      </c>
      <c r="I4985">
        <v>-62.939450000000001</v>
      </c>
      <c r="J4985">
        <v>-229.3937</v>
      </c>
      <c r="K4985">
        <v>1.1107129999999901</v>
      </c>
      <c r="L4985">
        <v>-63.385069999999899</v>
      </c>
      <c r="M4985">
        <v>0.99987019999999904</v>
      </c>
      <c r="N4985">
        <v>0</v>
      </c>
      <c r="O4985">
        <v>1.444374E-2</v>
      </c>
      <c r="P4985">
        <v>0.97756299999999996</v>
      </c>
      <c r="Q4985">
        <v>4.2329869999999999E-2</v>
      </c>
      <c r="R4985">
        <v>0.20634659999999999</v>
      </c>
      <c r="S4985">
        <v>2.8003689999999999</v>
      </c>
      <c r="T4985">
        <v>-0.17328160000000001</v>
      </c>
      <c r="U4985">
        <v>1.313507</v>
      </c>
      <c r="V4985">
        <v>-0.19233829999999999</v>
      </c>
      <c r="W4985">
        <v>4.8822369999999997E-2</v>
      </c>
      <c r="X4985">
        <v>0.98011340000000002</v>
      </c>
      <c r="Y4985">
        <v>-0.41091299999999997</v>
      </c>
      <c r="Z4985">
        <v>1.122385E-2</v>
      </c>
      <c r="AA4985">
        <v>0.91160549999999996</v>
      </c>
      <c r="AB4985">
        <v>39</v>
      </c>
      <c r="AC4985">
        <v>0.76589999999998704</v>
      </c>
      <c r="AD4985">
        <v>-5.9247999999999898E-2</v>
      </c>
      <c r="AE4985">
        <v>0.44561999999999102</v>
      </c>
      <c r="AF4985">
        <v>-0.43257683686418102</v>
      </c>
      <c r="AG4985">
        <v>-5.9247999999999898E-2</v>
      </c>
      <c r="AH4985">
        <v>0.76881950133554799</v>
      </c>
      <c r="AI4985">
        <v>93.842353059429797</v>
      </c>
      <c r="AJ4985">
        <v>119.36431260062599</v>
      </c>
      <c r="AK4985">
        <v>0.884147312911859</v>
      </c>
    </row>
    <row r="4986" spans="1:37" x14ac:dyDescent="0.2">
      <c r="A4986" t="str">
        <f>"20200111154200075"</f>
        <v>20200111154200075</v>
      </c>
      <c r="B4986" t="str">
        <f>"1578728520070551"</f>
        <v>1578728520070551</v>
      </c>
      <c r="C4986" t="s">
        <v>37</v>
      </c>
      <c r="D4986">
        <v>4.7588780000000002</v>
      </c>
      <c r="E4986">
        <v>0.408524</v>
      </c>
      <c r="F4986" t="s">
        <v>38</v>
      </c>
      <c r="G4986">
        <v>-228.3537</v>
      </c>
      <c r="H4986">
        <v>1.0451489999999899</v>
      </c>
      <c r="I4986">
        <v>-62.89479</v>
      </c>
      <c r="J4986">
        <v>-229.208</v>
      </c>
      <c r="K4986">
        <v>1.1107639999999901</v>
      </c>
      <c r="L4986">
        <v>-63.381959999999999</v>
      </c>
      <c r="M4986">
        <v>0.99986090000000005</v>
      </c>
      <c r="N4986">
        <v>0</v>
      </c>
      <c r="O4986">
        <v>1.493294E-2</v>
      </c>
      <c r="P4986">
        <v>0.97719880000000003</v>
      </c>
      <c r="Q4986">
        <v>4.2251370000000003E-2</v>
      </c>
      <c r="R4986">
        <v>0.20807979999999901</v>
      </c>
      <c r="S4986">
        <v>2.798019</v>
      </c>
      <c r="T4986">
        <v>-0.17640729999999999</v>
      </c>
      <c r="U4986">
        <v>1.3193049999999999</v>
      </c>
      <c r="V4986">
        <v>-0.1935982</v>
      </c>
      <c r="W4986">
        <v>4.9007630000000003E-2</v>
      </c>
      <c r="X4986">
        <v>0.97985610000000001</v>
      </c>
      <c r="Y4986">
        <v>-0.41228329999999902</v>
      </c>
      <c r="Z4986">
        <v>1.144163E-2</v>
      </c>
      <c r="AA4986">
        <v>0.91098389999999996</v>
      </c>
      <c r="AB4986">
        <v>39</v>
      </c>
      <c r="AC4986">
        <v>0.85429999999999495</v>
      </c>
      <c r="AD4986">
        <v>-6.5614999999999896E-2</v>
      </c>
      <c r="AE4986">
        <v>0.48716999999999799</v>
      </c>
      <c r="AF4986">
        <v>-0.472255865806542</v>
      </c>
      <c r="AG4986">
        <v>-6.5614999999999896E-2</v>
      </c>
      <c r="AH4986">
        <v>0.85766193562684001</v>
      </c>
      <c r="AI4986">
        <v>93.834034088493496</v>
      </c>
      <c r="AJ4986">
        <v>118.838575062454</v>
      </c>
      <c r="AK4986">
        <v>0.981282287029</v>
      </c>
    </row>
    <row r="4987" spans="1:37" x14ac:dyDescent="0.2">
      <c r="A4987" t="str">
        <f>"20200111154200087"</f>
        <v>20200111154200087</v>
      </c>
      <c r="B4987" t="str">
        <f>"1578728520081290"</f>
        <v>1578728520081290</v>
      </c>
      <c r="C4987" t="s">
        <v>37</v>
      </c>
      <c r="D4987">
        <v>4.724602</v>
      </c>
      <c r="E4987">
        <v>0.40842059999999902</v>
      </c>
      <c r="F4987" t="s">
        <v>38</v>
      </c>
      <c r="G4987">
        <v>-228.24359999999999</v>
      </c>
      <c r="H4987">
        <v>1.049706</v>
      </c>
      <c r="I4987">
        <v>-62.924769999999903</v>
      </c>
      <c r="J4987">
        <v>-229.00040000000001</v>
      </c>
      <c r="K4987">
        <v>1.1108229999999999</v>
      </c>
      <c r="L4987">
        <v>-63.378419999999998</v>
      </c>
      <c r="M4987">
        <v>0.99985020000000002</v>
      </c>
      <c r="N4987">
        <v>0</v>
      </c>
      <c r="O4987">
        <v>1.547873E-2</v>
      </c>
      <c r="P4987">
        <v>0.97680279999999997</v>
      </c>
      <c r="Q4987">
        <v>4.2308520000000002E-2</v>
      </c>
      <c r="R4987">
        <v>0.20992</v>
      </c>
      <c r="S4987">
        <v>2.7954249999999998</v>
      </c>
      <c r="T4987">
        <v>-0.1769838</v>
      </c>
      <c r="U4987">
        <v>1.3253779999999999</v>
      </c>
      <c r="V4987">
        <v>-0.19491029999999901</v>
      </c>
      <c r="W4987">
        <v>4.9368170000000003E-2</v>
      </c>
      <c r="X4987">
        <v>0.97957780000000005</v>
      </c>
      <c r="Y4987">
        <v>-0.4137229</v>
      </c>
      <c r="Z4987">
        <v>1.1494030000000001E-2</v>
      </c>
      <c r="AA4987">
        <v>0.91033030000000004</v>
      </c>
      <c r="AB4987">
        <v>39</v>
      </c>
      <c r="AC4987">
        <v>0.75680000000002601</v>
      </c>
      <c r="AD4987">
        <v>-6.1116999999999803E-2</v>
      </c>
      <c r="AE4987">
        <v>0.453650000000003</v>
      </c>
      <c r="AF4987">
        <v>-0.439771067953587</v>
      </c>
      <c r="AG4987">
        <v>-6.1116999999999803E-2</v>
      </c>
      <c r="AH4987">
        <v>0.76008474286384997</v>
      </c>
      <c r="AI4987">
        <v>93.981271798371296</v>
      </c>
      <c r="AJ4987">
        <v>120.052885534433</v>
      </c>
      <c r="AK4987">
        <v>0.88026285632897405</v>
      </c>
    </row>
    <row r="4988" spans="1:37" x14ac:dyDescent="0.2">
      <c r="A4988" t="str">
        <f>"20200111154200097"</f>
        <v>20200111154200097</v>
      </c>
      <c r="B4988" t="str">
        <f>"1578728520091047"</f>
        <v>1578728520091047</v>
      </c>
      <c r="C4988" t="s">
        <v>37</v>
      </c>
      <c r="D4988">
        <v>4.7397479999999996</v>
      </c>
      <c r="E4988">
        <v>0.4084487</v>
      </c>
      <c r="F4988" t="s">
        <v>38</v>
      </c>
      <c r="G4988">
        <v>-228.00190000000001</v>
      </c>
      <c r="H4988">
        <v>1.047137</v>
      </c>
      <c r="I4988">
        <v>-62.902409999999897</v>
      </c>
      <c r="J4988">
        <v>-228.80510000000001</v>
      </c>
      <c r="K4988">
        <v>1.110878</v>
      </c>
      <c r="L4988">
        <v>-63.374969999999998</v>
      </c>
      <c r="M4988">
        <v>0.999839699999999</v>
      </c>
      <c r="N4988">
        <v>0</v>
      </c>
      <c r="O4988">
        <v>1.5990560000000001E-2</v>
      </c>
      <c r="P4988">
        <v>0.97644140000000001</v>
      </c>
      <c r="Q4988">
        <v>4.2022030000000002E-2</v>
      </c>
      <c r="R4988">
        <v>0.211651899999999</v>
      </c>
      <c r="S4988">
        <v>2.7928470000000001</v>
      </c>
      <c r="T4988">
        <v>-0.17812629999999999</v>
      </c>
      <c r="U4988">
        <v>1.3313600000000001</v>
      </c>
      <c r="V4988">
        <v>-0.19614690000000001</v>
      </c>
      <c r="W4988">
        <v>4.9383870000000003E-2</v>
      </c>
      <c r="X4988">
        <v>0.97933019999999904</v>
      </c>
      <c r="Y4988">
        <v>-0.41516149999999902</v>
      </c>
      <c r="Z4988">
        <v>1.15853E-2</v>
      </c>
      <c r="AA4988">
        <v>0.90967399999999998</v>
      </c>
      <c r="AB4988">
        <v>39</v>
      </c>
      <c r="AC4988">
        <v>0.80320000000000302</v>
      </c>
      <c r="AD4988">
        <v>-6.3741000000000006E-2</v>
      </c>
      <c r="AE4988">
        <v>0.47256000000000098</v>
      </c>
      <c r="AF4988">
        <v>-0.45751510780994897</v>
      </c>
      <c r="AG4988">
        <v>-6.3741000000000006E-2</v>
      </c>
      <c r="AH4988">
        <v>0.80687914808754302</v>
      </c>
      <c r="AI4988">
        <v>93.931113965821595</v>
      </c>
      <c r="AJ4988">
        <v>119.554022825288</v>
      </c>
      <c r="AK4988">
        <v>0.92975101429029305</v>
      </c>
    </row>
    <row r="4989" spans="1:37" x14ac:dyDescent="0.2">
      <c r="A4989" t="str">
        <f>"20200111154200109"</f>
        <v>20200111154200109</v>
      </c>
      <c r="B4989" t="str">
        <f>"1578728520100807"</f>
        <v>1578728520100807</v>
      </c>
      <c r="C4989" t="s">
        <v>37</v>
      </c>
      <c r="D4989">
        <v>4.7152959999999897</v>
      </c>
      <c r="E4989">
        <v>0.4082211</v>
      </c>
      <c r="F4989" t="s">
        <v>57</v>
      </c>
      <c r="G4989">
        <v>-211.63290000000001</v>
      </c>
      <c r="H4989" s="1">
        <v>-9.1972489999999997E-7</v>
      </c>
      <c r="I4989">
        <v>-55.15484</v>
      </c>
      <c r="J4989">
        <v>-228.6069</v>
      </c>
      <c r="K4989">
        <v>1.11093</v>
      </c>
      <c r="L4989">
        <v>-63.371339999999996</v>
      </c>
      <c r="M4989">
        <v>0.99982859999999996</v>
      </c>
      <c r="N4989">
        <v>0</v>
      </c>
      <c r="O4989">
        <v>1.6510469999999999E-2</v>
      </c>
      <c r="P4989">
        <v>0.97602180000000005</v>
      </c>
      <c r="Q4989">
        <v>4.183307E-2</v>
      </c>
      <c r="R4989">
        <v>0.2136159</v>
      </c>
      <c r="S4989">
        <v>2.7906040000000001</v>
      </c>
      <c r="T4989">
        <v>-0.1805252</v>
      </c>
      <c r="U4989">
        <v>1.335815</v>
      </c>
      <c r="V4989">
        <v>-0.19760810000000001</v>
      </c>
      <c r="W4989">
        <v>4.9504380000000001E-2</v>
      </c>
      <c r="X4989">
        <v>0.97903030000000002</v>
      </c>
      <c r="Y4989">
        <v>-0.41613549999999899</v>
      </c>
      <c r="Z4989">
        <v>1.1743770000000001E-2</v>
      </c>
      <c r="AA4989">
        <v>0.90922669999999906</v>
      </c>
      <c r="AB4989">
        <v>39</v>
      </c>
      <c r="AC4989">
        <v>16.973999999999901</v>
      </c>
      <c r="AD4989">
        <v>-1.11093091972489</v>
      </c>
      <c r="AE4989">
        <v>8.2164999999999999</v>
      </c>
      <c r="AF4989">
        <v>-7.9076786465333599</v>
      </c>
      <c r="AG4989">
        <v>-1.11093091972489</v>
      </c>
      <c r="AH4989">
        <v>17.048185287538001</v>
      </c>
      <c r="AI4989">
        <v>93.383073496888002</v>
      </c>
      <c r="AJ4989">
        <v>114.88389019381501</v>
      </c>
      <c r="AK4989">
        <v>18.825678491981801</v>
      </c>
    </row>
    <row r="4990" spans="1:37" x14ac:dyDescent="0.2">
      <c r="A4990" t="str">
        <f>"20200111154200120"</f>
        <v>20200111154200120</v>
      </c>
      <c r="B4990" t="str">
        <f>"1578728520110567"</f>
        <v>1578728520110567</v>
      </c>
      <c r="C4990" t="s">
        <v>37</v>
      </c>
      <c r="D4990">
        <v>4.7315860000000001</v>
      </c>
      <c r="E4990">
        <v>0.40828120000000001</v>
      </c>
      <c r="F4990" t="s">
        <v>38</v>
      </c>
      <c r="G4990">
        <v>-227.65010000000001</v>
      </c>
      <c r="H4990">
        <v>1.0493760000000001</v>
      </c>
      <c r="I4990">
        <v>-62.910449999999997</v>
      </c>
      <c r="J4990">
        <v>-228.417</v>
      </c>
      <c r="K4990">
        <v>1.1109739999999999</v>
      </c>
      <c r="L4990">
        <v>-63.367800000000003</v>
      </c>
      <c r="M4990">
        <v>0.99981769999999903</v>
      </c>
      <c r="N4990">
        <v>0</v>
      </c>
      <c r="O4990">
        <v>1.7009369999999999E-2</v>
      </c>
      <c r="P4990">
        <v>0.97560199999999997</v>
      </c>
      <c r="Q4990">
        <v>4.1267449999999997E-2</v>
      </c>
      <c r="R4990">
        <v>0.21563370000000001</v>
      </c>
      <c r="S4990">
        <v>2.7874759999999998</v>
      </c>
      <c r="T4990">
        <v>-0.17933959999999999</v>
      </c>
      <c r="U4990">
        <v>1.342957</v>
      </c>
      <c r="V4990">
        <v>-0.19914309999999999</v>
      </c>
      <c r="W4990">
        <v>4.9237660000000003E-2</v>
      </c>
      <c r="X4990">
        <v>0.97873269999999901</v>
      </c>
      <c r="Y4990">
        <v>-0.41797709999999999</v>
      </c>
      <c r="Z4990">
        <v>1.1698210000000001E-2</v>
      </c>
      <c r="AA4990">
        <v>0.90838220000000003</v>
      </c>
      <c r="AB4990">
        <v>39</v>
      </c>
      <c r="AC4990">
        <v>0.76689999999999203</v>
      </c>
      <c r="AD4990">
        <v>-6.1597999999999799E-2</v>
      </c>
      <c r="AE4990">
        <v>0.45735000000000497</v>
      </c>
      <c r="AF4990">
        <v>-0.44213476706105098</v>
      </c>
      <c r="AG4990">
        <v>-6.1597999999999799E-2</v>
      </c>
      <c r="AH4990">
        <v>0.77089991693276605</v>
      </c>
      <c r="AI4990">
        <v>93.965015770619004</v>
      </c>
      <c r="AJ4990">
        <v>119.835594533449</v>
      </c>
      <c r="AK4990">
        <v>0.89082217517026197</v>
      </c>
    </row>
    <row r="4991" spans="1:37" x14ac:dyDescent="0.2">
      <c r="A4991" t="str">
        <f>"20200111154200131"</f>
        <v>20200111154200131</v>
      </c>
      <c r="B4991" t="str">
        <f>"1578728520121304"</f>
        <v>1578728520121304</v>
      </c>
      <c r="C4991" t="s">
        <v>37</v>
      </c>
      <c r="D4991">
        <v>4.752605</v>
      </c>
      <c r="E4991">
        <v>0.40823700000000002</v>
      </c>
      <c r="F4991" t="s">
        <v>57</v>
      </c>
      <c r="G4991">
        <v>-211.53049999999999</v>
      </c>
      <c r="H4991" s="1">
        <v>-8.7444399999999999E-7</v>
      </c>
      <c r="I4991">
        <v>-55.194069999999897</v>
      </c>
      <c r="J4991">
        <v>-228.22829999999999</v>
      </c>
      <c r="K4991">
        <v>1.1110100000000001</v>
      </c>
      <c r="L4991">
        <v>-63.364139999999999</v>
      </c>
      <c r="M4991">
        <v>0.99980639999999998</v>
      </c>
      <c r="N4991">
        <v>0</v>
      </c>
      <c r="O4991">
        <v>1.7507289999999998E-2</v>
      </c>
      <c r="P4991">
        <v>0.97518519999999898</v>
      </c>
      <c r="Q4991">
        <v>4.0793570000000001E-2</v>
      </c>
      <c r="R4991">
        <v>0.21759980000000001</v>
      </c>
      <c r="S4991">
        <v>2.7848359999999999</v>
      </c>
      <c r="T4991">
        <v>-0.1832165</v>
      </c>
      <c r="U4991">
        <v>1.347961</v>
      </c>
      <c r="V4991">
        <v>-0.2006269</v>
      </c>
      <c r="W4991">
        <v>4.9051450000000003E-2</v>
      </c>
      <c r="X4991">
        <v>0.97843899999999995</v>
      </c>
      <c r="Y4991">
        <v>-0.41915360000000002</v>
      </c>
      <c r="Z4991">
        <v>1.196209E-2</v>
      </c>
      <c r="AA4991">
        <v>0.90783659999999999</v>
      </c>
      <c r="AB4991">
        <v>39</v>
      </c>
      <c r="AC4991">
        <v>16.697800000000001</v>
      </c>
      <c r="AD4991">
        <v>-1.1110108744439999</v>
      </c>
      <c r="AE4991">
        <v>8.1700700000000008</v>
      </c>
      <c r="AF4991">
        <v>-7.8484385020307803</v>
      </c>
      <c r="AG4991">
        <v>-1.1110108744439999</v>
      </c>
      <c r="AH4991">
        <v>16.778350804734401</v>
      </c>
      <c r="AI4991">
        <v>93.432445194980502</v>
      </c>
      <c r="AJ4991">
        <v>115.06886497745499</v>
      </c>
      <c r="AK4991">
        <v>18.556545686361599</v>
      </c>
    </row>
    <row r="4992" spans="1:37" x14ac:dyDescent="0.2">
      <c r="A4992" t="str">
        <f>"20200111154200141"</f>
        <v>20200111154200141</v>
      </c>
      <c r="B4992" t="str">
        <f>"1578728520131065"</f>
        <v>1578728520131065</v>
      </c>
      <c r="C4992" t="s">
        <v>37</v>
      </c>
      <c r="D4992">
        <v>4.7716529999999997</v>
      </c>
      <c r="E4992">
        <v>0.4077808</v>
      </c>
      <c r="F4992" t="s">
        <v>38</v>
      </c>
      <c r="G4992">
        <v>-227.3</v>
      </c>
      <c r="H4992">
        <v>1.048961</v>
      </c>
      <c r="I4992">
        <v>-62.912480000000002</v>
      </c>
      <c r="J4992">
        <v>-228.04310000000001</v>
      </c>
      <c r="K4992">
        <v>1.1110389999999899</v>
      </c>
      <c r="L4992">
        <v>-63.360500000000002</v>
      </c>
      <c r="M4992">
        <v>0.99979499999999999</v>
      </c>
      <c r="N4992">
        <v>0</v>
      </c>
      <c r="O4992">
        <v>1.799649E-2</v>
      </c>
      <c r="P4992">
        <v>0.97475619999999996</v>
      </c>
      <c r="Q4992">
        <v>4.0294829999999997E-2</v>
      </c>
      <c r="R4992">
        <v>0.219606</v>
      </c>
      <c r="S4992">
        <v>2.782089</v>
      </c>
      <c r="T4992">
        <v>-0.1859604</v>
      </c>
      <c r="U4992">
        <v>1.3536680000000001</v>
      </c>
      <c r="V4992">
        <v>-0.20216099999999901</v>
      </c>
      <c r="W4992">
        <v>4.8831409999999999E-2</v>
      </c>
      <c r="X4992">
        <v>0.97813419999999895</v>
      </c>
      <c r="Y4992">
        <v>-0.42054409999999998</v>
      </c>
      <c r="Z4992">
        <v>1.2159629999999999E-2</v>
      </c>
      <c r="AA4992">
        <v>0.90719059999999996</v>
      </c>
      <c r="AB4992">
        <v>39</v>
      </c>
      <c r="AC4992">
        <v>0.74309999999999798</v>
      </c>
      <c r="AD4992">
        <v>-6.20779999999998E-2</v>
      </c>
      <c r="AE4992">
        <v>0.44801999999999897</v>
      </c>
      <c r="AF4992">
        <v>-0.43236071196943499</v>
      </c>
      <c r="AG4992">
        <v>-6.20779999999998E-2</v>
      </c>
      <c r="AH4992">
        <v>0.74721828184260597</v>
      </c>
      <c r="AI4992">
        <v>94.112977839621095</v>
      </c>
      <c r="AJ4992">
        <v>120.054835386481</v>
      </c>
      <c r="AK4992">
        <v>0.86551985769162598</v>
      </c>
    </row>
    <row r="4993" spans="1:37" x14ac:dyDescent="0.2">
      <c r="A4993" t="str">
        <f>"20200111154200153"</f>
        <v>20200111154200153</v>
      </c>
      <c r="B4993" t="str">
        <f>"1578728520150584"</f>
        <v>1578728520150584</v>
      </c>
      <c r="C4993" t="s">
        <v>37</v>
      </c>
      <c r="D4993">
        <v>4.728402</v>
      </c>
      <c r="E4993">
        <v>0.4071592</v>
      </c>
      <c r="F4993" t="s">
        <v>57</v>
      </c>
      <c r="G4993">
        <v>-211.8707</v>
      </c>
      <c r="H4993" s="1">
        <v>-9.2740399999999895E-7</v>
      </c>
      <c r="I4993">
        <v>-55.430160000000001</v>
      </c>
      <c r="J4993">
        <v>-227.84739999999999</v>
      </c>
      <c r="K4993">
        <v>1.111065</v>
      </c>
      <c r="L4993">
        <v>-63.35651</v>
      </c>
      <c r="M4993">
        <v>0.99978289999999903</v>
      </c>
      <c r="N4993">
        <v>0</v>
      </c>
      <c r="O4993">
        <v>1.851533E-2</v>
      </c>
      <c r="P4993">
        <v>0.97431919999999905</v>
      </c>
      <c r="Q4993">
        <v>3.9639130000000002E-2</v>
      </c>
      <c r="R4993">
        <v>0.22165499999999999</v>
      </c>
      <c r="S4993">
        <v>2.77861</v>
      </c>
      <c r="T4993">
        <v>-0.1908898</v>
      </c>
      <c r="U4993">
        <v>1.3625179999999999</v>
      </c>
      <c r="V4993">
        <v>-0.20370829999999901</v>
      </c>
      <c r="W4993">
        <v>4.8452299999999997E-2</v>
      </c>
      <c r="X4993">
        <v>0.97783199999999904</v>
      </c>
      <c r="Y4993">
        <v>-0.42280849999999998</v>
      </c>
      <c r="Z4993">
        <v>1.252701E-2</v>
      </c>
      <c r="AA4993">
        <v>0.90613250000000001</v>
      </c>
      <c r="AB4993">
        <v>39</v>
      </c>
      <c r="AC4993">
        <v>15.9766999999999</v>
      </c>
      <c r="AD4993">
        <v>-1.111065927404</v>
      </c>
      <c r="AE4993">
        <v>7.9263499999999896</v>
      </c>
      <c r="AF4993">
        <v>-7.5996696191582203</v>
      </c>
      <c r="AG4993">
        <v>-1.111065927404</v>
      </c>
      <c r="AH4993">
        <v>16.058404425469199</v>
      </c>
      <c r="AI4993">
        <v>93.578573322532904</v>
      </c>
      <c r="AJ4993">
        <v>115.32593991792599</v>
      </c>
      <c r="AK4993">
        <v>17.800612307089999</v>
      </c>
    </row>
    <row r="4994" spans="1:37" x14ac:dyDescent="0.2">
      <c r="A4994" t="str">
        <f>"20200111154200164"</f>
        <v>20200111154200164</v>
      </c>
      <c r="B4994" t="str">
        <f>"1578728520161319"</f>
        <v>1578728520161319</v>
      </c>
      <c r="C4994" t="s">
        <v>37</v>
      </c>
      <c r="D4994">
        <v>4.7517170000000002</v>
      </c>
      <c r="E4994">
        <v>0.40685890000000002</v>
      </c>
      <c r="F4994" t="s">
        <v>38</v>
      </c>
      <c r="G4994">
        <v>-226.94980000000001</v>
      </c>
      <c r="H4994">
        <v>1.047026</v>
      </c>
      <c r="I4994">
        <v>-62.912599999999998</v>
      </c>
      <c r="J4994">
        <v>-227.65190000000001</v>
      </c>
      <c r="K4994">
        <v>1.1110879999999901</v>
      </c>
      <c r="L4994">
        <v>-63.352449999999997</v>
      </c>
      <c r="M4994">
        <v>0.99977039999999995</v>
      </c>
      <c r="N4994">
        <v>0</v>
      </c>
      <c r="O4994">
        <v>1.9033970000000001E-2</v>
      </c>
      <c r="P4994">
        <v>0.97389359999999903</v>
      </c>
      <c r="Q4994">
        <v>3.9059530000000002E-2</v>
      </c>
      <c r="R4994">
        <v>0.2236195</v>
      </c>
      <c r="S4994">
        <v>2.774826</v>
      </c>
      <c r="T4994">
        <v>-0.19797919999999999</v>
      </c>
      <c r="U4994">
        <v>1.3727719999999899</v>
      </c>
      <c r="V4994">
        <v>-0.20517199999999999</v>
      </c>
      <c r="W4994">
        <v>4.814367E-2</v>
      </c>
      <c r="X4994">
        <v>0.97754110000000005</v>
      </c>
      <c r="Y4994">
        <v>-0.42545649999999902</v>
      </c>
      <c r="Z4994">
        <v>1.3051470000000001E-2</v>
      </c>
      <c r="AA4994">
        <v>0.90488480000000004</v>
      </c>
      <c r="AB4994">
        <v>39</v>
      </c>
      <c r="AC4994">
        <v>0.70210000000000095</v>
      </c>
      <c r="AD4994">
        <v>-6.40619999999998E-2</v>
      </c>
      <c r="AE4994">
        <v>0.43984999999999902</v>
      </c>
      <c r="AF4994">
        <v>-0.42387165595943999</v>
      </c>
      <c r="AG4994">
        <v>-6.40619999999998E-2</v>
      </c>
      <c r="AH4994">
        <v>0.70612350184084705</v>
      </c>
      <c r="AI4994">
        <v>94.447805404766896</v>
      </c>
      <c r="AJ4994">
        <v>120.9755417375</v>
      </c>
      <c r="AK4994">
        <v>0.82606387187782204</v>
      </c>
    </row>
    <row r="4995" spans="1:37" x14ac:dyDescent="0.2">
      <c r="A4995" t="str">
        <f>"20200111154200176"</f>
        <v>20200111154200176</v>
      </c>
      <c r="B4995" t="str">
        <f>"1578728520171079"</f>
        <v>1578728520171079</v>
      </c>
      <c r="C4995" t="s">
        <v>37</v>
      </c>
      <c r="D4995">
        <v>4.7625839999999897</v>
      </c>
      <c r="E4995">
        <v>0.4066187</v>
      </c>
      <c r="F4995" t="s">
        <v>38</v>
      </c>
      <c r="G4995">
        <v>-226.61869999999999</v>
      </c>
      <c r="H4995">
        <v>1.035893</v>
      </c>
      <c r="I4995">
        <v>-62.837780000000002</v>
      </c>
      <c r="J4995">
        <v>-227.4324</v>
      </c>
      <c r="K4995">
        <v>1.111111</v>
      </c>
      <c r="L4995">
        <v>-63.347719999999903</v>
      </c>
      <c r="M4995">
        <v>0.99975599999999998</v>
      </c>
      <c r="N4995">
        <v>0</v>
      </c>
      <c r="O4995">
        <v>1.961947E-2</v>
      </c>
      <c r="P4995">
        <v>0.97341309999999903</v>
      </c>
      <c r="Q4995">
        <v>3.8497950000000003E-2</v>
      </c>
      <c r="R4995">
        <v>0.22579850000000001</v>
      </c>
      <c r="S4995">
        <v>2.7715610000000002</v>
      </c>
      <c r="T4995">
        <v>-0.20171689999999901</v>
      </c>
      <c r="U4995">
        <v>1.3804019999999999</v>
      </c>
      <c r="V4995">
        <v>-0.20678589999999999</v>
      </c>
      <c r="W4995">
        <v>4.7863620000000003E-2</v>
      </c>
      <c r="X4995">
        <v>0.97721480000000005</v>
      </c>
      <c r="Y4995">
        <v>-0.42731269999999999</v>
      </c>
      <c r="Z4995">
        <v>1.332729E-2</v>
      </c>
      <c r="AA4995">
        <v>0.90400559999999996</v>
      </c>
      <c r="AB4995">
        <v>39</v>
      </c>
      <c r="AC4995">
        <v>0.81370000000001097</v>
      </c>
      <c r="AD4995">
        <v>-7.5217999999999993E-2</v>
      </c>
      <c r="AE4995">
        <v>0.50993999999999295</v>
      </c>
      <c r="AF4995">
        <v>-0.49086499300495301</v>
      </c>
      <c r="AG4995">
        <v>-7.5217999999999993E-2</v>
      </c>
      <c r="AH4995">
        <v>0.81852663340346499</v>
      </c>
      <c r="AI4995">
        <v>94.506134758304299</v>
      </c>
      <c r="AJ4995">
        <v>120.950836578642</v>
      </c>
      <c r="AK4995">
        <v>0.95738813365978404</v>
      </c>
    </row>
    <row r="4996" spans="1:37" x14ac:dyDescent="0.2">
      <c r="A4996" t="str">
        <f>"20200111154200187"</f>
        <v>20200111154200187</v>
      </c>
      <c r="B4996" t="str">
        <f>"1578728520180839"</f>
        <v>1578728520180839</v>
      </c>
      <c r="C4996" t="s">
        <v>37</v>
      </c>
      <c r="D4996">
        <v>4.7531140000000001</v>
      </c>
      <c r="E4996">
        <v>0.40644359999999902</v>
      </c>
      <c r="F4996" t="s">
        <v>38</v>
      </c>
      <c r="G4996">
        <v>-226.5224</v>
      </c>
      <c r="H4996">
        <v>1.0435559999999999</v>
      </c>
      <c r="I4996">
        <v>-62.891289999999998</v>
      </c>
      <c r="J4996">
        <v>-227.24930000000001</v>
      </c>
      <c r="K4996">
        <v>1.1111279999999999</v>
      </c>
      <c r="L4996">
        <v>-63.343719999999998</v>
      </c>
      <c r="M4996">
        <v>0.99974379999999996</v>
      </c>
      <c r="N4996">
        <v>0</v>
      </c>
      <c r="O4996">
        <v>2.0109080000000001E-2</v>
      </c>
      <c r="P4996">
        <v>0.97302730000000004</v>
      </c>
      <c r="Q4996">
        <v>3.8117890000000001E-2</v>
      </c>
      <c r="R4996">
        <v>0.22751939999999901</v>
      </c>
      <c r="S4996">
        <v>2.7680660000000001</v>
      </c>
      <c r="T4996">
        <v>-0.2054994</v>
      </c>
      <c r="U4996">
        <v>1.388153</v>
      </c>
      <c r="V4996">
        <v>-0.2080351</v>
      </c>
      <c r="W4996">
        <v>4.7710719999999998E-2</v>
      </c>
      <c r="X4996">
        <v>0.97695710000000002</v>
      </c>
      <c r="Y4996">
        <v>-0.42931279999999999</v>
      </c>
      <c r="Z4996">
        <v>1.361974E-2</v>
      </c>
      <c r="AA4996">
        <v>0.903053199999999</v>
      </c>
      <c r="AB4996">
        <v>39</v>
      </c>
      <c r="AC4996">
        <v>0.72689999999999999</v>
      </c>
      <c r="AD4996">
        <v>-6.7572000000000104E-2</v>
      </c>
      <c r="AE4996">
        <v>0.45242999999999201</v>
      </c>
      <c r="AF4996">
        <v>-0.43501095525914801</v>
      </c>
      <c r="AG4996">
        <v>-6.7572000000000104E-2</v>
      </c>
      <c r="AH4996">
        <v>0.73129655267660698</v>
      </c>
      <c r="AI4996">
        <v>94.540471145076296</v>
      </c>
      <c r="AJ4996">
        <v>120.74625161467701</v>
      </c>
      <c r="AK4996">
        <v>0.85357785487685001</v>
      </c>
    </row>
    <row r="4997" spans="1:37" x14ac:dyDescent="0.2">
      <c r="A4997" t="str">
        <f>"20200111154200197"</f>
        <v>20200111154200197</v>
      </c>
      <c r="B4997" t="str">
        <f>"1578728520190599"</f>
        <v>1578728520190599</v>
      </c>
      <c r="C4997" t="s">
        <v>37</v>
      </c>
      <c r="D4997">
        <v>4.7891510000000004</v>
      </c>
      <c r="E4997">
        <v>0.406228599999999</v>
      </c>
      <c r="F4997" t="s">
        <v>38</v>
      </c>
      <c r="G4997">
        <v>-226.2671</v>
      </c>
      <c r="H4997">
        <v>1.03699599999999</v>
      </c>
      <c r="I4997">
        <v>-62.848689999999998</v>
      </c>
      <c r="J4997">
        <v>-227.0573</v>
      </c>
      <c r="K4997">
        <v>1.1111420000000001</v>
      </c>
      <c r="L4997">
        <v>-63.339419999999997</v>
      </c>
      <c r="M4997">
        <v>0.99973089999999998</v>
      </c>
      <c r="N4997">
        <v>0</v>
      </c>
      <c r="O4997">
        <v>2.0624360000000001E-2</v>
      </c>
      <c r="P4997">
        <v>0.97260159999999996</v>
      </c>
      <c r="Q4997">
        <v>3.721874E-2</v>
      </c>
      <c r="R4997">
        <v>0.2294802</v>
      </c>
      <c r="S4997">
        <v>2.76536599999999</v>
      </c>
      <c r="T4997">
        <v>-0.20872679999999999</v>
      </c>
      <c r="U4997">
        <v>1.394104</v>
      </c>
      <c r="V4997">
        <v>-0.2094992</v>
      </c>
      <c r="W4997">
        <v>4.703533E-2</v>
      </c>
      <c r="X4997">
        <v>0.97667689999999996</v>
      </c>
      <c r="Y4997">
        <v>-0.4307204</v>
      </c>
      <c r="Z4997">
        <v>1.3852389999999999E-2</v>
      </c>
      <c r="AA4997">
        <v>0.90237919999999905</v>
      </c>
      <c r="AB4997">
        <v>39</v>
      </c>
      <c r="AC4997">
        <v>0.79019999999999802</v>
      </c>
      <c r="AD4997">
        <v>-7.4146000000000198E-2</v>
      </c>
      <c r="AE4997">
        <v>0.49072999999999201</v>
      </c>
      <c r="AF4997">
        <v>-0.47133250245431302</v>
      </c>
      <c r="AG4997">
        <v>-7.4146000000000198E-2</v>
      </c>
      <c r="AH4997">
        <v>0.79510144029060104</v>
      </c>
      <c r="AI4997">
        <v>94.586335953439203</v>
      </c>
      <c r="AJ4997">
        <v>120.65926857071599</v>
      </c>
      <c r="AK4997">
        <v>0.92727463975784097</v>
      </c>
    </row>
    <row r="4998" spans="1:37" x14ac:dyDescent="0.2">
      <c r="A4998" t="str">
        <f>"20200111154200209"</f>
        <v>20200111154200209</v>
      </c>
      <c r="B4998" t="str">
        <f>"1578728520201335"</f>
        <v>1578728520201335</v>
      </c>
      <c r="C4998" t="s">
        <v>37</v>
      </c>
      <c r="D4998">
        <v>4.7719509999999996</v>
      </c>
      <c r="E4998">
        <v>0.40607959999999999</v>
      </c>
      <c r="F4998" t="s">
        <v>57</v>
      </c>
      <c r="G4998">
        <v>-212.6463</v>
      </c>
      <c r="H4998" s="1">
        <v>-1.031985E-6</v>
      </c>
      <c r="I4998">
        <v>-56.02901</v>
      </c>
      <c r="J4998">
        <v>-226.86840000000001</v>
      </c>
      <c r="K4998">
        <v>1.111156</v>
      </c>
      <c r="L4998">
        <v>-63.335079999999998</v>
      </c>
      <c r="M4998">
        <v>0.99971779999999999</v>
      </c>
      <c r="N4998">
        <v>0</v>
      </c>
      <c r="O4998">
        <v>2.113696E-2</v>
      </c>
      <c r="P4998">
        <v>0.97217430000000005</v>
      </c>
      <c r="Q4998">
        <v>3.6564300000000001E-2</v>
      </c>
      <c r="R4998">
        <v>0.2313876</v>
      </c>
      <c r="S4998">
        <v>2.76207</v>
      </c>
      <c r="T4998">
        <v>-0.21296489999999901</v>
      </c>
      <c r="U4998">
        <v>1.4011229999999999</v>
      </c>
      <c r="V4998">
        <v>-0.2109132</v>
      </c>
      <c r="W4998">
        <v>4.6588539999999998E-2</v>
      </c>
      <c r="X4998">
        <v>0.97639390000000004</v>
      </c>
      <c r="Y4998">
        <v>-0.43247370000000002</v>
      </c>
      <c r="Z4998">
        <v>1.416689E-2</v>
      </c>
      <c r="AA4998">
        <v>0.90153519999999898</v>
      </c>
      <c r="AB4998">
        <v>39</v>
      </c>
      <c r="AC4998">
        <v>14.222099999999999</v>
      </c>
      <c r="AD4998">
        <v>-1.1111570319849999</v>
      </c>
      <c r="AE4998">
        <v>7.3060700000000001</v>
      </c>
      <c r="AF4998">
        <v>-6.9701449628901297</v>
      </c>
      <c r="AG4998">
        <v>-1.1111570319849999</v>
      </c>
      <c r="AH4998">
        <v>14.3042756163627</v>
      </c>
      <c r="AI4998">
        <v>93.994531784562398</v>
      </c>
      <c r="AJ4998">
        <v>115.978910632875</v>
      </c>
      <c r="AK4998">
        <v>15.9508586496872</v>
      </c>
    </row>
    <row r="4999" spans="1:37" x14ac:dyDescent="0.2">
      <c r="A4999" t="str">
        <f>"20200111154200219"</f>
        <v>20200111154200219</v>
      </c>
      <c r="B4999" t="str">
        <f>"1578728520211095"</f>
        <v>1578728520211095</v>
      </c>
      <c r="C4999" t="s">
        <v>37</v>
      </c>
      <c r="D4999">
        <v>4.7812260000000002</v>
      </c>
      <c r="E4999">
        <v>0.40589320000000001</v>
      </c>
      <c r="F4999" t="s">
        <v>38</v>
      </c>
      <c r="G4999">
        <v>-225.91800000000001</v>
      </c>
      <c r="H4999">
        <v>1.0363500000000001</v>
      </c>
      <c r="I4999">
        <v>-62.850319999999897</v>
      </c>
      <c r="J4999">
        <v>-226.67779999999999</v>
      </c>
      <c r="K4999">
        <v>1.11117</v>
      </c>
      <c r="L4999">
        <v>-63.330599999999997</v>
      </c>
      <c r="M4999">
        <v>0.99970429999999999</v>
      </c>
      <c r="N4999">
        <v>0</v>
      </c>
      <c r="O4999">
        <v>2.1657559999999999E-2</v>
      </c>
      <c r="P4999">
        <v>0.97186469999999903</v>
      </c>
      <c r="Q4999">
        <v>3.569692E-2</v>
      </c>
      <c r="R4999">
        <v>0.23281959999999999</v>
      </c>
      <c r="S4999">
        <v>2.7590939999999899</v>
      </c>
      <c r="T4999">
        <v>-0.21715899999999999</v>
      </c>
      <c r="U4999">
        <v>1.4073180000000001</v>
      </c>
      <c r="V4999">
        <v>-0.211840999999999</v>
      </c>
      <c r="W4999">
        <v>4.592359E-2</v>
      </c>
      <c r="X4999">
        <v>0.976224599999999</v>
      </c>
      <c r="Y4999">
        <v>-0.43396220000000002</v>
      </c>
      <c r="Z4999">
        <v>1.446879E-2</v>
      </c>
      <c r="AA4999">
        <v>0.90081489999999997</v>
      </c>
      <c r="AB4999">
        <v>39</v>
      </c>
      <c r="AC4999">
        <v>0.75979999999998404</v>
      </c>
      <c r="AD4999">
        <v>-7.4819999999999803E-2</v>
      </c>
      <c r="AE4999">
        <v>0.48027999999999998</v>
      </c>
      <c r="AF4999">
        <v>-0.46052017416725999</v>
      </c>
      <c r="AG4999">
        <v>-7.4819999999999803E-2</v>
      </c>
      <c r="AH4999">
        <v>0.76472564751960803</v>
      </c>
      <c r="AI4999">
        <v>94.791029738855997</v>
      </c>
      <c r="AJ4999">
        <v>121.05648229824401</v>
      </c>
      <c r="AK4999">
        <v>0.895813696696655</v>
      </c>
    </row>
    <row r="5000" spans="1:37" x14ac:dyDescent="0.2">
      <c r="A5000" t="str">
        <f>"20200111154200231"</f>
        <v>20200111154200231</v>
      </c>
      <c r="B5000" t="str">
        <f>"1578728520220856"</f>
        <v>1578728520220856</v>
      </c>
      <c r="C5000" t="s">
        <v>37</v>
      </c>
      <c r="D5000">
        <v>4.7859730000000003</v>
      </c>
      <c r="E5000">
        <v>0.40567989999999998</v>
      </c>
      <c r="F5000" t="s">
        <v>57</v>
      </c>
      <c r="G5000">
        <v>-212.79669999999999</v>
      </c>
      <c r="H5000" s="1">
        <v>-1.033035E-6</v>
      </c>
      <c r="I5000">
        <v>-56.217440000000003</v>
      </c>
      <c r="J5000">
        <v>-226.4872</v>
      </c>
      <c r="K5000">
        <v>1.111186</v>
      </c>
      <c r="L5000">
        <v>-63.325989999999997</v>
      </c>
      <c r="M5000">
        <v>0.99969030000000003</v>
      </c>
      <c r="N5000">
        <v>0</v>
      </c>
      <c r="O5000">
        <v>2.21912999999999E-2</v>
      </c>
      <c r="P5000">
        <v>0.97144569999999997</v>
      </c>
      <c r="Q5000">
        <v>3.5197840000000001E-2</v>
      </c>
      <c r="R5000">
        <v>0.234636499999999</v>
      </c>
      <c r="S5000">
        <v>2.7565459999999899</v>
      </c>
      <c r="T5000">
        <v>-0.2206591</v>
      </c>
      <c r="U5000">
        <v>1.4125369999999999</v>
      </c>
      <c r="V5000">
        <v>-0.21314539999999901</v>
      </c>
      <c r="W5000">
        <v>4.5607309999999998E-2</v>
      </c>
      <c r="X5000">
        <v>0.97595540000000003</v>
      </c>
      <c r="Y5000">
        <v>-0.43513489999999999</v>
      </c>
      <c r="Z5000">
        <v>1.471158E-2</v>
      </c>
      <c r="AA5000">
        <v>0.90024509999999902</v>
      </c>
      <c r="AB5000">
        <v>39</v>
      </c>
      <c r="AC5000">
        <v>13.6905</v>
      </c>
      <c r="AD5000">
        <v>-1.111187033035</v>
      </c>
      <c r="AE5000">
        <v>7.1085500000000001</v>
      </c>
      <c r="AF5000">
        <v>-6.7678528574719703</v>
      </c>
      <c r="AG5000">
        <v>-1.111187033035</v>
      </c>
      <c r="AH5000">
        <v>13.7734184624883</v>
      </c>
      <c r="AI5000">
        <v>94.141398743904702</v>
      </c>
      <c r="AJ5000">
        <v>116.16814479695999</v>
      </c>
      <c r="AK5000">
        <v>15.386540386506301</v>
      </c>
    </row>
    <row r="5001" spans="1:37" x14ac:dyDescent="0.2">
      <c r="A5001" t="str">
        <f>"20200111154200242"</f>
        <v>20200111154200242</v>
      </c>
      <c r="B5001" t="str">
        <f>"1578728520230615"</f>
        <v>1578728520230615</v>
      </c>
      <c r="C5001" t="s">
        <v>37</v>
      </c>
      <c r="D5001">
        <v>4.7955940000000004</v>
      </c>
      <c r="E5001">
        <v>0.40560249999999998</v>
      </c>
      <c r="F5001" t="s">
        <v>38</v>
      </c>
      <c r="G5001">
        <v>-225.56880000000001</v>
      </c>
      <c r="H5001">
        <v>1.0366139999999999</v>
      </c>
      <c r="I5001">
        <v>-62.852600000000002</v>
      </c>
      <c r="J5001">
        <v>-226.28899999999999</v>
      </c>
      <c r="K5001">
        <v>1.1112059999999999</v>
      </c>
      <c r="L5001">
        <v>-63.32114</v>
      </c>
      <c r="M5001">
        <v>0.99967549999999905</v>
      </c>
      <c r="N5001">
        <v>0</v>
      </c>
      <c r="O5001">
        <v>2.275054E-2</v>
      </c>
      <c r="P5001">
        <v>0.97108760000000005</v>
      </c>
      <c r="Q5001">
        <v>3.4582380000000003E-2</v>
      </c>
      <c r="R5001">
        <v>0.23620569999999999</v>
      </c>
      <c r="S5001">
        <v>2.7535099999999999</v>
      </c>
      <c r="T5001">
        <v>-0.2235712</v>
      </c>
      <c r="U5001">
        <v>1.4192199999999999</v>
      </c>
      <c r="V5001">
        <v>-0.21417610000000001</v>
      </c>
      <c r="W5001">
        <v>4.5178120000000002E-2</v>
      </c>
      <c r="X5001">
        <v>0.97574969999999905</v>
      </c>
      <c r="Y5001">
        <v>-0.43673079999999997</v>
      </c>
      <c r="Z5001">
        <v>1.493037E-2</v>
      </c>
      <c r="AA5001">
        <v>0.89946839999999995</v>
      </c>
      <c r="AB5001">
        <v>39</v>
      </c>
      <c r="AC5001">
        <v>0.72020000000000495</v>
      </c>
      <c r="AD5001">
        <v>-7.4591999999999894E-2</v>
      </c>
      <c r="AE5001">
        <v>0.46853999999999701</v>
      </c>
      <c r="AF5001">
        <v>-0.44865120277220299</v>
      </c>
      <c r="AG5001">
        <v>-7.4591999999999894E-2</v>
      </c>
      <c r="AH5001">
        <v>0.72520789551814302</v>
      </c>
      <c r="AI5001">
        <v>94.998960450310904</v>
      </c>
      <c r="AJ5001">
        <v>121.74308342772601</v>
      </c>
      <c r="AK5001">
        <v>0.85602474259497796</v>
      </c>
    </row>
    <row r="5002" spans="1:37" x14ac:dyDescent="0.2">
      <c r="A5002" t="str">
        <f>"20200111154200254"</f>
        <v>20200111154200254</v>
      </c>
      <c r="B5002" t="str">
        <f>"1578728520251111"</f>
        <v>1578728520251111</v>
      </c>
      <c r="C5002" t="s">
        <v>37</v>
      </c>
      <c r="D5002">
        <v>4.7755549999999998</v>
      </c>
      <c r="E5002">
        <v>0.40540490000000001</v>
      </c>
      <c r="F5002" t="s">
        <v>57</v>
      </c>
      <c r="G5002">
        <v>-212.82490000000001</v>
      </c>
      <c r="H5002" s="1">
        <v>-1.006907E-6</v>
      </c>
      <c r="I5002">
        <v>-56.351709999999997</v>
      </c>
      <c r="J5002">
        <v>-226.0976</v>
      </c>
      <c r="K5002">
        <v>1.1112280000000001</v>
      </c>
      <c r="L5002">
        <v>-63.316219999999902</v>
      </c>
      <c r="M5002">
        <v>0.99966039999999901</v>
      </c>
      <c r="N5002">
        <v>0</v>
      </c>
      <c r="O5002">
        <v>2.3315969999999998E-2</v>
      </c>
      <c r="P5002">
        <v>0.97073109999999996</v>
      </c>
      <c r="Q5002">
        <v>3.4078070000000002E-2</v>
      </c>
      <c r="R5002">
        <v>0.2377387</v>
      </c>
      <c r="S5002">
        <v>2.7510379999999999</v>
      </c>
      <c r="T5002">
        <v>-0.22704669999999999</v>
      </c>
      <c r="U5002">
        <v>1.4240109999999999</v>
      </c>
      <c r="V5002">
        <v>-0.2151652</v>
      </c>
      <c r="W5002">
        <v>4.4830370000000001E-2</v>
      </c>
      <c r="X5002">
        <v>0.97554810000000003</v>
      </c>
      <c r="Y5002">
        <v>-0.43775190000000003</v>
      </c>
      <c r="Z5002">
        <v>1.516409E-2</v>
      </c>
      <c r="AA5002">
        <v>0.89896790000000004</v>
      </c>
      <c r="AB5002">
        <v>39</v>
      </c>
      <c r="AC5002">
        <v>13.272699999999899</v>
      </c>
      <c r="AD5002">
        <v>-1.1112290069070001</v>
      </c>
      <c r="AE5002">
        <v>6.96450999999999</v>
      </c>
      <c r="AF5002">
        <v>-6.6167623992044504</v>
      </c>
      <c r="AG5002">
        <v>-1.1112290069070001</v>
      </c>
      <c r="AH5002">
        <v>13.358067707129999</v>
      </c>
      <c r="AI5002">
        <v>94.263169524356201</v>
      </c>
      <c r="AJ5002">
        <v>116.350975885078</v>
      </c>
      <c r="AK5002">
        <v>14.9483894591219</v>
      </c>
    </row>
    <row r="5003" spans="1:37" x14ac:dyDescent="0.2">
      <c r="A5003" t="str">
        <f>"20200111154200265"</f>
        <v>20200111154200265</v>
      </c>
      <c r="B5003" t="str">
        <f>"1578728520260871"</f>
        <v>1578728520260871</v>
      </c>
      <c r="C5003" t="s">
        <v>37</v>
      </c>
      <c r="D5003">
        <v>4.8838269999999904</v>
      </c>
      <c r="E5003">
        <v>0.40531729999999999</v>
      </c>
      <c r="F5003" t="s">
        <v>38</v>
      </c>
      <c r="G5003">
        <v>-225.21879999999999</v>
      </c>
      <c r="H5003">
        <v>1.0370299999999999</v>
      </c>
      <c r="I5003">
        <v>-62.859139999999996</v>
      </c>
      <c r="J5003">
        <v>-225.90190000000001</v>
      </c>
      <c r="K5003">
        <v>1.111254</v>
      </c>
      <c r="L5003">
        <v>-63.311219999999999</v>
      </c>
      <c r="M5003">
        <v>0.99964470000000005</v>
      </c>
      <c r="N5003">
        <v>0</v>
      </c>
      <c r="O5003">
        <v>2.390138E-2</v>
      </c>
      <c r="P5003">
        <v>0.97037299999999904</v>
      </c>
      <c r="Q5003">
        <v>3.3716070000000001E-2</v>
      </c>
      <c r="R5003">
        <v>0.2392476</v>
      </c>
      <c r="S5003">
        <v>2.74848899999999</v>
      </c>
      <c r="T5003">
        <v>-0.23206009999999999</v>
      </c>
      <c r="U5003">
        <v>1.4295959999999901</v>
      </c>
      <c r="V5003">
        <v>-0.21611239999999901</v>
      </c>
      <c r="W5003">
        <v>4.4624589999999999E-2</v>
      </c>
      <c r="X5003">
        <v>0.9753482</v>
      </c>
      <c r="Y5003">
        <v>-0.43895269999999997</v>
      </c>
      <c r="Z5003">
        <v>1.550521E-2</v>
      </c>
      <c r="AA5003">
        <v>0.89837639999999996</v>
      </c>
      <c r="AB5003">
        <v>39</v>
      </c>
      <c r="AC5003">
        <v>0.68310000000002402</v>
      </c>
      <c r="AD5003">
        <v>-7.4224000000000206E-2</v>
      </c>
      <c r="AE5003">
        <v>0.45207999999999499</v>
      </c>
      <c r="AF5003">
        <v>-0.43207514834007499</v>
      </c>
      <c r="AG5003">
        <v>-7.4224000000000206E-2</v>
      </c>
      <c r="AH5003">
        <v>0.68806164423435301</v>
      </c>
      <c r="AI5003">
        <v>95.219783012536197</v>
      </c>
      <c r="AJ5003">
        <v>122.127174822317</v>
      </c>
      <c r="AK5003">
        <v>0.81585964617425399</v>
      </c>
    </row>
    <row r="5004" spans="1:37" x14ac:dyDescent="0.2">
      <c r="A5004" t="str">
        <f>"20200111154200276"</f>
        <v>20200111154200276</v>
      </c>
      <c r="B5004" t="str">
        <f>"1578728520270631"</f>
        <v>1578728520270631</v>
      </c>
      <c r="C5004" t="s">
        <v>37</v>
      </c>
      <c r="D5004">
        <v>5.142919</v>
      </c>
      <c r="E5004">
        <v>0.40531729999999999</v>
      </c>
      <c r="F5004" t="s">
        <v>38</v>
      </c>
      <c r="G5004">
        <v>-224.88919999999999</v>
      </c>
      <c r="H5004">
        <v>1.0250299999999899</v>
      </c>
      <c r="I5004">
        <v>-62.782290000000003</v>
      </c>
      <c r="J5004">
        <v>-225.70310000000001</v>
      </c>
      <c r="K5004">
        <v>1.111294</v>
      </c>
      <c r="L5004">
        <v>-63.305909999999997</v>
      </c>
      <c r="M5004">
        <v>0.9996275</v>
      </c>
      <c r="N5004">
        <v>0</v>
      </c>
      <c r="O5004">
        <v>2.4526369999999999E-2</v>
      </c>
      <c r="P5004">
        <v>0.97005680000000005</v>
      </c>
      <c r="Q5004">
        <v>3.3450630000000002E-2</v>
      </c>
      <c r="R5004">
        <v>0.24056350000000001</v>
      </c>
      <c r="S5004">
        <v>2.7460629999999999</v>
      </c>
      <c r="T5004">
        <v>-0.23379710000000001</v>
      </c>
      <c r="U5004">
        <v>1.4343870000000001</v>
      </c>
      <c r="V5004">
        <v>-0.21682789999999999</v>
      </c>
      <c r="W5004">
        <v>4.4500249999999998E-2</v>
      </c>
      <c r="X5004">
        <v>0.97519509999999898</v>
      </c>
      <c r="Y5004">
        <v>-0.43992920000000002</v>
      </c>
      <c r="Z5004">
        <v>1.561647E-2</v>
      </c>
      <c r="AA5004">
        <v>0.89789669999999899</v>
      </c>
      <c r="AB5004">
        <v>39</v>
      </c>
      <c r="AC5004">
        <v>0.81390000000001705</v>
      </c>
      <c r="AD5004">
        <v>-8.6264000000000104E-2</v>
      </c>
      <c r="AE5004">
        <v>0.52361999999999398</v>
      </c>
      <c r="AF5004">
        <v>-0.49953019860398401</v>
      </c>
      <c r="AG5004">
        <v>-8.6264000000000104E-2</v>
      </c>
      <c r="AH5004">
        <v>0.81998368841736102</v>
      </c>
      <c r="AI5004">
        <v>95.133871553732405</v>
      </c>
      <c r="AJ5004">
        <v>121.349576057538</v>
      </c>
      <c r="AK5004">
        <v>0.964025490474124</v>
      </c>
    </row>
    <row r="5005" spans="1:37" x14ac:dyDescent="0.2">
      <c r="A5005" t="str">
        <f>"20200111154200288"</f>
        <v>20200111154200288</v>
      </c>
      <c r="B5005" t="str">
        <f>"1578728520280393"</f>
        <v>1578728520280393</v>
      </c>
      <c r="C5005" t="s">
        <v>37</v>
      </c>
      <c r="D5005">
        <v>5.0373339999999898</v>
      </c>
      <c r="E5005">
        <v>0.4410751</v>
      </c>
      <c r="F5005" t="s">
        <v>38</v>
      </c>
      <c r="G5005">
        <v>-224.85079999999999</v>
      </c>
      <c r="H5005">
        <v>1.0383959999999901</v>
      </c>
      <c r="I5005">
        <v>-62.859279999999998</v>
      </c>
      <c r="J5005">
        <v>-225.50229999999999</v>
      </c>
      <c r="K5005">
        <v>1.111326</v>
      </c>
      <c r="L5005">
        <v>-63.300419999999903</v>
      </c>
      <c r="M5005">
        <v>0.99960949999999904</v>
      </c>
      <c r="N5005">
        <v>0</v>
      </c>
      <c r="O5005">
        <v>2.5175380000000001E-2</v>
      </c>
      <c r="P5005">
        <v>0.96969179999999999</v>
      </c>
      <c r="Q5005">
        <v>3.335805E-2</v>
      </c>
      <c r="R5005">
        <v>0.24204389999999901</v>
      </c>
      <c r="S5005">
        <v>2.744049</v>
      </c>
      <c r="T5005">
        <v>-0.23470859999999999</v>
      </c>
      <c r="U5005">
        <v>1.4381709999999901</v>
      </c>
      <c r="V5005">
        <v>-0.217686299999999</v>
      </c>
      <c r="W5005">
        <v>4.4539330000000002E-2</v>
      </c>
      <c r="X5005">
        <v>0.97500200000000004</v>
      </c>
      <c r="Y5005">
        <v>-0.4405791</v>
      </c>
      <c r="Z5005">
        <v>1.5656819999999998E-2</v>
      </c>
      <c r="AA5005">
        <v>0.89757730000000002</v>
      </c>
      <c r="AB5005">
        <v>39</v>
      </c>
      <c r="AC5005">
        <v>0.65149999999999797</v>
      </c>
      <c r="AD5005">
        <v>-7.2930000000000106E-2</v>
      </c>
      <c r="AE5005">
        <v>0.44113999999998998</v>
      </c>
      <c r="AF5005">
        <v>-0.42098023424266201</v>
      </c>
      <c r="AG5005">
        <v>-7.2930000000000106E-2</v>
      </c>
      <c r="AH5005">
        <v>0.656757460172816</v>
      </c>
      <c r="AI5005">
        <v>95.340950421487406</v>
      </c>
      <c r="AJ5005">
        <v>122.65979120975901</v>
      </c>
      <c r="AK5005">
        <v>0.78350080026484603</v>
      </c>
    </row>
    <row r="5006" spans="1:37" x14ac:dyDescent="0.2">
      <c r="A5006" t="str">
        <f>"20200111154200299"</f>
        <v>20200111154200299</v>
      </c>
      <c r="B5006" t="str">
        <f>"1578728520291129"</f>
        <v>1578728520291129</v>
      </c>
      <c r="C5006" t="s">
        <v>37</v>
      </c>
      <c r="D5006">
        <v>5.0889100000000003</v>
      </c>
      <c r="E5006">
        <v>0.44770070000000001</v>
      </c>
      <c r="F5006" t="s">
        <v>57</v>
      </c>
      <c r="G5006">
        <v>-212.68299999999999</v>
      </c>
      <c r="H5006" s="1">
        <v>-5.4475659999999996E-7</v>
      </c>
      <c r="I5006">
        <v>-57.989259999999902</v>
      </c>
      <c r="J5006">
        <v>-225.29349999999999</v>
      </c>
      <c r="K5006">
        <v>1.1113660000000001</v>
      </c>
      <c r="L5006">
        <v>-63.294589999999999</v>
      </c>
      <c r="M5006">
        <v>0.99958999999999998</v>
      </c>
      <c r="N5006">
        <v>0</v>
      </c>
      <c r="O5006">
        <v>2.5874290000000001E-2</v>
      </c>
      <c r="P5006">
        <v>0.96939399999999998</v>
      </c>
      <c r="Q5006">
        <v>3.2850209999999998E-2</v>
      </c>
      <c r="R5006">
        <v>0.2433034</v>
      </c>
      <c r="S5006">
        <v>2.8113860000000002</v>
      </c>
      <c r="T5006">
        <v>-0.24372260000000001</v>
      </c>
      <c r="U5006">
        <v>1.1647639999999999</v>
      </c>
      <c r="V5006">
        <v>-0.21827389999999999</v>
      </c>
      <c r="W5006">
        <v>4.4158709999999997E-2</v>
      </c>
      <c r="X5006">
        <v>0.97488799999999898</v>
      </c>
      <c r="Y5006">
        <v>-0.35766009999999998</v>
      </c>
      <c r="Z5006">
        <v>1.2716689999999999E-2</v>
      </c>
      <c r="AA5006">
        <v>0.93376519999999996</v>
      </c>
      <c r="AB5006">
        <v>39</v>
      </c>
      <c r="AC5006">
        <v>12.6105</v>
      </c>
      <c r="AD5006">
        <v>-1.1113665447565999</v>
      </c>
      <c r="AE5006">
        <v>5.3053299999999997</v>
      </c>
      <c r="AF5006">
        <v>-4.9446119672978597</v>
      </c>
      <c r="AG5006">
        <v>-1.1113665447565999</v>
      </c>
      <c r="AH5006">
        <v>12.6600164458675</v>
      </c>
      <c r="AI5006">
        <v>94.674678206297799</v>
      </c>
      <c r="AJ5006">
        <v>111.334083317463</v>
      </c>
      <c r="AK5006">
        <v>13.6367275954895</v>
      </c>
    </row>
    <row r="5007" spans="1:37" x14ac:dyDescent="0.2">
      <c r="A5007" t="str">
        <f>"20200111154200312"</f>
        <v>20200111154200312</v>
      </c>
      <c r="B5007" t="str">
        <f>"1578728520300888"</f>
        <v>1578728520300888</v>
      </c>
      <c r="C5007" t="s">
        <v>37</v>
      </c>
      <c r="D5007">
        <v>5.0304089999999997</v>
      </c>
      <c r="E5007">
        <v>0.45081700000000002</v>
      </c>
      <c r="F5007" t="s">
        <v>57</v>
      </c>
      <c r="G5007">
        <v>-213.17490000000001</v>
      </c>
      <c r="H5007" s="1">
        <v>-6.647266E-7</v>
      </c>
      <c r="I5007">
        <v>-58.502609999999997</v>
      </c>
      <c r="J5007">
        <v>-225.08510000000001</v>
      </c>
      <c r="K5007">
        <v>1.111415</v>
      </c>
      <c r="L5007">
        <v>-63.288509999999903</v>
      </c>
      <c r="M5007">
        <v>0.99956880000000004</v>
      </c>
      <c r="N5007">
        <v>0</v>
      </c>
      <c r="O5007">
        <v>2.661082E-2</v>
      </c>
      <c r="P5007">
        <v>0.96906510000000001</v>
      </c>
      <c r="Q5007">
        <v>3.2798559999999997E-2</v>
      </c>
      <c r="R5007">
        <v>0.2446161</v>
      </c>
      <c r="S5007">
        <v>2.823318</v>
      </c>
      <c r="T5007">
        <v>-0.25891979999999998</v>
      </c>
      <c r="U5007">
        <v>1.1163940000000001</v>
      </c>
      <c r="V5007">
        <v>-0.2188804</v>
      </c>
      <c r="W5007">
        <v>4.4216819999999997E-2</v>
      </c>
      <c r="X5007">
        <v>0.97474930000000004</v>
      </c>
      <c r="Y5007">
        <v>-0.3416961</v>
      </c>
      <c r="Z5007">
        <v>1.272652E-2</v>
      </c>
      <c r="AA5007">
        <v>0.93972429999999996</v>
      </c>
      <c r="AB5007">
        <v>39</v>
      </c>
      <c r="AC5007">
        <v>11.9102</v>
      </c>
      <c r="AD5007">
        <v>-1.1114156647266</v>
      </c>
      <c r="AE5007">
        <v>4.7858999999999901</v>
      </c>
      <c r="AF5007">
        <v>-4.43399710629844</v>
      </c>
      <c r="AG5007">
        <v>-1.1114156647266</v>
      </c>
      <c r="AH5007">
        <v>11.9438013611451</v>
      </c>
      <c r="AI5007">
        <v>94.985653823530797</v>
      </c>
      <c r="AJ5007">
        <v>110.36685703232899</v>
      </c>
      <c r="AK5007">
        <v>12.788665531358401</v>
      </c>
    </row>
    <row r="5008" spans="1:37" x14ac:dyDescent="0.2">
      <c r="A5008" t="str">
        <f>"20200111154200323"</f>
        <v>20200111154200323</v>
      </c>
      <c r="B5008" t="str">
        <f>"1578728520310648"</f>
        <v>1578728520310648</v>
      </c>
      <c r="C5008" t="s">
        <v>37</v>
      </c>
      <c r="D5008">
        <v>5.0072839999999896</v>
      </c>
      <c r="E5008">
        <v>0.45239989999999902</v>
      </c>
      <c r="F5008" t="s">
        <v>57</v>
      </c>
      <c r="G5008">
        <v>-213.44370000000001</v>
      </c>
      <c r="H5008" s="1">
        <v>-7.3102809999999899E-7</v>
      </c>
      <c r="I5008">
        <v>-58.778840000000002</v>
      </c>
      <c r="J5008">
        <v>-224.8956</v>
      </c>
      <c r="K5008">
        <v>1.111456</v>
      </c>
      <c r="L5008">
        <v>-63.282959999999903</v>
      </c>
      <c r="M5008">
        <v>0.99954889999999996</v>
      </c>
      <c r="N5008">
        <v>0</v>
      </c>
      <c r="O5008">
        <v>2.729179E-2</v>
      </c>
      <c r="P5008">
        <v>0.96875750000000005</v>
      </c>
      <c r="Q5008">
        <v>3.2394680000000002E-2</v>
      </c>
      <c r="R5008">
        <v>0.24588550000000001</v>
      </c>
      <c r="S5008">
        <v>2.828354</v>
      </c>
      <c r="T5008">
        <v>-0.27002609999999999</v>
      </c>
      <c r="U5008">
        <v>1.095642</v>
      </c>
      <c r="V5008">
        <v>-0.21949639999999901</v>
      </c>
      <c r="W5008">
        <v>4.3909080000000003E-2</v>
      </c>
      <c r="X5008">
        <v>0.97462469999999901</v>
      </c>
      <c r="Y5008">
        <v>-0.33442509999999998</v>
      </c>
      <c r="Z5008">
        <v>1.2868549999999999E-2</v>
      </c>
      <c r="AA5008">
        <v>0.94233449999999996</v>
      </c>
      <c r="AB5008">
        <v>39</v>
      </c>
      <c r="AC5008">
        <v>11.451899999999901</v>
      </c>
      <c r="AD5008">
        <v>-1.1114567310281001</v>
      </c>
      <c r="AE5008">
        <v>4.5041199999999897</v>
      </c>
      <c r="AF5008">
        <v>-4.1559716830984001</v>
      </c>
      <c r="AG5008">
        <v>-1.1114567310281001</v>
      </c>
      <c r="AH5008">
        <v>11.476944043402399</v>
      </c>
      <c r="AI5008">
        <v>95.202801068184201</v>
      </c>
      <c r="AJ5008">
        <v>109.906072962274</v>
      </c>
      <c r="AK5008">
        <v>12.2567402383771</v>
      </c>
    </row>
    <row r="5009" spans="1:37" x14ac:dyDescent="0.2">
      <c r="A5009" t="str">
        <f>"20200111154200334"</f>
        <v>20200111154200334</v>
      </c>
      <c r="B5009" t="str">
        <f>"1578728520320408"</f>
        <v>1578728520320408</v>
      </c>
      <c r="C5009" t="s">
        <v>37</v>
      </c>
      <c r="D5009">
        <v>5.0083690000000001</v>
      </c>
      <c r="E5009">
        <v>0.45301269999999999</v>
      </c>
      <c r="F5009" t="s">
        <v>57</v>
      </c>
      <c r="G5009">
        <v>-213.2938</v>
      </c>
      <c r="H5009" s="1">
        <v>-6.5823290000000002E-7</v>
      </c>
      <c r="I5009">
        <v>-58.826650000000001</v>
      </c>
      <c r="J5009">
        <v>-224.70660000000001</v>
      </c>
      <c r="K5009">
        <v>1.111504</v>
      </c>
      <c r="L5009">
        <v>-63.27713</v>
      </c>
      <c r="M5009">
        <v>0.9995271</v>
      </c>
      <c r="N5009">
        <v>0</v>
      </c>
      <c r="O5009">
        <v>2.8026860000000001E-2</v>
      </c>
      <c r="P5009">
        <v>0.96839109999999995</v>
      </c>
      <c r="Q5009">
        <v>3.1991810000000002E-2</v>
      </c>
      <c r="R5009">
        <v>0.24737699999999899</v>
      </c>
      <c r="S5009">
        <v>2.8299259999999999</v>
      </c>
      <c r="T5009">
        <v>-0.27110780000000001</v>
      </c>
      <c r="U5009">
        <v>1.086975</v>
      </c>
      <c r="V5009">
        <v>-0.22028400000000001</v>
      </c>
      <c r="W5009">
        <v>4.3582290000000003E-2</v>
      </c>
      <c r="X5009">
        <v>0.97446169999999999</v>
      </c>
      <c r="Y5009">
        <v>-0.3310478</v>
      </c>
      <c r="Z5009">
        <v>1.269646E-2</v>
      </c>
      <c r="AA5009">
        <v>0.94352860000000005</v>
      </c>
      <c r="AB5009">
        <v>39</v>
      </c>
      <c r="AC5009">
        <v>11.412800000000001</v>
      </c>
      <c r="AD5009">
        <v>-1.1115046582329</v>
      </c>
      <c r="AE5009">
        <v>4.4504799999999998</v>
      </c>
      <c r="AF5009">
        <v>-4.0951254826947796</v>
      </c>
      <c r="AG5009">
        <v>-1.1115046582329</v>
      </c>
      <c r="AH5009">
        <v>11.4388819819502</v>
      </c>
      <c r="AI5009">
        <v>95.227053688103695</v>
      </c>
      <c r="AJ5009">
        <v>109.69739284491899</v>
      </c>
      <c r="AK5009">
        <v>12.2005539350177</v>
      </c>
    </row>
    <row r="5010" spans="1:37" x14ac:dyDescent="0.2">
      <c r="A5010" t="str">
        <f>"20200111154200346"</f>
        <v>20200111154200346</v>
      </c>
      <c r="B5010" t="str">
        <f>"1578728520341233"</f>
        <v>1578728520341233</v>
      </c>
      <c r="C5010" t="s">
        <v>37</v>
      </c>
      <c r="D5010">
        <v>5.0732559999999998</v>
      </c>
      <c r="E5010">
        <v>0.45323750000000002</v>
      </c>
      <c r="F5010" t="s">
        <v>57</v>
      </c>
      <c r="G5010">
        <v>-213.2139</v>
      </c>
      <c r="H5010" s="1">
        <v>-6.1725979999999997E-7</v>
      </c>
      <c r="I5010">
        <v>-58.864440000000002</v>
      </c>
      <c r="J5010">
        <v>-224.52549999999999</v>
      </c>
      <c r="K5010">
        <v>1.1115539999999999</v>
      </c>
      <c r="L5010">
        <v>-63.271479999999997</v>
      </c>
      <c r="M5010">
        <v>0.99950569999999905</v>
      </c>
      <c r="N5010">
        <v>0</v>
      </c>
      <c r="O5010">
        <v>2.8740080000000001E-2</v>
      </c>
      <c r="P5010">
        <v>0.96797599999999995</v>
      </c>
      <c r="Q5010">
        <v>3.1357400000000001E-2</v>
      </c>
      <c r="R5010">
        <v>0.24907689999999999</v>
      </c>
      <c r="S5010">
        <v>2.829453</v>
      </c>
      <c r="T5010">
        <v>-0.273646</v>
      </c>
      <c r="U5010">
        <v>1.086365</v>
      </c>
      <c r="V5010">
        <v>-0.2213022</v>
      </c>
      <c r="W5010">
        <v>4.301729E-2</v>
      </c>
      <c r="X5010">
        <v>0.97425599999999901</v>
      </c>
      <c r="Y5010">
        <v>-0.3302332</v>
      </c>
      <c r="Z5010">
        <v>1.271306E-2</v>
      </c>
      <c r="AA5010">
        <v>0.94381380000000004</v>
      </c>
      <c r="AB5010">
        <v>39</v>
      </c>
      <c r="AC5010">
        <v>11.3116</v>
      </c>
      <c r="AD5010">
        <v>-1.1115546172598001</v>
      </c>
      <c r="AE5010">
        <v>4.4070400000000003</v>
      </c>
      <c r="AF5010">
        <v>-4.0461743188824304</v>
      </c>
      <c r="AG5010">
        <v>-1.1115546172598001</v>
      </c>
      <c r="AH5010">
        <v>11.3385358060718</v>
      </c>
      <c r="AI5010">
        <v>95.275198933459706</v>
      </c>
      <c r="AJ5010">
        <v>109.639021191068</v>
      </c>
      <c r="AK5010">
        <v>12.090056844841801</v>
      </c>
    </row>
    <row r="5011" spans="1:37" x14ac:dyDescent="0.2">
      <c r="A5011" t="str">
        <f>"20200111154200354"</f>
        <v>20200111154200354</v>
      </c>
      <c r="B5011" t="str">
        <f>"1578728520350992"</f>
        <v>1578728520350992</v>
      </c>
      <c r="C5011" t="s">
        <v>37</v>
      </c>
      <c r="D5011">
        <v>5.0741110000000003</v>
      </c>
      <c r="E5011">
        <v>0.45315699999999998</v>
      </c>
      <c r="F5011" t="s">
        <v>57</v>
      </c>
      <c r="G5011">
        <v>-213.08349999999999</v>
      </c>
      <c r="H5011" s="1">
        <v>-5.6166400000000002E-7</v>
      </c>
      <c r="I5011">
        <v>-58.862569999999998</v>
      </c>
      <c r="J5011">
        <v>-224.3492</v>
      </c>
      <c r="K5011">
        <v>1.111602</v>
      </c>
      <c r="L5011">
        <v>-63.265779999999999</v>
      </c>
      <c r="M5011">
        <v>0.99948289999999995</v>
      </c>
      <c r="N5011">
        <v>0</v>
      </c>
      <c r="O5011">
        <v>2.9481050000000002E-2</v>
      </c>
      <c r="P5011">
        <v>0.96760900000000005</v>
      </c>
      <c r="Q5011">
        <v>3.1050790000000002E-2</v>
      </c>
      <c r="R5011">
        <v>0.25053690000000001</v>
      </c>
      <c r="S5011">
        <v>2.8277739999999998</v>
      </c>
      <c r="T5011">
        <v>-0.27470830000000002</v>
      </c>
      <c r="U5011">
        <v>1.0895999999999999</v>
      </c>
      <c r="V5011">
        <v>-0.222053899999999</v>
      </c>
      <c r="W5011">
        <v>4.2767659999999999E-2</v>
      </c>
      <c r="X5011">
        <v>0.97409599999999996</v>
      </c>
      <c r="Y5011">
        <v>-0.33065279999999903</v>
      </c>
      <c r="Z5011">
        <v>1.271723E-2</v>
      </c>
      <c r="AA5011">
        <v>0.94366679999999903</v>
      </c>
      <c r="AB5011">
        <v>39</v>
      </c>
      <c r="AC5011">
        <v>11.265700000000001</v>
      </c>
      <c r="AD5011">
        <v>-1.111602561664</v>
      </c>
      <c r="AE5011">
        <v>4.4032099999999996</v>
      </c>
      <c r="AF5011">
        <v>-4.0350642967033403</v>
      </c>
      <c r="AG5011">
        <v>-1.111602561664</v>
      </c>
      <c r="AH5011">
        <v>11.295226869601199</v>
      </c>
      <c r="AI5011">
        <v>95.294896447463501</v>
      </c>
      <c r="AJ5011">
        <v>109.658568746976</v>
      </c>
      <c r="AK5011">
        <v>12.045727631379901</v>
      </c>
    </row>
    <row r="5012" spans="1:37" x14ac:dyDescent="0.2">
      <c r="A5012" t="str">
        <f>"20200111154200366"</f>
        <v>20200111154200366</v>
      </c>
      <c r="B5012" t="str">
        <f>"1578728520360752"</f>
        <v>1578728520360752</v>
      </c>
      <c r="C5012" t="s">
        <v>37</v>
      </c>
      <c r="D5012">
        <v>5.0611579999999998</v>
      </c>
      <c r="E5012">
        <v>0.453121</v>
      </c>
      <c r="F5012" t="s">
        <v>57</v>
      </c>
      <c r="G5012">
        <v>-212.9349</v>
      </c>
      <c r="H5012" s="1">
        <v>-5.0087420000000005E-7</v>
      </c>
      <c r="I5012">
        <v>-58.845939999999999</v>
      </c>
      <c r="J5012">
        <v>-224.15790000000001</v>
      </c>
      <c r="K5012">
        <v>1.1116600000000001</v>
      </c>
      <c r="L5012">
        <v>-63.25949</v>
      </c>
      <c r="M5012">
        <v>0.99945709999999999</v>
      </c>
      <c r="N5012">
        <v>0</v>
      </c>
      <c r="O5012">
        <v>3.0302579999999999E-2</v>
      </c>
      <c r="P5012">
        <v>0.96716480000000005</v>
      </c>
      <c r="Q5012">
        <v>3.0656639999999999E-2</v>
      </c>
      <c r="R5012">
        <v>0.25229439999999997</v>
      </c>
      <c r="S5012">
        <v>2.82592799999999</v>
      </c>
      <c r="T5012">
        <v>-0.275207599999999</v>
      </c>
      <c r="U5012">
        <v>1.0942379999999901</v>
      </c>
      <c r="V5012">
        <v>-0.22302729999999901</v>
      </c>
      <c r="W5012">
        <v>4.2429410000000001E-2</v>
      </c>
      <c r="X5012">
        <v>0.97388839999999999</v>
      </c>
      <c r="Y5012">
        <v>-0.33142709999999997</v>
      </c>
      <c r="Z5012">
        <v>1.2703880000000001E-2</v>
      </c>
      <c r="AA5012">
        <v>0.94339530000000005</v>
      </c>
      <c r="AB5012">
        <v>39</v>
      </c>
      <c r="AC5012">
        <v>11.223000000000001</v>
      </c>
      <c r="AD5012">
        <v>-1.1116605008742</v>
      </c>
      <c r="AE5012">
        <v>4.4135499999999999</v>
      </c>
      <c r="AF5012">
        <v>-4.0371045174249502</v>
      </c>
      <c r="AG5012">
        <v>-1.1116605008742</v>
      </c>
      <c r="AH5012">
        <v>11.255954450974199</v>
      </c>
      <c r="AI5012">
        <v>95.311147649541596</v>
      </c>
      <c r="AJ5012">
        <v>109.731077587245</v>
      </c>
      <c r="AK5012">
        <v>12.0096008491633</v>
      </c>
    </row>
    <row r="5013" spans="1:37" x14ac:dyDescent="0.2">
      <c r="A5013" t="str">
        <f>"20200111154200377"</f>
        <v>20200111154200377</v>
      </c>
      <c r="B5013" t="str">
        <f>"1578728520370512"</f>
        <v>1578728520370512</v>
      </c>
      <c r="C5013" t="s">
        <v>37</v>
      </c>
      <c r="D5013">
        <v>5.078748</v>
      </c>
      <c r="E5013">
        <v>0.45318770000000003</v>
      </c>
      <c r="F5013" t="s">
        <v>57</v>
      </c>
      <c r="G5013">
        <v>-212.76050000000001</v>
      </c>
      <c r="H5013" s="1">
        <v>-4.306332E-7</v>
      </c>
      <c r="I5013">
        <v>-58.82</v>
      </c>
      <c r="J5013">
        <v>-223.96199999999999</v>
      </c>
      <c r="K5013">
        <v>1.111721</v>
      </c>
      <c r="L5013">
        <v>-63.252780000000001</v>
      </c>
      <c r="M5013">
        <v>0.9994286</v>
      </c>
      <c r="N5013">
        <v>0</v>
      </c>
      <c r="O5013">
        <v>3.119442E-2</v>
      </c>
      <c r="P5013">
        <v>0.96683189999999997</v>
      </c>
      <c r="Q5013">
        <v>3.0338339999999998E-2</v>
      </c>
      <c r="R5013">
        <v>0.253606</v>
      </c>
      <c r="S5013">
        <v>2.8236849999999998</v>
      </c>
      <c r="T5013">
        <v>-0.27540979999999998</v>
      </c>
      <c r="U5013">
        <v>1.0998540000000001</v>
      </c>
      <c r="V5013">
        <v>-0.22348399999999999</v>
      </c>
      <c r="W5013">
        <v>4.2161190000000001E-2</v>
      </c>
      <c r="X5013">
        <v>0.97379539999999998</v>
      </c>
      <c r="Y5013">
        <v>-0.3324647</v>
      </c>
      <c r="Z5013">
        <v>1.2683410000000001E-2</v>
      </c>
      <c r="AA5013">
        <v>0.94303040000000005</v>
      </c>
      <c r="AB5013">
        <v>39</v>
      </c>
      <c r="AC5013">
        <v>11.201499999999999</v>
      </c>
      <c r="AD5013">
        <v>-1.1117214306331999</v>
      </c>
      <c r="AE5013">
        <v>4.4327800000000002</v>
      </c>
      <c r="AF5013">
        <v>-4.0467051668820098</v>
      </c>
      <c r="AG5013">
        <v>-1.1117214306331999</v>
      </c>
      <c r="AH5013">
        <v>11.2386249620476</v>
      </c>
      <c r="AI5013">
        <v>95.317211732303406</v>
      </c>
      <c r="AJ5013">
        <v>109.802487648994</v>
      </c>
      <c r="AK5013">
        <v>11.9966011138388</v>
      </c>
    </row>
    <row r="5014" spans="1:37" x14ac:dyDescent="0.2">
      <c r="A5014" t="str">
        <f>"20200111154200388"</f>
        <v>20200111154200388</v>
      </c>
      <c r="B5014" t="str">
        <f>"1578728520381248"</f>
        <v>1578728520381248</v>
      </c>
      <c r="C5014" t="s">
        <v>37</v>
      </c>
      <c r="D5014">
        <v>5.0433810000000001</v>
      </c>
      <c r="E5014">
        <v>0.4530575</v>
      </c>
      <c r="F5014" t="s">
        <v>57</v>
      </c>
      <c r="G5014">
        <v>-212.5975</v>
      </c>
      <c r="H5014" s="1">
        <v>-3.6247100000000002E-7</v>
      </c>
      <c r="I5014">
        <v>-58.810019999999902</v>
      </c>
      <c r="J5014">
        <v>-223.77160000000001</v>
      </c>
      <c r="K5014">
        <v>1.111785</v>
      </c>
      <c r="L5014">
        <v>-63.246119999999998</v>
      </c>
      <c r="M5014">
        <v>0.99939889999999998</v>
      </c>
      <c r="N5014">
        <v>0</v>
      </c>
      <c r="O5014">
        <v>3.2098010000000003E-2</v>
      </c>
      <c r="P5014">
        <v>0.96648750000000005</v>
      </c>
      <c r="Q5014">
        <v>3.0039819999999998E-2</v>
      </c>
      <c r="R5014">
        <v>0.25495059999999897</v>
      </c>
      <c r="S5014">
        <v>2.8222049999999999</v>
      </c>
      <c r="T5014">
        <v>-0.27607799999999999</v>
      </c>
      <c r="U5014">
        <v>1.1032709999999999</v>
      </c>
      <c r="V5014">
        <v>-0.22396369999999999</v>
      </c>
      <c r="W5014">
        <v>4.1904869999999997E-2</v>
      </c>
      <c r="X5014">
        <v>0.97369619999999901</v>
      </c>
      <c r="Y5014">
        <v>-0.33276669999999903</v>
      </c>
      <c r="Z5014">
        <v>1.264699E-2</v>
      </c>
      <c r="AA5014">
        <v>0.9429244</v>
      </c>
      <c r="AB5014">
        <v>39</v>
      </c>
      <c r="AC5014">
        <v>11.174099999999999</v>
      </c>
      <c r="AD5014">
        <v>-1.1117853624709999</v>
      </c>
      <c r="AE5014">
        <v>4.4360999999999997</v>
      </c>
      <c r="AF5014">
        <v>-4.0405627454927702</v>
      </c>
      <c r="AG5014">
        <v>-1.1117853624709999</v>
      </c>
      <c r="AH5014">
        <v>11.2148369226667</v>
      </c>
      <c r="AI5014">
        <v>95.328365074759105</v>
      </c>
      <c r="AJ5014">
        <v>109.813444929222</v>
      </c>
      <c r="AK5014">
        <v>11.9722504649075</v>
      </c>
    </row>
    <row r="5015" spans="1:37" x14ac:dyDescent="0.2">
      <c r="A5015" t="str">
        <f>"20200111154200399"</f>
        <v>20200111154200399</v>
      </c>
      <c r="B5015" t="str">
        <f>"1578728520391009"</f>
        <v>1578728520391009</v>
      </c>
      <c r="C5015" t="s">
        <v>37</v>
      </c>
      <c r="D5015">
        <v>5.080654</v>
      </c>
      <c r="E5015">
        <v>0.45302529999999902</v>
      </c>
      <c r="F5015" t="s">
        <v>57</v>
      </c>
      <c r="G5015">
        <v>-212.50829999999999</v>
      </c>
      <c r="H5015" s="1">
        <v>-3.224856E-7</v>
      </c>
      <c r="I5015">
        <v>-58.819769999999998</v>
      </c>
      <c r="J5015">
        <v>-223.5711</v>
      </c>
      <c r="K5015">
        <v>1.111856</v>
      </c>
      <c r="L5015">
        <v>-63.238859999999903</v>
      </c>
      <c r="M5015">
        <v>0.99936550000000002</v>
      </c>
      <c r="N5015">
        <v>0</v>
      </c>
      <c r="O5015">
        <v>3.3089760000000003E-2</v>
      </c>
      <c r="P5015">
        <v>0.96611610000000003</v>
      </c>
      <c r="Q5015">
        <v>2.9453360000000001E-2</v>
      </c>
      <c r="R5015">
        <v>0.25642229999999999</v>
      </c>
      <c r="S5015">
        <v>2.8203130000000001</v>
      </c>
      <c r="T5015">
        <v>-0.278389099999999</v>
      </c>
      <c r="U5015">
        <v>1.1083369999999999</v>
      </c>
      <c r="V5015">
        <v>-0.22448470000000001</v>
      </c>
      <c r="W5015">
        <v>4.1354599999999998E-2</v>
      </c>
      <c r="X5015">
        <v>0.97359969999999996</v>
      </c>
      <c r="Y5015">
        <v>-0.333493599999999</v>
      </c>
      <c r="Z5015">
        <v>1.269701E-2</v>
      </c>
      <c r="AA5015">
        <v>0.94266679999999903</v>
      </c>
      <c r="AB5015">
        <v>39</v>
      </c>
      <c r="AC5015">
        <v>11.062799999999999</v>
      </c>
      <c r="AD5015">
        <v>-1.1118563224856</v>
      </c>
      <c r="AE5015">
        <v>4.41908999999999</v>
      </c>
      <c r="AF5015">
        <v>-4.0155922497680798</v>
      </c>
      <c r="AG5015">
        <v>-1.1118563224856</v>
      </c>
      <c r="AH5015">
        <v>11.1062327356574</v>
      </c>
      <c r="AI5015">
        <v>95.378329500983995</v>
      </c>
      <c r="AJ5015">
        <v>109.878067351049</v>
      </c>
      <c r="AK5015">
        <v>11.862108209624299</v>
      </c>
    </row>
    <row r="5016" spans="1:37" x14ac:dyDescent="0.2">
      <c r="A5016" t="str">
        <f>"20200111154200410"</f>
        <v>20200111154200410</v>
      </c>
      <c r="B5016" t="str">
        <f>"1578728520400769"</f>
        <v>1578728520400769</v>
      </c>
      <c r="C5016" t="s">
        <v>37</v>
      </c>
      <c r="D5016">
        <v>5.0943839999999998</v>
      </c>
      <c r="E5016">
        <v>0.45300279999999998</v>
      </c>
      <c r="F5016" t="s">
        <v>57</v>
      </c>
      <c r="G5016">
        <v>-212.37790000000001</v>
      </c>
      <c r="H5016" s="1">
        <v>-2.6675700000000001E-7</v>
      </c>
      <c r="I5016">
        <v>-58.81859</v>
      </c>
      <c r="J5016">
        <v>-223.3854</v>
      </c>
      <c r="K5016">
        <v>1.1119330000000001</v>
      </c>
      <c r="L5016">
        <v>-63.231900000000003</v>
      </c>
      <c r="M5016">
        <v>0.99933159999999899</v>
      </c>
      <c r="N5016">
        <v>0</v>
      </c>
      <c r="O5016">
        <v>3.4069969999999998E-2</v>
      </c>
      <c r="P5016">
        <v>0.96572860000000005</v>
      </c>
      <c r="Q5016">
        <v>2.871721E-2</v>
      </c>
      <c r="R5016">
        <v>0.25795990000000002</v>
      </c>
      <c r="S5016">
        <v>2.8183750000000001</v>
      </c>
      <c r="T5016">
        <v>-0.27995720000000002</v>
      </c>
      <c r="U5016">
        <v>1.112976</v>
      </c>
      <c r="V5016">
        <v>-0.22508320000000001</v>
      </c>
      <c r="W5016">
        <v>4.0640900000000001E-2</v>
      </c>
      <c r="X5016">
        <v>0.97349159999999901</v>
      </c>
      <c r="Y5016">
        <v>-0.33411950000000001</v>
      </c>
      <c r="Z5016">
        <v>1.270926E-2</v>
      </c>
      <c r="AA5016">
        <v>0.94244499999999998</v>
      </c>
      <c r="AB5016">
        <v>39</v>
      </c>
      <c r="AC5016">
        <v>11.007499999999901</v>
      </c>
      <c r="AD5016">
        <v>-1.1119332667570001</v>
      </c>
      <c r="AE5016">
        <v>4.4133100000000001</v>
      </c>
      <c r="AF5016">
        <v>-4.0005204587846297</v>
      </c>
      <c r="AG5016">
        <v>-1.1119332667570001</v>
      </c>
      <c r="AH5016">
        <v>11.054303954609001</v>
      </c>
      <c r="AI5016">
        <v>95.403241631295401</v>
      </c>
      <c r="AJ5016">
        <v>109.895042788648</v>
      </c>
      <c r="AK5016">
        <v>11.8083951260008</v>
      </c>
    </row>
    <row r="5017" spans="1:37" x14ac:dyDescent="0.2">
      <c r="A5017" t="str">
        <f>"20200111154200421"</f>
        <v>20200111154200421</v>
      </c>
      <c r="B5017" t="str">
        <f>"1578728520410528"</f>
        <v>1578728520410528</v>
      </c>
      <c r="C5017" t="s">
        <v>37</v>
      </c>
      <c r="D5017">
        <v>5.094964</v>
      </c>
      <c r="E5017">
        <v>0.45291279999999901</v>
      </c>
      <c r="F5017" t="s">
        <v>57</v>
      </c>
      <c r="G5017">
        <v>-212.2663</v>
      </c>
      <c r="H5017" s="1">
        <v>-2.18679E-7</v>
      </c>
      <c r="I5017">
        <v>-58.819780000000002</v>
      </c>
      <c r="J5017">
        <v>-223.19139999999999</v>
      </c>
      <c r="K5017">
        <v>1.1120129999999999</v>
      </c>
      <c r="L5017">
        <v>-63.224490000000003</v>
      </c>
      <c r="M5017">
        <v>0.99929449999999997</v>
      </c>
      <c r="N5017">
        <v>0</v>
      </c>
      <c r="O5017">
        <v>3.5118009999999998E-2</v>
      </c>
      <c r="P5017">
        <v>0.96526780000000001</v>
      </c>
      <c r="Q5017">
        <v>2.7983899999999999E-2</v>
      </c>
      <c r="R5017">
        <v>0.25975959999999998</v>
      </c>
      <c r="S5017">
        <v>2.8163299999999998</v>
      </c>
      <c r="T5017">
        <v>-0.28163949999999999</v>
      </c>
      <c r="U5017">
        <v>1.117523</v>
      </c>
      <c r="V5017">
        <v>-0.22588059999999999</v>
      </c>
      <c r="W5017">
        <v>3.992623E-2</v>
      </c>
      <c r="X5017">
        <v>0.97333649999999905</v>
      </c>
      <c r="Y5017">
        <v>-0.33466679999999999</v>
      </c>
      <c r="Z5017">
        <v>1.27162E-2</v>
      </c>
      <c r="AA5017">
        <v>0.9422507</v>
      </c>
      <c r="AB5017">
        <v>39</v>
      </c>
      <c r="AC5017">
        <v>10.925099999999899</v>
      </c>
      <c r="AD5017">
        <v>-1.1120132186789999</v>
      </c>
      <c r="AE5017">
        <v>4.4047099999999997</v>
      </c>
      <c r="AF5017">
        <v>-3.9827975216562899</v>
      </c>
      <c r="AG5017">
        <v>-1.1120132186789999</v>
      </c>
      <c r="AH5017">
        <v>10.975250726723599</v>
      </c>
      <c r="AI5017">
        <v>95.440598059029298</v>
      </c>
      <c r="AJ5017">
        <v>109.945276528539</v>
      </c>
      <c r="AK5017">
        <v>11.7284004881942</v>
      </c>
    </row>
    <row r="5018" spans="1:37" x14ac:dyDescent="0.2">
      <c r="A5018" t="str">
        <f>"20200111154200433"</f>
        <v>20200111154200433</v>
      </c>
      <c r="B5018" t="str">
        <f>"1578728520421265"</f>
        <v>1578728520421265</v>
      </c>
      <c r="C5018" t="s">
        <v>37</v>
      </c>
      <c r="D5018">
        <v>5.1061350000000001</v>
      </c>
      <c r="E5018">
        <v>0.45286509999999902</v>
      </c>
      <c r="F5018" t="s">
        <v>57</v>
      </c>
      <c r="G5018">
        <v>-212.15099999999899</v>
      </c>
      <c r="H5018" s="1">
        <v>-1.6978629999999901E-7</v>
      </c>
      <c r="I5018">
        <v>-58.816619999999901</v>
      </c>
      <c r="J5018">
        <v>-223.00620000000001</v>
      </c>
      <c r="K5018">
        <v>1.1121019999999999</v>
      </c>
      <c r="L5018">
        <v>-63.217009999999902</v>
      </c>
      <c r="M5018">
        <v>0.99925489999999995</v>
      </c>
      <c r="N5018">
        <v>0</v>
      </c>
      <c r="O5018">
        <v>3.6203640000000002E-2</v>
      </c>
      <c r="P5018">
        <v>0.96478430000000004</v>
      </c>
      <c r="Q5018">
        <v>2.7110860000000001E-2</v>
      </c>
      <c r="R5018">
        <v>0.26164149999999903</v>
      </c>
      <c r="S5018">
        <v>2.8138429999999999</v>
      </c>
      <c r="T5018">
        <v>-0.28341769999999999</v>
      </c>
      <c r="U5018">
        <v>1.123413</v>
      </c>
      <c r="V5018">
        <v>-0.22672510000000001</v>
      </c>
      <c r="W5018">
        <v>3.905811E-2</v>
      </c>
      <c r="X5018">
        <v>0.97317529999999997</v>
      </c>
      <c r="Y5018">
        <v>-0.33561469999999999</v>
      </c>
      <c r="Z5018">
        <v>1.274307E-2</v>
      </c>
      <c r="AA5018">
        <v>0.94191309999999995</v>
      </c>
      <c r="AB5018">
        <v>39</v>
      </c>
      <c r="AC5018">
        <v>10.8552</v>
      </c>
      <c r="AD5018">
        <v>-1.1121021697863001</v>
      </c>
      <c r="AE5018">
        <v>4.4003899999999998</v>
      </c>
      <c r="AF5018">
        <v>-3.9686962154282899</v>
      </c>
      <c r="AG5018">
        <v>-1.1121021697863001</v>
      </c>
      <c r="AH5018">
        <v>10.909067603331099</v>
      </c>
      <c r="AI5018">
        <v>95.472253350994905</v>
      </c>
      <c r="AJ5018">
        <v>109.991282065021</v>
      </c>
      <c r="AK5018">
        <v>11.6616927099133</v>
      </c>
    </row>
    <row r="5019" spans="1:37" x14ac:dyDescent="0.2">
      <c r="A5019" t="str">
        <f>"20200111154200444"</f>
        <v>20200111154200444</v>
      </c>
      <c r="B5019" t="str">
        <f>"1578728520441293"</f>
        <v>1578728520441293</v>
      </c>
      <c r="C5019" t="s">
        <v>37</v>
      </c>
      <c r="D5019">
        <v>5.2146379999999999</v>
      </c>
      <c r="E5019">
        <v>0.45272410000000002</v>
      </c>
      <c r="F5019" t="s">
        <v>57</v>
      </c>
      <c r="G5019">
        <v>-212.07749999999999</v>
      </c>
      <c r="H5019" s="1">
        <v>-1.3631799999999999E-7</v>
      </c>
      <c r="I5019">
        <v>-58.827550000000002</v>
      </c>
      <c r="J5019">
        <v>-222.82079999999999</v>
      </c>
      <c r="K5019">
        <v>1.112193</v>
      </c>
      <c r="L5019">
        <v>-63.209499999999998</v>
      </c>
      <c r="M5019">
        <v>0.99921380000000004</v>
      </c>
      <c r="N5019">
        <v>0</v>
      </c>
      <c r="O5019">
        <v>3.7303999999999997E-2</v>
      </c>
      <c r="P5019">
        <v>0.96431060000000002</v>
      </c>
      <c r="Q5019">
        <v>2.6185440000000001E-2</v>
      </c>
      <c r="R5019">
        <v>0.26347579999999998</v>
      </c>
      <c r="S5019">
        <v>2.81134</v>
      </c>
      <c r="T5019">
        <v>-0.28608249999999902</v>
      </c>
      <c r="U5019">
        <v>1.1291500000000001</v>
      </c>
      <c r="V5019">
        <v>-0.22750719999999999</v>
      </c>
      <c r="W5019">
        <v>3.8136120000000003E-2</v>
      </c>
      <c r="X5019">
        <v>0.97302939999999905</v>
      </c>
      <c r="Y5019">
        <v>-0.33649849999999998</v>
      </c>
      <c r="Z5019">
        <v>1.2804360000000001E-2</v>
      </c>
      <c r="AA5019">
        <v>0.94159699999999902</v>
      </c>
      <c r="AB5019">
        <v>39</v>
      </c>
      <c r="AC5019">
        <v>10.7433</v>
      </c>
      <c r="AD5019">
        <v>-1.112193136318</v>
      </c>
      <c r="AE5019">
        <v>4.38194999999999</v>
      </c>
      <c r="AF5019">
        <v>-3.9418748367730898</v>
      </c>
      <c r="AG5019">
        <v>-1.112193136318</v>
      </c>
      <c r="AH5019">
        <v>10.8000621107951</v>
      </c>
      <c r="AI5019">
        <v>95.5254944275367</v>
      </c>
      <c r="AJ5019">
        <v>110.051390067376</v>
      </c>
      <c r="AK5019">
        <v>11.550614373196399</v>
      </c>
    </row>
    <row r="5020" spans="1:37" x14ac:dyDescent="0.2">
      <c r="A5020" t="str">
        <f>"20200111154200454"</f>
        <v>20200111154200454</v>
      </c>
      <c r="B5020" t="str">
        <f>"1578728520451053"</f>
        <v>1578728520451053</v>
      </c>
      <c r="C5020" t="s">
        <v>37</v>
      </c>
      <c r="D5020">
        <v>5.1665400000000004</v>
      </c>
      <c r="E5020">
        <v>0.45262749999999902</v>
      </c>
      <c r="F5020" t="s">
        <v>57</v>
      </c>
      <c r="G5020">
        <v>-211.97649999999999</v>
      </c>
      <c r="H5020" s="1">
        <v>-9.34970799999999E-8</v>
      </c>
      <c r="I5020">
        <v>-58.824669999999998</v>
      </c>
      <c r="J5020">
        <v>-222.62870000000001</v>
      </c>
      <c r="K5020">
        <v>1.112295</v>
      </c>
      <c r="L5020">
        <v>-63.20129</v>
      </c>
      <c r="M5020">
        <v>0.99916609999999995</v>
      </c>
      <c r="N5020">
        <v>0</v>
      </c>
      <c r="O5020">
        <v>3.8540619999999998E-2</v>
      </c>
      <c r="P5020">
        <v>0.96382819999999902</v>
      </c>
      <c r="Q5020">
        <v>2.5657719999999998E-2</v>
      </c>
      <c r="R5020">
        <v>0.26528629999999997</v>
      </c>
      <c r="S5020">
        <v>2.8085779999999998</v>
      </c>
      <c r="T5020">
        <v>-0.28804859999999999</v>
      </c>
      <c r="U5020">
        <v>1.1356200000000001</v>
      </c>
      <c r="V5020">
        <v>-0.2281367</v>
      </c>
      <c r="W5020">
        <v>3.7601969999999998E-2</v>
      </c>
      <c r="X5020">
        <v>0.97290270000000001</v>
      </c>
      <c r="Y5020">
        <v>-0.3375012</v>
      </c>
      <c r="Z5020">
        <v>1.2826499999999999E-2</v>
      </c>
      <c r="AA5020">
        <v>0.94123769999999995</v>
      </c>
      <c r="AB5020">
        <v>39</v>
      </c>
      <c r="AC5020">
        <v>10.652200000000001</v>
      </c>
      <c r="AD5020">
        <v>-1.1122950934970799</v>
      </c>
      <c r="AE5020">
        <v>4.37662</v>
      </c>
      <c r="AF5020">
        <v>-3.9261623557160901</v>
      </c>
      <c r="AG5020">
        <v>-1.1122950934970799</v>
      </c>
      <c r="AH5020">
        <v>10.713039451574</v>
      </c>
      <c r="AI5020">
        <v>95.567930041703207</v>
      </c>
      <c r="AJ5020">
        <v>110.127099853885</v>
      </c>
      <c r="AK5020">
        <v>11.463907078716201</v>
      </c>
    </row>
    <row r="5021" spans="1:37" x14ac:dyDescent="0.2">
      <c r="A5021" t="str">
        <f>"20200111154200466"</f>
        <v>20200111154200466</v>
      </c>
      <c r="B5021" t="str">
        <f>"1578728520460813"</f>
        <v>1578728520460813</v>
      </c>
      <c r="C5021" t="s">
        <v>37</v>
      </c>
      <c r="D5021">
        <v>5.117178</v>
      </c>
      <c r="E5021">
        <v>0.45254909999999998</v>
      </c>
      <c r="F5021" t="s">
        <v>57</v>
      </c>
      <c r="G5021">
        <v>-211.8175</v>
      </c>
      <c r="H5021" s="1">
        <v>-2.9180000000000001E-8</v>
      </c>
      <c r="I5021">
        <v>-58.802590000000002</v>
      </c>
      <c r="J5021">
        <v>-222.43049999999999</v>
      </c>
      <c r="K5021">
        <v>1.1124039999999999</v>
      </c>
      <c r="L5021">
        <v>-63.192599999999999</v>
      </c>
      <c r="M5021">
        <v>0.99911419999999995</v>
      </c>
      <c r="N5021">
        <v>0</v>
      </c>
      <c r="O5021">
        <v>3.9846350000000003E-2</v>
      </c>
      <c r="P5021">
        <v>0.96333279999999999</v>
      </c>
      <c r="Q5021">
        <v>2.5350370000000001E-2</v>
      </c>
      <c r="R5021">
        <v>0.2671094</v>
      </c>
      <c r="S5021">
        <v>2.8060299999999998</v>
      </c>
      <c r="T5021">
        <v>-0.28869459999999902</v>
      </c>
      <c r="U5021">
        <v>1.1416629999999901</v>
      </c>
      <c r="V5021">
        <v>-0.22871379999999999</v>
      </c>
      <c r="W5021">
        <v>3.7285569999999997E-2</v>
      </c>
      <c r="X5021">
        <v>0.97277950000000002</v>
      </c>
      <c r="Y5021">
        <v>-0.338304299999999</v>
      </c>
      <c r="Z5021">
        <v>1.2772260000000001E-2</v>
      </c>
      <c r="AA5021">
        <v>0.94095010000000001</v>
      </c>
      <c r="AB5021">
        <v>39</v>
      </c>
      <c r="AC5021">
        <v>10.613</v>
      </c>
      <c r="AD5021">
        <v>-1.1124040291799999</v>
      </c>
      <c r="AE5021">
        <v>4.3900099999999904</v>
      </c>
      <c r="AF5021">
        <v>-3.9267575335200902</v>
      </c>
      <c r="AG5021">
        <v>-1.1124040291799999</v>
      </c>
      <c r="AH5021">
        <v>10.6793277794154</v>
      </c>
      <c r="AI5021">
        <v>95.583762069102605</v>
      </c>
      <c r="AJ5021">
        <v>110.188327207835</v>
      </c>
      <c r="AK5021">
        <v>11.4326247761127</v>
      </c>
    </row>
    <row r="5022" spans="1:37" x14ac:dyDescent="0.2">
      <c r="A5022" t="str">
        <f>"20200111154200477"</f>
        <v>20200111154200477</v>
      </c>
      <c r="B5022" t="str">
        <f>"1578728520470573"</f>
        <v>1578728520470573</v>
      </c>
      <c r="C5022" t="s">
        <v>37</v>
      </c>
      <c r="D5022">
        <v>5.1582499999999998</v>
      </c>
      <c r="E5022">
        <v>0.45243599999999901</v>
      </c>
      <c r="F5022" t="s">
        <v>57</v>
      </c>
      <c r="G5022">
        <v>-211.6602</v>
      </c>
      <c r="H5022" s="1">
        <v>3.4862979999999999E-8</v>
      </c>
      <c r="I5022">
        <v>-58.7834</v>
      </c>
      <c r="J5022">
        <v>-222.23609999999999</v>
      </c>
      <c r="K5022">
        <v>1.1125149999999999</v>
      </c>
      <c r="L5022">
        <v>-63.183750000000003</v>
      </c>
      <c r="M5022">
        <v>0.99905869999999997</v>
      </c>
      <c r="N5022">
        <v>0</v>
      </c>
      <c r="O5022">
        <v>4.1196549999999998E-2</v>
      </c>
      <c r="P5022">
        <v>0.96291340000000003</v>
      </c>
      <c r="Q5022">
        <v>2.5579620000000001E-2</v>
      </c>
      <c r="R5022">
        <v>0.26859549999999999</v>
      </c>
      <c r="S5022">
        <v>2.8035739999999998</v>
      </c>
      <c r="T5022">
        <v>-0.28956779999999999</v>
      </c>
      <c r="U5022">
        <v>1.1477360000000001</v>
      </c>
      <c r="V5022">
        <v>-0.22891129999999901</v>
      </c>
      <c r="W5022">
        <v>3.7503809999999999E-2</v>
      </c>
      <c r="X5022">
        <v>0.97272459999999905</v>
      </c>
      <c r="Y5022">
        <v>-0.33906179999999903</v>
      </c>
      <c r="Z5022">
        <v>1.2720469999999999E-2</v>
      </c>
      <c r="AA5022">
        <v>0.94067809999999896</v>
      </c>
      <c r="AB5022">
        <v>39</v>
      </c>
      <c r="AC5022">
        <v>10.575899999999899</v>
      </c>
      <c r="AD5022">
        <v>-1.1125149651370201</v>
      </c>
      <c r="AE5022">
        <v>4.4003500000000004</v>
      </c>
      <c r="AF5022">
        <v>-3.92387021655491</v>
      </c>
      <c r="AG5022">
        <v>-1.1125149651370201</v>
      </c>
      <c r="AH5022">
        <v>10.6477787935882</v>
      </c>
      <c r="AI5022">
        <v>95.599280355843206</v>
      </c>
      <c r="AJ5022">
        <v>110.22961778453499</v>
      </c>
      <c r="AK5022">
        <v>11.402176996574299</v>
      </c>
    </row>
    <row r="5023" spans="1:37" x14ac:dyDescent="0.2">
      <c r="A5023" t="str">
        <f>"20200111154200489"</f>
        <v>20200111154200489</v>
      </c>
      <c r="B5023" t="str">
        <f>"1578728520481309"</f>
        <v>1578728520481309</v>
      </c>
      <c r="C5023" t="s">
        <v>37</v>
      </c>
      <c r="D5023">
        <v>5.1764769999999896</v>
      </c>
      <c r="E5023">
        <v>0.45239679999999999</v>
      </c>
      <c r="F5023" t="s">
        <v>57</v>
      </c>
      <c r="G5023">
        <v>-211.42089999999999</v>
      </c>
      <c r="H5023" s="1">
        <v>1.041287E-7</v>
      </c>
      <c r="I5023">
        <v>-58.731699999999996</v>
      </c>
      <c r="J5023">
        <v>-222.04689999999999</v>
      </c>
      <c r="K5023">
        <v>1.112627</v>
      </c>
      <c r="L5023">
        <v>-63.174840000000003</v>
      </c>
      <c r="M5023">
        <v>0.99900080000000002</v>
      </c>
      <c r="N5023">
        <v>0</v>
      </c>
      <c r="O5023">
        <v>4.2564680000000001E-2</v>
      </c>
      <c r="P5023">
        <v>0.96253539999999904</v>
      </c>
      <c r="Q5023">
        <v>2.581052E-2</v>
      </c>
      <c r="R5023">
        <v>0.26992509999999997</v>
      </c>
      <c r="S5023">
        <v>2.8015289999999999</v>
      </c>
      <c r="T5023">
        <v>-0.2881823</v>
      </c>
      <c r="U5023">
        <v>1.1532290000000001</v>
      </c>
      <c r="V5023">
        <v>-0.2289331</v>
      </c>
      <c r="W5023">
        <v>3.7721560000000001E-2</v>
      </c>
      <c r="X5023">
        <v>0.97271099999999999</v>
      </c>
      <c r="Y5023">
        <v>-0.3396092</v>
      </c>
      <c r="Z5023">
        <v>1.2556650000000001E-2</v>
      </c>
      <c r="AA5023">
        <v>0.94048279999999995</v>
      </c>
      <c r="AB5023">
        <v>39</v>
      </c>
      <c r="AC5023">
        <v>10.625999999999999</v>
      </c>
      <c r="AD5023">
        <v>-1.1126268958712999</v>
      </c>
      <c r="AE5023">
        <v>4.4431399999999996</v>
      </c>
      <c r="AF5023">
        <v>-3.9499170706345201</v>
      </c>
      <c r="AG5023">
        <v>-1.1126268958712999</v>
      </c>
      <c r="AH5023">
        <v>10.705600334616699</v>
      </c>
      <c r="AI5023">
        <v>95.568990582227201</v>
      </c>
      <c r="AJ5023">
        <v>110.251943617969</v>
      </c>
      <c r="AK5023">
        <v>11.4651498899426</v>
      </c>
    </row>
    <row r="5024" spans="1:37" x14ac:dyDescent="0.2">
      <c r="A5024" t="str">
        <f>"20200111154200499"</f>
        <v>20200111154200499</v>
      </c>
      <c r="B5024" t="str">
        <f>"1578728520491069"</f>
        <v>1578728520491069</v>
      </c>
      <c r="C5024" t="s">
        <v>37</v>
      </c>
      <c r="D5024">
        <v>5.1967629999999998</v>
      </c>
      <c r="E5024">
        <v>0.45232929999999999</v>
      </c>
      <c r="F5024" t="s">
        <v>57</v>
      </c>
      <c r="G5024">
        <v>-211.21119999999999</v>
      </c>
      <c r="H5024" s="1">
        <v>1.6542229999999999E-7</v>
      </c>
      <c r="I5024">
        <v>-58.693860000000001</v>
      </c>
      <c r="J5024">
        <v>-221.85290000000001</v>
      </c>
      <c r="K5024">
        <v>1.112744</v>
      </c>
      <c r="L5024">
        <v>-63.1654699999999</v>
      </c>
      <c r="M5024">
        <v>0.99893719999999997</v>
      </c>
      <c r="N5024">
        <v>0</v>
      </c>
      <c r="O5024">
        <v>4.4017359999999998E-2</v>
      </c>
      <c r="P5024">
        <v>0.96209149999999999</v>
      </c>
      <c r="Q5024">
        <v>2.5867129999999999E-2</v>
      </c>
      <c r="R5024">
        <v>0.27149790000000001</v>
      </c>
      <c r="S5024">
        <v>2.7997890000000001</v>
      </c>
      <c r="T5024">
        <v>-0.28748699999999999</v>
      </c>
      <c r="U5024">
        <v>1.1578059999999999</v>
      </c>
      <c r="V5024">
        <v>-0.22911880000000001</v>
      </c>
      <c r="W5024">
        <v>3.7759689999999999E-2</v>
      </c>
      <c r="X5024">
        <v>0.97266580000000002</v>
      </c>
      <c r="Y5024">
        <v>-0.33977360000000001</v>
      </c>
      <c r="Z5024">
        <v>1.23958E-2</v>
      </c>
      <c r="AA5024">
        <v>0.94042559999999997</v>
      </c>
      <c r="AB5024">
        <v>38</v>
      </c>
      <c r="AC5024">
        <v>10.6417</v>
      </c>
      <c r="AD5024">
        <v>-1.1127438345776901</v>
      </c>
      <c r="AE5024">
        <v>4.4716099999999903</v>
      </c>
      <c r="AF5024">
        <v>-3.96199333156554</v>
      </c>
      <c r="AG5024">
        <v>-1.1127438345776901</v>
      </c>
      <c r="AH5024">
        <v>10.728531245785399</v>
      </c>
      <c r="AI5024">
        <v>95.557137903533302</v>
      </c>
      <c r="AJ5024">
        <v>110.268937839149</v>
      </c>
      <c r="AK5024">
        <v>11.490734210334599</v>
      </c>
    </row>
    <row r="5025" spans="1:37" x14ac:dyDescent="0.2">
      <c r="A5025" t="str">
        <f>"20200111154200511"</f>
        <v>20200111154200511</v>
      </c>
      <c r="B5025" t="str">
        <f>"1578728520500829"</f>
        <v>1578728520500829</v>
      </c>
      <c r="C5025" t="s">
        <v>37</v>
      </c>
      <c r="D5025">
        <v>5.1805479999999999</v>
      </c>
      <c r="E5025">
        <v>0.45227829999999902</v>
      </c>
      <c r="F5025" t="s">
        <v>57</v>
      </c>
      <c r="G5025">
        <v>-211.03030000000001</v>
      </c>
      <c r="H5025" s="1">
        <v>2.1945509999999999E-7</v>
      </c>
      <c r="I5025">
        <v>-58.665550000000003</v>
      </c>
      <c r="J5025">
        <v>-221.6643</v>
      </c>
      <c r="K5025">
        <v>1.1128610000000001</v>
      </c>
      <c r="L5025">
        <v>-63.155909999999999</v>
      </c>
      <c r="M5025">
        <v>0.99886980000000003</v>
      </c>
      <c r="N5025">
        <v>0</v>
      </c>
      <c r="O5025">
        <v>4.551326E-2</v>
      </c>
      <c r="P5025">
        <v>0.96155769999999996</v>
      </c>
      <c r="Q5025">
        <v>2.6061279999999999E-2</v>
      </c>
      <c r="R5025">
        <v>0.273364</v>
      </c>
      <c r="S5025">
        <v>2.7976990000000002</v>
      </c>
      <c r="T5025">
        <v>-0.28765020000000002</v>
      </c>
      <c r="U5025">
        <v>1.1632389999999999</v>
      </c>
      <c r="V5025">
        <v>-0.22956070000000001</v>
      </c>
      <c r="W5025">
        <v>3.7927889999999999E-2</v>
      </c>
      <c r="X5025">
        <v>0.97255509999999901</v>
      </c>
      <c r="Y5025">
        <v>-0.3401748</v>
      </c>
      <c r="Z5025">
        <v>1.228015E-2</v>
      </c>
      <c r="AA5025">
        <v>0.94028199999999995</v>
      </c>
      <c r="AB5025">
        <v>38</v>
      </c>
      <c r="AC5025">
        <v>10.633999999999901</v>
      </c>
      <c r="AD5025">
        <v>-1.11286078054489</v>
      </c>
      <c r="AE5025">
        <v>4.4903599999999901</v>
      </c>
      <c r="AF5025">
        <v>-3.9648211436107901</v>
      </c>
      <c r="AG5025">
        <v>-1.11286078054489</v>
      </c>
      <c r="AH5025">
        <v>10.727659289401499</v>
      </c>
      <c r="AI5025">
        <v>95.557640030452305</v>
      </c>
      <c r="AJ5025">
        <v>110.283740472571</v>
      </c>
      <c r="AK5025">
        <v>11.490906824406</v>
      </c>
    </row>
    <row r="5026" spans="1:37" x14ac:dyDescent="0.2">
      <c r="A5026" t="str">
        <f>"20200111154200521"</f>
        <v>20200111154200521</v>
      </c>
      <c r="B5026" t="str">
        <f>"1578728520510589"</f>
        <v>1578728520510589</v>
      </c>
      <c r="C5026" t="s">
        <v>37</v>
      </c>
      <c r="D5026">
        <v>5.1615510000000002</v>
      </c>
      <c r="E5026">
        <v>0.45226959999999999</v>
      </c>
      <c r="F5026" t="s">
        <v>57</v>
      </c>
      <c r="G5026">
        <v>-210.82839999999999</v>
      </c>
      <c r="H5026" s="1">
        <v>2.7696169999999999E-7</v>
      </c>
      <c r="I5026">
        <v>-58.62341</v>
      </c>
      <c r="J5026">
        <v>-221.4855</v>
      </c>
      <c r="K5026">
        <v>1.112975</v>
      </c>
      <c r="L5026">
        <v>-63.146700000000003</v>
      </c>
      <c r="M5026">
        <v>0.99880219999999897</v>
      </c>
      <c r="N5026">
        <v>0</v>
      </c>
      <c r="O5026">
        <v>4.695887E-2</v>
      </c>
      <c r="P5026">
        <v>0.96101800000000004</v>
      </c>
      <c r="Q5026">
        <v>2.6026130000000001E-2</v>
      </c>
      <c r="R5026">
        <v>0.27525840000000001</v>
      </c>
      <c r="S5026">
        <v>2.7953030000000001</v>
      </c>
      <c r="T5026">
        <v>-0.28708109999999998</v>
      </c>
      <c r="U5026">
        <v>1.1692199999999999</v>
      </c>
      <c r="V5026">
        <v>-0.23007919999999901</v>
      </c>
      <c r="W5026">
        <v>3.7864990000000001E-2</v>
      </c>
      <c r="X5026">
        <v>0.97243500000000005</v>
      </c>
      <c r="Y5026">
        <v>-0.34082199999999901</v>
      </c>
      <c r="Z5026">
        <v>1.215128E-2</v>
      </c>
      <c r="AA5026">
        <v>0.94004940000000003</v>
      </c>
      <c r="AB5026">
        <v>38</v>
      </c>
      <c r="AC5026">
        <v>10.6571</v>
      </c>
      <c r="AD5026">
        <v>-1.1129747230383</v>
      </c>
      <c r="AE5026">
        <v>4.5232900000000003</v>
      </c>
      <c r="AF5026">
        <v>-3.9810147099120998</v>
      </c>
      <c r="AG5026">
        <v>-1.1129747230383</v>
      </c>
      <c r="AH5026">
        <v>10.7583434892454</v>
      </c>
      <c r="AI5026">
        <v>95.541643380228507</v>
      </c>
      <c r="AJ5026">
        <v>110.306476826536</v>
      </c>
      <c r="AK5026">
        <v>11.5251527316235</v>
      </c>
    </row>
    <row r="5027" spans="1:37" x14ac:dyDescent="0.2">
      <c r="A5027" t="str">
        <f>"20200111154200533"</f>
        <v>20200111154200533</v>
      </c>
      <c r="B5027" t="str">
        <f>"1578728520521325"</f>
        <v>1578728520521325</v>
      </c>
      <c r="C5027" t="s">
        <v>37</v>
      </c>
      <c r="D5027">
        <v>5.1585939999999999</v>
      </c>
      <c r="E5027">
        <v>0.4522968</v>
      </c>
      <c r="F5027" t="s">
        <v>57</v>
      </c>
      <c r="G5027">
        <v>-210.66239999999999</v>
      </c>
      <c r="H5027" s="1">
        <v>3.256217E-7</v>
      </c>
      <c r="I5027">
        <v>-58.593999999999902</v>
      </c>
      <c r="J5027">
        <v>-221.29640000000001</v>
      </c>
      <c r="K5027">
        <v>1.113102</v>
      </c>
      <c r="L5027">
        <v>-63.13644</v>
      </c>
      <c r="M5027">
        <v>0.99872359999999905</v>
      </c>
      <c r="N5027">
        <v>0</v>
      </c>
      <c r="O5027">
        <v>4.8593570000000003E-2</v>
      </c>
      <c r="P5027">
        <v>0.96042150000000004</v>
      </c>
      <c r="Q5027">
        <v>2.568144E-2</v>
      </c>
      <c r="R5027">
        <v>0.27736450000000001</v>
      </c>
      <c r="S5027">
        <v>2.7929689999999998</v>
      </c>
      <c r="T5027">
        <v>-0.28720959999999901</v>
      </c>
      <c r="U5027">
        <v>1.1748350000000001</v>
      </c>
      <c r="V5027">
        <v>-0.23062729999999901</v>
      </c>
      <c r="W5027">
        <v>3.7483799999999998E-2</v>
      </c>
      <c r="X5027">
        <v>0.97231990000000001</v>
      </c>
      <c r="Y5027">
        <v>-0.3411747</v>
      </c>
      <c r="Z5027">
        <v>1.2018930000000001E-2</v>
      </c>
      <c r="AA5027">
        <v>0.93992299999999995</v>
      </c>
      <c r="AB5027">
        <v>38</v>
      </c>
      <c r="AC5027">
        <v>10.634</v>
      </c>
      <c r="AD5027">
        <v>-1.1131016743783</v>
      </c>
      <c r="AE5027">
        <v>4.54244</v>
      </c>
      <c r="AF5027">
        <v>-3.98337014485013</v>
      </c>
      <c r="AG5027">
        <v>-1.1131016743783</v>
      </c>
      <c r="AH5027">
        <v>10.742649083294101</v>
      </c>
      <c r="AI5027">
        <v>95.548952966029404</v>
      </c>
      <c r="AJ5027">
        <v>110.344761018897</v>
      </c>
      <c r="AK5027">
        <v>11.511331042724199</v>
      </c>
    </row>
    <row r="5028" spans="1:37" x14ac:dyDescent="0.2">
      <c r="A5028" t="str">
        <f>"20200111154200544"</f>
        <v>20200111154200544</v>
      </c>
      <c r="B5028" t="str">
        <f>"1578728520540845"</f>
        <v>1578728520540845</v>
      </c>
      <c r="C5028" t="s">
        <v>37</v>
      </c>
      <c r="D5028">
        <v>5.1758569999999997</v>
      </c>
      <c r="E5028">
        <v>0.452335499999999</v>
      </c>
      <c r="F5028" t="s">
        <v>57</v>
      </c>
      <c r="G5028">
        <v>-210.51820000000001</v>
      </c>
      <c r="H5028" s="1">
        <v>3.6995299999999998E-7</v>
      </c>
      <c r="I5028">
        <v>-58.576209999999897</v>
      </c>
      <c r="J5028">
        <v>-221.1009</v>
      </c>
      <c r="K5028">
        <v>1.113235</v>
      </c>
      <c r="L5028">
        <v>-63.1256699999999</v>
      </c>
      <c r="M5028">
        <v>0.99863809999999997</v>
      </c>
      <c r="N5028">
        <v>0</v>
      </c>
      <c r="O5028">
        <v>5.0311069999999999E-2</v>
      </c>
      <c r="P5028">
        <v>0.95982179999999995</v>
      </c>
      <c r="Q5028">
        <v>2.5459389999999998E-2</v>
      </c>
      <c r="R5028">
        <v>0.27945320000000001</v>
      </c>
      <c r="S5028">
        <v>2.7904049999999998</v>
      </c>
      <c r="T5028">
        <v>-0.28817589999999998</v>
      </c>
      <c r="U5028">
        <v>1.1806030000000001</v>
      </c>
      <c r="V5028">
        <v>-0.23108020000000001</v>
      </c>
      <c r="W5028">
        <v>3.7223619999999999E-2</v>
      </c>
      <c r="X5028">
        <v>0.97222240000000004</v>
      </c>
      <c r="Y5028">
        <v>-0.34151320000000002</v>
      </c>
      <c r="Z5028">
        <v>1.1912819999999999E-2</v>
      </c>
      <c r="AA5028">
        <v>0.93980149999999996</v>
      </c>
      <c r="AB5028">
        <v>38</v>
      </c>
      <c r="AC5028">
        <v>10.5826999999999</v>
      </c>
      <c r="AD5028">
        <v>-1.113234630047</v>
      </c>
      <c r="AE5028">
        <v>4.5494599999999901</v>
      </c>
      <c r="AF5028">
        <v>-3.9741028910914502</v>
      </c>
      <c r="AG5028">
        <v>-1.113234630047</v>
      </c>
      <c r="AH5028">
        <v>10.6982870314833</v>
      </c>
      <c r="AI5028">
        <v>95.571266855488204</v>
      </c>
      <c r="AJ5028">
        <v>110.37856913576201</v>
      </c>
      <c r="AK5028">
        <v>11.466740187975001</v>
      </c>
    </row>
    <row r="5029" spans="1:37" x14ac:dyDescent="0.2">
      <c r="A5029" t="str">
        <f>"20200111154200555"</f>
        <v>20200111154200555</v>
      </c>
      <c r="B5029" t="str">
        <f>"1578728520550604"</f>
        <v>1578728520550604</v>
      </c>
      <c r="C5029" t="s">
        <v>37</v>
      </c>
      <c r="D5029">
        <v>5.1703529999999898</v>
      </c>
      <c r="E5029">
        <v>0.45235799999999998</v>
      </c>
      <c r="F5029" t="s">
        <v>57</v>
      </c>
      <c r="G5029">
        <v>-210.31710000000001</v>
      </c>
      <c r="H5029" s="1">
        <v>4.276526E-7</v>
      </c>
      <c r="I5029">
        <v>-58.53584</v>
      </c>
      <c r="J5029">
        <v>-220.90270000000001</v>
      </c>
      <c r="K5029">
        <v>1.113381</v>
      </c>
      <c r="L5029">
        <v>-63.114109999999997</v>
      </c>
      <c r="M5029">
        <v>0.99854219999999905</v>
      </c>
      <c r="N5029">
        <v>0</v>
      </c>
      <c r="O5029">
        <v>5.2169649999999998E-2</v>
      </c>
      <c r="P5029">
        <v>0.95911709999999994</v>
      </c>
      <c r="Q5029">
        <v>2.5352349999999999E-2</v>
      </c>
      <c r="R5029">
        <v>0.2818715</v>
      </c>
      <c r="S5029">
        <v>2.7877809999999998</v>
      </c>
      <c r="T5029">
        <v>-0.28778740000000003</v>
      </c>
      <c r="U5029">
        <v>1.186523</v>
      </c>
      <c r="V5029">
        <v>-0.23173189999999999</v>
      </c>
      <c r="W5029">
        <v>3.7068749999999998E-2</v>
      </c>
      <c r="X5029">
        <v>0.97207319999999997</v>
      </c>
      <c r="Y5029">
        <v>-0.34178330000000001</v>
      </c>
      <c r="Z5029">
        <v>1.1733449999999999E-2</v>
      </c>
      <c r="AA5029">
        <v>0.93970560000000003</v>
      </c>
      <c r="AB5029">
        <v>38</v>
      </c>
      <c r="AC5029">
        <v>10.585599999999999</v>
      </c>
      <c r="AD5029">
        <v>-1.1133805723474</v>
      </c>
      <c r="AE5029">
        <v>4.5782699999999901</v>
      </c>
      <c r="AF5029">
        <v>-3.9826188938106402</v>
      </c>
      <c r="AG5029">
        <v>-1.1133805723474</v>
      </c>
      <c r="AH5029">
        <v>10.7102394572247</v>
      </c>
      <c r="AI5029">
        <v>95.565126147101097</v>
      </c>
      <c r="AJ5029">
        <v>110.397727899798</v>
      </c>
      <c r="AK5029">
        <v>11.480857928888</v>
      </c>
    </row>
    <row r="5030" spans="1:37" x14ac:dyDescent="0.2">
      <c r="A5030" t="str">
        <f>"20200111154200567"</f>
        <v>20200111154200567</v>
      </c>
      <c r="B5030" t="str">
        <f>"1578728520561340"</f>
        <v>1578728520561340</v>
      </c>
      <c r="C5030" t="s">
        <v>37</v>
      </c>
      <c r="D5030">
        <v>5.1938180000000003</v>
      </c>
      <c r="E5030">
        <v>0.45238129999999999</v>
      </c>
      <c r="F5030" t="s">
        <v>57</v>
      </c>
      <c r="G5030">
        <v>-210.1138</v>
      </c>
      <c r="H5030" s="1">
        <v>4.8484860000000001E-7</v>
      </c>
      <c r="I5030">
        <v>-58.490759999999902</v>
      </c>
      <c r="J5030">
        <v>-220.71510000000001</v>
      </c>
      <c r="K5030">
        <v>1.1135170000000001</v>
      </c>
      <c r="L5030">
        <v>-63.102939999999997</v>
      </c>
      <c r="M5030">
        <v>0.99844650000000001</v>
      </c>
      <c r="N5030">
        <v>0</v>
      </c>
      <c r="O5030">
        <v>5.3967469999999997E-2</v>
      </c>
      <c r="P5030">
        <v>0.95853569999999999</v>
      </c>
      <c r="Q5030">
        <v>2.5460239999999999E-2</v>
      </c>
      <c r="R5030">
        <v>0.28383330000000001</v>
      </c>
      <c r="S5030">
        <v>2.7847599999999999</v>
      </c>
      <c r="T5030">
        <v>-0.28737800000000002</v>
      </c>
      <c r="U5030">
        <v>1.1933290000000001</v>
      </c>
      <c r="V5030">
        <v>-0.23198299999999999</v>
      </c>
      <c r="W5030">
        <v>3.7133560000000003E-2</v>
      </c>
      <c r="X5030">
        <v>0.97201079999999995</v>
      </c>
      <c r="Y5030">
        <v>-0.34240929999999897</v>
      </c>
      <c r="Z5030">
        <v>1.15779E-2</v>
      </c>
      <c r="AA5030">
        <v>0.93947959999999997</v>
      </c>
      <c r="AB5030">
        <v>38</v>
      </c>
      <c r="AC5030">
        <v>10.6013</v>
      </c>
      <c r="AD5030">
        <v>-1.1135165151513999</v>
      </c>
      <c r="AE5030">
        <v>4.6121800000000004</v>
      </c>
      <c r="AF5030">
        <v>-3.99620552674308</v>
      </c>
      <c r="AG5030">
        <v>-1.1135165151513999</v>
      </c>
      <c r="AH5030">
        <v>10.735192334217199</v>
      </c>
      <c r="AI5030">
        <v>95.552221539812507</v>
      </c>
      <c r="AJ5030">
        <v>110.41792418747799</v>
      </c>
      <c r="AK5030">
        <v>11.508863197298099</v>
      </c>
    </row>
    <row r="5031" spans="1:37" x14ac:dyDescent="0.2">
      <c r="A5031" t="str">
        <f>"20200111154200578"</f>
        <v>20200111154200578</v>
      </c>
      <c r="B5031" t="str">
        <f>"1578728520571101"</f>
        <v>1578728520571101</v>
      </c>
      <c r="C5031" t="s">
        <v>37</v>
      </c>
      <c r="D5031">
        <v>5.2088150000000004</v>
      </c>
      <c r="E5031">
        <v>0.45231139999999997</v>
      </c>
      <c r="F5031" t="s">
        <v>47</v>
      </c>
      <c r="G5031">
        <v>-209.9007</v>
      </c>
      <c r="H5031" s="1">
        <v>-5.5121349999999996E-7</v>
      </c>
      <c r="I5031">
        <v>-58.442519999999902</v>
      </c>
      <c r="J5031">
        <v>-220.51130000000001</v>
      </c>
      <c r="K5031">
        <v>1.1136649999999999</v>
      </c>
      <c r="L5031">
        <v>-63.090299999999999</v>
      </c>
      <c r="M5031">
        <v>0.9983339</v>
      </c>
      <c r="N5031">
        <v>0</v>
      </c>
      <c r="O5031">
        <v>5.6001139999999998E-2</v>
      </c>
      <c r="P5031">
        <v>0.95786090000000002</v>
      </c>
      <c r="Q5031">
        <v>2.5839049999999999E-2</v>
      </c>
      <c r="R5031">
        <v>0.28606809999999899</v>
      </c>
      <c r="S5031">
        <v>2.782349</v>
      </c>
      <c r="T5031">
        <v>-0.28648639999999997</v>
      </c>
      <c r="U5031">
        <v>1.199036</v>
      </c>
      <c r="V5031">
        <v>-0.23228599999999999</v>
      </c>
      <c r="W5031">
        <v>3.7463780000000002E-2</v>
      </c>
      <c r="X5031">
        <v>0.9719257</v>
      </c>
      <c r="Y5031">
        <v>-0.34243379999999901</v>
      </c>
      <c r="Z5031">
        <v>1.1349430000000001E-2</v>
      </c>
      <c r="AA5031">
        <v>0.93947349999999996</v>
      </c>
      <c r="AB5031">
        <v>38</v>
      </c>
      <c r="AC5031">
        <v>10.6106</v>
      </c>
      <c r="AD5031">
        <v>-1.1136655512135001</v>
      </c>
      <c r="AE5031">
        <v>4.64778</v>
      </c>
      <c r="AF5031">
        <v>-4.0091660888462002</v>
      </c>
      <c r="AG5031">
        <v>-1.1136655512135001</v>
      </c>
      <c r="AH5031">
        <v>10.754847631548801</v>
      </c>
      <c r="AI5031">
        <v>95.541929319178905</v>
      </c>
      <c r="AJ5031">
        <v>110.444327390467</v>
      </c>
      <c r="AK5031">
        <v>11.5317132840591</v>
      </c>
    </row>
    <row r="5032" spans="1:37" x14ac:dyDescent="0.2">
      <c r="A5032" t="str">
        <f>"20200111154200588"</f>
        <v>20200111154200588</v>
      </c>
      <c r="B5032" t="str">
        <f>"1578728520580861"</f>
        <v>1578728520580861</v>
      </c>
      <c r="C5032" t="s">
        <v>37</v>
      </c>
      <c r="D5032">
        <v>5.3741300000000001</v>
      </c>
      <c r="E5032">
        <v>0.45233079999999998</v>
      </c>
      <c r="F5032" t="s">
        <v>47</v>
      </c>
      <c r="G5032">
        <v>-209.6687</v>
      </c>
      <c r="H5032" s="1">
        <v>-7.1393959999999897E-7</v>
      </c>
      <c r="I5032">
        <v>-58.38503</v>
      </c>
      <c r="J5032">
        <v>-220.33629999999999</v>
      </c>
      <c r="K5032">
        <v>1.113793</v>
      </c>
      <c r="L5032">
        <v>-63.079069999999902</v>
      </c>
      <c r="M5032">
        <v>0.99823050000000002</v>
      </c>
      <c r="N5032">
        <v>0</v>
      </c>
      <c r="O5032">
        <v>5.7812460000000003E-2</v>
      </c>
      <c r="P5032">
        <v>0.95722750000000001</v>
      </c>
      <c r="Q5032">
        <v>2.641145E-2</v>
      </c>
      <c r="R5032">
        <v>0.28812919999999997</v>
      </c>
      <c r="S5032">
        <v>2.7794490000000001</v>
      </c>
      <c r="T5032">
        <v>-0.28548299999999999</v>
      </c>
      <c r="U5032">
        <v>1.2061770000000001</v>
      </c>
      <c r="V5032">
        <v>-0.232630899999999</v>
      </c>
      <c r="W5032">
        <v>3.7990309999999999E-2</v>
      </c>
      <c r="X5032">
        <v>0.97182289999999905</v>
      </c>
      <c r="Y5032">
        <v>-0.3431322</v>
      </c>
      <c r="Z5032">
        <v>1.117313E-2</v>
      </c>
      <c r="AA5032">
        <v>0.93922070000000002</v>
      </c>
      <c r="AB5032">
        <v>38</v>
      </c>
      <c r="AC5032">
        <v>10.667599999999901</v>
      </c>
      <c r="AD5032">
        <v>-1.1137937139395999</v>
      </c>
      <c r="AE5032">
        <v>4.6940399999999798</v>
      </c>
      <c r="AF5032">
        <v>-4.0325785026511003</v>
      </c>
      <c r="AG5032">
        <v>-1.1137937139395999</v>
      </c>
      <c r="AH5032">
        <v>10.822315781313</v>
      </c>
      <c r="AI5032">
        <v>95.508510747956905</v>
      </c>
      <c r="AJ5032">
        <v>110.436247316953</v>
      </c>
      <c r="AK5032">
        <v>11.6027903836841</v>
      </c>
    </row>
    <row r="5033" spans="1:37" x14ac:dyDescent="0.2">
      <c r="A5033" t="str">
        <f>"20200111154200599"</f>
        <v>20200111154200599</v>
      </c>
      <c r="B5033" t="str">
        <f>"1578728520590621"</f>
        <v>1578728520590621</v>
      </c>
      <c r="C5033" t="s">
        <v>37</v>
      </c>
      <c r="D5033">
        <v>5.2323279999999999</v>
      </c>
      <c r="E5033">
        <v>0.45238800000000001</v>
      </c>
      <c r="F5033" t="s">
        <v>47</v>
      </c>
      <c r="G5033">
        <v>-209.39089999999999</v>
      </c>
      <c r="H5033" s="1">
        <v>-9.1300629999999997E-7</v>
      </c>
      <c r="I5033">
        <v>-58.300660000000001</v>
      </c>
      <c r="J5033">
        <v>-220.1463</v>
      </c>
      <c r="K5033">
        <v>1.113931</v>
      </c>
      <c r="L5033">
        <v>-63.06653</v>
      </c>
      <c r="M5033">
        <v>0.99811109999999903</v>
      </c>
      <c r="N5033">
        <v>0</v>
      </c>
      <c r="O5033">
        <v>5.982867E-2</v>
      </c>
      <c r="P5033">
        <v>0.95655579999999996</v>
      </c>
      <c r="Q5033">
        <v>2.7062449999999998E-2</v>
      </c>
      <c r="R5033">
        <v>0.29029060000000001</v>
      </c>
      <c r="S5033">
        <v>2.776932</v>
      </c>
      <c r="T5033">
        <v>-0.2825762</v>
      </c>
      <c r="U5033">
        <v>1.2123109999999999</v>
      </c>
      <c r="V5033">
        <v>-0.2328817</v>
      </c>
      <c r="W5033">
        <v>3.8591159999999999E-2</v>
      </c>
      <c r="X5033">
        <v>0.97173909999999997</v>
      </c>
      <c r="Y5033">
        <v>-0.3433234</v>
      </c>
      <c r="Z5033">
        <v>1.0879420000000001E-2</v>
      </c>
      <c r="AA5033">
        <v>0.93915419999999905</v>
      </c>
      <c r="AB5033">
        <v>38</v>
      </c>
      <c r="AC5033">
        <v>10.7554</v>
      </c>
      <c r="AD5033">
        <v>-1.1139319130062999</v>
      </c>
      <c r="AE5033">
        <v>4.7658699999999996</v>
      </c>
      <c r="AF5033">
        <v>-4.0772300522006599</v>
      </c>
      <c r="AG5033">
        <v>-1.1139319130062999</v>
      </c>
      <c r="AH5033">
        <v>10.923352722091799</v>
      </c>
      <c r="AI5033">
        <v>95.457402507289899</v>
      </c>
      <c r="AJ5033">
        <v>110.468496955622</v>
      </c>
      <c r="AK5033">
        <v>11.712569483107099</v>
      </c>
    </row>
    <row r="5034" spans="1:37" x14ac:dyDescent="0.2">
      <c r="A5034" t="str">
        <f>"20200111154200611"</f>
        <v>20200111154200611</v>
      </c>
      <c r="B5034" t="str">
        <f>"1578728520600381"</f>
        <v>1578728520600381</v>
      </c>
      <c r="C5034" t="s">
        <v>37</v>
      </c>
      <c r="D5034">
        <v>5.2261129999999998</v>
      </c>
      <c r="E5034">
        <v>0.45236709999999902</v>
      </c>
      <c r="F5034" t="s">
        <v>47</v>
      </c>
      <c r="G5034">
        <v>-209.1069</v>
      </c>
      <c r="H5034" s="1">
        <v>-1.115256E-6</v>
      </c>
      <c r="I5034">
        <v>-58.218980000000002</v>
      </c>
      <c r="J5034">
        <v>-219.96279999999999</v>
      </c>
      <c r="K5034">
        <v>1.114066</v>
      </c>
      <c r="L5034">
        <v>-63.05386</v>
      </c>
      <c r="M5034">
        <v>0.9979865</v>
      </c>
      <c r="N5034">
        <v>0</v>
      </c>
      <c r="O5034">
        <v>6.1867499999999999E-2</v>
      </c>
      <c r="P5034">
        <v>0.95580019999999999</v>
      </c>
      <c r="Q5034">
        <v>2.750176E-2</v>
      </c>
      <c r="R5034">
        <v>0.29272779999999998</v>
      </c>
      <c r="S5034">
        <v>2.7744450000000001</v>
      </c>
      <c r="T5034">
        <v>-0.2799547</v>
      </c>
      <c r="U5034">
        <v>1.2182919999999999</v>
      </c>
      <c r="V5034">
        <v>-0.23339019999999999</v>
      </c>
      <c r="W5034">
        <v>3.8976629999999998E-2</v>
      </c>
      <c r="X5034">
        <v>0.97160170000000001</v>
      </c>
      <c r="Y5034">
        <v>-0.34344340000000001</v>
      </c>
      <c r="Z5034">
        <v>1.059445E-2</v>
      </c>
      <c r="AA5034">
        <v>0.93911359999999999</v>
      </c>
      <c r="AB5034">
        <v>38</v>
      </c>
      <c r="AC5034">
        <v>10.855899999999901</v>
      </c>
      <c r="AD5034">
        <v>-1.114067115256</v>
      </c>
      <c r="AE5034">
        <v>4.8348799999999903</v>
      </c>
      <c r="AF5034">
        <v>-4.1177353502271199</v>
      </c>
      <c r="AG5034">
        <v>-1.114067115256</v>
      </c>
      <c r="AH5034">
        <v>11.0372522593855</v>
      </c>
      <c r="AI5034">
        <v>95.402391180428396</v>
      </c>
      <c r="AJ5034">
        <v>110.45934443192399</v>
      </c>
      <c r="AK5034">
        <v>11.832912886906399</v>
      </c>
    </row>
    <row r="5035" spans="1:37" x14ac:dyDescent="0.2">
      <c r="A5035" t="str">
        <f>"20200111154200621"</f>
        <v>20200111154200621</v>
      </c>
      <c r="B5035" t="str">
        <f>"1578728520600381"</f>
        <v>1578728520600381</v>
      </c>
      <c r="C5035" t="s">
        <v>37</v>
      </c>
      <c r="D5035">
        <v>5.2261129999999998</v>
      </c>
      <c r="E5035">
        <v>0.45236709999999902</v>
      </c>
      <c r="F5035" t="s">
        <v>47</v>
      </c>
      <c r="G5035">
        <v>-208.86920000000001</v>
      </c>
      <c r="H5035" s="1">
        <v>-1.2854039999999999E-6</v>
      </c>
      <c r="I5035">
        <v>-58.147269999999899</v>
      </c>
      <c r="J5035">
        <v>-219.7756</v>
      </c>
      <c r="K5035">
        <v>1.1142049999999999</v>
      </c>
      <c r="L5035">
        <v>-63.04074</v>
      </c>
      <c r="M5035">
        <v>0.997853199999999</v>
      </c>
      <c r="N5035">
        <v>0</v>
      </c>
      <c r="O5035">
        <v>6.3978140000000003E-2</v>
      </c>
      <c r="P5035">
        <v>0.95493300000000003</v>
      </c>
      <c r="Q5035">
        <v>2.808977E-2</v>
      </c>
      <c r="R5035">
        <v>0.29548959999999902</v>
      </c>
      <c r="S5035">
        <v>2.7713320000000001</v>
      </c>
      <c r="T5035">
        <v>-0.27831020000000001</v>
      </c>
      <c r="U5035">
        <v>1.2257389999999999</v>
      </c>
      <c r="V5035">
        <v>-0.23416319999999999</v>
      </c>
      <c r="W5035">
        <v>3.9504560000000001E-2</v>
      </c>
      <c r="X5035">
        <v>0.97139439999999999</v>
      </c>
      <c r="Y5035">
        <v>-0.34397859999999902</v>
      </c>
      <c r="Z5035">
        <v>1.036314E-2</v>
      </c>
      <c r="AA5035">
        <v>0.93892030000000004</v>
      </c>
      <c r="AB5035">
        <v>38</v>
      </c>
      <c r="AC5035">
        <v>10.9063999999999</v>
      </c>
      <c r="AD5035">
        <v>-1.11420628540399</v>
      </c>
      <c r="AE5035">
        <v>4.8934699999999998</v>
      </c>
      <c r="AF5035">
        <v>-4.1495525886259204</v>
      </c>
      <c r="AG5035">
        <v>-1.11420628540399</v>
      </c>
      <c r="AH5035">
        <v>11.1007160840451</v>
      </c>
      <c r="AI5035">
        <v>95.371070033839203</v>
      </c>
      <c r="AJ5035">
        <v>110.496218282588</v>
      </c>
      <c r="AK5035">
        <v>11.9031987260057</v>
      </c>
    </row>
    <row r="5036" spans="1:37" x14ac:dyDescent="0.2">
      <c r="A5036" t="str">
        <f>"20200111154200633"</f>
        <v>20200111154200633</v>
      </c>
      <c r="B5036" t="str">
        <f>"1578728520630637"</f>
        <v>1578728520630637</v>
      </c>
      <c r="C5036" t="s">
        <v>37</v>
      </c>
      <c r="D5036">
        <v>5.2414909999999999</v>
      </c>
      <c r="E5036">
        <v>0.45225379999999898</v>
      </c>
      <c r="F5036" t="s">
        <v>47</v>
      </c>
      <c r="G5036">
        <v>-208.61770000000001</v>
      </c>
      <c r="H5036" s="1">
        <v>-1.466774E-6</v>
      </c>
      <c r="I5036">
        <v>-58.066450000000003</v>
      </c>
      <c r="J5036">
        <v>-219.58459999999999</v>
      </c>
      <c r="K5036">
        <v>1.1143479999999999</v>
      </c>
      <c r="L5036">
        <v>-63.02655</v>
      </c>
      <c r="M5036">
        <v>0.99770429999999999</v>
      </c>
      <c r="N5036">
        <v>0</v>
      </c>
      <c r="O5036">
        <v>6.6254250000000001E-2</v>
      </c>
      <c r="P5036">
        <v>0.95398899999999998</v>
      </c>
      <c r="Q5036">
        <v>2.8652110000000001E-2</v>
      </c>
      <c r="R5036">
        <v>0.2984696</v>
      </c>
      <c r="S5036">
        <v>2.7678829999999999</v>
      </c>
      <c r="T5036">
        <v>-0.27639570000000002</v>
      </c>
      <c r="U5036">
        <v>1.233948</v>
      </c>
      <c r="V5036">
        <v>-0.2349996</v>
      </c>
      <c r="W5036">
        <v>4.0000569999999999E-2</v>
      </c>
      <c r="X5036">
        <v>0.97117199999999904</v>
      </c>
      <c r="Y5036">
        <v>-0.34461789999999998</v>
      </c>
      <c r="Z5036">
        <v>1.0113789999999999E-2</v>
      </c>
      <c r="AA5036">
        <v>0.93868859999999998</v>
      </c>
      <c r="AB5036">
        <v>38</v>
      </c>
      <c r="AC5036">
        <v>10.9668999999999</v>
      </c>
      <c r="AD5036">
        <v>-1.1143494667739999</v>
      </c>
      <c r="AE5036">
        <v>4.96009999999999</v>
      </c>
      <c r="AF5036">
        <v>-4.1866392152934297</v>
      </c>
      <c r="AG5036">
        <v>-1.1143494667739999</v>
      </c>
      <c r="AH5036">
        <v>11.1756682190573</v>
      </c>
      <c r="AI5036">
        <v>95.334525035211797</v>
      </c>
      <c r="AJ5036">
        <v>110.53700140610199</v>
      </c>
      <c r="AK5036">
        <v>11.986045335955501</v>
      </c>
    </row>
    <row r="5037" spans="1:37" x14ac:dyDescent="0.2">
      <c r="A5037" t="str">
        <f>"20200111154200646"</f>
        <v>20200111154200646</v>
      </c>
      <c r="B5037" t="str">
        <f>"1578728520641373"</f>
        <v>1578728520641373</v>
      </c>
      <c r="C5037" t="s">
        <v>37</v>
      </c>
      <c r="D5037">
        <v>5.2234989999999897</v>
      </c>
      <c r="E5037">
        <v>0.45217109999999899</v>
      </c>
      <c r="F5037" t="s">
        <v>47</v>
      </c>
      <c r="G5037">
        <v>-208.37530000000001</v>
      </c>
      <c r="H5037" s="1">
        <v>-1.6430669999999999E-6</v>
      </c>
      <c r="I5037">
        <v>-57.982849999999999</v>
      </c>
      <c r="J5037">
        <v>-219.39359999999999</v>
      </c>
      <c r="K5037">
        <v>1.11449</v>
      </c>
      <c r="L5037">
        <v>-63.012209999999897</v>
      </c>
      <c r="M5037">
        <v>0.99754799999999999</v>
      </c>
      <c r="N5037">
        <v>0</v>
      </c>
      <c r="O5037">
        <v>6.8562689999999996E-2</v>
      </c>
      <c r="P5037">
        <v>0.95308979999999999</v>
      </c>
      <c r="Q5037">
        <v>2.875714E-2</v>
      </c>
      <c r="R5037">
        <v>0.30131869999999999</v>
      </c>
      <c r="S5037">
        <v>2.7638699999999998</v>
      </c>
      <c r="T5037">
        <v>-0.27476420000000001</v>
      </c>
      <c r="U5037">
        <v>1.243622</v>
      </c>
      <c r="V5037">
        <v>-0.23566970000000001</v>
      </c>
      <c r="W5037">
        <v>4.0040100000000002E-2</v>
      </c>
      <c r="X5037">
        <v>0.97100799999999998</v>
      </c>
      <c r="Y5037">
        <v>-0.34570689999999998</v>
      </c>
      <c r="Z5037">
        <v>9.8959679999999998E-3</v>
      </c>
      <c r="AA5037">
        <v>0.93829039999999997</v>
      </c>
      <c r="AB5037">
        <v>38</v>
      </c>
      <c r="AC5037">
        <v>11.018299999999901</v>
      </c>
      <c r="AD5037">
        <v>-1.114491643067</v>
      </c>
      <c r="AE5037">
        <v>5.0293599999999898</v>
      </c>
      <c r="AF5037">
        <v>-4.2262203150167199</v>
      </c>
      <c r="AG5037">
        <v>-1.114491643067</v>
      </c>
      <c r="AH5037">
        <v>11.242040452710899</v>
      </c>
      <c r="AI5037">
        <v>95.301612780402493</v>
      </c>
      <c r="AJ5037">
        <v>110.602746824959</v>
      </c>
      <c r="AK5037">
        <v>12.0617786132027</v>
      </c>
    </row>
    <row r="5038" spans="1:37" x14ac:dyDescent="0.2">
      <c r="A5038" t="str">
        <f>"20200111154200656"</f>
        <v>20200111154200656</v>
      </c>
      <c r="B5038" t="str">
        <f>"1578728520651132"</f>
        <v>1578728520651132</v>
      </c>
      <c r="C5038" t="s">
        <v>37</v>
      </c>
      <c r="D5038">
        <v>5.2502779999999998</v>
      </c>
      <c r="E5038">
        <v>0.45210800000000001</v>
      </c>
      <c r="F5038" t="s">
        <v>47</v>
      </c>
      <c r="G5038">
        <v>-208.1902</v>
      </c>
      <c r="H5038" s="1">
        <v>-1.7756190000000001E-6</v>
      </c>
      <c r="I5038">
        <v>-57.926900000000003</v>
      </c>
      <c r="J5038">
        <v>-219.2012</v>
      </c>
      <c r="K5038">
        <v>1.1146370000000001</v>
      </c>
      <c r="L5038">
        <v>-62.996980000000001</v>
      </c>
      <c r="M5038">
        <v>0.9973767</v>
      </c>
      <c r="N5038">
        <v>0</v>
      </c>
      <c r="O5038">
        <v>7.1007039999999993E-2</v>
      </c>
      <c r="P5038">
        <v>0.95214650000000001</v>
      </c>
      <c r="Q5038">
        <v>2.8918429999999998E-2</v>
      </c>
      <c r="R5038">
        <v>0.30427109999999902</v>
      </c>
      <c r="S5038">
        <v>2.759903</v>
      </c>
      <c r="T5038">
        <v>-0.27455099999999999</v>
      </c>
      <c r="U5038">
        <v>1.2527469999999901</v>
      </c>
      <c r="V5038">
        <v>-0.23631559999999999</v>
      </c>
      <c r="W5038">
        <v>4.013158E-2</v>
      </c>
      <c r="X5038">
        <v>0.97084720000000002</v>
      </c>
      <c r="Y5038">
        <v>-0.34649600000000003</v>
      </c>
      <c r="Z5038">
        <v>9.7031979999999997E-3</v>
      </c>
      <c r="AA5038">
        <v>0.93800130000000004</v>
      </c>
      <c r="AB5038">
        <v>38</v>
      </c>
      <c r="AC5038">
        <v>11.0109999999999</v>
      </c>
      <c r="AD5038">
        <v>-1.1146387756189999</v>
      </c>
      <c r="AE5038">
        <v>5.0700799999999999</v>
      </c>
      <c r="AF5038">
        <v>-4.2394995529728403</v>
      </c>
      <c r="AG5038">
        <v>-1.1146387756189999</v>
      </c>
      <c r="AH5038">
        <v>11.248146441345501</v>
      </c>
      <c r="AI5038">
        <v>95.297750566199497</v>
      </c>
      <c r="AJ5038">
        <v>110.65175249665</v>
      </c>
      <c r="AK5038">
        <v>12.0721404243707</v>
      </c>
    </row>
    <row r="5039" spans="1:37" x14ac:dyDescent="0.2">
      <c r="A5039" t="str">
        <f>"20200111154200667"</f>
        <v>20200111154200667</v>
      </c>
      <c r="B5039" t="str">
        <f>"1578728520660893"</f>
        <v>1578728520660893</v>
      </c>
      <c r="C5039" t="s">
        <v>37</v>
      </c>
      <c r="D5039">
        <v>5.2646430000000004</v>
      </c>
      <c r="E5039">
        <v>0.45202369999999997</v>
      </c>
      <c r="F5039" t="s">
        <v>47</v>
      </c>
      <c r="G5039">
        <v>-207.99959999999999</v>
      </c>
      <c r="H5039" s="1">
        <v>-1.9127260000000002E-6</v>
      </c>
      <c r="I5039">
        <v>-57.867049999999999</v>
      </c>
      <c r="J5039">
        <v>-219.00720000000001</v>
      </c>
      <c r="K5039">
        <v>1.114778</v>
      </c>
      <c r="L5039">
        <v>-62.981229999999996</v>
      </c>
      <c r="M5039">
        <v>0.99719409999999897</v>
      </c>
      <c r="N5039">
        <v>0</v>
      </c>
      <c r="O5039">
        <v>7.3524110000000004E-2</v>
      </c>
      <c r="P5039">
        <v>0.95119469999999995</v>
      </c>
      <c r="Q5039">
        <v>2.905427E-2</v>
      </c>
      <c r="R5039">
        <v>0.30722050000000001</v>
      </c>
      <c r="S5039">
        <v>2.755814</v>
      </c>
      <c r="T5039">
        <v>-0.2742213</v>
      </c>
      <c r="U5039">
        <v>1.262054</v>
      </c>
      <c r="V5039">
        <v>-0.23688989999999999</v>
      </c>
      <c r="W5039">
        <v>4.0196860000000001E-2</v>
      </c>
      <c r="X5039">
        <v>0.97070460000000003</v>
      </c>
      <c r="Y5039">
        <v>-0.34728419999999999</v>
      </c>
      <c r="Z5039">
        <v>9.4999230000000004E-3</v>
      </c>
      <c r="AA5039">
        <v>0.93771179999999998</v>
      </c>
      <c r="AB5039">
        <v>38</v>
      </c>
      <c r="AC5039">
        <v>11.0076</v>
      </c>
      <c r="AD5039">
        <v>-1.1147799127260001</v>
      </c>
      <c r="AE5039">
        <v>5.1141800000000002</v>
      </c>
      <c r="AF5039">
        <v>-4.2550379006033499</v>
      </c>
      <c r="AG5039">
        <v>-1.1147799127260001</v>
      </c>
      <c r="AH5039">
        <v>11.2588799613509</v>
      </c>
      <c r="AI5039">
        <v>95.291620458105101</v>
      </c>
      <c r="AJ5039">
        <v>110.7029464979</v>
      </c>
      <c r="AK5039">
        <v>12.0876159673236</v>
      </c>
    </row>
    <row r="5040" spans="1:37" x14ac:dyDescent="0.2">
      <c r="A5040" t="str">
        <f>"20200111154200679"</f>
        <v>20200111154200679</v>
      </c>
      <c r="B5040" t="str">
        <f>"1578728520670653"</f>
        <v>1578728520670653</v>
      </c>
      <c r="C5040" t="s">
        <v>37</v>
      </c>
      <c r="D5040">
        <v>5.2617589999999996</v>
      </c>
      <c r="E5040">
        <v>0.45191720000000002</v>
      </c>
      <c r="F5040" t="s">
        <v>47</v>
      </c>
      <c r="G5040">
        <v>-207.80699999999999</v>
      </c>
      <c r="H5040" s="1">
        <v>-2.0515670000000001E-6</v>
      </c>
      <c r="I5040">
        <v>-57.805340000000001</v>
      </c>
      <c r="J5040">
        <v>-218.7955</v>
      </c>
      <c r="K5040">
        <v>1.1149359999999999</v>
      </c>
      <c r="L5040">
        <v>-62.963409999999897</v>
      </c>
      <c r="M5040">
        <v>0.99698030000000004</v>
      </c>
      <c r="N5040">
        <v>0</v>
      </c>
      <c r="O5040">
        <v>7.6362769999999996E-2</v>
      </c>
      <c r="P5040">
        <v>0.95018400000000003</v>
      </c>
      <c r="Q5040">
        <v>2.9194850000000001E-2</v>
      </c>
      <c r="R5040">
        <v>0.31031909999999902</v>
      </c>
      <c r="S5040">
        <v>2.7516020000000001</v>
      </c>
      <c r="T5040">
        <v>-0.27387109999999998</v>
      </c>
      <c r="U5040">
        <v>1.271576</v>
      </c>
      <c r="V5040">
        <v>-0.2373082</v>
      </c>
      <c r="W5040">
        <v>4.026213E-2</v>
      </c>
      <c r="X5040">
        <v>0.97059969999999995</v>
      </c>
      <c r="Y5040">
        <v>-0.34784729999999903</v>
      </c>
      <c r="Z5040">
        <v>9.2557400000000001E-3</v>
      </c>
      <c r="AA5040">
        <v>0.93750549999999999</v>
      </c>
      <c r="AB5040">
        <v>38</v>
      </c>
      <c r="AC5040">
        <v>10.988499999999901</v>
      </c>
      <c r="AD5040">
        <v>-1.114938051567</v>
      </c>
      <c r="AE5040">
        <v>5.1580699999999897</v>
      </c>
      <c r="AF5040">
        <v>-4.2678063970730804</v>
      </c>
      <c r="AG5040">
        <v>-1.114938051567</v>
      </c>
      <c r="AH5040">
        <v>11.255380204395401</v>
      </c>
      <c r="AI5040">
        <v>95.291821521618104</v>
      </c>
      <c r="AJ5040">
        <v>110.76568695812399</v>
      </c>
      <c r="AK5040">
        <v>12.0888726458353</v>
      </c>
    </row>
    <row r="5041" spans="1:37" x14ac:dyDescent="0.2">
      <c r="A5041" t="str">
        <f>"20200111154200690"</f>
        <v>20200111154200690</v>
      </c>
      <c r="B5041" t="str">
        <f>"1578728520680413"</f>
        <v>1578728520680413</v>
      </c>
      <c r="C5041" t="s">
        <v>37</v>
      </c>
      <c r="D5041">
        <v>5.3033219999999996</v>
      </c>
      <c r="E5041">
        <v>0.45182290000000003</v>
      </c>
      <c r="F5041" t="s">
        <v>47</v>
      </c>
      <c r="G5041">
        <v>-207.59219999999999</v>
      </c>
      <c r="H5041" s="1">
        <v>-2.2064249999999998E-6</v>
      </c>
      <c r="I5041">
        <v>-57.736469999999997</v>
      </c>
      <c r="J5041">
        <v>-218.6283</v>
      </c>
      <c r="K5041">
        <v>1.1150599999999999</v>
      </c>
      <c r="L5041">
        <v>-62.94876</v>
      </c>
      <c r="M5041">
        <v>0.9967992</v>
      </c>
      <c r="N5041">
        <v>0</v>
      </c>
      <c r="O5041">
        <v>7.8688140000000004E-2</v>
      </c>
      <c r="P5041">
        <v>0.94933659999999997</v>
      </c>
      <c r="Q5041">
        <v>2.9499930000000001E-2</v>
      </c>
      <c r="R5041">
        <v>0.31287329999999902</v>
      </c>
      <c r="S5041">
        <v>2.7471160000000001</v>
      </c>
      <c r="T5041">
        <v>-0.2733894</v>
      </c>
      <c r="U5041">
        <v>1.281677</v>
      </c>
      <c r="V5041">
        <v>-0.23767150000000001</v>
      </c>
      <c r="W5041">
        <v>4.0505119999999999E-2</v>
      </c>
      <c r="X5041">
        <v>0.97050069999999999</v>
      </c>
      <c r="Y5041">
        <v>-0.34908620000000001</v>
      </c>
      <c r="Z5041">
        <v>9.0879110000000006E-3</v>
      </c>
      <c r="AA5041">
        <v>0.93704659999999995</v>
      </c>
      <c r="AB5041">
        <v>38</v>
      </c>
      <c r="AC5041">
        <v>11.036099999999999</v>
      </c>
      <c r="AD5041">
        <v>-1.115062206425</v>
      </c>
      <c r="AE5041">
        <v>5.2122900000000003</v>
      </c>
      <c r="AF5041">
        <v>-4.2918053814107697</v>
      </c>
      <c r="AG5041">
        <v>-1.115062206425</v>
      </c>
      <c r="AH5041">
        <v>11.317594296943801</v>
      </c>
      <c r="AI5041">
        <v>95.263415682811797</v>
      </c>
      <c r="AJ5041">
        <v>110.767495875847</v>
      </c>
      <c r="AK5041">
        <v>12.155282712726899</v>
      </c>
    </row>
    <row r="5042" spans="1:37" x14ac:dyDescent="0.2">
      <c r="A5042" t="str">
        <f>"20200111154200699"</f>
        <v>20200111154200699</v>
      </c>
      <c r="B5042" t="str">
        <f>"1578728520691149"</f>
        <v>1578728520691149</v>
      </c>
      <c r="C5042" t="s">
        <v>37</v>
      </c>
      <c r="D5042">
        <v>5.2956989999999999</v>
      </c>
      <c r="E5042">
        <v>0.45179019999999998</v>
      </c>
      <c r="F5042" t="s">
        <v>47</v>
      </c>
      <c r="G5042">
        <v>-207.39670000000001</v>
      </c>
      <c r="H5042" s="1">
        <v>-2.3490240000000001E-6</v>
      </c>
      <c r="I5042">
        <v>-57.667559999999902</v>
      </c>
      <c r="J5042">
        <v>-218.44309999999999</v>
      </c>
      <c r="K5042">
        <v>1.1151979999999999</v>
      </c>
      <c r="L5042">
        <v>-62.932219999999901</v>
      </c>
      <c r="M5042">
        <v>0.9965889</v>
      </c>
      <c r="N5042">
        <v>0</v>
      </c>
      <c r="O5042">
        <v>8.1305450000000001E-2</v>
      </c>
      <c r="P5042">
        <v>0.94836399999999998</v>
      </c>
      <c r="Q5042">
        <v>3.00045E-2</v>
      </c>
      <c r="R5042">
        <v>0.31576179999999998</v>
      </c>
      <c r="S5042">
        <v>2.7434229999999999</v>
      </c>
      <c r="T5042">
        <v>-0.27236369999999999</v>
      </c>
      <c r="U5042">
        <v>1.2899780000000001</v>
      </c>
      <c r="V5042">
        <v>-0.23809849999999999</v>
      </c>
      <c r="W5042">
        <v>4.0939160000000002E-2</v>
      </c>
      <c r="X5042">
        <v>0.97037779999999996</v>
      </c>
      <c r="Y5042">
        <v>-0.3494506</v>
      </c>
      <c r="Z5042">
        <v>8.8332129999999995E-3</v>
      </c>
      <c r="AA5042">
        <v>0.9369132</v>
      </c>
      <c r="AB5042">
        <v>38</v>
      </c>
      <c r="AC5042">
        <v>11.046399999999901</v>
      </c>
      <c r="AD5042">
        <v>-1.1152003490239999</v>
      </c>
      <c r="AE5042">
        <v>5.2646599999999903</v>
      </c>
      <c r="AF5042">
        <v>-4.3131806934461201</v>
      </c>
      <c r="AG5042">
        <v>-1.1152003490239999</v>
      </c>
      <c r="AH5042">
        <v>11.3436931858128</v>
      </c>
      <c r="AI5042">
        <v>95.250267153741305</v>
      </c>
      <c r="AJ5042">
        <v>110.81816518034999</v>
      </c>
      <c r="AK5042">
        <v>12.1871479274946</v>
      </c>
    </row>
    <row r="5043" spans="1:37" x14ac:dyDescent="0.2">
      <c r="A5043" t="str">
        <f>"20200111154200711"</f>
        <v>20200111154200711</v>
      </c>
      <c r="B5043" t="str">
        <f>"1578728520700909"</f>
        <v>1578728520700909</v>
      </c>
      <c r="C5043" t="s">
        <v>37</v>
      </c>
      <c r="D5043">
        <v>5.304602</v>
      </c>
      <c r="E5043">
        <v>0.45166269999999997</v>
      </c>
      <c r="F5043" t="s">
        <v>47</v>
      </c>
      <c r="G5043">
        <v>-207.15530000000001</v>
      </c>
      <c r="H5043" s="1">
        <v>-2.5258130000000002E-6</v>
      </c>
      <c r="I5043">
        <v>-57.579749999999997</v>
      </c>
      <c r="J5043">
        <v>-218.25540000000001</v>
      </c>
      <c r="K5043">
        <v>1.1153439999999999</v>
      </c>
      <c r="L5043">
        <v>-62.914580000000001</v>
      </c>
      <c r="M5043">
        <v>0.99635859999999998</v>
      </c>
      <c r="N5043">
        <v>0</v>
      </c>
      <c r="O5043">
        <v>8.4078029999999998E-2</v>
      </c>
      <c r="P5043">
        <v>0.9473665</v>
      </c>
      <c r="Q5043">
        <v>3.0086020000000002E-2</v>
      </c>
      <c r="R5043">
        <v>0.31873469999999998</v>
      </c>
      <c r="S5043">
        <v>2.7394099999999999</v>
      </c>
      <c r="T5043">
        <v>-0.270646</v>
      </c>
      <c r="U5043">
        <v>1.2989809999999999</v>
      </c>
      <c r="V5043">
        <v>-0.23845839999999999</v>
      </c>
      <c r="W5043">
        <v>4.0946780000000002E-2</v>
      </c>
      <c r="X5043">
        <v>0.97028910000000002</v>
      </c>
      <c r="Y5043">
        <v>-0.3499119</v>
      </c>
      <c r="Z5043">
        <v>8.5488760000000004E-3</v>
      </c>
      <c r="AA5043">
        <v>0.93674360000000001</v>
      </c>
      <c r="AB5043">
        <v>38</v>
      </c>
      <c r="AC5043">
        <v>11.1000999999999</v>
      </c>
      <c r="AD5043">
        <v>-1.115346525813</v>
      </c>
      <c r="AE5043">
        <v>5.33483000000001</v>
      </c>
      <c r="AF5043">
        <v>-4.3469156208596997</v>
      </c>
      <c r="AG5043">
        <v>-1.115346525813</v>
      </c>
      <c r="AH5043">
        <v>11.4157451764353</v>
      </c>
      <c r="AI5043">
        <v>95.217035308360494</v>
      </c>
      <c r="AJ5043">
        <v>110.845956037474</v>
      </c>
      <c r="AK5043">
        <v>12.2661693784499</v>
      </c>
    </row>
    <row r="5044" spans="1:37" x14ac:dyDescent="0.2">
      <c r="A5044" t="str">
        <f>"20200111154200722"</f>
        <v>20200111154200722</v>
      </c>
      <c r="B5044" t="str">
        <f>"1578728520710669"</f>
        <v>1578728520710669</v>
      </c>
      <c r="C5044" t="s">
        <v>37</v>
      </c>
      <c r="D5044">
        <v>5.2735629999999896</v>
      </c>
      <c r="E5044">
        <v>0.45157959999999903</v>
      </c>
      <c r="F5044" t="s">
        <v>47</v>
      </c>
      <c r="G5044">
        <v>-206.98910000000001</v>
      </c>
      <c r="H5044" s="1">
        <v>-2.6464670000000001E-6</v>
      </c>
      <c r="I5044">
        <v>-57.5233699999999</v>
      </c>
      <c r="J5044">
        <v>-218.0737</v>
      </c>
      <c r="K5044">
        <v>1.1154850000000001</v>
      </c>
      <c r="L5044">
        <v>-62.897399999999998</v>
      </c>
      <c r="M5044">
        <v>0.99612579999999995</v>
      </c>
      <c r="N5044">
        <v>0</v>
      </c>
      <c r="O5044">
        <v>8.6789749999999999E-2</v>
      </c>
      <c r="P5044">
        <v>0.94635219999999898</v>
      </c>
      <c r="Q5044">
        <v>3.00472E-2</v>
      </c>
      <c r="R5044">
        <v>0.32173689999999999</v>
      </c>
      <c r="S5044">
        <v>2.7349549999999998</v>
      </c>
      <c r="T5044">
        <v>-0.27075640000000001</v>
      </c>
      <c r="U5044">
        <v>1.308746</v>
      </c>
      <c r="V5044">
        <v>-0.2389078</v>
      </c>
      <c r="W5044">
        <v>4.0834339999999997E-2</v>
      </c>
      <c r="X5044">
        <v>0.97018329999999997</v>
      </c>
      <c r="Y5044">
        <v>-0.35068499999999903</v>
      </c>
      <c r="Z5044">
        <v>8.3441999999999995E-3</v>
      </c>
      <c r="AA5044">
        <v>0.93645630000000002</v>
      </c>
      <c r="AB5044">
        <v>38</v>
      </c>
      <c r="AC5044">
        <v>11.084599999999901</v>
      </c>
      <c r="AD5044">
        <v>-1.115487646467</v>
      </c>
      <c r="AE5044">
        <v>5.3740300000000003</v>
      </c>
      <c r="AF5044">
        <v>-4.3559038159742496</v>
      </c>
      <c r="AG5044">
        <v>-1.115487646467</v>
      </c>
      <c r="AH5044">
        <v>11.415616951081599</v>
      </c>
      <c r="AI5044">
        <v>95.216383070752698</v>
      </c>
      <c r="AJ5044">
        <v>110.885559253113</v>
      </c>
      <c r="AK5044">
        <v>12.269251041414901</v>
      </c>
    </row>
    <row r="5045" spans="1:37" x14ac:dyDescent="0.2">
      <c r="A5045" t="str">
        <f>"20200111154200734"</f>
        <v>20200111154200734</v>
      </c>
      <c r="B5045" t="str">
        <f>"1578728520731165"</f>
        <v>1578728520731165</v>
      </c>
      <c r="C5045" t="s">
        <v>37</v>
      </c>
      <c r="D5045">
        <v>5.2959259999999997</v>
      </c>
      <c r="E5045">
        <v>0.45136959999999998</v>
      </c>
      <c r="F5045" t="s">
        <v>47</v>
      </c>
      <c r="G5045">
        <v>-206.83860000000001</v>
      </c>
      <c r="H5045" s="1">
        <v>-2.7554989999999999E-6</v>
      </c>
      <c r="I5045">
        <v>-57.472990000000003</v>
      </c>
      <c r="J5045">
        <v>-217.8818</v>
      </c>
      <c r="K5045">
        <v>1.1156440000000001</v>
      </c>
      <c r="L5045">
        <v>-62.878140000000002</v>
      </c>
      <c r="M5045">
        <v>0.99585759999999901</v>
      </c>
      <c r="N5045">
        <v>0</v>
      </c>
      <c r="O5045">
        <v>8.9811769999999999E-2</v>
      </c>
      <c r="P5045">
        <v>0.94518289999999905</v>
      </c>
      <c r="Q5045">
        <v>3.028782E-2</v>
      </c>
      <c r="R5045">
        <v>0.32513379999999997</v>
      </c>
      <c r="S5045">
        <v>2.7304689999999998</v>
      </c>
      <c r="T5045">
        <v>-0.2710977</v>
      </c>
      <c r="U5045">
        <v>1.318298</v>
      </c>
      <c r="V5045">
        <v>-0.239469299999999</v>
      </c>
      <c r="W5045">
        <v>4.0991090000000001E-2</v>
      </c>
      <c r="X5045">
        <v>0.97003819999999996</v>
      </c>
      <c r="Y5045">
        <v>-0.3511107</v>
      </c>
      <c r="Z5045">
        <v>8.1012059999999997E-3</v>
      </c>
      <c r="AA5045">
        <v>0.93629889999999905</v>
      </c>
      <c r="AB5045">
        <v>38</v>
      </c>
      <c r="AC5045">
        <v>11.043199999999899</v>
      </c>
      <c r="AD5045">
        <v>-1.1156467554989999</v>
      </c>
      <c r="AE5045">
        <v>5.4051499999999901</v>
      </c>
      <c r="AF5045">
        <v>-4.3555307625669402</v>
      </c>
      <c r="AG5045">
        <v>-1.1156467554989999</v>
      </c>
      <c r="AH5045">
        <v>11.3902739064666</v>
      </c>
      <c r="AI5045">
        <v>95.227252110878496</v>
      </c>
      <c r="AJ5045">
        <v>110.92637143178899</v>
      </c>
      <c r="AK5045">
        <v>12.2455565643647</v>
      </c>
    </row>
    <row r="5046" spans="1:37" x14ac:dyDescent="0.2">
      <c r="A5046" t="str">
        <f>"20200111154200745"</f>
        <v>20200111154200745</v>
      </c>
      <c r="B5046" t="str">
        <f>"1578728520740925"</f>
        <v>1578728520740925</v>
      </c>
      <c r="C5046" t="s">
        <v>37</v>
      </c>
      <c r="D5046">
        <v>5.3025989999999998</v>
      </c>
      <c r="E5046">
        <v>0.45130389999999998</v>
      </c>
      <c r="F5046" t="s">
        <v>47</v>
      </c>
      <c r="G5046">
        <v>-206.666</v>
      </c>
      <c r="H5046" s="1">
        <v>-2.883309E-6</v>
      </c>
      <c r="I5046">
        <v>-57.405029999999996</v>
      </c>
      <c r="J5046">
        <v>-217.68690000000001</v>
      </c>
      <c r="K5046">
        <v>1.1158049999999999</v>
      </c>
      <c r="L5046">
        <v>-62.858249999999998</v>
      </c>
      <c r="M5046">
        <v>0.99557169999999895</v>
      </c>
      <c r="N5046">
        <v>0</v>
      </c>
      <c r="O5046">
        <v>9.2924290000000007E-2</v>
      </c>
      <c r="P5046">
        <v>0.9440752</v>
      </c>
      <c r="Q5046">
        <v>3.0249890000000001E-2</v>
      </c>
      <c r="R5046">
        <v>0.32833970000000001</v>
      </c>
      <c r="S5046">
        <v>2.7252200000000002</v>
      </c>
      <c r="T5046">
        <v>-0.27108109999999902</v>
      </c>
      <c r="U5046">
        <v>1.3298649999999901</v>
      </c>
      <c r="V5046">
        <v>-0.23974519999999999</v>
      </c>
      <c r="W5046">
        <v>4.0871499999999998E-2</v>
      </c>
      <c r="X5046">
        <v>0.96997509999999998</v>
      </c>
      <c r="Y5046">
        <v>-0.35211310000000001</v>
      </c>
      <c r="Z5046">
        <v>7.8665780000000008E-3</v>
      </c>
      <c r="AA5046">
        <v>0.93592439999999999</v>
      </c>
      <c r="AB5046">
        <v>38</v>
      </c>
      <c r="AC5046">
        <v>11.020899999999999</v>
      </c>
      <c r="AD5046">
        <v>-1.1158078833089999</v>
      </c>
      <c r="AE5046">
        <v>5.4532199999999902</v>
      </c>
      <c r="AF5046">
        <v>-4.3694275919138699</v>
      </c>
      <c r="AG5046">
        <v>-1.1158078833089999</v>
      </c>
      <c r="AH5046">
        <v>11.386233584565099</v>
      </c>
      <c r="AI5046">
        <v>95.227492084504505</v>
      </c>
      <c r="AJ5046">
        <v>110.994131713323</v>
      </c>
      <c r="AK5046">
        <v>12.246764468859199</v>
      </c>
    </row>
    <row r="5047" spans="1:37" x14ac:dyDescent="0.2">
      <c r="A5047" t="str">
        <f>"20200111154200756"</f>
        <v>20200111154200756</v>
      </c>
      <c r="B5047" t="str">
        <f>"1578728520750685"</f>
        <v>1578728520750685</v>
      </c>
      <c r="C5047" t="s">
        <v>37</v>
      </c>
      <c r="D5047">
        <v>5.3017959999999897</v>
      </c>
      <c r="E5047">
        <v>0.45120450000000001</v>
      </c>
      <c r="F5047" t="s">
        <v>47</v>
      </c>
      <c r="G5047">
        <v>-206.49160000000001</v>
      </c>
      <c r="H5047" s="1">
        <v>-3.0104270000000001E-6</v>
      </c>
      <c r="I5047">
        <v>-57.343959999999903</v>
      </c>
      <c r="J5047">
        <v>-217.49770000000001</v>
      </c>
      <c r="K5047">
        <v>1.115969</v>
      </c>
      <c r="L5047">
        <v>-62.838069999999902</v>
      </c>
      <c r="M5047">
        <v>0.9952723</v>
      </c>
      <c r="N5047">
        <v>0</v>
      </c>
      <c r="O5047">
        <v>9.6074069999999998E-2</v>
      </c>
      <c r="P5047">
        <v>0.94290090000000004</v>
      </c>
      <c r="Q5047">
        <v>3.016982E-2</v>
      </c>
      <c r="R5047">
        <v>0.3317039</v>
      </c>
      <c r="S5047">
        <v>2.720383</v>
      </c>
      <c r="T5047">
        <v>-0.27113419999999999</v>
      </c>
      <c r="U5047">
        <v>1.3399350000000001</v>
      </c>
      <c r="V5047">
        <v>-0.24015010000000001</v>
      </c>
      <c r="W5047">
        <v>4.070617E-2</v>
      </c>
      <c r="X5047">
        <v>0.96988200000000002</v>
      </c>
      <c r="Y5047">
        <v>-0.35260989999999998</v>
      </c>
      <c r="Z5047">
        <v>7.6062329999999996E-3</v>
      </c>
      <c r="AA5047">
        <v>0.93573949999999995</v>
      </c>
      <c r="AB5047">
        <v>38</v>
      </c>
      <c r="AC5047">
        <v>11.0061</v>
      </c>
      <c r="AD5047">
        <v>-1.1159720104269999</v>
      </c>
      <c r="AE5047">
        <v>5.4941099999999903</v>
      </c>
      <c r="AF5047">
        <v>-4.3751733737544303</v>
      </c>
      <c r="AG5047">
        <v>-1.1159720104269999</v>
      </c>
      <c r="AH5047">
        <v>11.3893357316622</v>
      </c>
      <c r="AI5047">
        <v>95.226144982869698</v>
      </c>
      <c r="AJ5047">
        <v>111.01410386648701</v>
      </c>
      <c r="AK5047">
        <v>12.2517143284923</v>
      </c>
    </row>
    <row r="5048" spans="1:37" x14ac:dyDescent="0.2">
      <c r="A5048" t="str">
        <f>"20200111154200769"</f>
        <v>20200111154200769</v>
      </c>
      <c r="B5048" t="str">
        <f>"1578728520760445"</f>
        <v>1578728520760445</v>
      </c>
      <c r="C5048" t="s">
        <v>37</v>
      </c>
      <c r="D5048">
        <v>5.3087460000000002</v>
      </c>
      <c r="E5048">
        <v>0.45112370000000002</v>
      </c>
      <c r="F5048" t="s">
        <v>47</v>
      </c>
      <c r="G5048">
        <v>-206.33500000000001</v>
      </c>
      <c r="H5048" s="1">
        <v>-3.1102769999999899E-6</v>
      </c>
      <c r="I5048">
        <v>-57.285469999999997</v>
      </c>
      <c r="J5048">
        <v>-217.303</v>
      </c>
      <c r="K5048">
        <v>1.1161379999999901</v>
      </c>
      <c r="L5048">
        <v>-62.81671</v>
      </c>
      <c r="M5048">
        <v>0.99494609999999895</v>
      </c>
      <c r="N5048">
        <v>0</v>
      </c>
      <c r="O5048">
        <v>9.9394339999999998E-2</v>
      </c>
      <c r="P5048">
        <v>0.94169439999999904</v>
      </c>
      <c r="Q5048">
        <v>3.0473179999999999E-2</v>
      </c>
      <c r="R5048">
        <v>0.33508690000000002</v>
      </c>
      <c r="S5048">
        <v>2.7152099999999999</v>
      </c>
      <c r="T5048">
        <v>-0.2714491</v>
      </c>
      <c r="U5048">
        <v>1.350616</v>
      </c>
      <c r="V5048">
        <v>-0.24041899999999999</v>
      </c>
      <c r="W5048">
        <v>4.0923439999999998E-2</v>
      </c>
      <c r="X5048">
        <v>0.96980619999999995</v>
      </c>
      <c r="Y5048">
        <v>-0.35315849999999999</v>
      </c>
      <c r="Z5048">
        <v>7.3397009999999997E-3</v>
      </c>
      <c r="AA5048">
        <v>0.93553469999999905</v>
      </c>
      <c r="AB5048">
        <v>38</v>
      </c>
      <c r="AC5048">
        <v>10.9679999999999</v>
      </c>
      <c r="AD5048">
        <v>-1.11614111027699</v>
      </c>
      <c r="AE5048">
        <v>5.5312400000000004</v>
      </c>
      <c r="AF5048">
        <v>-4.3774362053894897</v>
      </c>
      <c r="AG5048">
        <v>-1.11614111027699</v>
      </c>
      <c r="AH5048">
        <v>11.369638057282399</v>
      </c>
      <c r="AI5048">
        <v>95.234429830880501</v>
      </c>
      <c r="AJ5048">
        <v>111.05725662120901</v>
      </c>
      <c r="AK5048">
        <v>12.234230186812299</v>
      </c>
    </row>
    <row r="5049" spans="1:37" x14ac:dyDescent="0.2">
      <c r="A5049" t="str">
        <f>"20200111154200778"</f>
        <v>20200111154200778</v>
      </c>
      <c r="B5049" t="str">
        <f>"1578728520771181"</f>
        <v>1578728520771181</v>
      </c>
      <c r="C5049" t="s">
        <v>37</v>
      </c>
      <c r="D5049">
        <v>5.3260769999999997</v>
      </c>
      <c r="E5049">
        <v>0.45102019999999998</v>
      </c>
      <c r="F5049" t="s">
        <v>47</v>
      </c>
      <c r="G5049">
        <v>-206.12520000000001</v>
      </c>
      <c r="H5049" s="1">
        <v>-3.2434129999999999E-6</v>
      </c>
      <c r="I5049">
        <v>-57.20261</v>
      </c>
      <c r="J5049">
        <v>-217.11869999999999</v>
      </c>
      <c r="K5049">
        <v>1.116301</v>
      </c>
      <c r="L5049">
        <v>-62.795869999999901</v>
      </c>
      <c r="M5049">
        <v>0.99461809999999995</v>
      </c>
      <c r="N5049">
        <v>0</v>
      </c>
      <c r="O5049">
        <v>0.102621</v>
      </c>
      <c r="P5049">
        <v>0.94041580000000002</v>
      </c>
      <c r="Q5049">
        <v>3.1024900000000001E-2</v>
      </c>
      <c r="R5049">
        <v>0.33860849999999998</v>
      </c>
      <c r="S5049">
        <v>2.7101439999999899</v>
      </c>
      <c r="T5049">
        <v>-0.27061560000000001</v>
      </c>
      <c r="U5049">
        <v>1.3611759999999999</v>
      </c>
      <c r="V5049">
        <v>-0.24092849999999999</v>
      </c>
      <c r="W5049">
        <v>4.1387479999999997E-2</v>
      </c>
      <c r="X5049">
        <v>0.96965999999999997</v>
      </c>
      <c r="Y5049">
        <v>-0.35375299999999998</v>
      </c>
      <c r="Z5049">
        <v>7.0531200000000004E-3</v>
      </c>
      <c r="AA5049">
        <v>0.93531229999999999</v>
      </c>
      <c r="AB5049">
        <v>38</v>
      </c>
      <c r="AC5049">
        <v>10.9934999999999</v>
      </c>
      <c r="AD5049">
        <v>-1.1163042434129999</v>
      </c>
      <c r="AE5049">
        <v>5.5932599999999901</v>
      </c>
      <c r="AF5049">
        <v>-4.3994116471108597</v>
      </c>
      <c r="AG5049">
        <v>-1.1163042434129999</v>
      </c>
      <c r="AH5049">
        <v>11.4159885858093</v>
      </c>
      <c r="AI5049">
        <v>95.213423230432397</v>
      </c>
      <c r="AJ5049">
        <v>111.075306478331</v>
      </c>
      <c r="AK5049">
        <v>12.2851843045159</v>
      </c>
    </row>
    <row r="5050" spans="1:37" x14ac:dyDescent="0.2">
      <c r="A5050" t="str">
        <f>"20200111154200789"</f>
        <v>20200111154200789</v>
      </c>
      <c r="B5050" t="str">
        <f>"1578728520780940"</f>
        <v>1578728520780940</v>
      </c>
      <c r="C5050" t="s">
        <v>37</v>
      </c>
      <c r="D5050">
        <v>5.3027939999999996</v>
      </c>
      <c r="E5050">
        <v>0.45091329999999902</v>
      </c>
      <c r="F5050" t="s">
        <v>47</v>
      </c>
      <c r="G5050">
        <v>-205.91030000000001</v>
      </c>
      <c r="H5050" s="1">
        <v>-3.3815390000000002E-6</v>
      </c>
      <c r="I5050">
        <v>-57.109729999999999</v>
      </c>
      <c r="J5050">
        <v>-216.94329999999999</v>
      </c>
      <c r="K5050">
        <v>1.1164590000000001</v>
      </c>
      <c r="L5050">
        <v>-62.775239999999997</v>
      </c>
      <c r="M5050">
        <v>0.99428499999999997</v>
      </c>
      <c r="N5050">
        <v>0</v>
      </c>
      <c r="O5050">
        <v>0.105797</v>
      </c>
      <c r="P5050">
        <v>0.93921569999999899</v>
      </c>
      <c r="Q5050">
        <v>3.1420599999999903E-2</v>
      </c>
      <c r="R5050">
        <v>0.3418872</v>
      </c>
      <c r="S5050">
        <v>2.704895</v>
      </c>
      <c r="T5050">
        <v>-0.2693952</v>
      </c>
      <c r="U5050">
        <v>1.372223</v>
      </c>
      <c r="V5050">
        <v>-0.24123839999999999</v>
      </c>
      <c r="W5050">
        <v>4.1701920000000003E-2</v>
      </c>
      <c r="X5050">
        <v>0.96956949999999997</v>
      </c>
      <c r="Y5050">
        <v>-0.35455490000000001</v>
      </c>
      <c r="Z5050">
        <v>6.7728069999999996E-3</v>
      </c>
      <c r="AA5050">
        <v>0.93501069999999997</v>
      </c>
      <c r="AB5050">
        <v>38</v>
      </c>
      <c r="AC5050">
        <v>11.0329999999999</v>
      </c>
      <c r="AD5050">
        <v>-1.116462381539</v>
      </c>
      <c r="AE5050">
        <v>5.6655099999999896</v>
      </c>
      <c r="AF5050">
        <v>-4.4304286264562398</v>
      </c>
      <c r="AG5050">
        <v>-1.116462381539</v>
      </c>
      <c r="AH5050">
        <v>11.477516982290901</v>
      </c>
      <c r="AI5050">
        <v>95.185256414551006</v>
      </c>
      <c r="AJ5050">
        <v>111.107053475388</v>
      </c>
      <c r="AK5050">
        <v>12.353484615374301</v>
      </c>
    </row>
    <row r="5051" spans="1:37" x14ac:dyDescent="0.2">
      <c r="A5051" t="str">
        <f>"20200111154200800"</f>
        <v>20200111154200800</v>
      </c>
      <c r="B5051" t="str">
        <f>"1578728520790703"</f>
        <v>1578728520790703</v>
      </c>
      <c r="C5051" t="s">
        <v>37</v>
      </c>
      <c r="D5051">
        <v>5.3337309999999896</v>
      </c>
      <c r="E5051">
        <v>0.45083469999999998</v>
      </c>
      <c r="F5051" t="s">
        <v>47</v>
      </c>
      <c r="G5051">
        <v>-205.72319999999999</v>
      </c>
      <c r="H5051" s="1">
        <v>-3.5017059999999899E-6</v>
      </c>
      <c r="I5051">
        <v>-57.029130000000002</v>
      </c>
      <c r="J5051">
        <v>-216.75659999999999</v>
      </c>
      <c r="K5051">
        <v>1.1166339999999999</v>
      </c>
      <c r="L5051">
        <v>-62.752899999999997</v>
      </c>
      <c r="M5051">
        <v>0.99391339999999995</v>
      </c>
      <c r="N5051">
        <v>0</v>
      </c>
      <c r="O5051">
        <v>0.1092311</v>
      </c>
      <c r="P5051">
        <v>0.9378493</v>
      </c>
      <c r="Q5051">
        <v>3.2044419999999997E-2</v>
      </c>
      <c r="R5051">
        <v>0.34556029999999999</v>
      </c>
      <c r="S5051">
        <v>2.6998289999999998</v>
      </c>
      <c r="T5051">
        <v>-0.26864919999999998</v>
      </c>
      <c r="U5051">
        <v>1.38266</v>
      </c>
      <c r="V5051">
        <v>-0.24171329999999999</v>
      </c>
      <c r="W5051">
        <v>4.2235509999999997E-2</v>
      </c>
      <c r="X5051">
        <v>0.96942809999999902</v>
      </c>
      <c r="Y5051">
        <v>-0.35491809999999901</v>
      </c>
      <c r="Z5051">
        <v>6.4616019999999899E-3</v>
      </c>
      <c r="AA5051">
        <v>0.93487509999999996</v>
      </c>
      <c r="AB5051">
        <v>38</v>
      </c>
      <c r="AC5051">
        <v>11.0334</v>
      </c>
      <c r="AD5051">
        <v>-1.116637501706</v>
      </c>
      <c r="AE5051">
        <v>5.7237699999999903</v>
      </c>
      <c r="AF5051">
        <v>-4.44830008540655</v>
      </c>
      <c r="AG5051">
        <v>-1.116637501706</v>
      </c>
      <c r="AH5051">
        <v>11.4998345072599</v>
      </c>
      <c r="AI5051">
        <v>95.174662518461503</v>
      </c>
      <c r="AJ5051">
        <v>111.147181505714</v>
      </c>
      <c r="AK5051">
        <v>12.3806480708568</v>
      </c>
    </row>
    <row r="5052" spans="1:37" x14ac:dyDescent="0.2">
      <c r="A5052" t="str">
        <f>"20200111154200812"</f>
        <v>20200111154200812</v>
      </c>
      <c r="B5052" t="str">
        <f>"1578728520800461"</f>
        <v>1578728520800461</v>
      </c>
      <c r="C5052" t="s">
        <v>37</v>
      </c>
      <c r="D5052">
        <v>5.2985259999999998</v>
      </c>
      <c r="E5052">
        <v>0.45073279999999899</v>
      </c>
      <c r="F5052" t="s">
        <v>47</v>
      </c>
      <c r="G5052">
        <v>-205.49119999999999</v>
      </c>
      <c r="H5052" s="1">
        <v>-3.6519799999999998E-6</v>
      </c>
      <c r="I5052">
        <v>-56.923659999999998</v>
      </c>
      <c r="J5052">
        <v>-216.57429999999999</v>
      </c>
      <c r="K5052">
        <v>1.1168049999999901</v>
      </c>
      <c r="L5052">
        <v>-62.729979999999998</v>
      </c>
      <c r="M5052">
        <v>0.99352189999999996</v>
      </c>
      <c r="N5052">
        <v>0</v>
      </c>
      <c r="O5052">
        <v>0.11273329999999999</v>
      </c>
      <c r="P5052">
        <v>0.93641609999999997</v>
      </c>
      <c r="Q5052">
        <v>3.2302280000000003E-2</v>
      </c>
      <c r="R5052">
        <v>0.34940169999999998</v>
      </c>
      <c r="S5052">
        <v>2.6942599999999999</v>
      </c>
      <c r="T5052">
        <v>-0.26705770000000001</v>
      </c>
      <c r="U5052">
        <v>1.3941349999999999</v>
      </c>
      <c r="V5052">
        <v>-0.24229349999999999</v>
      </c>
      <c r="W5052">
        <v>4.2400819999999999E-2</v>
      </c>
      <c r="X5052">
        <v>0.96927600000000003</v>
      </c>
      <c r="Y5052">
        <v>-0.35557539999999999</v>
      </c>
      <c r="Z5052">
        <v>6.1404459999999999E-3</v>
      </c>
      <c r="AA5052">
        <v>0.9346274</v>
      </c>
      <c r="AB5052">
        <v>38</v>
      </c>
      <c r="AC5052">
        <v>11.0831</v>
      </c>
      <c r="AD5052">
        <v>-1.11680865197999</v>
      </c>
      <c r="AE5052">
        <v>5.8063200000000004</v>
      </c>
      <c r="AF5052">
        <v>-4.4840106673635898</v>
      </c>
      <c r="AG5052">
        <v>-1.11680865197999</v>
      </c>
      <c r="AH5052">
        <v>11.574846908080399</v>
      </c>
      <c r="AI5052">
        <v>95.141095718806795</v>
      </c>
      <c r="AJ5052">
        <v>111.176001813479</v>
      </c>
      <c r="AK5052">
        <v>12.463173519439801</v>
      </c>
    </row>
    <row r="5053" spans="1:37" x14ac:dyDescent="0.2">
      <c r="A5053" t="str">
        <f>"20200111154200823"</f>
        <v>20200111154200823</v>
      </c>
      <c r="B5053" t="str">
        <f>"1578728520811197"</f>
        <v>1578728520811197</v>
      </c>
      <c r="C5053" t="s">
        <v>37</v>
      </c>
      <c r="D5053">
        <v>5.2997459999999998</v>
      </c>
      <c r="E5053">
        <v>0.45064159999999998</v>
      </c>
      <c r="F5053" t="s">
        <v>47</v>
      </c>
      <c r="G5053">
        <v>-205.3098</v>
      </c>
      <c r="H5053" s="1">
        <v>-3.770025E-6</v>
      </c>
      <c r="I5053">
        <v>-56.838790000000003</v>
      </c>
      <c r="J5053">
        <v>-216.38829999999999</v>
      </c>
      <c r="K5053">
        <v>1.116981</v>
      </c>
      <c r="L5053">
        <v>-62.706359999999997</v>
      </c>
      <c r="M5053">
        <v>0.99310569999999898</v>
      </c>
      <c r="N5053">
        <v>0</v>
      </c>
      <c r="O5053">
        <v>0.11633979999999999</v>
      </c>
      <c r="P5053">
        <v>0.93489330000000004</v>
      </c>
      <c r="Q5053">
        <v>3.2306319999999999E-2</v>
      </c>
      <c r="R5053">
        <v>0.35345579999999999</v>
      </c>
      <c r="S5053">
        <v>2.6882929999999998</v>
      </c>
      <c r="T5053">
        <v>-0.26652870000000001</v>
      </c>
      <c r="U5053">
        <v>1.405945</v>
      </c>
      <c r="V5053">
        <v>-0.24299279999999901</v>
      </c>
      <c r="W5053">
        <v>4.2305540000000003E-2</v>
      </c>
      <c r="X5053">
        <v>0.96910509999999905</v>
      </c>
      <c r="Y5053">
        <v>-0.35627300000000001</v>
      </c>
      <c r="Z5053">
        <v>5.8385809999999998E-3</v>
      </c>
      <c r="AA5053">
        <v>0.93436369999999902</v>
      </c>
      <c r="AB5053">
        <v>38</v>
      </c>
      <c r="AC5053">
        <v>11.078499999999901</v>
      </c>
      <c r="AD5053">
        <v>-1.116984770025</v>
      </c>
      <c r="AE5053">
        <v>5.86756999999999</v>
      </c>
      <c r="AF5053">
        <v>-4.5029669131686099</v>
      </c>
      <c r="AG5053">
        <v>-1.116984770025</v>
      </c>
      <c r="AH5053">
        <v>11.5939174460879</v>
      </c>
      <c r="AI5053">
        <v>95.131772050131005</v>
      </c>
      <c r="AJ5053">
        <v>111.22569495724601</v>
      </c>
      <c r="AK5053">
        <v>12.487725483219901</v>
      </c>
    </row>
    <row r="5054" spans="1:37" x14ac:dyDescent="0.2">
      <c r="A5054" t="str">
        <f>"20200111154200834"</f>
        <v>20200111154200834</v>
      </c>
      <c r="B5054" t="str">
        <f>"1578728520830717"</f>
        <v>1578728520830717</v>
      </c>
      <c r="C5054" t="s">
        <v>37</v>
      </c>
      <c r="D5054">
        <v>5.2808400000000004</v>
      </c>
      <c r="E5054">
        <v>0.45043539999999999</v>
      </c>
      <c r="F5054" t="s">
        <v>47</v>
      </c>
      <c r="G5054">
        <v>-205.16419999999999</v>
      </c>
      <c r="H5054" s="1">
        <v>-3.8648139999999998E-6</v>
      </c>
      <c r="I5054">
        <v>-56.77046</v>
      </c>
      <c r="J5054">
        <v>-216.2028</v>
      </c>
      <c r="K5054">
        <v>1.117159</v>
      </c>
      <c r="L5054">
        <v>-62.681459999999902</v>
      </c>
      <c r="M5054">
        <v>0.99265569999999903</v>
      </c>
      <c r="N5054">
        <v>0</v>
      </c>
      <c r="O5054">
        <v>0.12011719999999999</v>
      </c>
      <c r="P5054">
        <v>0.9334266</v>
      </c>
      <c r="Q5054">
        <v>3.260652E-2</v>
      </c>
      <c r="R5054">
        <v>0.35728359999999998</v>
      </c>
      <c r="S5054">
        <v>2.6819000000000002</v>
      </c>
      <c r="T5054">
        <v>-0.26689459999999998</v>
      </c>
      <c r="U5054">
        <v>1.4183349999999999</v>
      </c>
      <c r="V5054">
        <v>-0.24330259999999901</v>
      </c>
      <c r="W5054">
        <v>4.2512769999999998E-2</v>
      </c>
      <c r="X5054">
        <v>0.9690183</v>
      </c>
      <c r="Y5054">
        <v>-0.35702129999999999</v>
      </c>
      <c r="Z5054">
        <v>5.5434309999999997E-3</v>
      </c>
      <c r="AA5054">
        <v>0.93407980000000002</v>
      </c>
      <c r="AB5054">
        <v>38</v>
      </c>
      <c r="AC5054">
        <v>11.038600000000001</v>
      </c>
      <c r="AD5054">
        <v>-1.117162864814</v>
      </c>
      <c r="AE5054">
        <v>5.9109999999999898</v>
      </c>
      <c r="AF5054">
        <v>-4.5062613335622999</v>
      </c>
      <c r="AG5054">
        <v>-1.117162864814</v>
      </c>
      <c r="AH5054">
        <v>11.5765972684902</v>
      </c>
      <c r="AI5054">
        <v>95.138729188315693</v>
      </c>
      <c r="AJ5054">
        <v>111.268779951865</v>
      </c>
      <c r="AK5054">
        <v>12.472852456022</v>
      </c>
    </row>
    <row r="5055" spans="1:37" x14ac:dyDescent="0.2">
      <c r="A5055" t="str">
        <f>"20200111154200847"</f>
        <v>20200111154200847</v>
      </c>
      <c r="B5055" t="str">
        <f>"1578728520840476"</f>
        <v>1578728520840476</v>
      </c>
      <c r="C5055" t="s">
        <v>37</v>
      </c>
      <c r="D5055">
        <v>5.2344150000000003</v>
      </c>
      <c r="E5055">
        <v>0.45043539999999999</v>
      </c>
      <c r="F5055" t="s">
        <v>47</v>
      </c>
      <c r="G5055">
        <v>-204.99959999999999</v>
      </c>
      <c r="H5055" s="1">
        <v>-3.9728560000000002E-6</v>
      </c>
      <c r="I5055">
        <v>-56.689190000000004</v>
      </c>
      <c r="J5055">
        <v>-215.9957</v>
      </c>
      <c r="K5055">
        <v>1.1173629999999899</v>
      </c>
      <c r="L5055">
        <v>-62.653169999999903</v>
      </c>
      <c r="M5055">
        <v>0.99212809999999996</v>
      </c>
      <c r="N5055">
        <v>0</v>
      </c>
      <c r="O5055">
        <v>0.124396399999999</v>
      </c>
      <c r="P5055">
        <v>0.93170059999999999</v>
      </c>
      <c r="Q5055">
        <v>3.257583E-2</v>
      </c>
      <c r="R5055">
        <v>0.36176329999999901</v>
      </c>
      <c r="S5055">
        <v>2.675522</v>
      </c>
      <c r="T5055">
        <v>-0.2667987</v>
      </c>
      <c r="U5055">
        <v>1.4310609999999999</v>
      </c>
      <c r="V5055">
        <v>-0.2437993</v>
      </c>
      <c r="W5055">
        <v>4.2374139999999998E-2</v>
      </c>
      <c r="X5055">
        <v>0.96889950000000002</v>
      </c>
      <c r="Y5055">
        <v>-0.3573906</v>
      </c>
      <c r="Z5055">
        <v>5.1744169999999997E-3</v>
      </c>
      <c r="AA5055">
        <v>0.93394059999999901</v>
      </c>
      <c r="AB5055">
        <v>38</v>
      </c>
      <c r="AC5055">
        <v>10.9961</v>
      </c>
      <c r="AD5055">
        <v>-1.1173669728559901</v>
      </c>
      <c r="AE5055">
        <v>5.9639799999999896</v>
      </c>
      <c r="AF5055">
        <v>-4.5136165457343802</v>
      </c>
      <c r="AG5055">
        <v>-1.1173669728559901</v>
      </c>
      <c r="AH5055">
        <v>11.5604104389077</v>
      </c>
      <c r="AI5055">
        <v>95.144774879754706</v>
      </c>
      <c r="AJ5055">
        <v>111.32753278891001</v>
      </c>
      <c r="AK5055">
        <v>12.4605109361519</v>
      </c>
    </row>
    <row r="5056" spans="1:37" x14ac:dyDescent="0.2">
      <c r="A5056" t="str">
        <f>"20200111154200857"</f>
        <v>20200111154200857</v>
      </c>
      <c r="B5056" t="str">
        <f>"1578728520851213"</f>
        <v>1578728520851213</v>
      </c>
      <c r="C5056" t="s">
        <v>37</v>
      </c>
      <c r="D5056">
        <v>5.1405430000000001</v>
      </c>
      <c r="E5056">
        <v>0.42321340000000002</v>
      </c>
      <c r="F5056" t="s">
        <v>47</v>
      </c>
      <c r="G5056">
        <v>-204.81639999999999</v>
      </c>
      <c r="H5056" s="1">
        <v>-4.086784E-6</v>
      </c>
      <c r="I5056">
        <v>-56.603469999999902</v>
      </c>
      <c r="J5056">
        <v>-215.8252</v>
      </c>
      <c r="K5056">
        <v>1.117529</v>
      </c>
      <c r="L5056">
        <v>-62.628999999999998</v>
      </c>
      <c r="M5056">
        <v>0.99166569999999898</v>
      </c>
      <c r="N5056">
        <v>0</v>
      </c>
      <c r="O5056">
        <v>0.12802839999999999</v>
      </c>
      <c r="P5056">
        <v>0.93016699999999997</v>
      </c>
      <c r="Q5056">
        <v>3.2878490000000003E-2</v>
      </c>
      <c r="R5056">
        <v>0.36566169999999998</v>
      </c>
      <c r="S5056">
        <v>2.6685490000000001</v>
      </c>
      <c r="T5056">
        <v>-0.26672059999999997</v>
      </c>
      <c r="U5056">
        <v>1.4440919999999999</v>
      </c>
      <c r="V5056">
        <v>-0.24433389999999999</v>
      </c>
      <c r="W5056">
        <v>4.2586619999999999E-2</v>
      </c>
      <c r="X5056">
        <v>0.96875549999999999</v>
      </c>
      <c r="Y5056">
        <v>-0.35852970000000001</v>
      </c>
      <c r="Z5056">
        <v>4.9015200000000004E-3</v>
      </c>
      <c r="AA5056">
        <v>0.93350540000000004</v>
      </c>
      <c r="AB5056">
        <v>38</v>
      </c>
      <c r="AC5056">
        <v>11.008800000000001</v>
      </c>
      <c r="AD5056">
        <v>-1.1175330867840001</v>
      </c>
      <c r="AE5056">
        <v>6.0255299999999998</v>
      </c>
      <c r="AF5056">
        <v>-4.53042362406112</v>
      </c>
      <c r="AG5056">
        <v>-1.1175330867840001</v>
      </c>
      <c r="AH5056">
        <v>11.597740645212699</v>
      </c>
      <c r="AI5056">
        <v>95.128729242981194</v>
      </c>
      <c r="AJ5056">
        <v>111.337100111048</v>
      </c>
      <c r="AK5056">
        <v>12.5012481971652</v>
      </c>
    </row>
    <row r="5057" spans="1:37" x14ac:dyDescent="0.2">
      <c r="A5057" t="str">
        <f>"20200111154200869"</f>
        <v>20200111154200869</v>
      </c>
      <c r="B5057" t="str">
        <f>"1578728520860973"</f>
        <v>1578728520860973</v>
      </c>
      <c r="C5057" t="s">
        <v>37</v>
      </c>
      <c r="D5057">
        <v>5.2645660000000003</v>
      </c>
      <c r="E5057">
        <v>0.42321340000000002</v>
      </c>
      <c r="F5057" t="s">
        <v>47</v>
      </c>
      <c r="G5057">
        <v>-204.68709999999999</v>
      </c>
      <c r="H5057" s="1">
        <v>-4.4019829999999997E-6</v>
      </c>
      <c r="I5057">
        <v>-55.479100000000003</v>
      </c>
      <c r="J5057">
        <v>-215.6242</v>
      </c>
      <c r="K5057">
        <v>1.117734</v>
      </c>
      <c r="L5057">
        <v>-62.599609999999998</v>
      </c>
      <c r="M5057">
        <v>0.99108949999999996</v>
      </c>
      <c r="N5057">
        <v>0</v>
      </c>
      <c r="O5057">
        <v>0.13241240000000001</v>
      </c>
      <c r="P5057">
        <v>0.92838569999999998</v>
      </c>
      <c r="Q5057">
        <v>3.335987E-2</v>
      </c>
      <c r="R5057">
        <v>0.37011759999999999</v>
      </c>
      <c r="S5057">
        <v>2.5826419999999999</v>
      </c>
      <c r="T5057">
        <v>-0.25912579999999902</v>
      </c>
      <c r="U5057">
        <v>1.65786699999999</v>
      </c>
      <c r="V5057">
        <v>-0.24472720000000001</v>
      </c>
      <c r="W5057">
        <v>4.2965839999999998E-2</v>
      </c>
      <c r="X5057">
        <v>0.96863960000000005</v>
      </c>
      <c r="Y5057">
        <v>-0.42298980000000003</v>
      </c>
      <c r="Z5057">
        <v>7.3786950000000002E-3</v>
      </c>
      <c r="AA5057">
        <v>0.90610440000000003</v>
      </c>
      <c r="AB5057">
        <v>38</v>
      </c>
      <c r="AC5057">
        <v>10.937099999999999</v>
      </c>
      <c r="AD5057">
        <v>-1.1177384019829999</v>
      </c>
      <c r="AE5057">
        <v>7.1205099999999897</v>
      </c>
      <c r="AF5057">
        <v>-5.5685934488317104</v>
      </c>
      <c r="AG5057">
        <v>-1.1177384019829999</v>
      </c>
      <c r="AH5057">
        <v>11.6979115102094</v>
      </c>
      <c r="AI5057">
        <v>94.930916037238504</v>
      </c>
      <c r="AJ5057">
        <v>115.455995821919</v>
      </c>
      <c r="AK5057">
        <v>13.003834274333499</v>
      </c>
    </row>
    <row r="5058" spans="1:37" x14ac:dyDescent="0.2">
      <c r="A5058" t="str">
        <f>"20200111154200879"</f>
        <v>20200111154200879</v>
      </c>
      <c r="B5058" t="str">
        <f>"1578728520870734"</f>
        <v>1578728520870734</v>
      </c>
      <c r="C5058" t="s">
        <v>37</v>
      </c>
      <c r="D5058">
        <v>5.2873289999999997</v>
      </c>
      <c r="E5058">
        <v>0.40598979999999901</v>
      </c>
      <c r="F5058" t="s">
        <v>38</v>
      </c>
      <c r="G5058">
        <v>-214.7389</v>
      </c>
      <c r="H5058">
        <v>1.029236</v>
      </c>
      <c r="I5058">
        <v>-62.025369999999903</v>
      </c>
      <c r="J5058">
        <v>-215.4452</v>
      </c>
      <c r="K5058">
        <v>1.1179139999999901</v>
      </c>
      <c r="L5058">
        <v>-62.572809999999997</v>
      </c>
      <c r="M5058">
        <v>0.9905484</v>
      </c>
      <c r="N5058">
        <v>0</v>
      </c>
      <c r="O5058">
        <v>0.13639970000000001</v>
      </c>
      <c r="P5058">
        <v>0.92668709999999899</v>
      </c>
      <c r="Q5058">
        <v>3.4009829999999998E-2</v>
      </c>
      <c r="R5058">
        <v>0.37429200000000001</v>
      </c>
      <c r="S5058">
        <v>2.5747529999999998</v>
      </c>
      <c r="T5058">
        <v>-0.25737680000000002</v>
      </c>
      <c r="U5058">
        <v>1.6703490000000001</v>
      </c>
      <c r="V5058">
        <v>-0.24522240000000001</v>
      </c>
      <c r="W5058">
        <v>4.3520830000000003E-2</v>
      </c>
      <c r="X5058">
        <v>0.9684895</v>
      </c>
      <c r="Y5058">
        <v>-0.42372769999999998</v>
      </c>
      <c r="Z5058">
        <v>7.0201999999999999E-3</v>
      </c>
      <c r="AA5058">
        <v>0.90576239999999997</v>
      </c>
      <c r="AB5058">
        <v>38</v>
      </c>
      <c r="AC5058">
        <v>0.70629999999999804</v>
      </c>
      <c r="AD5058">
        <v>-8.8677999999999799E-2</v>
      </c>
      <c r="AE5058">
        <v>0.54744000000000104</v>
      </c>
      <c r="AF5058">
        <v>-0.44162438063013698</v>
      </c>
      <c r="AG5058">
        <v>-8.8677999999999799E-2</v>
      </c>
      <c r="AH5058">
        <v>0.76682454268211697</v>
      </c>
      <c r="AI5058">
        <v>95.722630660149804</v>
      </c>
      <c r="AJ5058">
        <v>119.938208320901</v>
      </c>
      <c r="AK5058">
        <v>0.88933444806247697</v>
      </c>
    </row>
    <row r="5059" spans="1:37" x14ac:dyDescent="0.2">
      <c r="A5059" t="str">
        <f>"20200111154200892"</f>
        <v>20200111154200892</v>
      </c>
      <c r="B5059" t="str">
        <f>"1578728520880493"</f>
        <v>1578728520880493</v>
      </c>
      <c r="C5059" t="s">
        <v>37</v>
      </c>
      <c r="D5059">
        <v>5.2191519999999896</v>
      </c>
      <c r="E5059">
        <v>0.40686109999999998</v>
      </c>
      <c r="F5059" t="s">
        <v>38</v>
      </c>
      <c r="G5059">
        <v>-214.6977</v>
      </c>
      <c r="H5059">
        <v>1.0458229999999999</v>
      </c>
      <c r="I5059">
        <v>-62.034999999999997</v>
      </c>
      <c r="J5059">
        <v>-215.26050000000001</v>
      </c>
      <c r="K5059">
        <v>1.118101</v>
      </c>
      <c r="L5059">
        <v>-62.543950000000002</v>
      </c>
      <c r="M5059">
        <v>0.98995349999999904</v>
      </c>
      <c r="N5059">
        <v>0</v>
      </c>
      <c r="O5059">
        <v>0.14064960000000001</v>
      </c>
      <c r="P5059">
        <v>0.92496339999999999</v>
      </c>
      <c r="Q5059">
        <v>3.4820999999999998E-2</v>
      </c>
      <c r="R5059">
        <v>0.37845800000000002</v>
      </c>
      <c r="S5059">
        <v>2.5151669999999999</v>
      </c>
      <c r="T5059">
        <v>-0.2425715</v>
      </c>
      <c r="U5059">
        <v>1.810028</v>
      </c>
      <c r="V5059">
        <v>-0.24546309999999999</v>
      </c>
      <c r="W5059">
        <v>4.4239210000000001E-2</v>
      </c>
      <c r="X5059">
        <v>0.96839589999999998</v>
      </c>
      <c r="Y5059">
        <v>-0.4631692</v>
      </c>
      <c r="Z5059">
        <v>8.0085599999999996E-3</v>
      </c>
      <c r="AA5059">
        <v>0.88623369999999901</v>
      </c>
      <c r="AB5059">
        <v>38</v>
      </c>
      <c r="AC5059">
        <v>0.56280000000000996</v>
      </c>
      <c r="AD5059">
        <v>-7.2277999999999995E-2</v>
      </c>
      <c r="AE5059">
        <v>0.50895000000000501</v>
      </c>
      <c r="AF5059">
        <v>-0.42090483419939601</v>
      </c>
      <c r="AG5059">
        <v>-7.2277999999999995E-2</v>
      </c>
      <c r="AH5059">
        <v>0.62314151010221597</v>
      </c>
      <c r="AI5059">
        <v>95.490265254087802</v>
      </c>
      <c r="AJ5059">
        <v>124.037305350918</v>
      </c>
      <c r="AK5059">
        <v>0.75544048762883498</v>
      </c>
    </row>
    <row r="5060" spans="1:37" x14ac:dyDescent="0.2">
      <c r="A5060" t="str">
        <f>"20200111154200901"</f>
        <v>20200111154200901</v>
      </c>
      <c r="B5060" t="str">
        <f>"1578728520891230"</f>
        <v>1578728520891230</v>
      </c>
      <c r="C5060" t="s">
        <v>37</v>
      </c>
      <c r="D5060">
        <v>5.2450449999999904</v>
      </c>
      <c r="E5060">
        <v>0.40704380000000001</v>
      </c>
      <c r="F5060" t="s">
        <v>38</v>
      </c>
      <c r="G5060">
        <v>-214.42339999999999</v>
      </c>
      <c r="H5060">
        <v>1.0373110000000001</v>
      </c>
      <c r="I5060">
        <v>-61.938639999999999</v>
      </c>
      <c r="J5060">
        <v>-215.08070000000001</v>
      </c>
      <c r="K5060">
        <v>1.118285</v>
      </c>
      <c r="L5060">
        <v>-62.515529999999998</v>
      </c>
      <c r="M5060">
        <v>0.98935019999999996</v>
      </c>
      <c r="N5060">
        <v>0</v>
      </c>
      <c r="O5060">
        <v>0.14482999999999999</v>
      </c>
      <c r="P5060">
        <v>0.92326070000000005</v>
      </c>
      <c r="Q5060">
        <v>3.5853370000000002E-2</v>
      </c>
      <c r="R5060">
        <v>0.38249729999999998</v>
      </c>
      <c r="S5060">
        <v>2.5098419999999999</v>
      </c>
      <c r="T5060">
        <v>-0.2422512</v>
      </c>
      <c r="U5060">
        <v>1.8150630000000001</v>
      </c>
      <c r="V5060">
        <v>-0.24565090000000001</v>
      </c>
      <c r="W5060">
        <v>4.5181930000000002E-2</v>
      </c>
      <c r="X5060">
        <v>0.96830479999999997</v>
      </c>
      <c r="Y5060">
        <v>-0.46150469999999999</v>
      </c>
      <c r="Z5060">
        <v>7.5864749999999996E-3</v>
      </c>
      <c r="AA5060">
        <v>0.88710529999999999</v>
      </c>
      <c r="AB5060">
        <v>38</v>
      </c>
      <c r="AC5060">
        <v>0.65730000000001998</v>
      </c>
      <c r="AD5060">
        <v>-8.0973999999999796E-2</v>
      </c>
      <c r="AE5060">
        <v>0.57689000000000501</v>
      </c>
      <c r="AF5060">
        <v>-0.47155701008619799</v>
      </c>
      <c r="AG5060">
        <v>-8.0973999999999796E-2</v>
      </c>
      <c r="AH5060">
        <v>0.72768983233497597</v>
      </c>
      <c r="AI5060">
        <v>95.334957518444497</v>
      </c>
      <c r="AJ5060">
        <v>122.944013717331</v>
      </c>
      <c r="AK5060">
        <v>0.87089338872283295</v>
      </c>
    </row>
    <row r="5061" spans="1:37" x14ac:dyDescent="0.2">
      <c r="A5061" t="str">
        <f>"20200111154200913"</f>
        <v>20200111154200913</v>
      </c>
      <c r="B5061" t="str">
        <f>"1578728520900989"</f>
        <v>1578728520900989</v>
      </c>
      <c r="C5061" t="s">
        <v>37</v>
      </c>
      <c r="D5061">
        <v>5.2227350000000001</v>
      </c>
      <c r="E5061">
        <v>0.40752529999999998</v>
      </c>
      <c r="F5061" t="s">
        <v>38</v>
      </c>
      <c r="G5061">
        <v>-214.31299999999999</v>
      </c>
      <c r="H5061">
        <v>1.0463979999999999</v>
      </c>
      <c r="I5061">
        <v>-61.955579999999998</v>
      </c>
      <c r="J5061">
        <v>-214.90350000000001</v>
      </c>
      <c r="K5061">
        <v>1.1184689999999999</v>
      </c>
      <c r="L5061">
        <v>-62.486019999999897</v>
      </c>
      <c r="M5061">
        <v>0.98871209999999898</v>
      </c>
      <c r="N5061">
        <v>0</v>
      </c>
      <c r="O5061">
        <v>0.1491219</v>
      </c>
      <c r="P5061">
        <v>0.92159799999999903</v>
      </c>
      <c r="Q5061">
        <v>3.6899010000000003E-2</v>
      </c>
      <c r="R5061">
        <v>0.386387799999999</v>
      </c>
      <c r="S5061">
        <v>2.50228899999999</v>
      </c>
      <c r="T5061">
        <v>-0.2343056</v>
      </c>
      <c r="U5061">
        <v>1.825134</v>
      </c>
      <c r="V5061">
        <v>-0.24557950000000001</v>
      </c>
      <c r="W5061">
        <v>4.614414E-2</v>
      </c>
      <c r="X5061">
        <v>0.96827759999999996</v>
      </c>
      <c r="Y5061">
        <v>-0.46133420000000003</v>
      </c>
      <c r="Z5061">
        <v>6.9949950000000004E-3</v>
      </c>
      <c r="AA5061">
        <v>0.88719890000000001</v>
      </c>
      <c r="AB5061">
        <v>38</v>
      </c>
      <c r="AC5061">
        <v>0.59050000000002001</v>
      </c>
      <c r="AD5061">
        <v>-7.2071000000000204E-2</v>
      </c>
      <c r="AE5061">
        <v>0.53043999999999103</v>
      </c>
      <c r="AF5061">
        <v>-0.432873384702745</v>
      </c>
      <c r="AG5061">
        <v>-7.2071000000000204E-2</v>
      </c>
      <c r="AH5061">
        <v>0.65758351965425099</v>
      </c>
      <c r="AI5061">
        <v>95.230583767225397</v>
      </c>
      <c r="AJ5061">
        <v>123.356068287165</v>
      </c>
      <c r="AK5061">
        <v>0.79056288905177097</v>
      </c>
    </row>
    <row r="5062" spans="1:37" x14ac:dyDescent="0.2">
      <c r="A5062" t="str">
        <f>"20200111154200925"</f>
        <v>20200111154200925</v>
      </c>
      <c r="B5062" t="str">
        <f>"1578728520920510"</f>
        <v>1578728520920510</v>
      </c>
      <c r="C5062" t="s">
        <v>37</v>
      </c>
      <c r="D5062">
        <v>5.2135530000000001</v>
      </c>
      <c r="E5062">
        <v>0.40823159999999997</v>
      </c>
      <c r="F5062" t="s">
        <v>38</v>
      </c>
      <c r="G5062">
        <v>-214.09350000000001</v>
      </c>
      <c r="H5062">
        <v>1.0435589999999999</v>
      </c>
      <c r="I5062">
        <v>-61.8915199999999</v>
      </c>
      <c r="J5062">
        <v>-214.7174</v>
      </c>
      <c r="K5062">
        <v>1.1186609999999999</v>
      </c>
      <c r="L5062">
        <v>-62.454740000000001</v>
      </c>
      <c r="M5062">
        <v>0.98801609999999995</v>
      </c>
      <c r="N5062">
        <v>0</v>
      </c>
      <c r="O5062">
        <v>0.1536621</v>
      </c>
      <c r="P5062">
        <v>0.91985879999999998</v>
      </c>
      <c r="Q5062">
        <v>3.8305760000000001E-2</v>
      </c>
      <c r="R5062">
        <v>0.39037470000000002</v>
      </c>
      <c r="S5062">
        <v>2.4961849999999899</v>
      </c>
      <c r="T5062">
        <v>-0.2308576</v>
      </c>
      <c r="U5062">
        <v>1.8324279999999999</v>
      </c>
      <c r="V5062">
        <v>-0.2453833</v>
      </c>
      <c r="W5062">
        <v>4.7464949999999999E-2</v>
      </c>
      <c r="X5062">
        <v>0.9682634</v>
      </c>
      <c r="Y5062">
        <v>-0.46001909999999901</v>
      </c>
      <c r="Z5062">
        <v>6.485106E-3</v>
      </c>
      <c r="AA5062">
        <v>0.88788539999999905</v>
      </c>
      <c r="AB5062">
        <v>38</v>
      </c>
      <c r="AC5062">
        <v>0.62389999999999102</v>
      </c>
      <c r="AD5062">
        <v>-7.5102000000000002E-2</v>
      </c>
      <c r="AE5062">
        <v>0.56322000000000805</v>
      </c>
      <c r="AF5062">
        <v>-0.45700089741452399</v>
      </c>
      <c r="AG5062">
        <v>-7.5102000000000002E-2</v>
      </c>
      <c r="AH5062">
        <v>0.69747487918145101</v>
      </c>
      <c r="AI5062">
        <v>95.146491459695397</v>
      </c>
      <c r="AJ5062">
        <v>123.233699530615</v>
      </c>
      <c r="AK5062">
        <v>0.83723433859992902</v>
      </c>
    </row>
    <row r="5063" spans="1:37" x14ac:dyDescent="0.2">
      <c r="A5063" t="str">
        <f>"20200111154200935"</f>
        <v>20200111154200935</v>
      </c>
      <c r="B5063" t="str">
        <f>"1578728520931245"</f>
        <v>1578728520931245</v>
      </c>
      <c r="C5063" t="s">
        <v>37</v>
      </c>
      <c r="D5063">
        <v>5.1766030000000001</v>
      </c>
      <c r="E5063">
        <v>0.40843979999999902</v>
      </c>
      <c r="F5063" t="s">
        <v>38</v>
      </c>
      <c r="G5063">
        <v>-213.7919</v>
      </c>
      <c r="H5063">
        <v>1.0338270000000001</v>
      </c>
      <c r="I5063">
        <v>-61.771740000000001</v>
      </c>
      <c r="J5063">
        <v>-214.53970000000001</v>
      </c>
      <c r="K5063">
        <v>1.118849</v>
      </c>
      <c r="L5063">
        <v>-62.423459999999999</v>
      </c>
      <c r="M5063">
        <v>0.98730479999999998</v>
      </c>
      <c r="N5063">
        <v>0</v>
      </c>
      <c r="O5063">
        <v>0.158166</v>
      </c>
      <c r="P5063">
        <v>0.91819329999999999</v>
      </c>
      <c r="Q5063">
        <v>3.9515830000000002E-2</v>
      </c>
      <c r="R5063">
        <v>0.39415689999999998</v>
      </c>
      <c r="S5063">
        <v>2.4907840000000001</v>
      </c>
      <c r="T5063">
        <v>-0.22830889999999901</v>
      </c>
      <c r="U5063">
        <v>1.838165</v>
      </c>
      <c r="V5063">
        <v>-0.24500709999999901</v>
      </c>
      <c r="W5063">
        <v>4.8598519999999999E-2</v>
      </c>
      <c r="X5063">
        <v>0.96830249999999995</v>
      </c>
      <c r="Y5063">
        <v>-0.45824799999999899</v>
      </c>
      <c r="Z5063">
        <v>5.9942429999999998E-3</v>
      </c>
      <c r="AA5063">
        <v>0.88880409999999899</v>
      </c>
      <c r="AB5063">
        <v>38</v>
      </c>
      <c r="AC5063">
        <v>0.74780000000001201</v>
      </c>
      <c r="AD5063">
        <v>-8.5021999999999903E-2</v>
      </c>
      <c r="AE5063">
        <v>0.65171999999999697</v>
      </c>
      <c r="AF5063">
        <v>-0.52139508925809197</v>
      </c>
      <c r="AG5063">
        <v>-8.5021999999999903E-2</v>
      </c>
      <c r="AH5063">
        <v>0.83533900546776496</v>
      </c>
      <c r="AI5063">
        <v>94.934827922500403</v>
      </c>
      <c r="AJ5063">
        <v>121.971249362791</v>
      </c>
      <c r="AK5063">
        <v>0.988368774113351</v>
      </c>
    </row>
    <row r="5064" spans="1:37" x14ac:dyDescent="0.2">
      <c r="A5064" t="str">
        <f>"20200111154200947"</f>
        <v>20200111154200947</v>
      </c>
      <c r="B5064" t="str">
        <f>"1578728520941005"</f>
        <v>1578728520941005</v>
      </c>
      <c r="C5064" t="s">
        <v>37</v>
      </c>
      <c r="D5064">
        <v>5.2143119999999996</v>
      </c>
      <c r="E5064">
        <v>0.40870909999999999</v>
      </c>
      <c r="F5064" t="s">
        <v>38</v>
      </c>
      <c r="G5064">
        <v>-213.7629</v>
      </c>
      <c r="H5064">
        <v>1.049296</v>
      </c>
      <c r="I5064">
        <v>-61.845759999999999</v>
      </c>
      <c r="J5064">
        <v>-214.3417</v>
      </c>
      <c r="K5064">
        <v>1.1190560000000001</v>
      </c>
      <c r="L5064">
        <v>-62.387999999999998</v>
      </c>
      <c r="M5064">
        <v>0.98647739999999995</v>
      </c>
      <c r="N5064">
        <v>0</v>
      </c>
      <c r="O5064">
        <v>0.16324469999999999</v>
      </c>
      <c r="P5064">
        <v>0.91616280000000005</v>
      </c>
      <c r="Q5064">
        <v>4.0617269999999997E-2</v>
      </c>
      <c r="R5064">
        <v>0.39874290000000001</v>
      </c>
      <c r="S5064">
        <v>2.4838709999999899</v>
      </c>
      <c r="T5064">
        <v>-0.22239610000000001</v>
      </c>
      <c r="U5064">
        <v>1.8472599999999999</v>
      </c>
      <c r="V5064">
        <v>-0.24492149999999999</v>
      </c>
      <c r="W5064">
        <v>4.9607239999999997E-2</v>
      </c>
      <c r="X5064">
        <v>0.96827299999999905</v>
      </c>
      <c r="Y5064">
        <v>-0.45701059999999999</v>
      </c>
      <c r="Z5064">
        <v>5.4085239999999996E-3</v>
      </c>
      <c r="AA5064">
        <v>0.88944480000000004</v>
      </c>
      <c r="AB5064">
        <v>38</v>
      </c>
      <c r="AC5064">
        <v>0.57880000000000098</v>
      </c>
      <c r="AD5064">
        <v>-6.9760000000000003E-2</v>
      </c>
      <c r="AE5064">
        <v>0.54224000000000605</v>
      </c>
      <c r="AF5064">
        <v>-0.43708701601599098</v>
      </c>
      <c r="AG5064">
        <v>-6.9760000000000003E-2</v>
      </c>
      <c r="AH5064">
        <v>0.65449788047867996</v>
      </c>
      <c r="AI5064">
        <v>95.065305083113898</v>
      </c>
      <c r="AJ5064">
        <v>123.73580627238699</v>
      </c>
      <c r="AK5064">
        <v>0.79011327841066503</v>
      </c>
    </row>
    <row r="5065" spans="1:37" x14ac:dyDescent="0.2">
      <c r="A5065" t="str">
        <f>"20200111154200957"</f>
        <v>20200111154200957</v>
      </c>
      <c r="B5065" t="str">
        <f>"1578728520950765"</f>
        <v>1578728520950765</v>
      </c>
      <c r="C5065" t="s">
        <v>37</v>
      </c>
      <c r="D5065">
        <v>5.1740089999999999</v>
      </c>
      <c r="E5065">
        <v>0.4088774</v>
      </c>
      <c r="F5065" t="s">
        <v>38</v>
      </c>
      <c r="G5065">
        <v>-213.46119999999999</v>
      </c>
      <c r="H5065">
        <v>1.0410729999999999</v>
      </c>
      <c r="I5065">
        <v>-61.727169999999902</v>
      </c>
      <c r="J5065">
        <v>-214.16730000000001</v>
      </c>
      <c r="K5065">
        <v>1.119238</v>
      </c>
      <c r="L5065">
        <v>-62.355619999999902</v>
      </c>
      <c r="M5065">
        <v>0.98570669999999905</v>
      </c>
      <c r="N5065">
        <v>0</v>
      </c>
      <c r="O5065">
        <v>0.16783299999999901</v>
      </c>
      <c r="P5065">
        <v>0.91434910000000003</v>
      </c>
      <c r="Q5065">
        <v>4.1397690000000001E-2</v>
      </c>
      <c r="R5065">
        <v>0.40280509999999897</v>
      </c>
      <c r="S5065">
        <v>2.4755859999999998</v>
      </c>
      <c r="T5065">
        <v>-0.219246</v>
      </c>
      <c r="U5065">
        <v>1.85797099999999</v>
      </c>
      <c r="V5065">
        <v>-0.24475820000000001</v>
      </c>
      <c r="W5065">
        <v>5.0311130000000003E-2</v>
      </c>
      <c r="X5065">
        <v>0.96827799999999997</v>
      </c>
      <c r="Y5065">
        <v>-0.45679560000000002</v>
      </c>
      <c r="Z5065">
        <v>4.9856670000000001E-3</v>
      </c>
      <c r="AA5065">
        <v>0.88955769999999901</v>
      </c>
      <c r="AB5065">
        <v>38</v>
      </c>
      <c r="AC5065">
        <v>0.70610000000002004</v>
      </c>
      <c r="AD5065">
        <v>-7.8164999999999998E-2</v>
      </c>
      <c r="AE5065">
        <v>0.62844999999999995</v>
      </c>
      <c r="AF5065">
        <v>-0.497611627443941</v>
      </c>
      <c r="AG5065">
        <v>-7.8164999999999998E-2</v>
      </c>
      <c r="AH5065">
        <v>0.79612432799675104</v>
      </c>
      <c r="AI5065">
        <v>94.759269293897603</v>
      </c>
      <c r="AJ5065">
        <v>122.007138747346</v>
      </c>
      <c r="AK5065">
        <v>0.94209396804176904</v>
      </c>
    </row>
    <row r="5066" spans="1:37" x14ac:dyDescent="0.2">
      <c r="A5066" t="str">
        <f>"20200111154200969"</f>
        <v>20200111154200969</v>
      </c>
      <c r="B5066" t="str">
        <f>"1578728520960525"</f>
        <v>1578728520960525</v>
      </c>
      <c r="C5066" t="s">
        <v>37</v>
      </c>
      <c r="D5066">
        <v>5.1565599999999998</v>
      </c>
      <c r="E5066">
        <v>0.40877360000000001</v>
      </c>
      <c r="F5066" t="s">
        <v>38</v>
      </c>
      <c r="G5066">
        <v>-213.4314</v>
      </c>
      <c r="H5066">
        <v>1.0545420000000001</v>
      </c>
      <c r="I5066">
        <v>-61.798639999999999</v>
      </c>
      <c r="J5066">
        <v>-213.98349999999999</v>
      </c>
      <c r="K5066">
        <v>1.1194249999999999</v>
      </c>
      <c r="L5066">
        <v>-62.32056</v>
      </c>
      <c r="M5066">
        <v>0.98485469999999897</v>
      </c>
      <c r="N5066">
        <v>0</v>
      </c>
      <c r="O5066">
        <v>0.17275989999999999</v>
      </c>
      <c r="P5066">
        <v>0.91231030000000002</v>
      </c>
      <c r="Q5066">
        <v>4.2162289999999998E-2</v>
      </c>
      <c r="R5066">
        <v>0.4073232</v>
      </c>
      <c r="S5066">
        <v>2.4678960000000001</v>
      </c>
      <c r="T5066">
        <v>-0.2169692</v>
      </c>
      <c r="U5066">
        <v>1.8679809999999999</v>
      </c>
      <c r="V5066">
        <v>-0.24475250000000001</v>
      </c>
      <c r="W5066">
        <v>5.0991649999999999E-2</v>
      </c>
      <c r="X5066">
        <v>0.96824379999999999</v>
      </c>
      <c r="Y5066">
        <v>-0.45600370000000001</v>
      </c>
      <c r="Z5066">
        <v>4.5422250000000004E-3</v>
      </c>
      <c r="AA5066">
        <v>0.88996629999999999</v>
      </c>
      <c r="AB5066">
        <v>38</v>
      </c>
      <c r="AC5066">
        <v>0.55209999999999504</v>
      </c>
      <c r="AD5066">
        <v>-6.4882999999999802E-2</v>
      </c>
      <c r="AE5066">
        <v>0.52192000000000105</v>
      </c>
      <c r="AF5066">
        <v>-0.41564823538426698</v>
      </c>
      <c r="AG5066">
        <v>-6.4882999999999802E-2</v>
      </c>
      <c r="AH5066">
        <v>0.62938307568320495</v>
      </c>
      <c r="AI5066">
        <v>94.916690663013796</v>
      </c>
      <c r="AJ5066">
        <v>123.441004030147</v>
      </c>
      <c r="AK5066">
        <v>0.75703125115381298</v>
      </c>
    </row>
    <row r="5067" spans="1:37" x14ac:dyDescent="0.2">
      <c r="A5067" t="str">
        <f>"20200111154200980"</f>
        <v>20200111154200980</v>
      </c>
      <c r="B5067" t="str">
        <f>"1578728520971261"</f>
        <v>1578728520971261</v>
      </c>
      <c r="C5067" t="s">
        <v>37</v>
      </c>
      <c r="D5067">
        <v>5.1173960000000003</v>
      </c>
      <c r="E5067">
        <v>0.40895110000000001</v>
      </c>
      <c r="F5067" t="s">
        <v>38</v>
      </c>
      <c r="G5067">
        <v>-213.13470000000001</v>
      </c>
      <c r="H5067">
        <v>1.0443719999999901</v>
      </c>
      <c r="I5067">
        <v>-61.671230000000001</v>
      </c>
      <c r="J5067">
        <v>-213.80099999999999</v>
      </c>
      <c r="K5067">
        <v>1.119607</v>
      </c>
      <c r="L5067">
        <v>-62.284909999999897</v>
      </c>
      <c r="M5067">
        <v>0.98396949999999905</v>
      </c>
      <c r="N5067">
        <v>0</v>
      </c>
      <c r="O5067">
        <v>0.17773039999999901</v>
      </c>
      <c r="P5067">
        <v>0.9100454</v>
      </c>
      <c r="Q5067">
        <v>4.2938709999999998E-2</v>
      </c>
      <c r="R5067">
        <v>0.4122786</v>
      </c>
      <c r="S5067">
        <v>2.4585569999999999</v>
      </c>
      <c r="T5067">
        <v>-0.21740219999999999</v>
      </c>
      <c r="U5067">
        <v>1.8810119999999999</v>
      </c>
      <c r="V5067">
        <v>-0.24517639999999999</v>
      </c>
      <c r="W5067">
        <v>5.1674530000000003E-2</v>
      </c>
      <c r="X5067">
        <v>0.96810030000000002</v>
      </c>
      <c r="Y5067">
        <v>-0.456127</v>
      </c>
      <c r="Z5067">
        <v>4.1919280000000001E-3</v>
      </c>
      <c r="AA5067">
        <v>0.8899049</v>
      </c>
      <c r="AB5067">
        <v>38</v>
      </c>
      <c r="AC5067">
        <v>0.66629999999997802</v>
      </c>
      <c r="AD5067">
        <v>-7.5235000000000093E-2</v>
      </c>
      <c r="AE5067">
        <v>0.61367999999999501</v>
      </c>
      <c r="AF5067">
        <v>-0.48214714952448701</v>
      </c>
      <c r="AG5067">
        <v>-7.5235000000000093E-2</v>
      </c>
      <c r="AH5067">
        <v>0.75953170851367602</v>
      </c>
      <c r="AI5067">
        <v>94.780395711532094</v>
      </c>
      <c r="AJ5067">
        <v>122.40718785097999</v>
      </c>
      <c r="AK5067">
        <v>0.902781587792581</v>
      </c>
    </row>
    <row r="5068" spans="1:37" x14ac:dyDescent="0.2">
      <c r="A5068" t="str">
        <f>"20200111154200990"</f>
        <v>20200111154200990</v>
      </c>
      <c r="B5068" t="str">
        <f>"1578728520981021"</f>
        <v>1578728520981021</v>
      </c>
      <c r="C5068" t="s">
        <v>37</v>
      </c>
      <c r="D5068">
        <v>5.1689889999999998</v>
      </c>
      <c r="E5068">
        <v>0.40895110000000001</v>
      </c>
      <c r="F5068" t="s">
        <v>38</v>
      </c>
      <c r="G5068">
        <v>-213.05080000000001</v>
      </c>
      <c r="H5068">
        <v>1.0527690000000001</v>
      </c>
      <c r="I5068">
        <v>-61.705080000000002</v>
      </c>
      <c r="J5068">
        <v>-213.62530000000001</v>
      </c>
      <c r="K5068">
        <v>1.1197790000000001</v>
      </c>
      <c r="L5068">
        <v>-62.24933</v>
      </c>
      <c r="M5068">
        <v>0.98307029999999995</v>
      </c>
      <c r="N5068">
        <v>0</v>
      </c>
      <c r="O5068">
        <v>0.18263689999999999</v>
      </c>
      <c r="P5068">
        <v>0.9077134</v>
      </c>
      <c r="Q5068">
        <v>4.3551819999999998E-2</v>
      </c>
      <c r="R5068">
        <v>0.41732439999999998</v>
      </c>
      <c r="S5068">
        <v>2.4491879999999999</v>
      </c>
      <c r="T5068">
        <v>-0.21820799999999901</v>
      </c>
      <c r="U5068">
        <v>1.8931579999999999</v>
      </c>
      <c r="V5068">
        <v>-0.24576249999999999</v>
      </c>
      <c r="W5068">
        <v>5.2194539999999998E-2</v>
      </c>
      <c r="X5068">
        <v>0.9679238</v>
      </c>
      <c r="Y5068">
        <v>-0.45610450000000002</v>
      </c>
      <c r="Z5068">
        <v>3.8457320000000001E-3</v>
      </c>
      <c r="AA5068">
        <v>0.88991790000000004</v>
      </c>
      <c r="AB5068">
        <v>38</v>
      </c>
      <c r="AC5068">
        <v>0.57450000000000001</v>
      </c>
      <c r="AD5068">
        <v>-6.701E-2</v>
      </c>
      <c r="AE5068">
        <v>0.54425000000000501</v>
      </c>
      <c r="AF5068">
        <v>-0.42709536897411499</v>
      </c>
      <c r="AG5068">
        <v>-6.701E-2</v>
      </c>
      <c r="AH5068">
        <v>0.65951713517000998</v>
      </c>
      <c r="AI5068">
        <v>94.874596953666895</v>
      </c>
      <c r="AJ5068">
        <v>122.926608540581</v>
      </c>
      <c r="AK5068">
        <v>0.78858331575173002</v>
      </c>
    </row>
    <row r="5069" spans="1:37" x14ac:dyDescent="0.2">
      <c r="A5069" t="str">
        <f>"20200111154201001"</f>
        <v>20200111154201001</v>
      </c>
      <c r="B5069" t="str">
        <f>"1578728520990782"</f>
        <v>1578728520990782</v>
      </c>
      <c r="C5069" t="s">
        <v>37</v>
      </c>
      <c r="D5069">
        <v>5.160488</v>
      </c>
      <c r="E5069">
        <v>0.40911249999999999</v>
      </c>
      <c r="F5069" t="s">
        <v>38</v>
      </c>
      <c r="G5069">
        <v>-212.80950000000001</v>
      </c>
      <c r="H5069">
        <v>1.0473399999999999</v>
      </c>
      <c r="I5069">
        <v>-61.611579999999996</v>
      </c>
      <c r="J5069">
        <v>-213.44630000000001</v>
      </c>
      <c r="K5069">
        <v>1.1199509999999999</v>
      </c>
      <c r="L5069">
        <v>-62.21255</v>
      </c>
      <c r="M5069">
        <v>0.98211970000000004</v>
      </c>
      <c r="N5069">
        <v>0</v>
      </c>
      <c r="O5069">
        <v>0.18767879999999901</v>
      </c>
      <c r="P5069">
        <v>0.90521580000000001</v>
      </c>
      <c r="Q5069">
        <v>4.4349340000000001E-2</v>
      </c>
      <c r="R5069">
        <v>0.42263149999999899</v>
      </c>
      <c r="S5069">
        <v>2.4387970000000001</v>
      </c>
      <c r="T5069">
        <v>-0.21655070000000001</v>
      </c>
      <c r="U5069">
        <v>1.906677</v>
      </c>
      <c r="V5069">
        <v>-0.24651210000000001</v>
      </c>
      <c r="W5069">
        <v>5.2892130000000002E-2</v>
      </c>
      <c r="X5069">
        <v>0.96769530000000004</v>
      </c>
      <c r="Y5069">
        <v>-0.45646130000000001</v>
      </c>
      <c r="Z5069">
        <v>3.4626409999999998E-3</v>
      </c>
      <c r="AA5069">
        <v>0.88973649999999904</v>
      </c>
      <c r="AB5069">
        <v>38</v>
      </c>
      <c r="AC5069">
        <v>0.63679999999999304</v>
      </c>
      <c r="AD5069">
        <v>-7.2610999999999898E-2</v>
      </c>
      <c r="AE5069">
        <v>0.60096999999999601</v>
      </c>
      <c r="AF5069">
        <v>-0.46754656963206098</v>
      </c>
      <c r="AG5069">
        <v>-7.2610999999999898E-2</v>
      </c>
      <c r="AH5069">
        <v>0.733241061775047</v>
      </c>
      <c r="AI5069">
        <v>94.772966091889899</v>
      </c>
      <c r="AJ5069">
        <v>122.52336589290999</v>
      </c>
      <c r="AK5069">
        <v>0.87264804289513298</v>
      </c>
    </row>
    <row r="5070" spans="1:37" x14ac:dyDescent="0.2">
      <c r="A5070" t="str">
        <f>"20200111154201013"</f>
        <v>20200111154201013</v>
      </c>
      <c r="B5070" t="str">
        <f>"1578728521011277"</f>
        <v>1578728521011277</v>
      </c>
      <c r="C5070" t="s">
        <v>37</v>
      </c>
      <c r="D5070">
        <v>5.1449119999999997</v>
      </c>
      <c r="E5070">
        <v>0.4093466</v>
      </c>
      <c r="F5070" t="s">
        <v>47</v>
      </c>
      <c r="G5070">
        <v>-200.9204</v>
      </c>
      <c r="H5070" s="1">
        <v>-6.6208519999999999E-6</v>
      </c>
      <c r="I5070">
        <v>-52.310720000000003</v>
      </c>
      <c r="J5070">
        <v>-213.2645</v>
      </c>
      <c r="K5070">
        <v>1.12012</v>
      </c>
      <c r="L5070">
        <v>-62.173519999999897</v>
      </c>
      <c r="M5070">
        <v>0.98109820000000003</v>
      </c>
      <c r="N5070">
        <v>0</v>
      </c>
      <c r="O5070">
        <v>0.19294559999999999</v>
      </c>
      <c r="P5070">
        <v>0.90236719999999904</v>
      </c>
      <c r="Q5070">
        <v>4.4445099999999897E-2</v>
      </c>
      <c r="R5070">
        <v>0.428670299999999</v>
      </c>
      <c r="S5070">
        <v>2.4284819999999998</v>
      </c>
      <c r="T5070">
        <v>-0.2171341</v>
      </c>
      <c r="U5070">
        <v>1.9197389999999901</v>
      </c>
      <c r="V5070">
        <v>-0.2478119</v>
      </c>
      <c r="W5070">
        <v>5.2876899999999998E-2</v>
      </c>
      <c r="X5070">
        <v>0.96736409999999995</v>
      </c>
      <c r="Y5070">
        <v>-0.45648040000000001</v>
      </c>
      <c r="Z5070">
        <v>3.0864149999999999E-3</v>
      </c>
      <c r="AA5070">
        <v>0.88972809999999902</v>
      </c>
      <c r="AB5070">
        <v>38</v>
      </c>
      <c r="AC5070">
        <v>12.3440999999999</v>
      </c>
      <c r="AD5070">
        <v>-1.120126620852</v>
      </c>
      <c r="AE5070">
        <v>9.8627999999999894</v>
      </c>
      <c r="AF5070">
        <v>-7.2589503675014901</v>
      </c>
      <c r="AG5070">
        <v>-1.120126620852</v>
      </c>
      <c r="AH5070">
        <v>13.945203192504099</v>
      </c>
      <c r="AI5070">
        <v>94.075364549728704</v>
      </c>
      <c r="AJ5070">
        <v>117.49850350673</v>
      </c>
      <c r="AK5070">
        <v>15.7612098572672</v>
      </c>
    </row>
    <row r="5071" spans="1:37" x14ac:dyDescent="0.2">
      <c r="A5071" t="str">
        <f>"20200111154201024"</f>
        <v>20200111154201024</v>
      </c>
      <c r="B5071" t="str">
        <f>"1578728521021037"</f>
        <v>1578728521021037</v>
      </c>
      <c r="C5071" t="s">
        <v>37</v>
      </c>
      <c r="D5071">
        <v>5.1115409999999999</v>
      </c>
      <c r="E5071">
        <v>0.40954000000000002</v>
      </c>
      <c r="F5071" t="s">
        <v>38</v>
      </c>
      <c r="G5071">
        <v>-212.48490000000001</v>
      </c>
      <c r="H5071">
        <v>1.0483750000000001</v>
      </c>
      <c r="I5071">
        <v>-61.549769999999903</v>
      </c>
      <c r="J5071">
        <v>-213.078</v>
      </c>
      <c r="K5071">
        <v>1.1202920000000001</v>
      </c>
      <c r="L5071">
        <v>-62.133000000000003</v>
      </c>
      <c r="M5071">
        <v>0.98001309999999997</v>
      </c>
      <c r="N5071">
        <v>0</v>
      </c>
      <c r="O5071">
        <v>0.19838169999999999</v>
      </c>
      <c r="P5071">
        <v>0.89953150000000004</v>
      </c>
      <c r="Q5071">
        <v>4.4556279999999997E-2</v>
      </c>
      <c r="R5071">
        <v>0.43457780000000001</v>
      </c>
      <c r="S5071">
        <v>2.41688499999999</v>
      </c>
      <c r="T5071">
        <v>-0.2224179</v>
      </c>
      <c r="U5071">
        <v>1.9337770000000001</v>
      </c>
      <c r="V5071">
        <v>-0.248818699999999</v>
      </c>
      <c r="W5071">
        <v>5.2881669999999999E-2</v>
      </c>
      <c r="X5071">
        <v>0.9671054</v>
      </c>
      <c r="Y5071">
        <v>-0.45676260000000002</v>
      </c>
      <c r="Z5071">
        <v>2.7644599999999998E-3</v>
      </c>
      <c r="AA5071">
        <v>0.88958440000000005</v>
      </c>
      <c r="AB5071">
        <v>38</v>
      </c>
      <c r="AC5071">
        <v>0.59309999999999197</v>
      </c>
      <c r="AD5071">
        <v>-7.1916999999999995E-2</v>
      </c>
      <c r="AE5071">
        <v>0.58323000000000702</v>
      </c>
      <c r="AF5071">
        <v>-0.45059443219991901</v>
      </c>
      <c r="AG5071">
        <v>-7.1916999999999995E-2</v>
      </c>
      <c r="AH5071">
        <v>0.69185274952812803</v>
      </c>
      <c r="AI5071">
        <v>94.9781068771929</v>
      </c>
      <c r="AJ5071">
        <v>123.075659483796</v>
      </c>
      <c r="AK5071">
        <v>0.828774772931825</v>
      </c>
    </row>
    <row r="5072" spans="1:37" x14ac:dyDescent="0.2">
      <c r="A5072" t="str">
        <f>"20200111154201036"</f>
        <v>20200111154201036</v>
      </c>
      <c r="B5072" t="str">
        <f>"1578728521030799"</f>
        <v>1578728521030799</v>
      </c>
      <c r="C5072" t="s">
        <v>37</v>
      </c>
      <c r="D5072">
        <v>5.1534610000000001</v>
      </c>
      <c r="E5072">
        <v>0.40972459999999999</v>
      </c>
      <c r="F5072" t="s">
        <v>38</v>
      </c>
      <c r="G5072">
        <v>-212.19210000000001</v>
      </c>
      <c r="H5072">
        <v>1.0375589999999999</v>
      </c>
      <c r="I5072">
        <v>-61.415700000000001</v>
      </c>
      <c r="J5072">
        <v>-212.89240000000001</v>
      </c>
      <c r="K5072">
        <v>1.1204479999999899</v>
      </c>
      <c r="L5072">
        <v>-62.091030000000003</v>
      </c>
      <c r="M5072">
        <v>0.97887469999999999</v>
      </c>
      <c r="N5072">
        <v>0</v>
      </c>
      <c r="O5072">
        <v>0.2039222</v>
      </c>
      <c r="P5072">
        <v>0.89635909999999996</v>
      </c>
      <c r="Q5072">
        <v>4.452358E-2</v>
      </c>
      <c r="R5072">
        <v>0.44108720000000001</v>
      </c>
      <c r="S5072">
        <v>2.405151</v>
      </c>
      <c r="T5072">
        <v>-0.22462789999999999</v>
      </c>
      <c r="U5072">
        <v>1.9478759999999999</v>
      </c>
      <c r="V5072">
        <v>-0.25037999999999999</v>
      </c>
      <c r="W5072">
        <v>5.2731670000000001E-2</v>
      </c>
      <c r="X5072">
        <v>0.96671049999999903</v>
      </c>
      <c r="Y5072">
        <v>-0.45700249999999998</v>
      </c>
      <c r="Z5072">
        <v>2.3806280000000001E-3</v>
      </c>
      <c r="AA5072">
        <v>0.88946219999999998</v>
      </c>
      <c r="AB5072">
        <v>38</v>
      </c>
      <c r="AC5072">
        <v>0.70029999999999804</v>
      </c>
      <c r="AD5072">
        <v>-8.2888999999999699E-2</v>
      </c>
      <c r="AE5072">
        <v>0.67533000000000198</v>
      </c>
      <c r="AF5072">
        <v>-0.51457843669423797</v>
      </c>
      <c r="AG5072">
        <v>-8.2888999999999699E-2</v>
      </c>
      <c r="AH5072">
        <v>0.81737796925502704</v>
      </c>
      <c r="AI5072">
        <v>94.905008279439301</v>
      </c>
      <c r="AJ5072">
        <v>122.192373040319</v>
      </c>
      <c r="AK5072">
        <v>0.96941647317092705</v>
      </c>
    </row>
    <row r="5073" spans="1:37" x14ac:dyDescent="0.2">
      <c r="A5073" t="str">
        <f>"20200111154201047"</f>
        <v>20200111154201047</v>
      </c>
      <c r="B5073" t="str">
        <f>"1578728521040557"</f>
        <v>1578728521040557</v>
      </c>
      <c r="C5073" t="s">
        <v>37</v>
      </c>
      <c r="D5073">
        <v>5.1480899999999998</v>
      </c>
      <c r="E5073">
        <v>0.40992109999999898</v>
      </c>
      <c r="F5073" t="s">
        <v>38</v>
      </c>
      <c r="G5073">
        <v>-212.1592</v>
      </c>
      <c r="H5073">
        <v>1.050686</v>
      </c>
      <c r="I5073">
        <v>-61.489330000000002</v>
      </c>
      <c r="J5073">
        <v>-212.7133</v>
      </c>
      <c r="K5073">
        <v>1.1205969999999901</v>
      </c>
      <c r="L5073">
        <v>-62.049709999999997</v>
      </c>
      <c r="M5073">
        <v>0.97773410000000005</v>
      </c>
      <c r="N5073">
        <v>0</v>
      </c>
      <c r="O5073">
        <v>0.2093207</v>
      </c>
      <c r="P5073">
        <v>0.89323940000000002</v>
      </c>
      <c r="Q5073">
        <v>4.4406830000000001E-2</v>
      </c>
      <c r="R5073">
        <v>0.44738289999999997</v>
      </c>
      <c r="S5073">
        <v>2.391953</v>
      </c>
      <c r="T5073">
        <v>-0.22759589999999999</v>
      </c>
      <c r="U5073">
        <v>1.96347</v>
      </c>
      <c r="V5073">
        <v>-0.25186329999999901</v>
      </c>
      <c r="W5073">
        <v>5.2503099999999997E-2</v>
      </c>
      <c r="X5073">
        <v>0.96633760000000002</v>
      </c>
      <c r="Y5073">
        <v>-0.45795909999999901</v>
      </c>
      <c r="Z5073">
        <v>2.036328E-3</v>
      </c>
      <c r="AA5073">
        <v>0.88897099999999996</v>
      </c>
      <c r="AB5073">
        <v>38</v>
      </c>
      <c r="AC5073">
        <v>0.55410000000000503</v>
      </c>
      <c r="AD5073">
        <v>-6.9910999999999807E-2</v>
      </c>
      <c r="AE5073">
        <v>0.56037999999999499</v>
      </c>
      <c r="AF5073">
        <v>-0.42859281098965801</v>
      </c>
      <c r="AG5073">
        <v>-6.9910999999999807E-2</v>
      </c>
      <c r="AH5073">
        <v>0.65398765563086403</v>
      </c>
      <c r="AI5073">
        <v>95.109226009283901</v>
      </c>
      <c r="AJ5073">
        <v>123.238952189391</v>
      </c>
      <c r="AK5073">
        <v>0.78503452106934102</v>
      </c>
    </row>
    <row r="5074" spans="1:37" x14ac:dyDescent="0.2">
      <c r="A5074" t="str">
        <f>"20200111154201058"</f>
        <v>20200111154201058</v>
      </c>
      <c r="B5074" t="str">
        <f>"1578728521051293"</f>
        <v>1578728521051293</v>
      </c>
      <c r="C5074" t="s">
        <v>37</v>
      </c>
      <c r="D5074">
        <v>5.1593580000000001</v>
      </c>
      <c r="E5074">
        <v>0.41008689999999998</v>
      </c>
      <c r="F5074" t="s">
        <v>38</v>
      </c>
      <c r="G5074">
        <v>-211.87</v>
      </c>
      <c r="H5074">
        <v>1.038942</v>
      </c>
      <c r="I5074">
        <v>-61.348379999999999</v>
      </c>
      <c r="J5074">
        <v>-212.52979999999999</v>
      </c>
      <c r="K5074">
        <v>1.120744</v>
      </c>
      <c r="L5074">
        <v>-62.006230000000002</v>
      </c>
      <c r="M5074">
        <v>0.9765161</v>
      </c>
      <c r="N5074">
        <v>0</v>
      </c>
      <c r="O5074">
        <v>0.21493019999999999</v>
      </c>
      <c r="P5074">
        <v>0.88991520000000002</v>
      </c>
      <c r="Q5074">
        <v>4.3985240000000002E-2</v>
      </c>
      <c r="R5074">
        <v>0.45400039999999903</v>
      </c>
      <c r="S5074">
        <v>2.379013</v>
      </c>
      <c r="T5074">
        <v>-0.23036029999999999</v>
      </c>
      <c r="U5074">
        <v>1.978577</v>
      </c>
      <c r="V5074">
        <v>-0.25349339999999998</v>
      </c>
      <c r="W5074">
        <v>5.1966909999999998E-2</v>
      </c>
      <c r="X5074">
        <v>0.96594020000000003</v>
      </c>
      <c r="Y5074">
        <v>-0.45856609999999998</v>
      </c>
      <c r="Z5074">
        <v>1.6483939999999901E-3</v>
      </c>
      <c r="AA5074">
        <v>0.88865879999999997</v>
      </c>
      <c r="AB5074">
        <v>37</v>
      </c>
      <c r="AC5074">
        <v>0.65979999999998995</v>
      </c>
      <c r="AD5074">
        <v>-8.1801999999999903E-2</v>
      </c>
      <c r="AE5074">
        <v>0.65784999999999605</v>
      </c>
      <c r="AF5074">
        <v>-0.49681598351363299</v>
      </c>
      <c r="AG5074">
        <v>-8.1801999999999903E-2</v>
      </c>
      <c r="AH5074">
        <v>0.77977341105051801</v>
      </c>
      <c r="AI5074">
        <v>95.055993438548398</v>
      </c>
      <c r="AJ5074">
        <v>122.502379736874</v>
      </c>
      <c r="AK5074">
        <v>0.92820485953262499</v>
      </c>
    </row>
    <row r="5075" spans="1:37" x14ac:dyDescent="0.2">
      <c r="A5075" t="str">
        <f>"20200111154201069"</f>
        <v>20200111154201069</v>
      </c>
      <c r="B5075" t="str">
        <f>"1578728521061054"</f>
        <v>1578728521061054</v>
      </c>
      <c r="C5075" t="s">
        <v>37</v>
      </c>
      <c r="D5075">
        <v>5.1399989999999898</v>
      </c>
      <c r="E5075">
        <v>0.41025640000000002</v>
      </c>
      <c r="F5075" t="s">
        <v>38</v>
      </c>
      <c r="G5075">
        <v>-211.828</v>
      </c>
      <c r="H5075">
        <v>1.051439</v>
      </c>
      <c r="I5075">
        <v>-61.414299999999997</v>
      </c>
      <c r="J5075">
        <v>-212.35130000000001</v>
      </c>
      <c r="K5075">
        <v>1.1208769999999999</v>
      </c>
      <c r="L5075">
        <v>-61.962709999999902</v>
      </c>
      <c r="M5075">
        <v>0.97528179999999998</v>
      </c>
      <c r="N5075">
        <v>0</v>
      </c>
      <c r="O5075">
        <v>0.2204612</v>
      </c>
      <c r="P5075">
        <v>0.88675519999999997</v>
      </c>
      <c r="Q5075">
        <v>4.4022319999999997E-2</v>
      </c>
      <c r="R5075">
        <v>0.4601384</v>
      </c>
      <c r="S5075">
        <v>2.3650359999999999</v>
      </c>
      <c r="T5075">
        <v>-0.23354520000000001</v>
      </c>
      <c r="U5075">
        <v>1.994629</v>
      </c>
      <c r="V5075">
        <v>-0.25471329999999998</v>
      </c>
      <c r="W5075">
        <v>5.1904539999999999E-2</v>
      </c>
      <c r="X5075">
        <v>0.9656226</v>
      </c>
      <c r="Y5075">
        <v>-0.45963509999999902</v>
      </c>
      <c r="Z5075">
        <v>1.27859E-3</v>
      </c>
      <c r="AA5075">
        <v>0.88810689999999903</v>
      </c>
      <c r="AB5075">
        <v>37</v>
      </c>
      <c r="AC5075">
        <v>0.52330000000000598</v>
      </c>
      <c r="AD5075">
        <v>-6.9438000000000097E-2</v>
      </c>
      <c r="AE5075">
        <v>0.54840999999999696</v>
      </c>
      <c r="AF5075">
        <v>-0.41604241861681501</v>
      </c>
      <c r="AG5075">
        <v>-6.9438000000000097E-2</v>
      </c>
      <c r="AH5075">
        <v>0.62608456966863402</v>
      </c>
      <c r="AI5075">
        <v>95.277603840134404</v>
      </c>
      <c r="AJ5075">
        <v>123.604623331664</v>
      </c>
      <c r="AK5075">
        <v>0.75491378203718595</v>
      </c>
    </row>
    <row r="5076" spans="1:37" x14ac:dyDescent="0.2">
      <c r="A5076" t="str">
        <f>"20200111154201080"</f>
        <v>20200111154201080</v>
      </c>
      <c r="B5076" t="str">
        <f>"1578728521070813"</f>
        <v>1578728521070813</v>
      </c>
      <c r="C5076" t="s">
        <v>37</v>
      </c>
      <c r="D5076">
        <v>5.1880930000000003</v>
      </c>
      <c r="E5076">
        <v>0.41025640000000002</v>
      </c>
      <c r="F5076" t="s">
        <v>38</v>
      </c>
      <c r="G5076">
        <v>-211.54900000000001</v>
      </c>
      <c r="H5076">
        <v>1.040473</v>
      </c>
      <c r="I5076">
        <v>-61.277380000000001</v>
      </c>
      <c r="J5076">
        <v>-212.16970000000001</v>
      </c>
      <c r="K5076">
        <v>1.1210089999999999</v>
      </c>
      <c r="L5076">
        <v>-61.917659999999998</v>
      </c>
      <c r="M5076">
        <v>0.97398269999999998</v>
      </c>
      <c r="N5076">
        <v>0</v>
      </c>
      <c r="O5076">
        <v>0.22613029999999901</v>
      </c>
      <c r="P5076">
        <v>0.88344889999999998</v>
      </c>
      <c r="Q5076">
        <v>4.3521490000000003E-2</v>
      </c>
      <c r="R5076">
        <v>0.46650190000000002</v>
      </c>
      <c r="S5076">
        <v>2.3520810000000001</v>
      </c>
      <c r="T5076">
        <v>-0.2357513</v>
      </c>
      <c r="U5076">
        <v>2.0095209999999999</v>
      </c>
      <c r="V5076">
        <v>-0.25603890000000001</v>
      </c>
      <c r="W5076">
        <v>5.1301659999999999E-2</v>
      </c>
      <c r="X5076">
        <v>0.96530419999999995</v>
      </c>
      <c r="Y5076">
        <v>-0.46013699999999902</v>
      </c>
      <c r="Z5076">
        <v>8.5736250000000003E-4</v>
      </c>
      <c r="AA5076">
        <v>0.88784750000000001</v>
      </c>
      <c r="AB5076">
        <v>37</v>
      </c>
      <c r="AC5076">
        <v>0.62069999999999903</v>
      </c>
      <c r="AD5076">
        <v>-8.0535999999999899E-2</v>
      </c>
      <c r="AE5076">
        <v>0.64027999999998997</v>
      </c>
      <c r="AF5076">
        <v>-0.47940626370285899</v>
      </c>
      <c r="AG5076">
        <v>-8.0535999999999899E-2</v>
      </c>
      <c r="AH5076">
        <v>0.74335826124504201</v>
      </c>
      <c r="AI5076">
        <v>95.202345468077894</v>
      </c>
      <c r="AJ5076">
        <v>122.818760123339</v>
      </c>
      <c r="AK5076">
        <v>0.88819925553604595</v>
      </c>
    </row>
    <row r="5077" spans="1:37" x14ac:dyDescent="0.2">
      <c r="A5077" t="str">
        <f>"20200111154201091"</f>
        <v>20200111154201091</v>
      </c>
      <c r="B5077" t="str">
        <f>"1578728521080573"</f>
        <v>1578728521080573</v>
      </c>
      <c r="C5077" t="s">
        <v>37</v>
      </c>
      <c r="D5077">
        <v>5.1716439999999997</v>
      </c>
      <c r="E5077">
        <v>0.41599649999999999</v>
      </c>
      <c r="F5077" t="s">
        <v>38</v>
      </c>
      <c r="G5077">
        <v>-211.46180000000001</v>
      </c>
      <c r="H5077">
        <v>1.049112</v>
      </c>
      <c r="I5077">
        <v>-61.304040000000001</v>
      </c>
      <c r="J5077">
        <v>-212.00460000000001</v>
      </c>
      <c r="K5077">
        <v>1.12112099999999</v>
      </c>
      <c r="L5077">
        <v>-61.875149999999998</v>
      </c>
      <c r="M5077">
        <v>0.97275100000000003</v>
      </c>
      <c r="N5077">
        <v>0</v>
      </c>
      <c r="O5077">
        <v>0.23136999999999999</v>
      </c>
      <c r="P5077">
        <v>0.88061089999999997</v>
      </c>
      <c r="Q5077">
        <v>4.3168610000000003E-2</v>
      </c>
      <c r="R5077">
        <v>0.47186980000000001</v>
      </c>
      <c r="S5077">
        <v>2.3374790000000001</v>
      </c>
      <c r="T5077">
        <v>-0.23741909999999999</v>
      </c>
      <c r="U5077">
        <v>2.026367</v>
      </c>
      <c r="V5077">
        <v>-0.25671959999999999</v>
      </c>
      <c r="W5077">
        <v>5.0875459999999997E-2</v>
      </c>
      <c r="X5077">
        <v>0.9651459</v>
      </c>
      <c r="Y5077">
        <v>-0.46175569999999999</v>
      </c>
      <c r="Z5077">
        <v>5.1085089999999996E-4</v>
      </c>
      <c r="AA5077">
        <v>0.88700699999999999</v>
      </c>
      <c r="AB5077">
        <v>37</v>
      </c>
      <c r="AC5077">
        <v>0.54279999999999895</v>
      </c>
      <c r="AD5077">
        <v>-7.2008999999999698E-2</v>
      </c>
      <c r="AE5077">
        <v>0.57110999999999701</v>
      </c>
      <c r="AF5077">
        <v>-0.42644628011792701</v>
      </c>
      <c r="AG5077">
        <v>-7.2008999999999698E-2</v>
      </c>
      <c r="AH5077">
        <v>0.65475182360622297</v>
      </c>
      <c r="AI5077">
        <v>95.265281275947999</v>
      </c>
      <c r="AJ5077">
        <v>123.076592459469</v>
      </c>
      <c r="AK5077">
        <v>0.78469209020041197</v>
      </c>
    </row>
    <row r="5078" spans="1:37" x14ac:dyDescent="0.2">
      <c r="A5078" t="str">
        <f>"20200111154201102"</f>
        <v>20200111154201102</v>
      </c>
      <c r="B5078" t="str">
        <f>"1578728521091311"</f>
        <v>1578728521091311</v>
      </c>
      <c r="C5078" t="s">
        <v>37</v>
      </c>
      <c r="D5078">
        <v>5.1440070000000002</v>
      </c>
      <c r="E5078">
        <v>0.41600949999999998</v>
      </c>
      <c r="F5078" t="s">
        <v>38</v>
      </c>
      <c r="G5078">
        <v>-211.22499999999999</v>
      </c>
      <c r="H5078">
        <v>1.0249870000000001</v>
      </c>
      <c r="I5078">
        <v>-61.212060000000001</v>
      </c>
      <c r="J5078">
        <v>-211.82650000000001</v>
      </c>
      <c r="K5078">
        <v>1.1212409999999999</v>
      </c>
      <c r="L5078">
        <v>-61.828980000000001</v>
      </c>
      <c r="M5078">
        <v>0.97138579999999997</v>
      </c>
      <c r="N5078">
        <v>0</v>
      </c>
      <c r="O5078">
        <v>0.2370342</v>
      </c>
      <c r="P5078">
        <v>0.8775539</v>
      </c>
      <c r="Q5078">
        <v>4.264304E-2</v>
      </c>
      <c r="R5078">
        <v>0.477577999999999</v>
      </c>
      <c r="S5078">
        <v>2.3498540000000001</v>
      </c>
      <c r="T5078">
        <v>-0.28977999999999998</v>
      </c>
      <c r="U5078">
        <v>1.99884</v>
      </c>
      <c r="V5078">
        <v>-0.25735929999999901</v>
      </c>
      <c r="W5078">
        <v>5.0272549999999999E-2</v>
      </c>
      <c r="X5078">
        <v>0.96500719999999995</v>
      </c>
      <c r="Y5078">
        <v>-0.44798310000000002</v>
      </c>
      <c r="Z5078">
        <v>-6.824601E-4</v>
      </c>
      <c r="AA5078">
        <v>0.8940418</v>
      </c>
      <c r="AB5078">
        <v>37</v>
      </c>
      <c r="AC5078">
        <v>0.60150000000001502</v>
      </c>
      <c r="AD5078">
        <v>-9.6253999999999798E-2</v>
      </c>
      <c r="AE5078">
        <v>0.61692000000000002</v>
      </c>
      <c r="AF5078">
        <v>-0.45111275967430198</v>
      </c>
      <c r="AG5078">
        <v>-9.6253999999999798E-2</v>
      </c>
      <c r="AH5078">
        <v>0.72159637836311696</v>
      </c>
      <c r="AI5078">
        <v>96.453110997527205</v>
      </c>
      <c r="AJ5078">
        <v>122.011950292161</v>
      </c>
      <c r="AK5078">
        <v>0.85642798163285905</v>
      </c>
    </row>
    <row r="5079" spans="1:37" x14ac:dyDescent="0.2">
      <c r="A5079" t="str">
        <f>"20200111154201114"</f>
        <v>20200111154201114</v>
      </c>
      <c r="B5079" t="str">
        <f>"1578728521110829"</f>
        <v>1578728521110829</v>
      </c>
      <c r="C5079" t="s">
        <v>37</v>
      </c>
      <c r="D5079">
        <v>5.1682350000000001</v>
      </c>
      <c r="E5079">
        <v>0.41633320000000001</v>
      </c>
      <c r="F5079" t="s">
        <v>47</v>
      </c>
      <c r="G5079">
        <v>-202.76929999999999</v>
      </c>
      <c r="H5079" s="1">
        <v>-5.6536249999999996E-6</v>
      </c>
      <c r="I5079">
        <v>-54.023249999999997</v>
      </c>
      <c r="J5079">
        <v>-211.6369</v>
      </c>
      <c r="K5079">
        <v>1.121356</v>
      </c>
      <c r="L5079">
        <v>-61.777709999999999</v>
      </c>
      <c r="M5079">
        <v>0.96986649999999996</v>
      </c>
      <c r="N5079">
        <v>0</v>
      </c>
      <c r="O5079">
        <v>0.24317469999999999</v>
      </c>
      <c r="P5079">
        <v>0.87426700000000002</v>
      </c>
      <c r="Q5079">
        <v>4.2124219999999997E-2</v>
      </c>
      <c r="R5079">
        <v>0.4836145</v>
      </c>
      <c r="S5079">
        <v>2.3367</v>
      </c>
      <c r="T5079">
        <v>-0.28927389999999997</v>
      </c>
      <c r="U5079">
        <v>2.0138240000000001</v>
      </c>
      <c r="V5079">
        <v>-0.25790069999999998</v>
      </c>
      <c r="W5079">
        <v>4.9681530000000002E-2</v>
      </c>
      <c r="X5079">
        <v>0.96489319999999901</v>
      </c>
      <c r="Y5079">
        <v>-0.44813329999999901</v>
      </c>
      <c r="Z5079">
        <v>-1.2815929999999999E-3</v>
      </c>
      <c r="AA5079">
        <v>0.89396580000000003</v>
      </c>
      <c r="AB5079">
        <v>37</v>
      </c>
      <c r="AC5079">
        <v>8.8676000000000101</v>
      </c>
      <c r="AD5079">
        <v>-1.121361653625</v>
      </c>
      <c r="AE5079">
        <v>7.7544599999999999</v>
      </c>
      <c r="AF5079">
        <v>-5.3168392492129</v>
      </c>
      <c r="AG5079">
        <v>-1.121361653625</v>
      </c>
      <c r="AH5079">
        <v>10.393078061864101</v>
      </c>
      <c r="AI5079">
        <v>95.486737181674997</v>
      </c>
      <c r="AJ5079">
        <v>117.09315145778601</v>
      </c>
      <c r="AK5079">
        <v>11.7278430736514</v>
      </c>
    </row>
    <row r="5080" spans="1:37" x14ac:dyDescent="0.2">
      <c r="A5080" t="str">
        <f>"20200111154201126"</f>
        <v>20200111154201126</v>
      </c>
      <c r="B5080" t="str">
        <f>"1578728521120589"</f>
        <v>1578728521120589</v>
      </c>
      <c r="C5080" t="s">
        <v>37</v>
      </c>
      <c r="D5080">
        <v>5.1765359999999996</v>
      </c>
      <c r="E5080">
        <v>0.4165817</v>
      </c>
      <c r="F5080" t="s">
        <v>38</v>
      </c>
      <c r="G5080">
        <v>-210.9042</v>
      </c>
      <c r="H5080">
        <v>1.0342629999999999</v>
      </c>
      <c r="I5080">
        <v>-61.138280000000002</v>
      </c>
      <c r="J5080">
        <v>-211.45400000000001</v>
      </c>
      <c r="K5080">
        <v>1.121467</v>
      </c>
      <c r="L5080">
        <v>-61.727600000000002</v>
      </c>
      <c r="M5080">
        <v>0.96835609999999905</v>
      </c>
      <c r="N5080">
        <v>0</v>
      </c>
      <c r="O5080">
        <v>0.2491208</v>
      </c>
      <c r="P5080">
        <v>0.87113240000000003</v>
      </c>
      <c r="Q5080">
        <v>4.1232020000000001E-2</v>
      </c>
      <c r="R5080">
        <v>0.48931400000000003</v>
      </c>
      <c r="S5080">
        <v>2.323105</v>
      </c>
      <c r="T5080">
        <v>-0.27612439999999999</v>
      </c>
      <c r="U5080">
        <v>2.027679</v>
      </c>
      <c r="V5080">
        <v>-0.25826260000000001</v>
      </c>
      <c r="W5080">
        <v>4.8724740000000002E-2</v>
      </c>
      <c r="X5080">
        <v>0.96484519999999996</v>
      </c>
      <c r="Y5080">
        <v>-0.4483627</v>
      </c>
      <c r="Z5080">
        <v>-1.7757300000000001E-3</v>
      </c>
      <c r="AA5080">
        <v>0.89385000000000003</v>
      </c>
      <c r="AB5080">
        <v>37</v>
      </c>
      <c r="AC5080">
        <v>0.54980000000000395</v>
      </c>
      <c r="AD5080">
        <v>-8.7204000000000004E-2</v>
      </c>
      <c r="AE5080">
        <v>0.58931999999999995</v>
      </c>
      <c r="AF5080">
        <v>-0.42873471512100098</v>
      </c>
      <c r="AG5080">
        <v>-8.7204000000000004E-2</v>
      </c>
      <c r="AH5080">
        <v>0.67143021895603205</v>
      </c>
      <c r="AI5080">
        <v>96.247012003244393</v>
      </c>
      <c r="AJ5080">
        <v>122.559838926284</v>
      </c>
      <c r="AK5080">
        <v>0.80139661372708104</v>
      </c>
    </row>
    <row r="5081" spans="1:37" x14ac:dyDescent="0.2">
      <c r="A5081" t="str">
        <f>"20200111154201137"</f>
        <v>20200111154201137</v>
      </c>
      <c r="B5081" t="str">
        <f>"1578728521131325"</f>
        <v>1578728521131325</v>
      </c>
      <c r="C5081" t="s">
        <v>37</v>
      </c>
      <c r="D5081">
        <v>5.2521079999999998</v>
      </c>
      <c r="E5081">
        <v>0.41780079999999897</v>
      </c>
      <c r="F5081" t="s">
        <v>38</v>
      </c>
      <c r="G5081">
        <v>-210.62020000000001</v>
      </c>
      <c r="H5081">
        <v>1.022246</v>
      </c>
      <c r="I5081">
        <v>-60.99098</v>
      </c>
      <c r="J5081">
        <v>-211.27860000000001</v>
      </c>
      <c r="K5081">
        <v>1.1215660000000001</v>
      </c>
      <c r="L5081">
        <v>-61.67801</v>
      </c>
      <c r="M5081">
        <v>0.96685219999999905</v>
      </c>
      <c r="N5081">
        <v>0</v>
      </c>
      <c r="O5081">
        <v>0.2548935</v>
      </c>
      <c r="P5081">
        <v>0.86795259999999996</v>
      </c>
      <c r="Q5081">
        <v>4.0452580000000002E-2</v>
      </c>
      <c r="R5081">
        <v>0.49499679999999902</v>
      </c>
      <c r="S5081">
        <v>2.3104100000000001</v>
      </c>
      <c r="T5081">
        <v>-0.27492490000000003</v>
      </c>
      <c r="U5081">
        <v>2.0409549999999999</v>
      </c>
      <c r="V5081">
        <v>-0.25879530000000001</v>
      </c>
      <c r="W5081">
        <v>4.7880279999999997E-2</v>
      </c>
      <c r="X5081">
        <v>0.96474479999999996</v>
      </c>
      <c r="Y5081">
        <v>-0.44837850000000001</v>
      </c>
      <c r="Z5081">
        <v>-2.3132639999999898E-3</v>
      </c>
      <c r="AA5081">
        <v>0.89384079999999999</v>
      </c>
      <c r="AB5081">
        <v>37</v>
      </c>
      <c r="AC5081">
        <v>0.65839999999999999</v>
      </c>
      <c r="AD5081">
        <v>-9.9320000000000006E-2</v>
      </c>
      <c r="AE5081">
        <v>0.68702999999999204</v>
      </c>
      <c r="AF5081">
        <v>-0.491140276775894</v>
      </c>
      <c r="AG5081">
        <v>-9.9320000000000006E-2</v>
      </c>
      <c r="AH5081">
        <v>0.80303851283901295</v>
      </c>
      <c r="AI5081">
        <v>96.023052292316194</v>
      </c>
      <c r="AJ5081">
        <v>121.45005571880399</v>
      </c>
      <c r="AK5081">
        <v>0.94654851274205498</v>
      </c>
    </row>
    <row r="5082" spans="1:37" x14ac:dyDescent="0.2">
      <c r="A5082" t="str">
        <f>"20200111154201148"</f>
        <v>20200111154201148</v>
      </c>
      <c r="B5082" t="str">
        <f>"1578728521141085"</f>
        <v>1578728521141085</v>
      </c>
      <c r="C5082" t="s">
        <v>37</v>
      </c>
      <c r="D5082">
        <v>5.2365510000000004</v>
      </c>
      <c r="E5082">
        <v>0.418983299999999</v>
      </c>
      <c r="F5082" t="s">
        <v>38</v>
      </c>
      <c r="G5082">
        <v>-210.56399999999999</v>
      </c>
      <c r="H5082">
        <v>1.0349440000000001</v>
      </c>
      <c r="I5082">
        <v>-61.0424199999999</v>
      </c>
      <c r="J5082">
        <v>-211.09599999999901</v>
      </c>
      <c r="K5082">
        <v>1.1216660000000001</v>
      </c>
      <c r="L5082">
        <v>-61.625369999999997</v>
      </c>
      <c r="M5082">
        <v>0.96523700000000001</v>
      </c>
      <c r="N5082">
        <v>0</v>
      </c>
      <c r="O5082">
        <v>0.26094210000000001</v>
      </c>
      <c r="P5082">
        <v>0.86474189999999995</v>
      </c>
      <c r="Q5082">
        <v>4.0091050000000003E-2</v>
      </c>
      <c r="R5082">
        <v>0.50061389999999995</v>
      </c>
      <c r="S5082">
        <v>2.3018800000000001</v>
      </c>
      <c r="T5082">
        <v>-0.27902539999999998</v>
      </c>
      <c r="U5082">
        <v>2.0472410000000001</v>
      </c>
      <c r="V5082">
        <v>-0.25900879999999998</v>
      </c>
      <c r="W5082">
        <v>4.746305E-2</v>
      </c>
      <c r="X5082">
        <v>0.96470809999999996</v>
      </c>
      <c r="Y5082">
        <v>-0.44579659999999899</v>
      </c>
      <c r="Z5082">
        <v>-3.0636409999999898E-3</v>
      </c>
      <c r="AA5082">
        <v>0.89512909999999901</v>
      </c>
      <c r="AB5082">
        <v>37</v>
      </c>
      <c r="AC5082">
        <v>0.53199999999995295</v>
      </c>
      <c r="AD5082">
        <v>-8.6721999999999896E-2</v>
      </c>
      <c r="AE5082">
        <v>0.58295000000000297</v>
      </c>
      <c r="AF5082">
        <v>-0.41885428940796798</v>
      </c>
      <c r="AG5082">
        <v>-8.6721999999999896E-2</v>
      </c>
      <c r="AH5082">
        <v>0.65775564112669704</v>
      </c>
      <c r="AI5082">
        <v>96.345854952111395</v>
      </c>
      <c r="AJ5082">
        <v>122.488705099079</v>
      </c>
      <c r="AK5082">
        <v>0.78460315094539701</v>
      </c>
    </row>
    <row r="5083" spans="1:37" x14ac:dyDescent="0.2">
      <c r="A5083" t="str">
        <f>"20200111154201158"</f>
        <v>20200111154201158</v>
      </c>
      <c r="B5083" t="str">
        <f>"1578728521150845"</f>
        <v>1578728521150845</v>
      </c>
      <c r="C5083" t="s">
        <v>37</v>
      </c>
      <c r="D5083">
        <v>5.2265689999999996</v>
      </c>
      <c r="E5083">
        <v>0.41994670000000001</v>
      </c>
      <c r="F5083" t="s">
        <v>38</v>
      </c>
      <c r="G5083">
        <v>-210.30080000000001</v>
      </c>
      <c r="H5083">
        <v>1.0239180000000001</v>
      </c>
      <c r="I5083">
        <v>-60.913440000000001</v>
      </c>
      <c r="J5083">
        <v>-210.9246</v>
      </c>
      <c r="K5083">
        <v>1.121758</v>
      </c>
      <c r="L5083">
        <v>-61.574890000000003</v>
      </c>
      <c r="M5083">
        <v>0.96367309999999995</v>
      </c>
      <c r="N5083">
        <v>0</v>
      </c>
      <c r="O5083">
        <v>0.26665859999999902</v>
      </c>
      <c r="P5083">
        <v>0.86172899999999997</v>
      </c>
      <c r="Q5083">
        <v>3.9783569999999997E-2</v>
      </c>
      <c r="R5083">
        <v>0.50580670000000005</v>
      </c>
      <c r="S5083">
        <v>2.2933349999999999</v>
      </c>
      <c r="T5083">
        <v>-0.28193509999999899</v>
      </c>
      <c r="U5083">
        <v>2.0538020000000001</v>
      </c>
      <c r="V5083">
        <v>-0.25909320000000002</v>
      </c>
      <c r="W5083">
        <v>4.7109150000000002E-2</v>
      </c>
      <c r="X5083">
        <v>0.96470279999999997</v>
      </c>
      <c r="Y5083">
        <v>-0.44358180000000003</v>
      </c>
      <c r="Z5083">
        <v>-3.7684609999999999E-3</v>
      </c>
      <c r="AA5083">
        <v>0.89622590000000002</v>
      </c>
      <c r="AB5083">
        <v>37</v>
      </c>
      <c r="AC5083">
        <v>0.62379999999998803</v>
      </c>
      <c r="AD5083">
        <v>-9.7839999999999899E-2</v>
      </c>
      <c r="AE5083">
        <v>0.66145000000000198</v>
      </c>
      <c r="AF5083">
        <v>-0.46574014331228702</v>
      </c>
      <c r="AG5083">
        <v>-9.7839999999999899E-2</v>
      </c>
      <c r="AH5083">
        <v>0.76870724476812202</v>
      </c>
      <c r="AI5083">
        <v>96.212605865161805</v>
      </c>
      <c r="AJ5083">
        <v>121.210604930163</v>
      </c>
      <c r="AK5083">
        <v>0.90410031238328104</v>
      </c>
    </row>
    <row r="5084" spans="1:37" x14ac:dyDescent="0.2">
      <c r="A5084" t="str">
        <f>"20200111154201170"</f>
        <v>20200111154201170</v>
      </c>
      <c r="B5084" t="str">
        <f>"1578728521160605"</f>
        <v>1578728521160605</v>
      </c>
      <c r="C5084" t="s">
        <v>37</v>
      </c>
      <c r="D5084">
        <v>5.2469999999999999</v>
      </c>
      <c r="E5084">
        <v>0.41994670000000001</v>
      </c>
      <c r="F5084" t="s">
        <v>47</v>
      </c>
      <c r="G5084">
        <v>-201.87190000000001</v>
      </c>
      <c r="H5084" s="1">
        <v>-6.0892110000000002E-6</v>
      </c>
      <c r="I5084">
        <v>-53.408869999999901</v>
      </c>
      <c r="J5084">
        <v>-210.75550000000001</v>
      </c>
      <c r="K5084">
        <v>1.1218410000000001</v>
      </c>
      <c r="L5084">
        <v>-61.523679999999999</v>
      </c>
      <c r="M5084">
        <v>0.96207880000000001</v>
      </c>
      <c r="N5084">
        <v>0</v>
      </c>
      <c r="O5084">
        <v>0.27235329999999902</v>
      </c>
      <c r="P5084">
        <v>0.85877999999999899</v>
      </c>
      <c r="Q5084">
        <v>3.9517289999999997E-2</v>
      </c>
      <c r="R5084">
        <v>0.51081829999999995</v>
      </c>
      <c r="S5084">
        <v>2.284729</v>
      </c>
      <c r="T5084">
        <v>-0.28311149999999902</v>
      </c>
      <c r="U5084">
        <v>2.0609439999999899</v>
      </c>
      <c r="V5084">
        <v>-0.25900859999999998</v>
      </c>
      <c r="W5084">
        <v>4.6804320000000003E-2</v>
      </c>
      <c r="X5084">
        <v>0.9647403</v>
      </c>
      <c r="Y5084">
        <v>-0.44152649999999999</v>
      </c>
      <c r="Z5084">
        <v>-4.4500159999999898E-3</v>
      </c>
      <c r="AA5084">
        <v>0.89723719999999996</v>
      </c>
      <c r="AB5084">
        <v>37</v>
      </c>
      <c r="AC5084">
        <v>8.8835999999999995</v>
      </c>
      <c r="AD5084">
        <v>-1.121847089211</v>
      </c>
      <c r="AE5084">
        <v>8.1148100000000092</v>
      </c>
      <c r="AF5084">
        <v>-5.34178469379387</v>
      </c>
      <c r="AG5084">
        <v>-1.121847089211</v>
      </c>
      <c r="AH5084">
        <v>10.6653266099788</v>
      </c>
      <c r="AI5084">
        <v>95.372827302507702</v>
      </c>
      <c r="AJ5084">
        <v>116.604238971008</v>
      </c>
      <c r="AK5084">
        <v>11.9809180075629</v>
      </c>
    </row>
    <row r="5085" spans="1:37" x14ac:dyDescent="0.2">
      <c r="A5085" t="str">
        <f>"20200111154201180"</f>
        <v>20200111154201180</v>
      </c>
      <c r="B5085" t="str">
        <f>"1578728521171341"</f>
        <v>1578728521171341</v>
      </c>
      <c r="C5085" t="s">
        <v>37</v>
      </c>
      <c r="D5085">
        <v>5.2423449999999896</v>
      </c>
      <c r="E5085">
        <v>0.431805199999999</v>
      </c>
      <c r="F5085" t="s">
        <v>38</v>
      </c>
      <c r="G5085">
        <v>-209.98759999999999</v>
      </c>
      <c r="H5085">
        <v>1.0259579999999999</v>
      </c>
      <c r="I5085">
        <v>-60.82291</v>
      </c>
      <c r="J5085">
        <v>-210.58500000000001</v>
      </c>
      <c r="K5085">
        <v>1.121929</v>
      </c>
      <c r="L5085">
        <v>-61.471469999999997</v>
      </c>
      <c r="M5085">
        <v>0.96042909999999904</v>
      </c>
      <c r="N5085">
        <v>0</v>
      </c>
      <c r="O5085">
        <v>0.27811409999999998</v>
      </c>
      <c r="P5085">
        <v>0.85583109999999996</v>
      </c>
      <c r="Q5085">
        <v>3.9646140000000003E-2</v>
      </c>
      <c r="R5085">
        <v>0.51573380000000002</v>
      </c>
      <c r="S5085">
        <v>2.2726439999999899</v>
      </c>
      <c r="T5085">
        <v>-0.28378309999999901</v>
      </c>
      <c r="U5085">
        <v>2.0741580000000002</v>
      </c>
      <c r="V5085">
        <v>-0.25877470000000002</v>
      </c>
      <c r="W5085">
        <v>4.6899580000000003E-2</v>
      </c>
      <c r="X5085">
        <v>0.9647985</v>
      </c>
      <c r="Y5085">
        <v>-0.44139099999999998</v>
      </c>
      <c r="Z5085">
        <v>-5.033236E-3</v>
      </c>
      <c r="AA5085">
        <v>0.89730080000000001</v>
      </c>
      <c r="AB5085">
        <v>37</v>
      </c>
      <c r="AC5085">
        <v>0.59740000000002103</v>
      </c>
      <c r="AD5085">
        <v>-9.5971000000000195E-2</v>
      </c>
      <c r="AE5085">
        <v>0.64855999999999603</v>
      </c>
      <c r="AF5085">
        <v>-0.45145480911304298</v>
      </c>
      <c r="AG5085">
        <v>-9.5971000000000195E-2</v>
      </c>
      <c r="AH5085">
        <v>0.74539033270220501</v>
      </c>
      <c r="AI5085">
        <v>96.284569969424297</v>
      </c>
      <c r="AJ5085">
        <v>121.201708389643</v>
      </c>
      <c r="AK5085">
        <v>0.87671467741688802</v>
      </c>
    </row>
    <row r="5086" spans="1:37" x14ac:dyDescent="0.2">
      <c r="A5086" t="str">
        <f>"20200111154201191"</f>
        <v>20200111154201191</v>
      </c>
      <c r="B5086" t="str">
        <f>"1578728521181101"</f>
        <v>1578728521181101</v>
      </c>
      <c r="C5086" t="s">
        <v>37</v>
      </c>
      <c r="D5086">
        <v>5.2649290000000004</v>
      </c>
      <c r="E5086">
        <v>0.43159380000000003</v>
      </c>
      <c r="F5086" t="s">
        <v>47</v>
      </c>
      <c r="G5086">
        <v>-202.02369999999999</v>
      </c>
      <c r="H5086" s="1">
        <v>-5.9332460000000002E-6</v>
      </c>
      <c r="I5086">
        <v>-54.039700000000003</v>
      </c>
      <c r="J5086">
        <v>-210.4153</v>
      </c>
      <c r="K5086">
        <v>1.122012</v>
      </c>
      <c r="L5086">
        <v>-61.417659999999998</v>
      </c>
      <c r="M5086">
        <v>0.95872969999999902</v>
      </c>
      <c r="N5086">
        <v>0</v>
      </c>
      <c r="O5086">
        <v>0.2839158</v>
      </c>
      <c r="P5086">
        <v>0.85292509999999999</v>
      </c>
      <c r="Q5086">
        <v>3.960839E-2</v>
      </c>
      <c r="R5086">
        <v>0.52052869999999996</v>
      </c>
      <c r="S5086">
        <v>2.3106689999999999</v>
      </c>
      <c r="T5086">
        <v>-0.30280469999999998</v>
      </c>
      <c r="U5086">
        <v>2.005798</v>
      </c>
      <c r="V5086">
        <v>-0.25836500000000001</v>
      </c>
      <c r="W5086">
        <v>4.6836219999999998E-2</v>
      </c>
      <c r="X5086">
        <v>0.96491130000000003</v>
      </c>
      <c r="Y5086">
        <v>-0.41349269999999999</v>
      </c>
      <c r="Z5086">
        <v>-7.5446439999999997E-3</v>
      </c>
      <c r="AA5086">
        <v>0.91047610000000001</v>
      </c>
      <c r="AB5086">
        <v>37</v>
      </c>
      <c r="AC5086">
        <v>8.3916000000000093</v>
      </c>
      <c r="AD5086">
        <v>-1.1220179332460001</v>
      </c>
      <c r="AE5086">
        <v>7.3779599999999901</v>
      </c>
      <c r="AF5086">
        <v>-4.6446659370886598</v>
      </c>
      <c r="AG5086">
        <v>-1.1220179332460001</v>
      </c>
      <c r="AH5086">
        <v>10.0399228400503</v>
      </c>
      <c r="AI5086">
        <v>95.791579087643498</v>
      </c>
      <c r="AJ5086">
        <v>114.826190129549</v>
      </c>
      <c r="AK5086">
        <v>11.1189881079098</v>
      </c>
    </row>
    <row r="5087" spans="1:37" x14ac:dyDescent="0.2">
      <c r="A5087" t="str">
        <f>"20200111154201203"</f>
        <v>20200111154201203</v>
      </c>
      <c r="B5087" t="str">
        <f>"1578728521200621"</f>
        <v>1578728521200621</v>
      </c>
      <c r="C5087" t="s">
        <v>37</v>
      </c>
      <c r="D5087">
        <v>5.2162899999999999</v>
      </c>
      <c r="E5087">
        <v>0.43228369999999999</v>
      </c>
      <c r="F5087" t="s">
        <v>38</v>
      </c>
      <c r="G5087">
        <v>-209.6249</v>
      </c>
      <c r="H5087">
        <v>1.0182959999999901</v>
      </c>
      <c r="I5087">
        <v>-60.72289</v>
      </c>
      <c r="J5087">
        <v>-210.2303</v>
      </c>
      <c r="K5087">
        <v>1.122109</v>
      </c>
      <c r="L5087">
        <v>-61.358550000000001</v>
      </c>
      <c r="M5087">
        <v>0.95683039999999997</v>
      </c>
      <c r="N5087">
        <v>0</v>
      </c>
      <c r="O5087">
        <v>0.29025139999999999</v>
      </c>
      <c r="P5087">
        <v>0.84971669999999999</v>
      </c>
      <c r="Q5087">
        <v>3.9912610000000001E-2</v>
      </c>
      <c r="R5087">
        <v>0.52572669999999999</v>
      </c>
      <c r="S5087">
        <v>2.298279</v>
      </c>
      <c r="T5087">
        <v>-0.30158190000000001</v>
      </c>
      <c r="U5087">
        <v>2.020416</v>
      </c>
      <c r="V5087">
        <v>-0.25789829999999903</v>
      </c>
      <c r="W5087">
        <v>4.7113439999999999E-2</v>
      </c>
      <c r="X5087">
        <v>0.96502269999999901</v>
      </c>
      <c r="Y5087">
        <v>-0.41320569999999901</v>
      </c>
      <c r="Z5087">
        <v>-8.1923880000000001E-3</v>
      </c>
      <c r="AA5087">
        <v>0.91060090000000005</v>
      </c>
      <c r="AB5087">
        <v>37</v>
      </c>
      <c r="AC5087">
        <v>0.60540000000000205</v>
      </c>
      <c r="AD5087">
        <v>-0.103813</v>
      </c>
      <c r="AE5087">
        <v>0.635660000000001</v>
      </c>
      <c r="AF5087">
        <v>-0.42658414320264498</v>
      </c>
      <c r="AG5087">
        <v>-0.103813</v>
      </c>
      <c r="AH5087">
        <v>0.75331824782023604</v>
      </c>
      <c r="AI5087">
        <v>96.838023840097506</v>
      </c>
      <c r="AJ5087">
        <v>119.52172697269199</v>
      </c>
      <c r="AK5087">
        <v>0.87191717077936104</v>
      </c>
    </row>
    <row r="5088" spans="1:37" x14ac:dyDescent="0.2">
      <c r="A5088" t="str">
        <f>"20200111154201215"</f>
        <v>20200111154201215</v>
      </c>
      <c r="B5088" t="str">
        <f>"1578728521211357"</f>
        <v>1578728521211357</v>
      </c>
      <c r="C5088" t="s">
        <v>37</v>
      </c>
      <c r="D5088">
        <v>5.2581069999999999</v>
      </c>
      <c r="E5088">
        <v>0.43246999999999902</v>
      </c>
      <c r="F5088" t="s">
        <v>38</v>
      </c>
      <c r="G5088">
        <v>-209.38040000000001</v>
      </c>
      <c r="H5088">
        <v>1.010818</v>
      </c>
      <c r="I5088">
        <v>-60.604969999999902</v>
      </c>
      <c r="J5088">
        <v>-210.0564</v>
      </c>
      <c r="K5088">
        <v>1.1221939999999999</v>
      </c>
      <c r="L5088">
        <v>-61.300869999999897</v>
      </c>
      <c r="M5088">
        <v>0.95497940000000003</v>
      </c>
      <c r="N5088">
        <v>0</v>
      </c>
      <c r="O5088">
        <v>0.29628379999999999</v>
      </c>
      <c r="P5088">
        <v>0.84660789999999997</v>
      </c>
      <c r="Q5088">
        <v>4.0122829999999998E-2</v>
      </c>
      <c r="R5088">
        <v>0.53070280000000003</v>
      </c>
      <c r="S5088">
        <v>2.2888489999999999</v>
      </c>
      <c r="T5088">
        <v>-0.29972579999999999</v>
      </c>
      <c r="U5088">
        <v>2.0297239999999999</v>
      </c>
      <c r="V5088">
        <v>-0.25748969999999999</v>
      </c>
      <c r="W5088">
        <v>4.7299679999999997E-2</v>
      </c>
      <c r="X5088">
        <v>0.965122699999999</v>
      </c>
      <c r="Y5088">
        <v>-0.41143379999999902</v>
      </c>
      <c r="Z5088">
        <v>-8.8682850000000001E-3</v>
      </c>
      <c r="AA5088">
        <v>0.91139650000000005</v>
      </c>
      <c r="AB5088">
        <v>37</v>
      </c>
      <c r="AC5088">
        <v>0.67599999999998694</v>
      </c>
      <c r="AD5088">
        <v>-0.111376</v>
      </c>
      <c r="AE5088">
        <v>0.69590000000000096</v>
      </c>
      <c r="AF5088">
        <v>-0.45829597069892403</v>
      </c>
      <c r="AG5088">
        <v>-0.111376</v>
      </c>
      <c r="AH5088">
        <v>0.84076771072965695</v>
      </c>
      <c r="AI5088">
        <v>96.634377078978105</v>
      </c>
      <c r="AJ5088">
        <v>118.59445942084901</v>
      </c>
      <c r="AK5088">
        <v>0.96401771432918104</v>
      </c>
    </row>
    <row r="5089" spans="1:37" x14ac:dyDescent="0.2">
      <c r="A5089" t="str">
        <f>"20200111154201227"</f>
        <v>20200111154201227</v>
      </c>
      <c r="B5089" t="str">
        <f>"1578728521221116"</f>
        <v>1578728521221116</v>
      </c>
      <c r="C5089" t="s">
        <v>37</v>
      </c>
      <c r="D5089">
        <v>5.264335</v>
      </c>
      <c r="E5089">
        <v>0.43266139999999997</v>
      </c>
      <c r="F5089" t="s">
        <v>47</v>
      </c>
      <c r="G5089">
        <v>-201.5419</v>
      </c>
      <c r="H5089" s="1">
        <v>-6.1737519999999996E-6</v>
      </c>
      <c r="I5089">
        <v>-53.667340000000003</v>
      </c>
      <c r="J5089">
        <v>-209.8595</v>
      </c>
      <c r="K5089">
        <v>1.1222889999999901</v>
      </c>
      <c r="L5089">
        <v>-61.234650000000002</v>
      </c>
      <c r="M5089">
        <v>0.95282520000000004</v>
      </c>
      <c r="N5089">
        <v>0</v>
      </c>
      <c r="O5089">
        <v>0.30313869999999998</v>
      </c>
      <c r="P5089">
        <v>0.84299199999999996</v>
      </c>
      <c r="Q5089">
        <v>4.041003E-2</v>
      </c>
      <c r="R5089">
        <v>0.53640600000000005</v>
      </c>
      <c r="S5089">
        <v>2.2777099999999999</v>
      </c>
      <c r="T5089">
        <v>-0.30019639999999997</v>
      </c>
      <c r="U5089">
        <v>2.0420229999999999</v>
      </c>
      <c r="V5089">
        <v>-0.2570944</v>
      </c>
      <c r="W5089">
        <v>4.7558789999999997E-2</v>
      </c>
      <c r="X5089">
        <v>0.9652153</v>
      </c>
      <c r="Y5089">
        <v>-0.40986229999999901</v>
      </c>
      <c r="Z5089">
        <v>-9.6829780000000001E-3</v>
      </c>
      <c r="AA5089">
        <v>0.91209599999999902</v>
      </c>
      <c r="AB5089">
        <v>37</v>
      </c>
      <c r="AC5089">
        <v>8.3175999999999899</v>
      </c>
      <c r="AD5089">
        <v>-1.1222951737519999</v>
      </c>
      <c r="AE5089">
        <v>7.5673099999999902</v>
      </c>
      <c r="AF5089">
        <v>-4.6432274298335798</v>
      </c>
      <c r="AG5089">
        <v>-1.1222951737519999</v>
      </c>
      <c r="AH5089">
        <v>10.1195425849677</v>
      </c>
      <c r="AI5089">
        <v>95.755939956440102</v>
      </c>
      <c r="AJ5089">
        <v>114.647440559519</v>
      </c>
      <c r="AK5089">
        <v>11.190364138452299</v>
      </c>
    </row>
    <row r="5090" spans="1:37" x14ac:dyDescent="0.2">
      <c r="A5090" t="str">
        <f>"20200111154201239"</f>
        <v>20200111154201239</v>
      </c>
      <c r="B5090" t="str">
        <f>"1578728521230878"</f>
        <v>1578728521230878</v>
      </c>
      <c r="C5090" t="s">
        <v>37</v>
      </c>
      <c r="D5090">
        <v>5.3129289999999996</v>
      </c>
      <c r="E5090">
        <v>0.43269649999999998</v>
      </c>
      <c r="F5090" t="s">
        <v>38</v>
      </c>
      <c r="G5090">
        <v>-209.0658</v>
      </c>
      <c r="H5090">
        <v>1.0176000000000001</v>
      </c>
      <c r="I5090">
        <v>-60.514189999999999</v>
      </c>
      <c r="J5090">
        <v>-209.6788</v>
      </c>
      <c r="K5090">
        <v>1.122376</v>
      </c>
      <c r="L5090">
        <v>-61.172419999999903</v>
      </c>
      <c r="M5090">
        <v>0.95078549999999995</v>
      </c>
      <c r="N5090">
        <v>0</v>
      </c>
      <c r="O5090">
        <v>0.30947579999999902</v>
      </c>
      <c r="P5090">
        <v>0.83944149999999995</v>
      </c>
      <c r="Q5090">
        <v>4.0886489999999998E-2</v>
      </c>
      <c r="R5090">
        <v>0.54190990000000006</v>
      </c>
      <c r="S5090">
        <v>2.2647710000000001</v>
      </c>
      <c r="T5090">
        <v>-0.2987339</v>
      </c>
      <c r="U5090">
        <v>2.0560610000000001</v>
      </c>
      <c r="V5090">
        <v>-0.25701489999999999</v>
      </c>
      <c r="W5090">
        <v>4.8001740000000001E-2</v>
      </c>
      <c r="X5090">
        <v>0.96521460000000003</v>
      </c>
      <c r="Y5090">
        <v>-0.40951529999999903</v>
      </c>
      <c r="Z5090">
        <v>-1.0315009999999999E-2</v>
      </c>
      <c r="AA5090">
        <v>0.91224490000000003</v>
      </c>
      <c r="AB5090">
        <v>37</v>
      </c>
      <c r="AC5090">
        <v>0.61299999999999899</v>
      </c>
      <c r="AD5090">
        <v>-0.10477599999999899</v>
      </c>
      <c r="AE5090">
        <v>0.65822999999999598</v>
      </c>
      <c r="AF5090">
        <v>-0.43033803462961101</v>
      </c>
      <c r="AG5090">
        <v>-0.10477599999999899</v>
      </c>
      <c r="AH5090">
        <v>0.77609782136656902</v>
      </c>
      <c r="AI5090">
        <v>96.733611995305097</v>
      </c>
      <c r="AJ5090">
        <v>119.007904975331</v>
      </c>
      <c r="AK5090">
        <v>0.89358640463852901</v>
      </c>
    </row>
    <row r="5091" spans="1:37" x14ac:dyDescent="0.2">
      <c r="A5091" t="str">
        <f>"20200111154201250"</f>
        <v>20200111154201250</v>
      </c>
      <c r="B5091" t="str">
        <f>"1578728521240637"</f>
        <v>1578728521240637</v>
      </c>
      <c r="C5091" t="s">
        <v>37</v>
      </c>
      <c r="D5091">
        <v>5.2693260000000004</v>
      </c>
      <c r="E5091">
        <v>0.43290489999999998</v>
      </c>
      <c r="F5091" t="s">
        <v>47</v>
      </c>
      <c r="G5091">
        <v>-201.2509</v>
      </c>
      <c r="H5091" s="1">
        <v>-6.3221549999999996E-6</v>
      </c>
      <c r="I5091">
        <v>-53.422259999999902</v>
      </c>
      <c r="J5091">
        <v>-209.5121</v>
      </c>
      <c r="K5091">
        <v>1.1224510000000001</v>
      </c>
      <c r="L5091">
        <v>-61.113590000000002</v>
      </c>
      <c r="M5091">
        <v>0.94884760000000001</v>
      </c>
      <c r="N5091">
        <v>0</v>
      </c>
      <c r="O5091">
        <v>0.31536709999999901</v>
      </c>
      <c r="P5091">
        <v>0.8361613</v>
      </c>
      <c r="Q5091">
        <v>4.134082E-2</v>
      </c>
      <c r="R5091">
        <v>0.54692359999999995</v>
      </c>
      <c r="S5091">
        <v>2.2516940000000001</v>
      </c>
      <c r="T5091">
        <v>-0.29986779999999902</v>
      </c>
      <c r="U5091">
        <v>2.0706180000000001</v>
      </c>
      <c r="V5091">
        <v>-0.25683420000000001</v>
      </c>
      <c r="W5091">
        <v>4.8429920000000001E-2</v>
      </c>
      <c r="X5091">
        <v>0.96524129999999997</v>
      </c>
      <c r="Y5091">
        <v>-0.40971289999999999</v>
      </c>
      <c r="Z5091">
        <v>-1.0959490000000001E-2</v>
      </c>
      <c r="AA5091">
        <v>0.91214869999999904</v>
      </c>
      <c r="AB5091">
        <v>37</v>
      </c>
      <c r="AC5091">
        <v>8.2612000000000005</v>
      </c>
      <c r="AD5091">
        <v>-1.122457322155</v>
      </c>
      <c r="AE5091">
        <v>7.6913299999999998</v>
      </c>
      <c r="AF5091">
        <v>-4.6471769599860799</v>
      </c>
      <c r="AG5091">
        <v>-1.122457322155</v>
      </c>
      <c r="AH5091">
        <v>10.164880684824301</v>
      </c>
      <c r="AI5091">
        <v>95.734835243253698</v>
      </c>
      <c r="AJ5091">
        <v>114.568916685231</v>
      </c>
      <c r="AK5091">
        <v>11.2330300219575</v>
      </c>
    </row>
    <row r="5092" spans="1:37" x14ac:dyDescent="0.2">
      <c r="A5092" t="str">
        <f>"20200111154201261"</f>
        <v>20200111154201261</v>
      </c>
      <c r="B5092" t="str">
        <f>"1578728521251373"</f>
        <v>1578728521251373</v>
      </c>
      <c r="C5092" t="s">
        <v>37</v>
      </c>
      <c r="D5092">
        <v>5.2989709999999999</v>
      </c>
      <c r="E5092">
        <v>0.432959599999999</v>
      </c>
      <c r="F5092" t="s">
        <v>38</v>
      </c>
      <c r="G5092">
        <v>-208.73689999999999</v>
      </c>
      <c r="H5092">
        <v>1.0180819999999999</v>
      </c>
      <c r="I5092">
        <v>-60.393000000000001</v>
      </c>
      <c r="J5092">
        <v>-209.33519999999999</v>
      </c>
      <c r="K5092">
        <v>1.1225319999999901</v>
      </c>
      <c r="L5092">
        <v>-61.050350000000002</v>
      </c>
      <c r="M5092">
        <v>0.94674059999999904</v>
      </c>
      <c r="N5092">
        <v>0</v>
      </c>
      <c r="O5092">
        <v>0.32163609999999998</v>
      </c>
      <c r="P5092">
        <v>0.83246169999999997</v>
      </c>
      <c r="Q5092">
        <v>4.1654280000000002E-2</v>
      </c>
      <c r="R5092">
        <v>0.55251470000000003</v>
      </c>
      <c r="S5092">
        <v>2.2405400000000002</v>
      </c>
      <c r="T5092">
        <v>-0.30164869999999999</v>
      </c>
      <c r="U5092">
        <v>2.0825499999999999</v>
      </c>
      <c r="V5092">
        <v>-0.25694250000000002</v>
      </c>
      <c r="W5092">
        <v>4.8706159999999998E-2</v>
      </c>
      <c r="X5092">
        <v>0.96519859999999902</v>
      </c>
      <c r="Y5092">
        <v>-0.4085761</v>
      </c>
      <c r="Z5092">
        <v>-1.174621E-2</v>
      </c>
      <c r="AA5092">
        <v>0.91264859999999903</v>
      </c>
      <c r="AB5092">
        <v>37</v>
      </c>
      <c r="AC5092">
        <v>0.59829999999999395</v>
      </c>
      <c r="AD5092">
        <v>-0.104449999999999</v>
      </c>
      <c r="AE5092">
        <v>0.65735000000000099</v>
      </c>
      <c r="AF5092">
        <v>-0.42409881122871801</v>
      </c>
      <c r="AG5092">
        <v>-0.104449999999999</v>
      </c>
      <c r="AH5092">
        <v>0.76735667977905897</v>
      </c>
      <c r="AI5092">
        <v>96.793783163156306</v>
      </c>
      <c r="AJ5092">
        <v>118.928329217816</v>
      </c>
      <c r="AK5092">
        <v>0.88295293090127602</v>
      </c>
    </row>
    <row r="5093" spans="1:37" x14ac:dyDescent="0.2">
      <c r="A5093" t="str">
        <f>"20200111154201271"</f>
        <v>20200111154201271</v>
      </c>
      <c r="B5093" t="str">
        <f>"1578728521261134"</f>
        <v>1578728521261134</v>
      </c>
      <c r="C5093" t="s">
        <v>37</v>
      </c>
      <c r="D5093">
        <v>5.3070959999999996</v>
      </c>
      <c r="E5093">
        <v>0.43291019999999902</v>
      </c>
      <c r="F5093" t="s">
        <v>47</v>
      </c>
      <c r="G5093">
        <v>-201.04259999999999</v>
      </c>
      <c r="H5093" s="1">
        <v>-6.4292939999999998E-6</v>
      </c>
      <c r="I5093">
        <v>-53.240859999999998</v>
      </c>
      <c r="J5093">
        <v>-209.17529999999999</v>
      </c>
      <c r="K5093">
        <v>1.122474</v>
      </c>
      <c r="L5093">
        <v>-60.991519999999902</v>
      </c>
      <c r="M5093">
        <v>0.9446177</v>
      </c>
      <c r="N5093">
        <v>0</v>
      </c>
      <c r="O5093">
        <v>0.32782440000000002</v>
      </c>
      <c r="P5093">
        <v>0.82895019999999997</v>
      </c>
      <c r="Q5093">
        <v>4.2203770000000002E-2</v>
      </c>
      <c r="R5093">
        <v>0.55772790000000005</v>
      </c>
      <c r="S5093">
        <v>2.2269290000000002</v>
      </c>
      <c r="T5093">
        <v>-0.30145159999999999</v>
      </c>
      <c r="U5093">
        <v>2.0971980000000001</v>
      </c>
      <c r="V5093">
        <v>-0.25670419999999999</v>
      </c>
      <c r="W5093">
        <v>4.9142419999999999E-2</v>
      </c>
      <c r="X5093">
        <v>0.96523979999999998</v>
      </c>
      <c r="Y5093">
        <v>-0.40859709999999899</v>
      </c>
      <c r="Z5093">
        <v>-1.238993E-2</v>
      </c>
      <c r="AA5093">
        <v>0.91263069999999902</v>
      </c>
      <c r="AB5093">
        <v>37</v>
      </c>
      <c r="AC5093">
        <v>8.1326999999999998</v>
      </c>
      <c r="AD5093">
        <v>-1.122480429294</v>
      </c>
      <c r="AE5093">
        <v>7.7506599999999901</v>
      </c>
      <c r="AF5093">
        <v>-4.6098263399489996</v>
      </c>
      <c r="AG5093">
        <v>-1.122480429294</v>
      </c>
      <c r="AH5093">
        <v>10.123258069621601</v>
      </c>
      <c r="AI5093">
        <v>95.762284787080404</v>
      </c>
      <c r="AJ5093">
        <v>114.48308813128099</v>
      </c>
      <c r="AK5093">
        <v>11.1799291206516</v>
      </c>
    </row>
    <row r="5094" spans="1:37" x14ac:dyDescent="0.2">
      <c r="A5094" t="str">
        <f>"20200111154201282"</f>
        <v>20200111154201282</v>
      </c>
      <c r="B5094" t="str">
        <f>"1578728521270893"</f>
        <v>1578728521270893</v>
      </c>
      <c r="C5094" t="s">
        <v>37</v>
      </c>
      <c r="D5094">
        <v>5.30105</v>
      </c>
      <c r="E5094">
        <v>0.43310209999999999</v>
      </c>
      <c r="F5094" t="s">
        <v>38</v>
      </c>
      <c r="G5094">
        <v>-208.38980000000001</v>
      </c>
      <c r="H5094">
        <v>1.015201</v>
      </c>
      <c r="I5094">
        <v>-60.2425</v>
      </c>
      <c r="J5094">
        <v>-209.01159999999999</v>
      </c>
      <c r="K5094">
        <v>1.122401</v>
      </c>
      <c r="L5094">
        <v>-60.931089999999998</v>
      </c>
      <c r="M5094">
        <v>0.94237839999999995</v>
      </c>
      <c r="N5094">
        <v>0</v>
      </c>
      <c r="O5094">
        <v>0.33421430000000002</v>
      </c>
      <c r="P5094">
        <v>0.82511060000000003</v>
      </c>
      <c r="Q5094">
        <v>4.2671540000000001E-2</v>
      </c>
      <c r="R5094">
        <v>0.56335769999999996</v>
      </c>
      <c r="S5094">
        <v>2.2138369999999998</v>
      </c>
      <c r="T5094">
        <v>-0.302380599999999</v>
      </c>
      <c r="U5094">
        <v>2.1114199999999999</v>
      </c>
      <c r="V5094">
        <v>-0.25675290000000001</v>
      </c>
      <c r="W5094">
        <v>4.9472460000000003E-2</v>
      </c>
      <c r="X5094">
        <v>0.96521000000000001</v>
      </c>
      <c r="Y5094">
        <v>-0.4082094</v>
      </c>
      <c r="Z5094">
        <v>-1.312439E-2</v>
      </c>
      <c r="AA5094">
        <v>0.91279390000000005</v>
      </c>
      <c r="AB5094">
        <v>37</v>
      </c>
      <c r="AC5094">
        <v>0.62179999999997904</v>
      </c>
      <c r="AD5094">
        <v>-0.107199999999999</v>
      </c>
      <c r="AE5094">
        <v>0.68859000000000403</v>
      </c>
      <c r="AF5094">
        <v>-0.43533538132959798</v>
      </c>
      <c r="AG5094">
        <v>-0.107199999999999</v>
      </c>
      <c r="AH5094">
        <v>0.80544587329063</v>
      </c>
      <c r="AI5094">
        <v>96.678134273502295</v>
      </c>
      <c r="AJ5094">
        <v>118.390775160237</v>
      </c>
      <c r="AK5094">
        <v>0.92181982460689904</v>
      </c>
    </row>
    <row r="5095" spans="1:37" x14ac:dyDescent="0.2">
      <c r="A5095" t="str">
        <f>"20200111154201295"</f>
        <v>20200111154201295</v>
      </c>
      <c r="B5095" t="str">
        <f>"1578728521291388"</f>
        <v>1578728521291388</v>
      </c>
      <c r="C5095" t="s">
        <v>37</v>
      </c>
      <c r="D5095">
        <v>5.317431</v>
      </c>
      <c r="E5095">
        <v>0.43340319999999999</v>
      </c>
      <c r="F5095" t="s">
        <v>47</v>
      </c>
      <c r="G5095">
        <v>-200.83420000000001</v>
      </c>
      <c r="H5095" s="1">
        <v>-6.5404369999999996E-6</v>
      </c>
      <c r="I5095">
        <v>-53.034419999999997</v>
      </c>
      <c r="J5095">
        <v>-208.8331</v>
      </c>
      <c r="K5095">
        <v>1.1224620000000001</v>
      </c>
      <c r="L5095">
        <v>-60.862850000000002</v>
      </c>
      <c r="M5095">
        <v>0.93997900000000001</v>
      </c>
      <c r="N5095">
        <v>0</v>
      </c>
      <c r="O5095">
        <v>0.3409027</v>
      </c>
      <c r="P5095">
        <v>0.82125910000000002</v>
      </c>
      <c r="Q5095">
        <v>4.2833509999999998E-2</v>
      </c>
      <c r="R5095">
        <v>0.56894529999999999</v>
      </c>
      <c r="S5095">
        <v>2.2005919999999999</v>
      </c>
      <c r="T5095">
        <v>-0.30204530000000002</v>
      </c>
      <c r="U5095">
        <v>2.1250309999999999</v>
      </c>
      <c r="V5095">
        <v>-0.25646419999999998</v>
      </c>
      <c r="W5095">
        <v>4.9630569999999999E-2</v>
      </c>
      <c r="X5095">
        <v>0.96527870000000005</v>
      </c>
      <c r="Y5095">
        <v>-0.40742119999999998</v>
      </c>
      <c r="Z5095">
        <v>-1.3861210000000001E-2</v>
      </c>
      <c r="AA5095">
        <v>0.91313519999999904</v>
      </c>
      <c r="AB5095">
        <v>37</v>
      </c>
      <c r="AC5095">
        <v>7.9988999999999901</v>
      </c>
      <c r="AD5095">
        <v>-1.1224685404369901</v>
      </c>
      <c r="AE5095">
        <v>7.82843</v>
      </c>
      <c r="AF5095">
        <v>-4.5861067836354596</v>
      </c>
      <c r="AG5095">
        <v>-1.1224685404369901</v>
      </c>
      <c r="AH5095">
        <v>10.0872188772071</v>
      </c>
      <c r="AI5095">
        <v>95.784240785470601</v>
      </c>
      <c r="AJ5095">
        <v>114.448696366175</v>
      </c>
      <c r="AK5095">
        <v>11.1375174851428</v>
      </c>
    </row>
    <row r="5096" spans="1:37" x14ac:dyDescent="0.2">
      <c r="A5096" t="str">
        <f>"20200111154201306"</f>
        <v>20200111154201306</v>
      </c>
      <c r="B5096" t="str">
        <f>"1578728521301149"</f>
        <v>1578728521301149</v>
      </c>
      <c r="C5096" t="s">
        <v>37</v>
      </c>
      <c r="D5096">
        <v>5.2866330000000001</v>
      </c>
      <c r="E5096">
        <v>0.43351980000000001</v>
      </c>
      <c r="F5096" t="s">
        <v>47</v>
      </c>
      <c r="G5096">
        <v>-200.75790000000001</v>
      </c>
      <c r="H5096" s="1">
        <v>-6.5791369999999998E-6</v>
      </c>
      <c r="I5096">
        <v>-52.971509999999903</v>
      </c>
      <c r="J5096">
        <v>-208.6696</v>
      </c>
      <c r="K5096">
        <v>1.1225430000000001</v>
      </c>
      <c r="L5096">
        <v>-60.799930000000003</v>
      </c>
      <c r="M5096">
        <v>0.9377529</v>
      </c>
      <c r="N5096">
        <v>0</v>
      </c>
      <c r="O5096">
        <v>0.34697679999999997</v>
      </c>
      <c r="P5096">
        <v>0.81764239999999999</v>
      </c>
      <c r="Q5096">
        <v>4.333762E-2</v>
      </c>
      <c r="R5096">
        <v>0.57409299999999996</v>
      </c>
      <c r="S5096">
        <v>2.1877140000000002</v>
      </c>
      <c r="T5096">
        <v>-0.30409709999999901</v>
      </c>
      <c r="U5096">
        <v>2.1379090000000001</v>
      </c>
      <c r="V5096">
        <v>-0.2563201</v>
      </c>
      <c r="W5096">
        <v>5.0132059999999999E-2</v>
      </c>
      <c r="X5096">
        <v>0.96529100000000001</v>
      </c>
      <c r="Y5096">
        <v>-0.406972</v>
      </c>
      <c r="Z5096">
        <v>-1.4629110000000001E-2</v>
      </c>
      <c r="AA5096">
        <v>0.91332349999999995</v>
      </c>
      <c r="AB5096">
        <v>37</v>
      </c>
      <c r="AC5096">
        <v>7.91169999999999</v>
      </c>
      <c r="AD5096">
        <v>-1.1225495791369999</v>
      </c>
      <c r="AE5096">
        <v>7.8284200000000004</v>
      </c>
      <c r="AF5096">
        <v>-4.5501828656417604</v>
      </c>
      <c r="AG5096">
        <v>-1.1225495791369999</v>
      </c>
      <c r="AH5096">
        <v>10.034575062327599</v>
      </c>
      <c r="AI5096">
        <v>95.817393904072901</v>
      </c>
      <c r="AJ5096">
        <v>114.391938565923</v>
      </c>
      <c r="AK5096">
        <v>11.075061099149099</v>
      </c>
    </row>
    <row r="5097" spans="1:37" x14ac:dyDescent="0.2">
      <c r="A5097" t="str">
        <f>"20200111154201316"</f>
        <v>20200111154201316</v>
      </c>
      <c r="B5097" t="str">
        <f>"1578728521310908"</f>
        <v>1578728521310908</v>
      </c>
      <c r="C5097" t="s">
        <v>37</v>
      </c>
      <c r="D5097">
        <v>5.3184209999999998</v>
      </c>
      <c r="E5097">
        <v>0.43358190000000002</v>
      </c>
      <c r="F5097" t="s">
        <v>38</v>
      </c>
      <c r="G5097">
        <v>-207.88149999999999</v>
      </c>
      <c r="H5097">
        <v>1.0127429999999999</v>
      </c>
      <c r="I5097">
        <v>-60.02073</v>
      </c>
      <c r="J5097">
        <v>-208.49029999999999</v>
      </c>
      <c r="K5097">
        <v>1.122703</v>
      </c>
      <c r="L5097">
        <v>-60.728969999999997</v>
      </c>
      <c r="M5097">
        <v>0.93530759999999902</v>
      </c>
      <c r="N5097">
        <v>0</v>
      </c>
      <c r="O5097">
        <v>0.3535103</v>
      </c>
      <c r="P5097">
        <v>0.81379230000000002</v>
      </c>
      <c r="Q5097">
        <v>4.3600559999999997E-2</v>
      </c>
      <c r="R5097">
        <v>0.57951809999999904</v>
      </c>
      <c r="S5097">
        <v>2.1749419999999899</v>
      </c>
      <c r="T5097">
        <v>-0.30304509999999901</v>
      </c>
      <c r="U5097">
        <v>2.1508790000000002</v>
      </c>
      <c r="V5097">
        <v>-0.25604359999999998</v>
      </c>
      <c r="W5097">
        <v>5.0413029999999998E-2</v>
      </c>
      <c r="X5097">
        <v>0.96534979999999904</v>
      </c>
      <c r="Y5097">
        <v>-0.40606779999999998</v>
      </c>
      <c r="Z5097">
        <v>-1.532347E-2</v>
      </c>
      <c r="AA5097">
        <v>0.91371449999999999</v>
      </c>
      <c r="AB5097">
        <v>37</v>
      </c>
      <c r="AC5097">
        <v>0.60880000000000201</v>
      </c>
      <c r="AD5097">
        <v>-0.10996</v>
      </c>
      <c r="AE5097">
        <v>0.70823999999998899</v>
      </c>
      <c r="AF5097">
        <v>-0.44114145742696498</v>
      </c>
      <c r="AG5097">
        <v>-0.10996</v>
      </c>
      <c r="AH5097">
        <v>0.80866980048060999</v>
      </c>
      <c r="AI5097">
        <v>96.807189083290694</v>
      </c>
      <c r="AJ5097">
        <v>118.61312647987</v>
      </c>
      <c r="AK5097">
        <v>0.92770891623942897</v>
      </c>
    </row>
    <row r="5098" spans="1:37" x14ac:dyDescent="0.2">
      <c r="A5098" t="str">
        <f>"20200111154201327"</f>
        <v>20200111154201327</v>
      </c>
      <c r="B5098" t="str">
        <f>"1578728521320669"</f>
        <v>1578728521320669</v>
      </c>
      <c r="C5098" t="s">
        <v>37</v>
      </c>
      <c r="D5098">
        <v>5.3253129999999897</v>
      </c>
      <c r="E5098">
        <v>0.43363599999999902</v>
      </c>
      <c r="F5098" t="s">
        <v>47</v>
      </c>
      <c r="G5098">
        <v>-200.49469999999999</v>
      </c>
      <c r="H5098" s="1">
        <v>-6.7182950000000002E-6</v>
      </c>
      <c r="I5098">
        <v>-52.718309999999903</v>
      </c>
      <c r="J5098">
        <v>-208.33179999999999</v>
      </c>
      <c r="K5098">
        <v>1.1228450000000001</v>
      </c>
      <c r="L5098">
        <v>-60.665190000000003</v>
      </c>
      <c r="M5098">
        <v>0.93310740000000003</v>
      </c>
      <c r="N5098">
        <v>0</v>
      </c>
      <c r="O5098">
        <v>0.35927389999999998</v>
      </c>
      <c r="P5098">
        <v>0.81020689999999995</v>
      </c>
      <c r="Q5098">
        <v>4.3756059999999999E-2</v>
      </c>
      <c r="R5098">
        <v>0.58450839999999904</v>
      </c>
      <c r="S5098">
        <v>2.1609500000000001</v>
      </c>
      <c r="T5098">
        <v>-0.30343009999999998</v>
      </c>
      <c r="U5098">
        <v>2.165009</v>
      </c>
      <c r="V5098">
        <v>-0.25605050000000001</v>
      </c>
      <c r="W5098">
        <v>5.0550669999999999E-2</v>
      </c>
      <c r="X5098">
        <v>0.96534069999999905</v>
      </c>
      <c r="Y5098">
        <v>-0.40639159999999902</v>
      </c>
      <c r="Z5098">
        <v>-1.5941750000000001E-2</v>
      </c>
      <c r="AA5098">
        <v>0.91355989999999998</v>
      </c>
      <c r="AB5098">
        <v>37</v>
      </c>
      <c r="AC5098">
        <v>7.8370999999999897</v>
      </c>
      <c r="AD5098">
        <v>-1.122851718295</v>
      </c>
      <c r="AE5098">
        <v>7.9468800000000002</v>
      </c>
      <c r="AF5098">
        <v>-4.55407117498972</v>
      </c>
      <c r="AG5098">
        <v>-1.122851718295</v>
      </c>
      <c r="AH5098">
        <v>10.0672564830266</v>
      </c>
      <c r="AI5098">
        <v>95.802539024145503</v>
      </c>
      <c r="AJ5098">
        <v>114.34031559165901</v>
      </c>
      <c r="AK5098">
        <v>11.106305116608</v>
      </c>
    </row>
    <row r="5099" spans="1:37" x14ac:dyDescent="0.2">
      <c r="A5099" t="str">
        <f>"20200111154201338"</f>
        <v>20200111154201338</v>
      </c>
      <c r="B5099" t="str">
        <f>"1578728521331405"</f>
        <v>1578728521331405</v>
      </c>
      <c r="C5099" t="s">
        <v>37</v>
      </c>
      <c r="D5099">
        <v>5.3158079999999996</v>
      </c>
      <c r="E5099">
        <v>0.43376320000000002</v>
      </c>
      <c r="F5099" t="s">
        <v>38</v>
      </c>
      <c r="G5099">
        <v>-207.5806</v>
      </c>
      <c r="H5099">
        <v>1.016357</v>
      </c>
      <c r="I5099">
        <v>-59.903350000000003</v>
      </c>
      <c r="J5099">
        <v>-208.1636</v>
      </c>
      <c r="K5099">
        <v>1.122997</v>
      </c>
      <c r="L5099">
        <v>-60.596159999999998</v>
      </c>
      <c r="M5099">
        <v>0.93073119999999998</v>
      </c>
      <c r="N5099">
        <v>0</v>
      </c>
      <c r="O5099">
        <v>0.3653827</v>
      </c>
      <c r="P5099">
        <v>0.80639459999999996</v>
      </c>
      <c r="Q5099">
        <v>4.3807989999999998E-2</v>
      </c>
      <c r="R5099">
        <v>0.58975299999999997</v>
      </c>
      <c r="S5099">
        <v>2.1479949999999999</v>
      </c>
      <c r="T5099">
        <v>-0.30445090000000002</v>
      </c>
      <c r="U5099">
        <v>2.1778869999999899</v>
      </c>
      <c r="V5099">
        <v>-0.25601269999999998</v>
      </c>
      <c r="W5099">
        <v>5.0553519999999998E-2</v>
      </c>
      <c r="X5099">
        <v>0.96535059999999995</v>
      </c>
      <c r="Y5099">
        <v>-0.40588350000000001</v>
      </c>
      <c r="Z5099">
        <v>-1.6678140000000001E-2</v>
      </c>
      <c r="AA5099">
        <v>0.91377260000000005</v>
      </c>
      <c r="AB5099">
        <v>37</v>
      </c>
      <c r="AC5099">
        <v>0.58299999999999796</v>
      </c>
      <c r="AD5099">
        <v>-0.10664</v>
      </c>
      <c r="AE5099">
        <v>0.69280999999999404</v>
      </c>
      <c r="AF5099">
        <v>-0.42594442475587402</v>
      </c>
      <c r="AG5099">
        <v>-0.10664</v>
      </c>
      <c r="AH5099">
        <v>0.78496272016095903</v>
      </c>
      <c r="AI5099">
        <v>96.809263064337998</v>
      </c>
      <c r="AJ5099">
        <v>118.485591470903</v>
      </c>
      <c r="AK5099">
        <v>0.899426047334135</v>
      </c>
    </row>
    <row r="5100" spans="1:37" x14ac:dyDescent="0.2">
      <c r="A5100" t="str">
        <f>"20200111154201349"</f>
        <v>20200111154201349</v>
      </c>
      <c r="B5100" t="str">
        <f>"1578728521341165"</f>
        <v>1578728521341165</v>
      </c>
      <c r="C5100" t="s">
        <v>37</v>
      </c>
      <c r="D5100">
        <v>5.3384019999999897</v>
      </c>
      <c r="E5100">
        <v>0.4338072</v>
      </c>
      <c r="F5100" t="s">
        <v>47</v>
      </c>
      <c r="G5100">
        <v>-200.31399999999999</v>
      </c>
      <c r="H5100" s="1">
        <v>-6.81473899999999E-6</v>
      </c>
      <c r="I5100">
        <v>-52.538589999999999</v>
      </c>
      <c r="J5100">
        <v>-207.99510000000001</v>
      </c>
      <c r="K5100">
        <v>1.1231180000000001</v>
      </c>
      <c r="L5100">
        <v>-60.525419999999997</v>
      </c>
      <c r="M5100">
        <v>0.92829169999999905</v>
      </c>
      <c r="N5100">
        <v>0</v>
      </c>
      <c r="O5100">
        <v>0.37153550000000002</v>
      </c>
      <c r="P5100">
        <v>0.80258609999999997</v>
      </c>
      <c r="Q5100">
        <v>4.3787989999999999E-2</v>
      </c>
      <c r="R5100">
        <v>0.59492699999999998</v>
      </c>
      <c r="S5100">
        <v>2.1344449999999999</v>
      </c>
      <c r="T5100">
        <v>-0.30536629999999998</v>
      </c>
      <c r="U5100">
        <v>2.1910099999999999</v>
      </c>
      <c r="V5100">
        <v>-0.25585089999999999</v>
      </c>
      <c r="W5100">
        <v>5.0470180000000003E-2</v>
      </c>
      <c r="X5100">
        <v>0.96539789999999903</v>
      </c>
      <c r="Y5100">
        <v>-0.40549469999999999</v>
      </c>
      <c r="Z5100">
        <v>-1.7413069999999999E-2</v>
      </c>
      <c r="AA5100">
        <v>0.91393150000000001</v>
      </c>
      <c r="AB5100">
        <v>37</v>
      </c>
      <c r="AC5100">
        <v>7.6810999999999803</v>
      </c>
      <c r="AD5100">
        <v>-1.1231248147390001</v>
      </c>
      <c r="AE5100">
        <v>7.9868299999999897</v>
      </c>
      <c r="AF5100">
        <v>-4.5144674908277196</v>
      </c>
      <c r="AG5100">
        <v>-1.1231248147390001</v>
      </c>
      <c r="AH5100">
        <v>9.9961925196502897</v>
      </c>
      <c r="AI5100">
        <v>95.846542132811393</v>
      </c>
      <c r="AJ5100">
        <v>114.30482522783301</v>
      </c>
      <c r="AK5100">
        <v>11.0256832425539</v>
      </c>
    </row>
    <row r="5101" spans="1:37" x14ac:dyDescent="0.2">
      <c r="A5101" t="str">
        <f>"20200111154201360"</f>
        <v>20200111154201360</v>
      </c>
      <c r="B5101" t="str">
        <f>"1578728521350925"</f>
        <v>1578728521350925</v>
      </c>
      <c r="C5101" t="s">
        <v>37</v>
      </c>
      <c r="D5101">
        <v>5.3106519999999904</v>
      </c>
      <c r="E5101">
        <v>0.43386709999999901</v>
      </c>
      <c r="F5101" t="s">
        <v>38</v>
      </c>
      <c r="G5101">
        <v>-207.24520000000001</v>
      </c>
      <c r="H5101">
        <v>1.0146379999999999</v>
      </c>
      <c r="I5101">
        <v>-59.746229999999997</v>
      </c>
      <c r="J5101">
        <v>-207.82859999999999</v>
      </c>
      <c r="K5101">
        <v>1.1232219999999999</v>
      </c>
      <c r="L5101">
        <v>-60.454590000000003</v>
      </c>
      <c r="M5101">
        <v>0.92582960000000003</v>
      </c>
      <c r="N5101">
        <v>0</v>
      </c>
      <c r="O5101">
        <v>0.37762839999999998</v>
      </c>
      <c r="P5101">
        <v>0.79860189999999998</v>
      </c>
      <c r="Q5101">
        <v>4.3234809999999999E-2</v>
      </c>
      <c r="R5101">
        <v>0.60030479999999997</v>
      </c>
      <c r="S5101">
        <v>2.12072799999999</v>
      </c>
      <c r="T5101">
        <v>-0.30683769999999999</v>
      </c>
      <c r="U5101">
        <v>2.204285</v>
      </c>
      <c r="V5101">
        <v>-0.25597969999999998</v>
      </c>
      <c r="W5101">
        <v>4.9832500000000002E-2</v>
      </c>
      <c r="X5101">
        <v>0.9653969</v>
      </c>
      <c r="Y5101">
        <v>-0.40521550000000001</v>
      </c>
      <c r="Z5101">
        <v>-1.8172790000000001E-2</v>
      </c>
      <c r="AA5101">
        <v>0.91404059999999898</v>
      </c>
      <c r="AB5101">
        <v>37</v>
      </c>
      <c r="AC5101">
        <v>0.58339999999998304</v>
      </c>
      <c r="AD5101">
        <v>-0.108583999999999</v>
      </c>
      <c r="AE5101">
        <v>0.70835999999999899</v>
      </c>
      <c r="AF5101">
        <v>-0.42954968250195202</v>
      </c>
      <c r="AG5101">
        <v>-0.108583999999999</v>
      </c>
      <c r="AH5101">
        <v>0.79656869929950602</v>
      </c>
      <c r="AI5101">
        <v>96.841735016594797</v>
      </c>
      <c r="AJ5101">
        <v>118.335766262589</v>
      </c>
      <c r="AK5101">
        <v>0.91149608199774301</v>
      </c>
    </row>
    <row r="5102" spans="1:37" x14ac:dyDescent="0.2">
      <c r="A5102" t="str">
        <f>"20200111154201372"</f>
        <v>20200111154201372</v>
      </c>
      <c r="B5102" t="str">
        <f>"1578728521360686"</f>
        <v>1578728521360686</v>
      </c>
      <c r="C5102" t="s">
        <v>37</v>
      </c>
      <c r="D5102">
        <v>5.323423</v>
      </c>
      <c r="E5102">
        <v>0.43392559999999902</v>
      </c>
      <c r="F5102" t="s">
        <v>47</v>
      </c>
      <c r="G5102">
        <v>-200.2011</v>
      </c>
      <c r="H5102" s="1">
        <v>-6.8756080000000001E-6</v>
      </c>
      <c r="I5102">
        <v>-52.422469999999997</v>
      </c>
      <c r="J5102">
        <v>-207.67509999999999</v>
      </c>
      <c r="K5102">
        <v>1.123275</v>
      </c>
      <c r="L5102">
        <v>-60.387390000000003</v>
      </c>
      <c r="M5102">
        <v>0.92349459999999906</v>
      </c>
      <c r="N5102">
        <v>0</v>
      </c>
      <c r="O5102">
        <v>0.38330379999999997</v>
      </c>
      <c r="P5102">
        <v>0.79473530000000003</v>
      </c>
      <c r="Q5102">
        <v>4.28855E-2</v>
      </c>
      <c r="R5102">
        <v>0.60543930000000001</v>
      </c>
      <c r="S5102">
        <v>2.10615499999999</v>
      </c>
      <c r="T5102">
        <v>-0.31015529999999902</v>
      </c>
      <c r="U5102">
        <v>2.2178960000000001</v>
      </c>
      <c r="V5102">
        <v>-0.25626860000000001</v>
      </c>
      <c r="W5102">
        <v>4.9409590000000003E-2</v>
      </c>
      <c r="X5102">
        <v>0.96534200000000003</v>
      </c>
      <c r="Y5102">
        <v>-0.40558099999999903</v>
      </c>
      <c r="Z5102">
        <v>-1.89737E-2</v>
      </c>
      <c r="AA5102">
        <v>0.91386219999999996</v>
      </c>
      <c r="AB5102">
        <v>37</v>
      </c>
      <c r="AC5102">
        <v>7.4739999999999798</v>
      </c>
      <c r="AD5102">
        <v>-1.1232818756080001</v>
      </c>
      <c r="AE5102">
        <v>7.9649199999999896</v>
      </c>
      <c r="AF5102">
        <v>-4.4442737495992901</v>
      </c>
      <c r="AG5102">
        <v>-1.1232818756080001</v>
      </c>
      <c r="AH5102">
        <v>9.8521576486817892</v>
      </c>
      <c r="AI5102">
        <v>95.933388345634697</v>
      </c>
      <c r="AJ5102">
        <v>114.279968646906</v>
      </c>
      <c r="AK5102">
        <v>10.8663858604379</v>
      </c>
    </row>
    <row r="5103" spans="1:37" x14ac:dyDescent="0.2">
      <c r="A5103" t="str">
        <f>"20200111154201388"</f>
        <v>20200111154201388</v>
      </c>
      <c r="B5103" t="str">
        <f>"1578728521381181"</f>
        <v>1578728521381181</v>
      </c>
      <c r="C5103" t="s">
        <v>37</v>
      </c>
      <c r="D5103">
        <v>5.3585120000000002</v>
      </c>
      <c r="E5103">
        <v>0.43416320000000003</v>
      </c>
      <c r="F5103" t="s">
        <v>38</v>
      </c>
      <c r="G5103">
        <v>-206.9222</v>
      </c>
      <c r="H5103">
        <v>1.010753</v>
      </c>
      <c r="I5103">
        <v>-59.584499999999998</v>
      </c>
      <c r="J5103">
        <v>-207.42959999999999</v>
      </c>
      <c r="K5103">
        <v>1.123337</v>
      </c>
      <c r="L5103">
        <v>-60.278109999999998</v>
      </c>
      <c r="M5103">
        <v>0.91965789999999903</v>
      </c>
      <c r="N5103">
        <v>0</v>
      </c>
      <c r="O5103">
        <v>0.39242059999999901</v>
      </c>
      <c r="P5103">
        <v>0.78866709999999995</v>
      </c>
      <c r="Q5103">
        <v>4.2232930000000002E-2</v>
      </c>
      <c r="R5103">
        <v>0.61336820000000003</v>
      </c>
      <c r="S5103">
        <v>2.0921780000000001</v>
      </c>
      <c r="T5103">
        <v>-0.31267289999999998</v>
      </c>
      <c r="U5103">
        <v>2.230896</v>
      </c>
      <c r="V5103">
        <v>-0.2563645</v>
      </c>
      <c r="W5103">
        <v>4.8668049999999997E-2</v>
      </c>
      <c r="X5103">
        <v>0.96535409999999899</v>
      </c>
      <c r="Y5103">
        <v>-0.40229109999999901</v>
      </c>
      <c r="Z5103">
        <v>-2.0315529999999998E-2</v>
      </c>
      <c r="AA5103">
        <v>0.91528639999999895</v>
      </c>
      <c r="AB5103">
        <v>37</v>
      </c>
      <c r="AC5103">
        <v>0.50739999999998897</v>
      </c>
      <c r="AD5103">
        <v>-0.112584</v>
      </c>
      <c r="AE5103">
        <v>0.69360999999999895</v>
      </c>
      <c r="AF5103">
        <v>-0.431417278185242</v>
      </c>
      <c r="AG5103">
        <v>-0.112584</v>
      </c>
      <c r="AH5103">
        <v>0.72644090766790903</v>
      </c>
      <c r="AI5103">
        <v>97.590122214534802</v>
      </c>
      <c r="AJ5103">
        <v>120.70514481779701</v>
      </c>
      <c r="AK5103">
        <v>0.85235697762506701</v>
      </c>
    </row>
    <row r="5104" spans="1:37" x14ac:dyDescent="0.2">
      <c r="A5104" t="str">
        <f>"20200111154201398"</f>
        <v>20200111154201398</v>
      </c>
      <c r="B5104" t="str">
        <f>"1578728521390941"</f>
        <v>1578728521390941</v>
      </c>
      <c r="C5104" t="s">
        <v>37</v>
      </c>
      <c r="D5104">
        <v>5.3529309999999999</v>
      </c>
      <c r="E5104">
        <v>0.43431999999999998</v>
      </c>
      <c r="F5104" t="s">
        <v>38</v>
      </c>
      <c r="G5104">
        <v>-206.709</v>
      </c>
      <c r="H5104">
        <v>1.0130699999999999</v>
      </c>
      <c r="I5104">
        <v>-59.495449999999998</v>
      </c>
      <c r="J5104">
        <v>-207.2689</v>
      </c>
      <c r="K5104">
        <v>1.123353</v>
      </c>
      <c r="L5104">
        <v>-60.204859999999996</v>
      </c>
      <c r="M5104">
        <v>0.91706960000000004</v>
      </c>
      <c r="N5104">
        <v>0</v>
      </c>
      <c r="O5104">
        <v>0.39843249999999902</v>
      </c>
      <c r="P5104">
        <v>0.78466650000000004</v>
      </c>
      <c r="Q5104">
        <v>4.1670169999999999E-2</v>
      </c>
      <c r="R5104">
        <v>0.61851610000000001</v>
      </c>
      <c r="S5104">
        <v>2.0711059999999999</v>
      </c>
      <c r="T5104">
        <v>-0.31694070000000002</v>
      </c>
      <c r="U5104">
        <v>2.2498469999999999</v>
      </c>
      <c r="V5104">
        <v>-0.25633549999999999</v>
      </c>
      <c r="W5104">
        <v>4.8069840000000003E-2</v>
      </c>
      <c r="X5104">
        <v>0.96539179999999902</v>
      </c>
      <c r="Y5104">
        <v>-0.4047888</v>
      </c>
      <c r="Z5104">
        <v>-2.113632E-2</v>
      </c>
      <c r="AA5104">
        <v>0.91416589999999998</v>
      </c>
      <c r="AB5104">
        <v>37</v>
      </c>
      <c r="AC5104">
        <v>0.55989999999999895</v>
      </c>
      <c r="AD5104">
        <v>-0.11028299999999901</v>
      </c>
      <c r="AE5104">
        <v>0.70940999999999799</v>
      </c>
      <c r="AF5104">
        <v>-0.42127297335395197</v>
      </c>
      <c r="AG5104">
        <v>-0.11028299999999901</v>
      </c>
      <c r="AH5104">
        <v>0.78453024310771002</v>
      </c>
      <c r="AI5104">
        <v>97.059926341512494</v>
      </c>
      <c r="AJ5104">
        <v>118.23467794188799</v>
      </c>
      <c r="AK5104">
        <v>0.89728532837560804</v>
      </c>
    </row>
    <row r="5105" spans="1:37" x14ac:dyDescent="0.2">
      <c r="A5105" t="str">
        <f>"20200111154201409"</f>
        <v>20200111154201409</v>
      </c>
      <c r="B5105" t="str">
        <f>"1578728521400701"</f>
        <v>1578728521400701</v>
      </c>
      <c r="C5105" t="s">
        <v>37</v>
      </c>
      <c r="D5105">
        <v>5.3227690000000001</v>
      </c>
      <c r="E5105">
        <v>0.43447249999999998</v>
      </c>
      <c r="F5105" t="s">
        <v>47</v>
      </c>
      <c r="G5105">
        <v>-200.05199999999999</v>
      </c>
      <c r="H5105" s="1">
        <v>-6.9561549999999998E-6</v>
      </c>
      <c r="I5105">
        <v>-52.268099999999997</v>
      </c>
      <c r="J5105">
        <v>-207.11189999999999</v>
      </c>
      <c r="K5105">
        <v>1.123353</v>
      </c>
      <c r="L5105">
        <v>-60.131839999999997</v>
      </c>
      <c r="M5105">
        <v>0.91447999999999996</v>
      </c>
      <c r="N5105">
        <v>0</v>
      </c>
      <c r="O5105">
        <v>0.40434120000000001</v>
      </c>
      <c r="P5105">
        <v>0.78079350000000003</v>
      </c>
      <c r="Q5105">
        <v>4.1370110000000002E-2</v>
      </c>
      <c r="R5105">
        <v>0.62341820000000003</v>
      </c>
      <c r="S5105">
        <v>2.0570529999999998</v>
      </c>
      <c r="T5105">
        <v>-0.32019399999999998</v>
      </c>
      <c r="U5105">
        <v>2.262238</v>
      </c>
      <c r="V5105">
        <v>-0.25613920000000001</v>
      </c>
      <c r="W5105">
        <v>4.7756439999999997E-2</v>
      </c>
      <c r="X5105">
        <v>0.96545949999999903</v>
      </c>
      <c r="Y5105">
        <v>-0.4045144</v>
      </c>
      <c r="Z5105">
        <v>-2.2043009999999998E-2</v>
      </c>
      <c r="AA5105">
        <v>0.91426589999999996</v>
      </c>
      <c r="AB5105">
        <v>37</v>
      </c>
      <c r="AC5105">
        <v>7.0598999999999696</v>
      </c>
      <c r="AD5105">
        <v>-1.1233599561550001</v>
      </c>
      <c r="AE5105">
        <v>7.86374</v>
      </c>
      <c r="AF5105">
        <v>-4.2886731606881696</v>
      </c>
      <c r="AG5105">
        <v>-1.1233599561550001</v>
      </c>
      <c r="AH5105">
        <v>9.5292258084164398</v>
      </c>
      <c r="AI5105">
        <v>96.135753224992897</v>
      </c>
      <c r="AJ5105">
        <v>114.230353058639</v>
      </c>
      <c r="AK5105">
        <v>10.5100332814929</v>
      </c>
    </row>
    <row r="5106" spans="1:37" x14ac:dyDescent="0.2">
      <c r="A5106" t="str">
        <f>"20200111154201420"</f>
        <v>20200111154201420</v>
      </c>
      <c r="B5106" t="str">
        <f>"1578728521411437"</f>
        <v>1578728521411437</v>
      </c>
      <c r="C5106" t="s">
        <v>37</v>
      </c>
      <c r="D5106">
        <v>5.3904100000000001</v>
      </c>
      <c r="E5106">
        <v>0.4345292</v>
      </c>
      <c r="F5106" t="s">
        <v>38</v>
      </c>
      <c r="G5106">
        <v>-206.38290000000001</v>
      </c>
      <c r="H5106">
        <v>1.008459</v>
      </c>
      <c r="I5106">
        <v>-59.320749999999997</v>
      </c>
      <c r="J5106">
        <v>-206.95740000000001</v>
      </c>
      <c r="K5106">
        <v>1.1233489999999999</v>
      </c>
      <c r="L5106">
        <v>-60.059109999999997</v>
      </c>
      <c r="M5106">
        <v>0.91187999999999902</v>
      </c>
      <c r="N5106">
        <v>0</v>
      </c>
      <c r="O5106">
        <v>0.41017140000000002</v>
      </c>
      <c r="P5106">
        <v>0.77703069999999996</v>
      </c>
      <c r="Q5106">
        <v>4.1339290000000001E-2</v>
      </c>
      <c r="R5106">
        <v>0.62810390000000005</v>
      </c>
      <c r="S5106">
        <v>2.0437470000000002</v>
      </c>
      <c r="T5106">
        <v>-0.3220769</v>
      </c>
      <c r="U5106">
        <v>2.2738649999999998</v>
      </c>
      <c r="V5106">
        <v>-0.255781799999999</v>
      </c>
      <c r="W5106">
        <v>4.7726440000000002E-2</v>
      </c>
      <c r="X5106">
        <v>0.96555569999999902</v>
      </c>
      <c r="Y5106">
        <v>-0.40398620000000002</v>
      </c>
      <c r="Z5106">
        <v>-2.2872460000000001E-2</v>
      </c>
      <c r="AA5106">
        <v>0.91447909999999899</v>
      </c>
      <c r="AB5106">
        <v>37</v>
      </c>
      <c r="AC5106">
        <v>0.57450000000000001</v>
      </c>
      <c r="AD5106">
        <v>-0.11488999999999901</v>
      </c>
      <c r="AE5106">
        <v>0.73836000000000002</v>
      </c>
      <c r="AF5106">
        <v>-0.43120037879121997</v>
      </c>
      <c r="AG5106">
        <v>-0.11488999999999901</v>
      </c>
      <c r="AH5106">
        <v>0.81454157418527395</v>
      </c>
      <c r="AI5106">
        <v>97.105769525616296</v>
      </c>
      <c r="AJ5106">
        <v>117.895759363675</v>
      </c>
      <c r="AK5106">
        <v>0.92876878438388399</v>
      </c>
    </row>
    <row r="5107" spans="1:37" x14ac:dyDescent="0.2">
      <c r="A5107" t="str">
        <f>"20200111154201430"</f>
        <v>20200111154201430</v>
      </c>
      <c r="B5107" t="str">
        <f>"1578728521421197"</f>
        <v>1578728521421197</v>
      </c>
      <c r="C5107" t="s">
        <v>37</v>
      </c>
      <c r="D5107">
        <v>5.3352050000000002</v>
      </c>
      <c r="E5107">
        <v>0.43468210000000002</v>
      </c>
      <c r="F5107" t="s">
        <v>47</v>
      </c>
      <c r="G5107">
        <v>-199.89840000000001</v>
      </c>
      <c r="H5107" s="1">
        <v>-1.01842E-5</v>
      </c>
      <c r="I5107">
        <v>-52.110439999999997</v>
      </c>
      <c r="J5107">
        <v>-206.80619999999999</v>
      </c>
      <c r="K5107">
        <v>1.1233420000000001</v>
      </c>
      <c r="L5107">
        <v>-59.986269999999998</v>
      </c>
      <c r="M5107">
        <v>0.90927800000000003</v>
      </c>
      <c r="N5107">
        <v>0</v>
      </c>
      <c r="O5107">
        <v>0.41590749999999999</v>
      </c>
      <c r="P5107">
        <v>0.77352710000000002</v>
      </c>
      <c r="Q5107">
        <v>4.1211390000000001E-2</v>
      </c>
      <c r="R5107">
        <v>0.63242200000000004</v>
      </c>
      <c r="S5107">
        <v>2.030151</v>
      </c>
      <c r="T5107">
        <v>-0.32307859999999899</v>
      </c>
      <c r="U5107">
        <v>2.286041</v>
      </c>
      <c r="V5107">
        <v>-0.25506980000000001</v>
      </c>
      <c r="W5107">
        <v>4.762595E-2</v>
      </c>
      <c r="X5107">
        <v>0.96574899999999997</v>
      </c>
      <c r="Y5107">
        <v>-0.4037097</v>
      </c>
      <c r="Z5107">
        <v>-2.3619830000000001E-2</v>
      </c>
      <c r="AA5107">
        <v>0.91458220000000001</v>
      </c>
      <c r="AB5107">
        <v>37</v>
      </c>
      <c r="AC5107">
        <v>6.9077999999999804</v>
      </c>
      <c r="AD5107">
        <v>-1.1233521842</v>
      </c>
      <c r="AE5107">
        <v>7.8758299999999899</v>
      </c>
      <c r="AF5107">
        <v>-4.24006155872741</v>
      </c>
      <c r="AG5107">
        <v>-1.1233521842</v>
      </c>
      <c r="AH5107">
        <v>9.4491962320831302</v>
      </c>
      <c r="AI5107">
        <v>96.190335884150699</v>
      </c>
      <c r="AJ5107">
        <v>114.166819663702</v>
      </c>
      <c r="AK5107">
        <v>10.417646163311501</v>
      </c>
    </row>
    <row r="5108" spans="1:37" x14ac:dyDescent="0.2">
      <c r="A5108" t="str">
        <f>"20200111154201440"</f>
        <v>20200111154201440</v>
      </c>
      <c r="B5108" t="str">
        <f>"1578728521430958"</f>
        <v>1578728521430958</v>
      </c>
      <c r="C5108" t="s">
        <v>37</v>
      </c>
      <c r="D5108">
        <v>5.3639209999999897</v>
      </c>
      <c r="E5108">
        <v>0.43486130000000001</v>
      </c>
      <c r="F5108" t="s">
        <v>38</v>
      </c>
      <c r="G5108">
        <v>-206.0727</v>
      </c>
      <c r="H5108">
        <v>1.0057309999999999</v>
      </c>
      <c r="I5108">
        <v>-59.151649999999997</v>
      </c>
      <c r="J5108">
        <v>-206.66050000000001</v>
      </c>
      <c r="K5108">
        <v>1.1233249999999999</v>
      </c>
      <c r="L5108">
        <v>-59.915559999999999</v>
      </c>
      <c r="M5108">
        <v>0.90673019999999904</v>
      </c>
      <c r="N5108">
        <v>0</v>
      </c>
      <c r="O5108">
        <v>0.42143329999999901</v>
      </c>
      <c r="P5108">
        <v>0.77004879999999998</v>
      </c>
      <c r="Q5108">
        <v>4.0965149999999999E-2</v>
      </c>
      <c r="R5108">
        <v>0.63666840000000002</v>
      </c>
      <c r="S5108">
        <v>2.01796</v>
      </c>
      <c r="T5108">
        <v>-0.3235942</v>
      </c>
      <c r="U5108">
        <v>2.2965390000000001</v>
      </c>
      <c r="V5108">
        <v>-0.25449169999999999</v>
      </c>
      <c r="W5108">
        <v>4.7405889999999999E-2</v>
      </c>
      <c r="X5108">
        <v>0.96591229999999995</v>
      </c>
      <c r="Y5108">
        <v>-0.40298259999999902</v>
      </c>
      <c r="Z5108">
        <v>-2.4337870000000001E-2</v>
      </c>
      <c r="AA5108">
        <v>0.91488400000000003</v>
      </c>
      <c r="AB5108">
        <v>37</v>
      </c>
      <c r="AC5108">
        <v>0.58780000000001498</v>
      </c>
      <c r="AD5108">
        <v>-0.117593999999999</v>
      </c>
      <c r="AE5108">
        <v>0.76391000000000198</v>
      </c>
      <c r="AF5108">
        <v>-0.438467705861387</v>
      </c>
      <c r="AG5108">
        <v>-0.117593999999999</v>
      </c>
      <c r="AH5108">
        <v>0.84247382139828697</v>
      </c>
      <c r="AI5108">
        <v>97.058232321909102</v>
      </c>
      <c r="AJ5108">
        <v>117.494841175121</v>
      </c>
      <c r="AK5108">
        <v>0.95699760588038096</v>
      </c>
    </row>
    <row r="5109" spans="1:37" x14ac:dyDescent="0.2">
      <c r="A5109" t="str">
        <f>"20200111154201451"</f>
        <v>20200111154201451</v>
      </c>
      <c r="B5109" t="str">
        <f>"1578728521440718"</f>
        <v>1578728521440718</v>
      </c>
      <c r="C5109" t="s">
        <v>37</v>
      </c>
      <c r="D5109">
        <v>5.3117209999999897</v>
      </c>
      <c r="E5109">
        <v>0.43505939999999999</v>
      </c>
      <c r="F5109" t="s">
        <v>47</v>
      </c>
      <c r="G5109">
        <v>-199.71430000000001</v>
      </c>
      <c r="H5109" s="1">
        <v>-1.022721E-5</v>
      </c>
      <c r="I5109">
        <v>-51.928879999999999</v>
      </c>
      <c r="J5109">
        <v>-206.50880000000001</v>
      </c>
      <c r="K5109">
        <v>1.1233139999999999</v>
      </c>
      <c r="L5109">
        <v>-59.84</v>
      </c>
      <c r="M5109">
        <v>0.90402019999999905</v>
      </c>
      <c r="N5109">
        <v>0</v>
      </c>
      <c r="O5109">
        <v>0.42721540000000002</v>
      </c>
      <c r="P5109">
        <v>0.76630229999999999</v>
      </c>
      <c r="Q5109">
        <v>4.1184489999999997E-2</v>
      </c>
      <c r="R5109">
        <v>0.64115900000000003</v>
      </c>
      <c r="S5109">
        <v>2.00607299999999</v>
      </c>
      <c r="T5109">
        <v>-0.32441880000000001</v>
      </c>
      <c r="U5109">
        <v>2.306549</v>
      </c>
      <c r="V5109">
        <v>-0.25397969999999997</v>
      </c>
      <c r="W5109">
        <v>4.7656900000000002E-2</v>
      </c>
      <c r="X5109">
        <v>0.96603479999999997</v>
      </c>
      <c r="Y5109">
        <v>-0.40181859999999903</v>
      </c>
      <c r="Z5109">
        <v>-2.5136840000000001E-2</v>
      </c>
      <c r="AA5109">
        <v>0.91537420000000003</v>
      </c>
      <c r="AB5109">
        <v>37</v>
      </c>
      <c r="AC5109">
        <v>6.7944999999999904</v>
      </c>
      <c r="AD5109">
        <v>-1.1233242272099999</v>
      </c>
      <c r="AE5109">
        <v>7.9111200000000004</v>
      </c>
      <c r="AF5109">
        <v>-4.20085228247987</v>
      </c>
      <c r="AG5109">
        <v>-1.1233242272099999</v>
      </c>
      <c r="AH5109">
        <v>9.4140018155008391</v>
      </c>
      <c r="AI5109">
        <v>96.218863934103894</v>
      </c>
      <c r="AJ5109">
        <v>114.048076570151</v>
      </c>
      <c r="AK5109">
        <v>10.369785311225399</v>
      </c>
    </row>
    <row r="5110" spans="1:37" x14ac:dyDescent="0.2">
      <c r="A5110" t="str">
        <f>"20200111154201461"</f>
        <v>20200111154201461</v>
      </c>
      <c r="B5110" t="str">
        <f>"1578728521451454"</f>
        <v>1578728521451454</v>
      </c>
      <c r="C5110" t="s">
        <v>37</v>
      </c>
      <c r="D5110">
        <v>5.333609</v>
      </c>
      <c r="E5110">
        <v>0.43519829999999998</v>
      </c>
      <c r="F5110" t="s">
        <v>47</v>
      </c>
      <c r="G5110">
        <v>-199.59610000000001</v>
      </c>
      <c r="H5110" s="1">
        <v>-1.025736E-5</v>
      </c>
      <c r="I5110">
        <v>-51.805120000000002</v>
      </c>
      <c r="J5110">
        <v>-206.35679999999999</v>
      </c>
      <c r="K5110">
        <v>1.123302</v>
      </c>
      <c r="L5110">
        <v>-59.763890000000004</v>
      </c>
      <c r="M5110">
        <v>0.90126419999999996</v>
      </c>
      <c r="N5110">
        <v>0</v>
      </c>
      <c r="O5110">
        <v>0.43299890000000002</v>
      </c>
      <c r="P5110">
        <v>0.76231759999999904</v>
      </c>
      <c r="Q5110">
        <v>4.1347969999999998E-2</v>
      </c>
      <c r="R5110">
        <v>0.64588100000000004</v>
      </c>
      <c r="S5110">
        <v>1.9935609999999999</v>
      </c>
      <c r="T5110">
        <v>-0.32395859999999999</v>
      </c>
      <c r="U5110">
        <v>2.3172000000000001</v>
      </c>
      <c r="V5110">
        <v>-0.25376599999999999</v>
      </c>
      <c r="W5110">
        <v>4.7842660000000002E-2</v>
      </c>
      <c r="X5110">
        <v>0.96608169999999904</v>
      </c>
      <c r="Y5110">
        <v>-0.40090140000000002</v>
      </c>
      <c r="Z5110">
        <v>-2.5823849999999999E-2</v>
      </c>
      <c r="AA5110">
        <v>0.91575720000000005</v>
      </c>
      <c r="AB5110">
        <v>37</v>
      </c>
      <c r="AC5110">
        <v>6.7606999999999804</v>
      </c>
      <c r="AD5110">
        <v>-1.1233122573600001</v>
      </c>
      <c r="AE5110">
        <v>7.9587700000000003</v>
      </c>
      <c r="AF5110">
        <v>-4.1975070629458902</v>
      </c>
      <c r="AG5110">
        <v>-1.1233122573600001</v>
      </c>
      <c r="AH5110">
        <v>9.4313039702100099</v>
      </c>
      <c r="AI5110">
        <v>96.210166120131206</v>
      </c>
      <c r="AJ5110">
        <v>113.991988818721</v>
      </c>
      <c r="AK5110">
        <v>10.3841413005368</v>
      </c>
    </row>
    <row r="5111" spans="1:37" x14ac:dyDescent="0.2">
      <c r="A5111" t="str">
        <f>"20200111154201472"</f>
        <v>20200111154201472</v>
      </c>
      <c r="B5111" t="str">
        <f>"1578728521461214"</f>
        <v>1578728521461214</v>
      </c>
      <c r="C5111" t="s">
        <v>37</v>
      </c>
      <c r="D5111">
        <v>5.3169919999999999</v>
      </c>
      <c r="E5111">
        <v>0.43519829999999998</v>
      </c>
      <c r="F5111" t="s">
        <v>47</v>
      </c>
      <c r="G5111">
        <v>-199.48060000000001</v>
      </c>
      <c r="H5111" s="1">
        <v>-1.0289459999999999E-5</v>
      </c>
      <c r="I5111">
        <v>-51.676659999999998</v>
      </c>
      <c r="J5111">
        <v>-206.2056</v>
      </c>
      <c r="K5111">
        <v>1.123286</v>
      </c>
      <c r="L5111">
        <v>-59.686100000000003</v>
      </c>
      <c r="M5111">
        <v>0.8984704</v>
      </c>
      <c r="N5111">
        <v>0</v>
      </c>
      <c r="O5111">
        <v>0.4387664</v>
      </c>
      <c r="P5111">
        <v>0.75810559999999905</v>
      </c>
      <c r="Q5111">
        <v>4.1575939999999999E-2</v>
      </c>
      <c r="R5111">
        <v>0.65080519999999997</v>
      </c>
      <c r="S5111">
        <v>1.9799500000000001</v>
      </c>
      <c r="T5111">
        <v>-0.32345190000000001</v>
      </c>
      <c r="U5111">
        <v>2.3286739999999999</v>
      </c>
      <c r="V5111">
        <v>-0.25384269999999998</v>
      </c>
      <c r="W5111">
        <v>4.8086049999999998E-2</v>
      </c>
      <c r="X5111">
        <v>0.96604950000000001</v>
      </c>
      <c r="Y5111">
        <v>-0.40039069999999999</v>
      </c>
      <c r="Z5111">
        <v>-2.6481919999999999E-2</v>
      </c>
      <c r="AA5111">
        <v>0.91596169999999999</v>
      </c>
      <c r="AB5111">
        <v>37</v>
      </c>
      <c r="AC5111">
        <v>6.7249999999999899</v>
      </c>
      <c r="AD5111">
        <v>-1.12329628946</v>
      </c>
      <c r="AE5111">
        <v>8.0094399999999997</v>
      </c>
      <c r="AF5111">
        <v>-4.1976150109494901</v>
      </c>
      <c r="AG5111">
        <v>-1.12329628946</v>
      </c>
      <c r="AH5111">
        <v>9.4486083687579701</v>
      </c>
      <c r="AI5111">
        <v>96.200629251854096</v>
      </c>
      <c r="AJ5111">
        <v>113.95354339532</v>
      </c>
      <c r="AK5111">
        <v>10.399902232243599</v>
      </c>
    </row>
    <row r="5112" spans="1:37" x14ac:dyDescent="0.2">
      <c r="A5112" t="str">
        <f>"20200111154201483"</f>
        <v>20200111154201483</v>
      </c>
      <c r="B5112" t="str">
        <f>"1578728521480733"</f>
        <v>1578728521480733</v>
      </c>
      <c r="C5112" t="s">
        <v>37</v>
      </c>
      <c r="D5112">
        <v>5.1185769999999904</v>
      </c>
      <c r="E5112">
        <v>0.44103519999999902</v>
      </c>
      <c r="F5112" t="s">
        <v>47</v>
      </c>
      <c r="G5112">
        <v>-199.36840000000001</v>
      </c>
      <c r="H5112" s="1">
        <v>-1.03255E-5</v>
      </c>
      <c r="I5112">
        <v>-51.538020000000003</v>
      </c>
      <c r="J5112">
        <v>-206.05029999999999</v>
      </c>
      <c r="K5112">
        <v>1.123278</v>
      </c>
      <c r="L5112">
        <v>-59.605869999999904</v>
      </c>
      <c r="M5112">
        <v>0.89555879999999999</v>
      </c>
      <c r="N5112">
        <v>0</v>
      </c>
      <c r="O5112">
        <v>0.44467889999999999</v>
      </c>
      <c r="P5112">
        <v>0.75376049999999895</v>
      </c>
      <c r="Q5112">
        <v>4.1276140000000003E-2</v>
      </c>
      <c r="R5112">
        <v>0.65585170000000004</v>
      </c>
      <c r="S5112">
        <v>1.9648129999999999</v>
      </c>
      <c r="T5112">
        <v>-0.32280340000000002</v>
      </c>
      <c r="U5112">
        <v>2.3415219999999999</v>
      </c>
      <c r="V5112">
        <v>-0.25390509999999999</v>
      </c>
      <c r="W5112">
        <v>4.7804069999999997E-2</v>
      </c>
      <c r="X5112">
        <v>0.96604699999999999</v>
      </c>
      <c r="Y5112">
        <v>-0.40032629999999902</v>
      </c>
      <c r="Z5112">
        <v>-2.7118179999999999E-2</v>
      </c>
      <c r="AA5112">
        <v>0.91597129999999904</v>
      </c>
      <c r="AB5112">
        <v>37</v>
      </c>
      <c r="AC5112">
        <v>6.6818999999999802</v>
      </c>
      <c r="AD5112">
        <v>-1.1232883254999999</v>
      </c>
      <c r="AE5112">
        <v>8.0678499999999893</v>
      </c>
      <c r="AF5112">
        <v>-4.2060725097428397</v>
      </c>
      <c r="AG5112">
        <v>-1.1232883254999999</v>
      </c>
      <c r="AH5112">
        <v>9.4639451708012796</v>
      </c>
      <c r="AI5112">
        <v>96.190219411299793</v>
      </c>
      <c r="AJ5112">
        <v>113.961855295744</v>
      </c>
      <c r="AK5112">
        <v>10.4172491961818</v>
      </c>
    </row>
    <row r="5113" spans="1:37" x14ac:dyDescent="0.2">
      <c r="A5113" t="str">
        <f>"20200111154201495"</f>
        <v>20200111154201495</v>
      </c>
      <c r="B5113" t="str">
        <f>"1578728521491470"</f>
        <v>1578728521491470</v>
      </c>
      <c r="C5113" t="s">
        <v>37</v>
      </c>
      <c r="D5113">
        <v>5.1883099999999898</v>
      </c>
      <c r="E5113">
        <v>0.41921049999999899</v>
      </c>
      <c r="F5113" t="s">
        <v>38</v>
      </c>
      <c r="G5113">
        <v>-205.31360000000001</v>
      </c>
      <c r="H5113">
        <v>0.99555990000000005</v>
      </c>
      <c r="I5113">
        <v>-58.743279999999999</v>
      </c>
      <c r="J5113">
        <v>-205.8794</v>
      </c>
      <c r="K5113">
        <v>1.1232659999999901</v>
      </c>
      <c r="L5113">
        <v>-59.514980000000001</v>
      </c>
      <c r="M5113">
        <v>0.89229380000000003</v>
      </c>
      <c r="N5113">
        <v>0</v>
      </c>
      <c r="O5113">
        <v>0.45119429999999999</v>
      </c>
      <c r="P5113">
        <v>0.74889430000000001</v>
      </c>
      <c r="Q5113">
        <v>4.150599E-2</v>
      </c>
      <c r="R5113">
        <v>0.66138839999999999</v>
      </c>
      <c r="S5113">
        <v>1.9809110000000001</v>
      </c>
      <c r="T5113">
        <v>-0.34340749999999998</v>
      </c>
      <c r="U5113">
        <v>2.3191830000000002</v>
      </c>
      <c r="V5113">
        <v>-0.2539942</v>
      </c>
      <c r="W5113">
        <v>4.8054599999999899E-2</v>
      </c>
      <c r="X5113">
        <v>0.96601119999999996</v>
      </c>
      <c r="Y5113">
        <v>-0.3857005</v>
      </c>
      <c r="Z5113">
        <v>-3.05349E-2</v>
      </c>
      <c r="AA5113">
        <v>0.92211869999999996</v>
      </c>
      <c r="AB5113">
        <v>37</v>
      </c>
      <c r="AC5113">
        <v>0.56579999999999497</v>
      </c>
      <c r="AD5113">
        <v>-0.12770609999999899</v>
      </c>
      <c r="AE5113">
        <v>0.77169999999999495</v>
      </c>
      <c r="AF5113">
        <v>-0.42576502341161998</v>
      </c>
      <c r="AG5113">
        <v>-0.12770609999999899</v>
      </c>
      <c r="AH5113">
        <v>0.838217260577519</v>
      </c>
      <c r="AI5113">
        <v>97.735468889939597</v>
      </c>
      <c r="AJ5113">
        <v>116.927888411506</v>
      </c>
      <c r="AK5113">
        <v>0.94878494879924602</v>
      </c>
    </row>
    <row r="5114" spans="1:37" x14ac:dyDescent="0.2">
      <c r="A5114" t="str">
        <f>"20200111154201507"</f>
        <v>20200111154201507</v>
      </c>
      <c r="B5114" t="str">
        <f>"1578728521501230"</f>
        <v>1578728521501230</v>
      </c>
      <c r="C5114" t="s">
        <v>37</v>
      </c>
      <c r="D5114">
        <v>5.1996279999999997</v>
      </c>
      <c r="E5114">
        <v>0.415917599999999</v>
      </c>
      <c r="F5114" t="s">
        <v>38</v>
      </c>
      <c r="G5114">
        <v>-205.29230000000001</v>
      </c>
      <c r="H5114">
        <v>1.0276369999999999</v>
      </c>
      <c r="I5114">
        <v>-58.731050000000003</v>
      </c>
      <c r="J5114">
        <v>-205.71870000000001</v>
      </c>
      <c r="K5114">
        <v>1.1232610000000001</v>
      </c>
      <c r="L5114">
        <v>-59.428769999999901</v>
      </c>
      <c r="M5114">
        <v>0.88917769999999996</v>
      </c>
      <c r="N5114">
        <v>0</v>
      </c>
      <c r="O5114">
        <v>0.4573044</v>
      </c>
      <c r="P5114">
        <v>0.74424419999999902</v>
      </c>
      <c r="Q5114">
        <v>4.173549E-2</v>
      </c>
      <c r="R5114">
        <v>0.66660249999999999</v>
      </c>
      <c r="S5114">
        <v>1.84591699999999</v>
      </c>
      <c r="T5114">
        <v>-0.30067349999999998</v>
      </c>
      <c r="U5114">
        <v>2.4646300000000001</v>
      </c>
      <c r="V5114">
        <v>-0.25412469999999998</v>
      </c>
      <c r="W5114">
        <v>4.8302270000000001E-2</v>
      </c>
      <c r="X5114">
        <v>0.96596459999999995</v>
      </c>
      <c r="Y5114">
        <v>-0.43756400000000001</v>
      </c>
      <c r="Z5114">
        <v>-2.4583399999999998E-2</v>
      </c>
      <c r="AA5114">
        <v>0.89885119999999896</v>
      </c>
      <c r="AB5114">
        <v>37</v>
      </c>
      <c r="AC5114">
        <v>0.426400000000001</v>
      </c>
      <c r="AD5114">
        <v>-9.5623999999999904E-2</v>
      </c>
      <c r="AE5114">
        <v>0.69771999999998902</v>
      </c>
      <c r="AF5114">
        <v>-0.41971276872491597</v>
      </c>
      <c r="AG5114">
        <v>-9.5623999999999904E-2</v>
      </c>
      <c r="AH5114">
        <v>0.68887725625335505</v>
      </c>
      <c r="AI5114">
        <v>96.760418488232105</v>
      </c>
      <c r="AJ5114">
        <v>121.352729732746</v>
      </c>
      <c r="AK5114">
        <v>0.81231436758799602</v>
      </c>
    </row>
    <row r="5115" spans="1:37" x14ac:dyDescent="0.2">
      <c r="A5115" t="str">
        <f>"20200111154201517"</f>
        <v>20200111154201517</v>
      </c>
      <c r="B5115" t="str">
        <f>"1578728521510989"</f>
        <v>1578728521510989</v>
      </c>
      <c r="C5115" t="s">
        <v>37</v>
      </c>
      <c r="D5115">
        <v>5.1696689999999998</v>
      </c>
      <c r="E5115">
        <v>0.41508709999999999</v>
      </c>
      <c r="F5115" t="s">
        <v>38</v>
      </c>
      <c r="G5115">
        <v>-205.07560000000001</v>
      </c>
      <c r="H5115">
        <v>1.0183690000000001</v>
      </c>
      <c r="I5115">
        <v>-58.542090000000002</v>
      </c>
      <c r="J5115">
        <v>-205.5564</v>
      </c>
      <c r="K5115">
        <v>1.1232500000000001</v>
      </c>
      <c r="L5115">
        <v>-59.339969999999902</v>
      </c>
      <c r="M5115">
        <v>0.88597800000000004</v>
      </c>
      <c r="N5115">
        <v>0</v>
      </c>
      <c r="O5115">
        <v>0.46347269999999902</v>
      </c>
      <c r="P5115">
        <v>0.73959299999999994</v>
      </c>
      <c r="Q5115">
        <v>4.1864030000000003E-2</v>
      </c>
      <c r="R5115">
        <v>0.67175109999999905</v>
      </c>
      <c r="S5115">
        <v>1.8109279999999901</v>
      </c>
      <c r="T5115">
        <v>-0.2953617</v>
      </c>
      <c r="U5115">
        <v>2.4970699999999999</v>
      </c>
      <c r="V5115">
        <v>-0.25412010000000002</v>
      </c>
      <c r="W5115">
        <v>4.845373E-2</v>
      </c>
      <c r="X5115">
        <v>0.96595819999999999</v>
      </c>
      <c r="Y5115">
        <v>-0.44512239999999997</v>
      </c>
      <c r="Z5115">
        <v>-2.4393339999999999E-2</v>
      </c>
      <c r="AA5115">
        <v>0.89513739999999997</v>
      </c>
      <c r="AB5115">
        <v>37</v>
      </c>
      <c r="AC5115">
        <v>0.48079999999998702</v>
      </c>
      <c r="AD5115">
        <v>-0.104881</v>
      </c>
      <c r="AE5115">
        <v>0.79787999999999204</v>
      </c>
      <c r="AF5115">
        <v>-0.47806364057580902</v>
      </c>
      <c r="AG5115">
        <v>-0.104881</v>
      </c>
      <c r="AH5115">
        <v>0.78590558723293602</v>
      </c>
      <c r="AI5115">
        <v>96.504494312684201</v>
      </c>
      <c r="AJ5115">
        <v>121.312004088092</v>
      </c>
      <c r="AK5115">
        <v>0.92584688833820805</v>
      </c>
    </row>
    <row r="5116" spans="1:37" x14ac:dyDescent="0.2">
      <c r="A5116" t="str">
        <f>"20200111154201529"</f>
        <v>20200111154201529</v>
      </c>
      <c r="B5116" t="str">
        <f>"1578728521520749"</f>
        <v>1578728521520749</v>
      </c>
      <c r="C5116" t="s">
        <v>37</v>
      </c>
      <c r="D5116">
        <v>5.1373569999999997</v>
      </c>
      <c r="E5116">
        <v>0.41484169999999998</v>
      </c>
      <c r="F5116" t="s">
        <v>38</v>
      </c>
      <c r="G5116">
        <v>-204.99599999999899</v>
      </c>
      <c r="H5116">
        <v>1.0333600000000001</v>
      </c>
      <c r="I5116">
        <v>-58.552119999999903</v>
      </c>
      <c r="J5116">
        <v>-205.39949999999999</v>
      </c>
      <c r="K5116">
        <v>1.123237</v>
      </c>
      <c r="L5116">
        <v>-59.252719999999997</v>
      </c>
      <c r="M5116">
        <v>0.88283739999999999</v>
      </c>
      <c r="N5116">
        <v>0</v>
      </c>
      <c r="O5116">
        <v>0.46942699999999998</v>
      </c>
      <c r="P5116">
        <v>0.73486640000000003</v>
      </c>
      <c r="Q5116">
        <v>4.1944240000000001E-2</v>
      </c>
      <c r="R5116">
        <v>0.6769136</v>
      </c>
      <c r="S5116">
        <v>1.7883450000000001</v>
      </c>
      <c r="T5116">
        <v>-0.28689690000000001</v>
      </c>
      <c r="U5116">
        <v>2.5148619999999999</v>
      </c>
      <c r="V5116">
        <v>-0.25438329999999998</v>
      </c>
      <c r="W5116">
        <v>4.8547559999999997E-2</v>
      </c>
      <c r="X5116">
        <v>0.96588419999999897</v>
      </c>
      <c r="Y5116">
        <v>-0.4474397</v>
      </c>
      <c r="Z5116">
        <v>-2.4196510000000001E-2</v>
      </c>
      <c r="AA5116">
        <v>0.89398679999999997</v>
      </c>
      <c r="AB5116">
        <v>37</v>
      </c>
      <c r="AC5116">
        <v>0.40350000000000802</v>
      </c>
      <c r="AD5116">
        <v>-8.9876999999999901E-2</v>
      </c>
      <c r="AE5116">
        <v>0.700600000000001</v>
      </c>
      <c r="AF5116">
        <v>-0.42391406691455402</v>
      </c>
      <c r="AG5116">
        <v>-8.9876999999999901E-2</v>
      </c>
      <c r="AH5116">
        <v>0.67682223999359703</v>
      </c>
      <c r="AI5116">
        <v>96.421083628851093</v>
      </c>
      <c r="AJ5116">
        <v>122.060147991405</v>
      </c>
      <c r="AK5116">
        <v>0.803659975242632</v>
      </c>
    </row>
    <row r="5117" spans="1:37" x14ac:dyDescent="0.2">
      <c r="A5117" t="str">
        <f>"20200111154201542"</f>
        <v>20200111154201542</v>
      </c>
      <c r="B5117" t="str">
        <f>"1578728521531486"</f>
        <v>1578728521531486</v>
      </c>
      <c r="C5117" t="s">
        <v>37</v>
      </c>
      <c r="D5117">
        <v>5.1685610000000004</v>
      </c>
      <c r="E5117">
        <v>0.41508709999999999</v>
      </c>
      <c r="F5117" t="s">
        <v>38</v>
      </c>
      <c r="G5117">
        <v>-204.79589999999999</v>
      </c>
      <c r="H5117">
        <v>1.0273950000000001</v>
      </c>
      <c r="I5117">
        <v>-58.389759999999903</v>
      </c>
      <c r="J5117">
        <v>-205.2236</v>
      </c>
      <c r="K5117">
        <v>1.123224</v>
      </c>
      <c r="L5117">
        <v>-59.153689999999997</v>
      </c>
      <c r="M5117">
        <v>0.8792645</v>
      </c>
      <c r="N5117">
        <v>0</v>
      </c>
      <c r="O5117">
        <v>0.476085499999999</v>
      </c>
      <c r="P5117">
        <v>0.72971830000000004</v>
      </c>
      <c r="Q5117">
        <v>4.1877440000000002E-2</v>
      </c>
      <c r="R5117">
        <v>0.68246430000000002</v>
      </c>
      <c r="S5117">
        <v>1.7689360000000001</v>
      </c>
      <c r="T5117">
        <v>-0.28086509999999998</v>
      </c>
      <c r="U5117">
        <v>2.5289000000000001</v>
      </c>
      <c r="V5117">
        <v>-0.2543976</v>
      </c>
      <c r="W5117">
        <v>4.850612E-2</v>
      </c>
      <c r="X5117">
        <v>0.96588249999999998</v>
      </c>
      <c r="Y5117">
        <v>-0.44764140000000002</v>
      </c>
      <c r="Z5117">
        <v>-2.4359370000000002E-2</v>
      </c>
      <c r="AA5117">
        <v>0.89388129999999999</v>
      </c>
      <c r="AB5117">
        <v>37</v>
      </c>
      <c r="AC5117">
        <v>0.42770000000001501</v>
      </c>
      <c r="AD5117">
        <v>-9.58289999999999E-2</v>
      </c>
      <c r="AE5117">
        <v>0.76393000000000899</v>
      </c>
      <c r="AF5117">
        <v>-0.46258812335451699</v>
      </c>
      <c r="AG5117">
        <v>-9.58289999999999E-2</v>
      </c>
      <c r="AH5117">
        <v>0.73108619883371095</v>
      </c>
      <c r="AI5117">
        <v>96.320686041557806</v>
      </c>
      <c r="AJ5117">
        <v>122.323209675252</v>
      </c>
      <c r="AK5117">
        <v>0.87043552273260205</v>
      </c>
    </row>
    <row r="5118" spans="1:37" x14ac:dyDescent="0.2">
      <c r="A5118" t="str">
        <f>"20200111154201553"</f>
        <v>20200111154201553</v>
      </c>
      <c r="B5118" t="str">
        <f>"1578728521551006"</f>
        <v>1578728521551006</v>
      </c>
      <c r="C5118" t="s">
        <v>37</v>
      </c>
      <c r="D5118">
        <v>5.1689069999999999</v>
      </c>
      <c r="E5118">
        <v>0.41537559999999901</v>
      </c>
      <c r="F5118" t="s">
        <v>47</v>
      </c>
      <c r="G5118">
        <v>-198.14429999999999</v>
      </c>
      <c r="H5118" s="1">
        <v>-3.5314810000000001E-6</v>
      </c>
      <c r="I5118">
        <v>-48.878300000000003</v>
      </c>
      <c r="J5118">
        <v>-205.0582</v>
      </c>
      <c r="K5118">
        <v>1.123205</v>
      </c>
      <c r="L5118">
        <v>-59.058230000000002</v>
      </c>
      <c r="M5118">
        <v>0.87585259999999998</v>
      </c>
      <c r="N5118">
        <v>0</v>
      </c>
      <c r="O5118">
        <v>0.48233339999999902</v>
      </c>
      <c r="P5118">
        <v>0.72468120000000003</v>
      </c>
      <c r="Q5118">
        <v>4.1706750000000001E-2</v>
      </c>
      <c r="R5118">
        <v>0.68782100000000002</v>
      </c>
      <c r="S5118">
        <v>1.7506409999999999</v>
      </c>
      <c r="T5118">
        <v>-0.27776440000000002</v>
      </c>
      <c r="U5118">
        <v>2.5410159999999999</v>
      </c>
      <c r="V5118">
        <v>-0.2546215</v>
      </c>
      <c r="W5118">
        <v>4.835275E-2</v>
      </c>
      <c r="X5118">
        <v>0.9658312</v>
      </c>
      <c r="Y5118">
        <v>-0.44764870000000001</v>
      </c>
      <c r="Z5118">
        <v>-2.4728279999999998E-2</v>
      </c>
      <c r="AA5118">
        <v>0.89386749999999904</v>
      </c>
      <c r="AB5118">
        <v>37</v>
      </c>
      <c r="AC5118">
        <v>6.9139000000000097</v>
      </c>
      <c r="AD5118">
        <v>-1.1232085314810001</v>
      </c>
      <c r="AE5118">
        <v>10.179930000000001</v>
      </c>
      <c r="AF5118">
        <v>-5.5358544308137096</v>
      </c>
      <c r="AG5118">
        <v>-1.1232085314810001</v>
      </c>
      <c r="AH5118">
        <v>10.876363988831301</v>
      </c>
      <c r="AI5118">
        <v>95.258406784560805</v>
      </c>
      <c r="AJ5118">
        <v>116.975195076007</v>
      </c>
      <c r="AK5118">
        <v>12.255716025671401</v>
      </c>
    </row>
    <row r="5119" spans="1:37" x14ac:dyDescent="0.2">
      <c r="A5119" t="str">
        <f>"20200111154201567"</f>
        <v>20200111154201567</v>
      </c>
      <c r="B5119" t="str">
        <f>"1578728521560765"</f>
        <v>1578728521560765</v>
      </c>
      <c r="C5119" t="s">
        <v>37</v>
      </c>
      <c r="D5119">
        <v>5.1521860000000004</v>
      </c>
      <c r="E5119">
        <v>0.41586000000000001</v>
      </c>
      <c r="F5119" t="s">
        <v>38</v>
      </c>
      <c r="G5119">
        <v>-204.50700000000001</v>
      </c>
      <c r="H5119">
        <v>1.03515</v>
      </c>
      <c r="I5119">
        <v>-58.2468199999999</v>
      </c>
      <c r="J5119">
        <v>-204.87270000000001</v>
      </c>
      <c r="K5119">
        <v>1.1231799999999901</v>
      </c>
      <c r="L5119">
        <v>-58.949890000000003</v>
      </c>
      <c r="M5119">
        <v>0.87197009999999897</v>
      </c>
      <c r="N5119">
        <v>0</v>
      </c>
      <c r="O5119">
        <v>0.48931709999999901</v>
      </c>
      <c r="P5119">
        <v>0.7192212</v>
      </c>
      <c r="Q5119">
        <v>4.1480950000000003E-2</v>
      </c>
      <c r="R5119">
        <v>0.69354179999999999</v>
      </c>
      <c r="S5119">
        <v>1.7332459999999901</v>
      </c>
      <c r="T5119">
        <v>-0.2769295</v>
      </c>
      <c r="U5119">
        <v>2.5522459999999998</v>
      </c>
      <c r="V5119">
        <v>-0.25453870000000001</v>
      </c>
      <c r="W5119">
        <v>4.8160340000000003E-2</v>
      </c>
      <c r="X5119">
        <v>0.96586260000000002</v>
      </c>
      <c r="Y5119">
        <v>-0.44652309999999901</v>
      </c>
      <c r="Z5119">
        <v>-2.5417680000000002E-2</v>
      </c>
      <c r="AA5119">
        <v>0.89441099999999996</v>
      </c>
      <c r="AB5119">
        <v>36</v>
      </c>
      <c r="AC5119">
        <v>0.36570000000000302</v>
      </c>
      <c r="AD5119">
        <v>-8.8029999999999803E-2</v>
      </c>
      <c r="AE5119">
        <v>0.70307000000001096</v>
      </c>
      <c r="AF5119">
        <v>-0.428872436413198</v>
      </c>
      <c r="AG5119">
        <v>-8.8029999999999803E-2</v>
      </c>
      <c r="AH5119">
        <v>0.65490151047526202</v>
      </c>
      <c r="AI5119">
        <v>96.415988491631893</v>
      </c>
      <c r="AJ5119">
        <v>123.219407700083</v>
      </c>
      <c r="AK5119">
        <v>0.78776699349349</v>
      </c>
    </row>
    <row r="5120" spans="1:37" x14ac:dyDescent="0.2">
      <c r="A5120" t="str">
        <f>"20200111154201585"</f>
        <v>20200111154201585</v>
      </c>
      <c r="B5120" t="str">
        <f>"1578728521581260"</f>
        <v>1578728521581260</v>
      </c>
      <c r="C5120" t="s">
        <v>37</v>
      </c>
      <c r="D5120">
        <v>5.1517980000000003</v>
      </c>
      <c r="E5120">
        <v>0.41616949999999903</v>
      </c>
      <c r="F5120" t="s">
        <v>38</v>
      </c>
      <c r="G5120">
        <v>-204.2681</v>
      </c>
      <c r="H5120">
        <v>1.0251520000000001</v>
      </c>
      <c r="I5120">
        <v>-58.046759999999999</v>
      </c>
      <c r="J5120">
        <v>-204.63550000000001</v>
      </c>
      <c r="K5120">
        <v>1.1231450000000001</v>
      </c>
      <c r="L5120">
        <v>-58.8084699999999</v>
      </c>
      <c r="M5120">
        <v>0.86692119999999995</v>
      </c>
      <c r="N5120">
        <v>0</v>
      </c>
      <c r="O5120">
        <v>0.49820730000000002</v>
      </c>
      <c r="P5120">
        <v>0.71182809999999996</v>
      </c>
      <c r="Q5120">
        <v>4.1384650000000002E-2</v>
      </c>
      <c r="R5120">
        <v>0.70113349999999997</v>
      </c>
      <c r="S5120">
        <v>1.715759</v>
      </c>
      <c r="T5120">
        <v>-0.27820089999999997</v>
      </c>
      <c r="U5120">
        <v>2.5629580000000001</v>
      </c>
      <c r="V5120">
        <v>-0.2548974</v>
      </c>
      <c r="W5120">
        <v>4.809128E-2</v>
      </c>
      <c r="X5120">
        <v>0.9657715</v>
      </c>
      <c r="Y5120">
        <v>-0.44334770000000001</v>
      </c>
      <c r="Z5120">
        <v>-2.6593490000000001E-2</v>
      </c>
      <c r="AA5120">
        <v>0.89595509999999901</v>
      </c>
      <c r="AB5120">
        <v>36</v>
      </c>
      <c r="AC5120">
        <v>0.367400000000003</v>
      </c>
      <c r="AD5120">
        <v>-9.7992999999999997E-2</v>
      </c>
      <c r="AE5120">
        <v>0.761709999999993</v>
      </c>
      <c r="AF5120">
        <v>-0.47103332446868201</v>
      </c>
      <c r="AG5120">
        <v>-9.7992999999999997E-2</v>
      </c>
      <c r="AH5120">
        <v>0.68883032894429896</v>
      </c>
      <c r="AI5120">
        <v>96.6975575698022</v>
      </c>
      <c r="AJ5120">
        <v>124.364952153557</v>
      </c>
      <c r="AK5120">
        <v>0.84021559309651594</v>
      </c>
    </row>
    <row r="5121" spans="1:37" x14ac:dyDescent="0.2">
      <c r="A5121" t="str">
        <f>"20200111154201595"</f>
        <v>20200111154201595</v>
      </c>
      <c r="B5121" t="str">
        <f>"1578728521591021"</f>
        <v>1578728521591021</v>
      </c>
      <c r="C5121" t="s">
        <v>37</v>
      </c>
      <c r="D5121">
        <v>5.1482900000000003</v>
      </c>
      <c r="E5121">
        <v>0.41609689999999999</v>
      </c>
      <c r="F5121" t="s">
        <v>38</v>
      </c>
      <c r="G5121">
        <v>-204.0154</v>
      </c>
      <c r="H5121">
        <v>1.0213190000000001</v>
      </c>
      <c r="I5121">
        <v>-57.862609999999997</v>
      </c>
      <c r="J5121">
        <v>-204.47829999999999</v>
      </c>
      <c r="K5121">
        <v>1.1231149999999901</v>
      </c>
      <c r="L5121">
        <v>-58.712429999999998</v>
      </c>
      <c r="M5121">
        <v>0.86352489999999904</v>
      </c>
      <c r="N5121">
        <v>0</v>
      </c>
      <c r="O5121">
        <v>0.50407109999999899</v>
      </c>
      <c r="P5121">
        <v>0.70699199999999995</v>
      </c>
      <c r="Q5121">
        <v>4.1503669999999999E-2</v>
      </c>
      <c r="R5121">
        <v>0.70600280000000004</v>
      </c>
      <c r="S5121">
        <v>1.6904139999999901</v>
      </c>
      <c r="T5121">
        <v>-0.2776188</v>
      </c>
      <c r="U5121">
        <v>2.5789789999999999</v>
      </c>
      <c r="V5121">
        <v>-0.25498349999999997</v>
      </c>
      <c r="W5121">
        <v>4.8236069999999999E-2</v>
      </c>
      <c r="X5121">
        <v>0.96574150000000003</v>
      </c>
      <c r="Y5121">
        <v>-0.44598900000000002</v>
      </c>
      <c r="Z5121">
        <v>-2.7020559999999999E-2</v>
      </c>
      <c r="AA5121">
        <v>0.8946305</v>
      </c>
      <c r="AB5121">
        <v>36</v>
      </c>
      <c r="AC5121">
        <v>0.46289999999998999</v>
      </c>
      <c r="AD5121">
        <v>-0.101795999999999</v>
      </c>
      <c r="AE5121">
        <v>0.84982000000000801</v>
      </c>
      <c r="AF5121">
        <v>-0.49508721615748402</v>
      </c>
      <c r="AG5121">
        <v>-0.101795999999999</v>
      </c>
      <c r="AH5121">
        <v>0.81912955443480595</v>
      </c>
      <c r="AI5121">
        <v>96.070940859126594</v>
      </c>
      <c r="AJ5121">
        <v>121.149037670064</v>
      </c>
      <c r="AK5121">
        <v>0.96252117076308097</v>
      </c>
    </row>
    <row r="5122" spans="1:37" x14ac:dyDescent="0.2">
      <c r="A5122" t="str">
        <f>"20200111154201608"</f>
        <v>20200111154201608</v>
      </c>
      <c r="B5122" t="str">
        <f>"1578728521600783"</f>
        <v>1578728521600783</v>
      </c>
      <c r="C5122" t="s">
        <v>37</v>
      </c>
      <c r="D5122">
        <v>5.1289559999999996</v>
      </c>
      <c r="E5122">
        <v>0.41642590000000002</v>
      </c>
      <c r="F5122" t="s">
        <v>38</v>
      </c>
      <c r="G5122">
        <v>-203.9641</v>
      </c>
      <c r="H5122">
        <v>1.0382129999999901</v>
      </c>
      <c r="I5122">
        <v>-57.915869999999998</v>
      </c>
      <c r="J5122">
        <v>-204.3219</v>
      </c>
      <c r="K5122">
        <v>1.1230819999999999</v>
      </c>
      <c r="L5122">
        <v>-58.615969999999997</v>
      </c>
      <c r="M5122">
        <v>0.86010739999999997</v>
      </c>
      <c r="N5122">
        <v>0</v>
      </c>
      <c r="O5122">
        <v>0.50988069999999996</v>
      </c>
      <c r="P5122">
        <v>0.70216129999999999</v>
      </c>
      <c r="Q5122">
        <v>4.1919980000000003E-2</v>
      </c>
      <c r="R5122">
        <v>0.7107829</v>
      </c>
      <c r="S5122">
        <v>1.6722109999999999</v>
      </c>
      <c r="T5122">
        <v>-0.27613379999999998</v>
      </c>
      <c r="U5122">
        <v>2.5909419999999899</v>
      </c>
      <c r="V5122">
        <v>-0.25504579999999999</v>
      </c>
      <c r="W5122">
        <v>4.8679E-2</v>
      </c>
      <c r="X5122">
        <v>0.96570279999999997</v>
      </c>
      <c r="Y5122">
        <v>-0.44628990000000002</v>
      </c>
      <c r="Z5122">
        <v>-2.7452629999999999E-2</v>
      </c>
      <c r="AA5122">
        <v>0.89446719999999902</v>
      </c>
      <c r="AB5122">
        <v>36</v>
      </c>
      <c r="AC5122">
        <v>0.35779999999999701</v>
      </c>
      <c r="AD5122">
        <v>-8.4869E-2</v>
      </c>
      <c r="AE5122">
        <v>0.70009999999999895</v>
      </c>
      <c r="AF5122">
        <v>-0.41494076099611399</v>
      </c>
      <c r="AG5122">
        <v>-8.4869E-2</v>
      </c>
      <c r="AH5122">
        <v>0.65713578671333295</v>
      </c>
      <c r="AI5122">
        <v>96.2321027273411</v>
      </c>
      <c r="AJ5122">
        <v>122.26988686859001</v>
      </c>
      <c r="AK5122">
        <v>0.78179666440602402</v>
      </c>
    </row>
    <row r="5123" spans="1:37" x14ac:dyDescent="0.2">
      <c r="A5123" t="str">
        <f>"20200111154201619"</f>
        <v>20200111154201619</v>
      </c>
      <c r="B5123" t="str">
        <f>"1578728521610541"</f>
        <v>1578728521610541</v>
      </c>
      <c r="C5123" t="s">
        <v>37</v>
      </c>
      <c r="D5123">
        <v>5.1525809999999996</v>
      </c>
      <c r="E5123">
        <v>0.41684379999999999</v>
      </c>
      <c r="F5123" t="s">
        <v>38</v>
      </c>
      <c r="G5123">
        <v>-203.74</v>
      </c>
      <c r="H5123">
        <v>1.0265439999999999</v>
      </c>
      <c r="I5123">
        <v>-57.702509999999997</v>
      </c>
      <c r="J5123">
        <v>-204.1611</v>
      </c>
      <c r="K5123">
        <v>1.1230450000000001</v>
      </c>
      <c r="L5123">
        <v>-58.515140000000002</v>
      </c>
      <c r="M5123">
        <v>0.85655190000000003</v>
      </c>
      <c r="N5123">
        <v>0</v>
      </c>
      <c r="O5123">
        <v>0.51583120000000005</v>
      </c>
      <c r="P5123">
        <v>0.69724790000000003</v>
      </c>
      <c r="Q5123">
        <v>4.2236559999999999E-2</v>
      </c>
      <c r="R5123">
        <v>0.71558480000000002</v>
      </c>
      <c r="S5123">
        <v>1.65660099999999</v>
      </c>
      <c r="T5123">
        <v>-0.27483239999999998</v>
      </c>
      <c r="U5123">
        <v>2.600403</v>
      </c>
      <c r="V5123">
        <v>-0.25499110000000003</v>
      </c>
      <c r="W5123">
        <v>4.9027630000000003E-2</v>
      </c>
      <c r="X5123">
        <v>0.96569959999999899</v>
      </c>
      <c r="Y5123">
        <v>-0.44539759999999901</v>
      </c>
      <c r="Z5123">
        <v>-2.7971199999999901E-2</v>
      </c>
      <c r="AA5123">
        <v>0.89489589999999997</v>
      </c>
      <c r="AB5123">
        <v>36</v>
      </c>
      <c r="AC5123">
        <v>0.42109999999999498</v>
      </c>
      <c r="AD5123">
        <v>-9.6500999999999906E-2</v>
      </c>
      <c r="AE5123">
        <v>0.81263000000000496</v>
      </c>
      <c r="AF5123">
        <v>-0.47363471755411901</v>
      </c>
      <c r="AG5123">
        <v>-9.6500999999999906E-2</v>
      </c>
      <c r="AH5123">
        <v>0.77139096959476305</v>
      </c>
      <c r="AI5123">
        <v>96.085217971655695</v>
      </c>
      <c r="AJ5123">
        <v>121.54996071790799</v>
      </c>
      <c r="AK5123">
        <v>0.91032209500040095</v>
      </c>
    </row>
    <row r="5124" spans="1:37" x14ac:dyDescent="0.2">
      <c r="A5124" t="str">
        <f>"20200111154201630"</f>
        <v>20200111154201630</v>
      </c>
      <c r="B5124" t="str">
        <f>"1578728521621277"</f>
        <v>1578728521621277</v>
      </c>
      <c r="C5124" t="s">
        <v>37</v>
      </c>
      <c r="D5124">
        <v>5.2124870000000003</v>
      </c>
      <c r="E5124">
        <v>0.41768100000000002</v>
      </c>
      <c r="F5124" t="s">
        <v>38</v>
      </c>
      <c r="G5124">
        <v>-203.63460000000001</v>
      </c>
      <c r="H5124">
        <v>1.035145</v>
      </c>
      <c r="I5124">
        <v>-57.678089999999997</v>
      </c>
      <c r="J5124">
        <v>-204.01</v>
      </c>
      <c r="K5124">
        <v>1.1230039999999999</v>
      </c>
      <c r="L5124">
        <v>-58.418790000000001</v>
      </c>
      <c r="M5124">
        <v>0.85317919999999903</v>
      </c>
      <c r="N5124">
        <v>0</v>
      </c>
      <c r="O5124">
        <v>0.52139089999999999</v>
      </c>
      <c r="P5124">
        <v>0.69272299999999998</v>
      </c>
      <c r="Q5124">
        <v>4.2325359999999999E-2</v>
      </c>
      <c r="R5124">
        <v>0.71996070000000001</v>
      </c>
      <c r="S5124">
        <v>1.641113</v>
      </c>
      <c r="T5124">
        <v>-0.27402969999999999</v>
      </c>
      <c r="U5124">
        <v>2.6094970000000002</v>
      </c>
      <c r="V5124">
        <v>-0.25479109999999999</v>
      </c>
      <c r="W5124">
        <v>4.9154320000000001E-2</v>
      </c>
      <c r="X5124">
        <v>0.96574599999999899</v>
      </c>
      <c r="Y5124">
        <v>-0.44480180000000002</v>
      </c>
      <c r="Z5124">
        <v>-2.848477E-2</v>
      </c>
      <c r="AA5124">
        <v>0.89517590000000002</v>
      </c>
      <c r="AB5124">
        <v>36</v>
      </c>
      <c r="AC5124">
        <v>0.37539999999998402</v>
      </c>
      <c r="AD5124">
        <v>-8.7859000000000104E-2</v>
      </c>
      <c r="AE5124">
        <v>0.74069999999999603</v>
      </c>
      <c r="AF5124">
        <v>-0.43144162876338199</v>
      </c>
      <c r="AG5124">
        <v>-8.7859000000000104E-2</v>
      </c>
      <c r="AH5124">
        <v>0.69873942358281405</v>
      </c>
      <c r="AI5124">
        <v>96.106721370347799</v>
      </c>
      <c r="AJ5124">
        <v>121.693551285518</v>
      </c>
      <c r="AK5124">
        <v>0.82589216304542101</v>
      </c>
    </row>
    <row r="5125" spans="1:37" x14ac:dyDescent="0.2">
      <c r="A5125" t="str">
        <f>"20200111154201641"</f>
        <v>20200111154201641</v>
      </c>
      <c r="B5125" t="str">
        <f>"1578728521631037"</f>
        <v>1578728521631037</v>
      </c>
      <c r="C5125" t="s">
        <v>37</v>
      </c>
      <c r="D5125">
        <v>5.2114250000000002</v>
      </c>
      <c r="E5125">
        <v>0.41849069999999999</v>
      </c>
      <c r="F5125" t="s">
        <v>38</v>
      </c>
      <c r="G5125">
        <v>-203.46369999999999</v>
      </c>
      <c r="H5125">
        <v>1.0308539999999999</v>
      </c>
      <c r="I5125">
        <v>-57.542110000000001</v>
      </c>
      <c r="J5125">
        <v>-203.85429999999999</v>
      </c>
      <c r="K5125">
        <v>1.1229579999999999</v>
      </c>
      <c r="L5125">
        <v>-58.318659999999902</v>
      </c>
      <c r="M5125">
        <v>0.84966739999999996</v>
      </c>
      <c r="N5125">
        <v>0</v>
      </c>
      <c r="O5125">
        <v>0.52709419999999996</v>
      </c>
      <c r="P5125">
        <v>0.68807810000000003</v>
      </c>
      <c r="Q5125">
        <v>4.249787E-2</v>
      </c>
      <c r="R5125">
        <v>0.72439119999999901</v>
      </c>
      <c r="S5125">
        <v>1.6293789999999999</v>
      </c>
      <c r="T5125">
        <v>-0.27487529999999999</v>
      </c>
      <c r="U5125">
        <v>2.615326</v>
      </c>
      <c r="V5125">
        <v>-0.2545232</v>
      </c>
      <c r="W5125">
        <v>4.9369589999999998E-2</v>
      </c>
      <c r="X5125">
        <v>0.96580560000000004</v>
      </c>
      <c r="Y5125">
        <v>-0.44261089999999997</v>
      </c>
      <c r="Z5125">
        <v>-2.926198E-2</v>
      </c>
      <c r="AA5125">
        <v>0.89623619999999904</v>
      </c>
      <c r="AB5125">
        <v>36</v>
      </c>
      <c r="AC5125">
        <v>0.390600000000006</v>
      </c>
      <c r="AD5125">
        <v>-9.21039999999997E-2</v>
      </c>
      <c r="AE5125">
        <v>0.77654999999999297</v>
      </c>
      <c r="AF5125">
        <v>-0.448939754449032</v>
      </c>
      <c r="AG5125">
        <v>-9.21039999999997E-2</v>
      </c>
      <c r="AH5125">
        <v>0.73305291095550096</v>
      </c>
      <c r="AI5125">
        <v>96.115761762192705</v>
      </c>
      <c r="AJ5125">
        <v>121.484334469335</v>
      </c>
      <c r="AK5125">
        <v>0.86452103514089795</v>
      </c>
    </row>
    <row r="5126" spans="1:37" x14ac:dyDescent="0.2">
      <c r="A5126" t="str">
        <f>"20200111154201654"</f>
        <v>20200111154201654</v>
      </c>
      <c r="B5126" t="str">
        <f>"1578728521650557"</f>
        <v>1578728521650557</v>
      </c>
      <c r="C5126" t="s">
        <v>37</v>
      </c>
      <c r="D5126">
        <v>5.2461880000000001</v>
      </c>
      <c r="E5126">
        <v>0.42007650000000002</v>
      </c>
      <c r="F5126" t="s">
        <v>47</v>
      </c>
      <c r="G5126">
        <v>-197.25880000000001</v>
      </c>
      <c r="H5126" s="1">
        <v>-4.0026919999999996E-6</v>
      </c>
      <c r="I5126">
        <v>-47.628639999999997</v>
      </c>
      <c r="J5126">
        <v>-203.6943</v>
      </c>
      <c r="K5126">
        <v>1.1229020000000001</v>
      </c>
      <c r="L5126">
        <v>-58.213349999999998</v>
      </c>
      <c r="M5126">
        <v>0.84603030000000001</v>
      </c>
      <c r="N5126">
        <v>0</v>
      </c>
      <c r="O5126">
        <v>0.53291279999999996</v>
      </c>
      <c r="P5126">
        <v>0.68341169999999996</v>
      </c>
      <c r="Q5126">
        <v>4.2317960000000002E-2</v>
      </c>
      <c r="R5126">
        <v>0.7288057</v>
      </c>
      <c r="S5126">
        <v>1.61731</v>
      </c>
      <c r="T5126">
        <v>-0.27536539999999998</v>
      </c>
      <c r="U5126">
        <v>2.6213380000000002</v>
      </c>
      <c r="V5126">
        <v>-0.25409229999999999</v>
      </c>
      <c r="W5126">
        <v>4.9240520000000003E-2</v>
      </c>
      <c r="X5126">
        <v>0.9659257</v>
      </c>
      <c r="Y5126">
        <v>-0.44038440000000001</v>
      </c>
      <c r="Z5126">
        <v>-3.0018510000000002E-2</v>
      </c>
      <c r="AA5126">
        <v>0.89730730000000003</v>
      </c>
      <c r="AB5126">
        <v>36</v>
      </c>
      <c r="AC5126">
        <v>6.4354999999999896</v>
      </c>
      <c r="AD5126">
        <v>-1.1229060026919999</v>
      </c>
      <c r="AE5126">
        <v>10.5847099999999</v>
      </c>
      <c r="AF5126">
        <v>-5.4810411546950304</v>
      </c>
      <c r="AG5126">
        <v>-1.1229060026919999</v>
      </c>
      <c r="AH5126">
        <v>10.9963104738534</v>
      </c>
      <c r="AI5126">
        <v>95.221909444042097</v>
      </c>
      <c r="AJ5126">
        <v>116.493669053272</v>
      </c>
      <c r="AK5126">
        <v>12.3378107485777</v>
      </c>
    </row>
    <row r="5127" spans="1:37" x14ac:dyDescent="0.2">
      <c r="A5127" t="str">
        <f>"20200111154201668"</f>
        <v>20200111154201668</v>
      </c>
      <c r="B5127" t="str">
        <f>"1578728521661293"</f>
        <v>1578728521661293</v>
      </c>
      <c r="C5127" t="s">
        <v>37</v>
      </c>
      <c r="D5127">
        <v>5.2635879999999897</v>
      </c>
      <c r="E5127">
        <v>0.42084549999999998</v>
      </c>
      <c r="F5127" t="s">
        <v>38</v>
      </c>
      <c r="G5127">
        <v>-203.18430000000001</v>
      </c>
      <c r="H5127">
        <v>1.0345959999999901</v>
      </c>
      <c r="I5127">
        <v>-57.382119999999901</v>
      </c>
      <c r="J5127">
        <v>-203.51300000000001</v>
      </c>
      <c r="K5127">
        <v>1.122833</v>
      </c>
      <c r="L5127">
        <v>-58.092829999999999</v>
      </c>
      <c r="M5127">
        <v>0.84186799999999995</v>
      </c>
      <c r="N5127">
        <v>0</v>
      </c>
      <c r="O5127">
        <v>0.53946419999999995</v>
      </c>
      <c r="P5127">
        <v>0.67788289999999995</v>
      </c>
      <c r="Q5127">
        <v>4.2008099999999902E-2</v>
      </c>
      <c r="R5127">
        <v>0.73396870000000003</v>
      </c>
      <c r="S5127">
        <v>1.609604</v>
      </c>
      <c r="T5127">
        <v>-0.27869139999999998</v>
      </c>
      <c r="U5127">
        <v>2.6231990000000001</v>
      </c>
      <c r="V5127">
        <v>-0.25389149999999999</v>
      </c>
      <c r="W5127">
        <v>4.898048E-2</v>
      </c>
      <c r="X5127">
        <v>0.96599169999999901</v>
      </c>
      <c r="Y5127">
        <v>-0.43564150000000001</v>
      </c>
      <c r="Z5127">
        <v>-3.1292920000000002E-2</v>
      </c>
      <c r="AA5127">
        <v>0.89957609999999999</v>
      </c>
      <c r="AB5127">
        <v>36</v>
      </c>
      <c r="AC5127">
        <v>0.32869999999999699</v>
      </c>
      <c r="AD5127">
        <v>-8.8237000000000093E-2</v>
      </c>
      <c r="AE5127">
        <v>0.71071000000001205</v>
      </c>
      <c r="AF5127">
        <v>-0.415772495736207</v>
      </c>
      <c r="AG5127">
        <v>-8.8237000000000093E-2</v>
      </c>
      <c r="AH5127">
        <v>0.65192463990769201</v>
      </c>
      <c r="AI5127">
        <v>96.510201584359194</v>
      </c>
      <c r="AJ5127">
        <v>122.528166354527</v>
      </c>
      <c r="AK5127">
        <v>0.77824049785300198</v>
      </c>
    </row>
    <row r="5128" spans="1:37" x14ac:dyDescent="0.2">
      <c r="A5128" t="str">
        <f>"20200111154201680"</f>
        <v>20200111154201680</v>
      </c>
      <c r="B5128" t="str">
        <f>"1578728521671053"</f>
        <v>1578728521671053</v>
      </c>
      <c r="C5128" t="s">
        <v>37</v>
      </c>
      <c r="D5128">
        <v>5.2159459999999997</v>
      </c>
      <c r="E5128">
        <v>0.42157499999999998</v>
      </c>
      <c r="F5128" t="s">
        <v>38</v>
      </c>
      <c r="G5128">
        <v>-202.95570000000001</v>
      </c>
      <c r="H5128">
        <v>1.0247040000000001</v>
      </c>
      <c r="I5128">
        <v>-57.173099999999998</v>
      </c>
      <c r="J5128">
        <v>-203.33019999999999</v>
      </c>
      <c r="K5128">
        <v>1.1227479999999901</v>
      </c>
      <c r="L5128">
        <v>-57.969269999999902</v>
      </c>
      <c r="M5128">
        <v>0.83763299999999996</v>
      </c>
      <c r="N5128">
        <v>0</v>
      </c>
      <c r="O5128">
        <v>0.54601719999999998</v>
      </c>
      <c r="P5128">
        <v>0.67238739999999997</v>
      </c>
      <c r="Q5128">
        <v>4.179008E-2</v>
      </c>
      <c r="R5128">
        <v>0.73901890000000003</v>
      </c>
      <c r="S5128">
        <v>1.594055</v>
      </c>
      <c r="T5128">
        <v>-0.28070709999999999</v>
      </c>
      <c r="U5128">
        <v>2.6311650000000002</v>
      </c>
      <c r="V5128">
        <v>-0.25355499999999997</v>
      </c>
      <c r="W5128">
        <v>4.8819979999999999E-2</v>
      </c>
      <c r="X5128">
        <v>0.96608819999999995</v>
      </c>
      <c r="Y5128">
        <v>-0.43373659999999897</v>
      </c>
      <c r="Z5128">
        <v>-3.2300200000000001E-2</v>
      </c>
      <c r="AA5128">
        <v>0.90046059999999895</v>
      </c>
      <c r="AB5128">
        <v>36</v>
      </c>
      <c r="AC5128">
        <v>0.37449999999998301</v>
      </c>
      <c r="AD5128">
        <v>-9.8043999999999798E-2</v>
      </c>
      <c r="AE5128">
        <v>0.79616999999999605</v>
      </c>
      <c r="AF5128">
        <v>-0.45679728825499599</v>
      </c>
      <c r="AG5128">
        <v>-9.8043999999999798E-2</v>
      </c>
      <c r="AH5128">
        <v>0.73932411886913896</v>
      </c>
      <c r="AI5128">
        <v>96.436679336907801</v>
      </c>
      <c r="AJ5128">
        <v>121.710175550261</v>
      </c>
      <c r="AK5128">
        <v>0.87457220470053099</v>
      </c>
    </row>
    <row r="5129" spans="1:37" x14ac:dyDescent="0.2">
      <c r="A5129" t="str">
        <f>"20200111154201698"</f>
        <v>20200111154201698</v>
      </c>
      <c r="B5129" t="str">
        <f>"1578728521690572"</f>
        <v>1578728521690572</v>
      </c>
      <c r="C5129" t="s">
        <v>37</v>
      </c>
      <c r="D5129">
        <v>5.2371439999999998</v>
      </c>
      <c r="E5129">
        <v>0.43642039999999999</v>
      </c>
      <c r="F5129" t="s">
        <v>47</v>
      </c>
      <c r="G5129">
        <v>-197.05590000000001</v>
      </c>
      <c r="H5129" s="1">
        <v>-4.0418449999999998E-6</v>
      </c>
      <c r="I5129">
        <v>-47.479059999999997</v>
      </c>
      <c r="J5129">
        <v>-203.10720000000001</v>
      </c>
      <c r="K5129">
        <v>1.1226419999999999</v>
      </c>
      <c r="L5129">
        <v>-57.815369999999902</v>
      </c>
      <c r="M5129">
        <v>0.83242340000000004</v>
      </c>
      <c r="N5129">
        <v>0</v>
      </c>
      <c r="O5129">
        <v>0.55392719999999995</v>
      </c>
      <c r="P5129">
        <v>0.66520550000000001</v>
      </c>
      <c r="Q5129">
        <v>4.083382E-2</v>
      </c>
      <c r="R5129">
        <v>0.74554290000000001</v>
      </c>
      <c r="S5129">
        <v>1.578522</v>
      </c>
      <c r="T5129">
        <v>-0.28246900000000003</v>
      </c>
      <c r="U5129">
        <v>2.6391909999999998</v>
      </c>
      <c r="V5129">
        <v>-0.25375130000000001</v>
      </c>
      <c r="W5129">
        <v>4.7913619999999997E-2</v>
      </c>
      <c r="X5129">
        <v>0.96608209999999906</v>
      </c>
      <c r="Y5129">
        <v>-0.43034070000000002</v>
      </c>
      <c r="Z5129">
        <v>-3.3497449999999998E-2</v>
      </c>
      <c r="AA5129">
        <v>0.90204479999999998</v>
      </c>
      <c r="AB5129">
        <v>36</v>
      </c>
      <c r="AC5129">
        <v>6.0512999999999897</v>
      </c>
      <c r="AD5129">
        <v>-1.1226460418449999</v>
      </c>
      <c r="AE5129">
        <v>10.3363099999999</v>
      </c>
      <c r="AF5129">
        <v>-5.2070799973830102</v>
      </c>
      <c r="AG5129">
        <v>-1.1226460418449999</v>
      </c>
      <c r="AH5129">
        <v>10.6703335719102</v>
      </c>
      <c r="AI5129">
        <v>95.401486758552295</v>
      </c>
      <c r="AJ5129">
        <v>116.012190357027</v>
      </c>
      <c r="AK5129">
        <v>11.9260234265346</v>
      </c>
    </row>
    <row r="5130" spans="1:37" x14ac:dyDescent="0.2">
      <c r="A5130" t="str">
        <f>"20200111154201712"</f>
        <v>20200111154201712</v>
      </c>
      <c r="B5130" t="str">
        <f>"1578728521701309"</f>
        <v>1578728521701309</v>
      </c>
      <c r="C5130" t="s">
        <v>37</v>
      </c>
      <c r="D5130">
        <v>5.2491760000000003</v>
      </c>
      <c r="E5130">
        <v>0.43691359999999901</v>
      </c>
      <c r="F5130" t="s">
        <v>47</v>
      </c>
      <c r="G5130">
        <v>-197.45959999999999</v>
      </c>
      <c r="H5130" s="1">
        <v>-3.3661050000000002E-6</v>
      </c>
      <c r="I5130">
        <v>-48.964709999999997</v>
      </c>
      <c r="J5130">
        <v>-202.93350000000001</v>
      </c>
      <c r="K5130">
        <v>1.1225590000000001</v>
      </c>
      <c r="L5130">
        <v>-57.693269999999998</v>
      </c>
      <c r="M5130">
        <v>0.82832719999999904</v>
      </c>
      <c r="N5130">
        <v>0</v>
      </c>
      <c r="O5130">
        <v>0.56003429999999998</v>
      </c>
      <c r="P5130">
        <v>0.65988219999999997</v>
      </c>
      <c r="Q5130">
        <v>4.064305E-2</v>
      </c>
      <c r="R5130">
        <v>0.75026899999999996</v>
      </c>
      <c r="S5130">
        <v>1.6434329999999999</v>
      </c>
      <c r="T5130">
        <v>-0.32668439999999999</v>
      </c>
      <c r="U5130">
        <v>2.5754999999999999</v>
      </c>
      <c r="V5130">
        <v>-0.25351430000000003</v>
      </c>
      <c r="W5130">
        <v>4.7777409999999999E-2</v>
      </c>
      <c r="X5130">
        <v>0.96615099999999998</v>
      </c>
      <c r="Y5130">
        <v>-0.39756320000000001</v>
      </c>
      <c r="Z5130">
        <v>-4.1368500000000002E-2</v>
      </c>
      <c r="AA5130">
        <v>0.91664179999999995</v>
      </c>
      <c r="AB5130">
        <v>36</v>
      </c>
      <c r="AC5130">
        <v>5.4739000000000102</v>
      </c>
      <c r="AD5130">
        <v>-1.1225623661049999</v>
      </c>
      <c r="AE5130">
        <v>8.7285599999999999</v>
      </c>
      <c r="AF5130">
        <v>-4.11615880633624</v>
      </c>
      <c r="AG5130">
        <v>-1.1225623661049999</v>
      </c>
      <c r="AH5130">
        <v>9.3130265493856292</v>
      </c>
      <c r="AI5130">
        <v>96.291370086081798</v>
      </c>
      <c r="AJ5130">
        <v>113.84440482680699</v>
      </c>
      <c r="AK5130">
        <v>10.2437968104768</v>
      </c>
    </row>
    <row r="5131" spans="1:37" x14ac:dyDescent="0.2">
      <c r="A5131" t="str">
        <f>"20200111154201723"</f>
        <v>20200111154201723</v>
      </c>
      <c r="B5131" t="str">
        <f>"1578728521720829"</f>
        <v>1578728521720829</v>
      </c>
      <c r="C5131" t="s">
        <v>37</v>
      </c>
      <c r="D5131">
        <v>5.2643699999999898</v>
      </c>
      <c r="E5131">
        <v>0.43768639999999998</v>
      </c>
      <c r="F5131" t="s">
        <v>47</v>
      </c>
      <c r="G5131">
        <v>-197.39250000000001</v>
      </c>
      <c r="H5131" s="1">
        <v>-3.388644E-6</v>
      </c>
      <c r="I5131">
        <v>-48.896189999999997</v>
      </c>
      <c r="J5131">
        <v>-202.7775</v>
      </c>
      <c r="K5131">
        <v>1.1224809999999901</v>
      </c>
      <c r="L5131">
        <v>-57.582609999999903</v>
      </c>
      <c r="M5131">
        <v>0.82462179999999996</v>
      </c>
      <c r="N5131">
        <v>0</v>
      </c>
      <c r="O5131">
        <v>0.5654766</v>
      </c>
      <c r="P5131">
        <v>0.65497340000000004</v>
      </c>
      <c r="Q5131">
        <v>4.0317260000000001E-2</v>
      </c>
      <c r="R5131">
        <v>0.75457569999999996</v>
      </c>
      <c r="S5131">
        <v>1.627945</v>
      </c>
      <c r="T5131">
        <v>-0.32981459999999901</v>
      </c>
      <c r="U5131">
        <v>2.584625</v>
      </c>
      <c r="V5131">
        <v>-0.2534496</v>
      </c>
      <c r="W5131">
        <v>4.7496860000000002E-2</v>
      </c>
      <c r="X5131">
        <v>0.96618189999999904</v>
      </c>
      <c r="Y5131">
        <v>-0.39694489999999999</v>
      </c>
      <c r="Z5131">
        <v>-4.2468100000000002E-2</v>
      </c>
      <c r="AA5131">
        <v>0.91685939999999999</v>
      </c>
      <c r="AB5131">
        <v>36</v>
      </c>
      <c r="AC5131">
        <v>5.38499999999999</v>
      </c>
      <c r="AD5131">
        <v>-1.1224843886439999</v>
      </c>
      <c r="AE5131">
        <v>8.6864199999999894</v>
      </c>
      <c r="AF5131">
        <v>-4.0693171344113201</v>
      </c>
      <c r="AG5131">
        <v>-1.1224843886439999</v>
      </c>
      <c r="AH5131">
        <v>9.2421700086836491</v>
      </c>
      <c r="AI5131">
        <v>96.342676986455899</v>
      </c>
      <c r="AJ5131">
        <v>113.763840058141</v>
      </c>
      <c r="AK5131">
        <v>10.1605619732657</v>
      </c>
    </row>
    <row r="5132" spans="1:37" x14ac:dyDescent="0.2">
      <c r="A5132" t="str">
        <f>"20200111154201741"</f>
        <v>20200111154201741</v>
      </c>
      <c r="B5132" t="str">
        <f>"1578728521730601"</f>
        <v>1578728521730601</v>
      </c>
      <c r="C5132" t="s">
        <v>37</v>
      </c>
      <c r="D5132">
        <v>5.2311800000000002</v>
      </c>
      <c r="E5132">
        <v>0.43791259999999999</v>
      </c>
      <c r="F5132" t="s">
        <v>38</v>
      </c>
      <c r="G5132">
        <v>-202.18180000000001</v>
      </c>
      <c r="H5132">
        <v>1.002956</v>
      </c>
      <c r="I5132">
        <v>-56.627130000000001</v>
      </c>
      <c r="J5132">
        <v>-202.5445</v>
      </c>
      <c r="K5132">
        <v>1.1223609999999999</v>
      </c>
      <c r="L5132">
        <v>-57.413819999999902</v>
      </c>
      <c r="M5132">
        <v>0.81905109999999903</v>
      </c>
      <c r="N5132">
        <v>0</v>
      </c>
      <c r="O5132">
        <v>0.57351609999999997</v>
      </c>
      <c r="P5132">
        <v>0.648366</v>
      </c>
      <c r="Q5132">
        <v>4.052439E-2</v>
      </c>
      <c r="R5132">
        <v>0.76024959999999997</v>
      </c>
      <c r="S5132">
        <v>1.6151279999999999</v>
      </c>
      <c r="T5132">
        <v>-0.32411119999999999</v>
      </c>
      <c r="U5132">
        <v>2.5911249999999999</v>
      </c>
      <c r="V5132">
        <v>-0.25240760000000001</v>
      </c>
      <c r="W5132">
        <v>4.7803600000000002E-2</v>
      </c>
      <c r="X5132">
        <v>0.96643939999999995</v>
      </c>
      <c r="Y5132">
        <v>-0.39228770000000002</v>
      </c>
      <c r="Z5132">
        <v>-4.2956479999999998E-2</v>
      </c>
      <c r="AA5132">
        <v>0.91883899999999996</v>
      </c>
      <c r="AB5132">
        <v>36</v>
      </c>
      <c r="AC5132">
        <v>0.36269999999998898</v>
      </c>
      <c r="AD5132">
        <v>-0.119405</v>
      </c>
      <c r="AE5132">
        <v>0.78668999999998501</v>
      </c>
      <c r="AF5132">
        <v>-0.42824002324803201</v>
      </c>
      <c r="AG5132">
        <v>-0.119405</v>
      </c>
      <c r="AH5132">
        <v>0.73438433762927002</v>
      </c>
      <c r="AI5132">
        <v>97.995237473501604</v>
      </c>
      <c r="AJ5132">
        <v>120.24765582301499</v>
      </c>
      <c r="AK5132">
        <v>0.85846806981486301</v>
      </c>
    </row>
    <row r="5133" spans="1:37" x14ac:dyDescent="0.2">
      <c r="A5133" t="str">
        <f>"20200111154201753"</f>
        <v>20200111154201753</v>
      </c>
      <c r="B5133" t="str">
        <f>"1578728521751085"</f>
        <v>1578728521751085</v>
      </c>
      <c r="C5133" t="s">
        <v>37</v>
      </c>
      <c r="D5133">
        <v>5.2367229999999996</v>
      </c>
      <c r="E5133">
        <v>0.4384749</v>
      </c>
      <c r="F5133" t="s">
        <v>47</v>
      </c>
      <c r="G5133">
        <v>-197.00540000000001</v>
      </c>
      <c r="H5133" s="1">
        <v>-3.5891690000000001E-6</v>
      </c>
      <c r="I5133">
        <v>-48.360770000000002</v>
      </c>
      <c r="J5133">
        <v>-202.40010000000001</v>
      </c>
      <c r="K5133">
        <v>1.1222840000000001</v>
      </c>
      <c r="L5133">
        <v>-57.307040000000001</v>
      </c>
      <c r="M5133">
        <v>0.81557279999999999</v>
      </c>
      <c r="N5133">
        <v>0</v>
      </c>
      <c r="O5133">
        <v>0.57845199999999997</v>
      </c>
      <c r="P5133">
        <v>0.644192599999999</v>
      </c>
      <c r="Q5133">
        <v>4.0686140000000003E-2</v>
      </c>
      <c r="R5133">
        <v>0.76378049999999997</v>
      </c>
      <c r="S5133">
        <v>1.5934600000000001</v>
      </c>
      <c r="T5133">
        <v>-0.32287690000000002</v>
      </c>
      <c r="U5133">
        <v>2.6043400000000001</v>
      </c>
      <c r="V5133">
        <v>-0.25185200000000002</v>
      </c>
      <c r="W5133">
        <v>4.802269E-2</v>
      </c>
      <c r="X5133">
        <v>0.96657349999999997</v>
      </c>
      <c r="Y5133">
        <v>-0.39437559999999999</v>
      </c>
      <c r="Z5133">
        <v>-4.3288590000000002E-2</v>
      </c>
      <c r="AA5133">
        <v>0.9179292</v>
      </c>
      <c r="AB5133">
        <v>36</v>
      </c>
      <c r="AC5133">
        <v>5.3947000000000003</v>
      </c>
      <c r="AD5133">
        <v>-1.1222875891689901</v>
      </c>
      <c r="AE5133">
        <v>8.9462699999999895</v>
      </c>
      <c r="AF5133">
        <v>-4.1286019848194302</v>
      </c>
      <c r="AG5133">
        <v>-1.1222875891689901</v>
      </c>
      <c r="AH5133">
        <v>9.4666291616570302</v>
      </c>
      <c r="AI5133">
        <v>96.201836216292307</v>
      </c>
      <c r="AJ5133">
        <v>113.563058402214</v>
      </c>
      <c r="AK5133">
        <v>10.3885490549062</v>
      </c>
    </row>
    <row r="5134" spans="1:37" x14ac:dyDescent="0.2">
      <c r="A5134" t="str">
        <f>"20200111154201767"</f>
        <v>20200111154201767</v>
      </c>
      <c r="B5134" t="str">
        <f>"1578728521760845"</f>
        <v>1578728521760845</v>
      </c>
      <c r="C5134" t="s">
        <v>37</v>
      </c>
      <c r="D5134">
        <v>5.2286570000000001</v>
      </c>
      <c r="E5134">
        <v>0.438795299999999</v>
      </c>
      <c r="F5134" t="s">
        <v>47</v>
      </c>
      <c r="G5134">
        <v>-196.85730000000001</v>
      </c>
      <c r="H5134" s="1">
        <v>-3.662268E-6</v>
      </c>
      <c r="I5134">
        <v>-48.163109999999897</v>
      </c>
      <c r="J5134">
        <v>-202.21029999999999</v>
      </c>
      <c r="K5134">
        <v>1.1221859999999999</v>
      </c>
      <c r="L5134">
        <v>-57.165309999999998</v>
      </c>
      <c r="M5134">
        <v>0.81096499999999905</v>
      </c>
      <c r="N5134">
        <v>0</v>
      </c>
      <c r="O5134">
        <v>0.5848949</v>
      </c>
      <c r="P5134">
        <v>0.63853689999999996</v>
      </c>
      <c r="Q5134">
        <v>4.0644699999999902E-2</v>
      </c>
      <c r="R5134">
        <v>0.76851729999999996</v>
      </c>
      <c r="S5134">
        <v>1.582306</v>
      </c>
      <c r="T5134">
        <v>-0.32037969999999999</v>
      </c>
      <c r="U5134">
        <v>2.6103209999999999</v>
      </c>
      <c r="V5134">
        <v>-0.25131700000000001</v>
      </c>
      <c r="W5134">
        <v>4.8049840000000003E-2</v>
      </c>
      <c r="X5134">
        <v>0.9667114</v>
      </c>
      <c r="Y5134">
        <v>-0.39091959999999998</v>
      </c>
      <c r="Z5134">
        <v>-4.3903659999999997E-2</v>
      </c>
      <c r="AA5134">
        <v>0.91937709999999995</v>
      </c>
      <c r="AB5134">
        <v>36</v>
      </c>
      <c r="AC5134">
        <v>5.3529999999999802</v>
      </c>
      <c r="AD5134">
        <v>-1.1221896622680001</v>
      </c>
      <c r="AE5134">
        <v>9.0022000000000002</v>
      </c>
      <c r="AF5134">
        <v>-4.1226848928673396</v>
      </c>
      <c r="AG5134">
        <v>-1.1221896622680001</v>
      </c>
      <c r="AH5134">
        <v>9.4985146559523095</v>
      </c>
      <c r="AI5134">
        <v>96.185327540664701</v>
      </c>
      <c r="AJ5134">
        <v>113.462516194325</v>
      </c>
      <c r="AK5134">
        <v>10.415259047825799</v>
      </c>
    </row>
    <row r="5135" spans="1:37" x14ac:dyDescent="0.2">
      <c r="A5135" t="str">
        <f>"20200111154201788"</f>
        <v>20200111154201788</v>
      </c>
      <c r="B5135" t="str">
        <f>"1578728521781341"</f>
        <v>1578728521781341</v>
      </c>
      <c r="C5135" t="s">
        <v>37</v>
      </c>
      <c r="D5135">
        <v>5.2484699999999904</v>
      </c>
      <c r="E5135">
        <v>0.43940849999999998</v>
      </c>
      <c r="F5135" t="s">
        <v>38</v>
      </c>
      <c r="G5135">
        <v>-201.62350000000001</v>
      </c>
      <c r="H5135">
        <v>1.002156</v>
      </c>
      <c r="I5135">
        <v>-56.182759999999902</v>
      </c>
      <c r="J5135">
        <v>-201.95840000000001</v>
      </c>
      <c r="K5135">
        <v>1.1220540000000001</v>
      </c>
      <c r="L5135">
        <v>-56.973509999999997</v>
      </c>
      <c r="M5135">
        <v>0.8047995</v>
      </c>
      <c r="N5135">
        <v>0</v>
      </c>
      <c r="O5135">
        <v>0.59335039999999994</v>
      </c>
      <c r="P5135">
        <v>0.63116079999999997</v>
      </c>
      <c r="Q5135">
        <v>4.0704450000000003E-2</v>
      </c>
      <c r="R5135">
        <v>0.77458319999999903</v>
      </c>
      <c r="S5135">
        <v>1.5647739999999899</v>
      </c>
      <c r="T5135">
        <v>-0.32012160000000001</v>
      </c>
      <c r="U5135">
        <v>2.620422</v>
      </c>
      <c r="V5135">
        <v>-0.2504226</v>
      </c>
      <c r="W5135">
        <v>4.8206550000000001E-2</v>
      </c>
      <c r="X5135">
        <v>0.96693569999999995</v>
      </c>
      <c r="Y5135">
        <v>-0.38741809999999899</v>
      </c>
      <c r="Z5135">
        <v>-4.5053719999999998E-2</v>
      </c>
      <c r="AA5135">
        <v>0.92080260000000003</v>
      </c>
      <c r="AB5135">
        <v>36</v>
      </c>
      <c r="AC5135">
        <v>0.33490000000000397</v>
      </c>
      <c r="AD5135">
        <v>-0.119898</v>
      </c>
      <c r="AE5135">
        <v>0.79075000000000195</v>
      </c>
      <c r="AF5135">
        <v>-0.42936327497057702</v>
      </c>
      <c r="AG5135">
        <v>-0.119898</v>
      </c>
      <c r="AH5135">
        <v>0.724678588977683</v>
      </c>
      <c r="AI5135">
        <v>98.1011573904334</v>
      </c>
      <c r="AJ5135">
        <v>120.646227102788</v>
      </c>
      <c r="AK5135">
        <v>0.85081573188331705</v>
      </c>
    </row>
    <row r="5136" spans="1:37" x14ac:dyDescent="0.2">
      <c r="A5136" t="str">
        <f>"20200111154201799"</f>
        <v>20200111154201799</v>
      </c>
      <c r="B5136" t="str">
        <f>"1578728521791100"</f>
        <v>1578728521791100</v>
      </c>
      <c r="C5136" t="s">
        <v>37</v>
      </c>
      <c r="D5136">
        <v>5.2665220000000001</v>
      </c>
      <c r="E5136">
        <v>0.43944670000000002</v>
      </c>
      <c r="F5136" t="s">
        <v>38</v>
      </c>
      <c r="G5136">
        <v>-201.3723</v>
      </c>
      <c r="H5136">
        <v>1.0010379999999901</v>
      </c>
      <c r="I5136">
        <v>-55.97419</v>
      </c>
      <c r="J5136">
        <v>-201.7989</v>
      </c>
      <c r="K5136">
        <v>1.1219760000000001</v>
      </c>
      <c r="L5136">
        <v>-56.850069999999903</v>
      </c>
      <c r="M5136">
        <v>0.80086080000000004</v>
      </c>
      <c r="N5136">
        <v>0</v>
      </c>
      <c r="O5136">
        <v>0.59865619999999997</v>
      </c>
      <c r="P5136">
        <v>0.62637589999999999</v>
      </c>
      <c r="Q5136">
        <v>4.0712089999999999E-2</v>
      </c>
      <c r="R5136">
        <v>0.77845730000000002</v>
      </c>
      <c r="S5136">
        <v>1.543274</v>
      </c>
      <c r="T5136">
        <v>-0.3187258</v>
      </c>
      <c r="U5136">
        <v>2.632263</v>
      </c>
      <c r="V5136">
        <v>-0.24998009999999901</v>
      </c>
      <c r="W5136">
        <v>4.8269409999999999E-2</v>
      </c>
      <c r="X5136">
        <v>0.96704709999999905</v>
      </c>
      <c r="Y5136">
        <v>-0.38873609999999997</v>
      </c>
      <c r="Z5136">
        <v>-4.5441699999999897E-2</v>
      </c>
      <c r="AA5136">
        <v>0.92022780000000004</v>
      </c>
      <c r="AB5136">
        <v>36</v>
      </c>
      <c r="AC5136">
        <v>0.42660000000000697</v>
      </c>
      <c r="AD5136">
        <v>-0.120938</v>
      </c>
      <c r="AE5136">
        <v>0.875879999999995</v>
      </c>
      <c r="AF5136">
        <v>-0.43935292064317999</v>
      </c>
      <c r="AG5136">
        <v>-0.120938</v>
      </c>
      <c r="AH5136">
        <v>0.85295536554734197</v>
      </c>
      <c r="AI5136">
        <v>97.184128705450902</v>
      </c>
      <c r="AJ5136">
        <v>117.252762790567</v>
      </c>
      <c r="AK5136">
        <v>0.96705214147826202</v>
      </c>
    </row>
    <row r="5137" spans="1:37" x14ac:dyDescent="0.2">
      <c r="A5137" t="str">
        <f>"20200111154201813"</f>
        <v>20200111154201813</v>
      </c>
      <c r="B5137" t="str">
        <f>"1578728521810621"</f>
        <v>1578728521810621</v>
      </c>
      <c r="C5137" t="s">
        <v>37</v>
      </c>
      <c r="D5137">
        <v>5.1285230000000004</v>
      </c>
      <c r="E5137">
        <v>0.43945659999999998</v>
      </c>
      <c r="F5137" t="s">
        <v>47</v>
      </c>
      <c r="G5137">
        <v>-196.4384</v>
      </c>
      <c r="H5137" s="1">
        <v>-3.8814349999999997E-6</v>
      </c>
      <c r="I5137">
        <v>-47.57938</v>
      </c>
      <c r="J5137">
        <v>-201.63669999999999</v>
      </c>
      <c r="K5137">
        <v>1.121902</v>
      </c>
      <c r="L5137">
        <v>-56.722290000000001</v>
      </c>
      <c r="M5137">
        <v>0.79682240000000004</v>
      </c>
      <c r="N5137">
        <v>0</v>
      </c>
      <c r="O5137">
        <v>0.60402140000000004</v>
      </c>
      <c r="P5137">
        <v>0.62169079999999999</v>
      </c>
      <c r="Q5137">
        <v>4.1031249999999998E-2</v>
      </c>
      <c r="R5137">
        <v>0.78218739999999998</v>
      </c>
      <c r="S5137">
        <v>1.52739</v>
      </c>
      <c r="T5137">
        <v>-0.31968740000000001</v>
      </c>
      <c r="U5137">
        <v>2.6415099999999998</v>
      </c>
      <c r="V5137">
        <v>-0.24927640000000001</v>
      </c>
      <c r="W5137">
        <v>4.864947E-2</v>
      </c>
      <c r="X5137">
        <v>0.9672096</v>
      </c>
      <c r="Y5137">
        <v>-0.38811519999999999</v>
      </c>
      <c r="Z5137">
        <v>-4.6251309999999997E-2</v>
      </c>
      <c r="AA5137">
        <v>0.92044959999999898</v>
      </c>
      <c r="AB5137">
        <v>36</v>
      </c>
      <c r="AC5137">
        <v>5.1982999999999802</v>
      </c>
      <c r="AD5137">
        <v>-1.121905881435</v>
      </c>
      <c r="AE5137">
        <v>9.1429100000000005</v>
      </c>
      <c r="AF5137">
        <v>-4.0992279372071501</v>
      </c>
      <c r="AG5137">
        <v>-1.121905881435</v>
      </c>
      <c r="AH5137">
        <v>9.5570097243204906</v>
      </c>
      <c r="AI5137">
        <v>96.157566980872801</v>
      </c>
      <c r="AJ5137">
        <v>113.215639880819</v>
      </c>
      <c r="AK5137">
        <v>10.459387045077399</v>
      </c>
    </row>
    <row r="5138" spans="1:37" x14ac:dyDescent="0.2">
      <c r="A5138" t="str">
        <f>"20200111154201833"</f>
        <v>20200111154201833</v>
      </c>
      <c r="B5138" t="str">
        <f>"1578728521821360"</f>
        <v>1578728521821360</v>
      </c>
      <c r="C5138" t="s">
        <v>37</v>
      </c>
      <c r="D5138">
        <v>5.1548400000000001</v>
      </c>
      <c r="E5138">
        <v>0.4235139</v>
      </c>
      <c r="F5138" t="s">
        <v>47</v>
      </c>
      <c r="G5138">
        <v>-196.32329999999999</v>
      </c>
      <c r="H5138" s="1">
        <v>-3.9480049999999997E-6</v>
      </c>
      <c r="I5138">
        <v>-47.406399999999998</v>
      </c>
      <c r="J5138">
        <v>-201.40010000000001</v>
      </c>
      <c r="K5138">
        <v>1.1217999999999999</v>
      </c>
      <c r="L5138">
        <v>-56.533169999999998</v>
      </c>
      <c r="M5138">
        <v>0.79086889999999999</v>
      </c>
      <c r="N5138">
        <v>0</v>
      </c>
      <c r="O5138">
        <v>0.61179629999999996</v>
      </c>
      <c r="P5138">
        <v>0.61551559999999905</v>
      </c>
      <c r="Q5138">
        <v>4.1814009999999999E-2</v>
      </c>
      <c r="R5138">
        <v>0.78701469999999996</v>
      </c>
      <c r="S5138">
        <v>1.511765</v>
      </c>
      <c r="T5138">
        <v>-0.31920700000000002</v>
      </c>
      <c r="U5138">
        <v>2.6505740000000002</v>
      </c>
      <c r="V5138">
        <v>-0.2473902</v>
      </c>
      <c r="W5138">
        <v>4.9545800000000001E-2</v>
      </c>
      <c r="X5138">
        <v>0.96764830000000002</v>
      </c>
      <c r="Y5138">
        <v>-0.384571</v>
      </c>
      <c r="Z5138">
        <v>-4.7280089999999997E-2</v>
      </c>
      <c r="AA5138">
        <v>0.92188379999999903</v>
      </c>
      <c r="AB5138">
        <v>36</v>
      </c>
      <c r="AC5138">
        <v>5.07680000000002</v>
      </c>
      <c r="AD5138">
        <v>-1.1218039480049999</v>
      </c>
      <c r="AE5138">
        <v>9.1267700000000005</v>
      </c>
      <c r="AF5138">
        <v>-4.0656786975234702</v>
      </c>
      <c r="AG5138">
        <v>-1.1218039480049999</v>
      </c>
      <c r="AH5138">
        <v>9.4904212606112193</v>
      </c>
      <c r="AI5138">
        <v>96.201047396302101</v>
      </c>
      <c r="AJ5138">
        <v>113.190201340887</v>
      </c>
      <c r="AK5138">
        <v>10.385387959682401</v>
      </c>
    </row>
    <row r="5139" spans="1:37" x14ac:dyDescent="0.2">
      <c r="A5139" t="str">
        <f>"20200111154201845"</f>
        <v>20200111154201845</v>
      </c>
      <c r="B5139" t="str">
        <f>"1578728521840877"</f>
        <v>1578728521840877</v>
      </c>
      <c r="C5139" t="s">
        <v>37</v>
      </c>
      <c r="D5139">
        <v>5.167942</v>
      </c>
      <c r="E5139">
        <v>0.41599910000000001</v>
      </c>
      <c r="F5139" t="s">
        <v>38</v>
      </c>
      <c r="G5139">
        <v>-200.94370000000001</v>
      </c>
      <c r="H5139">
        <v>1.0407040000000001</v>
      </c>
      <c r="I5139">
        <v>-55.631250000000001</v>
      </c>
      <c r="J5139">
        <v>-201.24700000000001</v>
      </c>
      <c r="K5139">
        <v>1.121737</v>
      </c>
      <c r="L5139">
        <v>-56.409059999999997</v>
      </c>
      <c r="M5139">
        <v>0.78697349999999999</v>
      </c>
      <c r="N5139">
        <v>0</v>
      </c>
      <c r="O5139">
        <v>0.6167994</v>
      </c>
      <c r="P5139">
        <v>0.61113019999999996</v>
      </c>
      <c r="Q5139">
        <v>4.212308E-2</v>
      </c>
      <c r="R5139">
        <v>0.79040840000000001</v>
      </c>
      <c r="S5139">
        <v>1.3863529999999999</v>
      </c>
      <c r="T5139">
        <v>-0.24640049999999999</v>
      </c>
      <c r="U5139">
        <v>2.740723</v>
      </c>
      <c r="V5139">
        <v>-0.24662100000000001</v>
      </c>
      <c r="W5139">
        <v>4.9912039999999998E-2</v>
      </c>
      <c r="X5139">
        <v>0.96782579999999996</v>
      </c>
      <c r="Y5139">
        <v>-0.42415999999999998</v>
      </c>
      <c r="Z5139">
        <v>-3.5353420000000003E-2</v>
      </c>
      <c r="AA5139">
        <v>0.9048969</v>
      </c>
      <c r="AB5139">
        <v>36</v>
      </c>
      <c r="AC5139">
        <v>0.30330000000000701</v>
      </c>
      <c r="AD5139">
        <v>-8.1032999999999897E-2</v>
      </c>
      <c r="AE5139">
        <v>0.77780999999999501</v>
      </c>
      <c r="AF5139">
        <v>-0.42112228878657598</v>
      </c>
      <c r="AG5139">
        <v>-8.1032999999999897E-2</v>
      </c>
      <c r="AH5139">
        <v>0.71181872224087295</v>
      </c>
      <c r="AI5139">
        <v>95.595811692876794</v>
      </c>
      <c r="AJ5139">
        <v>120.609175124015</v>
      </c>
      <c r="AK5139">
        <v>0.83102119259046303</v>
      </c>
    </row>
    <row r="5140" spans="1:37" x14ac:dyDescent="0.2">
      <c r="A5140" t="str">
        <f>"20200111154201858"</f>
        <v>20200111154201858</v>
      </c>
      <c r="B5140" t="str">
        <f>"1578728521850637"</f>
        <v>1578728521850637</v>
      </c>
      <c r="C5140" t="s">
        <v>37</v>
      </c>
      <c r="D5140">
        <v>5.1487790000000002</v>
      </c>
      <c r="E5140">
        <v>0.41442820000000002</v>
      </c>
      <c r="F5140" t="s">
        <v>38</v>
      </c>
      <c r="G5140">
        <v>-200.76769999999999</v>
      </c>
      <c r="H5140">
        <v>1.0320579999999999</v>
      </c>
      <c r="I5140">
        <v>-55.400709999999997</v>
      </c>
      <c r="J5140">
        <v>-201.08009999999999</v>
      </c>
      <c r="K5140">
        <v>1.121672</v>
      </c>
      <c r="L5140">
        <v>-56.271359999999902</v>
      </c>
      <c r="M5140">
        <v>0.78268190000000004</v>
      </c>
      <c r="N5140">
        <v>0</v>
      </c>
      <c r="O5140">
        <v>0.62223640000000002</v>
      </c>
      <c r="P5140">
        <v>0.60644560000000003</v>
      </c>
      <c r="Q5140">
        <v>4.2274949999999999E-2</v>
      </c>
      <c r="R5140">
        <v>0.79400039999999905</v>
      </c>
      <c r="S5140">
        <v>1.3237760000000001</v>
      </c>
      <c r="T5140">
        <v>-0.2476981</v>
      </c>
      <c r="U5140">
        <v>2.7851870000000001</v>
      </c>
      <c r="V5140">
        <v>-0.2456274</v>
      </c>
      <c r="W5140">
        <v>5.01273E-2</v>
      </c>
      <c r="X5140">
        <v>0.96806729999999996</v>
      </c>
      <c r="Y5140">
        <v>-0.44007689999999999</v>
      </c>
      <c r="Z5140">
        <v>-3.5326679999999999E-2</v>
      </c>
      <c r="AA5140">
        <v>0.89726499999999998</v>
      </c>
      <c r="AB5140">
        <v>36</v>
      </c>
      <c r="AC5140">
        <v>0.31239999999999601</v>
      </c>
      <c r="AD5140">
        <v>-8.9613999999999999E-2</v>
      </c>
      <c r="AE5140">
        <v>0.87064999999999704</v>
      </c>
      <c r="AF5140">
        <v>-0.48258219921623802</v>
      </c>
      <c r="AG5140">
        <v>-8.9613999999999999E-2</v>
      </c>
      <c r="AH5140">
        <v>0.77903888845003599</v>
      </c>
      <c r="AI5140">
        <v>95.585155025809797</v>
      </c>
      <c r="AJ5140">
        <v>121.776493179875</v>
      </c>
      <c r="AK5140">
        <v>0.92077024154446296</v>
      </c>
    </row>
    <row r="5141" spans="1:37" x14ac:dyDescent="0.2">
      <c r="A5141" t="str">
        <f>"20200111154201877"</f>
        <v>20200111154201877</v>
      </c>
      <c r="B5141" t="str">
        <f>"1578728521871133"</f>
        <v>1578728521871133</v>
      </c>
      <c r="C5141" t="s">
        <v>37</v>
      </c>
      <c r="D5141">
        <v>5.1686269999999999</v>
      </c>
      <c r="E5141">
        <v>0.41375519999999999</v>
      </c>
      <c r="F5141" t="s">
        <v>38</v>
      </c>
      <c r="G5141">
        <v>-200.6645</v>
      </c>
      <c r="H5141">
        <v>1.0412729999999999</v>
      </c>
      <c r="I5141">
        <v>-55.374200000000002</v>
      </c>
      <c r="J5141">
        <v>-200.85599999999999</v>
      </c>
      <c r="K5141">
        <v>1.1215899999999901</v>
      </c>
      <c r="L5141">
        <v>-56.083590000000001</v>
      </c>
      <c r="M5141">
        <v>0.77684629999999999</v>
      </c>
      <c r="N5141">
        <v>0</v>
      </c>
      <c r="O5141">
        <v>0.62950719999999905</v>
      </c>
      <c r="P5141">
        <v>0.60026029999999997</v>
      </c>
      <c r="Q5141">
        <v>4.2128369999999998E-2</v>
      </c>
      <c r="R5141">
        <v>0.79869440000000003</v>
      </c>
      <c r="S5141">
        <v>1.2973330000000001</v>
      </c>
      <c r="T5141">
        <v>-0.25099519999999997</v>
      </c>
      <c r="U5141">
        <v>2.8008419999999998</v>
      </c>
      <c r="V5141">
        <v>-0.2441101</v>
      </c>
      <c r="W5141">
        <v>5.006824E-2</v>
      </c>
      <c r="X5141">
        <v>0.96845409999999899</v>
      </c>
      <c r="Y5141">
        <v>-0.44061859999999903</v>
      </c>
      <c r="Z5141">
        <v>-3.6439779999999998E-2</v>
      </c>
      <c r="AA5141">
        <v>0.89695449999999999</v>
      </c>
      <c r="AB5141">
        <v>36</v>
      </c>
      <c r="AC5141">
        <v>0.19149999999999001</v>
      </c>
      <c r="AD5141">
        <v>-8.0316999999999902E-2</v>
      </c>
      <c r="AE5141">
        <v>0.70938999999999897</v>
      </c>
      <c r="AF5141">
        <v>-0.42550208475753198</v>
      </c>
      <c r="AG5141">
        <v>-8.0316999999999902E-2</v>
      </c>
      <c r="AH5141">
        <v>0.58837093022932996</v>
      </c>
      <c r="AI5141">
        <v>96.312002502277707</v>
      </c>
      <c r="AJ5141">
        <v>125.873956992129</v>
      </c>
      <c r="AK5141">
        <v>0.73053623877322704</v>
      </c>
    </row>
    <row r="5142" spans="1:37" x14ac:dyDescent="0.2">
      <c r="A5142" t="str">
        <f>"20200111154201900"</f>
        <v>20200111154201900</v>
      </c>
      <c r="B5142" t="str">
        <f>"1578728521890652"</f>
        <v>1578728521890652</v>
      </c>
      <c r="C5142" t="s">
        <v>37</v>
      </c>
      <c r="D5142">
        <v>5.1697470000000001</v>
      </c>
      <c r="E5142">
        <v>0.41354489999999999</v>
      </c>
      <c r="F5142" t="s">
        <v>38</v>
      </c>
      <c r="G5142">
        <v>-200.45529999999999</v>
      </c>
      <c r="H5142">
        <v>1.040778</v>
      </c>
      <c r="I5142">
        <v>-55.196959999999997</v>
      </c>
      <c r="J5142">
        <v>-200.58449999999999</v>
      </c>
      <c r="K5142">
        <v>1.1214999999999999</v>
      </c>
      <c r="L5142">
        <v>-55.851349999999996</v>
      </c>
      <c r="M5142">
        <v>0.76964690000000002</v>
      </c>
      <c r="N5142">
        <v>0</v>
      </c>
      <c r="O5142">
        <v>0.63828960000000001</v>
      </c>
      <c r="P5142">
        <v>0.59162809999999999</v>
      </c>
      <c r="Q5142">
        <v>4.1704909999999998E-2</v>
      </c>
      <c r="R5142">
        <v>0.80513159999999995</v>
      </c>
      <c r="S5142">
        <v>1.2715609999999999</v>
      </c>
      <c r="T5142">
        <v>-0.25646419999999998</v>
      </c>
      <c r="U5142">
        <v>2.8139949999999998</v>
      </c>
      <c r="V5142">
        <v>-0.24352799999999999</v>
      </c>
      <c r="W5142">
        <v>4.9707260000000003E-2</v>
      </c>
      <c r="X5142">
        <v>0.96861929999999996</v>
      </c>
      <c r="Y5142">
        <v>-0.4388514</v>
      </c>
      <c r="Z5142">
        <v>-3.8146470000000002E-2</v>
      </c>
      <c r="AA5142">
        <v>0.89774949999999998</v>
      </c>
      <c r="AB5142">
        <v>36</v>
      </c>
      <c r="AC5142">
        <v>0.12919999999999701</v>
      </c>
      <c r="AD5142">
        <v>-8.0721999999999905E-2</v>
      </c>
      <c r="AE5142">
        <v>0.65438999999999903</v>
      </c>
      <c r="AF5142">
        <v>-0.41515059972325802</v>
      </c>
      <c r="AG5142">
        <v>-8.0721999999999905E-2</v>
      </c>
      <c r="AH5142">
        <v>0.50972307226333402</v>
      </c>
      <c r="AI5142">
        <v>97.000351639206102</v>
      </c>
      <c r="AJ5142">
        <v>129.161542596087</v>
      </c>
      <c r="AK5142">
        <v>0.66233199540121301</v>
      </c>
    </row>
    <row r="5143" spans="1:37" x14ac:dyDescent="0.2">
      <c r="A5143" t="str">
        <f>"20200111154201914"</f>
        <v>20200111154201914</v>
      </c>
      <c r="B5143" t="str">
        <f>"1578728521911149"</f>
        <v>1578728521911149</v>
      </c>
      <c r="C5143" t="s">
        <v>37</v>
      </c>
      <c r="D5143">
        <v>5.1575430000000004</v>
      </c>
      <c r="E5143">
        <v>0.41353479999999998</v>
      </c>
      <c r="F5143" t="s">
        <v>47</v>
      </c>
      <c r="G5143">
        <v>-195.24170000000001</v>
      </c>
      <c r="H5143" s="1">
        <v>-5.5736640000000004E-6</v>
      </c>
      <c r="I5143">
        <v>-43.665570000000002</v>
      </c>
      <c r="J5143">
        <v>-200.417</v>
      </c>
      <c r="K5143">
        <v>1.1214489999999999</v>
      </c>
      <c r="L5143">
        <v>-55.705080000000002</v>
      </c>
      <c r="M5143">
        <v>0.76512749999999996</v>
      </c>
      <c r="N5143">
        <v>0</v>
      </c>
      <c r="O5143">
        <v>0.6437003</v>
      </c>
      <c r="P5143">
        <v>0.58617659999999905</v>
      </c>
      <c r="Q5143">
        <v>4.143351E-2</v>
      </c>
      <c r="R5143">
        <v>0.80912320000000004</v>
      </c>
      <c r="S5143">
        <v>1.240067</v>
      </c>
      <c r="T5143">
        <v>-0.26030330000000002</v>
      </c>
      <c r="U5143">
        <v>2.8283390000000002</v>
      </c>
      <c r="V5143">
        <v>-0.24323710000000001</v>
      </c>
      <c r="W5143">
        <v>4.9469599999999898E-2</v>
      </c>
      <c r="X5143">
        <v>0.96870449999999997</v>
      </c>
      <c r="Y5143">
        <v>-0.44258339999999902</v>
      </c>
      <c r="Z5143">
        <v>-3.9112220000000003E-2</v>
      </c>
      <c r="AA5143">
        <v>0.89587399999999995</v>
      </c>
      <c r="AB5143">
        <v>36</v>
      </c>
      <c r="AC5143">
        <v>5.1752999999999902</v>
      </c>
      <c r="AD5143">
        <v>-1.12145457366399</v>
      </c>
      <c r="AE5143">
        <v>12.03951</v>
      </c>
      <c r="AF5143">
        <v>-5.8383378549620897</v>
      </c>
      <c r="AG5143">
        <v>-1.12145457366399</v>
      </c>
      <c r="AH5143">
        <v>11.625806850013401</v>
      </c>
      <c r="AI5143">
        <v>94.926895635820301</v>
      </c>
      <c r="AJ5143">
        <v>116.665242750282</v>
      </c>
      <c r="AK5143">
        <v>13.057688699892299</v>
      </c>
    </row>
    <row r="5144" spans="1:37" x14ac:dyDescent="0.2">
      <c r="A5144" t="str">
        <f>"20200111154201932"</f>
        <v>20200111154201932</v>
      </c>
      <c r="B5144" t="str">
        <f>"1578728521920908"</f>
        <v>1578728521920908</v>
      </c>
      <c r="C5144" t="s">
        <v>37</v>
      </c>
      <c r="D5144">
        <v>5.2048649999999999</v>
      </c>
      <c r="E5144">
        <v>0.41349740000000001</v>
      </c>
      <c r="F5144" t="s">
        <v>38</v>
      </c>
      <c r="G5144">
        <v>-200.03030000000001</v>
      </c>
      <c r="H5144">
        <v>1.0380739999999999</v>
      </c>
      <c r="I5144">
        <v>-54.806999999999903</v>
      </c>
      <c r="J5144">
        <v>-200.19479999999999</v>
      </c>
      <c r="K5144">
        <v>1.1213879999999901</v>
      </c>
      <c r="L5144">
        <v>-55.508029999999998</v>
      </c>
      <c r="M5144">
        <v>0.75904039999999995</v>
      </c>
      <c r="N5144">
        <v>0</v>
      </c>
      <c r="O5144">
        <v>0.65086730000000004</v>
      </c>
      <c r="P5144">
        <v>0.57916789999999996</v>
      </c>
      <c r="Q5144">
        <v>4.1185510000000002E-2</v>
      </c>
      <c r="R5144">
        <v>0.81416730000000004</v>
      </c>
      <c r="S5144">
        <v>1.2210080000000001</v>
      </c>
      <c r="T5144">
        <v>-0.26332</v>
      </c>
      <c r="U5144">
        <v>2.8366699999999998</v>
      </c>
      <c r="V5144">
        <v>-0.24248549999999999</v>
      </c>
      <c r="W5144">
        <v>4.9276250000000001E-2</v>
      </c>
      <c r="X5144">
        <v>0.96890279999999995</v>
      </c>
      <c r="Y5144">
        <v>-0.44020740000000003</v>
      </c>
      <c r="Z5144">
        <v>-4.0382139999999997E-2</v>
      </c>
      <c r="AA5144">
        <v>0.8969876</v>
      </c>
      <c r="AB5144">
        <v>36</v>
      </c>
      <c r="AC5144">
        <v>0.164499999999975</v>
      </c>
      <c r="AD5144">
        <v>-8.3313999999999805E-2</v>
      </c>
      <c r="AE5144">
        <v>0.70103000000001003</v>
      </c>
      <c r="AF5144">
        <v>-0.41947565193354602</v>
      </c>
      <c r="AG5144">
        <v>-8.3313999999999805E-2</v>
      </c>
      <c r="AH5144">
        <v>0.57352847920821104</v>
      </c>
      <c r="AI5144">
        <v>96.687468455391695</v>
      </c>
      <c r="AJ5144">
        <v>126.181537276847</v>
      </c>
      <c r="AK5144">
        <v>0.71542711831741301</v>
      </c>
    </row>
    <row r="5145" spans="1:37" x14ac:dyDescent="0.2">
      <c r="A5145" t="str">
        <f>"20200111154201946"</f>
        <v>20200111154201946</v>
      </c>
      <c r="B5145" t="str">
        <f>"1578728521941324"</f>
        <v>1578728521941324</v>
      </c>
      <c r="C5145" t="s">
        <v>37</v>
      </c>
      <c r="D5145">
        <v>5.1897099999999998</v>
      </c>
      <c r="E5145">
        <v>0.4135607</v>
      </c>
      <c r="F5145" t="s">
        <v>38</v>
      </c>
      <c r="G5145">
        <v>-199.80879999999999</v>
      </c>
      <c r="H5145">
        <v>1.0366169999999999</v>
      </c>
      <c r="I5145">
        <v>-54.589149999999997</v>
      </c>
      <c r="J5145">
        <v>-200.03960000000001</v>
      </c>
      <c r="K5145">
        <v>1.1213489999999999</v>
      </c>
      <c r="L5145">
        <v>-55.368469999999903</v>
      </c>
      <c r="M5145">
        <v>0.75472609999999996</v>
      </c>
      <c r="N5145">
        <v>0</v>
      </c>
      <c r="O5145">
        <v>0.65586540000000004</v>
      </c>
      <c r="P5145">
        <v>0.57416420000000001</v>
      </c>
      <c r="Q5145">
        <v>4.1440499999999998E-2</v>
      </c>
      <c r="R5145">
        <v>0.81769080000000005</v>
      </c>
      <c r="S5145">
        <v>1.195892</v>
      </c>
      <c r="T5145">
        <v>-0.26266620000000002</v>
      </c>
      <c r="U5145">
        <v>2.847321</v>
      </c>
      <c r="V5145">
        <v>-0.242020399999999</v>
      </c>
      <c r="W5145">
        <v>4.9566279999999997E-2</v>
      </c>
      <c r="X5145">
        <v>0.96900429999999904</v>
      </c>
      <c r="Y5145">
        <v>-0.44220540000000003</v>
      </c>
      <c r="Z5145">
        <v>-4.0715979999999999E-2</v>
      </c>
      <c r="AA5145">
        <v>0.89598919999999904</v>
      </c>
      <c r="AB5145">
        <v>36</v>
      </c>
      <c r="AC5145">
        <v>0.23080000000001599</v>
      </c>
      <c r="AD5145">
        <v>-8.4732000000000002E-2</v>
      </c>
      <c r="AE5145">
        <v>0.77931999999999801</v>
      </c>
      <c r="AF5145">
        <v>-0.43215280169911202</v>
      </c>
      <c r="AG5145">
        <v>-8.4732000000000002E-2</v>
      </c>
      <c r="AH5145">
        <v>0.67802947553748305</v>
      </c>
      <c r="AI5145">
        <v>96.015788110145294</v>
      </c>
      <c r="AJ5145">
        <v>122.512043246248</v>
      </c>
      <c r="AK5145">
        <v>0.80849213078299398</v>
      </c>
    </row>
    <row r="5146" spans="1:37" x14ac:dyDescent="0.2">
      <c r="A5146" t="str">
        <f>"20200111154201965"</f>
        <v>20200111154201965</v>
      </c>
      <c r="B5146" t="str">
        <f>"1578728521960843"</f>
        <v>1578728521960843</v>
      </c>
      <c r="C5146" t="s">
        <v>37</v>
      </c>
      <c r="D5146">
        <v>5.1903050000000004</v>
      </c>
      <c r="E5146">
        <v>0.41385129999999998</v>
      </c>
      <c r="F5146" t="s">
        <v>38</v>
      </c>
      <c r="G5146">
        <v>-199.6182</v>
      </c>
      <c r="H5146">
        <v>1.028454</v>
      </c>
      <c r="I5146">
        <v>-54.348399999999998</v>
      </c>
      <c r="J5146">
        <v>-199.8107</v>
      </c>
      <c r="K5146">
        <v>1.121292</v>
      </c>
      <c r="L5146">
        <v>-55.15878</v>
      </c>
      <c r="M5146">
        <v>0.74825240000000004</v>
      </c>
      <c r="N5146">
        <v>0</v>
      </c>
      <c r="O5146">
        <v>0.66324169999999905</v>
      </c>
      <c r="P5146">
        <v>0.56676359999999903</v>
      </c>
      <c r="Q5146">
        <v>4.1918709999999998E-2</v>
      </c>
      <c r="R5146">
        <v>0.82281349999999998</v>
      </c>
      <c r="S5146">
        <v>1.1788639999999999</v>
      </c>
      <c r="T5146">
        <v>-0.25991209999999998</v>
      </c>
      <c r="U5146">
        <v>2.854279</v>
      </c>
      <c r="V5146">
        <v>-0.24123820000000001</v>
      </c>
      <c r="W5146">
        <v>5.0097290000000003E-2</v>
      </c>
      <c r="X5146">
        <v>0.96917199999999903</v>
      </c>
      <c r="Y5146">
        <v>-0.43874979999999902</v>
      </c>
      <c r="Z5146">
        <v>-4.116541E-2</v>
      </c>
      <c r="AA5146">
        <v>0.89766590000000002</v>
      </c>
      <c r="AB5146">
        <v>36</v>
      </c>
      <c r="AC5146">
        <v>0.19249999999999501</v>
      </c>
      <c r="AD5146">
        <v>-9.2837999999999907E-2</v>
      </c>
      <c r="AE5146">
        <v>0.81038000000000898</v>
      </c>
      <c r="AF5146">
        <v>-0.47287488612167899</v>
      </c>
      <c r="AG5146">
        <v>-9.2837999999999907E-2</v>
      </c>
      <c r="AH5146">
        <v>0.67323066794358799</v>
      </c>
      <c r="AI5146">
        <v>96.438264482619203</v>
      </c>
      <c r="AJ5146">
        <v>125.08407161090101</v>
      </c>
      <c r="AK5146">
        <v>0.827930603630739</v>
      </c>
    </row>
    <row r="5147" spans="1:37" x14ac:dyDescent="0.2">
      <c r="A5147" t="str">
        <f>"20200111154201978"</f>
        <v>20200111154201978</v>
      </c>
      <c r="B5147" t="str">
        <f>"1578728521970604"</f>
        <v>1578728521970604</v>
      </c>
      <c r="C5147" t="s">
        <v>37</v>
      </c>
      <c r="D5147">
        <v>5.2976460000000003</v>
      </c>
      <c r="E5147">
        <v>0.41456499999999902</v>
      </c>
      <c r="F5147" t="s">
        <v>38</v>
      </c>
      <c r="G5147">
        <v>-199.3963</v>
      </c>
      <c r="H5147">
        <v>1.029388</v>
      </c>
      <c r="I5147">
        <v>-54.13091</v>
      </c>
      <c r="J5147">
        <v>-199.65539999999999</v>
      </c>
      <c r="K5147">
        <v>1.1212549999999999</v>
      </c>
      <c r="L5147">
        <v>-55.013890000000004</v>
      </c>
      <c r="M5147">
        <v>0.74378159999999904</v>
      </c>
      <c r="N5147">
        <v>0</v>
      </c>
      <c r="O5147">
        <v>0.6682517</v>
      </c>
      <c r="P5147">
        <v>0.56180160000000001</v>
      </c>
      <c r="Q5147">
        <v>4.195637E-2</v>
      </c>
      <c r="R5147">
        <v>0.82620749999999998</v>
      </c>
      <c r="S5147">
        <v>1.154495</v>
      </c>
      <c r="T5147">
        <v>-0.25605359999999999</v>
      </c>
      <c r="U5147">
        <v>2.8638309999999998</v>
      </c>
      <c r="V5147">
        <v>-0.24055599999999999</v>
      </c>
      <c r="W5147">
        <v>5.0173490000000001E-2</v>
      </c>
      <c r="X5147">
        <v>0.96933760000000002</v>
      </c>
      <c r="Y5147">
        <v>-0.44031999999999999</v>
      </c>
      <c r="Z5147">
        <v>-4.1004829999999999E-2</v>
      </c>
      <c r="AA5147">
        <v>0.89690409999999898</v>
      </c>
      <c r="AB5147">
        <v>36</v>
      </c>
      <c r="AC5147">
        <v>0.25909999999998901</v>
      </c>
      <c r="AD5147">
        <v>-9.1866999999999893E-2</v>
      </c>
      <c r="AE5147">
        <v>0.88298000000000298</v>
      </c>
      <c r="AF5147">
        <v>-0.47888273396029601</v>
      </c>
      <c r="AG5147">
        <v>-9.1866999999999893E-2</v>
      </c>
      <c r="AH5147">
        <v>0.77513079785133299</v>
      </c>
      <c r="AI5147">
        <v>95.757539591156004</v>
      </c>
      <c r="AJ5147">
        <v>121.70814289749001</v>
      </c>
      <c r="AK5147">
        <v>0.91574885877730205</v>
      </c>
    </row>
    <row r="5148" spans="1:37" x14ac:dyDescent="0.2">
      <c r="A5148" t="str">
        <f>"20200111154201991"</f>
        <v>20200111154201991</v>
      </c>
      <c r="B5148" t="str">
        <f>"1578728521981340"</f>
        <v>1578728521981340</v>
      </c>
      <c r="C5148" t="s">
        <v>37</v>
      </c>
      <c r="D5148">
        <v>5.2758379999999896</v>
      </c>
      <c r="E5148">
        <v>0.41524949999999999</v>
      </c>
      <c r="F5148" t="s">
        <v>47</v>
      </c>
      <c r="G5148">
        <v>-194.68790000000001</v>
      </c>
      <c r="H5148" s="1">
        <v>-5.9717290000000001E-6</v>
      </c>
      <c r="I5148">
        <v>-42.540939999999999</v>
      </c>
      <c r="J5148">
        <v>-199.51089999999999</v>
      </c>
      <c r="K5148">
        <v>1.121221</v>
      </c>
      <c r="L5148">
        <v>-54.877229999999997</v>
      </c>
      <c r="M5148">
        <v>0.73956480000000002</v>
      </c>
      <c r="N5148">
        <v>0</v>
      </c>
      <c r="O5148">
        <v>0.67291559999999995</v>
      </c>
      <c r="P5148">
        <v>0.55710819999999905</v>
      </c>
      <c r="Q5148">
        <v>4.197795E-2</v>
      </c>
      <c r="R5148">
        <v>0.82937819999999995</v>
      </c>
      <c r="S5148">
        <v>1.1420440000000001</v>
      </c>
      <c r="T5148">
        <v>-0.25778279999999998</v>
      </c>
      <c r="U5148">
        <v>2.8675839999999999</v>
      </c>
      <c r="V5148">
        <v>-0.2399511</v>
      </c>
      <c r="W5148">
        <v>5.0230160000000003E-2</v>
      </c>
      <c r="X5148">
        <v>0.96948459999999903</v>
      </c>
      <c r="Y5148">
        <v>-0.43845230000000002</v>
      </c>
      <c r="Z5148">
        <v>-4.1832569999999999E-2</v>
      </c>
      <c r="AA5148">
        <v>0.89778040000000003</v>
      </c>
      <c r="AB5148">
        <v>36</v>
      </c>
      <c r="AC5148">
        <v>4.8229999999999702</v>
      </c>
      <c r="AD5148">
        <v>-1.121226971729</v>
      </c>
      <c r="AE5148">
        <v>12.33629</v>
      </c>
      <c r="AF5148">
        <v>-5.8368616904148602</v>
      </c>
      <c r="AG5148">
        <v>-1.121226971729</v>
      </c>
      <c r="AH5148">
        <v>11.785113239562399</v>
      </c>
      <c r="AI5148">
        <v>94.873007763008104</v>
      </c>
      <c r="AJ5148">
        <v>116.348023968334</v>
      </c>
      <c r="AK5148">
        <v>13.199052935134199</v>
      </c>
    </row>
    <row r="5149" spans="1:37" x14ac:dyDescent="0.2">
      <c r="A5149" t="str">
        <f>"20200111154202004"</f>
        <v>20200111154202004</v>
      </c>
      <c r="B5149" t="str">
        <f>"1578728522000859"</f>
        <v>1578728522000859</v>
      </c>
      <c r="C5149" t="s">
        <v>37</v>
      </c>
      <c r="D5149">
        <v>5.3122400000000001</v>
      </c>
      <c r="E5149">
        <v>0.4158597</v>
      </c>
      <c r="F5149" t="s">
        <v>38</v>
      </c>
      <c r="G5149">
        <v>-199.14060000000001</v>
      </c>
      <c r="H5149">
        <v>1.0363599999999999</v>
      </c>
      <c r="I5149">
        <v>-53.937100000000001</v>
      </c>
      <c r="J5149">
        <v>-199.36840000000001</v>
      </c>
      <c r="K5149">
        <v>1.1211869999999999</v>
      </c>
      <c r="L5149">
        <v>-54.741390000000003</v>
      </c>
      <c r="M5149">
        <v>0.73536290000000004</v>
      </c>
      <c r="N5149">
        <v>0</v>
      </c>
      <c r="O5149">
        <v>0.67750500000000002</v>
      </c>
      <c r="P5149">
        <v>0.5523903</v>
      </c>
      <c r="Q5149">
        <v>4.1702290000000003E-2</v>
      </c>
      <c r="R5149">
        <v>0.8325418</v>
      </c>
      <c r="S5149">
        <v>1.1302030000000001</v>
      </c>
      <c r="T5149">
        <v>-0.25912179999999901</v>
      </c>
      <c r="U5149">
        <v>2.8710939999999998</v>
      </c>
      <c r="V5149">
        <v>-0.2394201</v>
      </c>
      <c r="W5149">
        <v>4.9985849999999998E-2</v>
      </c>
      <c r="X5149">
        <v>0.9696285</v>
      </c>
      <c r="Y5149">
        <v>-0.436451599999999</v>
      </c>
      <c r="Z5149">
        <v>-4.2600909999999999E-2</v>
      </c>
      <c r="AA5149">
        <v>0.89871859999999903</v>
      </c>
      <c r="AB5149">
        <v>36</v>
      </c>
      <c r="AC5149">
        <v>0.227800000000002</v>
      </c>
      <c r="AD5149">
        <v>-8.4827000000000194E-2</v>
      </c>
      <c r="AE5149">
        <v>0.80429000000000095</v>
      </c>
      <c r="AF5149">
        <v>-0.43270355633982699</v>
      </c>
      <c r="AG5149">
        <v>-8.4827000000000194E-2</v>
      </c>
      <c r="AH5149">
        <v>0.70524528603231096</v>
      </c>
      <c r="AI5149">
        <v>95.853593595154706</v>
      </c>
      <c r="AJ5149">
        <v>121.53121543659201</v>
      </c>
      <c r="AK5149">
        <v>0.83174449265921202</v>
      </c>
    </row>
    <row r="5150" spans="1:37" x14ac:dyDescent="0.2">
      <c r="A5150" t="str">
        <f>"20200111154202022"</f>
        <v>20200111154202022</v>
      </c>
      <c r="B5150" t="str">
        <f>"1578728522010623"</f>
        <v>1578728522010623</v>
      </c>
      <c r="C5150" t="s">
        <v>37</v>
      </c>
      <c r="D5150">
        <v>5.3328629999999997</v>
      </c>
      <c r="E5150">
        <v>0.43043509999999902</v>
      </c>
      <c r="F5150" t="s">
        <v>38</v>
      </c>
      <c r="G5150">
        <v>-198.95959999999999</v>
      </c>
      <c r="H5150">
        <v>1.0256099999999999</v>
      </c>
      <c r="I5150">
        <v>-53.69021</v>
      </c>
      <c r="J5150">
        <v>-199.1568</v>
      </c>
      <c r="K5150">
        <v>1.12114</v>
      </c>
      <c r="L5150">
        <v>-54.536069999999903</v>
      </c>
      <c r="M5150">
        <v>0.72901859999999996</v>
      </c>
      <c r="N5150">
        <v>0</v>
      </c>
      <c r="O5150">
        <v>0.68432729999999997</v>
      </c>
      <c r="P5150">
        <v>0.54563419999999996</v>
      </c>
      <c r="Q5150">
        <v>4.1026060000000003E-2</v>
      </c>
      <c r="R5150">
        <v>0.83701859999999995</v>
      </c>
      <c r="S5150">
        <v>1.1178889999999999</v>
      </c>
      <c r="T5150">
        <v>-0.26138850000000002</v>
      </c>
      <c r="U5150">
        <v>2.8747859999999998</v>
      </c>
      <c r="V5150">
        <v>-0.238233</v>
      </c>
      <c r="W5150">
        <v>4.9367210000000002E-2</v>
      </c>
      <c r="X5150">
        <v>0.9699525</v>
      </c>
      <c r="Y5150">
        <v>-0.43182129999999902</v>
      </c>
      <c r="Z5150">
        <v>-4.3851689999999999E-2</v>
      </c>
      <c r="AA5150">
        <v>0.90089259999999904</v>
      </c>
      <c r="AB5150">
        <v>36</v>
      </c>
      <c r="AC5150">
        <v>0.19720000000000901</v>
      </c>
      <c r="AD5150">
        <v>-9.5529999999999796E-2</v>
      </c>
      <c r="AE5150">
        <v>0.84585999999999395</v>
      </c>
      <c r="AF5150">
        <v>-0.475994894154389</v>
      </c>
      <c r="AG5150">
        <v>-9.5529999999999796E-2</v>
      </c>
      <c r="AH5150">
        <v>0.71405169380502997</v>
      </c>
      <c r="AI5150">
        <v>96.351979330416299</v>
      </c>
      <c r="AJ5150">
        <v>123.687869405269</v>
      </c>
      <c r="AK5150">
        <v>0.86346218306702904</v>
      </c>
    </row>
    <row r="5151" spans="1:37" x14ac:dyDescent="0.2">
      <c r="A5151" t="str">
        <f>"20200111154202036"</f>
        <v>20200111154202036</v>
      </c>
      <c r="B5151" t="str">
        <f>"1578728522031116"</f>
        <v>1578728522031116</v>
      </c>
      <c r="C5151" t="s">
        <v>37</v>
      </c>
      <c r="D5151">
        <v>5.3206769999999999</v>
      </c>
      <c r="E5151">
        <v>0.43141999999999903</v>
      </c>
      <c r="F5151" t="s">
        <v>47</v>
      </c>
      <c r="G5151">
        <v>-194.7527</v>
      </c>
      <c r="H5151" s="1">
        <v>-5.269666E-6</v>
      </c>
      <c r="I5151">
        <v>-44.131320000000002</v>
      </c>
      <c r="J5151">
        <v>-199.00020000000001</v>
      </c>
      <c r="K5151">
        <v>1.1211089999999999</v>
      </c>
      <c r="L5151">
        <v>-54.381009999999897</v>
      </c>
      <c r="M5151">
        <v>0.72423510000000002</v>
      </c>
      <c r="N5151">
        <v>0</v>
      </c>
      <c r="O5151">
        <v>0.68938789999999905</v>
      </c>
      <c r="P5151">
        <v>0.54024850000000002</v>
      </c>
      <c r="Q5151">
        <v>4.1077200000000001E-2</v>
      </c>
      <c r="R5151">
        <v>0.84050239999999998</v>
      </c>
      <c r="S5151">
        <v>1.193954</v>
      </c>
      <c r="T5151">
        <v>-0.30394399999999999</v>
      </c>
      <c r="U5151">
        <v>2.8207399999999998</v>
      </c>
      <c r="V5151">
        <v>-0.237701</v>
      </c>
      <c r="W5151">
        <v>4.9448649999999997E-2</v>
      </c>
      <c r="X5151">
        <v>0.97007889999999997</v>
      </c>
      <c r="Y5151">
        <v>-0.39887270000000002</v>
      </c>
      <c r="Z5151">
        <v>-5.3261999999999997E-2</v>
      </c>
      <c r="AA5151">
        <v>0.9154582</v>
      </c>
      <c r="AB5151">
        <v>36</v>
      </c>
      <c r="AC5151">
        <v>4.2474999999999996</v>
      </c>
      <c r="AD5151">
        <v>-1.1211142696659999</v>
      </c>
      <c r="AE5151">
        <v>10.2496899999999</v>
      </c>
      <c r="AF5151">
        <v>-4.4500843326993298</v>
      </c>
      <c r="AG5151">
        <v>-1.1211142696659999</v>
      </c>
      <c r="AH5151">
        <v>10.040833621167399</v>
      </c>
      <c r="AI5151">
        <v>95.828519878905297</v>
      </c>
      <c r="AJ5151">
        <v>113.90285851370299</v>
      </c>
      <c r="AK5151">
        <v>11.039859038128601</v>
      </c>
    </row>
    <row r="5152" spans="1:37" x14ac:dyDescent="0.2">
      <c r="A5152" t="str">
        <f>"20200111154202056"</f>
        <v>20200111154202056</v>
      </c>
      <c r="B5152" t="str">
        <f>"1578728522050636"</f>
        <v>1578728522050636</v>
      </c>
      <c r="C5152" t="s">
        <v>37</v>
      </c>
      <c r="D5152">
        <v>5.3316309999999998</v>
      </c>
      <c r="E5152">
        <v>0.43238569999999998</v>
      </c>
      <c r="F5152" t="s">
        <v>47</v>
      </c>
      <c r="G5152">
        <v>-194.6541</v>
      </c>
      <c r="H5152" s="1">
        <v>-5.3134619999999901E-6</v>
      </c>
      <c r="I5152">
        <v>-43.999580000000002</v>
      </c>
      <c r="J5152">
        <v>-198.78960000000001</v>
      </c>
      <c r="K5152">
        <v>1.121068</v>
      </c>
      <c r="L5152">
        <v>-54.169559999999997</v>
      </c>
      <c r="M5152">
        <v>0.71770440000000002</v>
      </c>
      <c r="N5152">
        <v>0</v>
      </c>
      <c r="O5152">
        <v>0.69618449999999998</v>
      </c>
      <c r="P5152">
        <v>0.53295930000000002</v>
      </c>
      <c r="Q5152">
        <v>4.118426E-2</v>
      </c>
      <c r="R5152">
        <v>0.84513799999999994</v>
      </c>
      <c r="S5152">
        <v>1.182358</v>
      </c>
      <c r="T5152">
        <v>-0.30499389999999998</v>
      </c>
      <c r="U5152">
        <v>2.8242189999999998</v>
      </c>
      <c r="V5152">
        <v>-0.2369387</v>
      </c>
      <c r="W5152">
        <v>4.9597710000000003E-2</v>
      </c>
      <c r="X5152">
        <v>0.97025779999999995</v>
      </c>
      <c r="Y5152">
        <v>-0.39385399999999998</v>
      </c>
      <c r="Z5152">
        <v>-5.4478020000000002E-2</v>
      </c>
      <c r="AA5152">
        <v>0.91755719999999996</v>
      </c>
      <c r="AB5152">
        <v>36</v>
      </c>
      <c r="AC5152">
        <v>4.1355000000000004</v>
      </c>
      <c r="AD5152">
        <v>-1.1210733134619999</v>
      </c>
      <c r="AE5152">
        <v>10.169979999999899</v>
      </c>
      <c r="AF5152">
        <v>-4.3748536375811602</v>
      </c>
      <c r="AG5152">
        <v>-1.1210733134619999</v>
      </c>
      <c r="AH5152">
        <v>9.9456861936823806</v>
      </c>
      <c r="AI5152">
        <v>95.890857290388595</v>
      </c>
      <c r="AJ5152">
        <v>113.74346939878799</v>
      </c>
      <c r="AK5152">
        <v>10.9230409496448</v>
      </c>
    </row>
    <row r="5153" spans="1:37" x14ac:dyDescent="0.2">
      <c r="A5153" t="str">
        <f>"20200111154202070"</f>
        <v>20200111154202070</v>
      </c>
      <c r="B5153" t="str">
        <f>"1578728522061371"</f>
        <v>1578728522061371</v>
      </c>
      <c r="C5153" t="s">
        <v>37</v>
      </c>
      <c r="D5153">
        <v>5.3157129999999997</v>
      </c>
      <c r="E5153">
        <v>0.43282369999999998</v>
      </c>
      <c r="F5153" t="s">
        <v>47</v>
      </c>
      <c r="G5153">
        <v>-194.52250000000001</v>
      </c>
      <c r="H5153" s="1">
        <v>-5.3837130000000004E-6</v>
      </c>
      <c r="I5153">
        <v>-43.798479999999998</v>
      </c>
      <c r="J5153">
        <v>-198.63099999999901</v>
      </c>
      <c r="K5153">
        <v>1.1210359999999999</v>
      </c>
      <c r="L5153">
        <v>-54.007779999999997</v>
      </c>
      <c r="M5153">
        <v>0.71271099999999998</v>
      </c>
      <c r="N5153">
        <v>0</v>
      </c>
      <c r="O5153">
        <v>0.70129560000000002</v>
      </c>
      <c r="P5153">
        <v>0.5271766</v>
      </c>
      <c r="Q5153">
        <v>4.1142989999999997E-2</v>
      </c>
      <c r="R5153">
        <v>0.84875919999999905</v>
      </c>
      <c r="S5153">
        <v>1.16449</v>
      </c>
      <c r="T5153">
        <v>-0.3059404</v>
      </c>
      <c r="U5153">
        <v>2.8302610000000001</v>
      </c>
      <c r="V5153">
        <v>-0.23662529999999901</v>
      </c>
      <c r="W5153">
        <v>4.958009E-2</v>
      </c>
      <c r="X5153">
        <v>0.97033510000000001</v>
      </c>
      <c r="Y5153">
        <v>-0.3929453</v>
      </c>
      <c r="Z5153">
        <v>-5.5314849999999999E-2</v>
      </c>
      <c r="AA5153">
        <v>0.91789669999999901</v>
      </c>
      <c r="AB5153">
        <v>36</v>
      </c>
      <c r="AC5153">
        <v>4.1084999999999603</v>
      </c>
      <c r="AD5153">
        <v>-1.121041383713</v>
      </c>
      <c r="AE5153">
        <v>10.209300000000001</v>
      </c>
      <c r="AF5153">
        <v>-4.3503644807730097</v>
      </c>
      <c r="AG5153">
        <v>-1.121041383713</v>
      </c>
      <c r="AH5153">
        <v>9.9854408237513699</v>
      </c>
      <c r="AI5153">
        <v>95.876406982052799</v>
      </c>
      <c r="AJ5153">
        <v>113.541348361424</v>
      </c>
      <c r="AK5153">
        <v>10.949494661590901</v>
      </c>
    </row>
    <row r="5154" spans="1:37" x14ac:dyDescent="0.2">
      <c r="A5154" t="str">
        <f>"20200111154202090"</f>
        <v>20200111154202090</v>
      </c>
      <c r="B5154" t="str">
        <f>"1578728522080894"</f>
        <v>1578728522080894</v>
      </c>
      <c r="C5154" t="s">
        <v>37</v>
      </c>
      <c r="D5154">
        <v>5.3674900000000001</v>
      </c>
      <c r="E5154">
        <v>0.43334430000000002</v>
      </c>
      <c r="F5154" t="s">
        <v>47</v>
      </c>
      <c r="G5154">
        <v>-194.47329999999999</v>
      </c>
      <c r="H5154" s="1">
        <v>-5.4012979999999998E-6</v>
      </c>
      <c r="I5154">
        <v>-43.74192</v>
      </c>
      <c r="J5154">
        <v>-198.41579999999999</v>
      </c>
      <c r="K5154">
        <v>1.120992</v>
      </c>
      <c r="L5154">
        <v>-53.784480000000002</v>
      </c>
      <c r="M5154">
        <v>0.70582639999999996</v>
      </c>
      <c r="N5154">
        <v>0</v>
      </c>
      <c r="O5154">
        <v>0.70822450000000003</v>
      </c>
      <c r="P5154">
        <v>0.51894410000000002</v>
      </c>
      <c r="Q5154">
        <v>4.109343E-2</v>
      </c>
      <c r="R5154">
        <v>0.85381980000000002</v>
      </c>
      <c r="S5154">
        <v>1.148666</v>
      </c>
      <c r="T5154">
        <v>-0.3097104</v>
      </c>
      <c r="U5154">
        <v>2.8361509999999899</v>
      </c>
      <c r="V5154">
        <v>-0.23652379999999901</v>
      </c>
      <c r="W5154">
        <v>4.9552939999999997E-2</v>
      </c>
      <c r="X5154">
        <v>0.97036129999999998</v>
      </c>
      <c r="Y5154">
        <v>-0.38906230000000003</v>
      </c>
      <c r="Z5154">
        <v>-5.699622E-2</v>
      </c>
      <c r="AA5154">
        <v>0.9194466</v>
      </c>
      <c r="AB5154">
        <v>36</v>
      </c>
      <c r="AC5154">
        <v>3.9424999999999901</v>
      </c>
      <c r="AD5154">
        <v>-1.120997401298</v>
      </c>
      <c r="AE5154">
        <v>10.04256</v>
      </c>
      <c r="AF5154">
        <v>-4.2507253175069302</v>
      </c>
      <c r="AG5154">
        <v>-1.120997401298</v>
      </c>
      <c r="AH5154">
        <v>9.7905313451809892</v>
      </c>
      <c r="AI5154">
        <v>95.995590379946606</v>
      </c>
      <c r="AJ5154">
        <v>113.468893313706</v>
      </c>
      <c r="AK5154">
        <v>10.7321854680015</v>
      </c>
    </row>
    <row r="5155" spans="1:37" x14ac:dyDescent="0.2">
      <c r="A5155" t="str">
        <f>"20200111154202105"</f>
        <v>20200111154202105</v>
      </c>
      <c r="B5155" t="str">
        <f>"1578728522101388"</f>
        <v>1578728522101388</v>
      </c>
      <c r="C5155" t="s">
        <v>37</v>
      </c>
      <c r="D5155">
        <v>5.3589789999999997</v>
      </c>
      <c r="E5155">
        <v>0.43370180000000003</v>
      </c>
      <c r="F5155" t="s">
        <v>47</v>
      </c>
      <c r="G5155">
        <v>-194.36259999999999</v>
      </c>
      <c r="H5155" s="1">
        <v>-5.4805789999999997E-6</v>
      </c>
      <c r="I5155">
        <v>-43.529429999999998</v>
      </c>
      <c r="J5155">
        <v>-198.2516</v>
      </c>
      <c r="K5155">
        <v>1.120959</v>
      </c>
      <c r="L5155">
        <v>-53.611419999999903</v>
      </c>
      <c r="M5155">
        <v>0.70049609999999995</v>
      </c>
      <c r="N5155">
        <v>0</v>
      </c>
      <c r="O5155">
        <v>0.7134973</v>
      </c>
      <c r="P5155">
        <v>0.51254690000000003</v>
      </c>
      <c r="Q5155">
        <v>4.0928319999999997E-2</v>
      </c>
      <c r="R5155">
        <v>0.85768330000000004</v>
      </c>
      <c r="S5155">
        <v>1.124512</v>
      </c>
      <c r="T5155">
        <v>-0.31100519999999998</v>
      </c>
      <c r="U5155">
        <v>2.8451230000000001</v>
      </c>
      <c r="V5155">
        <v>-0.23649819999999999</v>
      </c>
      <c r="W5155">
        <v>4.9403879999999997E-2</v>
      </c>
      <c r="X5155">
        <v>0.97037510000000005</v>
      </c>
      <c r="Y5155">
        <v>-0.38991209999999998</v>
      </c>
      <c r="Z5155">
        <v>-5.7852479999999998E-2</v>
      </c>
      <c r="AA5155">
        <v>0.91903299999999999</v>
      </c>
      <c r="AB5155">
        <v>36</v>
      </c>
      <c r="AC5155">
        <v>3.8889999999999998</v>
      </c>
      <c r="AD5155">
        <v>-1.120964480579</v>
      </c>
      <c r="AE5155">
        <v>10.0819899999999</v>
      </c>
      <c r="AF5155">
        <v>-4.2424374903022501</v>
      </c>
      <c r="AG5155">
        <v>-1.120964480579</v>
      </c>
      <c r="AH5155">
        <v>9.8132275897850203</v>
      </c>
      <c r="AI5155">
        <v>95.985655780337396</v>
      </c>
      <c r="AJ5155">
        <v>113.379709850251</v>
      </c>
      <c r="AK5155">
        <v>10.749617339922301</v>
      </c>
    </row>
    <row r="5156" spans="1:37" x14ac:dyDescent="0.2">
      <c r="A5156" t="str">
        <f>"20200111154202125"</f>
        <v>20200111154202125</v>
      </c>
      <c r="B5156" t="str">
        <f>"1578728522120907"</f>
        <v>1578728522120907</v>
      </c>
      <c r="C5156" t="s">
        <v>37</v>
      </c>
      <c r="D5156">
        <v>5.3649849999999999</v>
      </c>
      <c r="E5156">
        <v>0.43422709999999998</v>
      </c>
      <c r="F5156" t="s">
        <v>38</v>
      </c>
      <c r="G5156">
        <v>-197.84739999999999</v>
      </c>
      <c r="H5156">
        <v>1.0062139999999999</v>
      </c>
      <c r="I5156">
        <v>-52.569290000000002</v>
      </c>
      <c r="J5156">
        <v>-198.042</v>
      </c>
      <c r="K5156">
        <v>1.120916</v>
      </c>
      <c r="L5156">
        <v>-53.38635</v>
      </c>
      <c r="M5156">
        <v>0.69358549999999997</v>
      </c>
      <c r="N5156">
        <v>0</v>
      </c>
      <c r="O5156">
        <v>0.72021709999999906</v>
      </c>
      <c r="P5156">
        <v>0.50427559999999905</v>
      </c>
      <c r="Q5156">
        <v>4.1216490000000001E-2</v>
      </c>
      <c r="R5156">
        <v>0.86255859999999995</v>
      </c>
      <c r="S5156">
        <v>1.105804</v>
      </c>
      <c r="T5156">
        <v>-0.31399260000000001</v>
      </c>
      <c r="U5156">
        <v>2.8519589999999999</v>
      </c>
      <c r="V5156">
        <v>-0.23646539999999999</v>
      </c>
      <c r="W5156">
        <v>4.9713920000000002E-2</v>
      </c>
      <c r="X5156">
        <v>0.97036730000000004</v>
      </c>
      <c r="Y5156">
        <v>-0.38705099999999998</v>
      </c>
      <c r="Z5156">
        <v>-5.9355680000000001E-2</v>
      </c>
      <c r="AA5156">
        <v>0.92014589999999996</v>
      </c>
      <c r="AB5156">
        <v>35</v>
      </c>
      <c r="AC5156">
        <v>0.19460000000000799</v>
      </c>
      <c r="AD5156">
        <v>-0.114702</v>
      </c>
      <c r="AE5156">
        <v>0.81705999999999701</v>
      </c>
      <c r="AF5156">
        <v>-0.41878481940076401</v>
      </c>
      <c r="AG5156">
        <v>-0.114702</v>
      </c>
      <c r="AH5156">
        <v>0.710267971675836</v>
      </c>
      <c r="AI5156">
        <v>97.919635855798106</v>
      </c>
      <c r="AJ5156">
        <v>120.524249288641</v>
      </c>
      <c r="AK5156">
        <v>0.83247694583876397</v>
      </c>
    </row>
    <row r="5157" spans="1:37" x14ac:dyDescent="0.2">
      <c r="A5157" t="str">
        <f>"20200111154202145"</f>
        <v>20200111154202145</v>
      </c>
      <c r="B5157" t="str">
        <f>"1578728522141177"</f>
        <v>1578728522141177</v>
      </c>
      <c r="C5157" t="s">
        <v>37</v>
      </c>
      <c r="D5157">
        <v>5.3557600000000001</v>
      </c>
      <c r="E5157">
        <v>0.43467109999999898</v>
      </c>
      <c r="F5157" t="s">
        <v>38</v>
      </c>
      <c r="G5157">
        <v>-197.64529999999999</v>
      </c>
      <c r="H5157">
        <v>1.0056889999999901</v>
      </c>
      <c r="I5157">
        <v>-52.337800000000001</v>
      </c>
      <c r="J5157">
        <v>-197.82589999999999</v>
      </c>
      <c r="K5157">
        <v>1.120862</v>
      </c>
      <c r="L5157">
        <v>-53.149540000000002</v>
      </c>
      <c r="M5157">
        <v>0.68634450000000002</v>
      </c>
      <c r="N5157">
        <v>0</v>
      </c>
      <c r="O5157">
        <v>0.72712109999999996</v>
      </c>
      <c r="P5157">
        <v>0.49557559999999901</v>
      </c>
      <c r="Q5157">
        <v>4.2005830000000001E-2</v>
      </c>
      <c r="R5157">
        <v>0.86754849999999994</v>
      </c>
      <c r="S5157">
        <v>1.0821379999999901</v>
      </c>
      <c r="T5157">
        <v>-0.31432599999999999</v>
      </c>
      <c r="U5157">
        <v>2.8604129999999999</v>
      </c>
      <c r="V5157">
        <v>-0.23650109999999999</v>
      </c>
      <c r="W5157">
        <v>5.052591E-2</v>
      </c>
      <c r="X5157">
        <v>0.97031659999999997</v>
      </c>
      <c r="Y5157">
        <v>-0.38540479999999999</v>
      </c>
      <c r="Z5157">
        <v>-6.0348640000000002E-2</v>
      </c>
      <c r="AA5157">
        <v>0.92077209999999998</v>
      </c>
      <c r="AB5157">
        <v>35</v>
      </c>
      <c r="AC5157">
        <v>0.18059999999999801</v>
      </c>
      <c r="AD5157">
        <v>-0.115173</v>
      </c>
      <c r="AE5157">
        <v>0.81174000000000002</v>
      </c>
      <c r="AF5157">
        <v>-0.41784836064796999</v>
      </c>
      <c r="AG5157">
        <v>-0.115173</v>
      </c>
      <c r="AH5157">
        <v>0.70082490859382096</v>
      </c>
      <c r="AI5157">
        <v>98.034466422214393</v>
      </c>
      <c r="AJ5157">
        <v>120.80439518147701</v>
      </c>
      <c r="AK5157">
        <v>0.82402525745921995</v>
      </c>
    </row>
    <row r="5158" spans="1:37" x14ac:dyDescent="0.2">
      <c r="A5158" t="str">
        <f>"20200111154202168"</f>
        <v>20200111154202168</v>
      </c>
      <c r="B5158" t="str">
        <f>"1578728522160696"</f>
        <v>1578728522160696</v>
      </c>
      <c r="C5158" t="s">
        <v>37</v>
      </c>
      <c r="D5158">
        <v>5.3838919999999897</v>
      </c>
      <c r="E5158">
        <v>0.43542259999999999</v>
      </c>
      <c r="F5158" t="s">
        <v>38</v>
      </c>
      <c r="G5158">
        <v>-197.43360000000001</v>
      </c>
      <c r="H5158">
        <v>1.0048109999999999</v>
      </c>
      <c r="I5158">
        <v>-52.084559999999897</v>
      </c>
      <c r="J5158">
        <v>-197.58340000000001</v>
      </c>
      <c r="K5158">
        <v>1.12079</v>
      </c>
      <c r="L5158">
        <v>-52.8780199999999</v>
      </c>
      <c r="M5158">
        <v>0.67809079999999999</v>
      </c>
      <c r="N5158">
        <v>0</v>
      </c>
      <c r="O5158">
        <v>0.734824699999999</v>
      </c>
      <c r="P5158">
        <v>0.48567299999999902</v>
      </c>
      <c r="Q5158">
        <v>4.2554370000000001E-2</v>
      </c>
      <c r="R5158">
        <v>0.8731042</v>
      </c>
      <c r="S5158">
        <v>1.0567169999999999</v>
      </c>
      <c r="T5158">
        <v>-0.31267449999999902</v>
      </c>
      <c r="U5158">
        <v>2.869507</v>
      </c>
      <c r="V5158">
        <v>-0.236571</v>
      </c>
      <c r="W5158">
        <v>5.1102130000000003E-2</v>
      </c>
      <c r="X5158">
        <v>0.97026939999999995</v>
      </c>
      <c r="Y5158">
        <v>-0.38312869999999999</v>
      </c>
      <c r="Z5158">
        <v>-6.108098E-2</v>
      </c>
      <c r="AA5158">
        <v>0.92167319999999997</v>
      </c>
      <c r="AB5158">
        <v>35</v>
      </c>
      <c r="AC5158">
        <v>0.14979999999999899</v>
      </c>
      <c r="AD5158">
        <v>-0.115978999999999</v>
      </c>
      <c r="AE5158">
        <v>0.79345999999999595</v>
      </c>
      <c r="AF5158">
        <v>-0.41935810759526798</v>
      </c>
      <c r="AG5158">
        <v>-0.115978999999999</v>
      </c>
      <c r="AH5158">
        <v>0.670869211321937</v>
      </c>
      <c r="AI5158">
        <v>98.339842579590197</v>
      </c>
      <c r="AJ5158">
        <v>122.009365832269</v>
      </c>
      <c r="AK5158">
        <v>0.79961106142086502</v>
      </c>
    </row>
    <row r="5159" spans="1:37" x14ac:dyDescent="0.2">
      <c r="A5159" t="str">
        <f>"20200111154202190"</f>
        <v>20200111154202190</v>
      </c>
      <c r="B5159" t="str">
        <f>"1578728522181192"</f>
        <v>1578728522181192</v>
      </c>
      <c r="C5159" t="s">
        <v>37</v>
      </c>
      <c r="D5159">
        <v>5.3360379999999896</v>
      </c>
      <c r="E5159">
        <v>0.43578050000000002</v>
      </c>
      <c r="F5159" t="s">
        <v>47</v>
      </c>
      <c r="G5159">
        <v>-193.87049999999999</v>
      </c>
      <c r="H5159" s="1">
        <v>-5.8740029999999999E-6</v>
      </c>
      <c r="I5159">
        <v>-42.496789999999997</v>
      </c>
      <c r="J5159">
        <v>-197.351</v>
      </c>
      <c r="K5159">
        <v>1.1207049999999901</v>
      </c>
      <c r="L5159">
        <v>-52.61206</v>
      </c>
      <c r="M5159">
        <v>0.6700583</v>
      </c>
      <c r="N5159">
        <v>0</v>
      </c>
      <c r="O5159">
        <v>0.74215679999999995</v>
      </c>
      <c r="P5159">
        <v>0.4761205</v>
      </c>
      <c r="Q5159">
        <v>4.3105570000000003E-2</v>
      </c>
      <c r="R5159">
        <v>0.87832299999999996</v>
      </c>
      <c r="S5159">
        <v>1.0295099999999999</v>
      </c>
      <c r="T5159">
        <v>-0.31077149999999998</v>
      </c>
      <c r="U5159">
        <v>2.878479</v>
      </c>
      <c r="V5159">
        <v>-0.23658609999999999</v>
      </c>
      <c r="W5159">
        <v>5.1685019999999998E-2</v>
      </c>
      <c r="X5159">
        <v>0.97023490000000001</v>
      </c>
      <c r="Y5159">
        <v>-0.38172489999999998</v>
      </c>
      <c r="Z5159">
        <v>-6.1685039999999997E-2</v>
      </c>
      <c r="AA5159">
        <v>0.92221529999999996</v>
      </c>
      <c r="AB5159">
        <v>35</v>
      </c>
      <c r="AC5159">
        <v>3.4805000000000001</v>
      </c>
      <c r="AD5159">
        <v>-1.1207108740029901</v>
      </c>
      <c r="AE5159">
        <v>10.115269999999899</v>
      </c>
      <c r="AF5159">
        <v>-4.1496701091508896</v>
      </c>
      <c r="AG5159">
        <v>-1.1207108740029901</v>
      </c>
      <c r="AH5159">
        <v>9.7335286177512597</v>
      </c>
      <c r="AI5159">
        <v>96.045970543356404</v>
      </c>
      <c r="AJ5159">
        <v>113.08988079134301</v>
      </c>
      <c r="AK5159">
        <v>10.640363444472699</v>
      </c>
    </row>
    <row r="5160" spans="1:37" x14ac:dyDescent="0.2">
      <c r="A5160" t="str">
        <f>"20200111154202213"</f>
        <v>20200111154202213</v>
      </c>
      <c r="B5160" t="str">
        <f>"1578728522200715"</f>
        <v>1578728522200715</v>
      </c>
      <c r="C5160" t="s">
        <v>37</v>
      </c>
      <c r="D5160">
        <v>5.365685</v>
      </c>
      <c r="E5160">
        <v>0.4428164</v>
      </c>
      <c r="F5160" t="s">
        <v>47</v>
      </c>
      <c r="G5160">
        <v>-193.7192</v>
      </c>
      <c r="H5160" s="1">
        <v>-5.9997069999999902E-6</v>
      </c>
      <c r="I5160">
        <v>-42.131859999999897</v>
      </c>
      <c r="J5160">
        <v>-197.1301</v>
      </c>
      <c r="K5160">
        <v>1.120622</v>
      </c>
      <c r="L5160">
        <v>-52.353999999999999</v>
      </c>
      <c r="M5160">
        <v>0.66232559999999996</v>
      </c>
      <c r="N5160">
        <v>0</v>
      </c>
      <c r="O5160">
        <v>0.74906609999999996</v>
      </c>
      <c r="P5160">
        <v>0.46750340000000001</v>
      </c>
      <c r="Q5160">
        <v>4.2726420000000001E-2</v>
      </c>
      <c r="R5160">
        <v>0.88295809999999997</v>
      </c>
      <c r="S5160">
        <v>1.0008699999999999</v>
      </c>
      <c r="T5160">
        <v>-0.30885759999999901</v>
      </c>
      <c r="U5160">
        <v>2.888245</v>
      </c>
      <c r="V5160">
        <v>-0.23600850000000001</v>
      </c>
      <c r="W5160">
        <v>5.1356899999999997E-2</v>
      </c>
      <c r="X5160">
        <v>0.9703929</v>
      </c>
      <c r="Y5160">
        <v>-0.38127539999999999</v>
      </c>
      <c r="Z5160">
        <v>-6.2178999999999998E-2</v>
      </c>
      <c r="AA5160">
        <v>0.92236799999999997</v>
      </c>
      <c r="AB5160">
        <v>35</v>
      </c>
      <c r="AC5160">
        <v>3.4108999999999901</v>
      </c>
      <c r="AD5160">
        <v>-1.1206279997070001</v>
      </c>
      <c r="AE5160">
        <v>10.22214</v>
      </c>
      <c r="AF5160">
        <v>-4.1707660385517897</v>
      </c>
      <c r="AG5160">
        <v>-1.1206279997070001</v>
      </c>
      <c r="AH5160">
        <v>9.8111998875889199</v>
      </c>
      <c r="AI5160">
        <v>96.000646113692198</v>
      </c>
      <c r="AJ5160">
        <v>113.030468322202</v>
      </c>
      <c r="AK5160">
        <v>10.7196427037606</v>
      </c>
    </row>
    <row r="5161" spans="1:37" x14ac:dyDescent="0.2">
      <c r="A5161" t="str">
        <f>"20200111154202234"</f>
        <v>20200111154202234</v>
      </c>
      <c r="B5161" t="str">
        <f>"1578728522230968"</f>
        <v>1578728522230968</v>
      </c>
      <c r="C5161" t="s">
        <v>37</v>
      </c>
      <c r="D5161">
        <v>5.4322759999999999</v>
      </c>
      <c r="E5161">
        <v>0.4430905</v>
      </c>
      <c r="F5161" t="s">
        <v>47</v>
      </c>
      <c r="G5161">
        <v>-193.43099999999899</v>
      </c>
      <c r="H5161" s="1">
        <v>-6.0239290000000002E-6</v>
      </c>
      <c r="I5161">
        <v>-41.962629999999997</v>
      </c>
      <c r="J5161">
        <v>-196.91460000000001</v>
      </c>
      <c r="K5161">
        <v>1.1205229999999999</v>
      </c>
      <c r="L5161">
        <v>-52.097020000000001</v>
      </c>
      <c r="M5161">
        <v>0.65469460000000002</v>
      </c>
      <c r="N5161">
        <v>0</v>
      </c>
      <c r="O5161">
        <v>0.75574519999999901</v>
      </c>
      <c r="P5161">
        <v>0.45924149999999903</v>
      </c>
      <c r="Q5161">
        <v>4.226307E-2</v>
      </c>
      <c r="R5161">
        <v>0.88730549999999997</v>
      </c>
      <c r="S5161">
        <v>1.022186</v>
      </c>
      <c r="T5161">
        <v>-0.30966100000000002</v>
      </c>
      <c r="U5161">
        <v>2.871429</v>
      </c>
      <c r="V5161">
        <v>-0.23521420000000001</v>
      </c>
      <c r="W5161">
        <v>5.0954029999999997E-2</v>
      </c>
      <c r="X5161">
        <v>0.970607</v>
      </c>
      <c r="Y5161">
        <v>-0.36412949999999999</v>
      </c>
      <c r="Z5161">
        <v>-6.3980040000000002E-2</v>
      </c>
      <c r="AA5161">
        <v>0.92914809999999903</v>
      </c>
      <c r="AB5161">
        <v>35</v>
      </c>
      <c r="AC5161">
        <v>3.48360000000002</v>
      </c>
      <c r="AD5161">
        <v>-1.120529023929</v>
      </c>
      <c r="AE5161">
        <v>10.13439</v>
      </c>
      <c r="AF5161">
        <v>-3.9593763741742798</v>
      </c>
      <c r="AG5161">
        <v>-1.120529023929</v>
      </c>
      <c r="AH5161">
        <v>9.83331522364435</v>
      </c>
      <c r="AI5161">
        <v>96.034056032789906</v>
      </c>
      <c r="AJ5161">
        <v>111.93214086767399</v>
      </c>
      <c r="AK5161">
        <v>10.6595654157846</v>
      </c>
    </row>
    <row r="5162" spans="1:37" x14ac:dyDescent="0.2">
      <c r="A5162" t="str">
        <f>"20200111154202258"</f>
        <v>20200111154202258</v>
      </c>
      <c r="B5162" t="str">
        <f>"1578728522251464"</f>
        <v>1578728522251464</v>
      </c>
      <c r="C5162" t="s">
        <v>37</v>
      </c>
      <c r="D5162">
        <v>5.3718029999999999</v>
      </c>
      <c r="E5162">
        <v>0.44372790000000001</v>
      </c>
      <c r="F5162" t="s">
        <v>47</v>
      </c>
      <c r="G5162">
        <v>-193.34630000000001</v>
      </c>
      <c r="H5162" s="1">
        <v>-6.0724690000000001E-6</v>
      </c>
      <c r="I5162">
        <v>-41.789180000000002</v>
      </c>
      <c r="J5162">
        <v>-196.6799</v>
      </c>
      <c r="K5162">
        <v>1.120404</v>
      </c>
      <c r="L5162">
        <v>-51.811250000000001</v>
      </c>
      <c r="M5162">
        <v>0.64629950000000003</v>
      </c>
      <c r="N5162">
        <v>0</v>
      </c>
      <c r="O5162">
        <v>0.76293739999999999</v>
      </c>
      <c r="P5162">
        <v>0.45020379999999899</v>
      </c>
      <c r="Q5162">
        <v>4.1506889999999998E-2</v>
      </c>
      <c r="R5162">
        <v>0.89196059999999999</v>
      </c>
      <c r="S5162">
        <v>0.9969635</v>
      </c>
      <c r="T5162">
        <v>-0.31306889999999998</v>
      </c>
      <c r="U5162">
        <v>2.8799440000000001</v>
      </c>
      <c r="V5162">
        <v>-0.2343327</v>
      </c>
      <c r="W5162">
        <v>5.0268750000000001E-2</v>
      </c>
      <c r="X5162">
        <v>0.97085599999999905</v>
      </c>
      <c r="Y5162">
        <v>-0.361983099999999</v>
      </c>
      <c r="Z5162">
        <v>-6.5659480000000006E-2</v>
      </c>
      <c r="AA5162">
        <v>0.92986939999999996</v>
      </c>
      <c r="AB5162">
        <v>35</v>
      </c>
      <c r="AC5162">
        <v>3.3335999999999899</v>
      </c>
      <c r="AD5162">
        <v>-1.120410072469</v>
      </c>
      <c r="AE5162">
        <v>10.022069999999999</v>
      </c>
      <c r="AF5162">
        <v>-3.8905898071607998</v>
      </c>
      <c r="AG5162">
        <v>-1.120410072469</v>
      </c>
      <c r="AH5162">
        <v>9.6927395811117201</v>
      </c>
      <c r="AI5162">
        <v>96.122907503606896</v>
      </c>
      <c r="AJ5162">
        <v>111.870139961315</v>
      </c>
      <c r="AK5162">
        <v>10.5043423575835</v>
      </c>
    </row>
    <row r="5163" spans="1:37" x14ac:dyDescent="0.2">
      <c r="A5163" t="str">
        <f>"20200111154202282"</f>
        <v>20200111154202282</v>
      </c>
      <c r="B5163" t="str">
        <f>"1578728522271001"</f>
        <v>1578728522271001</v>
      </c>
      <c r="C5163" t="s">
        <v>37</v>
      </c>
      <c r="D5163">
        <v>5.3819549999999996</v>
      </c>
      <c r="E5163">
        <v>0.44447429999999899</v>
      </c>
      <c r="F5163" t="s">
        <v>47</v>
      </c>
      <c r="G5163">
        <v>-193.22200000000001</v>
      </c>
      <c r="H5163" s="1">
        <v>-6.1415989999999902E-6</v>
      </c>
      <c r="I5163">
        <v>-41.540889999999997</v>
      </c>
      <c r="J5163">
        <v>-196.4435</v>
      </c>
      <c r="K5163">
        <v>1.120285</v>
      </c>
      <c r="L5163">
        <v>-51.517029999999998</v>
      </c>
      <c r="M5163">
        <v>0.63775999999999999</v>
      </c>
      <c r="N5163">
        <v>0</v>
      </c>
      <c r="O5163">
        <v>0.77009050000000001</v>
      </c>
      <c r="P5163">
        <v>0.440837799999999</v>
      </c>
      <c r="Q5163">
        <v>4.1724570000000002E-2</v>
      </c>
      <c r="R5163">
        <v>0.89661650000000004</v>
      </c>
      <c r="S5163">
        <v>0.97215269999999998</v>
      </c>
      <c r="T5163">
        <v>-0.31498680000000001</v>
      </c>
      <c r="U5163">
        <v>2.8873599999999899</v>
      </c>
      <c r="V5163">
        <v>-0.23366629999999999</v>
      </c>
      <c r="W5163">
        <v>5.055639E-2</v>
      </c>
      <c r="X5163">
        <v>0.97100159999999902</v>
      </c>
      <c r="Y5163">
        <v>-0.35952299999999998</v>
      </c>
      <c r="Z5163">
        <v>-6.7068320000000001E-2</v>
      </c>
      <c r="AA5163">
        <v>0.93072289999999902</v>
      </c>
      <c r="AB5163">
        <v>35</v>
      </c>
      <c r="AC5163">
        <v>3.22149999999999</v>
      </c>
      <c r="AD5163">
        <v>-1.120291141599</v>
      </c>
      <c r="AE5163">
        <v>9.9761399999999902</v>
      </c>
      <c r="AF5163">
        <v>-3.83813821783958</v>
      </c>
      <c r="AG5163">
        <v>-1.120291141599</v>
      </c>
      <c r="AH5163">
        <v>9.6282072029856192</v>
      </c>
      <c r="AI5163">
        <v>96.168799455688898</v>
      </c>
      <c r="AJ5163">
        <v>111.73394534734</v>
      </c>
      <c r="AK5163">
        <v>10.4253887776336</v>
      </c>
    </row>
    <row r="5164" spans="1:37" x14ac:dyDescent="0.2">
      <c r="A5164" t="str">
        <f>"20200111154202304"</f>
        <v>20200111154202304</v>
      </c>
      <c r="B5164" t="str">
        <f>"1578728522301241"</f>
        <v>1578728522301241</v>
      </c>
      <c r="C5164" t="s">
        <v>37</v>
      </c>
      <c r="D5164">
        <v>5.3263030000000002</v>
      </c>
      <c r="E5164">
        <v>0.44547520000000002</v>
      </c>
      <c r="F5164" t="s">
        <v>47</v>
      </c>
      <c r="G5164">
        <v>-193.05889999999999</v>
      </c>
      <c r="H5164" s="1">
        <v>-6.2459479999999901E-6</v>
      </c>
      <c r="I5164">
        <v>-41.174370000000003</v>
      </c>
      <c r="J5164">
        <v>-196.24029999999999</v>
      </c>
      <c r="K5164">
        <v>1.1201729999999901</v>
      </c>
      <c r="L5164">
        <v>-51.25864</v>
      </c>
      <c r="M5164">
        <v>0.6303685</v>
      </c>
      <c r="N5164">
        <v>0</v>
      </c>
      <c r="O5164">
        <v>0.77615290000000003</v>
      </c>
      <c r="P5164">
        <v>0.43326940000000003</v>
      </c>
      <c r="Q5164">
        <v>4.2058239999999997E-2</v>
      </c>
      <c r="R5164">
        <v>0.90028259999999904</v>
      </c>
      <c r="S5164">
        <v>0.94728089999999998</v>
      </c>
      <c r="T5164">
        <v>-0.31355159999999999</v>
      </c>
      <c r="U5164">
        <v>2.8947449999999999</v>
      </c>
      <c r="V5164">
        <v>-0.23254449999999999</v>
      </c>
      <c r="W5164">
        <v>5.0967829999999999E-2</v>
      </c>
      <c r="X5164">
        <v>0.97124929999999998</v>
      </c>
      <c r="Y5164">
        <v>-0.35853239999999997</v>
      </c>
      <c r="Z5164">
        <v>-6.7579440000000005E-2</v>
      </c>
      <c r="AA5164">
        <v>0.93106789999999995</v>
      </c>
      <c r="AB5164">
        <v>35</v>
      </c>
      <c r="AC5164">
        <v>3.1813999999999898</v>
      </c>
      <c r="AD5164">
        <v>-1.12017924594799</v>
      </c>
      <c r="AE5164">
        <v>10.084269999999901</v>
      </c>
      <c r="AF5164">
        <v>-3.8448376584822901</v>
      </c>
      <c r="AG5164">
        <v>-1.12017924594799</v>
      </c>
      <c r="AH5164">
        <v>9.7243534171330008</v>
      </c>
      <c r="AI5164">
        <v>96.1144303115653</v>
      </c>
      <c r="AJ5164">
        <v>111.57296751866301</v>
      </c>
      <c r="AK5164">
        <v>10.516683295813399</v>
      </c>
    </row>
    <row r="5165" spans="1:37" x14ac:dyDescent="0.2">
      <c r="A5165" t="str">
        <f>"20200111154202326"</f>
        <v>20200111154202326</v>
      </c>
      <c r="B5165" t="str">
        <f>"1578728522320760"</f>
        <v>1578728522320760</v>
      </c>
      <c r="C5165" t="s">
        <v>37</v>
      </c>
      <c r="D5165">
        <v>5.351127</v>
      </c>
      <c r="E5165">
        <v>0.44590600000000002</v>
      </c>
      <c r="F5165" t="s">
        <v>47</v>
      </c>
      <c r="G5165">
        <v>-192.88579999999999</v>
      </c>
      <c r="H5165" s="1">
        <v>-6.351404E-6</v>
      </c>
      <c r="I5165">
        <v>-40.801169999999999</v>
      </c>
      <c r="J5165">
        <v>-196.02969999999999</v>
      </c>
      <c r="K5165">
        <v>1.1200509999999999</v>
      </c>
      <c r="L5165">
        <v>-50.985230000000001</v>
      </c>
      <c r="M5165">
        <v>0.62265409999999999</v>
      </c>
      <c r="N5165">
        <v>0</v>
      </c>
      <c r="O5165">
        <v>0.78235569999999999</v>
      </c>
      <c r="P5165">
        <v>0.4246357</v>
      </c>
      <c r="Q5165">
        <v>4.267017E-2</v>
      </c>
      <c r="R5165">
        <v>0.9043582</v>
      </c>
      <c r="S5165">
        <v>0.9300079</v>
      </c>
      <c r="T5165">
        <v>-0.31055899999999997</v>
      </c>
      <c r="U5165">
        <v>2.8992309999999999</v>
      </c>
      <c r="V5165">
        <v>-0.23220160000000001</v>
      </c>
      <c r="W5165">
        <v>5.1640249999999999E-2</v>
      </c>
      <c r="X5165">
        <v>0.97129589999999999</v>
      </c>
      <c r="Y5165">
        <v>-0.35473969999999999</v>
      </c>
      <c r="Z5165">
        <v>-6.7869330000000005E-2</v>
      </c>
      <c r="AA5165">
        <v>0.93249859999999896</v>
      </c>
      <c r="AB5165">
        <v>35</v>
      </c>
      <c r="AC5165">
        <v>3.1438999999999999</v>
      </c>
      <c r="AD5165">
        <v>-1.120057351404</v>
      </c>
      <c r="AE5165">
        <v>10.184060000000001</v>
      </c>
      <c r="AF5165">
        <v>-3.8395267665763502</v>
      </c>
      <c r="AG5165">
        <v>-1.120057351404</v>
      </c>
      <c r="AH5165">
        <v>9.8177961843883796</v>
      </c>
      <c r="AI5165">
        <v>96.064832898850995</v>
      </c>
      <c r="AJ5165">
        <v>111.35938823048301</v>
      </c>
      <c r="AK5165">
        <v>10.601208241510999</v>
      </c>
    </row>
    <row r="5166" spans="1:37" x14ac:dyDescent="0.2">
      <c r="A5166" t="str">
        <f>"20200111154202348"</f>
        <v>20200111154202348</v>
      </c>
      <c r="B5166" t="str">
        <f>"1578728522340951"</f>
        <v>1578728522340951</v>
      </c>
      <c r="C5166" t="s">
        <v>37</v>
      </c>
      <c r="D5166">
        <v>5.3671150000000001</v>
      </c>
      <c r="E5166">
        <v>0.44636490000000001</v>
      </c>
      <c r="F5166" t="s">
        <v>47</v>
      </c>
      <c r="G5166">
        <v>-192.74119999999999</v>
      </c>
      <c r="H5166" s="1">
        <v>-6.4582009999999997E-6</v>
      </c>
      <c r="I5166">
        <v>-40.433529999999998</v>
      </c>
      <c r="J5166">
        <v>-195.8159</v>
      </c>
      <c r="K5166">
        <v>1.1199299999999901</v>
      </c>
      <c r="L5166">
        <v>-50.701970000000003</v>
      </c>
      <c r="M5166">
        <v>0.61475780000000002</v>
      </c>
      <c r="N5166">
        <v>0</v>
      </c>
      <c r="O5166">
        <v>0.7885759</v>
      </c>
      <c r="P5166">
        <v>0.41564600000000002</v>
      </c>
      <c r="Q5166">
        <v>4.3025269999999997E-2</v>
      </c>
      <c r="R5166">
        <v>0.90850819999999999</v>
      </c>
      <c r="S5166">
        <v>0.90583799999999903</v>
      </c>
      <c r="T5166">
        <v>-0.30852259999999998</v>
      </c>
      <c r="U5166">
        <v>2.9064939999999999</v>
      </c>
      <c r="V5166">
        <v>-0.232050799999999</v>
      </c>
      <c r="W5166">
        <v>5.20493E-2</v>
      </c>
      <c r="X5166">
        <v>0.97131009999999995</v>
      </c>
      <c r="Y5166">
        <v>-0.3530741</v>
      </c>
      <c r="Z5166">
        <v>-6.8265199999999998E-2</v>
      </c>
      <c r="AA5166">
        <v>0.93310159999999998</v>
      </c>
      <c r="AB5166">
        <v>35</v>
      </c>
      <c r="AC5166">
        <v>3.0747</v>
      </c>
      <c r="AD5166">
        <v>-1.1199364582009901</v>
      </c>
      <c r="AE5166">
        <v>10.26844</v>
      </c>
      <c r="AF5166">
        <v>-3.84640908551598</v>
      </c>
      <c r="AG5166">
        <v>-1.1199364582009901</v>
      </c>
      <c r="AH5166">
        <v>9.8808779338389598</v>
      </c>
      <c r="AI5166">
        <v>96.0294011388184</v>
      </c>
      <c r="AJ5166">
        <v>111.269872077831</v>
      </c>
      <c r="AK5166">
        <v>10.6621231125406</v>
      </c>
    </row>
    <row r="5167" spans="1:37" x14ac:dyDescent="0.2">
      <c r="A5167" t="str">
        <f>"20200111154202372"</f>
        <v>20200111154202372</v>
      </c>
      <c r="B5167" t="str">
        <f>"1578728522360471"</f>
        <v>1578728522360471</v>
      </c>
      <c r="C5167" t="s">
        <v>37</v>
      </c>
      <c r="D5167">
        <v>5.3621439999999998</v>
      </c>
      <c r="E5167">
        <v>0.44676919999999998</v>
      </c>
      <c r="F5167" t="s">
        <v>39</v>
      </c>
      <c r="G5167">
        <v>-192.61070000000001</v>
      </c>
      <c r="H5167" s="1">
        <v>-8.2809889999999999E-7</v>
      </c>
      <c r="I5167">
        <v>-40.099820000000001</v>
      </c>
      <c r="J5167">
        <v>-195.60230000000001</v>
      </c>
      <c r="K5167">
        <v>1.1198090000000001</v>
      </c>
      <c r="L5167">
        <v>-50.413150000000002</v>
      </c>
      <c r="M5167">
        <v>0.60680710000000004</v>
      </c>
      <c r="N5167">
        <v>0</v>
      </c>
      <c r="O5167">
        <v>0.79471069999999999</v>
      </c>
      <c r="P5167">
        <v>0.40678389999999998</v>
      </c>
      <c r="Q5167">
        <v>4.3563329999999997E-2</v>
      </c>
      <c r="R5167">
        <v>0.91248510000000005</v>
      </c>
      <c r="S5167">
        <v>0.88084409999999902</v>
      </c>
      <c r="T5167">
        <v>-0.30778099999999903</v>
      </c>
      <c r="U5167">
        <v>2.9136959999999998</v>
      </c>
      <c r="V5167">
        <v>-0.23172899999999999</v>
      </c>
      <c r="W5167">
        <v>5.2645480000000001E-2</v>
      </c>
      <c r="X5167">
        <v>0.97135479999999996</v>
      </c>
      <c r="Y5167">
        <v>-0.35165930000000001</v>
      </c>
      <c r="Z5167">
        <v>-6.892218E-2</v>
      </c>
      <c r="AA5167">
        <v>0.93358739999999996</v>
      </c>
      <c r="AB5167">
        <v>35</v>
      </c>
      <c r="AC5167">
        <v>2.9916</v>
      </c>
      <c r="AD5167">
        <v>-1.1198098280989</v>
      </c>
      <c r="AE5167">
        <v>10.313330000000001</v>
      </c>
      <c r="AF5167">
        <v>-3.8394210269663001</v>
      </c>
      <c r="AG5167">
        <v>-1.1198098280989</v>
      </c>
      <c r="AH5167">
        <v>9.9048305257325406</v>
      </c>
      <c r="AI5167">
        <v>96.017571825324097</v>
      </c>
      <c r="AJ5167">
        <v>111.18788343769199</v>
      </c>
      <c r="AK5167">
        <v>10.6817973963608</v>
      </c>
    </row>
    <row r="5168" spans="1:37" x14ac:dyDescent="0.2">
      <c r="A5168" t="str">
        <f>"20200111154202392"</f>
        <v>20200111154202392</v>
      </c>
      <c r="B5168" t="str">
        <f>"1578728522380978"</f>
        <v>1578728522380978</v>
      </c>
      <c r="C5168" t="s">
        <v>37</v>
      </c>
      <c r="D5168">
        <v>5.3409440000000004</v>
      </c>
      <c r="E5168">
        <v>0.45374140000000002</v>
      </c>
      <c r="F5168" t="s">
        <v>39</v>
      </c>
      <c r="G5168">
        <v>-192.4769</v>
      </c>
      <c r="H5168" s="1">
        <v>-9.4689020000000001E-7</v>
      </c>
      <c r="I5168">
        <v>-39.739919999999998</v>
      </c>
      <c r="J5168">
        <v>-195.41309999999999</v>
      </c>
      <c r="K5168">
        <v>1.119702</v>
      </c>
      <c r="L5168">
        <v>-50.152340000000002</v>
      </c>
      <c r="M5168">
        <v>0.59971399999999997</v>
      </c>
      <c r="N5168">
        <v>0</v>
      </c>
      <c r="O5168">
        <v>0.80007729999999999</v>
      </c>
      <c r="P5168">
        <v>0.39923940000000002</v>
      </c>
      <c r="Q5168">
        <v>4.4049129999999999E-2</v>
      </c>
      <c r="R5168">
        <v>0.91578799999999905</v>
      </c>
      <c r="S5168">
        <v>0.85534669999999902</v>
      </c>
      <c r="T5168">
        <v>-0.30646999999999902</v>
      </c>
      <c r="U5168">
        <v>2.9210509999999998</v>
      </c>
      <c r="V5168">
        <v>-0.23108629999999999</v>
      </c>
      <c r="W5168">
        <v>5.3194030000000003E-2</v>
      </c>
      <c r="X5168">
        <v>0.97147799999999995</v>
      </c>
      <c r="Y5168">
        <v>-0.35147519999999999</v>
      </c>
      <c r="Z5168">
        <v>-6.930791E-2</v>
      </c>
      <c r="AA5168">
        <v>0.93362819999999902</v>
      </c>
      <c r="AB5168">
        <v>35</v>
      </c>
      <c r="AC5168">
        <v>2.9361999999999799</v>
      </c>
      <c r="AD5168">
        <v>-1.1197029468902</v>
      </c>
      <c r="AE5168">
        <v>10.412419999999999</v>
      </c>
      <c r="AF5168">
        <v>-3.8544257598141001</v>
      </c>
      <c r="AG5168">
        <v>-1.1197029468902</v>
      </c>
      <c r="AH5168">
        <v>9.9857606473181697</v>
      </c>
      <c r="AI5168">
        <v>95.971858581815894</v>
      </c>
      <c r="AJ5168">
        <v>111.10619952680599</v>
      </c>
      <c r="AK5168">
        <v>10.7622371434902</v>
      </c>
    </row>
    <row r="5169" spans="1:37" x14ac:dyDescent="0.2">
      <c r="A5169" t="str">
        <f>"20200111154202415"</f>
        <v>20200111154202415</v>
      </c>
      <c r="B5169" t="str">
        <f>"1578728522411223"</f>
        <v>1578728522411223</v>
      </c>
      <c r="C5169" t="s">
        <v>37</v>
      </c>
      <c r="D5169">
        <v>5.3833099999999998</v>
      </c>
      <c r="E5169">
        <v>0.45361380000000001</v>
      </c>
      <c r="F5169" t="s">
        <v>39</v>
      </c>
      <c r="G5169">
        <v>-192.25280000000001</v>
      </c>
      <c r="H5169" s="1">
        <v>-8.8369009999999999E-7</v>
      </c>
      <c r="I5169">
        <v>-39.74821</v>
      </c>
      <c r="J5169">
        <v>-195.21459999999999</v>
      </c>
      <c r="K5169">
        <v>1.1195820000000001</v>
      </c>
      <c r="L5169">
        <v>-49.873600000000003</v>
      </c>
      <c r="M5169">
        <v>0.59221969999999902</v>
      </c>
      <c r="N5169">
        <v>0</v>
      </c>
      <c r="O5169">
        <v>0.80564080000000005</v>
      </c>
      <c r="P5169">
        <v>0.39100279999999998</v>
      </c>
      <c r="Q5169">
        <v>4.3921370000000001E-2</v>
      </c>
      <c r="R5169">
        <v>0.91934090000000002</v>
      </c>
      <c r="S5169">
        <v>0.88273619999999997</v>
      </c>
      <c r="T5169">
        <v>-0.31275380000000003</v>
      </c>
      <c r="U5169">
        <v>2.90606699999999</v>
      </c>
      <c r="V5169">
        <v>-0.23072309999999999</v>
      </c>
      <c r="W5169">
        <v>5.3123089999999998E-2</v>
      </c>
      <c r="X5169">
        <v>0.97156819999999899</v>
      </c>
      <c r="Y5169">
        <v>-0.33337080000000002</v>
      </c>
      <c r="Z5169">
        <v>-7.2178919999999994E-2</v>
      </c>
      <c r="AA5169">
        <v>0.9400288</v>
      </c>
      <c r="AB5169">
        <v>35</v>
      </c>
      <c r="AC5169">
        <v>2.9617999999999798</v>
      </c>
      <c r="AD5169">
        <v>-1.1195828836901001</v>
      </c>
      <c r="AE5169">
        <v>10.125389999999999</v>
      </c>
      <c r="AF5169">
        <v>-3.5704908500218502</v>
      </c>
      <c r="AG5169">
        <v>-1.1195828836901001</v>
      </c>
      <c r="AH5169">
        <v>9.8021512716573103</v>
      </c>
      <c r="AI5169">
        <v>96.125539482436807</v>
      </c>
      <c r="AJ5169">
        <v>110.01444847640801</v>
      </c>
      <c r="AK5169">
        <v>10.492094180667401</v>
      </c>
    </row>
    <row r="5170" spans="1:37" x14ac:dyDescent="0.2">
      <c r="A5170" t="str">
        <f>"20200111154202436"</f>
        <v>20200111154202436</v>
      </c>
      <c r="B5170" t="str">
        <f>"1578728522430743"</f>
        <v>1578728522430743</v>
      </c>
      <c r="C5170" t="s">
        <v>37</v>
      </c>
      <c r="D5170">
        <v>5.3470240000000002</v>
      </c>
      <c r="E5170">
        <v>0.45412839999999999</v>
      </c>
      <c r="F5170" t="s">
        <v>39</v>
      </c>
      <c r="G5170">
        <v>-192.1806</v>
      </c>
      <c r="H5170" s="1">
        <v>-9.541826000000001E-7</v>
      </c>
      <c r="I5170">
        <v>-39.539159999999903</v>
      </c>
      <c r="J5170">
        <v>-195.02690000000001</v>
      </c>
      <c r="K5170">
        <v>1.119475</v>
      </c>
      <c r="L5170">
        <v>-49.604889999999997</v>
      </c>
      <c r="M5170">
        <v>0.58507290000000001</v>
      </c>
      <c r="N5170">
        <v>0</v>
      </c>
      <c r="O5170">
        <v>0.81084609999999901</v>
      </c>
      <c r="P5170">
        <v>0.38321240000000001</v>
      </c>
      <c r="Q5170">
        <v>4.3929749999999997E-2</v>
      </c>
      <c r="R5170">
        <v>0.92261499999999996</v>
      </c>
      <c r="S5170">
        <v>0.85560609999999904</v>
      </c>
      <c r="T5170">
        <v>-0.31573190000000001</v>
      </c>
      <c r="U5170">
        <v>2.9143979999999998</v>
      </c>
      <c r="V5170">
        <v>-0.23033400000000001</v>
      </c>
      <c r="W5170">
        <v>5.3186410000000003E-2</v>
      </c>
      <c r="X5170">
        <v>0.97165699999999999</v>
      </c>
      <c r="Y5170">
        <v>-0.33384190000000002</v>
      </c>
      <c r="Z5170">
        <v>-7.3503009999999994E-2</v>
      </c>
      <c r="AA5170">
        <v>0.93975900000000001</v>
      </c>
      <c r="AB5170">
        <v>35</v>
      </c>
      <c r="AC5170">
        <v>2.84630000000001</v>
      </c>
      <c r="AD5170">
        <v>-1.1194759541826</v>
      </c>
      <c r="AE5170">
        <v>10.06573</v>
      </c>
      <c r="AF5170">
        <v>-3.5411081036104801</v>
      </c>
      <c r="AG5170">
        <v>-1.1194759541826</v>
      </c>
      <c r="AH5170">
        <v>9.7168337031404306</v>
      </c>
      <c r="AI5170">
        <v>96.177980374268103</v>
      </c>
      <c r="AJ5170">
        <v>110.02327017296901</v>
      </c>
      <c r="AK5170">
        <v>10.4023809884052</v>
      </c>
    </row>
    <row r="5171" spans="1:37" x14ac:dyDescent="0.2">
      <c r="A5171" t="str">
        <f>"20200111154202460"</f>
        <v>20200111154202460</v>
      </c>
      <c r="B5171" t="str">
        <f>"1578728522450812"</f>
        <v>1578728522450812</v>
      </c>
      <c r="C5171" t="s">
        <v>37</v>
      </c>
      <c r="D5171">
        <v>5.3752409999999999</v>
      </c>
      <c r="E5171">
        <v>0.461817599999999</v>
      </c>
      <c r="F5171" t="s">
        <v>39</v>
      </c>
      <c r="G5171">
        <v>-192.07910000000001</v>
      </c>
      <c r="H5171" s="1">
        <v>-1.0341059999999999E-6</v>
      </c>
      <c r="I5171">
        <v>-39.289900000000003</v>
      </c>
      <c r="J5171">
        <v>-194.81319999999999</v>
      </c>
      <c r="K5171">
        <v>1.1193519999999999</v>
      </c>
      <c r="L5171">
        <v>-49.293030000000002</v>
      </c>
      <c r="M5171">
        <v>0.576858599999999</v>
      </c>
      <c r="N5171">
        <v>0</v>
      </c>
      <c r="O5171">
        <v>0.81671079999999996</v>
      </c>
      <c r="P5171">
        <v>0.37430059999999998</v>
      </c>
      <c r="Q5171">
        <v>4.427085E-2</v>
      </c>
      <c r="R5171">
        <v>0.92625000000000002</v>
      </c>
      <c r="S5171">
        <v>0.83448789999999995</v>
      </c>
      <c r="T5171">
        <v>-0.31691619999999998</v>
      </c>
      <c r="U5171">
        <v>2.920105</v>
      </c>
      <c r="V5171">
        <v>-0.22987359999999901</v>
      </c>
      <c r="W5171">
        <v>5.3588759999999999E-2</v>
      </c>
      <c r="X5171">
        <v>0.97174400000000005</v>
      </c>
      <c r="Y5171">
        <v>-0.33111459999999998</v>
      </c>
      <c r="Z5171">
        <v>-7.4628769999999997E-2</v>
      </c>
      <c r="AA5171">
        <v>0.94063469999999905</v>
      </c>
      <c r="AB5171">
        <v>35</v>
      </c>
      <c r="AC5171">
        <v>2.7340999999999802</v>
      </c>
      <c r="AD5171">
        <v>-1.1193530341060001</v>
      </c>
      <c r="AE5171">
        <v>10.003130000000001</v>
      </c>
      <c r="AF5171">
        <v>-3.4970623955244</v>
      </c>
      <c r="AG5171">
        <v>-1.1193530341060001</v>
      </c>
      <c r="AH5171">
        <v>9.6356468146947893</v>
      </c>
      <c r="AI5171">
        <v>96.231927118527693</v>
      </c>
      <c r="AJ5171">
        <v>109.94733812454901</v>
      </c>
      <c r="AK5171">
        <v>10.311551103044099</v>
      </c>
    </row>
    <row r="5172" spans="1:37" x14ac:dyDescent="0.2">
      <c r="A5172" t="str">
        <f>"20200111154202483"</f>
        <v>20200111154202483</v>
      </c>
      <c r="B5172" t="str">
        <f>"1578728522471308"</f>
        <v>1578728522471308</v>
      </c>
      <c r="C5172" t="s">
        <v>37</v>
      </c>
      <c r="D5172">
        <v>5.3873309999999996</v>
      </c>
      <c r="E5172">
        <v>0.46262769999999998</v>
      </c>
      <c r="F5172" t="s">
        <v>39</v>
      </c>
      <c r="G5172">
        <v>-191.40450000000001</v>
      </c>
      <c r="H5172" s="1">
        <v>-1.4944239999999899E-6</v>
      </c>
      <c r="I5172">
        <v>-37.798439999999999</v>
      </c>
      <c r="J5172">
        <v>-194.6206</v>
      </c>
      <c r="K5172">
        <v>1.119246</v>
      </c>
      <c r="L5172">
        <v>-49.006009999999897</v>
      </c>
      <c r="M5172">
        <v>0.56936369999999903</v>
      </c>
      <c r="N5172">
        <v>0</v>
      </c>
      <c r="O5172">
        <v>0.82195370000000001</v>
      </c>
      <c r="P5172">
        <v>0.36632870000000001</v>
      </c>
      <c r="Q5172">
        <v>4.4406050000000002E-2</v>
      </c>
      <c r="R5172">
        <v>0.92942530000000001</v>
      </c>
      <c r="S5172">
        <v>0.86128229999999995</v>
      </c>
      <c r="T5172">
        <v>-0.28282600000000002</v>
      </c>
      <c r="U5172">
        <v>2.9043269999999999</v>
      </c>
      <c r="V5172">
        <v>-0.22931799999999999</v>
      </c>
      <c r="W5172">
        <v>5.3778270000000003E-2</v>
      </c>
      <c r="X5172">
        <v>0.97186479999999997</v>
      </c>
      <c r="Y5172">
        <v>-0.31293539999999997</v>
      </c>
      <c r="Z5172">
        <v>-6.7959409999999998E-2</v>
      </c>
      <c r="AA5172">
        <v>0.94733999999999996</v>
      </c>
      <c r="AB5172">
        <v>35</v>
      </c>
      <c r="AC5172">
        <v>3.21609999999998</v>
      </c>
      <c r="AD5172">
        <v>-1.1192474944239901</v>
      </c>
      <c r="AE5172">
        <v>11.207569999999899</v>
      </c>
      <c r="AF5172">
        <v>-3.7039743693656302</v>
      </c>
      <c r="AG5172">
        <v>-1.1192474944239901</v>
      </c>
      <c r="AH5172">
        <v>10.943595234944301</v>
      </c>
      <c r="AI5172">
        <v>95.533307192207999</v>
      </c>
      <c r="AJ5172">
        <v>108.698927796494</v>
      </c>
      <c r="AK5172">
        <v>11.607515571774501</v>
      </c>
    </row>
    <row r="5173" spans="1:37" x14ac:dyDescent="0.2">
      <c r="A5173" t="str">
        <f>"20200111154202506"</f>
        <v>20200111154202506</v>
      </c>
      <c r="B5173" t="str">
        <f>"1578728522500588"</f>
        <v>1578728522500588</v>
      </c>
      <c r="C5173" t="s">
        <v>37</v>
      </c>
      <c r="D5173">
        <v>5.3684269999999996</v>
      </c>
      <c r="E5173">
        <v>0.46301110000000001</v>
      </c>
      <c r="F5173" t="s">
        <v>39</v>
      </c>
      <c r="G5173">
        <v>-191.27260000000001</v>
      </c>
      <c r="H5173" s="1">
        <v>-1.613857E-6</v>
      </c>
      <c r="I5173">
        <v>-37.438209999999998</v>
      </c>
      <c r="J5173">
        <v>-194.42930000000001</v>
      </c>
      <c r="K5173">
        <v>1.1191580000000001</v>
      </c>
      <c r="L5173">
        <v>-48.715000000000003</v>
      </c>
      <c r="M5173">
        <v>0.56182100000000001</v>
      </c>
      <c r="N5173">
        <v>0</v>
      </c>
      <c r="O5173">
        <v>0.82712790000000003</v>
      </c>
      <c r="P5173">
        <v>0.35823959999999999</v>
      </c>
      <c r="Q5173">
        <v>4.4716209999999999E-2</v>
      </c>
      <c r="R5173">
        <v>0.9325582</v>
      </c>
      <c r="S5173">
        <v>0.84204100000000004</v>
      </c>
      <c r="T5173">
        <v>-0.28149679999999999</v>
      </c>
      <c r="U5173">
        <v>2.9093629999999999</v>
      </c>
      <c r="V5173">
        <v>-0.228857</v>
      </c>
      <c r="W5173">
        <v>5.41349E-2</v>
      </c>
      <c r="X5173">
        <v>0.97195359999999997</v>
      </c>
      <c r="Y5173">
        <v>-0.31046780000000002</v>
      </c>
      <c r="Z5173">
        <v>-6.8314520000000004E-2</v>
      </c>
      <c r="AA5173">
        <v>0.94812600000000002</v>
      </c>
      <c r="AB5173">
        <v>35</v>
      </c>
      <c r="AC5173">
        <v>3.1566999999999998</v>
      </c>
      <c r="AD5173">
        <v>-1.1191596138569999</v>
      </c>
      <c r="AE5173">
        <v>11.27679</v>
      </c>
      <c r="AF5173">
        <v>-3.6912314355088198</v>
      </c>
      <c r="AG5173">
        <v>-1.1191596138569999</v>
      </c>
      <c r="AH5173">
        <v>11.001564839914</v>
      </c>
      <c r="AI5173">
        <v>95.508772767148002</v>
      </c>
      <c r="AJ5173">
        <v>108.547569191137</v>
      </c>
      <c r="AK5173">
        <v>11.6581360722291</v>
      </c>
    </row>
    <row r="5174" spans="1:37" x14ac:dyDescent="0.2">
      <c r="A5174" t="str">
        <f>"20200111154202527"</f>
        <v>20200111154202527</v>
      </c>
      <c r="B5174" t="str">
        <f>"1578728522521084"</f>
        <v>1578728522521084</v>
      </c>
      <c r="C5174" t="s">
        <v>37</v>
      </c>
      <c r="D5174">
        <v>5.3558240000000001</v>
      </c>
      <c r="E5174">
        <v>0.4638545</v>
      </c>
      <c r="F5174" t="s">
        <v>39</v>
      </c>
      <c r="G5174">
        <v>-191.16149999999999</v>
      </c>
      <c r="H5174" s="1">
        <v>-1.734391E-6</v>
      </c>
      <c r="I5174">
        <v>-37.088380000000001</v>
      </c>
      <c r="J5174">
        <v>-194.24770000000001</v>
      </c>
      <c r="K5174">
        <v>1.1190869999999999</v>
      </c>
      <c r="L5174">
        <v>-48.433169999999997</v>
      </c>
      <c r="M5174">
        <v>0.55454890000000001</v>
      </c>
      <c r="N5174">
        <v>0</v>
      </c>
      <c r="O5174">
        <v>0.83202129999999996</v>
      </c>
      <c r="P5174">
        <v>0.35088799999999998</v>
      </c>
      <c r="Q5174">
        <v>4.5170490000000001E-2</v>
      </c>
      <c r="R5174">
        <v>0.93532739999999903</v>
      </c>
      <c r="S5174">
        <v>0.81947329999999996</v>
      </c>
      <c r="T5174">
        <v>-0.28065289999999998</v>
      </c>
      <c r="U5174">
        <v>2.915619</v>
      </c>
      <c r="V5174">
        <v>-0.22797429999999999</v>
      </c>
      <c r="W5174">
        <v>5.4638649999999997E-2</v>
      </c>
      <c r="X5174">
        <v>0.97213289999999997</v>
      </c>
      <c r="Y5174">
        <v>-0.30946970000000001</v>
      </c>
      <c r="Z5174">
        <v>-6.870018E-2</v>
      </c>
      <c r="AA5174">
        <v>0.94842439999999995</v>
      </c>
      <c r="AB5174">
        <v>35</v>
      </c>
      <c r="AC5174">
        <v>3.0862000000000198</v>
      </c>
      <c r="AD5174">
        <v>-1.1190887343910001</v>
      </c>
      <c r="AE5174">
        <v>11.34479</v>
      </c>
      <c r="AF5174">
        <v>-3.6904236210892698</v>
      </c>
      <c r="AG5174">
        <v>-1.1190887343910001</v>
      </c>
      <c r="AH5174">
        <v>11.0516323497025</v>
      </c>
      <c r="AI5174">
        <v>95.486237614393104</v>
      </c>
      <c r="AJ5174">
        <v>108.465487404651</v>
      </c>
      <c r="AK5174">
        <v>11.705134074051699</v>
      </c>
    </row>
    <row r="5175" spans="1:37" x14ac:dyDescent="0.2">
      <c r="A5175" t="str">
        <f>"20200111154202549"</f>
        <v>20200111154202549</v>
      </c>
      <c r="B5175" t="str">
        <f>"1578728522541187"</f>
        <v>1578728522541187</v>
      </c>
      <c r="C5175" t="s">
        <v>37</v>
      </c>
      <c r="D5175">
        <v>5.5046660000000003</v>
      </c>
      <c r="E5175">
        <v>0.46423979999999998</v>
      </c>
      <c r="F5175" t="s">
        <v>39</v>
      </c>
      <c r="G5175">
        <v>-191.03579999999999</v>
      </c>
      <c r="H5175" s="1">
        <v>-1.845902E-6</v>
      </c>
      <c r="I5175">
        <v>-36.750489999999999</v>
      </c>
      <c r="J5175">
        <v>-194.06039999999999</v>
      </c>
      <c r="K5175">
        <v>1.1190260000000001</v>
      </c>
      <c r="L5175">
        <v>-48.136839999999999</v>
      </c>
      <c r="M5175">
        <v>0.54692700000000005</v>
      </c>
      <c r="N5175">
        <v>0</v>
      </c>
      <c r="O5175">
        <v>0.83705160000000001</v>
      </c>
      <c r="P5175">
        <v>0.34308119999999998</v>
      </c>
      <c r="Q5175">
        <v>4.5451779999999997E-2</v>
      </c>
      <c r="R5175">
        <v>0.93820539999999997</v>
      </c>
      <c r="S5175">
        <v>0.80271910000000002</v>
      </c>
      <c r="T5175">
        <v>-0.27968899999999902</v>
      </c>
      <c r="U5175">
        <v>2.9198</v>
      </c>
      <c r="V5175">
        <v>-0.22718539999999901</v>
      </c>
      <c r="W5175">
        <v>5.496289E-2</v>
      </c>
      <c r="X5175">
        <v>0.97229929999999998</v>
      </c>
      <c r="Y5175">
        <v>-0.30619499999999999</v>
      </c>
      <c r="Z5175">
        <v>-6.9138080000000005E-2</v>
      </c>
      <c r="AA5175">
        <v>0.94945480000000004</v>
      </c>
      <c r="AB5175">
        <v>35</v>
      </c>
      <c r="AC5175">
        <v>3.0245999999999902</v>
      </c>
      <c r="AD5175">
        <v>-1.119027845902</v>
      </c>
      <c r="AE5175">
        <v>11.38635</v>
      </c>
      <c r="AF5175">
        <v>-3.66310579921916</v>
      </c>
      <c r="AG5175">
        <v>-1.119027845902</v>
      </c>
      <c r="AH5175">
        <v>11.086382193453501</v>
      </c>
      <c r="AI5175">
        <v>95.474561840288899</v>
      </c>
      <c r="AJ5175">
        <v>108.28432447125699</v>
      </c>
      <c r="AK5175">
        <v>11.7293835113146</v>
      </c>
    </row>
    <row r="5176" spans="1:37" x14ac:dyDescent="0.2">
      <c r="A5176" t="str">
        <f>"20200111154202572"</f>
        <v>20200111154202572</v>
      </c>
      <c r="B5176" t="str">
        <f>"1578728522560710"</f>
        <v>1578728522560710</v>
      </c>
      <c r="C5176" t="s">
        <v>37</v>
      </c>
      <c r="D5176">
        <v>5.2683819999999999</v>
      </c>
      <c r="E5176">
        <v>0.46480779999999899</v>
      </c>
      <c r="F5176" t="s">
        <v>39</v>
      </c>
      <c r="G5176">
        <v>-190.94499999999999</v>
      </c>
      <c r="H5176" s="1">
        <v>-1.9396590000000002E-6</v>
      </c>
      <c r="I5176">
        <v>-36.475580000000001</v>
      </c>
      <c r="J5176">
        <v>-193.87809999999999</v>
      </c>
      <c r="K5176">
        <v>1.118973</v>
      </c>
      <c r="L5176">
        <v>-47.842590000000001</v>
      </c>
      <c r="M5176">
        <v>0.53937100000000004</v>
      </c>
      <c r="N5176">
        <v>0</v>
      </c>
      <c r="O5176">
        <v>0.84194049999999998</v>
      </c>
      <c r="P5176">
        <v>0.33494950000000001</v>
      </c>
      <c r="Q5176">
        <v>4.5238250000000001E-2</v>
      </c>
      <c r="R5176">
        <v>0.94114949999999997</v>
      </c>
      <c r="S5176">
        <v>0.78155520000000001</v>
      </c>
      <c r="T5176">
        <v>-0.28072619999999998</v>
      </c>
      <c r="U5176">
        <v>2.9254150000000001</v>
      </c>
      <c r="V5176">
        <v>-0.22684090000000001</v>
      </c>
      <c r="W5176">
        <v>5.4777199999999901E-2</v>
      </c>
      <c r="X5176">
        <v>0.97239019999999998</v>
      </c>
      <c r="Y5176">
        <v>-0.30450519999999998</v>
      </c>
      <c r="Z5176">
        <v>-7.0000380000000001E-2</v>
      </c>
      <c r="AA5176">
        <v>0.94993499999999997</v>
      </c>
      <c r="AB5176">
        <v>35</v>
      </c>
      <c r="AC5176">
        <v>2.9330999999999898</v>
      </c>
      <c r="AD5176">
        <v>-1.1189749396590001</v>
      </c>
      <c r="AE5176">
        <v>11.367010000000001</v>
      </c>
      <c r="AF5176">
        <v>-3.6289624580557298</v>
      </c>
      <c r="AG5176">
        <v>-1.1189749396590001</v>
      </c>
      <c r="AH5176">
        <v>11.053150373842501</v>
      </c>
      <c r="AI5176">
        <v>95.494061945135897</v>
      </c>
      <c r="AJ5176">
        <v>108.176005792057</v>
      </c>
      <c r="AK5176">
        <v>11.687326752698301</v>
      </c>
    </row>
    <row r="5177" spans="1:37" x14ac:dyDescent="0.2">
      <c r="A5177" t="str">
        <f>"20200111154202595"</f>
        <v>20200111154202595</v>
      </c>
      <c r="B5177" t="str">
        <f>"1578728522590964"</f>
        <v>1578728522590964</v>
      </c>
      <c r="C5177" t="s">
        <v>37</v>
      </c>
      <c r="D5177">
        <v>5.3842109999999996</v>
      </c>
      <c r="E5177">
        <v>0.46910600000000002</v>
      </c>
      <c r="F5177" t="s">
        <v>39</v>
      </c>
      <c r="G5177">
        <v>-191.18799999999999</v>
      </c>
      <c r="H5177" s="1">
        <v>-1.566158E-6</v>
      </c>
      <c r="I5177">
        <v>-37.496940000000002</v>
      </c>
      <c r="J5177">
        <v>-193.69460000000001</v>
      </c>
      <c r="K5177">
        <v>1.118932</v>
      </c>
      <c r="L5177">
        <v>-47.540409999999902</v>
      </c>
      <c r="M5177">
        <v>0.53161630000000004</v>
      </c>
      <c r="N5177">
        <v>0</v>
      </c>
      <c r="O5177">
        <v>0.84685840000000001</v>
      </c>
      <c r="P5177">
        <v>0.32622370000000001</v>
      </c>
      <c r="Q5177">
        <v>4.5621410000000001E-2</v>
      </c>
      <c r="R5177">
        <v>0.94419109999999995</v>
      </c>
      <c r="S5177">
        <v>0.7622681</v>
      </c>
      <c r="T5177">
        <v>-0.31707340000000001</v>
      </c>
      <c r="U5177">
        <v>2.931549</v>
      </c>
      <c r="V5177">
        <v>-0.2269022</v>
      </c>
      <c r="W5177">
        <v>5.5175710000000003E-2</v>
      </c>
      <c r="X5177">
        <v>0.97235329999999998</v>
      </c>
      <c r="Y5177">
        <v>-0.30229159999999999</v>
      </c>
      <c r="Z5177">
        <v>-7.9658290000000007E-2</v>
      </c>
      <c r="AA5177">
        <v>0.94988119999999998</v>
      </c>
      <c r="AB5177">
        <v>35</v>
      </c>
      <c r="AC5177">
        <v>2.5066000000000201</v>
      </c>
      <c r="AD5177">
        <v>-1.118933566158</v>
      </c>
      <c r="AE5177">
        <v>10.0434699999999</v>
      </c>
      <c r="AF5177">
        <v>-3.1797302696608001</v>
      </c>
      <c r="AG5177">
        <v>-1.118933566158</v>
      </c>
      <c r="AH5177">
        <v>9.7253707581761493</v>
      </c>
      <c r="AI5177">
        <v>96.2408640125511</v>
      </c>
      <c r="AJ5177">
        <v>108.10526469942801</v>
      </c>
      <c r="AK5177">
        <v>10.292984664190399</v>
      </c>
    </row>
    <row r="5178" spans="1:37" x14ac:dyDescent="0.2">
      <c r="A5178" t="str">
        <f>"20200111154202617"</f>
        <v>20200111154202617</v>
      </c>
      <c r="B5178" t="str">
        <f>"1578728522611458"</f>
        <v>1578728522611458</v>
      </c>
      <c r="C5178" t="s">
        <v>37</v>
      </c>
      <c r="D5178">
        <v>5.4029379999999998</v>
      </c>
      <c r="E5178">
        <v>0.47089829999999999</v>
      </c>
      <c r="F5178" t="s">
        <v>39</v>
      </c>
      <c r="G5178">
        <v>-190.92330000000001</v>
      </c>
      <c r="H5178" s="1">
        <v>-1.7231149999999899E-6</v>
      </c>
      <c r="I5178">
        <v>-36.966889999999999</v>
      </c>
      <c r="J5178">
        <v>-193.52709999999999</v>
      </c>
      <c r="K5178">
        <v>1.1188990000000001</v>
      </c>
      <c r="L5178">
        <v>-47.25891</v>
      </c>
      <c r="M5178">
        <v>0.52439460000000004</v>
      </c>
      <c r="N5178">
        <v>0</v>
      </c>
      <c r="O5178">
        <v>0.85134940000000003</v>
      </c>
      <c r="P5178">
        <v>0.31856640000000003</v>
      </c>
      <c r="Q5178">
        <v>4.607551E-2</v>
      </c>
      <c r="R5178">
        <v>0.94678009999999901</v>
      </c>
      <c r="S5178">
        <v>0.7672272</v>
      </c>
      <c r="T5178">
        <v>-0.3097702</v>
      </c>
      <c r="U5178">
        <v>2.927216</v>
      </c>
      <c r="V5178">
        <v>-0.22649929999999999</v>
      </c>
      <c r="W5178">
        <v>5.5652769999999997E-2</v>
      </c>
      <c r="X5178">
        <v>0.97242009999999901</v>
      </c>
      <c r="Y5178">
        <v>-0.29230029999999901</v>
      </c>
      <c r="Z5178">
        <v>-7.8771830000000001E-2</v>
      </c>
      <c r="AA5178">
        <v>0.95307679999999995</v>
      </c>
      <c r="AB5178">
        <v>35</v>
      </c>
      <c r="AC5178">
        <v>2.6037999999999699</v>
      </c>
      <c r="AD5178">
        <v>-1.1189007231150001</v>
      </c>
      <c r="AE5178">
        <v>10.292020000000001</v>
      </c>
      <c r="AF5178">
        <v>-3.14573429028568</v>
      </c>
      <c r="AG5178">
        <v>-1.1189007231150001</v>
      </c>
      <c r="AH5178">
        <v>10.017336903399899</v>
      </c>
      <c r="AI5178">
        <v>96.082797444524104</v>
      </c>
      <c r="AJ5178">
        <v>107.43380104278999</v>
      </c>
      <c r="AK5178">
        <v>10.559101367516201</v>
      </c>
    </row>
    <row r="5179" spans="1:37" x14ac:dyDescent="0.2">
      <c r="A5179" t="str">
        <f>"20200111154202639"</f>
        <v>20200111154202639</v>
      </c>
      <c r="B5179" t="str">
        <f>"1578728522630978"</f>
        <v>1578728522630978</v>
      </c>
      <c r="C5179" t="s">
        <v>37</v>
      </c>
      <c r="D5179">
        <v>5.3798969999999997</v>
      </c>
      <c r="E5179">
        <v>0.47203630000000002</v>
      </c>
      <c r="F5179" t="s">
        <v>39</v>
      </c>
      <c r="G5179">
        <v>-190.8124</v>
      </c>
      <c r="H5179" s="1">
        <v>-1.7816929999999901E-6</v>
      </c>
      <c r="I5179">
        <v>-36.761600000000001</v>
      </c>
      <c r="J5179">
        <v>-193.35679999999999</v>
      </c>
      <c r="K5179">
        <v>1.118862</v>
      </c>
      <c r="L5179">
        <v>-46.967129999999997</v>
      </c>
      <c r="M5179">
        <v>0.5169089</v>
      </c>
      <c r="N5179">
        <v>0</v>
      </c>
      <c r="O5179">
        <v>0.85591530000000005</v>
      </c>
      <c r="P5179">
        <v>0.31057859999999998</v>
      </c>
      <c r="Q5179">
        <v>4.7015519999999998E-2</v>
      </c>
      <c r="R5179">
        <v>0.94938429999999996</v>
      </c>
      <c r="S5179">
        <v>0.75744630000000002</v>
      </c>
      <c r="T5179">
        <v>-0.31219520000000001</v>
      </c>
      <c r="U5179">
        <v>2.92895499999999</v>
      </c>
      <c r="V5179">
        <v>-0.22615370000000001</v>
      </c>
      <c r="W5179">
        <v>5.6612549999999998E-2</v>
      </c>
      <c r="X5179">
        <v>0.97244509999999995</v>
      </c>
      <c r="Y5179">
        <v>-0.28705649999999999</v>
      </c>
      <c r="Z5179">
        <v>-8.0134090000000005E-2</v>
      </c>
      <c r="AA5179">
        <v>0.95455599999999996</v>
      </c>
      <c r="AB5179">
        <v>35</v>
      </c>
      <c r="AC5179">
        <v>2.5443999999999898</v>
      </c>
      <c r="AD5179">
        <v>-1.118863781693</v>
      </c>
      <c r="AE5179">
        <v>10.2055299999999</v>
      </c>
      <c r="AF5179">
        <v>-3.0632068430245201</v>
      </c>
      <c r="AG5179">
        <v>-1.118863781693</v>
      </c>
      <c r="AH5179">
        <v>9.9388999043355604</v>
      </c>
      <c r="AI5179">
        <v>96.140297763774996</v>
      </c>
      <c r="AJ5179">
        <v>107.12949752231</v>
      </c>
      <c r="AK5179">
        <v>10.4602496926955</v>
      </c>
    </row>
    <row r="5180" spans="1:37" x14ac:dyDescent="0.2">
      <c r="A5180" t="str">
        <f>"20200111154202661"</f>
        <v>20200111154202661</v>
      </c>
      <c r="B5180" t="str">
        <f>"1578728522651049"</f>
        <v>1578728522651049</v>
      </c>
      <c r="C5180" t="s">
        <v>37</v>
      </c>
      <c r="D5180">
        <v>5.5844629999999897</v>
      </c>
      <c r="E5180">
        <v>0.47288419999999998</v>
      </c>
      <c r="F5180" t="s">
        <v>39</v>
      </c>
      <c r="G5180">
        <v>-190.67509999999999</v>
      </c>
      <c r="H5180" s="1">
        <v>-1.9171470000000001E-6</v>
      </c>
      <c r="I5180">
        <v>-36.360689999999998</v>
      </c>
      <c r="J5180">
        <v>-193.18549999999999</v>
      </c>
      <c r="K5180">
        <v>1.1188279999999999</v>
      </c>
      <c r="L5180">
        <v>-46.6676</v>
      </c>
      <c r="M5180">
        <v>0.50922529999999999</v>
      </c>
      <c r="N5180">
        <v>0</v>
      </c>
      <c r="O5180">
        <v>0.86050890000000002</v>
      </c>
      <c r="P5180">
        <v>0.3020909</v>
      </c>
      <c r="Q5180">
        <v>4.7247619999999997E-2</v>
      </c>
      <c r="R5180">
        <v>0.9521075</v>
      </c>
      <c r="S5180">
        <v>0.74150090000000002</v>
      </c>
      <c r="T5180">
        <v>-0.30936859999999999</v>
      </c>
      <c r="U5180">
        <v>2.932709</v>
      </c>
      <c r="V5180">
        <v>-0.22612179999999901</v>
      </c>
      <c r="W5180">
        <v>5.6857730000000002E-2</v>
      </c>
      <c r="X5180">
        <v>0.97243819999999903</v>
      </c>
      <c r="Y5180">
        <v>-0.28364220000000001</v>
      </c>
      <c r="Z5180">
        <v>-8.0098589999999997E-2</v>
      </c>
      <c r="AA5180">
        <v>0.95557899999999996</v>
      </c>
      <c r="AB5180">
        <v>35</v>
      </c>
      <c r="AC5180">
        <v>2.5104000000000002</v>
      </c>
      <c r="AD5180">
        <v>-1.118829917147</v>
      </c>
      <c r="AE5180">
        <v>10.306909999999901</v>
      </c>
      <c r="AF5180">
        <v>-3.0546696436206302</v>
      </c>
      <c r="AG5180">
        <v>-1.118829917147</v>
      </c>
      <c r="AH5180">
        <v>10.036986405167999</v>
      </c>
      <c r="AI5180">
        <v>96.087091217538301</v>
      </c>
      <c r="AJ5180">
        <v>106.927171644452</v>
      </c>
      <c r="AK5180">
        <v>10.5510133689939</v>
      </c>
    </row>
    <row r="5181" spans="1:37" x14ac:dyDescent="0.2">
      <c r="A5181" t="str">
        <f>"20200111154202685"</f>
        <v>20200111154202685</v>
      </c>
      <c r="B5181" t="str">
        <f>"1578728522681305"</f>
        <v>1578728522681305</v>
      </c>
      <c r="C5181" t="s">
        <v>37</v>
      </c>
      <c r="D5181">
        <v>5.3819210000000002</v>
      </c>
      <c r="E5181">
        <v>0.47392580000000001</v>
      </c>
      <c r="F5181" t="s">
        <v>39</v>
      </c>
      <c r="G5181">
        <v>-190.57759999999999</v>
      </c>
      <c r="H5181" s="1">
        <v>-2.02180999999999E-6</v>
      </c>
      <c r="I5181">
        <v>-36.05621</v>
      </c>
      <c r="J5181">
        <v>-193.01480000000001</v>
      </c>
      <c r="K5181">
        <v>1.118797</v>
      </c>
      <c r="L5181">
        <v>-46.362609999999997</v>
      </c>
      <c r="M5181">
        <v>0.50140909999999905</v>
      </c>
      <c r="N5181">
        <v>0</v>
      </c>
      <c r="O5181">
        <v>0.86508689999999999</v>
      </c>
      <c r="P5181">
        <v>0.29390820000000001</v>
      </c>
      <c r="Q5181">
        <v>4.7302150000000001E-2</v>
      </c>
      <c r="R5181">
        <v>0.95466249999999997</v>
      </c>
      <c r="S5181">
        <v>0.72187809999999997</v>
      </c>
      <c r="T5181">
        <v>-0.30969140000000001</v>
      </c>
      <c r="U5181">
        <v>2.9372250000000002</v>
      </c>
      <c r="V5181">
        <v>-0.225652399999999</v>
      </c>
      <c r="W5181">
        <v>5.6935810000000003E-2</v>
      </c>
      <c r="X5181">
        <v>0.97254269999999998</v>
      </c>
      <c r="Y5181">
        <v>-0.28132579999999902</v>
      </c>
      <c r="Z5181">
        <v>-8.0834340000000005E-2</v>
      </c>
      <c r="AA5181">
        <v>0.95620159999999998</v>
      </c>
      <c r="AB5181">
        <v>35</v>
      </c>
      <c r="AC5181">
        <v>2.43720000000001</v>
      </c>
      <c r="AD5181">
        <v>-1.1187990218099999</v>
      </c>
      <c r="AE5181">
        <v>10.306399999999901</v>
      </c>
      <c r="AF5181">
        <v>-3.02589115029626</v>
      </c>
      <c r="AG5181">
        <v>-1.1187990218099999</v>
      </c>
      <c r="AH5181">
        <v>10.0271469951343</v>
      </c>
      <c r="AI5181">
        <v>96.097169890882896</v>
      </c>
      <c r="AJ5181">
        <v>106.79223355608499</v>
      </c>
      <c r="AK5181">
        <v>10.533347301151499</v>
      </c>
    </row>
    <row r="5182" spans="1:37" x14ac:dyDescent="0.2">
      <c r="A5182" t="str">
        <f>"20200111154202708"</f>
        <v>20200111154202708</v>
      </c>
      <c r="B5182" t="str">
        <f>"1578728522700826"</f>
        <v>1578728522700826</v>
      </c>
      <c r="C5182" t="s">
        <v>37</v>
      </c>
      <c r="D5182">
        <v>5.3439129999999997</v>
      </c>
      <c r="E5182">
        <v>0.47451349999999998</v>
      </c>
      <c r="F5182" t="s">
        <v>39</v>
      </c>
      <c r="G5182">
        <v>-190.48990000000001</v>
      </c>
      <c r="H5182" s="1">
        <v>-2.098895E-6</v>
      </c>
      <c r="I5182">
        <v>-35.822150000000001</v>
      </c>
      <c r="J5182">
        <v>-192.83430000000001</v>
      </c>
      <c r="K5182">
        <v>1.1187510000000001</v>
      </c>
      <c r="L5182">
        <v>-46.032379999999897</v>
      </c>
      <c r="M5182">
        <v>0.49295820000000001</v>
      </c>
      <c r="N5182">
        <v>0</v>
      </c>
      <c r="O5182">
        <v>0.86993029999999905</v>
      </c>
      <c r="P5182">
        <v>0.28518939999999998</v>
      </c>
      <c r="Q5182">
        <v>4.6981540000000002E-2</v>
      </c>
      <c r="R5182">
        <v>0.95731900000000003</v>
      </c>
      <c r="S5182">
        <v>0.70451350000000001</v>
      </c>
      <c r="T5182">
        <v>-0.31217159999999999</v>
      </c>
      <c r="U5182">
        <v>2.9410400000000001</v>
      </c>
      <c r="V5182">
        <v>-0.22504259999999901</v>
      </c>
      <c r="W5182">
        <v>5.6642539999999998E-2</v>
      </c>
      <c r="X5182">
        <v>0.97270109999999999</v>
      </c>
      <c r="Y5182">
        <v>-0.27761970000000002</v>
      </c>
      <c r="Z5182">
        <v>-8.2206299999999996E-2</v>
      </c>
      <c r="AA5182">
        <v>0.9571674</v>
      </c>
      <c r="AB5182">
        <v>35</v>
      </c>
      <c r="AC5182">
        <v>2.3443999999999998</v>
      </c>
      <c r="AD5182">
        <v>-1.1187530988950001</v>
      </c>
      <c r="AE5182">
        <v>10.2102299999999</v>
      </c>
      <c r="AF5182">
        <v>-2.9603101817715398</v>
      </c>
      <c r="AG5182">
        <v>-1.1187530988950001</v>
      </c>
      <c r="AH5182">
        <v>9.9257511190848398</v>
      </c>
      <c r="AI5182">
        <v>96.164659132555698</v>
      </c>
      <c r="AJ5182">
        <v>106.606972333041</v>
      </c>
      <c r="AK5182">
        <v>10.418041089696301</v>
      </c>
    </row>
    <row r="5183" spans="1:37" x14ac:dyDescent="0.2">
      <c r="A5183" t="str">
        <f>"20200111154202753"</f>
        <v>20200111154202753</v>
      </c>
      <c r="B5183" t="str">
        <f>"1578728522741364"</f>
        <v>1578728522741364</v>
      </c>
      <c r="C5183" t="s">
        <v>37</v>
      </c>
      <c r="D5183">
        <v>5.3778639999999998</v>
      </c>
      <c r="E5183">
        <v>0.47493439999999998</v>
      </c>
      <c r="F5183" t="s">
        <v>39</v>
      </c>
      <c r="G5183">
        <v>-190.40629999999999</v>
      </c>
      <c r="H5183" s="1">
        <v>-2.19370499999999E-6</v>
      </c>
      <c r="I5183">
        <v>-35.549309999999998</v>
      </c>
      <c r="J5183">
        <v>-192.52340000000001</v>
      </c>
      <c r="K5183">
        <v>1.118695</v>
      </c>
      <c r="L5183">
        <v>-45.445709999999998</v>
      </c>
      <c r="M5183">
        <v>0.47796880000000003</v>
      </c>
      <c r="N5183">
        <v>0</v>
      </c>
      <c r="O5183">
        <v>0.87825560000000003</v>
      </c>
      <c r="P5183">
        <v>0.2695978</v>
      </c>
      <c r="Q5183">
        <v>4.6706490000000003E-2</v>
      </c>
      <c r="R5183">
        <v>0.96183969999999896</v>
      </c>
      <c r="S5183">
        <v>0.68229680000000004</v>
      </c>
      <c r="T5183">
        <v>-0.31438890000000003</v>
      </c>
      <c r="U5183">
        <v>2.9459230000000001</v>
      </c>
      <c r="V5183">
        <v>-0.2241582</v>
      </c>
      <c r="W5183">
        <v>5.6409269999999997E-2</v>
      </c>
      <c r="X5183">
        <v>0.97291890000000003</v>
      </c>
      <c r="Y5183">
        <v>-0.26836529999999997</v>
      </c>
      <c r="Z5183">
        <v>-8.4114540000000002E-2</v>
      </c>
      <c r="AA5183">
        <v>0.95963790000000004</v>
      </c>
      <c r="AB5183">
        <v>35</v>
      </c>
      <c r="AC5183">
        <v>2.1171000000000202</v>
      </c>
      <c r="AD5183">
        <v>-1.1186971937050001</v>
      </c>
      <c r="AE5183">
        <v>9.8963999999999999</v>
      </c>
      <c r="AF5183">
        <v>-2.8364623682922199</v>
      </c>
      <c r="AG5183">
        <v>-1.1186971937050001</v>
      </c>
      <c r="AH5183">
        <v>9.5873614390648996</v>
      </c>
      <c r="AI5183">
        <v>96.384294032628304</v>
      </c>
      <c r="AJ5183">
        <v>106.48107933662099</v>
      </c>
      <c r="AK5183">
        <v>10.060541811513399</v>
      </c>
    </row>
    <row r="5184" spans="1:37" x14ac:dyDescent="0.2">
      <c r="A5184" t="str">
        <f>"20200111154202774"</f>
        <v>20200111154202774</v>
      </c>
      <c r="B5184" t="str">
        <f>"1578728522770644"</f>
        <v>1578728522770644</v>
      </c>
      <c r="C5184" t="s">
        <v>37</v>
      </c>
      <c r="D5184">
        <v>5.3917129999999904</v>
      </c>
      <c r="E5184">
        <v>0.46659639999999902</v>
      </c>
      <c r="F5184" t="s">
        <v>39</v>
      </c>
      <c r="G5184">
        <v>-190.2611</v>
      </c>
      <c r="H5184" s="1">
        <v>-2.4101980000000002E-6</v>
      </c>
      <c r="I5184">
        <v>-34.954609999999903</v>
      </c>
      <c r="J5184">
        <v>-192.37049999999999</v>
      </c>
      <c r="K5184">
        <v>1.1186670000000001</v>
      </c>
      <c r="L5184">
        <v>-45.148099999999999</v>
      </c>
      <c r="M5184">
        <v>0.47038229999999998</v>
      </c>
      <c r="N5184">
        <v>0</v>
      </c>
      <c r="O5184">
        <v>0.88234219999999897</v>
      </c>
      <c r="P5184">
        <v>0.26167089999999998</v>
      </c>
      <c r="Q5184">
        <v>4.7288179999999999E-2</v>
      </c>
      <c r="R5184">
        <v>0.96399799999999902</v>
      </c>
      <c r="S5184">
        <v>0.63734440000000003</v>
      </c>
      <c r="T5184">
        <v>-0.31517390000000001</v>
      </c>
      <c r="U5184">
        <v>2.9556879999999999</v>
      </c>
      <c r="V5184">
        <v>-0.22377569999999999</v>
      </c>
      <c r="W5184">
        <v>5.7009589999999999E-2</v>
      </c>
      <c r="X5184">
        <v>0.9729719</v>
      </c>
      <c r="Y5184">
        <v>-0.27466020000000002</v>
      </c>
      <c r="Z5184">
        <v>-8.4697270000000005E-2</v>
      </c>
      <c r="AA5184">
        <v>0.95780379999999998</v>
      </c>
      <c r="AB5184">
        <v>34</v>
      </c>
      <c r="AC5184">
        <v>2.1093999999999902</v>
      </c>
      <c r="AD5184">
        <v>-1.1186694101979999</v>
      </c>
      <c r="AE5184">
        <v>10.193490000000001</v>
      </c>
      <c r="AF5184">
        <v>-2.90043932414989</v>
      </c>
      <c r="AG5184">
        <v>-1.1186694101979999</v>
      </c>
      <c r="AH5184">
        <v>9.8734044836128092</v>
      </c>
      <c r="AI5184">
        <v>96.204134596258996</v>
      </c>
      <c r="AJ5184">
        <v>106.370828044098</v>
      </c>
      <c r="AK5184">
        <v>10.351235946466099</v>
      </c>
    </row>
    <row r="5185" spans="1:37" x14ac:dyDescent="0.2">
      <c r="A5185" t="str">
        <f>"20200111154202797"</f>
        <v>20200111154202797</v>
      </c>
      <c r="B5185" t="str">
        <f>"1578728522791139"</f>
        <v>1578728522791139</v>
      </c>
      <c r="C5185" t="s">
        <v>37</v>
      </c>
      <c r="D5185">
        <v>5.3527259999999997</v>
      </c>
      <c r="E5185">
        <v>0.46555370000000001</v>
      </c>
      <c r="F5185" t="s">
        <v>39</v>
      </c>
      <c r="G5185">
        <v>-189.858</v>
      </c>
      <c r="H5185" s="1">
        <v>-3.8539599999999996E-6</v>
      </c>
      <c r="I5185">
        <v>-31.442270000000001</v>
      </c>
      <c r="J5185">
        <v>-192.2081</v>
      </c>
      <c r="K5185">
        <v>1.1186370000000001</v>
      </c>
      <c r="L5185">
        <v>-44.825130000000001</v>
      </c>
      <c r="M5185">
        <v>0.46216000000000002</v>
      </c>
      <c r="N5185">
        <v>0</v>
      </c>
      <c r="O5185">
        <v>0.88667680000000004</v>
      </c>
      <c r="P5185">
        <v>0.25316759999999999</v>
      </c>
      <c r="Q5185">
        <v>4.7791670000000001E-2</v>
      </c>
      <c r="R5185">
        <v>0.96624120000000002</v>
      </c>
      <c r="S5185">
        <v>0.54553219999999902</v>
      </c>
      <c r="T5185">
        <v>-0.2428901</v>
      </c>
      <c r="U5185">
        <v>2.9758610000000001</v>
      </c>
      <c r="V5185">
        <v>-0.2232971</v>
      </c>
      <c r="W5185">
        <v>5.7534200000000001E-2</v>
      </c>
      <c r="X5185">
        <v>0.973051</v>
      </c>
      <c r="Y5185">
        <v>-0.29513459999999903</v>
      </c>
      <c r="Z5185">
        <v>-6.5398150000000002E-2</v>
      </c>
      <c r="AA5185">
        <v>0.95321489999999998</v>
      </c>
      <c r="AB5185">
        <v>34</v>
      </c>
      <c r="AC5185">
        <v>2.3500999999999901</v>
      </c>
      <c r="AD5185">
        <v>-1.1186408539599999</v>
      </c>
      <c r="AE5185">
        <v>13.382860000000001</v>
      </c>
      <c r="AF5185">
        <v>-4.0740655269090196</v>
      </c>
      <c r="AG5185">
        <v>-1.1186408539599999</v>
      </c>
      <c r="AH5185">
        <v>12.866561458270301</v>
      </c>
      <c r="AI5185">
        <v>94.738178318371595</v>
      </c>
      <c r="AJ5185">
        <v>107.569860038877</v>
      </c>
      <c r="AK5185">
        <v>13.5424433185871</v>
      </c>
    </row>
    <row r="5186" spans="1:37" x14ac:dyDescent="0.2">
      <c r="A5186" t="str">
        <f>"20200111154202819"</f>
        <v>20200111154202819</v>
      </c>
      <c r="B5186" t="str">
        <f>"1578728522810658"</f>
        <v>1578728522810658</v>
      </c>
      <c r="C5186" t="s">
        <v>37</v>
      </c>
      <c r="D5186">
        <v>5.3675119999999996</v>
      </c>
      <c r="E5186">
        <v>0.46508969999999999</v>
      </c>
      <c r="F5186" t="s">
        <v>39</v>
      </c>
      <c r="G5186">
        <v>-189.72900000000001</v>
      </c>
      <c r="H5186" s="1">
        <v>-7.5168220000000006E-8</v>
      </c>
      <c r="I5186">
        <v>-30.342949999999998</v>
      </c>
      <c r="J5186">
        <v>-192.06610000000001</v>
      </c>
      <c r="K5186">
        <v>1.1186149999999999</v>
      </c>
      <c r="L5186">
        <v>-44.536320000000003</v>
      </c>
      <c r="M5186">
        <v>0.45481779999999999</v>
      </c>
      <c r="N5186">
        <v>0</v>
      </c>
      <c r="O5186">
        <v>0.89046539999999996</v>
      </c>
      <c r="P5186">
        <v>0.24514549999999999</v>
      </c>
      <c r="Q5186">
        <v>4.7808660000000003E-2</v>
      </c>
      <c r="R5186">
        <v>0.96830680000000002</v>
      </c>
      <c r="S5186">
        <v>0.51055909999999904</v>
      </c>
      <c r="T5186">
        <v>-0.23037159999999901</v>
      </c>
      <c r="U5186">
        <v>2.9824519999999999</v>
      </c>
      <c r="V5186">
        <v>-0.22332279999999999</v>
      </c>
      <c r="W5186">
        <v>5.7558489999999997E-2</v>
      </c>
      <c r="X5186">
        <v>0.97304369999999996</v>
      </c>
      <c r="Y5186">
        <v>-0.29841309999999999</v>
      </c>
      <c r="Z5186">
        <v>-6.2348569999999999E-2</v>
      </c>
      <c r="AA5186">
        <v>0.95239819999999997</v>
      </c>
      <c r="AB5186">
        <v>34</v>
      </c>
      <c r="AC5186">
        <v>2.3370999999999902</v>
      </c>
      <c r="AD5186">
        <v>-1.11861507516822</v>
      </c>
      <c r="AE5186">
        <v>14.19337</v>
      </c>
      <c r="AF5186">
        <v>-4.34845763002585</v>
      </c>
      <c r="AG5186">
        <v>-1.11861507516822</v>
      </c>
      <c r="AH5186">
        <v>13.620742456140899</v>
      </c>
      <c r="AI5186">
        <v>94.473457441386699</v>
      </c>
      <c r="AJ5186">
        <v>107.70581879058</v>
      </c>
      <c r="AK5186">
        <v>14.3417226476822</v>
      </c>
    </row>
    <row r="5187" spans="1:37" x14ac:dyDescent="0.2">
      <c r="A5187" t="str">
        <f>"20200111154202842"</f>
        <v>20200111154202842</v>
      </c>
      <c r="B5187" t="str">
        <f>"1578728522831155"</f>
        <v>1578728522831155</v>
      </c>
      <c r="C5187" t="s">
        <v>37</v>
      </c>
      <c r="D5187">
        <v>5.3128820000000001</v>
      </c>
      <c r="E5187">
        <v>0.46531879999999998</v>
      </c>
      <c r="F5187" t="s">
        <v>39</v>
      </c>
      <c r="G5187">
        <v>-189.69990000000001</v>
      </c>
      <c r="H5187" s="1">
        <v>-2.677087E-7</v>
      </c>
      <c r="I5187">
        <v>-29.867279999999901</v>
      </c>
      <c r="J5187">
        <v>-191.91319999999999</v>
      </c>
      <c r="K5187">
        <v>1.1185849999999999</v>
      </c>
      <c r="L5187">
        <v>-44.21848</v>
      </c>
      <c r="M5187">
        <v>0.4467449</v>
      </c>
      <c r="N5187">
        <v>0</v>
      </c>
      <c r="O5187">
        <v>0.89454290000000003</v>
      </c>
      <c r="P5187">
        <v>0.2367185</v>
      </c>
      <c r="Q5187">
        <v>4.8120830000000003E-2</v>
      </c>
      <c r="R5187">
        <v>0.97038579999999997</v>
      </c>
      <c r="S5187">
        <v>0.48190309999999997</v>
      </c>
      <c r="T5187">
        <v>-0.22781190000000001</v>
      </c>
      <c r="U5187">
        <v>2.9874269999999998</v>
      </c>
      <c r="V5187">
        <v>-0.2229747</v>
      </c>
      <c r="W5187">
        <v>5.7886479999999997E-2</v>
      </c>
      <c r="X5187">
        <v>0.97310399999999997</v>
      </c>
      <c r="Y5187">
        <v>-0.29892920000000001</v>
      </c>
      <c r="Z5187">
        <v>-6.2044099999999998E-2</v>
      </c>
      <c r="AA5187">
        <v>0.9522562</v>
      </c>
      <c r="AB5187">
        <v>34</v>
      </c>
      <c r="AC5187">
        <v>2.2132999999999701</v>
      </c>
      <c r="AD5187">
        <v>-1.1185852677087</v>
      </c>
      <c r="AE5187">
        <v>14.3512</v>
      </c>
      <c r="AF5187">
        <v>-4.40575929997736</v>
      </c>
      <c r="AG5187">
        <v>-1.1185852677087</v>
      </c>
      <c r="AH5187">
        <v>13.746437978797999</v>
      </c>
      <c r="AI5187">
        <v>94.430998677675404</v>
      </c>
      <c r="AJ5187">
        <v>107.77075269109</v>
      </c>
      <c r="AK5187">
        <v>14.4784842133219</v>
      </c>
    </row>
    <row r="5188" spans="1:37" x14ac:dyDescent="0.2">
      <c r="A5188" t="str">
        <f>"20200111154202865"</f>
        <v>20200111154202865</v>
      </c>
      <c r="B5188" t="str">
        <f>"1578728522861177"</f>
        <v>1578728522861177</v>
      </c>
      <c r="C5188" t="s">
        <v>37</v>
      </c>
      <c r="D5188">
        <v>5.2976470000000004</v>
      </c>
      <c r="E5188">
        <v>0.46612219999999999</v>
      </c>
      <c r="F5188" t="s">
        <v>39</v>
      </c>
      <c r="G5188">
        <v>-189.6447</v>
      </c>
      <c r="H5188" s="1">
        <v>-4.7976249999999997E-7</v>
      </c>
      <c r="I5188">
        <v>-29.395800000000001</v>
      </c>
      <c r="J5188">
        <v>-191.77510000000001</v>
      </c>
      <c r="K5188">
        <v>1.118563</v>
      </c>
      <c r="L5188">
        <v>-43.924869999999999</v>
      </c>
      <c r="M5188">
        <v>0.43929459999999998</v>
      </c>
      <c r="N5188">
        <v>0</v>
      </c>
      <c r="O5188">
        <v>0.89822519999999995</v>
      </c>
      <c r="P5188">
        <v>0.22856279999999901</v>
      </c>
      <c r="Q5188">
        <v>4.7877290000000003E-2</v>
      </c>
      <c r="R5188">
        <v>0.97235119999999897</v>
      </c>
      <c r="S5188">
        <v>0.4577637</v>
      </c>
      <c r="T5188">
        <v>-0.22572110000000001</v>
      </c>
      <c r="U5188">
        <v>2.9910890000000001</v>
      </c>
      <c r="V5188">
        <v>-0.22305429999999901</v>
      </c>
      <c r="W5188">
        <v>5.7647499999999997E-2</v>
      </c>
      <c r="X5188">
        <v>0.97309990000000002</v>
      </c>
      <c r="Y5188">
        <v>-0.298678</v>
      </c>
      <c r="Z5188">
        <v>-6.1842889999999998E-2</v>
      </c>
      <c r="AA5188">
        <v>0.95234810000000003</v>
      </c>
      <c r="AB5188">
        <v>34</v>
      </c>
      <c r="AC5188">
        <v>2.1303999999999998</v>
      </c>
      <c r="AD5188">
        <v>-1.1185634797624999</v>
      </c>
      <c r="AE5188">
        <v>14.5290699999999</v>
      </c>
      <c r="AF5188">
        <v>-4.4436524271915001</v>
      </c>
      <c r="AG5188">
        <v>-1.1185634797624999</v>
      </c>
      <c r="AH5188">
        <v>13.9070369279791</v>
      </c>
      <c r="AI5188">
        <v>94.381181445523694</v>
      </c>
      <c r="AJ5188">
        <v>107.720004848578</v>
      </c>
      <c r="AK5188">
        <v>14.6425034494829</v>
      </c>
    </row>
    <row r="5189" spans="1:37" x14ac:dyDescent="0.2">
      <c r="A5189" t="str">
        <f>"20200111154202887"</f>
        <v>20200111154202887</v>
      </c>
      <c r="B5189" t="str">
        <f>"1578728522880698"</f>
        <v>1578728522880698</v>
      </c>
      <c r="C5189" t="s">
        <v>37</v>
      </c>
      <c r="D5189">
        <v>5.3394209999999998</v>
      </c>
      <c r="E5189">
        <v>0.46666970000000002</v>
      </c>
      <c r="F5189" t="s">
        <v>39</v>
      </c>
      <c r="G5189">
        <v>-189.61250000000001</v>
      </c>
      <c r="H5189" s="1">
        <v>-5.8780000000000001E-7</v>
      </c>
      <c r="I5189">
        <v>-29.15728</v>
      </c>
      <c r="J5189">
        <v>-191.62860000000001</v>
      </c>
      <c r="K5189">
        <v>1.1185369999999999</v>
      </c>
      <c r="L5189">
        <v>-43.605709999999902</v>
      </c>
      <c r="M5189">
        <v>0.43119869999999999</v>
      </c>
      <c r="N5189">
        <v>0</v>
      </c>
      <c r="O5189">
        <v>0.90213969999999899</v>
      </c>
      <c r="P5189">
        <v>0.2204467</v>
      </c>
      <c r="Q5189">
        <v>4.7150400000000002E-2</v>
      </c>
      <c r="R5189">
        <v>0.97425869999999903</v>
      </c>
      <c r="S5189">
        <v>0.43838500000000002</v>
      </c>
      <c r="T5189">
        <v>-0.22673670000000001</v>
      </c>
      <c r="U5189">
        <v>2.993439</v>
      </c>
      <c r="V5189">
        <v>-0.22241459999999999</v>
      </c>
      <c r="W5189">
        <v>5.6941510000000001E-2</v>
      </c>
      <c r="X5189">
        <v>0.97328789999999998</v>
      </c>
      <c r="Y5189">
        <v>-0.296241799999999</v>
      </c>
      <c r="Z5189">
        <v>-6.255753E-2</v>
      </c>
      <c r="AA5189">
        <v>0.95306209999999902</v>
      </c>
      <c r="AB5189">
        <v>34</v>
      </c>
      <c r="AC5189">
        <v>2.01609999999999</v>
      </c>
      <c r="AD5189">
        <v>-1.1185375877999999</v>
      </c>
      <c r="AE5189">
        <v>14.448429999999901</v>
      </c>
      <c r="AF5189">
        <v>-4.3860229348223303</v>
      </c>
      <c r="AG5189">
        <v>-1.1185375877999999</v>
      </c>
      <c r="AH5189">
        <v>13.824045439320001</v>
      </c>
      <c r="AI5189">
        <v>94.410135611794601</v>
      </c>
      <c r="AJ5189">
        <v>107.602927458366</v>
      </c>
      <c r="AK5189">
        <v>14.5462213591191</v>
      </c>
    </row>
    <row r="5190" spans="1:37" x14ac:dyDescent="0.2">
      <c r="A5190" t="str">
        <f>"20200111154202909"</f>
        <v>20200111154202909</v>
      </c>
      <c r="B5190" t="str">
        <f>"1578728522901194"</f>
        <v>1578728522901194</v>
      </c>
      <c r="C5190" t="s">
        <v>37</v>
      </c>
      <c r="D5190">
        <v>5.2553769999999904</v>
      </c>
      <c r="E5190">
        <v>0.46736239999999901</v>
      </c>
      <c r="F5190" t="s">
        <v>39</v>
      </c>
      <c r="G5190">
        <v>-189.5813</v>
      </c>
      <c r="H5190" s="1">
        <v>-6.9777090000000002E-7</v>
      </c>
      <c r="I5190">
        <v>-28.913799999999998</v>
      </c>
      <c r="J5190">
        <v>-191.48990000000001</v>
      </c>
      <c r="K5190">
        <v>1.1185209999999901</v>
      </c>
      <c r="L5190">
        <v>-43.29636</v>
      </c>
      <c r="M5190">
        <v>0.42335109999999898</v>
      </c>
      <c r="N5190">
        <v>0</v>
      </c>
      <c r="O5190">
        <v>0.90584900000000002</v>
      </c>
      <c r="P5190">
        <v>0.21269389999999999</v>
      </c>
      <c r="Q5190">
        <v>4.7075690000000003E-2</v>
      </c>
      <c r="R5190">
        <v>0.97598419999999897</v>
      </c>
      <c r="S5190">
        <v>0.41746519999999998</v>
      </c>
      <c r="T5190">
        <v>-0.2280827</v>
      </c>
      <c r="U5190">
        <v>2.9958499999999999</v>
      </c>
      <c r="V5190">
        <v>-0.22170049999999999</v>
      </c>
      <c r="W5190">
        <v>5.6888670000000002E-2</v>
      </c>
      <c r="X5190">
        <v>0.97345389999999998</v>
      </c>
      <c r="Y5190">
        <v>-0.29458809999999902</v>
      </c>
      <c r="Z5190">
        <v>-6.3334870000000001E-2</v>
      </c>
      <c r="AA5190">
        <v>0.95352329999999996</v>
      </c>
      <c r="AB5190">
        <v>34</v>
      </c>
      <c r="AC5190">
        <v>1.9086000000000001</v>
      </c>
      <c r="AD5190">
        <v>-1.1185216977708901</v>
      </c>
      <c r="AE5190">
        <v>14.38256</v>
      </c>
      <c r="AF5190">
        <v>-4.3346675227537297</v>
      </c>
      <c r="AG5190">
        <v>-1.1185216977708901</v>
      </c>
      <c r="AH5190">
        <v>13.756140219558301</v>
      </c>
      <c r="AI5190">
        <v>94.434506935665695</v>
      </c>
      <c r="AJ5190">
        <v>107.490047768292</v>
      </c>
      <c r="AK5190">
        <v>14.4662305754246</v>
      </c>
    </row>
    <row r="5191" spans="1:37" x14ac:dyDescent="0.2">
      <c r="A5191" t="str">
        <f>"20200111154202933"</f>
        <v>20200111154202933</v>
      </c>
      <c r="B5191" t="str">
        <f>"1578728522920713"</f>
        <v>1578728522920713</v>
      </c>
      <c r="C5191" t="s">
        <v>37</v>
      </c>
      <c r="D5191">
        <v>5.2445500000000003</v>
      </c>
      <c r="E5191">
        <v>0.46763329999999997</v>
      </c>
      <c r="F5191" t="s">
        <v>39</v>
      </c>
      <c r="G5191">
        <v>-189.54400000000001</v>
      </c>
      <c r="H5191" s="1">
        <v>-8.0474559999999897E-7</v>
      </c>
      <c r="I5191">
        <v>-28.6799</v>
      </c>
      <c r="J5191">
        <v>-191.3468</v>
      </c>
      <c r="K5191">
        <v>1.1185049999999901</v>
      </c>
      <c r="L5191">
        <v>-42.969790000000003</v>
      </c>
      <c r="M5191">
        <v>0.41506419999999999</v>
      </c>
      <c r="N5191">
        <v>0</v>
      </c>
      <c r="O5191">
        <v>0.90967600000000004</v>
      </c>
      <c r="P5191">
        <v>0.20426569999999999</v>
      </c>
      <c r="Q5191">
        <v>4.6991770000000002E-2</v>
      </c>
      <c r="R5191">
        <v>0.97778699999999996</v>
      </c>
      <c r="S5191">
        <v>0.39910889999999999</v>
      </c>
      <c r="T5191">
        <v>-0.22941320000000001</v>
      </c>
      <c r="U5191">
        <v>2.9978940000000001</v>
      </c>
      <c r="V5191">
        <v>-0.22120879999999901</v>
      </c>
      <c r="W5191">
        <v>5.6821070000000001E-2</v>
      </c>
      <c r="X5191">
        <v>0.97356980000000004</v>
      </c>
      <c r="Y5191">
        <v>-0.29169020000000001</v>
      </c>
      <c r="Z5191">
        <v>-6.4143909999999998E-2</v>
      </c>
      <c r="AA5191">
        <v>0.95435969999999903</v>
      </c>
      <c r="AB5191">
        <v>34</v>
      </c>
      <c r="AC5191">
        <v>1.80279999999999</v>
      </c>
      <c r="AD5191">
        <v>-1.11850580474559</v>
      </c>
      <c r="AE5191">
        <v>14.28989</v>
      </c>
      <c r="AF5191">
        <v>-4.2659848110605703</v>
      </c>
      <c r="AG5191">
        <v>-1.11850580474559</v>
      </c>
      <c r="AH5191">
        <v>13.666483102818599</v>
      </c>
      <c r="AI5191">
        <v>94.467175372603293</v>
      </c>
      <c r="AJ5191">
        <v>107.335723275272</v>
      </c>
      <c r="AK5191">
        <v>14.360447139385199</v>
      </c>
    </row>
    <row r="5192" spans="1:37" x14ac:dyDescent="0.2">
      <c r="A5192" t="str">
        <f>"20200111154202952"</f>
        <v>20200111154202952</v>
      </c>
      <c r="B5192" t="str">
        <f>"1578728522940741"</f>
        <v>1578728522940741</v>
      </c>
      <c r="C5192" t="s">
        <v>37</v>
      </c>
      <c r="D5192">
        <v>5.3041130000000001</v>
      </c>
      <c r="E5192">
        <v>0.46989609999999898</v>
      </c>
      <c r="F5192" t="s">
        <v>39</v>
      </c>
      <c r="G5192">
        <v>-189.52080000000001</v>
      </c>
      <c r="H5192" s="1">
        <v>-9.4066830000000005E-7</v>
      </c>
      <c r="I5192">
        <v>-28.372640000000001</v>
      </c>
      <c r="J5192">
        <v>-191.22819999999999</v>
      </c>
      <c r="K5192">
        <v>1.118492</v>
      </c>
      <c r="L5192">
        <v>-42.692630000000001</v>
      </c>
      <c r="M5192">
        <v>0.40802929999999998</v>
      </c>
      <c r="N5192">
        <v>0</v>
      </c>
      <c r="O5192">
        <v>0.91285319999999903</v>
      </c>
      <c r="P5192">
        <v>0.19748689999999999</v>
      </c>
      <c r="Q5192">
        <v>4.7511190000000002E-2</v>
      </c>
      <c r="R5192">
        <v>0.97915350000000001</v>
      </c>
      <c r="S5192">
        <v>0.37538149999999998</v>
      </c>
      <c r="T5192">
        <v>-0.2299359</v>
      </c>
      <c r="U5192">
        <v>3.0007929999999998</v>
      </c>
      <c r="V5192">
        <v>-0.22043499999999999</v>
      </c>
      <c r="W5192">
        <v>5.7362370000000003E-2</v>
      </c>
      <c r="X5192">
        <v>0.97371350000000001</v>
      </c>
      <c r="Y5192">
        <v>-0.291852</v>
      </c>
      <c r="Z5192">
        <v>-6.4610020000000004E-2</v>
      </c>
      <c r="AA5192">
        <v>0.95427879999999998</v>
      </c>
      <c r="AB5192">
        <v>34</v>
      </c>
      <c r="AC5192">
        <v>1.7073999999999701</v>
      </c>
      <c r="AD5192">
        <v>-1.1184929406683</v>
      </c>
      <c r="AE5192">
        <v>14.319989999999899</v>
      </c>
      <c r="AF5192">
        <v>-4.2592023047727299</v>
      </c>
      <c r="AG5192">
        <v>-1.1184929406683</v>
      </c>
      <c r="AH5192">
        <v>13.687836461813299</v>
      </c>
      <c r="AI5192">
        <v>94.461423453071504</v>
      </c>
      <c r="AJ5192">
        <v>107.284415248774</v>
      </c>
      <c r="AK5192">
        <v>14.378758560343501</v>
      </c>
    </row>
    <row r="5193" spans="1:37" x14ac:dyDescent="0.2">
      <c r="A5193" t="str">
        <f>"20200111154202976"</f>
        <v>20200111154202976</v>
      </c>
      <c r="B5193" t="str">
        <f>"1578728522970998"</f>
        <v>1578728522970998</v>
      </c>
      <c r="C5193" t="s">
        <v>37</v>
      </c>
      <c r="D5193">
        <v>5.2658120000000004</v>
      </c>
      <c r="E5193">
        <v>0.47169840000000002</v>
      </c>
      <c r="F5193" t="s">
        <v>39</v>
      </c>
      <c r="G5193">
        <v>-189.73859999999999</v>
      </c>
      <c r="H5193" s="1">
        <v>-4.1698369999999998E-6</v>
      </c>
      <c r="I5193">
        <v>-30.755299999999998</v>
      </c>
      <c r="J5193">
        <v>-191.0907</v>
      </c>
      <c r="K5193">
        <v>1.1184799999999999</v>
      </c>
      <c r="L5193">
        <v>-42.363979999999998</v>
      </c>
      <c r="M5193">
        <v>0.39968350000000002</v>
      </c>
      <c r="N5193">
        <v>0</v>
      </c>
      <c r="O5193">
        <v>0.91653809999999902</v>
      </c>
      <c r="P5193">
        <v>0.18950989999999901</v>
      </c>
      <c r="Q5193">
        <v>4.8273829999999997E-2</v>
      </c>
      <c r="R5193">
        <v>0.98069139999999999</v>
      </c>
      <c r="S5193">
        <v>0.37458799999999998</v>
      </c>
      <c r="T5193">
        <v>-0.28127799999999997</v>
      </c>
      <c r="U5193">
        <v>3.0019840000000002</v>
      </c>
      <c r="V5193">
        <v>-0.21947359999999999</v>
      </c>
      <c r="W5193">
        <v>5.8150680000000003E-2</v>
      </c>
      <c r="X5193">
        <v>0.97388390000000002</v>
      </c>
      <c r="Y5193">
        <v>-0.28354229999999903</v>
      </c>
      <c r="Z5193">
        <v>-7.9522570000000001E-2</v>
      </c>
      <c r="AA5193">
        <v>0.95565679999999997</v>
      </c>
      <c r="AB5193">
        <v>34</v>
      </c>
      <c r="AC5193">
        <v>1.3521000000000001</v>
      </c>
      <c r="AD5193">
        <v>-1.1184841698369901</v>
      </c>
      <c r="AE5193">
        <v>11.60868</v>
      </c>
      <c r="AF5193">
        <v>-3.3700397597683498</v>
      </c>
      <c r="AG5193">
        <v>-1.1184841698369901</v>
      </c>
      <c r="AH5193">
        <v>11.079909860527801</v>
      </c>
      <c r="AI5193">
        <v>95.516432455568605</v>
      </c>
      <c r="AJ5193">
        <v>106.917541943842</v>
      </c>
      <c r="AK5193">
        <v>11.634972167479299</v>
      </c>
    </row>
    <row r="5194" spans="1:37" x14ac:dyDescent="0.2">
      <c r="A5194" t="str">
        <f>"20200111154202998"</f>
        <v>20200111154202998</v>
      </c>
      <c r="B5194" t="str">
        <f>"1578728522991493"</f>
        <v>1578728522991493</v>
      </c>
      <c r="C5194" t="s">
        <v>37</v>
      </c>
      <c r="D5194">
        <v>5.2882699999999998</v>
      </c>
      <c r="E5194">
        <v>0.47206429999999999</v>
      </c>
      <c r="F5194" t="s">
        <v>39</v>
      </c>
      <c r="G5194">
        <v>-189.52709999999999</v>
      </c>
      <c r="H5194" s="1">
        <v>-4.8052619999999996E-7</v>
      </c>
      <c r="I5194">
        <v>-29.442609999999998</v>
      </c>
      <c r="J5194">
        <v>-190.9667</v>
      </c>
      <c r="K5194">
        <v>1.118463</v>
      </c>
      <c r="L5194">
        <v>-42.06015</v>
      </c>
      <c r="M5194">
        <v>0.391962799999999</v>
      </c>
      <c r="N5194">
        <v>0</v>
      </c>
      <c r="O5194">
        <v>0.91986650000000003</v>
      </c>
      <c r="P5194">
        <v>0.181842</v>
      </c>
      <c r="Q5194">
        <v>4.8987849999999999E-2</v>
      </c>
      <c r="R5194">
        <v>0.982106699999999</v>
      </c>
      <c r="S5194">
        <v>0.36322019999999999</v>
      </c>
      <c r="T5194">
        <v>-0.25982699999999997</v>
      </c>
      <c r="U5194">
        <v>3.0016780000000001</v>
      </c>
      <c r="V5194">
        <v>-0.21889059999999999</v>
      </c>
      <c r="W5194">
        <v>5.8881839999999998E-2</v>
      </c>
      <c r="X5194">
        <v>0.97397119999999904</v>
      </c>
      <c r="Y5194">
        <v>-0.27897840000000002</v>
      </c>
      <c r="Z5194">
        <v>-7.4003940000000004E-2</v>
      </c>
      <c r="AA5194">
        <v>0.957441599999999</v>
      </c>
      <c r="AB5194">
        <v>34</v>
      </c>
      <c r="AC5194">
        <v>1.43960000000001</v>
      </c>
      <c r="AD5194">
        <v>-1.1184634805261999</v>
      </c>
      <c r="AE5194">
        <v>12.61754</v>
      </c>
      <c r="AF5194">
        <v>-3.5938716230851999</v>
      </c>
      <c r="AG5194">
        <v>-1.1184634805261999</v>
      </c>
      <c r="AH5194">
        <v>12.078316988459299</v>
      </c>
      <c r="AI5194">
        <v>95.0720137001979</v>
      </c>
      <c r="AJ5194">
        <v>106.57023576579201</v>
      </c>
      <c r="AK5194">
        <v>12.651190263141</v>
      </c>
    </row>
    <row r="5195" spans="1:37" x14ac:dyDescent="0.2">
      <c r="A5195" t="str">
        <f>"20200111154203019"</f>
        <v>20200111154203019</v>
      </c>
      <c r="B5195" t="str">
        <f>"1578728523011013"</f>
        <v>1578728523011013</v>
      </c>
      <c r="C5195" t="s">
        <v>37</v>
      </c>
      <c r="D5195">
        <v>5.296303</v>
      </c>
      <c r="E5195">
        <v>0.472772999999999</v>
      </c>
      <c r="F5195" t="s">
        <v>39</v>
      </c>
      <c r="G5195">
        <v>-189.4888</v>
      </c>
      <c r="H5195" s="1">
        <v>-6.3705319999999996E-7</v>
      </c>
      <c r="I5195">
        <v>-29.093609999999899</v>
      </c>
      <c r="J5195">
        <v>-190.8484</v>
      </c>
      <c r="K5195">
        <v>1.1184499999999999</v>
      </c>
      <c r="L5195">
        <v>-41.762999999999998</v>
      </c>
      <c r="M5195">
        <v>0.38440979999999902</v>
      </c>
      <c r="N5195">
        <v>0</v>
      </c>
      <c r="O5195">
        <v>0.92304839999999999</v>
      </c>
      <c r="P5195">
        <v>0.1741946</v>
      </c>
      <c r="Q5195">
        <v>4.876809E-2</v>
      </c>
      <c r="R5195">
        <v>0.98350289999999996</v>
      </c>
      <c r="S5195">
        <v>0.34242250000000002</v>
      </c>
      <c r="T5195">
        <v>-0.25913370000000002</v>
      </c>
      <c r="U5195">
        <v>3.004181</v>
      </c>
      <c r="V5195">
        <v>-0.2184836</v>
      </c>
      <c r="W5195">
        <v>5.8675730000000002E-2</v>
      </c>
      <c r="X5195">
        <v>0.97407500000000002</v>
      </c>
      <c r="Y5195">
        <v>-0.27774090000000001</v>
      </c>
      <c r="Z5195">
        <v>-7.4190900000000004E-2</v>
      </c>
      <c r="AA5195">
        <v>0.9577869</v>
      </c>
      <c r="AB5195">
        <v>34</v>
      </c>
      <c r="AC5195">
        <v>1.3595999999999999</v>
      </c>
      <c r="AD5195">
        <v>-1.1184506370531999</v>
      </c>
      <c r="AE5195">
        <v>12.66939</v>
      </c>
      <c r="AF5195">
        <v>-3.58799805864611</v>
      </c>
      <c r="AG5195">
        <v>-1.1184506370531999</v>
      </c>
      <c r="AH5195">
        <v>12.1249734415258</v>
      </c>
      <c r="AI5195">
        <v>95.054774295971001</v>
      </c>
      <c r="AJ5195">
        <v>106.484434565762</v>
      </c>
      <c r="AK5195">
        <v>12.6940790471022</v>
      </c>
    </row>
    <row r="5196" spans="1:37" x14ac:dyDescent="0.2">
      <c r="A5196" t="str">
        <f>"20200111154203042"</f>
        <v>20200111154203042</v>
      </c>
      <c r="B5196" t="str">
        <f>"1578728523031509"</f>
        <v>1578728523031509</v>
      </c>
      <c r="C5196" t="s">
        <v>37</v>
      </c>
      <c r="D5196">
        <v>5.3143649999999996</v>
      </c>
      <c r="E5196">
        <v>0.473404299999999</v>
      </c>
      <c r="F5196" t="s">
        <v>39</v>
      </c>
      <c r="G5196">
        <v>-189.4289</v>
      </c>
      <c r="H5196" s="1">
        <v>-8.551085E-7</v>
      </c>
      <c r="I5196">
        <v>-28.61009</v>
      </c>
      <c r="J5196">
        <v>-190.72200000000001</v>
      </c>
      <c r="K5196">
        <v>1.1184369999999999</v>
      </c>
      <c r="L5196">
        <v>-41.437809999999999</v>
      </c>
      <c r="M5196">
        <v>0.37613920000000001</v>
      </c>
      <c r="N5196">
        <v>0</v>
      </c>
      <c r="O5196">
        <v>0.92644950000000004</v>
      </c>
      <c r="P5196">
        <v>0.1659023</v>
      </c>
      <c r="Q5196">
        <v>4.8445660000000001E-2</v>
      </c>
      <c r="R5196">
        <v>0.98495149999999998</v>
      </c>
      <c r="S5196">
        <v>0.32437129999999997</v>
      </c>
      <c r="T5196">
        <v>-0.25557559999999901</v>
      </c>
      <c r="U5196">
        <v>3.0055540000000001</v>
      </c>
      <c r="V5196">
        <v>-0.21797520000000001</v>
      </c>
      <c r="W5196">
        <v>5.836964E-2</v>
      </c>
      <c r="X5196">
        <v>0.9742073</v>
      </c>
      <c r="Y5196">
        <v>-0.27487479999999997</v>
      </c>
      <c r="Z5196">
        <v>-7.362697E-2</v>
      </c>
      <c r="AA5196">
        <v>0.95865679999999998</v>
      </c>
      <c r="AB5196">
        <v>34</v>
      </c>
      <c r="AC5196">
        <v>1.2930999999999999</v>
      </c>
      <c r="AD5196">
        <v>-1.1184378551084999</v>
      </c>
      <c r="AE5196">
        <v>12.8277199999999</v>
      </c>
      <c r="AF5196">
        <v>-3.6003045231529498</v>
      </c>
      <c r="AG5196">
        <v>-1.1184378551084999</v>
      </c>
      <c r="AH5196">
        <v>12.2795142034111</v>
      </c>
      <c r="AI5196">
        <v>94.995090624332207</v>
      </c>
      <c r="AJ5196">
        <v>106.340926398191</v>
      </c>
      <c r="AK5196">
        <v>12.8452156450155</v>
      </c>
    </row>
    <row r="5197" spans="1:37" x14ac:dyDescent="0.2">
      <c r="A5197" t="str">
        <f>"20200111154203065"</f>
        <v>20200111154203065</v>
      </c>
      <c r="B5197" t="str">
        <f>"1578728523060790"</f>
        <v>1578728523060790</v>
      </c>
      <c r="C5197" t="s">
        <v>37</v>
      </c>
      <c r="D5197">
        <v>5.285075</v>
      </c>
      <c r="E5197">
        <v>0.47405229999999998</v>
      </c>
      <c r="F5197" t="s">
        <v>39</v>
      </c>
      <c r="G5197">
        <v>-189.38890000000001</v>
      </c>
      <c r="H5197" s="1">
        <v>-1.018913E-6</v>
      </c>
      <c r="I5197">
        <v>-28.244769999999999</v>
      </c>
      <c r="J5197">
        <v>-190.60480000000001</v>
      </c>
      <c r="K5197">
        <v>1.118425</v>
      </c>
      <c r="L5197">
        <v>-41.127929999999999</v>
      </c>
      <c r="M5197">
        <v>0.36825609999999998</v>
      </c>
      <c r="N5197">
        <v>0</v>
      </c>
      <c r="O5197">
        <v>0.92961119999999997</v>
      </c>
      <c r="P5197">
        <v>0.15824769999999999</v>
      </c>
      <c r="Q5197">
        <v>4.8776630000000001E-2</v>
      </c>
      <c r="R5197">
        <v>0.98619400000000002</v>
      </c>
      <c r="S5197">
        <v>0.30384829999999902</v>
      </c>
      <c r="T5197">
        <v>-0.25493510000000003</v>
      </c>
      <c r="U5197">
        <v>3.0072019999999999</v>
      </c>
      <c r="V5197">
        <v>-0.21726409999999999</v>
      </c>
      <c r="W5197">
        <v>5.8720469999999997E-2</v>
      </c>
      <c r="X5197">
        <v>0.97434500000000002</v>
      </c>
      <c r="Y5197">
        <v>-0.27323619999999998</v>
      </c>
      <c r="Z5197">
        <v>-7.3840530000000001E-2</v>
      </c>
      <c r="AA5197">
        <v>0.95910879999999998</v>
      </c>
      <c r="AB5197">
        <v>34</v>
      </c>
      <c r="AC5197">
        <v>1.2159</v>
      </c>
      <c r="AD5197">
        <v>-1.118426018913</v>
      </c>
      <c r="AE5197">
        <v>12.883159999999901</v>
      </c>
      <c r="AF5197">
        <v>-3.5875693539918401</v>
      </c>
      <c r="AG5197">
        <v>-1.118426018913</v>
      </c>
      <c r="AH5197">
        <v>12.333270952989601</v>
      </c>
      <c r="AI5197">
        <v>94.976453293690398</v>
      </c>
      <c r="AJ5197">
        <v>106.218946061664</v>
      </c>
      <c r="AK5197">
        <v>12.8930641443119</v>
      </c>
    </row>
    <row r="5198" spans="1:37" x14ac:dyDescent="0.2">
      <c r="A5198" t="str">
        <f>"20200111154203089"</f>
        <v>20200111154203089</v>
      </c>
      <c r="B5198" t="str">
        <f>"1578728523081284"</f>
        <v>1578728523081284</v>
      </c>
      <c r="C5198" t="s">
        <v>37</v>
      </c>
      <c r="D5198">
        <v>5.3242769999999897</v>
      </c>
      <c r="E5198">
        <v>0.47450239999999999</v>
      </c>
      <c r="F5198" t="s">
        <v>39</v>
      </c>
      <c r="G5198">
        <v>-189.3493</v>
      </c>
      <c r="H5198" s="1">
        <v>-1.173842E-6</v>
      </c>
      <c r="I5198">
        <v>-27.9</v>
      </c>
      <c r="J5198">
        <v>-190.48050000000001</v>
      </c>
      <c r="K5198">
        <v>1.118411</v>
      </c>
      <c r="L5198">
        <v>-40.789700000000003</v>
      </c>
      <c r="M5198">
        <v>0.35964859999999998</v>
      </c>
      <c r="N5198">
        <v>0</v>
      </c>
      <c r="O5198">
        <v>0.93297509999999995</v>
      </c>
      <c r="P5198">
        <v>0.15024089999999901</v>
      </c>
      <c r="Q5198">
        <v>4.9518270000000003E-2</v>
      </c>
      <c r="R5198">
        <v>0.98740849999999902</v>
      </c>
      <c r="S5198">
        <v>0.28556819999999999</v>
      </c>
      <c r="T5198">
        <v>-0.2543917</v>
      </c>
      <c r="U5198">
        <v>3.008759</v>
      </c>
      <c r="V5198">
        <v>-0.2161623</v>
      </c>
      <c r="W5198">
        <v>5.9490639999999997E-2</v>
      </c>
      <c r="X5198">
        <v>0.9745433</v>
      </c>
      <c r="Y5198">
        <v>-0.27016709999999999</v>
      </c>
      <c r="Z5198">
        <v>-7.4120980000000003E-2</v>
      </c>
      <c r="AA5198">
        <v>0.95995609999999998</v>
      </c>
      <c r="AB5198">
        <v>34</v>
      </c>
      <c r="AC5198">
        <v>1.1312</v>
      </c>
      <c r="AD5198">
        <v>-1.1184121738420001</v>
      </c>
      <c r="AE5198">
        <v>12.889699999999999</v>
      </c>
      <c r="AF5198">
        <v>-3.5542038396896398</v>
      </c>
      <c r="AG5198">
        <v>-1.1184121738420001</v>
      </c>
      <c r="AH5198">
        <v>12.3417049877614</v>
      </c>
      <c r="AI5198">
        <v>94.976844933540605</v>
      </c>
      <c r="AJ5198">
        <v>106.065512303177</v>
      </c>
      <c r="AK5198">
        <v>12.8918925193161</v>
      </c>
    </row>
    <row r="5199" spans="1:37" x14ac:dyDescent="0.2">
      <c r="A5199" t="str">
        <f>"20200111154203110"</f>
        <v>20200111154203110</v>
      </c>
      <c r="B5199" t="str">
        <f>"1578728523100805"</f>
        <v>1578728523100805</v>
      </c>
      <c r="C5199" t="s">
        <v>37</v>
      </c>
      <c r="D5199">
        <v>5.3302199999999997</v>
      </c>
      <c r="E5199">
        <v>0.47506120000000002</v>
      </c>
      <c r="F5199" t="s">
        <v>39</v>
      </c>
      <c r="G5199">
        <v>-189.31280000000001</v>
      </c>
      <c r="H5199" s="1">
        <v>-1.349792E-6</v>
      </c>
      <c r="I5199">
        <v>-27.504959999999901</v>
      </c>
      <c r="J5199">
        <v>-190.3689</v>
      </c>
      <c r="K5199">
        <v>1.1184049999999901</v>
      </c>
      <c r="L5199">
        <v>-40.477870000000003</v>
      </c>
      <c r="M5199">
        <v>0.35170889999999999</v>
      </c>
      <c r="N5199">
        <v>0</v>
      </c>
      <c r="O5199">
        <v>0.93599709999999903</v>
      </c>
      <c r="P5199">
        <v>0.14217009999999999</v>
      </c>
      <c r="Q5199">
        <v>4.9998069999999999E-2</v>
      </c>
      <c r="R5199">
        <v>0.98857870000000003</v>
      </c>
      <c r="S5199">
        <v>0.26463320000000001</v>
      </c>
      <c r="T5199">
        <v>-0.253465</v>
      </c>
      <c r="U5199">
        <v>3.0107119999999998</v>
      </c>
      <c r="V5199">
        <v>-0.21584120000000001</v>
      </c>
      <c r="W5199">
        <v>5.9980899999999997E-2</v>
      </c>
      <c r="X5199">
        <v>0.97458449999999996</v>
      </c>
      <c r="Y5199">
        <v>-0.26866509999999999</v>
      </c>
      <c r="Z5199">
        <v>-7.4218530000000005E-2</v>
      </c>
      <c r="AA5199">
        <v>0.96037009999999901</v>
      </c>
      <c r="AB5199">
        <v>34</v>
      </c>
      <c r="AC5199">
        <v>1.0560999999999801</v>
      </c>
      <c r="AD5199">
        <v>-1.1184063497919901</v>
      </c>
      <c r="AE5199">
        <v>12.972910000000001</v>
      </c>
      <c r="AF5199">
        <v>-3.5483583053150198</v>
      </c>
      <c r="AG5199">
        <v>-1.1184063497919901</v>
      </c>
      <c r="AH5199">
        <v>12.423633316556</v>
      </c>
      <c r="AI5199">
        <v>94.947252742666606</v>
      </c>
      <c r="AJ5199">
        <v>105.940060866056</v>
      </c>
      <c r="AK5199">
        <v>12.9687448972672</v>
      </c>
    </row>
    <row r="5200" spans="1:37" x14ac:dyDescent="0.2">
      <c r="A5200" t="str">
        <f>"20200111154203133"</f>
        <v>20200111154203133</v>
      </c>
      <c r="B5200" t="str">
        <f>"1578728523131060"</f>
        <v>1578728523131060</v>
      </c>
      <c r="C5200" t="s">
        <v>37</v>
      </c>
      <c r="D5200">
        <v>5.3437970000000004</v>
      </c>
      <c r="E5200">
        <v>0.47556110000000001</v>
      </c>
      <c r="F5200" t="s">
        <v>39</v>
      </c>
      <c r="G5200">
        <v>-189.2859</v>
      </c>
      <c r="H5200" s="1">
        <v>-1.507024E-6</v>
      </c>
      <c r="I5200">
        <v>-27.149570000000001</v>
      </c>
      <c r="J5200">
        <v>-190.25799999999899</v>
      </c>
      <c r="K5200">
        <v>1.118395</v>
      </c>
      <c r="L5200">
        <v>-40.159269999999999</v>
      </c>
      <c r="M5200">
        <v>0.34359339999999999</v>
      </c>
      <c r="N5200">
        <v>0</v>
      </c>
      <c r="O5200">
        <v>0.93900659999999903</v>
      </c>
      <c r="P5200">
        <v>0.1332777</v>
      </c>
      <c r="Q5200">
        <v>5.0313360000000001E-2</v>
      </c>
      <c r="R5200">
        <v>0.98980080000000004</v>
      </c>
      <c r="S5200">
        <v>0.24476619999999999</v>
      </c>
      <c r="T5200">
        <v>-0.25276329999999902</v>
      </c>
      <c r="U5200">
        <v>3.012238</v>
      </c>
      <c r="V5200">
        <v>-0.21616439999999901</v>
      </c>
      <c r="W5200">
        <v>6.0292680000000001E-2</v>
      </c>
      <c r="X5200">
        <v>0.97449359999999996</v>
      </c>
      <c r="Y5200">
        <v>-0.26665870000000003</v>
      </c>
      <c r="Z5200">
        <v>-7.4391390000000002E-2</v>
      </c>
      <c r="AA5200">
        <v>0.96091569999999904</v>
      </c>
      <c r="AB5200">
        <v>34</v>
      </c>
      <c r="AC5200">
        <v>0.97209999999998298</v>
      </c>
      <c r="AD5200">
        <v>-1.1183965070240001</v>
      </c>
      <c r="AE5200">
        <v>13.0097</v>
      </c>
      <c r="AF5200">
        <v>-3.5316578339012898</v>
      </c>
      <c r="AG5200">
        <v>-1.1183965070240001</v>
      </c>
      <c r="AH5200">
        <v>12.459949979490499</v>
      </c>
      <c r="AI5200">
        <v>94.935669254704095</v>
      </c>
      <c r="AJ5200">
        <v>105.82489208822901</v>
      </c>
      <c r="AK5200">
        <v>12.9989911644745</v>
      </c>
    </row>
    <row r="5201" spans="1:37" x14ac:dyDescent="0.2">
      <c r="A5201" t="str">
        <f>"20200111154203155"</f>
        <v>20200111154203155</v>
      </c>
      <c r="B5201" t="str">
        <f>"1578728523151557"</f>
        <v>1578728523151557</v>
      </c>
      <c r="C5201" t="s">
        <v>37</v>
      </c>
      <c r="D5201">
        <v>5.3348839999999997</v>
      </c>
      <c r="E5201">
        <v>0.47603379999999901</v>
      </c>
      <c r="F5201" t="s">
        <v>39</v>
      </c>
      <c r="G5201">
        <v>-189.27029999999999</v>
      </c>
      <c r="H5201" s="1">
        <v>-1.6856479999999899E-6</v>
      </c>
      <c r="I5201">
        <v>-26.739659999999901</v>
      </c>
      <c r="J5201">
        <v>-190.14850000000001</v>
      </c>
      <c r="K5201">
        <v>1.118385</v>
      </c>
      <c r="L5201">
        <v>-39.83578</v>
      </c>
      <c r="M5201">
        <v>0.33534930000000002</v>
      </c>
      <c r="N5201">
        <v>0</v>
      </c>
      <c r="O5201">
        <v>0.9419824</v>
      </c>
      <c r="P5201">
        <v>0.1244156</v>
      </c>
      <c r="Q5201">
        <v>5.0692059999999997E-2</v>
      </c>
      <c r="R5201">
        <v>0.99093439999999999</v>
      </c>
      <c r="S5201">
        <v>0.22183229999999901</v>
      </c>
      <c r="T5201">
        <v>-0.25117339999999999</v>
      </c>
      <c r="U5201">
        <v>3.0138240000000001</v>
      </c>
      <c r="V5201">
        <v>-0.21634110000000001</v>
      </c>
      <c r="W5201">
        <v>6.0671070000000001E-2</v>
      </c>
      <c r="X5201">
        <v>0.97443089999999999</v>
      </c>
      <c r="Y5201">
        <v>-0.2655188</v>
      </c>
      <c r="Z5201">
        <v>-7.4286569999999996E-2</v>
      </c>
      <c r="AA5201">
        <v>0.96123950000000002</v>
      </c>
      <c r="AB5201">
        <v>34</v>
      </c>
      <c r="AC5201">
        <v>0.87820000000002096</v>
      </c>
      <c r="AD5201">
        <v>-1.118386685648</v>
      </c>
      <c r="AE5201">
        <v>13.096120000000001</v>
      </c>
      <c r="AF5201">
        <v>-3.5392046488703199</v>
      </c>
      <c r="AG5201">
        <v>-1.118386685648</v>
      </c>
      <c r="AH5201">
        <v>12.5410936074127</v>
      </c>
      <c r="AI5201">
        <v>94.9054226478505</v>
      </c>
      <c r="AJ5201">
        <v>105.759523512314</v>
      </c>
      <c r="AK5201">
        <v>13.0788297333938</v>
      </c>
    </row>
    <row r="5202" spans="1:37" x14ac:dyDescent="0.2">
      <c r="A5202" t="str">
        <f>"20200111154203177"</f>
        <v>20200111154203177</v>
      </c>
      <c r="B5202" t="str">
        <f>"1578728523171077"</f>
        <v>1578728523171077</v>
      </c>
      <c r="C5202" t="s">
        <v>37</v>
      </c>
      <c r="D5202">
        <v>5.3255220000000003</v>
      </c>
      <c r="E5202">
        <v>0.47648479999999999</v>
      </c>
      <c r="F5202" t="s">
        <v>39</v>
      </c>
      <c r="G5202">
        <v>-189.255</v>
      </c>
      <c r="H5202" s="1">
        <v>-1.8917709999999899E-6</v>
      </c>
      <c r="I5202">
        <v>-26.265499999999999</v>
      </c>
      <c r="J5202">
        <v>-190.04640000000001</v>
      </c>
      <c r="K5202">
        <v>1.1183730000000001</v>
      </c>
      <c r="L5202">
        <v>-39.525669999999998</v>
      </c>
      <c r="M5202">
        <v>0.32744309999999899</v>
      </c>
      <c r="N5202">
        <v>0</v>
      </c>
      <c r="O5202">
        <v>0.94475980000000004</v>
      </c>
      <c r="P5202">
        <v>0.116150399999999</v>
      </c>
      <c r="Q5202">
        <v>5.1284780000000002E-2</v>
      </c>
      <c r="R5202">
        <v>0.99190669999999903</v>
      </c>
      <c r="S5202">
        <v>0.19853209999999999</v>
      </c>
      <c r="T5202">
        <v>-0.24849829999999901</v>
      </c>
      <c r="U5202">
        <v>3.015228</v>
      </c>
      <c r="V5202">
        <v>-0.2162965</v>
      </c>
      <c r="W5202">
        <v>6.1268389999999999E-2</v>
      </c>
      <c r="X5202">
        <v>0.97440339999999903</v>
      </c>
      <c r="Y5202">
        <v>-0.26486120000000002</v>
      </c>
      <c r="Z5202">
        <v>-7.3829909999999999E-2</v>
      </c>
      <c r="AA5202">
        <v>0.96145599999999998</v>
      </c>
      <c r="AB5202">
        <v>34</v>
      </c>
      <c r="AC5202">
        <v>0.79140000000000998</v>
      </c>
      <c r="AD5202">
        <v>-1.1183748917709999</v>
      </c>
      <c r="AE5202">
        <v>13.26017</v>
      </c>
      <c r="AF5202">
        <v>-3.5693455799917202</v>
      </c>
      <c r="AG5202">
        <v>-1.1183748917709999</v>
      </c>
      <c r="AH5202">
        <v>12.698150153235</v>
      </c>
      <c r="AI5202">
        <v>94.846395394337506</v>
      </c>
      <c r="AJ5202">
        <v>105.70023645629399</v>
      </c>
      <c r="AK5202">
        <v>13.237598255803601</v>
      </c>
    </row>
    <row r="5203" spans="1:37" x14ac:dyDescent="0.2">
      <c r="A5203" t="str">
        <f>"20200111154203199"</f>
        <v>20200111154203199</v>
      </c>
      <c r="B5203" t="str">
        <f>"1578728523191573"</f>
        <v>1578728523191573</v>
      </c>
      <c r="C5203" t="s">
        <v>37</v>
      </c>
      <c r="D5203">
        <v>5.180326</v>
      </c>
      <c r="E5203">
        <v>0.47668749999999999</v>
      </c>
      <c r="F5203" t="s">
        <v>39</v>
      </c>
      <c r="G5203">
        <v>-189.23670000000001</v>
      </c>
      <c r="H5203" s="1">
        <v>-2.14082E-6</v>
      </c>
      <c r="I5203">
        <v>-25.692529999999898</v>
      </c>
      <c r="J5203">
        <v>-189.94799999999901</v>
      </c>
      <c r="K5203">
        <v>1.1183670000000001</v>
      </c>
      <c r="L5203">
        <v>-39.217859999999902</v>
      </c>
      <c r="M5203">
        <v>0.31959199999999999</v>
      </c>
      <c r="N5203">
        <v>0</v>
      </c>
      <c r="O5203">
        <v>0.94744459999999997</v>
      </c>
      <c r="P5203">
        <v>0.1087771</v>
      </c>
      <c r="Q5203">
        <v>5.1962609999999999E-2</v>
      </c>
      <c r="R5203">
        <v>0.99270709999999995</v>
      </c>
      <c r="S5203">
        <v>0.1765747</v>
      </c>
      <c r="T5203">
        <v>-0.243869999999999</v>
      </c>
      <c r="U5203">
        <v>3.0164179999999998</v>
      </c>
      <c r="V5203">
        <v>-0.21545029999999901</v>
      </c>
      <c r="W5203">
        <v>6.1968469999999998E-2</v>
      </c>
      <c r="X5203">
        <v>0.97454660000000004</v>
      </c>
      <c r="Y5203">
        <v>-0.26385140000000001</v>
      </c>
      <c r="Z5203">
        <v>-7.2782070000000004E-2</v>
      </c>
      <c r="AA5203">
        <v>0.96181349999999999</v>
      </c>
      <c r="AB5203">
        <v>34</v>
      </c>
      <c r="AC5203">
        <v>0.71129999999996496</v>
      </c>
      <c r="AD5203">
        <v>-1.1183691408200001</v>
      </c>
      <c r="AE5203">
        <v>13.525329999999901</v>
      </c>
      <c r="AF5203">
        <v>-3.6243407277843498</v>
      </c>
      <c r="AG5203">
        <v>-1.1183691408200001</v>
      </c>
      <c r="AH5203">
        <v>12.9548642524069</v>
      </c>
      <c r="AI5203">
        <v>94.752408019565294</v>
      </c>
      <c r="AJ5203">
        <v>105.62985493399999</v>
      </c>
      <c r="AK5203">
        <v>13.498707458290401</v>
      </c>
    </row>
    <row r="5204" spans="1:37" x14ac:dyDescent="0.2">
      <c r="A5204" t="str">
        <f>"20200111154203221"</f>
        <v>20200111154203221</v>
      </c>
      <c r="B5204" t="str">
        <f>"1578728523211093"</f>
        <v>1578728523211093</v>
      </c>
      <c r="C5204" t="s">
        <v>37</v>
      </c>
      <c r="D5204">
        <v>5.3451510000000004</v>
      </c>
      <c r="E5204">
        <v>0.47709020000000002</v>
      </c>
      <c r="F5204" t="s">
        <v>39</v>
      </c>
      <c r="G5204">
        <v>-189.2277</v>
      </c>
      <c r="H5204" s="1">
        <v>-2.3325819999999998E-6</v>
      </c>
      <c r="I5204">
        <v>-25.24925</v>
      </c>
      <c r="J5204">
        <v>-189.84819999999999</v>
      </c>
      <c r="K5204">
        <v>1.1183609999999999</v>
      </c>
      <c r="L5204">
        <v>-38.89676</v>
      </c>
      <c r="M5204">
        <v>0.31139820000000001</v>
      </c>
      <c r="N5204">
        <v>0</v>
      </c>
      <c r="O5204">
        <v>0.95016919999999905</v>
      </c>
      <c r="P5204">
        <v>0.10170460000000001</v>
      </c>
      <c r="Q5204">
        <v>5.2480209999999999E-2</v>
      </c>
      <c r="R5204">
        <v>0.99342940000000002</v>
      </c>
      <c r="S5204">
        <v>0.1556091</v>
      </c>
      <c r="T5204">
        <v>-0.24160119999999999</v>
      </c>
      <c r="U5204">
        <v>3.017639</v>
      </c>
      <c r="V5204">
        <v>-0.2139723</v>
      </c>
      <c r="W5204">
        <v>6.2522430000000004E-2</v>
      </c>
      <c r="X5204">
        <v>0.97483679999999995</v>
      </c>
      <c r="Y5204">
        <v>-0.26220500000000002</v>
      </c>
      <c r="Z5204">
        <v>-7.2433549999999999E-2</v>
      </c>
      <c r="AA5204">
        <v>0.96228989999999903</v>
      </c>
      <c r="AB5204">
        <v>34</v>
      </c>
      <c r="AC5204">
        <v>0.62049999999999195</v>
      </c>
      <c r="AD5204">
        <v>-1.1183633325819999</v>
      </c>
      <c r="AE5204">
        <v>13.64751</v>
      </c>
      <c r="AF5204">
        <v>-3.6362460585355998</v>
      </c>
      <c r="AG5204">
        <v>-1.1183633325819999</v>
      </c>
      <c r="AH5204">
        <v>13.0744297397965</v>
      </c>
      <c r="AI5204">
        <v>94.711119055887806</v>
      </c>
      <c r="AJ5204">
        <v>105.54225436937401</v>
      </c>
      <c r="AK5204">
        <v>13.616671214461901</v>
      </c>
    </row>
    <row r="5205" spans="1:37" x14ac:dyDescent="0.2">
      <c r="A5205" t="str">
        <f>"20200111154203245"</f>
        <v>20200111154203245</v>
      </c>
      <c r="B5205" t="str">
        <f>"1578728523241348"</f>
        <v>1578728523241348</v>
      </c>
      <c r="C5205" t="s">
        <v>37</v>
      </c>
      <c r="D5205">
        <v>5.3216580000000002</v>
      </c>
      <c r="E5205">
        <v>0.48685230000000002</v>
      </c>
      <c r="F5205" t="s">
        <v>39</v>
      </c>
      <c r="G5205">
        <v>-189.20830000000001</v>
      </c>
      <c r="H5205" s="1">
        <v>-2.51161399999999E-6</v>
      </c>
      <c r="I5205">
        <v>-24.839950000000002</v>
      </c>
      <c r="J5205">
        <v>-189.74879999999999</v>
      </c>
      <c r="K5205">
        <v>1.1183529999999999</v>
      </c>
      <c r="L5205">
        <v>-38.566099999999999</v>
      </c>
      <c r="M5205">
        <v>0.3029599</v>
      </c>
      <c r="N5205">
        <v>0</v>
      </c>
      <c r="O5205">
        <v>0.9528934</v>
      </c>
      <c r="P5205">
        <v>9.4999130000000001E-2</v>
      </c>
      <c r="Q5205">
        <v>5.2945159999999998E-2</v>
      </c>
      <c r="R5205">
        <v>0.99406839999999996</v>
      </c>
      <c r="S5205">
        <v>0.13742070000000001</v>
      </c>
      <c r="T5205">
        <v>-0.24014969999999999</v>
      </c>
      <c r="U5205">
        <v>3.0184630000000001</v>
      </c>
      <c r="V5205">
        <v>-0.21190290000000001</v>
      </c>
      <c r="W5205">
        <v>6.3036889999999998E-2</v>
      </c>
      <c r="X5205">
        <v>0.9752556</v>
      </c>
      <c r="Y5205">
        <v>-0.25944459999999903</v>
      </c>
      <c r="Z5205">
        <v>-7.2342009999999998E-2</v>
      </c>
      <c r="AA5205">
        <v>0.96304469999999998</v>
      </c>
      <c r="AB5205">
        <v>34</v>
      </c>
      <c r="AC5205">
        <v>0.54049999999998</v>
      </c>
      <c r="AD5205">
        <v>-1.118355511614</v>
      </c>
      <c r="AE5205">
        <v>13.726149999999899</v>
      </c>
      <c r="AF5205">
        <v>-3.6198232292525798</v>
      </c>
      <c r="AG5205">
        <v>-1.118355511614</v>
      </c>
      <c r="AH5205">
        <v>13.157485606097101</v>
      </c>
      <c r="AI5205">
        <v>94.685079047556798</v>
      </c>
      <c r="AJ5205">
        <v>105.38238320610699</v>
      </c>
      <c r="AK5205">
        <v>13.6920877420519</v>
      </c>
    </row>
    <row r="5206" spans="1:37" x14ac:dyDescent="0.2">
      <c r="A5206" t="str">
        <f>"20200111154203267"</f>
        <v>20200111154203267</v>
      </c>
      <c r="B5206" t="str">
        <f>"1578728523260871"</f>
        <v>1578728523260871</v>
      </c>
      <c r="C5206" t="s">
        <v>37</v>
      </c>
      <c r="D5206">
        <v>5.3072089999999896</v>
      </c>
      <c r="E5206">
        <v>0.48802820000000002</v>
      </c>
      <c r="F5206" t="s">
        <v>39</v>
      </c>
      <c r="G5206">
        <v>-188.85560000000001</v>
      </c>
      <c r="H5206" s="1">
        <v>-2.603294E-6</v>
      </c>
      <c r="I5206">
        <v>-24.772069999999999</v>
      </c>
      <c r="J5206">
        <v>-189.6558</v>
      </c>
      <c r="K5206">
        <v>1.1183419999999999</v>
      </c>
      <c r="L5206">
        <v>-38.246639999999999</v>
      </c>
      <c r="M5206">
        <v>0.29481259999999998</v>
      </c>
      <c r="N5206">
        <v>0</v>
      </c>
      <c r="O5206">
        <v>0.95544549999999995</v>
      </c>
      <c r="P5206">
        <v>8.8545750000000006E-2</v>
      </c>
      <c r="Q5206">
        <v>5.322288E-2</v>
      </c>
      <c r="R5206">
        <v>0.99464920000000001</v>
      </c>
      <c r="S5206">
        <v>0.19505310000000001</v>
      </c>
      <c r="T5206">
        <v>-0.24422070000000001</v>
      </c>
      <c r="U5206">
        <v>3.0122680000000002</v>
      </c>
      <c r="V5206">
        <v>-0.20990129999999901</v>
      </c>
      <c r="W5206">
        <v>6.3364299999999998E-2</v>
      </c>
      <c r="X5206">
        <v>0.97566719999999896</v>
      </c>
      <c r="Y5206">
        <v>-0.23265529999999901</v>
      </c>
      <c r="Z5206">
        <v>-7.4259889999999995E-2</v>
      </c>
      <c r="AA5206">
        <v>0.96972009999999897</v>
      </c>
      <c r="AB5206">
        <v>34</v>
      </c>
      <c r="AC5206">
        <v>0.80019999999998903</v>
      </c>
      <c r="AD5206">
        <v>-1.1183446032940001</v>
      </c>
      <c r="AE5206">
        <v>13.4745699999999</v>
      </c>
      <c r="AF5206">
        <v>-3.18638934798983</v>
      </c>
      <c r="AG5206">
        <v>-1.1183446032940001</v>
      </c>
      <c r="AH5206">
        <v>13.022112418490501</v>
      </c>
      <c r="AI5206">
        <v>94.768540248712398</v>
      </c>
      <c r="AJ5206">
        <v>103.74957951941801</v>
      </c>
      <c r="AK5206">
        <v>13.452850388245</v>
      </c>
    </row>
    <row r="5207" spans="1:37" x14ac:dyDescent="0.2">
      <c r="A5207" t="str">
        <f>"20200111154203289"</f>
        <v>20200111154203289</v>
      </c>
      <c r="B5207" t="str">
        <f>"1578728523281367"</f>
        <v>1578728523281367</v>
      </c>
      <c r="C5207" t="s">
        <v>37</v>
      </c>
      <c r="D5207">
        <v>5.3829900000000004</v>
      </c>
      <c r="E5207">
        <v>0.48792809999999998</v>
      </c>
      <c r="F5207" t="s">
        <v>39</v>
      </c>
      <c r="G5207">
        <v>-188.8158</v>
      </c>
      <c r="H5207" s="1">
        <v>-2.69820999999999E-6</v>
      </c>
      <c r="I5207">
        <v>-24.56729</v>
      </c>
      <c r="J5207">
        <v>-189.56799999999899</v>
      </c>
      <c r="K5207">
        <v>1.1183239999999901</v>
      </c>
      <c r="L5207">
        <v>-37.93506</v>
      </c>
      <c r="M5207">
        <v>0.28687229999999903</v>
      </c>
      <c r="N5207">
        <v>0</v>
      </c>
      <c r="O5207">
        <v>0.95785959999999903</v>
      </c>
      <c r="P5207">
        <v>8.2631689999999994E-2</v>
      </c>
      <c r="Q5207">
        <v>5.4130110000000002E-2</v>
      </c>
      <c r="R5207">
        <v>0.99510900000000002</v>
      </c>
      <c r="S5207">
        <v>0.1850281</v>
      </c>
      <c r="T5207">
        <v>-0.246313</v>
      </c>
      <c r="U5207">
        <v>3.012848</v>
      </c>
      <c r="V5207">
        <v>-0.207600799999999</v>
      </c>
      <c r="W5207">
        <v>6.4327449999999994E-2</v>
      </c>
      <c r="X5207">
        <v>0.97609630000000003</v>
      </c>
      <c r="Y5207">
        <v>-0.2278107</v>
      </c>
      <c r="Z5207">
        <v>-7.5224330000000006E-2</v>
      </c>
      <c r="AA5207">
        <v>0.97079530000000003</v>
      </c>
      <c r="AB5207">
        <v>34</v>
      </c>
      <c r="AC5207">
        <v>0.75219999999998699</v>
      </c>
      <c r="AD5207">
        <v>-1.11832669821</v>
      </c>
      <c r="AE5207">
        <v>13.36777</v>
      </c>
      <c r="AF5207">
        <v>-3.0930874863620699</v>
      </c>
      <c r="AG5207">
        <v>-1.11832669821</v>
      </c>
      <c r="AH5207">
        <v>12.9313771475202</v>
      </c>
      <c r="AI5207">
        <v>94.807776917796403</v>
      </c>
      <c r="AJ5207">
        <v>103.451974782424</v>
      </c>
      <c r="AK5207">
        <v>13.3431015784797</v>
      </c>
    </row>
    <row r="5208" spans="1:37" x14ac:dyDescent="0.2">
      <c r="A5208" t="str">
        <f>"20200111154203311"</f>
        <v>20200111154203311</v>
      </c>
      <c r="B5208" t="str">
        <f>"1578728523300885"</f>
        <v>1578728523300885</v>
      </c>
      <c r="C5208" t="s">
        <v>37</v>
      </c>
      <c r="D5208">
        <v>5.3223919999999998</v>
      </c>
      <c r="E5208">
        <v>0.48882559999999903</v>
      </c>
      <c r="F5208" t="s">
        <v>39</v>
      </c>
      <c r="G5208">
        <v>-188.8605</v>
      </c>
      <c r="H5208" s="1">
        <v>-2.43743899999999E-6</v>
      </c>
      <c r="I5208">
        <v>-25.156639999999999</v>
      </c>
      <c r="J5208">
        <v>-189.47749999999999</v>
      </c>
      <c r="K5208">
        <v>1.118296</v>
      </c>
      <c r="L5208">
        <v>-37.603389999999997</v>
      </c>
      <c r="M5208">
        <v>0.27843629999999903</v>
      </c>
      <c r="N5208">
        <v>0</v>
      </c>
      <c r="O5208">
        <v>0.96034580000000003</v>
      </c>
      <c r="P5208">
        <v>7.5333449999999996E-2</v>
      </c>
      <c r="Q5208">
        <v>5.4291480000000003E-2</v>
      </c>
      <c r="R5208">
        <v>0.99567929999999905</v>
      </c>
      <c r="S5208">
        <v>0.1669312</v>
      </c>
      <c r="T5208">
        <v>-0.26388309999999998</v>
      </c>
      <c r="U5208">
        <v>3.015228</v>
      </c>
      <c r="V5208">
        <v>-0.20616709999999999</v>
      </c>
      <c r="W5208">
        <v>6.4529210000000004E-2</v>
      </c>
      <c r="X5208">
        <v>0.9763868</v>
      </c>
      <c r="Y5208">
        <v>-0.22512260000000001</v>
      </c>
      <c r="Z5208">
        <v>-8.0851530000000005E-2</v>
      </c>
      <c r="AA5208">
        <v>0.97097</v>
      </c>
      <c r="AB5208">
        <v>34</v>
      </c>
      <c r="AC5208">
        <v>0.61699999999999</v>
      </c>
      <c r="AD5208">
        <v>-1.1182984374389999</v>
      </c>
      <c r="AE5208">
        <v>12.44675</v>
      </c>
      <c r="AF5208">
        <v>-2.8504406525856099</v>
      </c>
      <c r="AG5208">
        <v>-1.1182984374389999</v>
      </c>
      <c r="AH5208">
        <v>12.029379466759201</v>
      </c>
      <c r="AI5208">
        <v>95.168853704887795</v>
      </c>
      <c r="AJ5208">
        <v>103.330741802457</v>
      </c>
      <c r="AK5208">
        <v>12.412959907466901</v>
      </c>
    </row>
    <row r="5209" spans="1:37" x14ac:dyDescent="0.2">
      <c r="A5209" t="str">
        <f>"20200111154203334"</f>
        <v>20200111154203334</v>
      </c>
      <c r="B5209" t="str">
        <f>"1578728523321381"</f>
        <v>1578728523321381</v>
      </c>
      <c r="C5209" t="s">
        <v>37</v>
      </c>
      <c r="D5209">
        <v>5.2914300000000001</v>
      </c>
      <c r="E5209">
        <v>0.48928879999999902</v>
      </c>
      <c r="F5209" t="s">
        <v>39</v>
      </c>
      <c r="G5209">
        <v>-188.85429999999999</v>
      </c>
      <c r="H5209" s="1">
        <v>-2.3914390000000001E-6</v>
      </c>
      <c r="I5209">
        <v>-25.26643</v>
      </c>
      <c r="J5209">
        <v>-189.39349999999999</v>
      </c>
      <c r="K5209">
        <v>1.1182639999999999</v>
      </c>
      <c r="L5209">
        <v>-37.284820000000003</v>
      </c>
      <c r="M5209">
        <v>0.27036149999999998</v>
      </c>
      <c r="N5209">
        <v>0</v>
      </c>
      <c r="O5209">
        <v>0.96265029999999996</v>
      </c>
      <c r="P5209">
        <v>6.7674360000000003E-2</v>
      </c>
      <c r="Q5209">
        <v>5.3473809999999997E-2</v>
      </c>
      <c r="R5209">
        <v>0.99627339999999998</v>
      </c>
      <c r="S5209">
        <v>0.15237429999999999</v>
      </c>
      <c r="T5209">
        <v>-0.27342670000000002</v>
      </c>
      <c r="U5209">
        <v>3.0164179999999998</v>
      </c>
      <c r="V5209">
        <v>-0.20546610000000001</v>
      </c>
      <c r="W5209">
        <v>6.3739749999999998E-2</v>
      </c>
      <c r="X5209">
        <v>0.97658630000000002</v>
      </c>
      <c r="Y5209">
        <v>-0.2216456</v>
      </c>
      <c r="Z5209">
        <v>-8.4075609999999995E-2</v>
      </c>
      <c r="AA5209">
        <v>0.97149599999999903</v>
      </c>
      <c r="AB5209">
        <v>34</v>
      </c>
      <c r="AC5209">
        <v>0.53919999999999302</v>
      </c>
      <c r="AD5209">
        <v>-1.1182663914390001</v>
      </c>
      <c r="AE5209">
        <v>12.01839</v>
      </c>
      <c r="AF5209">
        <v>-2.7071440295140201</v>
      </c>
      <c r="AG5209">
        <v>-1.1182663914390001</v>
      </c>
      <c r="AH5209">
        <v>11.6161444312693</v>
      </c>
      <c r="AI5209">
        <v>95.356160292795494</v>
      </c>
      <c r="AJ5209">
        <v>103.118633086179</v>
      </c>
      <c r="AK5209">
        <v>11.9797312142996</v>
      </c>
    </row>
    <row r="5210" spans="1:37" x14ac:dyDescent="0.2">
      <c r="A5210" t="str">
        <f>"20200111154203357"</f>
        <v>20200111154203357</v>
      </c>
      <c r="B5210" t="str">
        <f>"1578728523351636"</f>
        <v>1578728523351636</v>
      </c>
      <c r="C5210" t="s">
        <v>37</v>
      </c>
      <c r="D5210">
        <v>5.2763780000000002</v>
      </c>
      <c r="E5210">
        <v>0.48989969999999999</v>
      </c>
      <c r="F5210" t="s">
        <v>39</v>
      </c>
      <c r="G5210">
        <v>-188.84979999999999</v>
      </c>
      <c r="H5210" s="1">
        <v>-2.5114359999999999E-6</v>
      </c>
      <c r="I5210">
        <v>-24.988569999999999</v>
      </c>
      <c r="J5210">
        <v>-189.31020000000001</v>
      </c>
      <c r="K5210">
        <v>1.1182110000000001</v>
      </c>
      <c r="L5210">
        <v>-36.957819999999998</v>
      </c>
      <c r="M5210">
        <v>0.26211869999999998</v>
      </c>
      <c r="N5210">
        <v>0</v>
      </c>
      <c r="O5210">
        <v>0.96492739999999999</v>
      </c>
      <c r="P5210">
        <v>5.9500440000000002E-2</v>
      </c>
      <c r="Q5210">
        <v>5.3157700000000002E-2</v>
      </c>
      <c r="R5210">
        <v>0.99681189999999997</v>
      </c>
      <c r="S5210">
        <v>0.13339229999999899</v>
      </c>
      <c r="T5210">
        <v>-0.274366099999999</v>
      </c>
      <c r="U5210">
        <v>3.0168759999999999</v>
      </c>
      <c r="V5210">
        <v>-0.20511509999999999</v>
      </c>
      <c r="W5210">
        <v>6.3448530000000003E-2</v>
      </c>
      <c r="X5210">
        <v>0.97667909999999902</v>
      </c>
      <c r="Y5210">
        <v>-0.2194139</v>
      </c>
      <c r="Z5210">
        <v>-8.469103E-2</v>
      </c>
      <c r="AA5210">
        <v>0.97194899999999995</v>
      </c>
      <c r="AB5210">
        <v>34</v>
      </c>
      <c r="AC5210">
        <v>0.46040000000002101</v>
      </c>
      <c r="AD5210">
        <v>-1.1182135114359999</v>
      </c>
      <c r="AE5210">
        <v>11.969249999999899</v>
      </c>
      <c r="AF5210">
        <v>-2.6701225689583401</v>
      </c>
      <c r="AG5210">
        <v>-1.1182135114359999</v>
      </c>
      <c r="AH5210">
        <v>11.570517390662101</v>
      </c>
      <c r="AI5210">
        <v>95.379588916299795</v>
      </c>
      <c r="AJ5210">
        <v>102.994631700908</v>
      </c>
      <c r="AK5210">
        <v>11.927146711516199</v>
      </c>
    </row>
    <row r="5211" spans="1:37" x14ac:dyDescent="0.2">
      <c r="A5211" t="str">
        <f>"20200111154203379"</f>
        <v>20200111154203379</v>
      </c>
      <c r="B5211" t="str">
        <f>"1578728523371158"</f>
        <v>1578728523371158</v>
      </c>
      <c r="C5211" t="s">
        <v>37</v>
      </c>
      <c r="D5211">
        <v>5.3017070000000004</v>
      </c>
      <c r="E5211">
        <v>0.49051699999999998</v>
      </c>
      <c r="F5211" t="s">
        <v>39</v>
      </c>
      <c r="G5211">
        <v>-188.845</v>
      </c>
      <c r="H5211" s="1">
        <v>-2.6582529999999998E-6</v>
      </c>
      <c r="I5211">
        <v>-24.648340000000001</v>
      </c>
      <c r="J5211">
        <v>-189.2294</v>
      </c>
      <c r="K5211">
        <v>1.118158</v>
      </c>
      <c r="L5211">
        <v>-36.6297</v>
      </c>
      <c r="M5211">
        <v>0.25392009999999998</v>
      </c>
      <c r="N5211">
        <v>0</v>
      </c>
      <c r="O5211">
        <v>0.96711740000000002</v>
      </c>
      <c r="P5211">
        <v>5.2052590000000003E-2</v>
      </c>
      <c r="Q5211">
        <v>5.4306239999999999E-2</v>
      </c>
      <c r="R5211">
        <v>0.99716669999999996</v>
      </c>
      <c r="S5211">
        <v>0.1140289</v>
      </c>
      <c r="T5211">
        <v>-0.27410509999999999</v>
      </c>
      <c r="U5211">
        <v>3.017395</v>
      </c>
      <c r="V5211">
        <v>-0.20411609999999999</v>
      </c>
      <c r="W5211">
        <v>6.4642450000000004E-2</v>
      </c>
      <c r="X5211">
        <v>0.97681010000000001</v>
      </c>
      <c r="Y5211">
        <v>-0.21736820000000001</v>
      </c>
      <c r="Z5211">
        <v>-8.4922890000000001E-2</v>
      </c>
      <c r="AA5211">
        <v>0.97238840000000004</v>
      </c>
      <c r="AB5211">
        <v>34</v>
      </c>
      <c r="AC5211">
        <v>0.38439999999999902</v>
      </c>
      <c r="AD5211">
        <v>-1.1181606582529999</v>
      </c>
      <c r="AE5211">
        <v>11.98136</v>
      </c>
      <c r="AF5211">
        <v>-2.6477893072992198</v>
      </c>
      <c r="AG5211">
        <v>-1.1181606582529999</v>
      </c>
      <c r="AH5211">
        <v>11.5854070373785</v>
      </c>
      <c r="AI5211">
        <v>95.375055312500606</v>
      </c>
      <c r="AJ5211">
        <v>102.873574032363</v>
      </c>
      <c r="AK5211">
        <v>11.9366129071547</v>
      </c>
    </row>
    <row r="5212" spans="1:37" x14ac:dyDescent="0.2">
      <c r="A5212" t="str">
        <f>"20200111154203401"</f>
        <v>20200111154203401</v>
      </c>
      <c r="B5212" t="str">
        <f>"1578728523391654"</f>
        <v>1578728523391654</v>
      </c>
      <c r="C5212" t="s">
        <v>37</v>
      </c>
      <c r="D5212">
        <v>5.2052620000000003</v>
      </c>
      <c r="E5212">
        <v>0.49104219999999998</v>
      </c>
      <c r="F5212" t="s">
        <v>39</v>
      </c>
      <c r="G5212">
        <v>-188.82759999999999</v>
      </c>
      <c r="H5212" s="1">
        <v>-2.919202E-6</v>
      </c>
      <c r="I5212">
        <v>-24.047270000000001</v>
      </c>
      <c r="J5212">
        <v>-189.15559999999999</v>
      </c>
      <c r="K5212">
        <v>1.118088</v>
      </c>
      <c r="L5212">
        <v>-36.319119999999998</v>
      </c>
      <c r="M5212">
        <v>0.2462567</v>
      </c>
      <c r="N5212">
        <v>0</v>
      </c>
      <c r="O5212">
        <v>0.96909719999999999</v>
      </c>
      <c r="P5212">
        <v>4.5682380000000002E-2</v>
      </c>
      <c r="Q5212">
        <v>5.6155429999999999E-2</v>
      </c>
      <c r="R5212">
        <v>0.99737640000000005</v>
      </c>
      <c r="S5212">
        <v>9.638977E-2</v>
      </c>
      <c r="T5212">
        <v>-0.26820870000000002</v>
      </c>
      <c r="U5212">
        <v>3.018097</v>
      </c>
      <c r="V5212">
        <v>-0.20261760000000001</v>
      </c>
      <c r="W5212">
        <v>6.6553299999999996E-2</v>
      </c>
      <c r="X5212">
        <v>0.97699369999999996</v>
      </c>
      <c r="Y5212">
        <v>-0.21532219999999999</v>
      </c>
      <c r="Z5212">
        <v>-8.3380259999999998E-2</v>
      </c>
      <c r="AA5212">
        <v>0.97297690000000003</v>
      </c>
      <c r="AB5212">
        <v>34</v>
      </c>
      <c r="AC5212">
        <v>0.32800000000000201</v>
      </c>
      <c r="AD5212">
        <v>-1.1180909192020001</v>
      </c>
      <c r="AE5212">
        <v>12.271849999999899</v>
      </c>
      <c r="AF5212">
        <v>-2.6821938344151199</v>
      </c>
      <c r="AG5212">
        <v>-1.1180909192020001</v>
      </c>
      <c r="AH5212">
        <v>11.876120471984001</v>
      </c>
      <c r="AI5212">
        <v>95.246937722454405</v>
      </c>
      <c r="AJ5212">
        <v>102.72660134049799</v>
      </c>
      <c r="AK5212">
        <v>12.226468359017399</v>
      </c>
    </row>
    <row r="5213" spans="1:37" x14ac:dyDescent="0.2">
      <c r="A5213" t="str">
        <f>"20200111154203421"</f>
        <v>20200111154203421</v>
      </c>
      <c r="B5213" t="str">
        <f>"1578728523411173"</f>
        <v>1578728523411173</v>
      </c>
      <c r="C5213" t="s">
        <v>37</v>
      </c>
      <c r="D5213">
        <v>5.2329059999999998</v>
      </c>
      <c r="E5213">
        <v>0.4916758</v>
      </c>
      <c r="F5213" t="s">
        <v>39</v>
      </c>
      <c r="G5213">
        <v>-188.8075</v>
      </c>
      <c r="H5213" s="1">
        <v>-3.2167219999999998E-6</v>
      </c>
      <c r="I5213">
        <v>-23.36205</v>
      </c>
      <c r="J5213">
        <v>-189.0855</v>
      </c>
      <c r="K5213">
        <v>1.118001</v>
      </c>
      <c r="L5213">
        <v>-36.013950000000001</v>
      </c>
      <c r="M5213">
        <v>0.23884649999999999</v>
      </c>
      <c r="N5213">
        <v>0</v>
      </c>
      <c r="O5213">
        <v>0.97095030000000004</v>
      </c>
      <c r="P5213">
        <v>3.9782129999999999E-2</v>
      </c>
      <c r="Q5213">
        <v>5.8039769999999997E-2</v>
      </c>
      <c r="R5213">
        <v>0.99752129999999894</v>
      </c>
      <c r="S5213">
        <v>8.1115720000000002E-2</v>
      </c>
      <c r="T5213">
        <v>-0.26050069999999997</v>
      </c>
      <c r="U5213">
        <v>3.0188290000000002</v>
      </c>
      <c r="V5213">
        <v>-0.20092189999999999</v>
      </c>
      <c r="W5213">
        <v>6.8511009999999997E-2</v>
      </c>
      <c r="X5213">
        <v>0.97720859999999998</v>
      </c>
      <c r="Y5213">
        <v>-0.21278359999999999</v>
      </c>
      <c r="Z5213">
        <v>-8.1249379999999996E-2</v>
      </c>
      <c r="AA5213">
        <v>0.97371540000000001</v>
      </c>
      <c r="AB5213">
        <v>34</v>
      </c>
      <c r="AC5213">
        <v>0.27799999999999098</v>
      </c>
      <c r="AD5213">
        <v>-1.1180042167219999</v>
      </c>
      <c r="AE5213">
        <v>12.651899999999999</v>
      </c>
      <c r="AF5213">
        <v>-2.73090951199696</v>
      </c>
      <c r="AG5213">
        <v>-1.1180042167219999</v>
      </c>
      <c r="AH5213">
        <v>12.256389724501499</v>
      </c>
      <c r="AI5213">
        <v>95.087896954464597</v>
      </c>
      <c r="AJ5213">
        <v>102.561178083725</v>
      </c>
      <c r="AK5213">
        <v>12.606620850576499</v>
      </c>
    </row>
    <row r="5214" spans="1:37" x14ac:dyDescent="0.2">
      <c r="A5214" t="str">
        <f>"20200111154203446"</f>
        <v>20200111154203446</v>
      </c>
      <c r="B5214" t="str">
        <f>"1578728523441429"</f>
        <v>1578728523441429</v>
      </c>
      <c r="C5214" t="s">
        <v>37</v>
      </c>
      <c r="D5214">
        <v>5.262664</v>
      </c>
      <c r="E5214">
        <v>0.492841799999999</v>
      </c>
      <c r="F5214" t="s">
        <v>39</v>
      </c>
      <c r="G5214">
        <v>-188.7841</v>
      </c>
      <c r="H5214" s="1">
        <v>-3.5090779999999998E-6</v>
      </c>
      <c r="I5214">
        <v>-22.69022</v>
      </c>
      <c r="J5214">
        <v>-189.0104</v>
      </c>
      <c r="K5214">
        <v>1.1178729999999999</v>
      </c>
      <c r="L5214">
        <v>-35.674469999999999</v>
      </c>
      <c r="M5214">
        <v>0.23078080000000001</v>
      </c>
      <c r="N5214">
        <v>0</v>
      </c>
      <c r="O5214">
        <v>0.97289910000000002</v>
      </c>
      <c r="P5214">
        <v>3.3290340000000002E-2</v>
      </c>
      <c r="Q5214">
        <v>6.0094710000000003E-2</v>
      </c>
      <c r="R5214">
        <v>0.99763740000000001</v>
      </c>
      <c r="S5214">
        <v>6.8313600000000002E-2</v>
      </c>
      <c r="T5214">
        <v>-0.25336609999999998</v>
      </c>
      <c r="U5214">
        <v>3.0194700000000001</v>
      </c>
      <c r="V5214">
        <v>-0.19915459999999999</v>
      </c>
      <c r="W5214">
        <v>7.0653469999999996E-2</v>
      </c>
      <c r="X5214">
        <v>0.9774178</v>
      </c>
      <c r="Y5214">
        <v>-0.20880199999999999</v>
      </c>
      <c r="Z5214">
        <v>-7.9306070000000006E-2</v>
      </c>
      <c r="AA5214">
        <v>0.97473699999999996</v>
      </c>
      <c r="AB5214">
        <v>34</v>
      </c>
      <c r="AC5214">
        <v>0.22630000000000899</v>
      </c>
      <c r="AD5214">
        <v>-1.1178765090779901</v>
      </c>
      <c r="AE5214">
        <v>12.984249999999999</v>
      </c>
      <c r="AF5214">
        <v>-2.75621299777371</v>
      </c>
      <c r="AG5214">
        <v>-1.1178765090779901</v>
      </c>
      <c r="AH5214">
        <v>12.592595516913599</v>
      </c>
      <c r="AI5214">
        <v>94.956268044598104</v>
      </c>
      <c r="AJ5214">
        <v>102.34595958647699</v>
      </c>
      <c r="AK5214">
        <v>12.9390811045931</v>
      </c>
    </row>
    <row r="5215" spans="1:37" x14ac:dyDescent="0.2">
      <c r="A5215" t="str">
        <f>"20200111154203468"</f>
        <v>20200111154203468</v>
      </c>
      <c r="B5215" t="str">
        <f>"1578728523460949"</f>
        <v>1578728523460949</v>
      </c>
      <c r="C5215" t="s">
        <v>37</v>
      </c>
      <c r="D5215">
        <v>5.2371259999999999</v>
      </c>
      <c r="E5215">
        <v>0.49344460000000001</v>
      </c>
      <c r="F5215" t="s">
        <v>39</v>
      </c>
      <c r="G5215">
        <v>-188.7465</v>
      </c>
      <c r="H5215" s="1">
        <v>-3.8589609999999998E-6</v>
      </c>
      <c r="I5215">
        <v>-21.8902</v>
      </c>
      <c r="J5215">
        <v>-188.9391</v>
      </c>
      <c r="K5215">
        <v>1.117729</v>
      </c>
      <c r="L5215">
        <v>-35.339599999999997</v>
      </c>
      <c r="M5215">
        <v>0.2230182</v>
      </c>
      <c r="N5215">
        <v>0</v>
      </c>
      <c r="O5215">
        <v>0.97470809999999997</v>
      </c>
      <c r="P5215">
        <v>2.7994330000000001E-2</v>
      </c>
      <c r="Q5215">
        <v>6.1789660000000003E-2</v>
      </c>
      <c r="R5215">
        <v>0.99769649999999999</v>
      </c>
      <c r="S5215">
        <v>5.7830810000000003E-2</v>
      </c>
      <c r="T5215">
        <v>-0.24491019999999999</v>
      </c>
      <c r="U5215">
        <v>3.01992799999999</v>
      </c>
      <c r="V5215">
        <v>-0.19652729999999999</v>
      </c>
      <c r="W5215">
        <v>7.2457960000000002E-2</v>
      </c>
      <c r="X5215">
        <v>0.97781739999999995</v>
      </c>
      <c r="Y5215">
        <v>-0.20438689999999901</v>
      </c>
      <c r="Z5215">
        <v>-7.6923839999999993E-2</v>
      </c>
      <c r="AA5215">
        <v>0.97586299999999904</v>
      </c>
      <c r="AB5215">
        <v>33</v>
      </c>
      <c r="AC5215">
        <v>0.192599999999998</v>
      </c>
      <c r="AD5215">
        <v>-1.1177328589610001</v>
      </c>
      <c r="AE5215">
        <v>13.449399999999899</v>
      </c>
      <c r="AF5215">
        <v>-2.7927386252437301</v>
      </c>
      <c r="AG5215">
        <v>-1.1177328589610001</v>
      </c>
      <c r="AH5215">
        <v>13.063347855824301</v>
      </c>
      <c r="AI5215">
        <v>94.782901077373197</v>
      </c>
      <c r="AJ5215">
        <v>102.06728638737199</v>
      </c>
      <c r="AK5215">
        <v>13.405214394973299</v>
      </c>
    </row>
    <row r="5216" spans="1:37" x14ac:dyDescent="0.2">
      <c r="A5216" t="str">
        <f>"20200111154203491"</f>
        <v>20200111154203491</v>
      </c>
      <c r="B5216" t="str">
        <f>"1578728523481445"</f>
        <v>1578728523481445</v>
      </c>
      <c r="C5216" t="s">
        <v>37</v>
      </c>
      <c r="D5216">
        <v>5.2430830000000004</v>
      </c>
      <c r="E5216">
        <v>0.493957799999999</v>
      </c>
      <c r="F5216" t="s">
        <v>39</v>
      </c>
      <c r="G5216">
        <v>-188.72380000000001</v>
      </c>
      <c r="H5216" s="1">
        <v>-4.112677E-6</v>
      </c>
      <c r="I5216">
        <v>-21.308150000000001</v>
      </c>
      <c r="J5216">
        <v>-188.87309999999999</v>
      </c>
      <c r="K5216">
        <v>1.1175899999999901</v>
      </c>
      <c r="L5216">
        <v>-35.018920000000001</v>
      </c>
      <c r="M5216">
        <v>0.21574650000000001</v>
      </c>
      <c r="N5216">
        <v>0</v>
      </c>
      <c r="O5216">
        <v>0.97634379999999998</v>
      </c>
      <c r="P5216">
        <v>2.3765359999999999E-2</v>
      </c>
      <c r="Q5216">
        <v>6.3243519999999998E-2</v>
      </c>
      <c r="R5216">
        <v>0.99771509999999997</v>
      </c>
      <c r="S5216">
        <v>4.6340939999999997E-2</v>
      </c>
      <c r="T5216">
        <v>-0.24061359999999901</v>
      </c>
      <c r="U5216">
        <v>3.0205380000000002</v>
      </c>
      <c r="V5216">
        <v>-0.1933571</v>
      </c>
      <c r="W5216">
        <v>7.4027289999999996E-2</v>
      </c>
      <c r="X5216">
        <v>0.97833169999999903</v>
      </c>
      <c r="Y5216">
        <v>-0.2008027</v>
      </c>
      <c r="Z5216">
        <v>-7.5793449999999998E-2</v>
      </c>
      <c r="AA5216">
        <v>0.97669519999999999</v>
      </c>
      <c r="AB5216">
        <v>33</v>
      </c>
      <c r="AC5216">
        <v>0.149299999999982</v>
      </c>
      <c r="AD5216">
        <v>-1.1175941126769999</v>
      </c>
      <c r="AE5216">
        <v>13.71077</v>
      </c>
      <c r="AF5216">
        <v>-2.79401070372215</v>
      </c>
      <c r="AG5216">
        <v>-1.1175941126769999</v>
      </c>
      <c r="AH5216">
        <v>13.331453412280499</v>
      </c>
      <c r="AI5216">
        <v>94.690542625464005</v>
      </c>
      <c r="AJ5216">
        <v>101.836748696193</v>
      </c>
      <c r="AK5216">
        <v>13.666863667169901</v>
      </c>
    </row>
    <row r="5217" spans="1:37" x14ac:dyDescent="0.2">
      <c r="A5217" t="str">
        <f>"20200111154203512"</f>
        <v>20200111154203512</v>
      </c>
      <c r="B5217" t="str">
        <f>"1578728523500965"</f>
        <v>1578728523500965</v>
      </c>
      <c r="C5217" t="s">
        <v>37</v>
      </c>
      <c r="D5217">
        <v>5.1796499999999996</v>
      </c>
      <c r="E5217">
        <v>0.49443519999999902</v>
      </c>
      <c r="F5217" t="s">
        <v>39</v>
      </c>
      <c r="G5217">
        <v>-188.6994</v>
      </c>
      <c r="H5217" s="1">
        <v>-4.330743E-6</v>
      </c>
      <c r="I5217">
        <v>-20.809929999999898</v>
      </c>
      <c r="J5217">
        <v>-188.81059999999999</v>
      </c>
      <c r="K5217">
        <v>1.117442</v>
      </c>
      <c r="L5217">
        <v>-34.703890000000001</v>
      </c>
      <c r="M5217">
        <v>0.20877979999999999</v>
      </c>
      <c r="N5217">
        <v>0</v>
      </c>
      <c r="O5217">
        <v>0.97785739999999999</v>
      </c>
      <c r="P5217">
        <v>1.9489159999999998E-2</v>
      </c>
      <c r="Q5217">
        <v>6.3531450000000003E-2</v>
      </c>
      <c r="R5217">
        <v>0.9977895</v>
      </c>
      <c r="S5217">
        <v>3.694153E-2</v>
      </c>
      <c r="T5217">
        <v>-0.23761839999999901</v>
      </c>
      <c r="U5217">
        <v>3.0210569999999999</v>
      </c>
      <c r="V5217">
        <v>-0.1905451</v>
      </c>
      <c r="W5217">
        <v>7.4423399999999904E-2</v>
      </c>
      <c r="X5217">
        <v>0.97885330000000004</v>
      </c>
      <c r="Y5217">
        <v>-0.196857</v>
      </c>
      <c r="Z5217">
        <v>-7.5053289999999995E-2</v>
      </c>
      <c r="AA5217">
        <v>0.97755530000000002</v>
      </c>
      <c r="AB5217">
        <v>33</v>
      </c>
      <c r="AC5217">
        <v>0.111199999999996</v>
      </c>
      <c r="AD5217">
        <v>-1.117446330743</v>
      </c>
      <c r="AE5217">
        <v>13.89396</v>
      </c>
      <c r="AF5217">
        <v>-2.7743830811293799</v>
      </c>
      <c r="AG5217">
        <v>-1.117446330743</v>
      </c>
      <c r="AH5217">
        <v>13.5234588125508</v>
      </c>
      <c r="AI5217">
        <v>94.627682238933303</v>
      </c>
      <c r="AJ5217">
        <v>101.59355874716501</v>
      </c>
      <c r="AK5217">
        <v>13.8502644753704</v>
      </c>
    </row>
    <row r="5218" spans="1:37" x14ac:dyDescent="0.2">
      <c r="A5218" t="str">
        <f>"20200111154203536"</f>
        <v>20200111154203536</v>
      </c>
      <c r="B5218" t="str">
        <f>"1578728523531221"</f>
        <v>1578728523531221</v>
      </c>
      <c r="C5218" t="s">
        <v>37</v>
      </c>
      <c r="D5218">
        <v>5.2253030000000003</v>
      </c>
      <c r="E5218">
        <v>0.49513409999999902</v>
      </c>
      <c r="F5218" t="s">
        <v>39</v>
      </c>
      <c r="G5218">
        <v>-188.6788</v>
      </c>
      <c r="H5218" s="1">
        <v>-4.4554219999999999E-6</v>
      </c>
      <c r="I5218">
        <v>-20.527799999999999</v>
      </c>
      <c r="J5218">
        <v>-188.74529999999999</v>
      </c>
      <c r="K5218">
        <v>1.117272</v>
      </c>
      <c r="L5218">
        <v>-34.362949999999998</v>
      </c>
      <c r="M5218">
        <v>0.20145940000000001</v>
      </c>
      <c r="N5218">
        <v>0</v>
      </c>
      <c r="O5218">
        <v>0.97939209999999999</v>
      </c>
      <c r="P5218">
        <v>1.474113E-2</v>
      </c>
      <c r="Q5218">
        <v>6.3850370000000004E-2</v>
      </c>
      <c r="R5218">
        <v>0.99785059999999903</v>
      </c>
      <c r="S5218">
        <v>2.8076170000000001E-2</v>
      </c>
      <c r="T5218">
        <v>-0.23815520000000001</v>
      </c>
      <c r="U5218">
        <v>3.021271</v>
      </c>
      <c r="V5218">
        <v>-0.1878466</v>
      </c>
      <c r="W5218">
        <v>7.4854219999999999E-2</v>
      </c>
      <c r="X5218">
        <v>0.97934189999999999</v>
      </c>
      <c r="Y5218">
        <v>-0.1923907</v>
      </c>
      <c r="Z5218">
        <v>-7.5432830000000006E-2</v>
      </c>
      <c r="AA5218">
        <v>0.97841489999999998</v>
      </c>
      <c r="AB5218">
        <v>33</v>
      </c>
      <c r="AC5218">
        <v>6.6499999999990594E-2</v>
      </c>
      <c r="AD5218">
        <v>-1.117276455422</v>
      </c>
      <c r="AE5218">
        <v>13.835150000000001</v>
      </c>
      <c r="AF5218">
        <v>-2.7047320579725902</v>
      </c>
      <c r="AG5218">
        <v>-1.117276455422</v>
      </c>
      <c r="AH5218">
        <v>13.4769366156867</v>
      </c>
      <c r="AI5218">
        <v>94.6469041994512</v>
      </c>
      <c r="AJ5218">
        <v>101.34812752718</v>
      </c>
      <c r="AK5218">
        <v>13.7910007877058</v>
      </c>
    </row>
    <row r="5219" spans="1:37" x14ac:dyDescent="0.2">
      <c r="A5219" t="str">
        <f>"20200111154203558"</f>
        <v>20200111154203558</v>
      </c>
      <c r="B5219" t="str">
        <f>"1578728523550741"</f>
        <v>1578728523550741</v>
      </c>
      <c r="C5219" t="s">
        <v>37</v>
      </c>
      <c r="D5219">
        <v>5.2132860000000001</v>
      </c>
      <c r="E5219">
        <v>0.495531099999999</v>
      </c>
      <c r="F5219" t="s">
        <v>39</v>
      </c>
      <c r="G5219">
        <v>-188.6533</v>
      </c>
      <c r="H5219" s="1">
        <v>-4.20283999999999E-7</v>
      </c>
      <c r="I5219">
        <v>-20.16986</v>
      </c>
      <c r="J5219">
        <v>-188.68530000000001</v>
      </c>
      <c r="K5219">
        <v>1.1170990000000001</v>
      </c>
      <c r="L5219">
        <v>-34.037659999999903</v>
      </c>
      <c r="M5219">
        <v>0.1947026</v>
      </c>
      <c r="N5219">
        <v>0</v>
      </c>
      <c r="O5219">
        <v>0.98075800000000002</v>
      </c>
      <c r="P5219">
        <v>1.2981060000000001E-2</v>
      </c>
      <c r="Q5219">
        <v>6.5169759999999993E-2</v>
      </c>
      <c r="R5219">
        <v>0.997789699999999</v>
      </c>
      <c r="S5219">
        <v>1.9592289999999998E-2</v>
      </c>
      <c r="T5219">
        <v>-0.23784259999999999</v>
      </c>
      <c r="U5219">
        <v>3.0213930000000002</v>
      </c>
      <c r="V5219">
        <v>-0.18278529999999901</v>
      </c>
      <c r="W5219">
        <v>7.6329129999999995E-2</v>
      </c>
      <c r="X5219">
        <v>0.98018539999999998</v>
      </c>
      <c r="Y5219">
        <v>-0.1883716</v>
      </c>
      <c r="Z5219">
        <v>-7.5523090000000001E-2</v>
      </c>
      <c r="AA5219">
        <v>0.97918969999999905</v>
      </c>
      <c r="AB5219">
        <v>33</v>
      </c>
      <c r="AC5219">
        <v>3.2000000000010603E-2</v>
      </c>
      <c r="AD5219">
        <v>-1.1170994202840001</v>
      </c>
      <c r="AE5219">
        <v>13.8677999999999</v>
      </c>
      <c r="AF5219">
        <v>-2.6517786358139599</v>
      </c>
      <c r="AG5219">
        <v>-1.1170994202840001</v>
      </c>
      <c r="AH5219">
        <v>13.5208443757898</v>
      </c>
      <c r="AI5219">
        <v>94.635171491086894</v>
      </c>
      <c r="AJ5219">
        <v>101.09630476462399</v>
      </c>
      <c r="AK5219">
        <v>13.8236418386215</v>
      </c>
    </row>
    <row r="5220" spans="1:37" x14ac:dyDescent="0.2">
      <c r="A5220" t="str">
        <f>"20200111154203591"</f>
        <v>20200111154203591</v>
      </c>
      <c r="B5220" t="str">
        <f>"1578728523580997"</f>
        <v>1578728523580997</v>
      </c>
      <c r="C5220" t="s">
        <v>37</v>
      </c>
      <c r="D5220">
        <v>5.2364879999999996</v>
      </c>
      <c r="E5220">
        <v>0.50417609999999902</v>
      </c>
      <c r="F5220" t="s">
        <v>39</v>
      </c>
      <c r="G5220">
        <v>-188.60489999999999</v>
      </c>
      <c r="H5220" s="1">
        <v>-6.0943199999999997E-7</v>
      </c>
      <c r="I5220">
        <v>-19.65184</v>
      </c>
      <c r="J5220">
        <v>-188.6028</v>
      </c>
      <c r="K5220">
        <v>1.1168020000000001</v>
      </c>
      <c r="L5220">
        <v>-33.570219999999999</v>
      </c>
      <c r="M5220">
        <v>0.18544389999999999</v>
      </c>
      <c r="N5220">
        <v>0</v>
      </c>
      <c r="O5220">
        <v>0.98255119999999896</v>
      </c>
      <c r="P5220">
        <v>8.5536540000000008E-3</v>
      </c>
      <c r="Q5220">
        <v>6.6138130000000003E-2</v>
      </c>
      <c r="R5220">
        <v>0.99777380000000004</v>
      </c>
      <c r="S5220">
        <v>1.6876220000000001E-2</v>
      </c>
      <c r="T5220">
        <v>-0.2346481</v>
      </c>
      <c r="U5220">
        <v>3.0217589999999999</v>
      </c>
      <c r="V5220">
        <v>-0.17782770000000001</v>
      </c>
      <c r="W5220">
        <v>7.7487280000000006E-2</v>
      </c>
      <c r="X5220">
        <v>0.98100609999999999</v>
      </c>
      <c r="Y5220">
        <v>-0.17998329999999901</v>
      </c>
      <c r="Z5220">
        <v>-7.4774750000000001E-2</v>
      </c>
      <c r="AA5220">
        <v>0.98082349999999996</v>
      </c>
      <c r="AB5220">
        <v>33</v>
      </c>
      <c r="AC5220">
        <v>-2.0999999999844398E-3</v>
      </c>
      <c r="AD5220">
        <v>-1.116802609432</v>
      </c>
      <c r="AE5220">
        <v>13.9183799999999</v>
      </c>
      <c r="AF5220">
        <v>-2.5668786624392901</v>
      </c>
      <c r="AG5220">
        <v>-1.116802609432</v>
      </c>
      <c r="AH5220">
        <v>13.5890334307553</v>
      </c>
      <c r="AI5220">
        <v>94.616959970438899</v>
      </c>
      <c r="AJ5220">
        <v>100.696760034363</v>
      </c>
      <c r="AK5220">
        <v>13.874362822065301</v>
      </c>
    </row>
    <row r="5221" spans="1:37" x14ac:dyDescent="0.2">
      <c r="A5221" t="str">
        <f>"20200111154203613"</f>
        <v>20200111154203613</v>
      </c>
      <c r="B5221" t="str">
        <f>"1578728523601493"</f>
        <v>1578728523601493</v>
      </c>
      <c r="C5221" t="s">
        <v>37</v>
      </c>
      <c r="D5221">
        <v>5.2953809999999999</v>
      </c>
      <c r="E5221">
        <v>0.50305659999999996</v>
      </c>
      <c r="F5221" t="s">
        <v>39</v>
      </c>
      <c r="G5221">
        <v>-188.2158</v>
      </c>
      <c r="H5221" s="1">
        <v>-1.5860429999999899E-6</v>
      </c>
      <c r="I5221">
        <v>-17.407859999999999</v>
      </c>
      <c r="J5221">
        <v>-188.5472</v>
      </c>
      <c r="K5221">
        <v>1.1165799999999999</v>
      </c>
      <c r="L5221">
        <v>-33.241759999999999</v>
      </c>
      <c r="M5221">
        <v>0.17924470000000001</v>
      </c>
      <c r="N5221">
        <v>0</v>
      </c>
      <c r="O5221">
        <v>0.9837013</v>
      </c>
      <c r="P5221">
        <v>5.7433609999999998E-3</v>
      </c>
      <c r="Q5221">
        <v>6.6487439999999995E-2</v>
      </c>
      <c r="R5221">
        <v>0.99777070000000001</v>
      </c>
      <c r="S5221">
        <v>7.2311399999999998E-2</v>
      </c>
      <c r="T5221">
        <v>-0.20867189999999999</v>
      </c>
      <c r="U5221">
        <v>3.0198969999999998</v>
      </c>
      <c r="V5221">
        <v>-0.1743565</v>
      </c>
      <c r="W5221">
        <v>7.7971230000000002E-2</v>
      </c>
      <c r="X5221">
        <v>0.98159069999999904</v>
      </c>
      <c r="Y5221">
        <v>-0.15571299999999999</v>
      </c>
      <c r="Z5221">
        <v>-6.68324E-2</v>
      </c>
      <c r="AA5221">
        <v>0.9855389</v>
      </c>
      <c r="AB5221">
        <v>33</v>
      </c>
      <c r="AC5221">
        <v>0.33140000000000203</v>
      </c>
      <c r="AD5221">
        <v>-1.116581586043</v>
      </c>
      <c r="AE5221">
        <v>15.8339</v>
      </c>
      <c r="AF5221">
        <v>-2.4999726401297901</v>
      </c>
      <c r="AG5221">
        <v>-1.116581586043</v>
      </c>
      <c r="AH5221">
        <v>15.5594766059259</v>
      </c>
      <c r="AI5221">
        <v>94.052829260935098</v>
      </c>
      <c r="AJ5221">
        <v>99.127816165916499</v>
      </c>
      <c r="AK5221">
        <v>15.798542017858599</v>
      </c>
    </row>
    <row r="5222" spans="1:37" x14ac:dyDescent="0.2">
      <c r="A5222" t="str">
        <f>"20200111154203635"</f>
        <v>20200111154203635</v>
      </c>
      <c r="B5222" t="str">
        <f>"1578728523630773"</f>
        <v>1578728523630773</v>
      </c>
      <c r="C5222" t="s">
        <v>37</v>
      </c>
      <c r="D5222">
        <v>5.2134689999999999</v>
      </c>
      <c r="E5222">
        <v>0.50128189999999995</v>
      </c>
      <c r="F5222" t="s">
        <v>39</v>
      </c>
      <c r="G5222">
        <v>-188.26400000000001</v>
      </c>
      <c r="H5222" s="1">
        <v>-1.3587719999999899E-6</v>
      </c>
      <c r="I5222">
        <v>-17.9177</v>
      </c>
      <c r="J5222">
        <v>-188.49539999999999</v>
      </c>
      <c r="K5222">
        <v>1.116368</v>
      </c>
      <c r="L5222">
        <v>-32.925660000000001</v>
      </c>
      <c r="M5222">
        <v>0.173513</v>
      </c>
      <c r="N5222">
        <v>0</v>
      </c>
      <c r="O5222">
        <v>0.98472890000000002</v>
      </c>
      <c r="P5222">
        <v>3.741571E-3</v>
      </c>
      <c r="Q5222">
        <v>6.7474889999999996E-2</v>
      </c>
      <c r="R5222">
        <v>0.99771399999999999</v>
      </c>
      <c r="S5222">
        <v>5.5831909999999998E-2</v>
      </c>
      <c r="T5222">
        <v>-0.2201282</v>
      </c>
      <c r="U5222">
        <v>3.0210569999999999</v>
      </c>
      <c r="V5222">
        <v>-0.170564299999999</v>
      </c>
      <c r="W5222">
        <v>7.9090699999999903E-2</v>
      </c>
      <c r="X5222">
        <v>0.98216719999999902</v>
      </c>
      <c r="Y5222">
        <v>-0.1553475</v>
      </c>
      <c r="Z5222">
        <v>-7.0573520000000001E-2</v>
      </c>
      <c r="AA5222">
        <v>0.98533579999999998</v>
      </c>
      <c r="AB5222">
        <v>33</v>
      </c>
      <c r="AC5222">
        <v>0.23139999999997901</v>
      </c>
      <c r="AD5222">
        <v>-1.1163693587720001</v>
      </c>
      <c r="AE5222">
        <v>15.007960000000001</v>
      </c>
      <c r="AF5222">
        <v>-2.3633763962862502</v>
      </c>
      <c r="AG5222">
        <v>-1.1163693587720001</v>
      </c>
      <c r="AH5222">
        <v>14.7388884043089</v>
      </c>
      <c r="AI5222">
        <v>94.277059989493594</v>
      </c>
      <c r="AJ5222">
        <v>99.109812297705901</v>
      </c>
      <c r="AK5222">
        <v>14.968856333414401</v>
      </c>
    </row>
    <row r="5223" spans="1:37" x14ac:dyDescent="0.2">
      <c r="A5223" t="str">
        <f>"20200111154203658"</f>
        <v>20200111154203658</v>
      </c>
      <c r="B5223" t="str">
        <f>"1578728523651269"</f>
        <v>1578728523651269</v>
      </c>
      <c r="C5223" t="s">
        <v>37</v>
      </c>
      <c r="D5223">
        <v>5.1977019999999996</v>
      </c>
      <c r="E5223">
        <v>0.50018739999999995</v>
      </c>
      <c r="F5223" t="s">
        <v>39</v>
      </c>
      <c r="G5223">
        <v>-188.29</v>
      </c>
      <c r="H5223" s="1">
        <v>-2.6649149999999999E-6</v>
      </c>
      <c r="I5223">
        <v>-14.862270000000001</v>
      </c>
      <c r="J5223">
        <v>-188.4426</v>
      </c>
      <c r="K5223">
        <v>1.1161299999999901</v>
      </c>
      <c r="L5223">
        <v>-32.592219999999998</v>
      </c>
      <c r="M5223">
        <v>0.16774929999999999</v>
      </c>
      <c r="N5223">
        <v>0</v>
      </c>
      <c r="O5223">
        <v>0.98572739999999903</v>
      </c>
      <c r="P5223">
        <v>2.1214429999999898E-3</v>
      </c>
      <c r="Q5223">
        <v>6.8243070000000003E-2</v>
      </c>
      <c r="R5223">
        <v>0.99766650000000001</v>
      </c>
      <c r="S5223">
        <v>3.433228E-2</v>
      </c>
      <c r="T5223">
        <v>-0.18660460000000001</v>
      </c>
      <c r="U5223">
        <v>3.0193479999999999</v>
      </c>
      <c r="V5223">
        <v>-0.16636189999999901</v>
      </c>
      <c r="W5223">
        <v>0.08</v>
      </c>
      <c r="X5223">
        <v>0.98281419999999997</v>
      </c>
      <c r="Y5223">
        <v>-0.15656529999999999</v>
      </c>
      <c r="Z5223">
        <v>-5.9992820000000002E-2</v>
      </c>
      <c r="AA5223">
        <v>0.9858439</v>
      </c>
      <c r="AB5223">
        <v>33</v>
      </c>
      <c r="AC5223">
        <v>0.15260000000000601</v>
      </c>
      <c r="AD5223">
        <v>-1.1161326649150001</v>
      </c>
      <c r="AE5223">
        <v>17.729949999999999</v>
      </c>
      <c r="AF5223">
        <v>-2.81290295368292</v>
      </c>
      <c r="AG5223">
        <v>-1.1161326649150001</v>
      </c>
      <c r="AH5223">
        <v>17.4351718666598</v>
      </c>
      <c r="AI5223">
        <v>93.616222950283699</v>
      </c>
      <c r="AJ5223">
        <v>99.164840351833206</v>
      </c>
      <c r="AK5223">
        <v>17.695858079575899</v>
      </c>
    </row>
    <row r="5224" spans="1:37" x14ac:dyDescent="0.2">
      <c r="A5224" t="str">
        <f>"20200111154203680"</f>
        <v>20200111154203680</v>
      </c>
      <c r="B5224" t="str">
        <f>"1578728523670789"</f>
        <v>1578728523670789</v>
      </c>
      <c r="C5224" t="s">
        <v>37</v>
      </c>
      <c r="D5224">
        <v>5.2413869999999996</v>
      </c>
      <c r="E5224">
        <v>0.50003399999999998</v>
      </c>
      <c r="F5224" t="s">
        <v>39</v>
      </c>
      <c r="G5224">
        <v>-188.31450000000001</v>
      </c>
      <c r="H5224" s="1">
        <v>-3.2832339999999998E-6</v>
      </c>
      <c r="I5224">
        <v>-13.410829999999899</v>
      </c>
      <c r="J5224">
        <v>-188.39349999999999</v>
      </c>
      <c r="K5224">
        <v>1.1158950000000001</v>
      </c>
      <c r="L5224">
        <v>-32.271549999999998</v>
      </c>
      <c r="M5224">
        <v>0.1624951</v>
      </c>
      <c r="N5224">
        <v>0</v>
      </c>
      <c r="O5224">
        <v>0.98660759999999903</v>
      </c>
      <c r="P5224">
        <v>3.5571849999999999E-4</v>
      </c>
      <c r="Q5224">
        <v>6.8637429999999999E-2</v>
      </c>
      <c r="R5224">
        <v>0.99764159999999902</v>
      </c>
      <c r="S5224">
        <v>2.0156859999999999E-2</v>
      </c>
      <c r="T5224">
        <v>-0.1756694</v>
      </c>
      <c r="U5224">
        <v>3.0189819999999998</v>
      </c>
      <c r="V5224">
        <v>-0.16281289999999901</v>
      </c>
      <c r="W5224">
        <v>8.0521880000000004E-2</v>
      </c>
      <c r="X5224">
        <v>0.98336569999999901</v>
      </c>
      <c r="Y5224">
        <v>-0.15592909999999999</v>
      </c>
      <c r="Z5224">
        <v>-5.6576710000000002E-2</v>
      </c>
      <c r="AA5224">
        <v>0.98614659999999998</v>
      </c>
      <c r="AB5224">
        <v>33</v>
      </c>
      <c r="AC5224">
        <v>7.8999999999979295E-2</v>
      </c>
      <c r="AD5224">
        <v>-1.1158982832340001</v>
      </c>
      <c r="AE5224">
        <v>18.860720000000001</v>
      </c>
      <c r="AF5224">
        <v>-2.9767126223243299</v>
      </c>
      <c r="AG5224">
        <v>-1.1158982832340001</v>
      </c>
      <c r="AH5224">
        <v>18.557875411268402</v>
      </c>
      <c r="AI5224">
        <v>93.397764078675195</v>
      </c>
      <c r="AJ5224">
        <v>99.112710285391003</v>
      </c>
      <c r="AK5224">
        <v>18.828191277830999</v>
      </c>
    </row>
    <row r="5225" spans="1:37" x14ac:dyDescent="0.2">
      <c r="A5225" t="str">
        <f>"20200111154203702"</f>
        <v>20200111154203702</v>
      </c>
      <c r="B5225" t="str">
        <f>"1578728523691285"</f>
        <v>1578728523691285</v>
      </c>
      <c r="C5225" t="s">
        <v>37</v>
      </c>
      <c r="D5225">
        <v>5.2520410000000002</v>
      </c>
      <c r="E5225">
        <v>0.49973059999999903</v>
      </c>
      <c r="F5225" t="s">
        <v>39</v>
      </c>
      <c r="G5225">
        <v>-188.30940000000001</v>
      </c>
      <c r="H5225" s="1">
        <v>-3.774238E-6</v>
      </c>
      <c r="I5225">
        <v>-12.26839</v>
      </c>
      <c r="J5225">
        <v>-188.34460000000001</v>
      </c>
      <c r="K5225">
        <v>1.1156379999999999</v>
      </c>
      <c r="L5225">
        <v>-31.94275</v>
      </c>
      <c r="M5225">
        <v>0.15739979999999901</v>
      </c>
      <c r="N5225">
        <v>0</v>
      </c>
      <c r="O5225">
        <v>0.98743359999999902</v>
      </c>
      <c r="P5225">
        <v>-1.9857960000000002E-3</v>
      </c>
      <c r="Q5225">
        <v>6.8889800000000001E-2</v>
      </c>
      <c r="R5225">
        <v>0.99762229999999996</v>
      </c>
      <c r="S5225">
        <v>1.268005E-2</v>
      </c>
      <c r="T5225">
        <v>-0.1684003</v>
      </c>
      <c r="U5225">
        <v>3.0186769999999998</v>
      </c>
      <c r="V5225">
        <v>-0.15998879999999999</v>
      </c>
      <c r="W5225">
        <v>8.0893549999999995E-2</v>
      </c>
      <c r="X5225">
        <v>0.98379869999999903</v>
      </c>
      <c r="Y5225">
        <v>-0.15327089999999999</v>
      </c>
      <c r="Z5225">
        <v>-5.4329250000000003E-2</v>
      </c>
      <c r="AA5225">
        <v>0.98668960000000006</v>
      </c>
      <c r="AB5225">
        <v>33</v>
      </c>
      <c r="AC5225">
        <v>3.5200000000003201E-2</v>
      </c>
      <c r="AD5225">
        <v>-1.11564177423799</v>
      </c>
      <c r="AE5225">
        <v>19.67436</v>
      </c>
      <c r="AF5225">
        <v>-3.0524740052829702</v>
      </c>
      <c r="AG5225">
        <v>-1.11564177423799</v>
      </c>
      <c r="AH5225">
        <v>19.3723185247804</v>
      </c>
      <c r="AI5225">
        <v>93.255910717695301</v>
      </c>
      <c r="AJ5225">
        <v>98.954408096943098</v>
      </c>
      <c r="AK5225">
        <v>19.643038948872</v>
      </c>
    </row>
    <row r="5226" spans="1:37" x14ac:dyDescent="0.2">
      <c r="A5226" t="str">
        <f>"20200111154203726"</f>
        <v>20200111154203726</v>
      </c>
      <c r="B5226" t="str">
        <f>"1578728523721541"</f>
        <v>1578728523721541</v>
      </c>
      <c r="C5226" t="s">
        <v>37</v>
      </c>
      <c r="D5226">
        <v>5.2218869999999997</v>
      </c>
      <c r="E5226">
        <v>0.49968230000000002</v>
      </c>
      <c r="F5226" t="s">
        <v>39</v>
      </c>
      <c r="G5226">
        <v>-188.32490000000001</v>
      </c>
      <c r="H5226" s="1">
        <v>-4.0685059999999998E-6</v>
      </c>
      <c r="I5226">
        <v>-11.5760399999999</v>
      </c>
      <c r="J5226">
        <v>-188.29650000000001</v>
      </c>
      <c r="K5226">
        <v>1.1153679999999999</v>
      </c>
      <c r="L5226">
        <v>-31.6084</v>
      </c>
      <c r="M5226">
        <v>0.15255239999999901</v>
      </c>
      <c r="N5226">
        <v>0</v>
      </c>
      <c r="O5226">
        <v>0.98819449999999998</v>
      </c>
      <c r="P5226">
        <v>-5.2429429999999999E-3</v>
      </c>
      <c r="Q5226">
        <v>6.8483539999999996E-2</v>
      </c>
      <c r="R5226">
        <v>0.99763849999999998</v>
      </c>
      <c r="S5226">
        <v>2.9144290000000001E-3</v>
      </c>
      <c r="T5226">
        <v>-0.1653512</v>
      </c>
      <c r="U5226">
        <v>3.0185849999999999</v>
      </c>
      <c r="V5226">
        <v>-0.15831589999999901</v>
      </c>
      <c r="W5226">
        <v>8.0591750000000004E-2</v>
      </c>
      <c r="X5226">
        <v>0.98409400000000002</v>
      </c>
      <c r="Y5226">
        <v>-0.15161340000000001</v>
      </c>
      <c r="Z5226">
        <v>-5.3419590000000003E-2</v>
      </c>
      <c r="AA5226">
        <v>0.98699530000000002</v>
      </c>
      <c r="AB5226">
        <v>33</v>
      </c>
      <c r="AC5226">
        <v>-2.84000000000048E-2</v>
      </c>
      <c r="AD5226">
        <v>-1.115372068506</v>
      </c>
      <c r="AE5226">
        <v>20.032360000000001</v>
      </c>
      <c r="AF5226">
        <v>-3.0748246024458599</v>
      </c>
      <c r="AG5226">
        <v>-1.115372068506</v>
      </c>
      <c r="AH5226">
        <v>19.732336914339299</v>
      </c>
      <c r="AI5226">
        <v>93.196709356984698</v>
      </c>
      <c r="AJ5226">
        <v>98.856981359729502</v>
      </c>
      <c r="AK5226">
        <v>20.0015929687615</v>
      </c>
    </row>
    <row r="5227" spans="1:37" x14ac:dyDescent="0.2">
      <c r="A5227" t="str">
        <f>"20200111154203748"</f>
        <v>20200111154203748</v>
      </c>
      <c r="B5227" t="str">
        <f>"1578728523741061"</f>
        <v>1578728523741061</v>
      </c>
      <c r="C5227" t="s">
        <v>37</v>
      </c>
      <c r="D5227">
        <v>5.2201180000000003</v>
      </c>
      <c r="E5227">
        <v>0.49982460000000001</v>
      </c>
      <c r="F5227" t="s">
        <v>39</v>
      </c>
      <c r="G5227">
        <v>-188.34469999999999</v>
      </c>
      <c r="H5227" s="1">
        <v>-4.1441309999999996E-6</v>
      </c>
      <c r="I5227">
        <v>-11.391579999999999</v>
      </c>
      <c r="J5227">
        <v>-188.2501</v>
      </c>
      <c r="K5227">
        <v>1.115105</v>
      </c>
      <c r="L5227">
        <v>-31.27704</v>
      </c>
      <c r="M5227">
        <v>0.14804149999999999</v>
      </c>
      <c r="N5227">
        <v>0</v>
      </c>
      <c r="O5227">
        <v>0.98888069999999895</v>
      </c>
      <c r="P5227">
        <v>-9.0693630000000004E-3</v>
      </c>
      <c r="Q5227">
        <v>6.7657250000000002E-2</v>
      </c>
      <c r="R5227">
        <v>0.99766739999999998</v>
      </c>
      <c r="S5227">
        <v>-7.2021480000000002E-3</v>
      </c>
      <c r="T5227">
        <v>-0.16653189999999901</v>
      </c>
      <c r="U5227">
        <v>3.018494</v>
      </c>
      <c r="V5227">
        <v>-0.1575453</v>
      </c>
      <c r="W5227">
        <v>7.9855029999999994E-2</v>
      </c>
      <c r="X5227">
        <v>0.98427770000000003</v>
      </c>
      <c r="Y5227">
        <v>-0.15041070000000001</v>
      </c>
      <c r="Z5227">
        <v>-5.3863069999999999E-2</v>
      </c>
      <c r="AA5227">
        <v>0.98715520000000001</v>
      </c>
      <c r="AB5227">
        <v>33</v>
      </c>
      <c r="AC5227">
        <v>-9.4599999999985501E-2</v>
      </c>
      <c r="AD5227">
        <v>-1.1151091441309999</v>
      </c>
      <c r="AE5227">
        <v>19.885459999999998</v>
      </c>
      <c r="AF5227">
        <v>-3.02820099348452</v>
      </c>
      <c r="AG5227">
        <v>-1.1151091441309999</v>
      </c>
      <c r="AH5227">
        <v>19.590691969234602</v>
      </c>
      <c r="AI5227">
        <v>93.219626554681696</v>
      </c>
      <c r="AJ5227">
        <v>98.786865737912507</v>
      </c>
      <c r="AK5227">
        <v>19.854689156310201</v>
      </c>
    </row>
    <row r="5228" spans="1:37" x14ac:dyDescent="0.2">
      <c r="A5228" t="str">
        <f>"20200111154203771"</f>
        <v>20200111154203771</v>
      </c>
      <c r="B5228" t="str">
        <f>"1578728523761557"</f>
        <v>1578728523761557</v>
      </c>
      <c r="C5228" t="s">
        <v>37</v>
      </c>
      <c r="D5228">
        <v>5.2296040000000001</v>
      </c>
      <c r="E5228">
        <v>0.50012809999999996</v>
      </c>
      <c r="F5228" t="s">
        <v>39</v>
      </c>
      <c r="G5228">
        <v>-188.36920000000001</v>
      </c>
      <c r="H5228" s="1">
        <v>-4.1782659999999998E-6</v>
      </c>
      <c r="I5228">
        <v>-11.30189</v>
      </c>
      <c r="J5228">
        <v>-188.20439999999999</v>
      </c>
      <c r="K5228">
        <v>1.114865</v>
      </c>
      <c r="L5228">
        <v>-30.940829999999998</v>
      </c>
      <c r="M5228">
        <v>0.1437126</v>
      </c>
      <c r="N5228">
        <v>0</v>
      </c>
      <c r="O5228">
        <v>0.98951939999999905</v>
      </c>
      <c r="P5228">
        <v>-1.300158E-2</v>
      </c>
      <c r="Q5228">
        <v>6.7678269999999999E-2</v>
      </c>
      <c r="R5228">
        <v>0.99762249999999997</v>
      </c>
      <c r="S5228">
        <v>-1.799011E-2</v>
      </c>
      <c r="T5228">
        <v>-0.168494899999999</v>
      </c>
      <c r="U5228">
        <v>3.0182799999999999</v>
      </c>
      <c r="V5228">
        <v>-0.1570686</v>
      </c>
      <c r="W5228">
        <v>7.9952949999999995E-2</v>
      </c>
      <c r="X5228">
        <v>0.98434599999999906</v>
      </c>
      <c r="Y5228">
        <v>-0.14961240000000001</v>
      </c>
      <c r="Z5228">
        <v>-5.4556130000000001E-2</v>
      </c>
      <c r="AA5228">
        <v>0.98723850000000002</v>
      </c>
      <c r="AB5228">
        <v>33</v>
      </c>
      <c r="AC5228">
        <v>-0.16480000000001299</v>
      </c>
      <c r="AD5228">
        <v>-1.1148691782660001</v>
      </c>
      <c r="AE5228">
        <v>19.638939999999899</v>
      </c>
      <c r="AF5228">
        <v>-2.9761412408240702</v>
      </c>
      <c r="AG5228">
        <v>-1.1148691782660001</v>
      </c>
      <c r="AH5228">
        <v>19.3490000884197</v>
      </c>
      <c r="AI5228">
        <v>93.259429479014202</v>
      </c>
      <c r="AJ5228">
        <v>98.744345622343801</v>
      </c>
      <c r="AK5228">
        <v>19.608267501022301</v>
      </c>
    </row>
    <row r="5229" spans="1:37" x14ac:dyDescent="0.2">
      <c r="A5229" t="str">
        <f>"20200111154203792"</f>
        <v>20200111154203792</v>
      </c>
      <c r="B5229" t="str">
        <f>"1578728523781077"</f>
        <v>1578728523781077</v>
      </c>
      <c r="C5229" t="s">
        <v>37</v>
      </c>
      <c r="D5229">
        <v>5.2069529999999897</v>
      </c>
      <c r="E5229">
        <v>0.50011949999999905</v>
      </c>
      <c r="F5229" t="s">
        <v>39</v>
      </c>
      <c r="G5229">
        <v>-188.38919999999999</v>
      </c>
      <c r="H5229" s="1">
        <v>-4.3851270000000003E-6</v>
      </c>
      <c r="I5229">
        <v>-10.81141</v>
      </c>
      <c r="J5229">
        <v>-188.16409999999999</v>
      </c>
      <c r="K5229">
        <v>1.1146670000000001</v>
      </c>
      <c r="L5229">
        <v>-30.636379999999999</v>
      </c>
      <c r="M5229">
        <v>0.1400026</v>
      </c>
      <c r="N5229">
        <v>0</v>
      </c>
      <c r="O5229">
        <v>0.99005140000000003</v>
      </c>
      <c r="P5229">
        <v>-1.612883E-2</v>
      </c>
      <c r="Q5229">
        <v>6.8385299999999996E-2</v>
      </c>
      <c r="R5229">
        <v>0.99752859999999999</v>
      </c>
      <c r="S5229">
        <v>-2.7709959999999999E-2</v>
      </c>
      <c r="T5229">
        <v>-0.16715920000000001</v>
      </c>
      <c r="U5229">
        <v>3.0181269999999998</v>
      </c>
      <c r="V5229">
        <v>-0.1564237</v>
      </c>
      <c r="W5229">
        <v>8.0724340000000006E-2</v>
      </c>
      <c r="X5229">
        <v>0.98438570000000003</v>
      </c>
      <c r="Y5229">
        <v>-0.1490861</v>
      </c>
      <c r="Z5229">
        <v>-5.4173249999999999E-2</v>
      </c>
      <c r="AA5229">
        <v>0.98733909999999903</v>
      </c>
      <c r="AB5229">
        <v>33</v>
      </c>
      <c r="AC5229">
        <v>-0.225099999999997</v>
      </c>
      <c r="AD5229">
        <v>-1.114671385127</v>
      </c>
      <c r="AE5229">
        <v>19.82497</v>
      </c>
      <c r="AF5229">
        <v>-2.9892552697559598</v>
      </c>
      <c r="AG5229">
        <v>-1.114671385127</v>
      </c>
      <c r="AH5229">
        <v>19.536407208618201</v>
      </c>
      <c r="AI5229">
        <v>93.228045906229596</v>
      </c>
      <c r="AJ5229">
        <v>98.699326210951597</v>
      </c>
      <c r="AK5229">
        <v>19.795184919205401</v>
      </c>
    </row>
    <row r="5230" spans="1:37" x14ac:dyDescent="0.2">
      <c r="A5230" t="str">
        <f>"20200111154203814"</f>
        <v>20200111154203814</v>
      </c>
      <c r="B5230" t="str">
        <f>"1578728523811332"</f>
        <v>1578728523811332</v>
      </c>
      <c r="C5230" t="s">
        <v>37</v>
      </c>
      <c r="D5230">
        <v>5.2524119999999996</v>
      </c>
      <c r="E5230">
        <v>0.50022879999999903</v>
      </c>
      <c r="F5230" t="s">
        <v>39</v>
      </c>
      <c r="G5230">
        <v>-188.41739999999999</v>
      </c>
      <c r="H5230" s="1">
        <v>-4.3925600000000003E-7</v>
      </c>
      <c r="I5230">
        <v>-10.29853</v>
      </c>
      <c r="J5230">
        <v>-188.12309999999999</v>
      </c>
      <c r="K5230">
        <v>1.1144719999999999</v>
      </c>
      <c r="L5230">
        <v>-30.319309999999899</v>
      </c>
      <c r="M5230">
        <v>0.1363433</v>
      </c>
      <c r="N5230">
        <v>0</v>
      </c>
      <c r="O5230">
        <v>0.99056230000000001</v>
      </c>
      <c r="P5230">
        <v>-1.869285E-2</v>
      </c>
      <c r="Q5230">
        <v>6.8509769999999998E-2</v>
      </c>
      <c r="R5230">
        <v>0.99747529999999995</v>
      </c>
      <c r="S5230">
        <v>-3.7597659999999998E-2</v>
      </c>
      <c r="T5230">
        <v>-0.165417799999999</v>
      </c>
      <c r="U5230">
        <v>3.0181580000000001</v>
      </c>
      <c r="V5230">
        <v>-0.15527539999999901</v>
      </c>
      <c r="W5230">
        <v>8.0917320000000001E-2</v>
      </c>
      <c r="X5230">
        <v>0.98455170000000003</v>
      </c>
      <c r="Y5230">
        <v>-0.14866679999999999</v>
      </c>
      <c r="Z5230">
        <v>-5.365267E-2</v>
      </c>
      <c r="AA5230">
        <v>0.98743080000000005</v>
      </c>
      <c r="AB5230">
        <v>33</v>
      </c>
      <c r="AC5230">
        <v>-0.29429999999999201</v>
      </c>
      <c r="AD5230">
        <v>-1.1144724392559999</v>
      </c>
      <c r="AE5230">
        <v>20.020779999999998</v>
      </c>
      <c r="AF5230">
        <v>-3.0121872956679301</v>
      </c>
      <c r="AG5230">
        <v>-1.1144724392559999</v>
      </c>
      <c r="AH5230">
        <v>19.732520632173902</v>
      </c>
      <c r="AI5230">
        <v>93.195632039191494</v>
      </c>
      <c r="AJ5230">
        <v>98.679251437696493</v>
      </c>
      <c r="AK5230">
        <v>19.9921907659269</v>
      </c>
    </row>
    <row r="5231" spans="1:37" x14ac:dyDescent="0.2">
      <c r="A5231" t="str">
        <f>"20200111154203858"</f>
        <v>20200111154203858</v>
      </c>
      <c r="B5231" t="str">
        <f>"1578728523851348"</f>
        <v>1578728523851348</v>
      </c>
      <c r="C5231" t="s">
        <v>37</v>
      </c>
      <c r="D5231">
        <v>5.212351</v>
      </c>
      <c r="E5231">
        <v>0.50054909999999997</v>
      </c>
      <c r="F5231" t="s">
        <v>39</v>
      </c>
      <c r="G5231">
        <v>-188.42609999999999</v>
      </c>
      <c r="H5231" s="1">
        <v>-5.4935939999999998E-7</v>
      </c>
      <c r="I5231">
        <v>-9.9681639999999998</v>
      </c>
      <c r="J5231">
        <v>-188.04429999999999</v>
      </c>
      <c r="K5231">
        <v>1.114107</v>
      </c>
      <c r="L5231">
        <v>-29.68552</v>
      </c>
      <c r="M5231">
        <v>0.12953680000000001</v>
      </c>
      <c r="N5231">
        <v>0</v>
      </c>
      <c r="O5231">
        <v>0.99147589999999997</v>
      </c>
      <c r="P5231">
        <v>-2.0360710000000001E-2</v>
      </c>
      <c r="Q5231">
        <v>6.7177550000000003E-2</v>
      </c>
      <c r="R5231">
        <v>0.99753329999999996</v>
      </c>
      <c r="S5231">
        <v>-4.4937129999999999E-2</v>
      </c>
      <c r="T5231">
        <v>-0.16527749999999999</v>
      </c>
      <c r="U5231">
        <v>3.018097</v>
      </c>
      <c r="V5231">
        <v>-0.15008070000000001</v>
      </c>
      <c r="W5231">
        <v>7.9738589999999998E-2</v>
      </c>
      <c r="X5231">
        <v>0.98545300000000002</v>
      </c>
      <c r="Y5231">
        <v>-0.1442746</v>
      </c>
      <c r="Z5231">
        <v>-5.3700110000000002E-2</v>
      </c>
      <c r="AA5231">
        <v>0.9880795</v>
      </c>
      <c r="AB5231">
        <v>33</v>
      </c>
      <c r="AC5231">
        <v>-0.38179999999999797</v>
      </c>
      <c r="AD5231">
        <v>-1.1141075493593999</v>
      </c>
      <c r="AE5231">
        <v>19.717355999999999</v>
      </c>
      <c r="AF5231">
        <v>-2.9236250542967301</v>
      </c>
      <c r="AG5231">
        <v>-1.1141075493593999</v>
      </c>
      <c r="AH5231">
        <v>19.439693360973301</v>
      </c>
      <c r="AI5231">
        <v>93.243688825703799</v>
      </c>
      <c r="AJ5231">
        <v>98.552876160980304</v>
      </c>
      <c r="AK5231">
        <v>19.6898577206215</v>
      </c>
    </row>
    <row r="5232" spans="1:37" x14ac:dyDescent="0.2">
      <c r="A5232" t="str">
        <f>"20200111154203882"</f>
        <v>20200111154203882</v>
      </c>
      <c r="B5232" t="str">
        <f>"1578728523870870"</f>
        <v>1578728523870870</v>
      </c>
      <c r="C5232" t="s">
        <v>37</v>
      </c>
      <c r="D5232">
        <v>5.1853099999999896</v>
      </c>
      <c r="E5232">
        <v>0.50078829999999996</v>
      </c>
      <c r="F5232" t="s">
        <v>39</v>
      </c>
      <c r="G5232">
        <v>-188.363</v>
      </c>
      <c r="H5232" s="1">
        <v>-5.9082359999999998E-7</v>
      </c>
      <c r="I5232">
        <v>-9.8956509999999902</v>
      </c>
      <c r="J5232">
        <v>-188.0016</v>
      </c>
      <c r="K5232">
        <v>1.113939</v>
      </c>
      <c r="L5232">
        <v>-29.329559999999901</v>
      </c>
      <c r="M5232">
        <v>0.12592029999999901</v>
      </c>
      <c r="N5232">
        <v>0</v>
      </c>
      <c r="O5232">
        <v>0.99194199999999999</v>
      </c>
      <c r="P5232">
        <v>-2.1815040000000001E-2</v>
      </c>
      <c r="Q5232">
        <v>6.8061120000000003E-2</v>
      </c>
      <c r="R5232">
        <v>0.99744259999999996</v>
      </c>
      <c r="S5232">
        <v>-4.8614499999999998E-2</v>
      </c>
      <c r="T5232">
        <v>-0.1698974</v>
      </c>
      <c r="U5232">
        <v>3.0178829999999999</v>
      </c>
      <c r="V5232">
        <v>-0.1478882</v>
      </c>
      <c r="W5232">
        <v>8.0684439999999996E-2</v>
      </c>
      <c r="X5232">
        <v>0.98570740000000001</v>
      </c>
      <c r="Y5232">
        <v>-0.14186889999999999</v>
      </c>
      <c r="Z5232">
        <v>-5.5248909999999998E-2</v>
      </c>
      <c r="AA5232">
        <v>0.98834249999999901</v>
      </c>
      <c r="AB5232">
        <v>33</v>
      </c>
      <c r="AC5232">
        <v>-0.361400000000003</v>
      </c>
      <c r="AD5232">
        <v>-1.1139395908236001</v>
      </c>
      <c r="AE5232">
        <v>19.433909</v>
      </c>
      <c r="AF5232">
        <v>-2.79669987105857</v>
      </c>
      <c r="AG5232">
        <v>-1.1139395908236001</v>
      </c>
      <c r="AH5232">
        <v>19.170715923749501</v>
      </c>
      <c r="AI5232">
        <v>93.290752106879495</v>
      </c>
      <c r="AJ5232">
        <v>98.299984992558294</v>
      </c>
      <c r="AK5232">
        <v>19.4056368256722</v>
      </c>
    </row>
    <row r="5233" spans="1:37" x14ac:dyDescent="0.2">
      <c r="A5233" t="str">
        <f>"20200111154203905"</f>
        <v>20200111154203905</v>
      </c>
      <c r="B5233" t="str">
        <f>"1578728523901125"</f>
        <v>1578728523901125</v>
      </c>
      <c r="C5233" t="s">
        <v>37</v>
      </c>
      <c r="D5233">
        <v>5.2005410000000003</v>
      </c>
      <c r="E5233">
        <v>0.50113439999999998</v>
      </c>
      <c r="F5233" t="s">
        <v>39</v>
      </c>
      <c r="G5233">
        <v>-188.34119999999999</v>
      </c>
      <c r="H5233" s="1">
        <v>-7.9171910000000002E-7</v>
      </c>
      <c r="I5233">
        <v>-9.3224090000000004</v>
      </c>
      <c r="J5233">
        <v>-187.96520000000001</v>
      </c>
      <c r="K5233">
        <v>1.113823</v>
      </c>
      <c r="L5233">
        <v>-29.017119999999998</v>
      </c>
      <c r="M5233">
        <v>0.1228286</v>
      </c>
      <c r="N5233">
        <v>0</v>
      </c>
      <c r="O5233">
        <v>0.99232980000000004</v>
      </c>
      <c r="P5233">
        <v>-2.330604E-2</v>
      </c>
      <c r="Q5233">
        <v>6.8187699999999907E-2</v>
      </c>
      <c r="R5233">
        <v>0.99740019999999996</v>
      </c>
      <c r="S5233">
        <v>-5.1223749999999998E-2</v>
      </c>
      <c r="T5233">
        <v>-0.1680354</v>
      </c>
      <c r="U5233">
        <v>3.0180359999999999</v>
      </c>
      <c r="V5233">
        <v>-0.14626639999999999</v>
      </c>
      <c r="W5233">
        <v>8.0851259999999994E-2</v>
      </c>
      <c r="X5233">
        <v>0.98593569999999997</v>
      </c>
      <c r="Y5233">
        <v>-0.13963800000000001</v>
      </c>
      <c r="Z5233">
        <v>-5.4683250000000003E-2</v>
      </c>
      <c r="AA5233">
        <v>0.988691599999999</v>
      </c>
      <c r="AB5233">
        <v>33</v>
      </c>
      <c r="AC5233">
        <v>-0.37599999999997602</v>
      </c>
      <c r="AD5233">
        <v>-1.1138237917191001</v>
      </c>
      <c r="AE5233">
        <v>19.694711000000002</v>
      </c>
      <c r="AF5233">
        <v>-2.78356192722292</v>
      </c>
      <c r="AG5233">
        <v>-1.1138237917191001</v>
      </c>
      <c r="AH5233">
        <v>19.437217972102601</v>
      </c>
      <c r="AI5233">
        <v>93.246620627398499</v>
      </c>
      <c r="AJ5233">
        <v>98.149792769224703</v>
      </c>
      <c r="AK5233">
        <v>19.667085776411099</v>
      </c>
    </row>
    <row r="5234" spans="1:37" x14ac:dyDescent="0.2">
      <c r="A5234" t="str">
        <f>"20200111154203926"</f>
        <v>20200111154203926</v>
      </c>
      <c r="B5234" t="str">
        <f>"1578728523920645"</f>
        <v>1578728523920645</v>
      </c>
      <c r="C5234" t="s">
        <v>37</v>
      </c>
      <c r="D5234">
        <v>5.1629300000000002</v>
      </c>
      <c r="E5234">
        <v>0.50140260000000003</v>
      </c>
      <c r="F5234" t="s">
        <v>39</v>
      </c>
      <c r="G5234">
        <v>-188.3158</v>
      </c>
      <c r="H5234" s="1">
        <v>-8.6628689999999999E-7</v>
      </c>
      <c r="I5234">
        <v>-9.1231039999999997</v>
      </c>
      <c r="J5234">
        <v>-187.92840000000001</v>
      </c>
      <c r="K5234">
        <v>1.1137299999999899</v>
      </c>
      <c r="L5234">
        <v>-28.692079999999901</v>
      </c>
      <c r="M5234">
        <v>0.119660999999999</v>
      </c>
      <c r="N5234">
        <v>0</v>
      </c>
      <c r="O5234">
        <v>0.99271690000000001</v>
      </c>
      <c r="P5234">
        <v>-2.4643740000000001E-2</v>
      </c>
      <c r="Q5234">
        <v>6.727002E-2</v>
      </c>
      <c r="R5234">
        <v>0.99743040000000005</v>
      </c>
      <c r="S5234">
        <v>-5.3192139999999999E-2</v>
      </c>
      <c r="T5234">
        <v>-0.16897860000000001</v>
      </c>
      <c r="U5234">
        <v>3.0181269999999998</v>
      </c>
      <c r="V5234">
        <v>-0.14442459999999999</v>
      </c>
      <c r="W5234">
        <v>7.9967689999999994E-2</v>
      </c>
      <c r="X5234">
        <v>0.98627919999999902</v>
      </c>
      <c r="Y5234">
        <v>-0.1371211</v>
      </c>
      <c r="Z5234">
        <v>-5.502953E-2</v>
      </c>
      <c r="AA5234">
        <v>0.98902449999999997</v>
      </c>
      <c r="AB5234">
        <v>33</v>
      </c>
      <c r="AC5234">
        <v>-0.38739999999998498</v>
      </c>
      <c r="AD5234">
        <v>-1.1137308662868901</v>
      </c>
      <c r="AE5234">
        <v>19.568975999999999</v>
      </c>
      <c r="AF5234">
        <v>-2.71768738195453</v>
      </c>
      <c r="AG5234">
        <v>-1.1137308662868901</v>
      </c>
      <c r="AH5234">
        <v>19.3194275182613</v>
      </c>
      <c r="AI5234">
        <v>93.267251033828501</v>
      </c>
      <c r="AJ5234">
        <v>98.007325532794397</v>
      </c>
      <c r="AK5234">
        <v>19.5414047801561</v>
      </c>
    </row>
    <row r="5235" spans="1:37" x14ac:dyDescent="0.2">
      <c r="A5235" t="str">
        <f>"20200111154203947"</f>
        <v>20200111154203947</v>
      </c>
      <c r="B5235" t="str">
        <f>"1578728523941143"</f>
        <v>1578728523941143</v>
      </c>
      <c r="C5235" t="s">
        <v>37</v>
      </c>
      <c r="D5235">
        <v>5.2335139999999898</v>
      </c>
      <c r="E5235">
        <v>0.50168329999999905</v>
      </c>
      <c r="F5235" t="s">
        <v>39</v>
      </c>
      <c r="G5235">
        <v>-188.28799999999899</v>
      </c>
      <c r="H5235" s="1">
        <v>-8.4625939999999995E-7</v>
      </c>
      <c r="I5235">
        <v>-9.2037119999999994</v>
      </c>
      <c r="J5235">
        <v>-187.8938</v>
      </c>
      <c r="K5235">
        <v>1.1136600000000001</v>
      </c>
      <c r="L5235">
        <v>-28.379090000000001</v>
      </c>
      <c r="M5235">
        <v>0.116632999999999</v>
      </c>
      <c r="N5235">
        <v>0</v>
      </c>
      <c r="O5235">
        <v>0.993077399999999</v>
      </c>
      <c r="P5235">
        <v>-2.4961959999999998E-2</v>
      </c>
      <c r="Q5235">
        <v>6.5403760000000005E-2</v>
      </c>
      <c r="R5235">
        <v>0.99754659999999995</v>
      </c>
      <c r="S5235">
        <v>-5.569458E-2</v>
      </c>
      <c r="T5235">
        <v>-0.17247279999999901</v>
      </c>
      <c r="U5235">
        <v>3.0179749999999999</v>
      </c>
      <c r="V5235">
        <v>-0.14171739999999999</v>
      </c>
      <c r="W5235">
        <v>7.813618E-2</v>
      </c>
      <c r="X5235">
        <v>0.98681859999999999</v>
      </c>
      <c r="Y5235">
        <v>-0.1349195</v>
      </c>
      <c r="Z5235">
        <v>-5.6205659999999998E-2</v>
      </c>
      <c r="AA5235">
        <v>0.98926119999999995</v>
      </c>
      <c r="AB5235">
        <v>33</v>
      </c>
      <c r="AC5235">
        <v>-0.39419999999998301</v>
      </c>
      <c r="AD5235">
        <v>-1.1136608462594</v>
      </c>
      <c r="AE5235">
        <v>19.175377999999998</v>
      </c>
      <c r="AF5235">
        <v>-2.6193764903442398</v>
      </c>
      <c r="AG5235">
        <v>-1.1136608462594</v>
      </c>
      <c r="AH5235">
        <v>18.934661061316501</v>
      </c>
      <c r="AI5235">
        <v>93.334348854018103</v>
      </c>
      <c r="AJ5235">
        <v>97.8761743666238</v>
      </c>
      <c r="AK5235">
        <v>19.147395728547298</v>
      </c>
    </row>
    <row r="5236" spans="1:37" x14ac:dyDescent="0.2">
      <c r="A5236" t="str">
        <f>"20200111154203971"</f>
        <v>20200111154203971</v>
      </c>
      <c r="B5236" t="str">
        <f>"1578728523960661"</f>
        <v>1578728523960661</v>
      </c>
      <c r="C5236" t="s">
        <v>37</v>
      </c>
      <c r="D5236">
        <v>5.1766629999999996</v>
      </c>
      <c r="E5236">
        <v>0.50196479999999999</v>
      </c>
      <c r="F5236" t="s">
        <v>39</v>
      </c>
      <c r="G5236">
        <v>-188.23859999999999</v>
      </c>
      <c r="H5236" s="1">
        <v>-7.008105E-7</v>
      </c>
      <c r="I5236">
        <v>-9.6697100000000002</v>
      </c>
      <c r="J5236">
        <v>-187.85810000000001</v>
      </c>
      <c r="K5236">
        <v>1.113607</v>
      </c>
      <c r="L5236">
        <v>-28.045500000000001</v>
      </c>
      <c r="M5236">
        <v>0.1134116</v>
      </c>
      <c r="N5236">
        <v>0</v>
      </c>
      <c r="O5236">
        <v>0.99345059999999996</v>
      </c>
      <c r="P5236">
        <v>-2.485919E-2</v>
      </c>
      <c r="Q5236">
        <v>6.2717809999999999E-2</v>
      </c>
      <c r="R5236">
        <v>0.99772169999999905</v>
      </c>
      <c r="S5236">
        <v>-5.5618290000000001E-2</v>
      </c>
      <c r="T5236">
        <v>-0.17962979999999901</v>
      </c>
      <c r="U5236">
        <v>3.0177610000000001</v>
      </c>
      <c r="V5236">
        <v>-0.1384031</v>
      </c>
      <c r="W5236">
        <v>7.5487559999999995E-2</v>
      </c>
      <c r="X5236">
        <v>0.98749489999999995</v>
      </c>
      <c r="Y5236">
        <v>-0.13167879999999901</v>
      </c>
      <c r="Z5236">
        <v>-5.8580300000000002E-2</v>
      </c>
      <c r="AA5236">
        <v>0.98956</v>
      </c>
      <c r="AB5236">
        <v>33</v>
      </c>
      <c r="AC5236">
        <v>-0.38049999999998302</v>
      </c>
      <c r="AD5236">
        <v>-1.1136077008105001</v>
      </c>
      <c r="AE5236">
        <v>18.375789999999999</v>
      </c>
      <c r="AF5236">
        <v>-2.4532682127747298</v>
      </c>
      <c r="AG5236">
        <v>-1.1136077008105001</v>
      </c>
      <c r="AH5236">
        <v>18.147431228883299</v>
      </c>
      <c r="AI5236">
        <v>93.479947161329207</v>
      </c>
      <c r="AJ5236">
        <v>97.698881454424495</v>
      </c>
      <c r="AK5236">
        <v>18.346332255853302</v>
      </c>
    </row>
    <row r="5237" spans="1:37" x14ac:dyDescent="0.2">
      <c r="A5237" t="str">
        <f>"20200111154203992"</f>
        <v>20200111154203992</v>
      </c>
      <c r="B5237" t="str">
        <f>"1578728523981157"</f>
        <v>1578728523981157</v>
      </c>
      <c r="C5237" t="s">
        <v>37</v>
      </c>
      <c r="D5237">
        <v>5.1929550000000004</v>
      </c>
      <c r="E5237">
        <v>0.50219999999999998</v>
      </c>
      <c r="F5237" t="s">
        <v>39</v>
      </c>
      <c r="G5237">
        <v>-188.1763</v>
      </c>
      <c r="H5237" s="1">
        <v>-5.4191619999999995E-7</v>
      </c>
      <c r="I5237">
        <v>-10.18539</v>
      </c>
      <c r="J5237">
        <v>-187.82470000000001</v>
      </c>
      <c r="K5237">
        <v>1.113572</v>
      </c>
      <c r="L5237">
        <v>-27.724609999999998</v>
      </c>
      <c r="M5237">
        <v>0.110308199999999</v>
      </c>
      <c r="N5237">
        <v>0</v>
      </c>
      <c r="O5237">
        <v>0.99380009999999996</v>
      </c>
      <c r="P5237">
        <v>-2.4393049999999999E-2</v>
      </c>
      <c r="Q5237">
        <v>6.0773479999999998E-2</v>
      </c>
      <c r="R5237">
        <v>0.99785349999999995</v>
      </c>
      <c r="S5237">
        <v>-5.3756709999999999E-2</v>
      </c>
      <c r="T5237">
        <v>-0.18813579999999999</v>
      </c>
      <c r="U5237">
        <v>3.017334</v>
      </c>
      <c r="V5237">
        <v>-0.13484660000000001</v>
      </c>
      <c r="W5237">
        <v>7.3578389999999994E-2</v>
      </c>
      <c r="X5237">
        <v>0.98813090000000003</v>
      </c>
      <c r="Y5237">
        <v>-0.1279711</v>
      </c>
      <c r="Z5237">
        <v>-6.1400490000000002E-2</v>
      </c>
      <c r="AA5237">
        <v>0.98987539999999996</v>
      </c>
      <c r="AB5237">
        <v>33</v>
      </c>
      <c r="AC5237">
        <v>-0.35159999999998998</v>
      </c>
      <c r="AD5237">
        <v>-1.1135725419161999</v>
      </c>
      <c r="AE5237">
        <v>17.53922</v>
      </c>
      <c r="AF5237">
        <v>-2.2751931850037899</v>
      </c>
      <c r="AG5237">
        <v>-1.1135725419161999</v>
      </c>
      <c r="AH5237">
        <v>17.323572926775402</v>
      </c>
      <c r="AI5237">
        <v>93.646725432014904</v>
      </c>
      <c r="AJ5237">
        <v>97.482123560299797</v>
      </c>
      <c r="AK5237">
        <v>17.507790459806799</v>
      </c>
    </row>
    <row r="5238" spans="1:37" x14ac:dyDescent="0.2">
      <c r="A5238" t="str">
        <f>"20200111154204015"</f>
        <v>20200111154204015</v>
      </c>
      <c r="B5238" t="str">
        <f>"1578728524011413"</f>
        <v>1578728524011413</v>
      </c>
      <c r="C5238" t="s">
        <v>37</v>
      </c>
      <c r="D5238">
        <v>5.1734229999999997</v>
      </c>
      <c r="E5238">
        <v>0.50289799999999996</v>
      </c>
      <c r="F5238" t="s">
        <v>39</v>
      </c>
      <c r="G5238">
        <v>-188.11850000000001</v>
      </c>
      <c r="H5238" s="1">
        <v>-4.5818820000000001E-6</v>
      </c>
      <c r="I5238">
        <v>-10.46472</v>
      </c>
      <c r="J5238">
        <v>-187.79230000000001</v>
      </c>
      <c r="K5238">
        <v>1.113548</v>
      </c>
      <c r="L5238">
        <v>-27.402859999999901</v>
      </c>
      <c r="M5238">
        <v>0.10718989999999901</v>
      </c>
      <c r="N5238">
        <v>0</v>
      </c>
      <c r="O5238">
        <v>0.99414139999999995</v>
      </c>
      <c r="P5238">
        <v>-2.359526E-2</v>
      </c>
      <c r="Q5238">
        <v>6.0677420000000003E-2</v>
      </c>
      <c r="R5238">
        <v>0.9978785</v>
      </c>
      <c r="S5238">
        <v>-5.1345830000000002E-2</v>
      </c>
      <c r="T5238">
        <v>-0.1946552</v>
      </c>
      <c r="U5238">
        <v>3.0170590000000002</v>
      </c>
      <c r="V5238">
        <v>-0.1309467</v>
      </c>
      <c r="W5238">
        <v>7.3516579999999998E-2</v>
      </c>
      <c r="X5238">
        <v>0.98865990000000004</v>
      </c>
      <c r="Y5238">
        <v>-0.1240672</v>
      </c>
      <c r="Z5238">
        <v>-6.3574660000000005E-2</v>
      </c>
      <c r="AA5238">
        <v>0.99023510000000003</v>
      </c>
      <c r="AB5238">
        <v>33</v>
      </c>
      <c r="AC5238">
        <v>-0.32619999999999999</v>
      </c>
      <c r="AD5238">
        <v>-1.113552581882</v>
      </c>
      <c r="AE5238">
        <v>16.938139999999901</v>
      </c>
      <c r="AF5238">
        <v>-2.1308868128987899</v>
      </c>
      <c r="AG5238">
        <v>-1.113552581882</v>
      </c>
      <c r="AH5238">
        <v>16.733269129585601</v>
      </c>
      <c r="AI5238">
        <v>93.776850122674603</v>
      </c>
      <c r="AJ5238">
        <v>97.257231267077898</v>
      </c>
      <c r="AK5238">
        <v>16.905116791230501</v>
      </c>
    </row>
    <row r="5239" spans="1:37" x14ac:dyDescent="0.2">
      <c r="A5239" t="str">
        <f>"20200111154204037"</f>
        <v>20200111154204037</v>
      </c>
      <c r="B5239" t="str">
        <f>"1578728524030933"</f>
        <v>1578728524030933</v>
      </c>
      <c r="C5239" t="s">
        <v>37</v>
      </c>
      <c r="D5239">
        <v>5.1648699999999996</v>
      </c>
      <c r="E5239">
        <v>0.50334950000000001</v>
      </c>
      <c r="F5239" t="s">
        <v>39</v>
      </c>
      <c r="G5239">
        <v>-188.04730000000001</v>
      </c>
      <c r="H5239" s="1">
        <v>-6.225977E-7</v>
      </c>
      <c r="I5239">
        <v>-10.049149999999999</v>
      </c>
      <c r="J5239">
        <v>-187.7611</v>
      </c>
      <c r="K5239">
        <v>1.1135299999999999</v>
      </c>
      <c r="L5239">
        <v>-27.083859999999898</v>
      </c>
      <c r="M5239">
        <v>0.104099</v>
      </c>
      <c r="N5239">
        <v>0</v>
      </c>
      <c r="O5239">
        <v>0.99446990000000002</v>
      </c>
      <c r="P5239">
        <v>-2.3571890000000002E-2</v>
      </c>
      <c r="Q5239">
        <v>6.0946880000000002E-2</v>
      </c>
      <c r="R5239">
        <v>0.99786260000000004</v>
      </c>
      <c r="S5239">
        <v>-4.4342039999999999E-2</v>
      </c>
      <c r="T5239">
        <v>-0.19359989999999999</v>
      </c>
      <c r="U5239">
        <v>3.01709</v>
      </c>
      <c r="V5239">
        <v>-0.12784219999999999</v>
      </c>
      <c r="W5239">
        <v>7.3813309999999993E-2</v>
      </c>
      <c r="X5239">
        <v>0.98904400000000003</v>
      </c>
      <c r="Y5239">
        <v>-0.118683</v>
      </c>
      <c r="Z5239">
        <v>-6.3284580000000007E-2</v>
      </c>
      <c r="AA5239">
        <v>0.9909135</v>
      </c>
      <c r="AB5239">
        <v>33</v>
      </c>
      <c r="AC5239">
        <v>-0.286200000000008</v>
      </c>
      <c r="AD5239">
        <v>-1.1135306225977</v>
      </c>
      <c r="AE5239">
        <v>17.034709999999901</v>
      </c>
      <c r="AF5239">
        <v>-2.0493577220782502</v>
      </c>
      <c r="AG5239">
        <v>-1.1135306225977</v>
      </c>
      <c r="AH5239">
        <v>16.840406400653599</v>
      </c>
      <c r="AI5239">
        <v>93.755411211148498</v>
      </c>
      <c r="AJ5239">
        <v>96.938372718685102</v>
      </c>
      <c r="AK5239">
        <v>17.001150115791599</v>
      </c>
    </row>
    <row r="5240" spans="1:37" x14ac:dyDescent="0.2">
      <c r="A5240" t="str">
        <f>"20200111154204072"</f>
        <v>20200111154204072</v>
      </c>
      <c r="B5240" t="str">
        <f>"1578728524061189"</f>
        <v>1578728524061189</v>
      </c>
      <c r="C5240" t="s">
        <v>37</v>
      </c>
      <c r="D5240">
        <v>5.0990769999999896</v>
      </c>
      <c r="E5240">
        <v>0.50392729999999997</v>
      </c>
      <c r="F5240" t="s">
        <v>39</v>
      </c>
      <c r="G5240">
        <v>-187.99889999999999</v>
      </c>
      <c r="H5240" s="1">
        <v>-7.910978E-7</v>
      </c>
      <c r="I5240">
        <v>-9.5918890000000001</v>
      </c>
      <c r="J5240">
        <v>-187.7141</v>
      </c>
      <c r="K5240">
        <v>1.113489</v>
      </c>
      <c r="L5240">
        <v>-26.583069999999999</v>
      </c>
      <c r="M5240">
        <v>9.9274699999999994E-2</v>
      </c>
      <c r="N5240">
        <v>0</v>
      </c>
      <c r="O5240">
        <v>0.99496329999999999</v>
      </c>
      <c r="P5240">
        <v>-2.502859E-2</v>
      </c>
      <c r="Q5240">
        <v>6.2067810000000001E-2</v>
      </c>
      <c r="R5240">
        <v>0.99775809999999998</v>
      </c>
      <c r="S5240">
        <v>-4.1015629999999997E-2</v>
      </c>
      <c r="T5240">
        <v>-0.1920723</v>
      </c>
      <c r="U5240">
        <v>3.0171809999999999</v>
      </c>
      <c r="V5240">
        <v>-0.12447759999999999</v>
      </c>
      <c r="W5240">
        <v>7.4961189999999997E-2</v>
      </c>
      <c r="X5240">
        <v>0.98938669999999995</v>
      </c>
      <c r="Y5240">
        <v>-0.112773</v>
      </c>
      <c r="Z5240">
        <v>-6.2854690000000005E-2</v>
      </c>
      <c r="AA5240">
        <v>0.99163069999999898</v>
      </c>
      <c r="AB5240">
        <v>33</v>
      </c>
      <c r="AC5240">
        <v>-0.28479999999998901</v>
      </c>
      <c r="AD5240">
        <v>-1.1134897910977899</v>
      </c>
      <c r="AE5240">
        <v>16.991181000000001</v>
      </c>
      <c r="AF5240">
        <v>-1.96192629112328</v>
      </c>
      <c r="AG5240">
        <v>-1.1134897910977899</v>
      </c>
      <c r="AH5240">
        <v>16.8067946912448</v>
      </c>
      <c r="AI5240">
        <v>93.764949991425297</v>
      </c>
      <c r="AJ5240">
        <v>96.658237583153493</v>
      </c>
      <c r="AK5240">
        <v>16.957516388915401</v>
      </c>
    </row>
    <row r="5241" spans="1:37" x14ac:dyDescent="0.2">
      <c r="A5241" t="str">
        <f>"20200111154204092"</f>
        <v>20200111154204092</v>
      </c>
      <c r="B5241" t="str">
        <f>"1578728524080709"</f>
        <v>1578728524080709</v>
      </c>
      <c r="C5241" t="s">
        <v>37</v>
      </c>
      <c r="D5241">
        <v>5.1399439999999998</v>
      </c>
      <c r="E5241">
        <v>0.50425109999999995</v>
      </c>
      <c r="F5241" t="s">
        <v>39</v>
      </c>
      <c r="G5241">
        <v>-187.9597</v>
      </c>
      <c r="H5241" s="1">
        <v>-1.103832E-6</v>
      </c>
      <c r="I5241">
        <v>-8.7035309999999999</v>
      </c>
      <c r="J5241">
        <v>-187.68790000000001</v>
      </c>
      <c r="K5241">
        <v>1.1134549999999901</v>
      </c>
      <c r="L5241">
        <v>-26.29214</v>
      </c>
      <c r="M5241">
        <v>9.6492170000000002E-2</v>
      </c>
      <c r="N5241">
        <v>0</v>
      </c>
      <c r="O5241">
        <v>0.99523719999999904</v>
      </c>
      <c r="P5241">
        <v>-2.4495260000000001E-2</v>
      </c>
      <c r="Q5241">
        <v>6.1962499999999997E-2</v>
      </c>
      <c r="R5241">
        <v>0.99777780000000005</v>
      </c>
      <c r="S5241">
        <v>-4.144287E-2</v>
      </c>
      <c r="T5241">
        <v>-0.18791540000000001</v>
      </c>
      <c r="U5241">
        <v>3.017395</v>
      </c>
      <c r="V5241">
        <v>-0.1211733</v>
      </c>
      <c r="W5241">
        <v>7.4882260000000006E-2</v>
      </c>
      <c r="X5241">
        <v>0.98980279999999998</v>
      </c>
      <c r="Y5241">
        <v>-0.11013489999999999</v>
      </c>
      <c r="Z5241">
        <v>-6.152999E-2</v>
      </c>
      <c r="AA5241">
        <v>0.99201019999999895</v>
      </c>
      <c r="AB5241">
        <v>33</v>
      </c>
      <c r="AC5241">
        <v>-0.271799999999984</v>
      </c>
      <c r="AD5241">
        <v>-1.1134561038320001</v>
      </c>
      <c r="AE5241">
        <v>17.588609000000002</v>
      </c>
      <c r="AF5241">
        <v>-1.9600045998762901</v>
      </c>
      <c r="AG5241">
        <v>-1.1134561038320001</v>
      </c>
      <c r="AH5241">
        <v>17.410533525512001</v>
      </c>
      <c r="AI5241">
        <v>93.636346967720002</v>
      </c>
      <c r="AJ5241">
        <v>96.423074979271206</v>
      </c>
      <c r="AK5241">
        <v>17.5558560078873</v>
      </c>
    </row>
    <row r="5242" spans="1:37" x14ac:dyDescent="0.2">
      <c r="A5242" t="str">
        <f>"20200111154204131"</f>
        <v>20200111154204131</v>
      </c>
      <c r="B5242" t="str">
        <f>"1578728524120724"</f>
        <v>1578728524120724</v>
      </c>
      <c r="C5242" t="s">
        <v>37</v>
      </c>
      <c r="D5242">
        <v>5.2035159999999996</v>
      </c>
      <c r="E5242">
        <v>0.51215180000000005</v>
      </c>
      <c r="F5242" t="s">
        <v>39</v>
      </c>
      <c r="G5242">
        <v>-187.91130000000001</v>
      </c>
      <c r="H5242" s="1">
        <v>-1.2222589999999899E-6</v>
      </c>
      <c r="I5242">
        <v>-8.3933450000000001</v>
      </c>
      <c r="J5242">
        <v>-187.64</v>
      </c>
      <c r="K5242">
        <v>1.1133819999999901</v>
      </c>
      <c r="L5242">
        <v>-25.734860000000001</v>
      </c>
      <c r="M5242">
        <v>9.1220270000000006E-2</v>
      </c>
      <c r="N5242">
        <v>0</v>
      </c>
      <c r="O5242">
        <v>0.99573449999999997</v>
      </c>
      <c r="P5242">
        <v>-2.5752150000000001E-2</v>
      </c>
      <c r="Q5242">
        <v>6.0129099999999901E-2</v>
      </c>
      <c r="R5242">
        <v>0.99785829999999998</v>
      </c>
      <c r="S5242">
        <v>-3.7658690000000002E-2</v>
      </c>
      <c r="T5242">
        <v>-0.1877093</v>
      </c>
      <c r="U5242">
        <v>3.0174259999999999</v>
      </c>
      <c r="V5242">
        <v>-0.117163</v>
      </c>
      <c r="W5242">
        <v>7.3080019999999996E-2</v>
      </c>
      <c r="X5242">
        <v>0.99042019999999997</v>
      </c>
      <c r="Y5242">
        <v>-0.1036251</v>
      </c>
      <c r="Z5242">
        <v>-6.1530689999999999E-2</v>
      </c>
      <c r="AA5242">
        <v>0.99271139999999902</v>
      </c>
      <c r="AB5242">
        <v>33</v>
      </c>
      <c r="AC5242">
        <v>-0.27130000000002402</v>
      </c>
      <c r="AD5242">
        <v>-1.1133832222589899</v>
      </c>
      <c r="AE5242">
        <v>17.341515000000001</v>
      </c>
      <c r="AF5242">
        <v>-1.84461618923744</v>
      </c>
      <c r="AG5242">
        <v>-1.1133832222589899</v>
      </c>
      <c r="AH5242">
        <v>17.173675634402599</v>
      </c>
      <c r="AI5242">
        <v>93.688185643457601</v>
      </c>
      <c r="AJ5242">
        <v>96.130608171454</v>
      </c>
      <c r="AK5242">
        <v>17.308303379617399</v>
      </c>
    </row>
    <row r="5243" spans="1:37" x14ac:dyDescent="0.2">
      <c r="A5243" t="str">
        <f>"20200111154204151"</f>
        <v>20200111154204151</v>
      </c>
      <c r="B5243" t="str">
        <f>"1578728524141220"</f>
        <v>1578728524141220</v>
      </c>
      <c r="C5243" t="s">
        <v>37</v>
      </c>
      <c r="D5243">
        <v>5.1695479999999998</v>
      </c>
      <c r="E5243">
        <v>0.51208189999999998</v>
      </c>
      <c r="F5243" t="s">
        <v>39</v>
      </c>
      <c r="G5243">
        <v>-187.50049999999999</v>
      </c>
      <c r="H5243" s="1">
        <v>-2.5326830000000001E-6</v>
      </c>
      <c r="I5243">
        <v>-5.4969789999999996</v>
      </c>
      <c r="J5243">
        <v>-187.61519999999999</v>
      </c>
      <c r="K5243">
        <v>1.1133409999999999</v>
      </c>
      <c r="L5243">
        <v>-25.431819999999998</v>
      </c>
      <c r="M5243">
        <v>8.8389010000000004E-2</v>
      </c>
      <c r="N5243">
        <v>0</v>
      </c>
      <c r="O5243">
        <v>0.99598999999999904</v>
      </c>
      <c r="P5243">
        <v>-2.6275119999999999E-2</v>
      </c>
      <c r="Q5243">
        <v>5.8630059999999998E-2</v>
      </c>
      <c r="R5243">
        <v>0.99793390000000004</v>
      </c>
      <c r="S5243">
        <v>2.079773E-2</v>
      </c>
      <c r="T5243">
        <v>-0.16597809999999999</v>
      </c>
      <c r="U5243">
        <v>3.0169679999999999</v>
      </c>
      <c r="V5243">
        <v>-0.11485719999999899</v>
      </c>
      <c r="W5243">
        <v>7.1594270000000002E-2</v>
      </c>
      <c r="X5243">
        <v>0.99079869999999903</v>
      </c>
      <c r="Y5243">
        <v>-8.1539E-2</v>
      </c>
      <c r="Z5243">
        <v>-5.4517349999999999E-2</v>
      </c>
      <c r="AA5243">
        <v>0.99517800000000001</v>
      </c>
      <c r="AB5243">
        <v>33</v>
      </c>
      <c r="AC5243">
        <v>0.114699999999999</v>
      </c>
      <c r="AD5243">
        <v>-1.1133435326829999</v>
      </c>
      <c r="AE5243">
        <v>19.934840999999999</v>
      </c>
      <c r="AF5243">
        <v>-1.64281446803461</v>
      </c>
      <c r="AG5243">
        <v>-1.1133435326829999</v>
      </c>
      <c r="AH5243">
        <v>19.805168141640198</v>
      </c>
      <c r="AI5243">
        <v>93.2064952090048</v>
      </c>
      <c r="AJ5243">
        <v>94.741759473539105</v>
      </c>
      <c r="AK5243">
        <v>19.904347723972101</v>
      </c>
    </row>
    <row r="5244" spans="1:37" x14ac:dyDescent="0.2">
      <c r="A5244" t="str">
        <f>"20200111154204172"</f>
        <v>20200111154204172</v>
      </c>
      <c r="B5244" t="str">
        <f>"1578728524160741"</f>
        <v>1578728524160741</v>
      </c>
      <c r="C5244" t="s">
        <v>37</v>
      </c>
      <c r="D5244">
        <v>5.175319</v>
      </c>
      <c r="E5244">
        <v>0.51218759999999997</v>
      </c>
      <c r="F5244" t="s">
        <v>39</v>
      </c>
      <c r="G5244">
        <v>-187.49639999999999</v>
      </c>
      <c r="H5244" s="1">
        <v>-2.463055E-6</v>
      </c>
      <c r="I5244">
        <v>-5.6609860000000003</v>
      </c>
      <c r="J5244">
        <v>-187.59190000000001</v>
      </c>
      <c r="K5244">
        <v>1.113297</v>
      </c>
      <c r="L5244">
        <v>-25.138459999999998</v>
      </c>
      <c r="M5244">
        <v>8.5663390000000006E-2</v>
      </c>
      <c r="N5244">
        <v>0</v>
      </c>
      <c r="O5244">
        <v>0.99622860000000002</v>
      </c>
      <c r="P5244">
        <v>-2.7144720000000001E-2</v>
      </c>
      <c r="Q5244">
        <v>5.6883250000000003E-2</v>
      </c>
      <c r="R5244">
        <v>0.9980118</v>
      </c>
      <c r="S5244">
        <v>1.8127440000000002E-2</v>
      </c>
      <c r="T5244">
        <v>-0.16987550000000001</v>
      </c>
      <c r="U5244">
        <v>3.0166629999999999</v>
      </c>
      <c r="V5244">
        <v>-0.1130007</v>
      </c>
      <c r="W5244">
        <v>6.9837720000000006E-2</v>
      </c>
      <c r="X5244">
        <v>0.9911375</v>
      </c>
      <c r="Y5244">
        <v>-7.9692280000000004E-2</v>
      </c>
      <c r="Z5244">
        <v>-5.582355E-2</v>
      </c>
      <c r="AA5244">
        <v>0.99525520000000001</v>
      </c>
      <c r="AB5244">
        <v>33</v>
      </c>
      <c r="AC5244">
        <v>9.5500000000015406E-2</v>
      </c>
      <c r="AD5244">
        <v>-1.1132994630549999</v>
      </c>
      <c r="AE5244">
        <v>19.477474000000001</v>
      </c>
      <c r="AF5244">
        <v>-1.56839246646801</v>
      </c>
      <c r="AG5244">
        <v>-1.1132994630549999</v>
      </c>
      <c r="AH5244">
        <v>19.350826399372099</v>
      </c>
      <c r="AI5244">
        <v>93.281995181529098</v>
      </c>
      <c r="AJ5244">
        <v>94.6337177323161</v>
      </c>
      <c r="AK5244">
        <v>19.446176306974799</v>
      </c>
    </row>
    <row r="5245" spans="1:37" x14ac:dyDescent="0.2">
      <c r="A5245" t="str">
        <f>"20200111154204194"</f>
        <v>20200111154204194</v>
      </c>
      <c r="B5245" t="str">
        <f>"1578728524190997"</f>
        <v>1578728524190997</v>
      </c>
      <c r="C5245" t="s">
        <v>37</v>
      </c>
      <c r="D5245">
        <v>5.1824859999999999</v>
      </c>
      <c r="E5245">
        <v>0.51230640000000005</v>
      </c>
      <c r="F5245" t="s">
        <v>39</v>
      </c>
      <c r="G5245">
        <v>-187.48910000000001</v>
      </c>
      <c r="H5245" s="1">
        <v>-2.3105129999999999E-6</v>
      </c>
      <c r="I5245">
        <v>-6.0195669999999897</v>
      </c>
      <c r="J5245">
        <v>-187.56639999999999</v>
      </c>
      <c r="K5245">
        <v>1.113256</v>
      </c>
      <c r="L5245">
        <v>-24.804289999999899</v>
      </c>
      <c r="M5245">
        <v>8.2566970000000003E-2</v>
      </c>
      <c r="N5245">
        <v>0</v>
      </c>
      <c r="O5245">
        <v>0.99649129999999997</v>
      </c>
      <c r="P5245">
        <v>-3.05542E-2</v>
      </c>
      <c r="Q5245">
        <v>5.4493890000000003E-2</v>
      </c>
      <c r="R5245">
        <v>0.99804649999999995</v>
      </c>
      <c r="S5245">
        <v>1.622009E-2</v>
      </c>
      <c r="T5245">
        <v>-0.1756471</v>
      </c>
      <c r="U5245">
        <v>3.0164179999999998</v>
      </c>
      <c r="V5245">
        <v>-0.11329889999999999</v>
      </c>
      <c r="W5245">
        <v>6.7358790000000002E-2</v>
      </c>
      <c r="X5245">
        <v>0.99127500000000002</v>
      </c>
      <c r="Y5245">
        <v>-7.72235E-2</v>
      </c>
      <c r="Z5245">
        <v>-5.7747069999999998E-2</v>
      </c>
      <c r="AA5245">
        <v>0.99534</v>
      </c>
      <c r="AB5245">
        <v>32</v>
      </c>
      <c r="AC5245">
        <v>7.7299999999979704E-2</v>
      </c>
      <c r="AD5245">
        <v>-1.1132583105130001</v>
      </c>
      <c r="AE5245">
        <v>18.784723</v>
      </c>
      <c r="AF5245">
        <v>-1.4689481080881399</v>
      </c>
      <c r="AG5245">
        <v>-1.1132583105130001</v>
      </c>
      <c r="AH5245">
        <v>18.661411904270601</v>
      </c>
      <c r="AI5245">
        <v>93.403466771459605</v>
      </c>
      <c r="AJ5245">
        <v>94.500802937859703</v>
      </c>
      <c r="AK5245">
        <v>18.752211786107601</v>
      </c>
    </row>
    <row r="5246" spans="1:37" x14ac:dyDescent="0.2">
      <c r="A5246" t="str">
        <f>"20200111154204217"</f>
        <v>20200111154204217</v>
      </c>
      <c r="B5246" t="str">
        <f>"1578728524211493"</f>
        <v>1578728524211493</v>
      </c>
      <c r="C5246" t="s">
        <v>37</v>
      </c>
      <c r="D5246">
        <v>5.2280449999999998</v>
      </c>
      <c r="E5246">
        <v>0.51256499999999905</v>
      </c>
      <c r="F5246" t="s">
        <v>39</v>
      </c>
      <c r="G5246">
        <v>-187.52340000000001</v>
      </c>
      <c r="H5246" s="1">
        <v>-2.1313900000000002E-6</v>
      </c>
      <c r="I5246">
        <v>-6.4229430000000001</v>
      </c>
      <c r="J5246">
        <v>-187.54349999999999</v>
      </c>
      <c r="K5246">
        <v>1.1132040000000001</v>
      </c>
      <c r="L5246">
        <v>-24.491700000000002</v>
      </c>
      <c r="M5246">
        <v>7.9679849999999997E-2</v>
      </c>
      <c r="N5246">
        <v>0</v>
      </c>
      <c r="O5246">
        <v>0.99672830000000001</v>
      </c>
      <c r="P5246">
        <v>-3.427533E-2</v>
      </c>
      <c r="Q5246">
        <v>5.403198E-2</v>
      </c>
      <c r="R5246">
        <v>0.99795080000000003</v>
      </c>
      <c r="S5246">
        <v>7.064819E-3</v>
      </c>
      <c r="T5246">
        <v>-0.18266579999999999</v>
      </c>
      <c r="U5246">
        <v>3.0160520000000002</v>
      </c>
      <c r="V5246">
        <v>-0.11412029999999999</v>
      </c>
      <c r="W5246">
        <v>6.6748370000000001E-2</v>
      </c>
      <c r="X5246">
        <v>0.99122209999999999</v>
      </c>
      <c r="Y5246">
        <v>-7.7356030000000006E-2</v>
      </c>
      <c r="Z5246">
        <v>-6.0074919999999997E-2</v>
      </c>
      <c r="AA5246">
        <v>0.99519199999999997</v>
      </c>
      <c r="AB5246">
        <v>32</v>
      </c>
      <c r="AC5246">
        <v>2.0099999999985099E-2</v>
      </c>
      <c r="AD5246">
        <v>-1.1132061313899999</v>
      </c>
      <c r="AE5246">
        <v>18.068757000000002</v>
      </c>
      <c r="AF5246">
        <v>-1.41444327811649</v>
      </c>
      <c r="AG5246">
        <v>-1.1132061313899999</v>
      </c>
      <c r="AH5246">
        <v>17.9447852639824</v>
      </c>
      <c r="AI5246">
        <v>93.538850897867107</v>
      </c>
      <c r="AJ5246">
        <v>94.506847939640807</v>
      </c>
      <c r="AK5246">
        <v>18.034832847809</v>
      </c>
    </row>
    <row r="5247" spans="1:37" x14ac:dyDescent="0.2">
      <c r="A5247" t="str">
        <f>"20200111154204238"</f>
        <v>20200111154204238</v>
      </c>
      <c r="B5247" t="str">
        <f>"1578728524231012"</f>
        <v>1578728524231012</v>
      </c>
      <c r="C5247" t="s">
        <v>37</v>
      </c>
      <c r="D5247">
        <v>5.252027</v>
      </c>
      <c r="E5247">
        <v>0.51257039999999998</v>
      </c>
      <c r="F5247" t="s">
        <v>39</v>
      </c>
      <c r="G5247">
        <v>-187.5523</v>
      </c>
      <c r="H5247" s="1">
        <v>-2.2712130000000001E-6</v>
      </c>
      <c r="I5247">
        <v>-6.0850330000000001</v>
      </c>
      <c r="J5247">
        <v>-187.5214</v>
      </c>
      <c r="K5247">
        <v>1.113156</v>
      </c>
      <c r="L5247">
        <v>-24.17831</v>
      </c>
      <c r="M5247">
        <v>7.6788380000000003E-2</v>
      </c>
      <c r="N5247">
        <v>0</v>
      </c>
      <c r="O5247">
        <v>0.99695789999999995</v>
      </c>
      <c r="P5247">
        <v>-3.7621010000000003E-2</v>
      </c>
      <c r="Q5247">
        <v>5.5151819999999997E-2</v>
      </c>
      <c r="R5247">
        <v>0.99776900000000002</v>
      </c>
      <c r="S5247">
        <v>-1.449585E-3</v>
      </c>
      <c r="T5247">
        <v>-0.18240239999999999</v>
      </c>
      <c r="U5247">
        <v>3.0159910000000001</v>
      </c>
      <c r="V5247">
        <v>-0.114567899999999</v>
      </c>
      <c r="W5247">
        <v>6.766896E-2</v>
      </c>
      <c r="X5247">
        <v>0.99110799999999999</v>
      </c>
      <c r="Y5247">
        <v>-7.7273359999999999E-2</v>
      </c>
      <c r="Z5247">
        <v>-6.0010630000000002E-2</v>
      </c>
      <c r="AA5247">
        <v>0.99520219999999904</v>
      </c>
      <c r="AB5247">
        <v>33</v>
      </c>
      <c r="AC5247">
        <v>-3.0900000000002498E-2</v>
      </c>
      <c r="AD5247">
        <v>-1.1131582712129999</v>
      </c>
      <c r="AE5247">
        <v>18.093277</v>
      </c>
      <c r="AF5247">
        <v>-1.4149305254201101</v>
      </c>
      <c r="AG5247">
        <v>-1.1131582712129999</v>
      </c>
      <c r="AH5247">
        <v>17.9694562044841</v>
      </c>
      <c r="AI5247">
        <v>93.533875428836197</v>
      </c>
      <c r="AJ5247">
        <v>94.502229781092595</v>
      </c>
      <c r="AK5247">
        <v>18.059415993143499</v>
      </c>
    </row>
    <row r="5248" spans="1:37" x14ac:dyDescent="0.2">
      <c r="A5248" t="str">
        <f>"20200111154204260"</f>
        <v>20200111154204260</v>
      </c>
      <c r="B5248" t="str">
        <f>"1578728524251509"</f>
        <v>1578728524251509</v>
      </c>
      <c r="C5248" t="s">
        <v>37</v>
      </c>
      <c r="D5248">
        <v>5.2341530000000001</v>
      </c>
      <c r="E5248">
        <v>0.51249069999999997</v>
      </c>
      <c r="F5248" t="s">
        <v>39</v>
      </c>
      <c r="G5248">
        <v>-187.59119999999999</v>
      </c>
      <c r="H5248" s="1">
        <v>-2.5092550000000001E-6</v>
      </c>
      <c r="I5248">
        <v>-5.5140909999999996</v>
      </c>
      <c r="J5248">
        <v>-187.4999</v>
      </c>
      <c r="K5248">
        <v>1.1131</v>
      </c>
      <c r="L5248">
        <v>-23.860810000000001</v>
      </c>
      <c r="M5248">
        <v>7.3855110000000002E-2</v>
      </c>
      <c r="N5248">
        <v>0</v>
      </c>
      <c r="O5248">
        <v>0.99718300000000004</v>
      </c>
      <c r="P5248">
        <v>-4.0437090000000002E-2</v>
      </c>
      <c r="Q5248">
        <v>5.6664760000000002E-2</v>
      </c>
      <c r="R5248">
        <v>0.99757399999999996</v>
      </c>
      <c r="S5248">
        <v>-1.127625E-2</v>
      </c>
      <c r="T5248">
        <v>-0.1798921</v>
      </c>
      <c r="U5248">
        <v>3.016235</v>
      </c>
      <c r="V5248">
        <v>-0.114449299999999</v>
      </c>
      <c r="W5248">
        <v>6.8926769999999998E-2</v>
      </c>
      <c r="X5248">
        <v>0.991035</v>
      </c>
      <c r="Y5248">
        <v>-7.7582449999999997E-2</v>
      </c>
      <c r="Z5248">
        <v>-5.9201749999999997E-2</v>
      </c>
      <c r="AA5248">
        <v>0.99522670000000002</v>
      </c>
      <c r="AB5248">
        <v>33</v>
      </c>
      <c r="AC5248">
        <v>-9.1299999999989695E-2</v>
      </c>
      <c r="AD5248">
        <v>-1.113102509255</v>
      </c>
      <c r="AE5248">
        <v>18.346719</v>
      </c>
      <c r="AF5248">
        <v>-1.4408622304187899</v>
      </c>
      <c r="AG5248">
        <v>-1.113102509255</v>
      </c>
      <c r="AH5248">
        <v>18.222787110573101</v>
      </c>
      <c r="AI5248">
        <v>93.484606203115604</v>
      </c>
      <c r="AJ5248">
        <v>94.520928813619506</v>
      </c>
      <c r="AK5248">
        <v>18.313520995167099</v>
      </c>
    </row>
    <row r="5249" spans="1:37" x14ac:dyDescent="0.2">
      <c r="A5249" t="str">
        <f>"20200111154204283"</f>
        <v>20200111154204283</v>
      </c>
      <c r="B5249" t="str">
        <f>"1578728524271029"</f>
        <v>1578728524271029</v>
      </c>
      <c r="C5249" t="s">
        <v>37</v>
      </c>
      <c r="D5249">
        <v>5.2571560000000002</v>
      </c>
      <c r="E5249">
        <v>0.512208</v>
      </c>
      <c r="F5249" t="s">
        <v>39</v>
      </c>
      <c r="G5249">
        <v>-187.62909999999999</v>
      </c>
      <c r="H5249" s="1">
        <v>-2.86578599999999E-6</v>
      </c>
      <c r="I5249">
        <v>-4.6673109999999998</v>
      </c>
      <c r="J5249">
        <v>-187.4787</v>
      </c>
      <c r="K5249">
        <v>1.113035</v>
      </c>
      <c r="L5249">
        <v>-23.53275</v>
      </c>
      <c r="M5249">
        <v>7.0816519999999994E-2</v>
      </c>
      <c r="N5249">
        <v>0</v>
      </c>
      <c r="O5249">
        <v>0.99740769999999901</v>
      </c>
      <c r="P5249">
        <v>-4.3662279999999998E-2</v>
      </c>
      <c r="Q5249">
        <v>5.7726550000000001E-2</v>
      </c>
      <c r="R5249">
        <v>0.99737719999999896</v>
      </c>
      <c r="S5249">
        <v>-2.030945E-2</v>
      </c>
      <c r="T5249">
        <v>-0.17493339999999999</v>
      </c>
      <c r="U5249">
        <v>3.0164179999999998</v>
      </c>
      <c r="V5249">
        <v>-0.1146325</v>
      </c>
      <c r="W5249">
        <v>6.9659819999999997E-2</v>
      </c>
      <c r="X5249">
        <v>0.99096260000000003</v>
      </c>
      <c r="Y5249">
        <v>-7.7525220000000006E-2</v>
      </c>
      <c r="Z5249">
        <v>-5.759073E-2</v>
      </c>
      <c r="AA5249">
        <v>0.99532559999999903</v>
      </c>
      <c r="AB5249">
        <v>33</v>
      </c>
      <c r="AC5249">
        <v>-0.15039999999998999</v>
      </c>
      <c r="AD5249">
        <v>-1.1130378657860001</v>
      </c>
      <c r="AE5249">
        <v>18.865438999999999</v>
      </c>
      <c r="AF5249">
        <v>-1.4809612207385201</v>
      </c>
      <c r="AG5249">
        <v>-1.1130378657860001</v>
      </c>
      <c r="AH5249">
        <v>18.742180564637799</v>
      </c>
      <c r="AI5249">
        <v>93.388084497630999</v>
      </c>
      <c r="AJ5249">
        <v>94.517984730957494</v>
      </c>
      <c r="AK5249">
        <v>18.833518835987299</v>
      </c>
    </row>
    <row r="5250" spans="1:37" x14ac:dyDescent="0.2">
      <c r="A5250" t="str">
        <f>"20200111154204307"</f>
        <v>20200111154204307</v>
      </c>
      <c r="B5250" t="str">
        <f>"1578728524301285"</f>
        <v>1578728524301285</v>
      </c>
      <c r="C5250" t="s">
        <v>37</v>
      </c>
      <c r="D5250">
        <v>5.2897309999999997</v>
      </c>
      <c r="E5250">
        <v>0.51248229999999995</v>
      </c>
      <c r="F5250" t="s">
        <v>39</v>
      </c>
      <c r="G5250">
        <v>-187.6841</v>
      </c>
      <c r="H5250" s="1">
        <v>-2.9922170000000002E-6</v>
      </c>
      <c r="I5250">
        <v>-4.3498779999999897</v>
      </c>
      <c r="J5250">
        <v>-187.4579</v>
      </c>
      <c r="K5250">
        <v>1.1129579999999999</v>
      </c>
      <c r="L5250">
        <v>-23.195650000000001</v>
      </c>
      <c r="M5250">
        <v>6.7688929999999994E-2</v>
      </c>
      <c r="N5250">
        <v>0</v>
      </c>
      <c r="O5250">
        <v>0.99762989999999996</v>
      </c>
      <c r="P5250">
        <v>-4.6716880000000002E-2</v>
      </c>
      <c r="Q5250">
        <v>5.8450170000000003E-2</v>
      </c>
      <c r="R5250">
        <v>0.99719659999999999</v>
      </c>
      <c r="S5250">
        <v>-3.2302860000000003E-2</v>
      </c>
      <c r="T5250">
        <v>-0.17503079999999999</v>
      </c>
      <c r="U5250">
        <v>3.0166019999999998</v>
      </c>
      <c r="V5250">
        <v>-0.1145571</v>
      </c>
      <c r="W5250">
        <v>6.9987560000000004E-2</v>
      </c>
      <c r="X5250">
        <v>0.9909483</v>
      </c>
      <c r="Y5250">
        <v>-7.8355380000000002E-2</v>
      </c>
      <c r="Z5250">
        <v>-5.7635169999999999E-2</v>
      </c>
      <c r="AA5250">
        <v>0.99525810000000003</v>
      </c>
      <c r="AB5250">
        <v>33</v>
      </c>
      <c r="AC5250">
        <v>-0.22620000000000501</v>
      </c>
      <c r="AD5250">
        <v>-1.1129609922169901</v>
      </c>
      <c r="AE5250">
        <v>18.845772</v>
      </c>
      <c r="AF5250">
        <v>-1.49621123320352</v>
      </c>
      <c r="AG5250">
        <v>-1.1129609922169901</v>
      </c>
      <c r="AH5250">
        <v>18.7219436680382</v>
      </c>
      <c r="AI5250">
        <v>93.391264027347702</v>
      </c>
      <c r="AJ5250">
        <v>94.569225299711803</v>
      </c>
      <c r="AK5250">
        <v>18.814582241808001</v>
      </c>
    </row>
    <row r="5251" spans="1:37" x14ac:dyDescent="0.2">
      <c r="A5251" t="str">
        <f>"20200111154204327"</f>
        <v>20200111154204327</v>
      </c>
      <c r="B5251" t="str">
        <f>"1578728524320805"</f>
        <v>1578728524320805</v>
      </c>
      <c r="C5251" t="s">
        <v>37</v>
      </c>
      <c r="D5251">
        <v>5.2930970000000004</v>
      </c>
      <c r="E5251">
        <v>0.51280539999999997</v>
      </c>
      <c r="F5251" t="s">
        <v>39</v>
      </c>
      <c r="G5251">
        <v>-187.7099</v>
      </c>
      <c r="H5251" s="1">
        <v>-3.2038749999999999E-6</v>
      </c>
      <c r="I5251">
        <v>-3.8458209999999999</v>
      </c>
      <c r="J5251">
        <v>-187.43940000000001</v>
      </c>
      <c r="K5251">
        <v>1.112879</v>
      </c>
      <c r="L5251">
        <v>-22.88043</v>
      </c>
      <c r="M5251">
        <v>6.4767710000000006E-2</v>
      </c>
      <c r="N5251">
        <v>0</v>
      </c>
      <c r="O5251">
        <v>0.99782859999999995</v>
      </c>
      <c r="P5251">
        <v>-4.8936210000000001E-2</v>
      </c>
      <c r="Q5251">
        <v>5.7991019999999997E-2</v>
      </c>
      <c r="R5251">
        <v>0.99711700000000003</v>
      </c>
      <c r="S5251">
        <v>-3.9291380000000001E-2</v>
      </c>
      <c r="T5251">
        <v>-0.17351729999999899</v>
      </c>
      <c r="U5251">
        <v>3.0167540000000002</v>
      </c>
      <c r="V5251">
        <v>-0.113855399999999</v>
      </c>
      <c r="W5251">
        <v>6.9145129999999999E-2</v>
      </c>
      <c r="X5251">
        <v>0.99108819999999997</v>
      </c>
      <c r="Y5251">
        <v>-7.7741309999999994E-2</v>
      </c>
      <c r="Z5251">
        <v>-5.715286E-2</v>
      </c>
      <c r="AA5251">
        <v>0.99533400000000005</v>
      </c>
      <c r="AB5251">
        <v>33</v>
      </c>
      <c r="AC5251">
        <v>-0.27049999999999802</v>
      </c>
      <c r="AD5251">
        <v>-1.1128822038749999</v>
      </c>
      <c r="AE5251">
        <v>19.034609</v>
      </c>
      <c r="AF5251">
        <v>-1.4977296423286</v>
      </c>
      <c r="AG5251">
        <v>-1.1128822038749999</v>
      </c>
      <c r="AH5251">
        <v>18.9124811418937</v>
      </c>
      <c r="AI5251">
        <v>93.357131433203094</v>
      </c>
      <c r="AJ5251">
        <v>94.527955168481597</v>
      </c>
      <c r="AK5251">
        <v>19.004305928491402</v>
      </c>
    </row>
    <row r="5252" spans="1:37" x14ac:dyDescent="0.2">
      <c r="A5252" t="str">
        <f>"20200111154204350"</f>
        <v>20200111154204350</v>
      </c>
      <c r="B5252" t="str">
        <f>"1578728524341300"</f>
        <v>1578728524341300</v>
      </c>
      <c r="C5252" t="s">
        <v>37</v>
      </c>
      <c r="D5252">
        <v>5.3024559999999896</v>
      </c>
      <c r="E5252">
        <v>0.51297119999999996</v>
      </c>
      <c r="F5252" t="s">
        <v>39</v>
      </c>
      <c r="G5252">
        <v>-187.71559999999999</v>
      </c>
      <c r="H5252" s="1">
        <v>-3.2401850000000001E-6</v>
      </c>
      <c r="I5252">
        <v>-3.7588279999999998</v>
      </c>
      <c r="J5252">
        <v>-187.4212</v>
      </c>
      <c r="K5252">
        <v>1.1128089999999999</v>
      </c>
      <c r="L5252">
        <v>-22.55463</v>
      </c>
      <c r="M5252">
        <v>6.1755650000000002E-2</v>
      </c>
      <c r="N5252">
        <v>0</v>
      </c>
      <c r="O5252">
        <v>0.99802420000000003</v>
      </c>
      <c r="P5252">
        <v>-5.1005719999999997E-2</v>
      </c>
      <c r="Q5252">
        <v>5.6260249999999998E-2</v>
      </c>
      <c r="R5252">
        <v>0.99711249999999996</v>
      </c>
      <c r="S5252">
        <v>-4.3579100000000003E-2</v>
      </c>
      <c r="T5252">
        <v>-0.17557590000000001</v>
      </c>
      <c r="U5252">
        <v>3.0167540000000002</v>
      </c>
      <c r="V5252">
        <v>-0.11291279999999999</v>
      </c>
      <c r="W5252">
        <v>6.7029569999999997E-2</v>
      </c>
      <c r="X5252">
        <v>0.99134140000000004</v>
      </c>
      <c r="Y5252">
        <v>-7.6145589999999999E-2</v>
      </c>
      <c r="Z5252">
        <v>-5.7848289999999997E-2</v>
      </c>
      <c r="AA5252">
        <v>0.995417199999999</v>
      </c>
      <c r="AB5252">
        <v>33</v>
      </c>
      <c r="AC5252">
        <v>-0.294399999999996</v>
      </c>
      <c r="AD5252">
        <v>-1.112812240185</v>
      </c>
      <c r="AE5252">
        <v>18.795801999999998</v>
      </c>
      <c r="AF5252">
        <v>-1.44958277367716</v>
      </c>
      <c r="AG5252">
        <v>-1.112812240185</v>
      </c>
      <c r="AH5252">
        <v>18.676290057797502</v>
      </c>
      <c r="AI5252">
        <v>93.399692111484399</v>
      </c>
      <c r="AJ5252">
        <v>94.438183010545899</v>
      </c>
      <c r="AK5252">
        <v>18.765485648462001</v>
      </c>
    </row>
    <row r="5253" spans="1:37" x14ac:dyDescent="0.2">
      <c r="A5253" t="str">
        <f>"20200111154204372"</f>
        <v>20200111154204372</v>
      </c>
      <c r="B5253" t="str">
        <f>"1578728524360821"</f>
        <v>1578728524360821</v>
      </c>
      <c r="C5253" t="s">
        <v>37</v>
      </c>
      <c r="D5253">
        <v>5.287579</v>
      </c>
      <c r="E5253">
        <v>0.51313299999999995</v>
      </c>
      <c r="F5253" t="s">
        <v>39</v>
      </c>
      <c r="G5253">
        <v>-187.7191</v>
      </c>
      <c r="H5253" s="1">
        <v>-3.1056789999999998E-6</v>
      </c>
      <c r="I5253">
        <v>-4.0709400000000002</v>
      </c>
      <c r="J5253">
        <v>-187.4041</v>
      </c>
      <c r="K5253">
        <v>1.1127370000000001</v>
      </c>
      <c r="L5253">
        <v>-22.23254</v>
      </c>
      <c r="M5253">
        <v>5.8792860000000002E-2</v>
      </c>
      <c r="N5253">
        <v>0</v>
      </c>
      <c r="O5253">
        <v>0.99820759999999897</v>
      </c>
      <c r="P5253">
        <v>-5.2582219999999999E-2</v>
      </c>
      <c r="Q5253">
        <v>5.4404229999999998E-2</v>
      </c>
      <c r="R5253">
        <v>0.99713359999999995</v>
      </c>
      <c r="S5253">
        <v>-4.8614499999999998E-2</v>
      </c>
      <c r="T5253">
        <v>-0.18160560000000001</v>
      </c>
      <c r="U5253">
        <v>3.0164490000000002</v>
      </c>
      <c r="V5253">
        <v>-0.1115276</v>
      </c>
      <c r="W5253">
        <v>6.4798529999999993E-2</v>
      </c>
      <c r="X5253">
        <v>0.99164649999999999</v>
      </c>
      <c r="Y5253">
        <v>-7.4846330000000003E-2</v>
      </c>
      <c r="Z5253">
        <v>-5.9852219999999998E-2</v>
      </c>
      <c r="AA5253">
        <v>0.99539730000000004</v>
      </c>
      <c r="AB5253">
        <v>33</v>
      </c>
      <c r="AC5253">
        <v>-0.314999999999997</v>
      </c>
      <c r="AD5253">
        <v>-1.1127401056790001</v>
      </c>
      <c r="AE5253">
        <v>18.1616</v>
      </c>
      <c r="AF5253">
        <v>-1.3771261886994</v>
      </c>
      <c r="AG5253">
        <v>-1.1127401056790001</v>
      </c>
      <c r="AH5253">
        <v>18.043945032540702</v>
      </c>
      <c r="AI5253">
        <v>93.518659506589103</v>
      </c>
      <c r="AJ5253">
        <v>94.364392112515702</v>
      </c>
      <c r="AK5253">
        <v>18.130598981273</v>
      </c>
    </row>
    <row r="5254" spans="1:37" x14ac:dyDescent="0.2">
      <c r="A5254" t="str">
        <f>"20200111154204395"</f>
        <v>20200111154204395</v>
      </c>
      <c r="B5254" t="str">
        <f>"1578728524391077"</f>
        <v>1578728524391077</v>
      </c>
      <c r="C5254" t="s">
        <v>37</v>
      </c>
      <c r="D5254">
        <v>5.4484260000000004</v>
      </c>
      <c r="E5254">
        <v>0.5134512</v>
      </c>
      <c r="F5254" t="s">
        <v>39</v>
      </c>
      <c r="G5254">
        <v>-187.71170000000001</v>
      </c>
      <c r="H5254" s="1">
        <v>-2.96772899999999E-6</v>
      </c>
      <c r="I5254">
        <v>-4.3955390000000003</v>
      </c>
      <c r="J5254">
        <v>-187.3869</v>
      </c>
      <c r="K5254">
        <v>1.112671</v>
      </c>
      <c r="L5254">
        <v>-21.88965</v>
      </c>
      <c r="M5254">
        <v>5.566724E-2</v>
      </c>
      <c r="N5254">
        <v>0</v>
      </c>
      <c r="O5254">
        <v>0.99839129999999998</v>
      </c>
      <c r="P5254">
        <v>-5.3665350000000001E-2</v>
      </c>
      <c r="Q5254">
        <v>5.2609309999999999E-2</v>
      </c>
      <c r="R5254">
        <v>0.99717219999999995</v>
      </c>
      <c r="S5254">
        <v>-5.2017210000000001E-2</v>
      </c>
      <c r="T5254">
        <v>-0.18815860000000001</v>
      </c>
      <c r="U5254">
        <v>3.0161439999999899</v>
      </c>
      <c r="V5254">
        <v>-0.10948910000000001</v>
      </c>
      <c r="W5254">
        <v>6.2616679999999994E-2</v>
      </c>
      <c r="X5254">
        <v>0.99201379999999995</v>
      </c>
      <c r="Y5254">
        <v>-7.2845750000000001E-2</v>
      </c>
      <c r="Z5254">
        <v>-6.2030689999999999E-2</v>
      </c>
      <c r="AA5254">
        <v>0.99541229999999903</v>
      </c>
      <c r="AB5254">
        <v>33</v>
      </c>
      <c r="AC5254">
        <v>-0.32480000000001003</v>
      </c>
      <c r="AD5254">
        <v>-1.1126739677290001</v>
      </c>
      <c r="AE5254">
        <v>17.494111</v>
      </c>
      <c r="AF5254">
        <v>-1.29297297093691</v>
      </c>
      <c r="AG5254">
        <v>-1.1126739677290001</v>
      </c>
      <c r="AH5254">
        <v>17.378621578341299</v>
      </c>
      <c r="AI5254">
        <v>93.653317620235399</v>
      </c>
      <c r="AJ5254">
        <v>94.254978186291297</v>
      </c>
      <c r="AK5254">
        <v>17.462139342738801</v>
      </c>
    </row>
    <row r="5255" spans="1:37" x14ac:dyDescent="0.2">
      <c r="A5255" t="str">
        <f>"20200111154204418"</f>
        <v>20200111154204418</v>
      </c>
      <c r="B5255" t="str">
        <f>"1578728524411573"</f>
        <v>1578728524411573</v>
      </c>
      <c r="C5255" t="s">
        <v>37</v>
      </c>
      <c r="D5255">
        <v>5.3318589999999997</v>
      </c>
      <c r="E5255">
        <v>0.51705719999999999</v>
      </c>
      <c r="F5255" t="s">
        <v>39</v>
      </c>
      <c r="G5255">
        <v>-187.68879999999999</v>
      </c>
      <c r="H5255" s="1">
        <v>-2.9211389999999999E-6</v>
      </c>
      <c r="I5255">
        <v>-4.5135959999999997</v>
      </c>
      <c r="J5255">
        <v>-187.37110000000001</v>
      </c>
      <c r="K5255">
        <v>1.112622</v>
      </c>
      <c r="L5255">
        <v>-21.557220000000001</v>
      </c>
      <c r="M5255">
        <v>5.2676029999999999E-2</v>
      </c>
      <c r="N5255">
        <v>0</v>
      </c>
      <c r="O5255">
        <v>0.99855759999999905</v>
      </c>
      <c r="P5255">
        <v>-5.417375E-2</v>
      </c>
      <c r="Q5255">
        <v>5.1340759999999999E-2</v>
      </c>
      <c r="R5255">
        <v>0.99721079999999995</v>
      </c>
      <c r="S5255">
        <v>-5.2413939999999999E-2</v>
      </c>
      <c r="T5255">
        <v>-0.19312079999999901</v>
      </c>
      <c r="U5255">
        <v>3.0158689999999999</v>
      </c>
      <c r="V5255">
        <v>-0.1070132</v>
      </c>
      <c r="W5255">
        <v>6.0993760000000001E-2</v>
      </c>
      <c r="X5255">
        <v>0.99238499999999996</v>
      </c>
      <c r="Y5255">
        <v>-6.9988110000000006E-2</v>
      </c>
      <c r="Z5255">
        <v>-6.3687820000000006E-2</v>
      </c>
      <c r="AA5255">
        <v>0.99551270000000003</v>
      </c>
      <c r="AB5255">
        <v>33</v>
      </c>
      <c r="AC5255">
        <v>-0.317699999999973</v>
      </c>
      <c r="AD5255">
        <v>-1.112624921139</v>
      </c>
      <c r="AE5255">
        <v>17.043623999999902</v>
      </c>
      <c r="AF5255">
        <v>-1.2099432735356599</v>
      </c>
      <c r="AG5255">
        <v>-1.112624921139</v>
      </c>
      <c r="AH5255">
        <v>16.931094266959398</v>
      </c>
      <c r="AI5255">
        <v>93.750243149335304</v>
      </c>
      <c r="AJ5255">
        <v>94.087567535648802</v>
      </c>
      <c r="AK5255">
        <v>17.0106981049274</v>
      </c>
    </row>
    <row r="5256" spans="1:37" x14ac:dyDescent="0.2">
      <c r="A5256" t="str">
        <f>"20200111154204438"</f>
        <v>20200111154204438</v>
      </c>
      <c r="B5256" t="str">
        <f>"1578728524431093"</f>
        <v>1578728524431093</v>
      </c>
      <c r="C5256" t="s">
        <v>37</v>
      </c>
      <c r="D5256">
        <v>5.301545</v>
      </c>
      <c r="E5256">
        <v>0.51732460000000002</v>
      </c>
      <c r="F5256" t="s">
        <v>39</v>
      </c>
      <c r="G5256">
        <v>-187.5677</v>
      </c>
      <c r="H5256" s="1">
        <v>-1.3850249999999999E-6</v>
      </c>
      <c r="I5256">
        <v>1.8163259999999899</v>
      </c>
      <c r="J5256">
        <v>-187.35749999999999</v>
      </c>
      <c r="K5256">
        <v>1.1125659999999999</v>
      </c>
      <c r="L5256">
        <v>-21.252079999999999</v>
      </c>
      <c r="M5256">
        <v>4.9982060000000002E-2</v>
      </c>
      <c r="N5256">
        <v>0</v>
      </c>
      <c r="O5256">
        <v>0.99869949999999996</v>
      </c>
      <c r="P5256">
        <v>-5.3521689999999997E-2</v>
      </c>
      <c r="Q5256">
        <v>5.204168E-2</v>
      </c>
      <c r="R5256">
        <v>0.99720969999999998</v>
      </c>
      <c r="S5256">
        <v>-2.5360110000000002E-2</v>
      </c>
      <c r="T5256">
        <v>-0.14349110000000001</v>
      </c>
      <c r="U5256">
        <v>3.0144039999999999</v>
      </c>
      <c r="V5256">
        <v>-0.1036816</v>
      </c>
      <c r="W5256">
        <v>6.1384519999999998E-2</v>
      </c>
      <c r="X5256">
        <v>0.99271450000000006</v>
      </c>
      <c r="Y5256">
        <v>-5.8375459999999997E-2</v>
      </c>
      <c r="Z5256">
        <v>-4.7417479999999998E-2</v>
      </c>
      <c r="AA5256">
        <v>0.9971679</v>
      </c>
      <c r="AB5256">
        <v>33</v>
      </c>
      <c r="AC5256">
        <v>-0.21020000000001399</v>
      </c>
      <c r="AD5256">
        <v>-1.112567385025</v>
      </c>
      <c r="AE5256">
        <v>23.068406</v>
      </c>
      <c r="AF5256">
        <v>-1.3598392108480899</v>
      </c>
      <c r="AG5256">
        <v>-1.112567385025</v>
      </c>
      <c r="AH5256">
        <v>22.9756256609388</v>
      </c>
      <c r="AI5256">
        <v>92.767479069327607</v>
      </c>
      <c r="AJ5256">
        <v>93.387166162732001</v>
      </c>
      <c r="AK5256">
        <v>23.0427069455212</v>
      </c>
    </row>
    <row r="5257" spans="1:37" x14ac:dyDescent="0.2">
      <c r="A5257" t="str">
        <f>"20200111154204462"</f>
        <v>20200111154204462</v>
      </c>
      <c r="B5257" t="str">
        <f>"1578728524451380"</f>
        <v>1578728524451380</v>
      </c>
      <c r="C5257" t="s">
        <v>37</v>
      </c>
      <c r="D5257">
        <v>5.2991269999999897</v>
      </c>
      <c r="E5257">
        <v>0.51721669999999997</v>
      </c>
      <c r="F5257" t="s">
        <v>39</v>
      </c>
      <c r="G5257">
        <v>-187.52449999999999</v>
      </c>
      <c r="H5257" s="1">
        <v>-1.736076E-6</v>
      </c>
      <c r="I5257">
        <v>2.656037</v>
      </c>
      <c r="J5257">
        <v>-187.34270000000001</v>
      </c>
      <c r="K5257">
        <v>1.1124860000000001</v>
      </c>
      <c r="L5257">
        <v>-20.900700000000001</v>
      </c>
      <c r="M5257">
        <v>4.695353E-2</v>
      </c>
      <c r="N5257">
        <v>0</v>
      </c>
      <c r="O5257">
        <v>0.99885029999999997</v>
      </c>
      <c r="P5257">
        <v>-5.3157799999999998E-2</v>
      </c>
      <c r="Q5257">
        <v>5.2878109999999999E-2</v>
      </c>
      <c r="R5257">
        <v>0.99718510000000005</v>
      </c>
      <c r="S5257">
        <v>-2.105713E-2</v>
      </c>
      <c r="T5257">
        <v>-0.1402842</v>
      </c>
      <c r="U5257">
        <v>3.0145869999999899</v>
      </c>
      <c r="V5257">
        <v>-0.100302</v>
      </c>
      <c r="W5257">
        <v>6.1862819999999999E-2</v>
      </c>
      <c r="X5257">
        <v>0.99303200000000003</v>
      </c>
      <c r="Y5257">
        <v>-5.3924220000000002E-2</v>
      </c>
      <c r="Z5257">
        <v>-4.6373560000000001E-2</v>
      </c>
      <c r="AA5257">
        <v>0.99746759999999901</v>
      </c>
      <c r="AB5257">
        <v>33</v>
      </c>
      <c r="AC5257">
        <v>-0.181799999999981</v>
      </c>
      <c r="AD5257">
        <v>-1.1124877360759999</v>
      </c>
      <c r="AE5257">
        <v>23.556736999999998</v>
      </c>
      <c r="AF5257">
        <v>-1.28485768145825</v>
      </c>
      <c r="AG5257">
        <v>-1.1124877360759999</v>
      </c>
      <c r="AH5257">
        <v>23.469875327449301</v>
      </c>
      <c r="AI5257">
        <v>92.709775348221896</v>
      </c>
      <c r="AJ5257">
        <v>93.133527969794798</v>
      </c>
      <c r="AK5257">
        <v>23.531330946432501</v>
      </c>
    </row>
    <row r="5258" spans="1:37" x14ac:dyDescent="0.2">
      <c r="A5258" t="str">
        <f>"20200111154204484"</f>
        <v>20200111154204484</v>
      </c>
      <c r="B5258" t="str">
        <f>"1578728524480662"</f>
        <v>1578728524480662</v>
      </c>
      <c r="C5258" t="s">
        <v>37</v>
      </c>
      <c r="D5258">
        <v>5.3745659999999997</v>
      </c>
      <c r="E5258">
        <v>0.51735350000000002</v>
      </c>
      <c r="F5258" t="s">
        <v>39</v>
      </c>
      <c r="G5258">
        <v>-187.50649999999999</v>
      </c>
      <c r="H5258" s="1">
        <v>-1.8359930000000001E-6</v>
      </c>
      <c r="I5258">
        <v>2.8815179999999998</v>
      </c>
      <c r="J5258">
        <v>-187.33019999999999</v>
      </c>
      <c r="K5258">
        <v>1.112392</v>
      </c>
      <c r="L5258">
        <v>-20.581910000000001</v>
      </c>
      <c r="M5258">
        <v>4.4297000000000003E-2</v>
      </c>
      <c r="N5258">
        <v>0</v>
      </c>
      <c r="O5258">
        <v>0.99897499999999995</v>
      </c>
      <c r="P5258">
        <v>-5.3092140000000003E-2</v>
      </c>
      <c r="Q5258">
        <v>5.3672350000000001E-2</v>
      </c>
      <c r="R5258">
        <v>0.99714619999999998</v>
      </c>
      <c r="S5258">
        <v>-2.0767210000000001E-2</v>
      </c>
      <c r="T5258">
        <v>-0.1410283</v>
      </c>
      <c r="U5258">
        <v>3.0148320000000002</v>
      </c>
      <c r="V5258">
        <v>-9.7587419999999994E-2</v>
      </c>
      <c r="W5258">
        <v>6.2338739999999997E-2</v>
      </c>
      <c r="X5258">
        <v>0.99327269999999901</v>
      </c>
      <c r="Y5258">
        <v>-5.1171759999999997E-2</v>
      </c>
      <c r="Z5258">
        <v>-4.6627120000000001E-2</v>
      </c>
      <c r="AA5258">
        <v>0.99760079999999995</v>
      </c>
      <c r="AB5258">
        <v>33</v>
      </c>
      <c r="AC5258">
        <v>-0.17629999999999699</v>
      </c>
      <c r="AD5258">
        <v>-1.1123938359929999</v>
      </c>
      <c r="AE5258">
        <v>23.463428</v>
      </c>
      <c r="AF5258">
        <v>-1.2128056289089799</v>
      </c>
      <c r="AG5258">
        <v>-1.1123938359929999</v>
      </c>
      <c r="AH5258">
        <v>23.380036701823101</v>
      </c>
      <c r="AI5258">
        <v>92.720357472317502</v>
      </c>
      <c r="AJ5258">
        <v>92.969474215321597</v>
      </c>
      <c r="AK5258">
        <v>23.437884582838599</v>
      </c>
    </row>
    <row r="5259" spans="1:37" x14ac:dyDescent="0.2">
      <c r="A5259" t="str">
        <f>"20200111154204507"</f>
        <v>20200111154204507</v>
      </c>
      <c r="B5259" t="str">
        <f>"1578728524501156"</f>
        <v>1578728524501156</v>
      </c>
      <c r="C5259" t="s">
        <v>37</v>
      </c>
      <c r="D5259">
        <v>5.3627709999999897</v>
      </c>
      <c r="E5259">
        <v>0.51736610000000005</v>
      </c>
      <c r="F5259" t="s">
        <v>39</v>
      </c>
      <c r="G5259">
        <v>-187.4854</v>
      </c>
      <c r="H5259" s="1">
        <v>-2.2637640000000001E-6</v>
      </c>
      <c r="I5259">
        <v>3.8699180000000002</v>
      </c>
      <c r="J5259">
        <v>-187.31739999999999</v>
      </c>
      <c r="K5259">
        <v>1.112276</v>
      </c>
      <c r="L5259">
        <v>-20.233640000000001</v>
      </c>
      <c r="M5259">
        <v>4.1511649999999997E-2</v>
      </c>
      <c r="N5259">
        <v>0</v>
      </c>
      <c r="O5259">
        <v>0.99909799999999904</v>
      </c>
      <c r="P5259">
        <v>-5.3962129999999997E-2</v>
      </c>
      <c r="Q5259">
        <v>5.2874560000000001E-2</v>
      </c>
      <c r="R5259">
        <v>0.99714210000000003</v>
      </c>
      <c r="S5259">
        <v>-1.9134519999999999E-2</v>
      </c>
      <c r="T5259">
        <v>-0.13716020000000001</v>
      </c>
      <c r="U5259">
        <v>3.0149539999999999</v>
      </c>
      <c r="V5259">
        <v>-9.5668669999999997E-2</v>
      </c>
      <c r="W5259">
        <v>6.1202220000000002E-2</v>
      </c>
      <c r="X5259">
        <v>0.99352999999999903</v>
      </c>
      <c r="Y5259">
        <v>-4.7846850000000003E-2</v>
      </c>
      <c r="Z5259">
        <v>-4.5361060000000002E-2</v>
      </c>
      <c r="AA5259">
        <v>0.99782409999999999</v>
      </c>
      <c r="AB5259">
        <v>33</v>
      </c>
      <c r="AC5259">
        <v>-0.16800000000000601</v>
      </c>
      <c r="AD5259">
        <v>-1.1122782637640001</v>
      </c>
      <c r="AE5259">
        <v>24.103558</v>
      </c>
      <c r="AF5259">
        <v>-1.16599086709185</v>
      </c>
      <c r="AG5259">
        <v>-1.1122782637640001</v>
      </c>
      <c r="AH5259">
        <v>24.024648848654799</v>
      </c>
      <c r="AI5259">
        <v>92.647639631303406</v>
      </c>
      <c r="AJ5259">
        <v>92.778561999930204</v>
      </c>
      <c r="AK5259">
        <v>24.078630566113102</v>
      </c>
    </row>
    <row r="5260" spans="1:37" x14ac:dyDescent="0.2">
      <c r="A5260" t="str">
        <f>"20200111154204528"</f>
        <v>20200111154204528</v>
      </c>
      <c r="B5260" t="str">
        <f>"1578728524520677"</f>
        <v>1578728524520677</v>
      </c>
      <c r="C5260" t="s">
        <v>37</v>
      </c>
      <c r="D5260">
        <v>5.367928</v>
      </c>
      <c r="E5260">
        <v>0.51768170000000002</v>
      </c>
      <c r="F5260" t="s">
        <v>39</v>
      </c>
      <c r="G5260">
        <v>-187.48929999999999</v>
      </c>
      <c r="H5260" s="1">
        <v>-2.310887E-6</v>
      </c>
      <c r="I5260">
        <v>3.9813959999999899</v>
      </c>
      <c r="J5260">
        <v>-187.30629999999999</v>
      </c>
      <c r="K5260">
        <v>1.112169</v>
      </c>
      <c r="L5260">
        <v>-19.91217</v>
      </c>
      <c r="M5260">
        <v>3.9031049999999998E-2</v>
      </c>
      <c r="N5260">
        <v>0</v>
      </c>
      <c r="O5260">
        <v>0.9992008</v>
      </c>
      <c r="P5260">
        <v>-5.4602379999999999E-2</v>
      </c>
      <c r="Q5260">
        <v>5.0182360000000002E-2</v>
      </c>
      <c r="R5260">
        <v>0.99724639999999998</v>
      </c>
      <c r="S5260">
        <v>-2.1408079999999999E-2</v>
      </c>
      <c r="T5260">
        <v>-0.13847860000000001</v>
      </c>
      <c r="U5260">
        <v>3.0147710000000001</v>
      </c>
      <c r="V5260">
        <v>-9.3818230000000002E-2</v>
      </c>
      <c r="W5260">
        <v>5.821875E-2</v>
      </c>
      <c r="X5260">
        <v>0.99388559999999904</v>
      </c>
      <c r="Y5260">
        <v>-4.6119510000000002E-2</v>
      </c>
      <c r="Z5260">
        <v>-4.5807590000000002E-2</v>
      </c>
      <c r="AA5260">
        <v>0.99788509999999997</v>
      </c>
      <c r="AB5260">
        <v>34</v>
      </c>
      <c r="AC5260">
        <v>-0.182999999999992</v>
      </c>
      <c r="AD5260">
        <v>-1.1121713108869999</v>
      </c>
      <c r="AE5260">
        <v>23.893566</v>
      </c>
      <c r="AF5260">
        <v>-1.1130747169395401</v>
      </c>
      <c r="AG5260">
        <v>-1.1121713108869999</v>
      </c>
      <c r="AH5260">
        <v>23.816616384466101</v>
      </c>
      <c r="AI5260">
        <v>92.670704219126705</v>
      </c>
      <c r="AJ5260">
        <v>92.675783647395804</v>
      </c>
      <c r="AK5260">
        <v>23.868537373602699</v>
      </c>
    </row>
    <row r="5261" spans="1:37" x14ac:dyDescent="0.2">
      <c r="A5261" t="str">
        <f>"20200111154204551"</f>
        <v>20200111154204551</v>
      </c>
      <c r="B5261" t="str">
        <f>"1578728524541172"</f>
        <v>1578728524541172</v>
      </c>
      <c r="C5261" t="s">
        <v>37</v>
      </c>
      <c r="D5261">
        <v>5.3308549999999997</v>
      </c>
      <c r="E5261">
        <v>0.51972220000000002</v>
      </c>
      <c r="F5261" t="s">
        <v>39</v>
      </c>
      <c r="G5261">
        <v>-187.46719999999999</v>
      </c>
      <c r="H5261" s="1">
        <v>-1.9899729999999999E-6</v>
      </c>
      <c r="I5261">
        <v>3.224202</v>
      </c>
      <c r="J5261">
        <v>-187.2954</v>
      </c>
      <c r="K5261">
        <v>1.11207099999999</v>
      </c>
      <c r="L5261">
        <v>-19.574369999999998</v>
      </c>
      <c r="M5261">
        <v>3.6523060000000003E-2</v>
      </c>
      <c r="N5261">
        <v>0</v>
      </c>
      <c r="O5261">
        <v>0.99929829999999997</v>
      </c>
      <c r="P5261">
        <v>-5.4971550000000001E-2</v>
      </c>
      <c r="Q5261">
        <v>4.8223920000000003E-2</v>
      </c>
      <c r="R5261">
        <v>0.99732269999999901</v>
      </c>
      <c r="S5261">
        <v>-2.0965580000000001E-2</v>
      </c>
      <c r="T5261">
        <v>-0.14490459999999999</v>
      </c>
      <c r="U5261">
        <v>3.01443499999999</v>
      </c>
      <c r="V5261">
        <v>-9.1672989999999996E-2</v>
      </c>
      <c r="W5261">
        <v>5.5973170000000003E-2</v>
      </c>
      <c r="X5261">
        <v>0.99421479999999995</v>
      </c>
      <c r="Y5261">
        <v>-4.3465660000000003E-2</v>
      </c>
      <c r="Z5261">
        <v>-4.79435E-2</v>
      </c>
      <c r="AA5261">
        <v>0.99790389999999995</v>
      </c>
      <c r="AB5261">
        <v>34</v>
      </c>
      <c r="AC5261">
        <v>-0.17179999999998999</v>
      </c>
      <c r="AD5261">
        <v>-1.11207298997299</v>
      </c>
      <c r="AE5261">
        <v>22.798572</v>
      </c>
      <c r="AF5261">
        <v>-1.0020037561413599</v>
      </c>
      <c r="AG5261">
        <v>-1.11207298997299</v>
      </c>
      <c r="AH5261">
        <v>22.723023024915101</v>
      </c>
      <c r="AI5261">
        <v>92.799124923817402</v>
      </c>
      <c r="AJ5261">
        <v>92.524902521630807</v>
      </c>
      <c r="AK5261">
        <v>22.7722746613765</v>
      </c>
    </row>
    <row r="5262" spans="1:37" x14ac:dyDescent="0.2">
      <c r="A5262" t="str">
        <f>"20200111154204574"</f>
        <v>20200111154204574</v>
      </c>
      <c r="B5262" t="str">
        <f>"1578728524560880"</f>
        <v>1578728524560880</v>
      </c>
      <c r="C5262" t="s">
        <v>37</v>
      </c>
      <c r="D5262">
        <v>5.4116759999999999</v>
      </c>
      <c r="E5262">
        <v>0.56954629999999995</v>
      </c>
      <c r="F5262" t="s">
        <v>39</v>
      </c>
      <c r="G5262">
        <v>-187.33879999999999</v>
      </c>
      <c r="H5262" s="1">
        <v>-1.6364849999999999E-6</v>
      </c>
      <c r="I5262">
        <v>2.347108</v>
      </c>
      <c r="J5262">
        <v>-187.2851</v>
      </c>
      <c r="K5262">
        <v>1.1119809999999899</v>
      </c>
      <c r="L5262">
        <v>-19.229369999999999</v>
      </c>
      <c r="M5262">
        <v>3.4060819999999999E-2</v>
      </c>
      <c r="N5262">
        <v>0</v>
      </c>
      <c r="O5262">
        <v>0.99938769999999999</v>
      </c>
      <c r="P5262">
        <v>-5.4660830000000001E-2</v>
      </c>
      <c r="Q5262">
        <v>4.7330820000000003E-2</v>
      </c>
      <c r="R5262">
        <v>0.99738259999999901</v>
      </c>
      <c r="S5262">
        <v>-5.96618699999999E-3</v>
      </c>
      <c r="T5262">
        <v>-0.1529558</v>
      </c>
      <c r="U5262">
        <v>3.0151059999999998</v>
      </c>
      <c r="V5262">
        <v>-8.8898840000000007E-2</v>
      </c>
      <c r="W5262">
        <v>5.4812909999999999E-2</v>
      </c>
      <c r="X5262">
        <v>0.99453130000000001</v>
      </c>
      <c r="Y5262">
        <v>-3.6036909999999998E-2</v>
      </c>
      <c r="Z5262">
        <v>-5.0604089999999997E-2</v>
      </c>
      <c r="AA5262">
        <v>0.99806839999999997</v>
      </c>
      <c r="AB5262">
        <v>34</v>
      </c>
      <c r="AC5262">
        <v>-5.3699999999991997E-2</v>
      </c>
      <c r="AD5262">
        <v>-1.1119826364849901</v>
      </c>
      <c r="AE5262">
        <v>21.576478000000002</v>
      </c>
      <c r="AF5262">
        <v>-0.78651591621511097</v>
      </c>
      <c r="AG5262">
        <v>-1.1119826364849901</v>
      </c>
      <c r="AH5262">
        <v>21.505010725714399</v>
      </c>
      <c r="AI5262">
        <v>92.958043856614395</v>
      </c>
      <c r="AJ5262">
        <v>92.094580012674001</v>
      </c>
      <c r="AK5262">
        <v>21.5480996606057</v>
      </c>
    </row>
    <row r="5263" spans="1:37" x14ac:dyDescent="0.2">
      <c r="A5263" t="str">
        <f>"20200111154204596"</f>
        <v>20200111154204596</v>
      </c>
      <c r="B5263" t="str">
        <f>"1578728524591133"</f>
        <v>1578728524591133</v>
      </c>
      <c r="C5263" t="s">
        <v>37</v>
      </c>
      <c r="D5263">
        <v>5.3501779999999997</v>
      </c>
      <c r="E5263">
        <v>0.58291700000000002</v>
      </c>
      <c r="F5263" t="s">
        <v>38</v>
      </c>
      <c r="G5263">
        <v>-187.17449999999999</v>
      </c>
      <c r="H5263">
        <v>1.0330219999999899</v>
      </c>
      <c r="I5263">
        <v>-18.373000000000001</v>
      </c>
      <c r="J5263">
        <v>-187.2757</v>
      </c>
      <c r="K5263">
        <v>1.1119079999999999</v>
      </c>
      <c r="L5263">
        <v>-18.895019999999999</v>
      </c>
      <c r="M5263">
        <v>3.1759500000000003E-2</v>
      </c>
      <c r="N5263">
        <v>0</v>
      </c>
      <c r="O5263">
        <v>0.99946559999999995</v>
      </c>
      <c r="P5263">
        <v>-5.3799090000000001E-2</v>
      </c>
      <c r="Q5263">
        <v>4.7272090000000003E-2</v>
      </c>
      <c r="R5263">
        <v>0.99743219999999999</v>
      </c>
      <c r="S5263">
        <v>0.39260859999999997</v>
      </c>
      <c r="T5263">
        <v>-0.28058090000000002</v>
      </c>
      <c r="U5263">
        <v>3.042694</v>
      </c>
      <c r="V5263">
        <v>-8.573952E-2</v>
      </c>
      <c r="W5263">
        <v>5.4518659999999997E-2</v>
      </c>
      <c r="X5263">
        <v>0.99482479999999995</v>
      </c>
      <c r="Y5263">
        <v>9.5875489999999994E-2</v>
      </c>
      <c r="Z5263">
        <v>-9.1169829999999993E-2</v>
      </c>
      <c r="AA5263">
        <v>0.99120929999999996</v>
      </c>
      <c r="AB5263">
        <v>34</v>
      </c>
      <c r="AC5263">
        <v>0.10120000000000499</v>
      </c>
      <c r="AD5263">
        <v>-7.8885999999999998E-2</v>
      </c>
      <c r="AE5263">
        <v>0.52202000000000104</v>
      </c>
      <c r="AF5263">
        <v>8.2748140525042299E-2</v>
      </c>
      <c r="AG5263">
        <v>-7.8885999999999998E-2</v>
      </c>
      <c r="AH5263">
        <v>0.51366547250398598</v>
      </c>
      <c r="AI5263">
        <v>98.621515535661402</v>
      </c>
      <c r="AJ5263">
        <v>80.848647540337794</v>
      </c>
      <c r="AK5263">
        <v>0.52623423814789505</v>
      </c>
    </row>
    <row r="5264" spans="1:37" x14ac:dyDescent="0.2">
      <c r="A5264" t="str">
        <f>"20200111154204617"</f>
        <v>20200111154204617</v>
      </c>
      <c r="B5264" t="str">
        <f>"1578728524610653"</f>
        <v>1578728524610653</v>
      </c>
      <c r="C5264" t="s">
        <v>37</v>
      </c>
      <c r="D5264">
        <v>5.3144799999999996</v>
      </c>
      <c r="E5264">
        <v>0.58487599999999995</v>
      </c>
      <c r="F5264" t="s">
        <v>38</v>
      </c>
      <c r="G5264">
        <v>-187.1421</v>
      </c>
      <c r="H5264">
        <v>1.0059670000000001</v>
      </c>
      <c r="I5264">
        <v>-18.083079999999999</v>
      </c>
      <c r="J5264">
        <v>-187.26730000000001</v>
      </c>
      <c r="K5264">
        <v>1.1118459999999999</v>
      </c>
      <c r="L5264">
        <v>-18.565770000000001</v>
      </c>
      <c r="M5264">
        <v>2.955812E-2</v>
      </c>
      <c r="N5264">
        <v>0</v>
      </c>
      <c r="O5264">
        <v>0.99953499999999995</v>
      </c>
      <c r="P5264">
        <v>-5.2777560000000001E-2</v>
      </c>
      <c r="Q5264">
        <v>4.8293889999999999E-2</v>
      </c>
      <c r="R5264">
        <v>0.99743780000000004</v>
      </c>
      <c r="S5264">
        <v>0.5025482</v>
      </c>
      <c r="T5264">
        <v>-0.39846900000000002</v>
      </c>
      <c r="U5264">
        <v>3.0537109999999998</v>
      </c>
      <c r="V5264">
        <v>-8.2524420000000001E-2</v>
      </c>
      <c r="W5264">
        <v>5.5323310000000001E-2</v>
      </c>
      <c r="X5264">
        <v>0.9950523</v>
      </c>
      <c r="Y5264">
        <v>0.13181470000000001</v>
      </c>
      <c r="Z5264">
        <v>-0.12789639999999999</v>
      </c>
      <c r="AA5264">
        <v>0.982988999999999</v>
      </c>
      <c r="AB5264">
        <v>34</v>
      </c>
      <c r="AC5264">
        <v>0.125200000000006</v>
      </c>
      <c r="AD5264">
        <v>-0.105878999999999</v>
      </c>
      <c r="AE5264">
        <v>0.48269000000000101</v>
      </c>
      <c r="AF5264">
        <v>0.10609450450485899</v>
      </c>
      <c r="AG5264">
        <v>-0.105878999999999</v>
      </c>
      <c r="AH5264">
        <v>0.46520727385649002</v>
      </c>
      <c r="AI5264">
        <v>102.511100373424</v>
      </c>
      <c r="AJ5264">
        <v>77.152927339662199</v>
      </c>
      <c r="AK5264">
        <v>0.48875782773897197</v>
      </c>
    </row>
    <row r="5265" spans="1:37" x14ac:dyDescent="0.2">
      <c r="A5265" t="str">
        <f>"20200111154204639"</f>
        <v>20200111154204639</v>
      </c>
      <c r="B5265" t="str">
        <f>"1578728524631149"</f>
        <v>1578728524631149</v>
      </c>
      <c r="C5265" t="s">
        <v>37</v>
      </c>
      <c r="D5265">
        <v>5.3314570000000003</v>
      </c>
      <c r="E5265">
        <v>0.58777579999999996</v>
      </c>
      <c r="F5265" t="s">
        <v>38</v>
      </c>
      <c r="G5265">
        <v>-187.13419999999999</v>
      </c>
      <c r="H5265">
        <v>0.9913073</v>
      </c>
      <c r="I5265">
        <v>-17.785529999999898</v>
      </c>
      <c r="J5265">
        <v>-187.25919999999999</v>
      </c>
      <c r="K5265">
        <v>1.1117919999999999</v>
      </c>
      <c r="L5265">
        <v>-18.2254</v>
      </c>
      <c r="M5265">
        <v>2.7331399999999999E-2</v>
      </c>
      <c r="N5265">
        <v>0</v>
      </c>
      <c r="O5265">
        <v>0.99960009999999999</v>
      </c>
      <c r="P5265">
        <v>-5.1976380000000003E-2</v>
      </c>
      <c r="Q5265">
        <v>4.9617010000000003E-2</v>
      </c>
      <c r="R5265">
        <v>0.99741489999999999</v>
      </c>
      <c r="S5265">
        <v>0.52142330000000003</v>
      </c>
      <c r="T5265">
        <v>-0.47247509999999998</v>
      </c>
      <c r="U5265">
        <v>3.0581669999999899</v>
      </c>
      <c r="V5265">
        <v>-7.9506149999999998E-2</v>
      </c>
      <c r="W5265">
        <v>5.6433549999999999E-2</v>
      </c>
      <c r="X5265">
        <v>0.99523569999999995</v>
      </c>
      <c r="Y5265">
        <v>0.1391492</v>
      </c>
      <c r="Z5265">
        <v>-0.15079600000000001</v>
      </c>
      <c r="AA5265">
        <v>0.97872269999999995</v>
      </c>
      <c r="AB5265">
        <v>34</v>
      </c>
      <c r="AC5265">
        <v>0.125</v>
      </c>
      <c r="AD5265">
        <v>-0.1204847</v>
      </c>
      <c r="AE5265">
        <v>0.43987000000000198</v>
      </c>
      <c r="AF5265">
        <v>0.105599922558318</v>
      </c>
      <c r="AG5265">
        <v>-0.1204847</v>
      </c>
      <c r="AH5265">
        <v>0.41435729370509</v>
      </c>
      <c r="AI5265">
        <v>105.73616162563199</v>
      </c>
      <c r="AJ5265">
        <v>75.702392619972201</v>
      </c>
      <c r="AK5265">
        <v>0.444252038177676</v>
      </c>
    </row>
    <row r="5266" spans="1:37" x14ac:dyDescent="0.2">
      <c r="A5266" t="str">
        <f>"20200111154204662"</f>
        <v>20200111154204662</v>
      </c>
      <c r="B5266" t="str">
        <f>"1578728524651645"</f>
        <v>1578728524651645</v>
      </c>
      <c r="C5266" t="s">
        <v>37</v>
      </c>
      <c r="D5266">
        <v>5.3021659999999997</v>
      </c>
      <c r="E5266">
        <v>0.58992089999999997</v>
      </c>
      <c r="F5266" t="s">
        <v>38</v>
      </c>
      <c r="G5266">
        <v>-187.12610000000001</v>
      </c>
      <c r="H5266">
        <v>0.98868020000000001</v>
      </c>
      <c r="I5266">
        <v>-17.48115</v>
      </c>
      <c r="J5266">
        <v>-187.2518</v>
      </c>
      <c r="K5266">
        <v>1.111745</v>
      </c>
      <c r="L5266">
        <v>-17.884029999999999</v>
      </c>
      <c r="M5266">
        <v>2.513087E-2</v>
      </c>
      <c r="N5266">
        <v>0</v>
      </c>
      <c r="O5266">
        <v>0.99965949999999903</v>
      </c>
      <c r="P5266">
        <v>-5.1711029999999998E-2</v>
      </c>
      <c r="Q5266">
        <v>5.0358859999999998E-2</v>
      </c>
      <c r="R5266">
        <v>0.99739159999999905</v>
      </c>
      <c r="S5266">
        <v>0.54682919999999902</v>
      </c>
      <c r="T5266">
        <v>-0.50644429999999996</v>
      </c>
      <c r="U5266">
        <v>3.0614619999999899</v>
      </c>
      <c r="V5266">
        <v>-7.7047710000000005E-2</v>
      </c>
      <c r="W5266">
        <v>5.696532E-2</v>
      </c>
      <c r="X5266">
        <v>0.99539869999999997</v>
      </c>
      <c r="Y5266">
        <v>0.1487464</v>
      </c>
      <c r="Z5266">
        <v>-0.16098499999999999</v>
      </c>
      <c r="AA5266">
        <v>0.97568349999999904</v>
      </c>
      <c r="AB5266">
        <v>34</v>
      </c>
      <c r="AC5266">
        <v>0.12569999999999401</v>
      </c>
      <c r="AD5266">
        <v>-0.123064799999999</v>
      </c>
      <c r="AE5266">
        <v>0.40287999999999902</v>
      </c>
      <c r="AF5266">
        <v>0.10648121678333999</v>
      </c>
      <c r="AG5266">
        <v>-0.123064799999999</v>
      </c>
      <c r="AH5266">
        <v>0.374101867175126</v>
      </c>
      <c r="AI5266">
        <v>107.557052938729</v>
      </c>
      <c r="AJ5266">
        <v>74.111971514931895</v>
      </c>
      <c r="AK5266">
        <v>0.40796495137525701</v>
      </c>
    </row>
    <row r="5267" spans="1:37" x14ac:dyDescent="0.2">
      <c r="A5267" t="str">
        <f>"20200111154204685"</f>
        <v>20200111154204685</v>
      </c>
      <c r="B5267" t="str">
        <f>"1578728524680925"</f>
        <v>1578728524680925</v>
      </c>
      <c r="C5267" t="s">
        <v>37</v>
      </c>
      <c r="D5267">
        <v>5.3174159999999997</v>
      </c>
      <c r="E5267">
        <v>0.59052280000000001</v>
      </c>
      <c r="F5267" t="s">
        <v>38</v>
      </c>
      <c r="G5267">
        <v>-187.1208</v>
      </c>
      <c r="H5267">
        <v>0.98981249999999998</v>
      </c>
      <c r="I5267">
        <v>-17.173850000000002</v>
      </c>
      <c r="J5267">
        <v>-187.2449</v>
      </c>
      <c r="K5267">
        <v>1.1117030000000001</v>
      </c>
      <c r="L5267">
        <v>-17.526889999999899</v>
      </c>
      <c r="M5267">
        <v>2.2852359999999999E-2</v>
      </c>
      <c r="N5267">
        <v>0</v>
      </c>
      <c r="O5267">
        <v>0.99971580000000004</v>
      </c>
      <c r="P5267">
        <v>-5.2937720000000001E-2</v>
      </c>
      <c r="Q5267">
        <v>5.1179179999999998E-2</v>
      </c>
      <c r="R5267">
        <v>0.99728549999999905</v>
      </c>
      <c r="S5267">
        <v>0.56512450000000003</v>
      </c>
      <c r="T5267">
        <v>-0.52599499999999999</v>
      </c>
      <c r="U5267">
        <v>3.0637209999999899</v>
      </c>
      <c r="V5267">
        <v>-7.6002269999999997E-2</v>
      </c>
      <c r="W5267">
        <v>5.7561330000000001E-2</v>
      </c>
      <c r="X5267">
        <v>0.99544480000000002</v>
      </c>
      <c r="Y5267">
        <v>0.1563377</v>
      </c>
      <c r="Z5267">
        <v>-0.1667392</v>
      </c>
      <c r="AA5267">
        <v>0.9735279</v>
      </c>
      <c r="AB5267">
        <v>34</v>
      </c>
      <c r="AC5267">
        <v>0.124099999999998</v>
      </c>
      <c r="AD5267">
        <v>-0.1218905</v>
      </c>
      <c r="AE5267">
        <v>0.35303999999999602</v>
      </c>
      <c r="AF5267">
        <v>0.10487312487157301</v>
      </c>
      <c r="AG5267">
        <v>-0.1218905</v>
      </c>
      <c r="AH5267">
        <v>0.32165767119922301</v>
      </c>
      <c r="AI5267">
        <v>109.81303451177</v>
      </c>
      <c r="AJ5267">
        <v>71.941982828339604</v>
      </c>
      <c r="AK5267">
        <v>0.35960996058491801</v>
      </c>
    </row>
    <row r="5268" spans="1:37" x14ac:dyDescent="0.2">
      <c r="A5268" t="str">
        <f>"20200111154204708"</f>
        <v>20200111154204708</v>
      </c>
      <c r="B5268" t="str">
        <f>"1578728524701422"</f>
        <v>1578728524701422</v>
      </c>
      <c r="C5268" t="s">
        <v>37</v>
      </c>
      <c r="D5268">
        <v>5.3079519999999896</v>
      </c>
      <c r="E5268">
        <v>0.59077550000000001</v>
      </c>
      <c r="F5268" t="s">
        <v>38</v>
      </c>
      <c r="G5268">
        <v>-187.0693</v>
      </c>
      <c r="H5268">
        <v>0.94434869999999904</v>
      </c>
      <c r="I5268">
        <v>-16.577529999999999</v>
      </c>
      <c r="J5268">
        <v>-187.23910000000001</v>
      </c>
      <c r="K5268">
        <v>1.1116619999999999</v>
      </c>
      <c r="L5268">
        <v>-17.189879999999999</v>
      </c>
      <c r="M5268">
        <v>2.0713479999999999E-2</v>
      </c>
      <c r="N5268">
        <v>0</v>
      </c>
      <c r="O5268">
        <v>0.99976379999999998</v>
      </c>
      <c r="P5268">
        <v>-5.4737609999999999E-2</v>
      </c>
      <c r="Q5268">
        <v>5.175867E-2</v>
      </c>
      <c r="R5268">
        <v>0.9971584</v>
      </c>
      <c r="S5268">
        <v>0.56716919999999904</v>
      </c>
      <c r="T5268">
        <v>-0.54048499999999999</v>
      </c>
      <c r="U5268">
        <v>3.0660099999999999</v>
      </c>
      <c r="V5268">
        <v>-7.5669330000000007E-2</v>
      </c>
      <c r="W5268">
        <v>5.7928840000000002E-2</v>
      </c>
      <c r="X5268">
        <v>0.99544880000000002</v>
      </c>
      <c r="Y5268">
        <v>0.1588135</v>
      </c>
      <c r="Z5268">
        <v>-0.1710438</v>
      </c>
      <c r="AA5268">
        <v>0.97237969999999896</v>
      </c>
      <c r="AB5268">
        <v>35</v>
      </c>
      <c r="AC5268">
        <v>0.169800000000009</v>
      </c>
      <c r="AD5268">
        <v>-0.1673133</v>
      </c>
      <c r="AE5268">
        <v>0.61234999999999895</v>
      </c>
      <c r="AF5268">
        <v>0.14689584385406601</v>
      </c>
      <c r="AG5268">
        <v>-0.1673133</v>
      </c>
      <c r="AH5268">
        <v>0.57581732121867202</v>
      </c>
      <c r="AI5268">
        <v>105.724532013957</v>
      </c>
      <c r="AJ5268">
        <v>75.6886158661883</v>
      </c>
      <c r="AK5268">
        <v>0.61736352071849498</v>
      </c>
    </row>
    <row r="5269" spans="1:37" x14ac:dyDescent="0.2">
      <c r="A5269" t="str">
        <f>"20200111154204729"</f>
        <v>20200111154204729</v>
      </c>
      <c r="B5269" t="str">
        <f>"1578728524720941"</f>
        <v>1578728524720941</v>
      </c>
      <c r="C5269" t="s">
        <v>37</v>
      </c>
      <c r="D5269">
        <v>5.2903609999999999</v>
      </c>
      <c r="E5269">
        <v>0.59093280000000004</v>
      </c>
      <c r="F5269" t="s">
        <v>38</v>
      </c>
      <c r="G5269">
        <v>-187.0692</v>
      </c>
      <c r="H5269">
        <v>0.94716440000000002</v>
      </c>
      <c r="I5269">
        <v>-16.266220000000001</v>
      </c>
      <c r="J5269">
        <v>-187.23390000000001</v>
      </c>
      <c r="K5269">
        <v>1.1116219999999899</v>
      </c>
      <c r="L5269">
        <v>-16.84601</v>
      </c>
      <c r="M5269">
        <v>1.8538059999999999E-2</v>
      </c>
      <c r="N5269">
        <v>0</v>
      </c>
      <c r="O5269">
        <v>0.99980789999999997</v>
      </c>
      <c r="P5269">
        <v>-5.6565240000000003E-2</v>
      </c>
      <c r="Q5269">
        <v>5.193064E-2</v>
      </c>
      <c r="R5269">
        <v>0.99704740000000003</v>
      </c>
      <c r="S5269">
        <v>0.56396480000000004</v>
      </c>
      <c r="T5269">
        <v>-0.54642190000000002</v>
      </c>
      <c r="U5269">
        <v>3.0678709999999998</v>
      </c>
      <c r="V5269">
        <v>-7.5326790000000005E-2</v>
      </c>
      <c r="W5269">
        <v>5.789362E-2</v>
      </c>
      <c r="X5269">
        <v>0.9954769</v>
      </c>
      <c r="Y5269">
        <v>0.15981809999999999</v>
      </c>
      <c r="Z5269">
        <v>-0.1727784</v>
      </c>
      <c r="AA5269">
        <v>0.97190829999999995</v>
      </c>
      <c r="AB5269">
        <v>35</v>
      </c>
      <c r="AC5269">
        <v>0.16470000000001001</v>
      </c>
      <c r="AD5269">
        <v>-0.16445759999999901</v>
      </c>
      <c r="AE5269">
        <v>0.57978999999999903</v>
      </c>
      <c r="AF5269">
        <v>0.143257786853448</v>
      </c>
      <c r="AG5269">
        <v>-0.16445759999999901</v>
      </c>
      <c r="AH5269">
        <v>0.54236471275391396</v>
      </c>
      <c r="AI5269">
        <v>106.339493045015</v>
      </c>
      <c r="AJ5269">
        <v>75.204063674609202</v>
      </c>
      <c r="AK5269">
        <v>0.58457555314308496</v>
      </c>
    </row>
    <row r="5270" spans="1:37" x14ac:dyDescent="0.2">
      <c r="A5270" t="str">
        <f>"20200111154204752"</f>
        <v>20200111154204752</v>
      </c>
      <c r="B5270" t="str">
        <f>"1578728524741438"</f>
        <v>1578728524741438</v>
      </c>
      <c r="C5270" t="s">
        <v>37</v>
      </c>
      <c r="D5270">
        <v>5.3715970000000004</v>
      </c>
      <c r="E5270">
        <v>0.59049110000000005</v>
      </c>
      <c r="F5270" t="s">
        <v>38</v>
      </c>
      <c r="G5270">
        <v>-187.0712</v>
      </c>
      <c r="H5270">
        <v>0.95080180000000003</v>
      </c>
      <c r="I5270">
        <v>-15.95351</v>
      </c>
      <c r="J5270">
        <v>-187.2294</v>
      </c>
      <c r="K5270">
        <v>1.111577</v>
      </c>
      <c r="L5270">
        <v>-16.497309999999999</v>
      </c>
      <c r="M5270">
        <v>1.6335579999999999E-2</v>
      </c>
      <c r="N5270">
        <v>0</v>
      </c>
      <c r="O5270">
        <v>0.99984769999999901</v>
      </c>
      <c r="P5270">
        <v>-5.8868530000000002E-2</v>
      </c>
      <c r="Q5270">
        <v>5.068309E-2</v>
      </c>
      <c r="R5270">
        <v>0.99697829999999998</v>
      </c>
      <c r="S5270">
        <v>0.5591583</v>
      </c>
      <c r="T5270">
        <v>-0.5531083</v>
      </c>
      <c r="U5270">
        <v>3.0694270000000001</v>
      </c>
      <c r="V5270">
        <v>-7.5427090000000002E-2</v>
      </c>
      <c r="W5270">
        <v>5.6432120000000002E-2</v>
      </c>
      <c r="X5270">
        <v>0.99555319999999903</v>
      </c>
      <c r="Y5270">
        <v>0.16036839999999999</v>
      </c>
      <c r="Z5270">
        <v>-0.1747687</v>
      </c>
      <c r="AA5270">
        <v>0.97146169999999998</v>
      </c>
      <c r="AB5270">
        <v>35</v>
      </c>
      <c r="AC5270">
        <v>0.15819999999999301</v>
      </c>
      <c r="AD5270">
        <v>-0.16077520000000001</v>
      </c>
      <c r="AE5270">
        <v>0.54379999999999695</v>
      </c>
      <c r="AF5270">
        <v>0.13816112745418599</v>
      </c>
      <c r="AG5270">
        <v>-0.16077520000000001</v>
      </c>
      <c r="AH5270">
        <v>0.50556837903693697</v>
      </c>
      <c r="AI5270">
        <v>107.05394015720999</v>
      </c>
      <c r="AJ5270">
        <v>74.715472144609905</v>
      </c>
      <c r="AK5270">
        <v>0.54821213773181698</v>
      </c>
    </row>
    <row r="5271" spans="1:37" x14ac:dyDescent="0.2">
      <c r="A5271" t="str">
        <f>"20200111154204775"</f>
        <v>20200111154204775</v>
      </c>
      <c r="B5271" t="str">
        <f>"1578728524770803"</f>
        <v>1578728524770803</v>
      </c>
      <c r="C5271" t="s">
        <v>37</v>
      </c>
      <c r="D5271">
        <v>5.3318690000000002</v>
      </c>
      <c r="E5271">
        <v>0.5838856</v>
      </c>
      <c r="F5271" t="s">
        <v>38</v>
      </c>
      <c r="G5271">
        <v>-187.0761</v>
      </c>
      <c r="H5271">
        <v>0.95428880000000005</v>
      </c>
      <c r="I5271">
        <v>-15.639609999999999</v>
      </c>
      <c r="J5271">
        <v>-187.22540000000001</v>
      </c>
      <c r="K5271">
        <v>1.1115299999999999</v>
      </c>
      <c r="L5271">
        <v>-16.129429999999999</v>
      </c>
      <c r="M5271">
        <v>1.401788E-2</v>
      </c>
      <c r="N5271">
        <v>0</v>
      </c>
      <c r="O5271">
        <v>0.999884199999999</v>
      </c>
      <c r="P5271">
        <v>-6.1587990000000002E-2</v>
      </c>
      <c r="Q5271">
        <v>4.954422E-2</v>
      </c>
      <c r="R5271">
        <v>0.99687119999999996</v>
      </c>
      <c r="S5271">
        <v>0.54795839999999996</v>
      </c>
      <c r="T5271">
        <v>-0.56306119999999904</v>
      </c>
      <c r="U5271">
        <v>3.070068</v>
      </c>
      <c r="V5271">
        <v>-7.5829289999999994E-2</v>
      </c>
      <c r="W5271">
        <v>5.506001E-2</v>
      </c>
      <c r="X5271">
        <v>0.99559940000000002</v>
      </c>
      <c r="Y5271">
        <v>0.1590897</v>
      </c>
      <c r="Z5271">
        <v>-0.177861299999999</v>
      </c>
      <c r="AA5271">
        <v>0.97111059999999905</v>
      </c>
      <c r="AB5271">
        <v>35</v>
      </c>
      <c r="AC5271">
        <v>0.14930000000001001</v>
      </c>
      <c r="AD5271">
        <v>-0.157241199999999</v>
      </c>
      <c r="AE5271">
        <v>0.48981999999999798</v>
      </c>
      <c r="AF5271">
        <v>0.13014709184163401</v>
      </c>
      <c r="AG5271">
        <v>-0.157241199999999</v>
      </c>
      <c r="AH5271">
        <v>0.44948204323296498</v>
      </c>
      <c r="AI5271">
        <v>108.573639476971</v>
      </c>
      <c r="AJ5271">
        <v>73.851677817025802</v>
      </c>
      <c r="AK5271">
        <v>0.49365693318453102</v>
      </c>
    </row>
    <row r="5272" spans="1:37" x14ac:dyDescent="0.2">
      <c r="A5272" t="str">
        <f>"20200111154204799"</f>
        <v>20200111154204799</v>
      </c>
      <c r="B5272" t="str">
        <f>"1578728524791299"</f>
        <v>1578728524791299</v>
      </c>
      <c r="C5272" t="s">
        <v>37</v>
      </c>
      <c r="D5272">
        <v>5.351064</v>
      </c>
      <c r="E5272">
        <v>0.58482769999999995</v>
      </c>
      <c r="F5272" t="s">
        <v>38</v>
      </c>
      <c r="G5272">
        <v>-187.10130000000001</v>
      </c>
      <c r="H5272">
        <v>0.9082365</v>
      </c>
      <c r="I5272">
        <v>-15.34709</v>
      </c>
      <c r="J5272">
        <v>-187.22219999999999</v>
      </c>
      <c r="K5272">
        <v>1.11148799999999</v>
      </c>
      <c r="L5272">
        <v>-15.75629</v>
      </c>
      <c r="M5272">
        <v>1.167924E-2</v>
      </c>
      <c r="N5272">
        <v>0</v>
      </c>
      <c r="O5272">
        <v>0.99991569999999996</v>
      </c>
      <c r="P5272">
        <v>-6.4523319999999995E-2</v>
      </c>
      <c r="Q5272">
        <v>4.9106370000000003E-2</v>
      </c>
      <c r="R5272">
        <v>0.99670729999999996</v>
      </c>
      <c r="S5272">
        <v>0.4880371</v>
      </c>
      <c r="T5272">
        <v>-0.80023809999999995</v>
      </c>
      <c r="U5272">
        <v>3.0793459999999899</v>
      </c>
      <c r="V5272">
        <v>-7.6429339999999998E-2</v>
      </c>
      <c r="W5272">
        <v>5.4381060000000002E-2</v>
      </c>
      <c r="X5272">
        <v>0.99559089999999995</v>
      </c>
      <c r="Y5272">
        <v>0.14006669999999999</v>
      </c>
      <c r="Z5272">
        <v>-0.248802</v>
      </c>
      <c r="AA5272">
        <v>0.95837309999999998</v>
      </c>
      <c r="AB5272">
        <v>35</v>
      </c>
      <c r="AC5272">
        <v>0.120899999999977</v>
      </c>
      <c r="AD5272">
        <v>-0.203251499999999</v>
      </c>
      <c r="AE5272">
        <v>0.40920000000000001</v>
      </c>
      <c r="AF5272">
        <v>9.4638347804765002E-2</v>
      </c>
      <c r="AG5272">
        <v>-0.203251499999999</v>
      </c>
      <c r="AH5272">
        <v>0.33464952765733802</v>
      </c>
      <c r="AI5272">
        <v>120.30353806190701</v>
      </c>
      <c r="AJ5272">
        <v>74.209182332544103</v>
      </c>
      <c r="AK5272">
        <v>0.40281248179363199</v>
      </c>
    </row>
    <row r="5273" spans="1:37" x14ac:dyDescent="0.2">
      <c r="A5273" t="str">
        <f>"20200111154204819"</f>
        <v>20200111154204819</v>
      </c>
      <c r="B5273" t="str">
        <f>"1578728524810819"</f>
        <v>1578728524810819</v>
      </c>
      <c r="C5273" t="s">
        <v>37</v>
      </c>
      <c r="D5273">
        <v>5.3271319999999998</v>
      </c>
      <c r="E5273">
        <v>0.58514359999999999</v>
      </c>
      <c r="F5273" t="s">
        <v>38</v>
      </c>
      <c r="G5273">
        <v>-187.1069</v>
      </c>
      <c r="H5273">
        <v>0.92053059999999998</v>
      </c>
      <c r="I5273">
        <v>-15.027060000000001</v>
      </c>
      <c r="J5273">
        <v>-187.2201</v>
      </c>
      <c r="K5273">
        <v>1.111453</v>
      </c>
      <c r="L5273">
        <v>-15.430879999999901</v>
      </c>
      <c r="M5273">
        <v>9.6552159999999995E-3</v>
      </c>
      <c r="N5273">
        <v>0</v>
      </c>
      <c r="O5273">
        <v>0.99993840000000001</v>
      </c>
      <c r="P5273">
        <v>-6.7118499999999998E-2</v>
      </c>
      <c r="Q5273">
        <v>5.0104699999999898E-2</v>
      </c>
      <c r="R5273">
        <v>0.99648609999999904</v>
      </c>
      <c r="S5273">
        <v>0.4866028</v>
      </c>
      <c r="T5273">
        <v>-0.80690439999999997</v>
      </c>
      <c r="U5273">
        <v>3.0811769999999998</v>
      </c>
      <c r="V5273">
        <v>-7.7009930000000004E-2</v>
      </c>
      <c r="W5273">
        <v>5.5167620000000001E-2</v>
      </c>
      <c r="X5273">
        <v>0.99550289999999997</v>
      </c>
      <c r="Y5273">
        <v>0.14147370000000001</v>
      </c>
      <c r="Z5273">
        <v>-0.2505964</v>
      </c>
      <c r="AA5273">
        <v>0.95769859999999896</v>
      </c>
      <c r="AB5273">
        <v>35</v>
      </c>
      <c r="AC5273">
        <v>0.113200000000006</v>
      </c>
      <c r="AD5273">
        <v>-0.19092239999999899</v>
      </c>
      <c r="AE5273">
        <v>0.40381999999999701</v>
      </c>
      <c r="AF5273">
        <v>9.0533105153549703E-2</v>
      </c>
      <c r="AG5273">
        <v>-0.19092239999999899</v>
      </c>
      <c r="AH5273">
        <v>0.33538672927619401</v>
      </c>
      <c r="AI5273">
        <v>118.792727827432</v>
      </c>
      <c r="AJ5273">
        <v>74.893818344353505</v>
      </c>
      <c r="AK5273">
        <v>0.39639861771339102</v>
      </c>
    </row>
    <row r="5274" spans="1:37" x14ac:dyDescent="0.2">
      <c r="A5274" t="str">
        <f>"20200111154204842"</f>
        <v>20200111154204842</v>
      </c>
      <c r="B5274" t="str">
        <f>"1578728524831315"</f>
        <v>1578728524831315</v>
      </c>
      <c r="C5274" t="s">
        <v>37</v>
      </c>
      <c r="D5274">
        <v>5.322057</v>
      </c>
      <c r="E5274">
        <v>0.58555669999999904</v>
      </c>
      <c r="F5274" t="s">
        <v>38</v>
      </c>
      <c r="G5274">
        <v>-187.1071</v>
      </c>
      <c r="H5274">
        <v>0.92371899999999996</v>
      </c>
      <c r="I5274">
        <v>-14.709379999999999</v>
      </c>
      <c r="J5274">
        <v>-187.2184</v>
      </c>
      <c r="K5274">
        <v>1.1114120000000001</v>
      </c>
      <c r="L5274">
        <v>-15.0748</v>
      </c>
      <c r="M5274">
        <v>7.46009E-3</v>
      </c>
      <c r="N5274">
        <v>0</v>
      </c>
      <c r="O5274">
        <v>0.99995849999999897</v>
      </c>
      <c r="P5274">
        <v>-6.9355760000000002E-2</v>
      </c>
      <c r="Q5274">
        <v>5.1533679999999998E-2</v>
      </c>
      <c r="R5274">
        <v>0.99626000000000003</v>
      </c>
      <c r="S5274">
        <v>0.48266599999999998</v>
      </c>
      <c r="T5274">
        <v>-0.80234530000000004</v>
      </c>
      <c r="U5274">
        <v>3.0834349999999899</v>
      </c>
      <c r="V5274">
        <v>-7.7064069999999998E-2</v>
      </c>
      <c r="W5274">
        <v>5.637118E-2</v>
      </c>
      <c r="X5274">
        <v>0.99543119999999996</v>
      </c>
      <c r="Y5274">
        <v>0.142402799999999</v>
      </c>
      <c r="Z5274">
        <v>-0.249113099999999</v>
      </c>
      <c r="AA5274">
        <v>0.95794789999999996</v>
      </c>
      <c r="AB5274">
        <v>35</v>
      </c>
      <c r="AC5274">
        <v>0.111299999999999</v>
      </c>
      <c r="AD5274">
        <v>-0.187693</v>
      </c>
      <c r="AE5274">
        <v>0.36542000000000002</v>
      </c>
      <c r="AF5274">
        <v>8.7456565170394004E-2</v>
      </c>
      <c r="AG5274">
        <v>-0.187693</v>
      </c>
      <c r="AH5274">
        <v>0.29501584006704301</v>
      </c>
      <c r="AI5274">
        <v>121.38214961623601</v>
      </c>
      <c r="AJ5274">
        <v>73.487700339605695</v>
      </c>
      <c r="AK5274">
        <v>0.36043259970605601</v>
      </c>
    </row>
    <row r="5275" spans="1:37" x14ac:dyDescent="0.2">
      <c r="A5275" t="str">
        <f>"20200111154204865"</f>
        <v>20200111154204865</v>
      </c>
      <c r="B5275" t="str">
        <f>"1578728524861362"</f>
        <v>1578728524861362</v>
      </c>
      <c r="C5275" t="s">
        <v>37</v>
      </c>
      <c r="D5275">
        <v>5.3039800000000001</v>
      </c>
      <c r="E5275">
        <v>0.58633380000000002</v>
      </c>
      <c r="F5275" t="s">
        <v>38</v>
      </c>
      <c r="G5275">
        <v>-187.1114</v>
      </c>
      <c r="H5275">
        <v>0.93400289999999997</v>
      </c>
      <c r="I5275">
        <v>-14.38711</v>
      </c>
      <c r="J5275">
        <v>-187.2176</v>
      </c>
      <c r="K5275">
        <v>1.1113709999999899</v>
      </c>
      <c r="L5275">
        <v>-14.72885</v>
      </c>
      <c r="M5275">
        <v>5.3515780000000001E-3</v>
      </c>
      <c r="N5275">
        <v>0</v>
      </c>
      <c r="O5275">
        <v>0.99997309999999995</v>
      </c>
      <c r="P5275">
        <v>-7.1717980000000001E-2</v>
      </c>
      <c r="Q5275">
        <v>5.17899E-2</v>
      </c>
      <c r="R5275">
        <v>0.99607950000000001</v>
      </c>
      <c r="S5275">
        <v>0.4795837</v>
      </c>
      <c r="T5275">
        <v>-0.796149</v>
      </c>
      <c r="U5275">
        <v>3.0858460000000001</v>
      </c>
      <c r="V5275">
        <v>-7.7325439999999995E-2</v>
      </c>
      <c r="W5275">
        <v>5.640879E-2</v>
      </c>
      <c r="X5275">
        <v>0.99540890000000004</v>
      </c>
      <c r="Y5275">
        <v>0.14351749999999999</v>
      </c>
      <c r="Z5275">
        <v>-0.24713160000000001</v>
      </c>
      <c r="AA5275">
        <v>0.95829470000000005</v>
      </c>
      <c r="AB5275">
        <v>35</v>
      </c>
      <c r="AC5275">
        <v>0.106200000000001</v>
      </c>
      <c r="AD5275">
        <v>-0.177368099999999</v>
      </c>
      <c r="AE5275">
        <v>0.34173999999999899</v>
      </c>
      <c r="AF5275">
        <v>8.3787078360426995E-2</v>
      </c>
      <c r="AG5275">
        <v>-0.177368099999999</v>
      </c>
      <c r="AH5275">
        <v>0.27479844601036502</v>
      </c>
      <c r="AI5275">
        <v>121.69066486365701</v>
      </c>
      <c r="AJ5275">
        <v>73.0433393018765</v>
      </c>
      <c r="AK5275">
        <v>0.33762983180918399</v>
      </c>
    </row>
    <row r="5276" spans="1:37" x14ac:dyDescent="0.2">
      <c r="A5276" t="str">
        <f>"20200111154204887"</f>
        <v>20200111154204887</v>
      </c>
      <c r="B5276" t="str">
        <f>"1578728524880880"</f>
        <v>1578728524880880</v>
      </c>
      <c r="C5276" t="s">
        <v>37</v>
      </c>
      <c r="D5276">
        <v>5.2425660000000001</v>
      </c>
      <c r="E5276">
        <v>0.58668900000000002</v>
      </c>
      <c r="F5276" t="s">
        <v>38</v>
      </c>
      <c r="G5276">
        <v>-187.06970000000001</v>
      </c>
      <c r="H5276">
        <v>0.86638400000000004</v>
      </c>
      <c r="I5276">
        <v>-13.77502</v>
      </c>
      <c r="J5276">
        <v>-187.2175</v>
      </c>
      <c r="K5276">
        <v>1.111329</v>
      </c>
      <c r="L5276">
        <v>-14.3448799999999</v>
      </c>
      <c r="M5276">
        <v>3.0425229999999901E-3</v>
      </c>
      <c r="N5276">
        <v>0</v>
      </c>
      <c r="O5276">
        <v>0.99998390000000004</v>
      </c>
      <c r="P5276">
        <v>-7.4031070000000004E-2</v>
      </c>
      <c r="Q5276">
        <v>5.1298829999999997E-2</v>
      </c>
      <c r="R5276">
        <v>0.99593569999999998</v>
      </c>
      <c r="S5276">
        <v>0.478485099999999</v>
      </c>
      <c r="T5276">
        <v>-0.79303880000000004</v>
      </c>
      <c r="U5276">
        <v>3.087494</v>
      </c>
      <c r="V5276">
        <v>-7.733429E-2</v>
      </c>
      <c r="W5276">
        <v>5.5685610000000003E-2</v>
      </c>
      <c r="X5276">
        <v>0.99544889999999997</v>
      </c>
      <c r="Y5276">
        <v>0.1454309</v>
      </c>
      <c r="Z5276">
        <v>-0.24607809999999999</v>
      </c>
      <c r="AA5276">
        <v>0.9582773</v>
      </c>
      <c r="AB5276">
        <v>36</v>
      </c>
      <c r="AC5276">
        <v>0.147799999999989</v>
      </c>
      <c r="AD5276">
        <v>-0.244944999999999</v>
      </c>
      <c r="AE5276">
        <v>0.56985999999999604</v>
      </c>
      <c r="AF5276">
        <v>0.12451112002414</v>
      </c>
      <c r="AG5276">
        <v>-0.244944999999999</v>
      </c>
      <c r="AH5276">
        <v>0.48614886955144399</v>
      </c>
      <c r="AI5276">
        <v>116.016701082471</v>
      </c>
      <c r="AJ5276">
        <v>75.634357954706402</v>
      </c>
      <c r="AK5276">
        <v>0.55842796796078698</v>
      </c>
    </row>
    <row r="5277" spans="1:37" x14ac:dyDescent="0.2">
      <c r="A5277" t="str">
        <f>"20200111154204911"</f>
        <v>20200111154204911</v>
      </c>
      <c r="B5277" t="str">
        <f>"1578728524901377"</f>
        <v>1578728524901377</v>
      </c>
      <c r="C5277" t="s">
        <v>37</v>
      </c>
      <c r="D5277">
        <v>5.3302300000000002</v>
      </c>
      <c r="E5277">
        <v>0.587153699999999</v>
      </c>
      <c r="F5277" t="s">
        <v>38</v>
      </c>
      <c r="G5277">
        <v>-187.08</v>
      </c>
      <c r="H5277">
        <v>0.88042189999999998</v>
      </c>
      <c r="I5277">
        <v>-13.44759</v>
      </c>
      <c r="J5277">
        <v>-187.2182</v>
      </c>
      <c r="K5277">
        <v>1.1112899999999999</v>
      </c>
      <c r="L5277">
        <v>-13.979609999999999</v>
      </c>
      <c r="M5277">
        <v>8.7237060000000001E-4</v>
      </c>
      <c r="N5277">
        <v>0</v>
      </c>
      <c r="O5277">
        <v>0.99998920000000002</v>
      </c>
      <c r="P5277">
        <v>-7.6549950000000005E-2</v>
      </c>
      <c r="Q5277">
        <v>5.1262179999999997E-2</v>
      </c>
      <c r="R5277">
        <v>0.9957471</v>
      </c>
      <c r="S5277">
        <v>0.47351070000000001</v>
      </c>
      <c r="T5277">
        <v>-0.79473530000000003</v>
      </c>
      <c r="U5277">
        <v>3.0883790000000002</v>
      </c>
      <c r="V5277">
        <v>-7.7690399999999896E-2</v>
      </c>
      <c r="W5277">
        <v>5.5440900000000001E-2</v>
      </c>
      <c r="X5277">
        <v>0.99543479999999995</v>
      </c>
      <c r="Y5277">
        <v>0.14600969999999999</v>
      </c>
      <c r="Z5277">
        <v>-0.2465252</v>
      </c>
      <c r="AA5277">
        <v>0.95807439999999999</v>
      </c>
      <c r="AB5277">
        <v>36</v>
      </c>
      <c r="AC5277">
        <v>0.138199999999983</v>
      </c>
      <c r="AD5277">
        <v>-0.23086809999999899</v>
      </c>
      <c r="AE5277">
        <v>0.53202000000000105</v>
      </c>
      <c r="AF5277">
        <v>0.117081886953221</v>
      </c>
      <c r="AG5277">
        <v>-0.23086809999999899</v>
      </c>
      <c r="AH5277">
        <v>0.45234417399455801</v>
      </c>
      <c r="AI5277">
        <v>116.29392037499299</v>
      </c>
      <c r="AJ5277">
        <v>75.488397830784095</v>
      </c>
      <c r="AK5277">
        <v>0.52117511413818995</v>
      </c>
    </row>
    <row r="5278" spans="1:37" x14ac:dyDescent="0.2">
      <c r="A5278" t="str">
        <f>"20200111154204933"</f>
        <v>20200111154204933</v>
      </c>
      <c r="B5278" t="str">
        <f>"1578728524920897"</f>
        <v>1578728524920897</v>
      </c>
      <c r="C5278" t="s">
        <v>37</v>
      </c>
      <c r="D5278">
        <v>5.3290369999999996</v>
      </c>
      <c r="E5278">
        <v>0.58746219999999905</v>
      </c>
      <c r="F5278" t="s">
        <v>38</v>
      </c>
      <c r="G5278">
        <v>-187.08779999999999</v>
      </c>
      <c r="H5278">
        <v>0.89034500000000005</v>
      </c>
      <c r="I5278">
        <v>-13.120389999999899</v>
      </c>
      <c r="J5278">
        <v>-187.21960000000001</v>
      </c>
      <c r="K5278">
        <v>1.1112610000000001</v>
      </c>
      <c r="L5278">
        <v>-13.611239999999899</v>
      </c>
      <c r="M5278">
        <v>-1.2901950000000001E-3</v>
      </c>
      <c r="N5278">
        <v>0</v>
      </c>
      <c r="O5278">
        <v>0.99998960000000003</v>
      </c>
      <c r="P5278">
        <v>-7.8978499999999993E-2</v>
      </c>
      <c r="Q5278">
        <v>5.1766569999999998E-2</v>
      </c>
      <c r="R5278">
        <v>0.99553130000000001</v>
      </c>
      <c r="S5278">
        <v>0.4685822</v>
      </c>
      <c r="T5278">
        <v>-0.79455159999999903</v>
      </c>
      <c r="U5278">
        <v>3.0897519999999998</v>
      </c>
      <c r="V5278">
        <v>-7.7967670000000003E-2</v>
      </c>
      <c r="W5278">
        <v>5.5753219999999999E-2</v>
      </c>
      <c r="X5278">
        <v>0.99539569999999999</v>
      </c>
      <c r="Y5278">
        <v>0.14659520000000001</v>
      </c>
      <c r="Z5278">
        <v>-0.2463862</v>
      </c>
      <c r="AA5278">
        <v>0.95802069999999995</v>
      </c>
      <c r="AB5278">
        <v>36</v>
      </c>
      <c r="AC5278">
        <v>0.13180000000002601</v>
      </c>
      <c r="AD5278">
        <v>-0.220916</v>
      </c>
      <c r="AE5278">
        <v>0.49085000000000001</v>
      </c>
      <c r="AF5278">
        <v>0.111387707483208</v>
      </c>
      <c r="AG5278">
        <v>-0.220916</v>
      </c>
      <c r="AH5278">
        <v>0.41270371796178901</v>
      </c>
      <c r="AI5278">
        <v>117.329805698071</v>
      </c>
      <c r="AJ5278">
        <v>74.895898051793495</v>
      </c>
      <c r="AK5278">
        <v>0.481181316401467</v>
      </c>
    </row>
    <row r="5279" spans="1:37" x14ac:dyDescent="0.2">
      <c r="A5279" t="str">
        <f>"20200111154204954"</f>
        <v>20200111154204954</v>
      </c>
      <c r="B5279" t="str">
        <f>"1578728524951607"</f>
        <v>1578728524951607</v>
      </c>
      <c r="C5279" t="s">
        <v>37</v>
      </c>
      <c r="D5279">
        <v>5.3564550000000004</v>
      </c>
      <c r="E5279">
        <v>0.5880128</v>
      </c>
      <c r="F5279" t="s">
        <v>38</v>
      </c>
      <c r="G5279">
        <v>-187.0968</v>
      </c>
      <c r="H5279">
        <v>0.90091880000000002</v>
      </c>
      <c r="I5279">
        <v>-12.791589999999999</v>
      </c>
      <c r="J5279">
        <v>-187.22149999999999</v>
      </c>
      <c r="K5279">
        <v>1.11124</v>
      </c>
      <c r="L5279">
        <v>-13.27707</v>
      </c>
      <c r="M5279">
        <v>-3.2267620000000002E-3</v>
      </c>
      <c r="N5279">
        <v>0</v>
      </c>
      <c r="O5279">
        <v>0.99998589999999998</v>
      </c>
      <c r="P5279">
        <v>-8.115137E-2</v>
      </c>
      <c r="Q5279">
        <v>5.2337479999999999E-2</v>
      </c>
      <c r="R5279">
        <v>0.99532670000000001</v>
      </c>
      <c r="S5279">
        <v>0.46310420000000002</v>
      </c>
      <c r="T5279">
        <v>-0.79334720000000003</v>
      </c>
      <c r="U5279">
        <v>3.0914609999999998</v>
      </c>
      <c r="V5279">
        <v>-7.821504E-2</v>
      </c>
      <c r="W5279">
        <v>5.6165510000000002E-2</v>
      </c>
      <c r="X5279">
        <v>0.99535309999999899</v>
      </c>
      <c r="Y5279">
        <v>0.14678769999999999</v>
      </c>
      <c r="Z5279">
        <v>-0.24593400000000001</v>
      </c>
      <c r="AA5279">
        <v>0.95810740000000005</v>
      </c>
      <c r="AB5279">
        <v>36</v>
      </c>
      <c r="AC5279">
        <v>0.12469999999999</v>
      </c>
      <c r="AD5279">
        <v>-0.21032119999999899</v>
      </c>
      <c r="AE5279">
        <v>0.48548000000000202</v>
      </c>
      <c r="AF5279">
        <v>0.107362922829128</v>
      </c>
      <c r="AG5279">
        <v>-0.21032119999999899</v>
      </c>
      <c r="AH5279">
        <v>0.41245563899115001</v>
      </c>
      <c r="AI5279">
        <v>116.265419556602</v>
      </c>
      <c r="AJ5279">
        <v>75.4095909573565</v>
      </c>
      <c r="AK5279">
        <v>0.475269879650974</v>
      </c>
    </row>
    <row r="5280" spans="1:37" x14ac:dyDescent="0.2">
      <c r="A5280" t="str">
        <f>"20200111154204977"</f>
        <v>20200111154204977</v>
      </c>
      <c r="B5280" t="str">
        <f>"1578728524971128"</f>
        <v>1578728524971128</v>
      </c>
      <c r="C5280" t="s">
        <v>37</v>
      </c>
      <c r="D5280">
        <v>5.4728050000000001</v>
      </c>
      <c r="E5280">
        <v>0.56442219999999999</v>
      </c>
      <c r="F5280" t="s">
        <v>38</v>
      </c>
      <c r="G5280">
        <v>-187.10050000000001</v>
      </c>
      <c r="H5280">
        <v>0.90315829999999997</v>
      </c>
      <c r="I5280">
        <v>-12.464700000000001</v>
      </c>
      <c r="J5280">
        <v>-187.22460000000001</v>
      </c>
      <c r="K5280">
        <v>1.1112150000000001</v>
      </c>
      <c r="L5280">
        <v>-12.884739999999899</v>
      </c>
      <c r="M5280">
        <v>-5.4671210000000001E-3</v>
      </c>
      <c r="N5280">
        <v>0</v>
      </c>
      <c r="O5280">
        <v>0.9999768</v>
      </c>
      <c r="P5280">
        <v>-8.3101389999999997E-2</v>
      </c>
      <c r="Q5280">
        <v>5.2602650000000001E-2</v>
      </c>
      <c r="R5280">
        <v>0.99515180000000003</v>
      </c>
      <c r="S5280">
        <v>0.46051029999999998</v>
      </c>
      <c r="T5280">
        <v>-0.7923384</v>
      </c>
      <c r="U5280">
        <v>3.0932919999999999</v>
      </c>
      <c r="V5280">
        <v>-7.7935030000000002E-2</v>
      </c>
      <c r="W5280">
        <v>5.6267869999999998E-2</v>
      </c>
      <c r="X5280">
        <v>0.99536930000000001</v>
      </c>
      <c r="Y5280">
        <v>0.14814929999999901</v>
      </c>
      <c r="Z5280">
        <v>-0.245490299999999</v>
      </c>
      <c r="AA5280">
        <v>0.95801159999999996</v>
      </c>
      <c r="AB5280">
        <v>36</v>
      </c>
      <c r="AC5280">
        <v>0.124099999999998</v>
      </c>
      <c r="AD5280">
        <v>-0.20805670000000001</v>
      </c>
      <c r="AE5280">
        <v>0.42003999999999803</v>
      </c>
      <c r="AF5280">
        <v>0.103124456591206</v>
      </c>
      <c r="AG5280">
        <v>-0.20805670000000001</v>
      </c>
      <c r="AH5280">
        <v>0.34214903922461198</v>
      </c>
      <c r="AI5280">
        <v>120.20871017900301</v>
      </c>
      <c r="AJ5280">
        <v>73.227080230656796</v>
      </c>
      <c r="AK5280">
        <v>0.41350720550486902</v>
      </c>
    </row>
    <row r="5281" spans="1:37" x14ac:dyDescent="0.2">
      <c r="A5281" t="str">
        <f>"20200111154204999"</f>
        <v>20200111154204999</v>
      </c>
      <c r="B5281" t="str">
        <f>"1578728524991624"</f>
        <v>1578728524991624</v>
      </c>
      <c r="C5281" t="s">
        <v>37</v>
      </c>
      <c r="D5281">
        <v>5.9709240000000001</v>
      </c>
      <c r="E5281">
        <v>0.51906030000000003</v>
      </c>
      <c r="F5281" t="s">
        <v>38</v>
      </c>
      <c r="G5281">
        <v>-187.15899999999999</v>
      </c>
      <c r="H5281">
        <v>0.92593029999999998</v>
      </c>
      <c r="I5281">
        <v>-12.13007</v>
      </c>
      <c r="J5281">
        <v>-187.22810000000001</v>
      </c>
      <c r="K5281">
        <v>1.1111899999999999</v>
      </c>
      <c r="L5281">
        <v>-12.53281</v>
      </c>
      <c r="M5281">
        <v>-7.4407140000000002E-3</v>
      </c>
      <c r="N5281">
        <v>0</v>
      </c>
      <c r="O5281">
        <v>0.99996459999999998</v>
      </c>
      <c r="P5281">
        <v>-8.5061220000000007E-2</v>
      </c>
      <c r="Q5281">
        <v>5.3116339999999998E-2</v>
      </c>
      <c r="R5281">
        <v>0.99495889999999998</v>
      </c>
      <c r="S5281">
        <v>0.26725769999999999</v>
      </c>
      <c r="T5281">
        <v>-0.75546069999999999</v>
      </c>
      <c r="U5281">
        <v>3.0768740000000001</v>
      </c>
      <c r="V5281">
        <v>-7.7931890000000004E-2</v>
      </c>
      <c r="W5281">
        <v>5.6653490000000001E-2</v>
      </c>
      <c r="X5281">
        <v>0.99534769999999995</v>
      </c>
      <c r="Y5281">
        <v>9.1467980000000004E-2</v>
      </c>
      <c r="Z5281">
        <v>-0.23751410000000001</v>
      </c>
      <c r="AA5281">
        <v>0.96706809999999999</v>
      </c>
      <c r="AB5281">
        <v>37</v>
      </c>
      <c r="AC5281">
        <v>6.9099999999991696E-2</v>
      </c>
      <c r="AD5281">
        <v>-0.185259699999999</v>
      </c>
      <c r="AE5281">
        <v>0.40274000000000099</v>
      </c>
      <c r="AF5281">
        <v>5.9802523214650502E-2</v>
      </c>
      <c r="AG5281">
        <v>-0.185259699999999</v>
      </c>
      <c r="AH5281">
        <v>0.33363653268357901</v>
      </c>
      <c r="AI5281">
        <v>118.659396221782</v>
      </c>
      <c r="AJ5281">
        <v>79.837958653860994</v>
      </c>
      <c r="AK5281">
        <v>0.38627818236091099</v>
      </c>
    </row>
    <row r="5282" spans="1:37" x14ac:dyDescent="0.2">
      <c r="A5282" t="str">
        <f>"20200111154205021"</f>
        <v>20200111154205021</v>
      </c>
      <c r="B5282" t="str">
        <f>"1578728525011143"</f>
        <v>1578728525011143</v>
      </c>
      <c r="C5282" t="s">
        <v>37</v>
      </c>
      <c r="D5282">
        <v>5.3733760000000004</v>
      </c>
      <c r="E5282">
        <v>0.5166366</v>
      </c>
      <c r="F5282" t="s">
        <v>38</v>
      </c>
      <c r="G5282">
        <v>-187.2535</v>
      </c>
      <c r="H5282">
        <v>1.011504</v>
      </c>
      <c r="I5282">
        <v>-11.75956</v>
      </c>
      <c r="J5282">
        <v>-187.23230000000001</v>
      </c>
      <c r="K5282">
        <v>1.111156</v>
      </c>
      <c r="L5282">
        <v>-12.16718</v>
      </c>
      <c r="M5282">
        <v>-9.4501469999999903E-3</v>
      </c>
      <c r="N5282">
        <v>0</v>
      </c>
      <c r="O5282">
        <v>0.99994810000000001</v>
      </c>
      <c r="P5282">
        <v>-8.7146979999999999E-2</v>
      </c>
      <c r="Q5282">
        <v>5.325535E-2</v>
      </c>
      <c r="R5282">
        <v>0.99477090000000001</v>
      </c>
      <c r="S5282">
        <v>-0.10018919999999901</v>
      </c>
      <c r="T5282">
        <v>-0.39033119999999999</v>
      </c>
      <c r="U5282">
        <v>3.027466</v>
      </c>
      <c r="V5282">
        <v>-7.8017230000000007E-2</v>
      </c>
      <c r="W5282">
        <v>5.667635E-2</v>
      </c>
      <c r="X5282">
        <v>0.99533969999999905</v>
      </c>
      <c r="Y5282">
        <v>-2.3357530000000001E-2</v>
      </c>
      <c r="Z5282">
        <v>-0.12781129999999999</v>
      </c>
      <c r="AA5282">
        <v>0.99152340000000005</v>
      </c>
      <c r="AB5282">
        <v>37</v>
      </c>
      <c r="AC5282">
        <v>-2.11999999999932E-2</v>
      </c>
      <c r="AD5282">
        <v>-9.9651999999999796E-2</v>
      </c>
      <c r="AE5282">
        <v>0.40761999999999898</v>
      </c>
      <c r="AF5282">
        <v>-1.63711428137247E-2</v>
      </c>
      <c r="AG5282">
        <v>-9.9651999999999796E-2</v>
      </c>
      <c r="AH5282">
        <v>0.38486215823386399</v>
      </c>
      <c r="AI5282">
        <v>104.50416418115501</v>
      </c>
      <c r="AJ5282">
        <v>92.4357610328764</v>
      </c>
      <c r="AK5282">
        <v>0.397891211591127</v>
      </c>
    </row>
    <row r="5283" spans="1:37" x14ac:dyDescent="0.2">
      <c r="A5283" t="str">
        <f>"20200111154205044"</f>
        <v>20200111154205044</v>
      </c>
      <c r="B5283" t="str">
        <f>"1578728525031638"</f>
        <v>1578728525031638</v>
      </c>
      <c r="C5283" t="s">
        <v>37</v>
      </c>
      <c r="D5283">
        <v>5.3525859999999996</v>
      </c>
      <c r="E5283">
        <v>0.51805659999999998</v>
      </c>
      <c r="F5283" t="s">
        <v>38</v>
      </c>
      <c r="G5283">
        <v>-187.26400000000001</v>
      </c>
      <c r="H5283">
        <v>1.0382279999999999</v>
      </c>
      <c r="I5283">
        <v>-11.407629999999999</v>
      </c>
      <c r="J5283">
        <v>-187.2373</v>
      </c>
      <c r="K5283">
        <v>1.111111</v>
      </c>
      <c r="L5283">
        <v>-11.803989999999899</v>
      </c>
      <c r="M5283">
        <v>-1.1395529999999999E-2</v>
      </c>
      <c r="N5283">
        <v>0</v>
      </c>
      <c r="O5283">
        <v>0.99992819999999905</v>
      </c>
      <c r="P5283">
        <v>-8.8822040000000005E-2</v>
      </c>
      <c r="Q5283">
        <v>5.2867999999999998E-2</v>
      </c>
      <c r="R5283">
        <v>0.99464339999999996</v>
      </c>
      <c r="S5283">
        <v>-0.12597659999999999</v>
      </c>
      <c r="T5283">
        <v>-0.29001679999999902</v>
      </c>
      <c r="U5283">
        <v>3.0202640000000001</v>
      </c>
      <c r="V5283">
        <v>-7.7750710000000001E-2</v>
      </c>
      <c r="W5283">
        <v>5.6193130000000001E-2</v>
      </c>
      <c r="X5283">
        <v>0.99538799999999905</v>
      </c>
      <c r="Y5283">
        <v>-3.009527E-2</v>
      </c>
      <c r="Z5283">
        <v>-9.5511970000000002E-2</v>
      </c>
      <c r="AA5283">
        <v>0.9949732</v>
      </c>
      <c r="AB5283">
        <v>37</v>
      </c>
      <c r="AC5283">
        <v>-2.6700000000005199E-2</v>
      </c>
      <c r="AD5283">
        <v>-7.2882999999999795E-2</v>
      </c>
      <c r="AE5283">
        <v>0.39635999999999699</v>
      </c>
      <c r="AF5283">
        <v>-2.14591989285048E-2</v>
      </c>
      <c r="AG5283">
        <v>-7.2882999999999795E-2</v>
      </c>
      <c r="AH5283">
        <v>0.38372264630241898</v>
      </c>
      <c r="AI5283">
        <v>100.738077359378</v>
      </c>
      <c r="AJ5283">
        <v>93.200859217107904</v>
      </c>
      <c r="AK5283">
        <v>0.391171954762844</v>
      </c>
    </row>
    <row r="5284" spans="1:37" x14ac:dyDescent="0.2">
      <c r="A5284" t="str">
        <f>"20200111154205066"</f>
        <v>20200111154205066</v>
      </c>
      <c r="B5284" t="str">
        <f>"1578728525060919"</f>
        <v>1578728525060919</v>
      </c>
      <c r="C5284" t="s">
        <v>37</v>
      </c>
      <c r="D5284">
        <v>5.4057050000000002</v>
      </c>
      <c r="E5284">
        <v>0.51858870000000001</v>
      </c>
      <c r="F5284" t="s">
        <v>38</v>
      </c>
      <c r="G5284">
        <v>-187.279</v>
      </c>
      <c r="H5284">
        <v>1.0282519999999999</v>
      </c>
      <c r="I5284">
        <v>-10.75639</v>
      </c>
      <c r="J5284">
        <v>-187.2432</v>
      </c>
      <c r="K5284">
        <v>1.111057</v>
      </c>
      <c r="L5284">
        <v>-11.42136</v>
      </c>
      <c r="M5284">
        <v>-1.3379719999999999E-2</v>
      </c>
      <c r="N5284">
        <v>0</v>
      </c>
      <c r="O5284">
        <v>0.99990389999999996</v>
      </c>
      <c r="P5284">
        <v>-9.0191590000000002E-2</v>
      </c>
      <c r="Q5284">
        <v>5.2141499999999903E-2</v>
      </c>
      <c r="R5284">
        <v>0.99455859999999996</v>
      </c>
      <c r="S5284">
        <v>-0.120224</v>
      </c>
      <c r="T5284">
        <v>-0.23871529999999999</v>
      </c>
      <c r="U5284">
        <v>3.018097</v>
      </c>
      <c r="V5284">
        <v>-7.7137629999999999E-2</v>
      </c>
      <c r="W5284">
        <v>5.5384240000000001E-2</v>
      </c>
      <c r="X5284">
        <v>0.99548099999999995</v>
      </c>
      <c r="Y5284">
        <v>-2.630629E-2</v>
      </c>
      <c r="Z5284">
        <v>-7.8793160000000001E-2</v>
      </c>
      <c r="AA5284">
        <v>0.99654379999999998</v>
      </c>
      <c r="AB5284">
        <v>37</v>
      </c>
      <c r="AC5284">
        <v>-3.5800000000023098E-2</v>
      </c>
      <c r="AD5284">
        <v>-8.2805000000000004E-2</v>
      </c>
      <c r="AE5284">
        <v>0.66496999999999995</v>
      </c>
      <c r="AF5284">
        <v>-2.6490048100638399E-2</v>
      </c>
      <c r="AG5284">
        <v>-8.2805000000000004E-2</v>
      </c>
      <c r="AH5284">
        <v>0.65525818840772998</v>
      </c>
      <c r="AI5284">
        <v>97.196476212735305</v>
      </c>
      <c r="AJ5284">
        <v>92.315029320989296</v>
      </c>
      <c r="AK5284">
        <v>0.66100051751020095</v>
      </c>
    </row>
    <row r="5285" spans="1:37" x14ac:dyDescent="0.2">
      <c r="A5285" t="str">
        <f>"20200111154205088"</f>
        <v>20200111154205088</v>
      </c>
      <c r="B5285" t="str">
        <f>"1578728525081415"</f>
        <v>1578728525081415</v>
      </c>
      <c r="C5285" t="s">
        <v>37</v>
      </c>
      <c r="D5285">
        <v>5.4019079999999997</v>
      </c>
      <c r="E5285">
        <v>0.51904989999999995</v>
      </c>
      <c r="F5285" t="s">
        <v>38</v>
      </c>
      <c r="G5285">
        <v>-187.28319999999999</v>
      </c>
      <c r="H5285">
        <v>1.0372299999999901</v>
      </c>
      <c r="I5285">
        <v>-10.415620000000001</v>
      </c>
      <c r="J5285">
        <v>-187.24940000000001</v>
      </c>
      <c r="K5285">
        <v>1.1109979999999999</v>
      </c>
      <c r="L5285">
        <v>-11.06451</v>
      </c>
      <c r="M5285">
        <v>-1.518021E-2</v>
      </c>
      <c r="N5285">
        <v>0</v>
      </c>
      <c r="O5285">
        <v>0.9998785</v>
      </c>
      <c r="P5285">
        <v>-9.1286599999999996E-2</v>
      </c>
      <c r="Q5285">
        <v>5.0226159999999999E-2</v>
      </c>
      <c r="R5285">
        <v>0.99455729999999998</v>
      </c>
      <c r="S5285">
        <v>-0.120224</v>
      </c>
      <c r="T5285">
        <v>-0.22149489999999999</v>
      </c>
      <c r="U5285">
        <v>3.0171199999999998</v>
      </c>
      <c r="V5285">
        <v>-7.6427209999999995E-2</v>
      </c>
      <c r="W5285">
        <v>5.3404499999999903E-2</v>
      </c>
      <c r="X5285">
        <v>0.99564390000000003</v>
      </c>
      <c r="Y5285">
        <v>-2.453611E-2</v>
      </c>
      <c r="Z5285">
        <v>-7.3163140000000002E-2</v>
      </c>
      <c r="AA5285">
        <v>0.99701810000000002</v>
      </c>
      <c r="AB5285">
        <v>37</v>
      </c>
      <c r="AC5285">
        <v>-3.3799999999985099E-2</v>
      </c>
      <c r="AD5285">
        <v>-7.3768E-2</v>
      </c>
      <c r="AE5285">
        <v>0.64888999999999897</v>
      </c>
      <c r="AF5285">
        <v>-2.3641049061103401E-2</v>
      </c>
      <c r="AG5285">
        <v>-7.3768E-2</v>
      </c>
      <c r="AH5285">
        <v>0.641065669397475</v>
      </c>
      <c r="AI5285">
        <v>96.559785176788296</v>
      </c>
      <c r="AJ5285">
        <v>92.111981439318896</v>
      </c>
      <c r="AK5285">
        <v>0.645728897839289</v>
      </c>
    </row>
    <row r="5286" spans="1:37" x14ac:dyDescent="0.2">
      <c r="A5286" t="str">
        <f>"20200111154205109"</f>
        <v>20200111154205109</v>
      </c>
      <c r="B5286" t="str">
        <f>"1578728525100934"</f>
        <v>1578728525100934</v>
      </c>
      <c r="C5286" t="s">
        <v>37</v>
      </c>
      <c r="D5286">
        <v>5.4327139999999998</v>
      </c>
      <c r="E5286">
        <v>0.51960519999999999</v>
      </c>
      <c r="F5286" t="s">
        <v>38</v>
      </c>
      <c r="G5286">
        <v>-187.28829999999999</v>
      </c>
      <c r="H5286">
        <v>1.037641</v>
      </c>
      <c r="I5286">
        <v>-10.080679999999999</v>
      </c>
      <c r="J5286">
        <v>-187.25649999999999</v>
      </c>
      <c r="K5286">
        <v>1.1109450000000001</v>
      </c>
      <c r="L5286">
        <v>-10.692780000000001</v>
      </c>
      <c r="M5286">
        <v>-1.699904E-2</v>
      </c>
      <c r="N5286">
        <v>0</v>
      </c>
      <c r="O5286">
        <v>0.9998494</v>
      </c>
      <c r="P5286">
        <v>-9.3436950000000005E-2</v>
      </c>
      <c r="Q5286">
        <v>4.8783809999999997E-2</v>
      </c>
      <c r="R5286">
        <v>0.99442929999999996</v>
      </c>
      <c r="S5286">
        <v>-0.1195068</v>
      </c>
      <c r="T5286">
        <v>-0.22495580000000001</v>
      </c>
      <c r="U5286">
        <v>3.0168149999999998</v>
      </c>
      <c r="V5286">
        <v>-7.6756599999999994E-2</v>
      </c>
      <c r="W5286">
        <v>5.1902160000000003E-2</v>
      </c>
      <c r="X5286">
        <v>0.99569799999999997</v>
      </c>
      <c r="Y5286">
        <v>-2.2481549999999999E-2</v>
      </c>
      <c r="Z5286">
        <v>-7.4306430000000007E-2</v>
      </c>
      <c r="AA5286">
        <v>0.99698199999999904</v>
      </c>
      <c r="AB5286">
        <v>37</v>
      </c>
      <c r="AC5286">
        <v>-3.1800000000003999E-2</v>
      </c>
      <c r="AD5286">
        <v>-7.3303999999999994E-2</v>
      </c>
      <c r="AE5286">
        <v>0.61209999999999898</v>
      </c>
      <c r="AF5286">
        <v>-2.1088590094426801E-2</v>
      </c>
      <c r="AG5286">
        <v>-7.3303999999999994E-2</v>
      </c>
      <c r="AH5286">
        <v>0.60391408806148095</v>
      </c>
      <c r="AI5286">
        <v>96.916616405082294</v>
      </c>
      <c r="AJ5286">
        <v>91.9999474500041</v>
      </c>
      <c r="AK5286">
        <v>0.60871210831336398</v>
      </c>
    </row>
    <row r="5287" spans="1:37" x14ac:dyDescent="0.2">
      <c r="A5287" t="str">
        <f>"20200111154205134"</f>
        <v>20200111154205134</v>
      </c>
      <c r="B5287" t="str">
        <f>"1578728525121430"</f>
        <v>1578728525121430</v>
      </c>
      <c r="C5287" t="s">
        <v>37</v>
      </c>
      <c r="D5287">
        <v>5.3809110000000002</v>
      </c>
      <c r="E5287">
        <v>0.52016479999999998</v>
      </c>
      <c r="F5287" t="s">
        <v>38</v>
      </c>
      <c r="G5287">
        <v>-187.2944</v>
      </c>
      <c r="H5287">
        <v>1.038983</v>
      </c>
      <c r="I5287">
        <v>-9.743233</v>
      </c>
      <c r="J5287">
        <v>-187.26490000000001</v>
      </c>
      <c r="K5287">
        <v>1.110881</v>
      </c>
      <c r="L5287">
        <v>-10.285550000000001</v>
      </c>
      <c r="M5287">
        <v>-1.8917300000000001E-2</v>
      </c>
      <c r="N5287">
        <v>0</v>
      </c>
      <c r="O5287">
        <v>0.99981520000000002</v>
      </c>
      <c r="P5287">
        <v>-9.5303639999999995E-2</v>
      </c>
      <c r="Q5287">
        <v>4.793439E-2</v>
      </c>
      <c r="R5287">
        <v>0.99429349999999905</v>
      </c>
      <c r="S5287">
        <v>-0.1212616</v>
      </c>
      <c r="T5287">
        <v>-0.22866619999999999</v>
      </c>
      <c r="U5287">
        <v>3.016632</v>
      </c>
      <c r="V5287">
        <v>-7.6705560000000006E-2</v>
      </c>
      <c r="W5287">
        <v>5.1000699999999899E-2</v>
      </c>
      <c r="X5287">
        <v>0.99574859999999898</v>
      </c>
      <c r="Y5287">
        <v>-2.1141170000000001E-2</v>
      </c>
      <c r="Z5287">
        <v>-7.5525969999999998E-2</v>
      </c>
      <c r="AA5287">
        <v>0.99691969999999996</v>
      </c>
      <c r="AB5287">
        <v>38</v>
      </c>
      <c r="AC5287">
        <v>-2.94999999999845E-2</v>
      </c>
      <c r="AD5287">
        <v>-7.1898000000000004E-2</v>
      </c>
      <c r="AE5287">
        <v>0.54231700000000005</v>
      </c>
      <c r="AF5287">
        <v>-1.8904202098804099E-2</v>
      </c>
      <c r="AG5287">
        <v>-7.1898000000000004E-2</v>
      </c>
      <c r="AH5287">
        <v>0.53342995726448095</v>
      </c>
      <c r="AI5287">
        <v>97.671553171118802</v>
      </c>
      <c r="AJ5287">
        <v>92.029653340772896</v>
      </c>
      <c r="AK5287">
        <v>0.53858537908875503</v>
      </c>
    </row>
    <row r="5288" spans="1:37" x14ac:dyDescent="0.2">
      <c r="A5288" t="str">
        <f>"20200111154205154"</f>
        <v>20200111154205154</v>
      </c>
      <c r="B5288" t="str">
        <f>"1578728525151686"</f>
        <v>1578728525151686</v>
      </c>
      <c r="C5288" t="s">
        <v>37</v>
      </c>
      <c r="D5288">
        <v>5.393192</v>
      </c>
      <c r="E5288">
        <v>0.5210359</v>
      </c>
      <c r="F5288" t="s">
        <v>39</v>
      </c>
      <c r="G5288">
        <v>-187.85939999999999</v>
      </c>
      <c r="H5288" s="1">
        <v>-2.4167059999999998E-6</v>
      </c>
      <c r="I5288">
        <v>4.3810830000000003</v>
      </c>
      <c r="J5288">
        <v>-187.27279999999999</v>
      </c>
      <c r="K5288">
        <v>1.1108279999999999</v>
      </c>
      <c r="L5288">
        <v>-9.9337769999999992</v>
      </c>
      <c r="M5288">
        <v>-2.0506190000000001E-2</v>
      </c>
      <c r="N5288">
        <v>0</v>
      </c>
      <c r="O5288">
        <v>0.99978400000000001</v>
      </c>
      <c r="P5288">
        <v>-9.6669249999999998E-2</v>
      </c>
      <c r="Q5288">
        <v>4.7416560000000003E-2</v>
      </c>
      <c r="R5288">
        <v>0.99418649999999997</v>
      </c>
      <c r="S5288">
        <v>-0.12226869999999999</v>
      </c>
      <c r="T5288">
        <v>-0.22847719999999999</v>
      </c>
      <c r="U5288">
        <v>3.0165099999999998</v>
      </c>
      <c r="V5288">
        <v>-7.6482649999999999E-2</v>
      </c>
      <c r="W5288">
        <v>5.0448760000000002E-2</v>
      </c>
      <c r="X5288">
        <v>0.99579379999999995</v>
      </c>
      <c r="Y5288">
        <v>-1.9886399999999999E-2</v>
      </c>
      <c r="Z5288">
        <v>-7.5463879999999997E-2</v>
      </c>
      <c r="AA5288">
        <v>0.99695020000000001</v>
      </c>
      <c r="AB5288">
        <v>38</v>
      </c>
      <c r="AC5288">
        <v>-0.58660000000000401</v>
      </c>
      <c r="AD5288">
        <v>-1.1108304167059999</v>
      </c>
      <c r="AE5288">
        <v>14.314859999999999</v>
      </c>
      <c r="AF5288">
        <v>-0.29118125677380202</v>
      </c>
      <c r="AG5288">
        <v>-1.1108304167059999</v>
      </c>
      <c r="AH5288">
        <v>14.238283549919</v>
      </c>
      <c r="AI5288">
        <v>94.4600887977996</v>
      </c>
      <c r="AJ5288">
        <v>91.171569016032507</v>
      </c>
      <c r="AK5288">
        <v>14.284517814293499</v>
      </c>
    </row>
    <row r="5289" spans="1:37" x14ac:dyDescent="0.2">
      <c r="A5289" t="str">
        <f>"20200111154205184"</f>
        <v>20200111154205184</v>
      </c>
      <c r="B5289" t="str">
        <f>"1578728525171207"</f>
        <v>1578728525171207</v>
      </c>
      <c r="C5289" t="s">
        <v>37</v>
      </c>
      <c r="D5289">
        <v>5.3942730000000001</v>
      </c>
      <c r="E5289">
        <v>0.52126919999999999</v>
      </c>
      <c r="F5289" t="s">
        <v>39</v>
      </c>
      <c r="G5289">
        <v>-187.85650000000001</v>
      </c>
      <c r="H5289" s="1">
        <v>-2.5944449999999999E-6</v>
      </c>
      <c r="I5289">
        <v>4.7942039999999997</v>
      </c>
      <c r="J5289">
        <v>-187.28450000000001</v>
      </c>
      <c r="K5289">
        <v>1.110746</v>
      </c>
      <c r="L5289">
        <v>-9.4460750000000004</v>
      </c>
      <c r="M5289">
        <v>-2.260415E-2</v>
      </c>
      <c r="N5289">
        <v>0</v>
      </c>
      <c r="O5289">
        <v>0.99973889999999999</v>
      </c>
      <c r="P5289">
        <v>-9.8406190000000004E-2</v>
      </c>
      <c r="Q5289">
        <v>4.71945E-2</v>
      </c>
      <c r="R5289">
        <v>0.99402659999999998</v>
      </c>
      <c r="S5289">
        <v>-0.11956789999999901</v>
      </c>
      <c r="T5289">
        <v>-0.22753299999999901</v>
      </c>
      <c r="U5289">
        <v>3.0167540000000002</v>
      </c>
      <c r="V5289">
        <v>-7.6123709999999997E-2</v>
      </c>
      <c r="W5289">
        <v>5.0190640000000002E-2</v>
      </c>
      <c r="X5289">
        <v>0.99583440000000001</v>
      </c>
      <c r="Y5289">
        <v>-1.6894849999999999E-2</v>
      </c>
      <c r="Z5289">
        <v>-7.5146050000000006E-2</v>
      </c>
      <c r="AA5289">
        <v>0.99702939999999995</v>
      </c>
      <c r="AB5289">
        <v>38</v>
      </c>
      <c r="AC5289">
        <v>-0.57200000000000195</v>
      </c>
      <c r="AD5289">
        <v>-1.110748594445</v>
      </c>
      <c r="AE5289">
        <v>14.240278999999999</v>
      </c>
      <c r="AF5289">
        <v>-0.24845347152386801</v>
      </c>
      <c r="AG5289">
        <v>-1.110748594445</v>
      </c>
      <c r="AH5289">
        <v>14.1635369138396</v>
      </c>
      <c r="AI5289">
        <v>94.483448475161694</v>
      </c>
      <c r="AJ5289">
        <v>91.004966170833001</v>
      </c>
      <c r="AK5289">
        <v>14.209196651368799</v>
      </c>
    </row>
    <row r="5290" spans="1:37" x14ac:dyDescent="0.2">
      <c r="A5290" t="str">
        <f>"20200111154205203"</f>
        <v>20200111154205203</v>
      </c>
      <c r="B5290" t="str">
        <f>"1578728525190727"</f>
        <v>1578728525190727</v>
      </c>
      <c r="C5290" t="s">
        <v>37</v>
      </c>
      <c r="D5290">
        <v>5.4209680000000002</v>
      </c>
      <c r="E5290">
        <v>0.52168539999999997</v>
      </c>
      <c r="F5290" t="s">
        <v>38</v>
      </c>
      <c r="G5290">
        <v>-187.32730000000001</v>
      </c>
      <c r="H5290">
        <v>1.0305839999999999</v>
      </c>
      <c r="I5290">
        <v>-8.3894649999999995</v>
      </c>
      <c r="J5290">
        <v>-187.29310000000001</v>
      </c>
      <c r="K5290">
        <v>1.1106849999999999</v>
      </c>
      <c r="L5290">
        <v>-9.1092530000000007</v>
      </c>
      <c r="M5290">
        <v>-2.3971019999999999E-2</v>
      </c>
      <c r="N5290">
        <v>0</v>
      </c>
      <c r="O5290">
        <v>0.99970720000000002</v>
      </c>
      <c r="P5290">
        <v>-9.9727750000000004E-2</v>
      </c>
      <c r="Q5290">
        <v>4.7611760000000003E-2</v>
      </c>
      <c r="R5290">
        <v>0.99387499999999995</v>
      </c>
      <c r="S5290">
        <v>-0.12283330000000001</v>
      </c>
      <c r="T5290">
        <v>-0.22889760000000001</v>
      </c>
      <c r="U5290">
        <v>3.016724</v>
      </c>
      <c r="V5290">
        <v>-7.6082299999999894E-2</v>
      </c>
      <c r="W5290">
        <v>5.059019E-2</v>
      </c>
      <c r="X5290">
        <v>0.99581730000000002</v>
      </c>
      <c r="Y5290">
        <v>-1.6604299999999999E-2</v>
      </c>
      <c r="Z5290">
        <v>-7.5589890000000007E-2</v>
      </c>
      <c r="AA5290">
        <v>0.99700080000000002</v>
      </c>
      <c r="AB5290">
        <v>38</v>
      </c>
      <c r="AC5290">
        <v>-3.4199999999998398E-2</v>
      </c>
      <c r="AD5290">
        <v>-8.01010000000002E-2</v>
      </c>
      <c r="AE5290">
        <v>0.71978800000000098</v>
      </c>
      <c r="AF5290">
        <v>-1.6729314145005999E-2</v>
      </c>
      <c r="AG5290">
        <v>-8.01010000000002E-2</v>
      </c>
      <c r="AH5290">
        <v>0.71160816153878104</v>
      </c>
      <c r="AI5290">
        <v>96.420611934770506</v>
      </c>
      <c r="AJ5290">
        <v>91.346727904389795</v>
      </c>
      <c r="AK5290">
        <v>0.71629757483979195</v>
      </c>
    </row>
    <row r="5291" spans="1:37" x14ac:dyDescent="0.2">
      <c r="A5291" t="str">
        <f>"20200111154205220"</f>
        <v>20200111154205220</v>
      </c>
      <c r="B5291" t="str">
        <f>"1578728525211223"</f>
        <v>1578728525211223</v>
      </c>
      <c r="C5291" t="s">
        <v>37</v>
      </c>
      <c r="D5291">
        <v>5.3987730000000003</v>
      </c>
      <c r="E5291">
        <v>0.52218379999999998</v>
      </c>
      <c r="F5291" t="s">
        <v>38</v>
      </c>
      <c r="G5291">
        <v>-187.33670000000001</v>
      </c>
      <c r="H5291">
        <v>1.0311539999999999</v>
      </c>
      <c r="I5291">
        <v>-8.0454439999999998</v>
      </c>
      <c r="J5291">
        <v>-187.30160000000001</v>
      </c>
      <c r="K5291">
        <v>1.1106290000000001</v>
      </c>
      <c r="L5291">
        <v>-8.7913509999999899</v>
      </c>
      <c r="M5291">
        <v>-2.5209840000000001E-2</v>
      </c>
      <c r="N5291">
        <v>0</v>
      </c>
      <c r="O5291">
        <v>0.99967680000000003</v>
      </c>
      <c r="P5291">
        <v>-0.1005915</v>
      </c>
      <c r="Q5291">
        <v>4.7805319999999998E-2</v>
      </c>
      <c r="R5291">
        <v>0.99377859999999996</v>
      </c>
      <c r="S5291">
        <v>-0.1234436</v>
      </c>
      <c r="T5291">
        <v>-0.22553799999999999</v>
      </c>
      <c r="U5291">
        <v>3.0169069999999998</v>
      </c>
      <c r="V5291">
        <v>-7.5708819999999996E-2</v>
      </c>
      <c r="W5291">
        <v>5.0773060000000002E-2</v>
      </c>
      <c r="X5291">
        <v>0.99583650000000001</v>
      </c>
      <c r="Y5291">
        <v>-1.5567589999999999E-2</v>
      </c>
      <c r="Z5291">
        <v>-7.4479039999999996E-2</v>
      </c>
      <c r="AA5291">
        <v>0.99710109999999996</v>
      </c>
      <c r="AB5291">
        <v>38</v>
      </c>
      <c r="AC5291">
        <v>-3.5099999999999902E-2</v>
      </c>
      <c r="AD5291">
        <v>-7.9474999999999907E-2</v>
      </c>
      <c r="AE5291">
        <v>0.74590699999999899</v>
      </c>
      <c r="AF5291">
        <v>-1.6102151293752701E-2</v>
      </c>
      <c r="AG5291">
        <v>-7.9474999999999907E-2</v>
      </c>
      <c r="AH5291">
        <v>0.73819298086297602</v>
      </c>
      <c r="AI5291">
        <v>96.143433350165495</v>
      </c>
      <c r="AJ5291">
        <v>91.249590625568601</v>
      </c>
      <c r="AK5291">
        <v>0.74263344383124297</v>
      </c>
    </row>
    <row r="5292" spans="1:37" x14ac:dyDescent="0.2">
      <c r="A5292" t="str">
        <f>"20200111154205244"</f>
        <v>20200111154205244</v>
      </c>
      <c r="B5292" t="str">
        <f>"1578728525231718"</f>
        <v>1578728525231718</v>
      </c>
      <c r="C5292" t="s">
        <v>37</v>
      </c>
      <c r="D5292">
        <v>5.3908899999999997</v>
      </c>
      <c r="E5292">
        <v>0.52249540000000005</v>
      </c>
      <c r="F5292" t="s">
        <v>39</v>
      </c>
      <c r="G5292">
        <v>-187.90770000000001</v>
      </c>
      <c r="H5292" s="1">
        <v>-3.193109E-6</v>
      </c>
      <c r="I5292">
        <v>6.2108629999999998</v>
      </c>
      <c r="J5292">
        <v>-187.31229999999999</v>
      </c>
      <c r="K5292">
        <v>1.1105609999999999</v>
      </c>
      <c r="L5292">
        <v>-8.4091489999999993</v>
      </c>
      <c r="M5292">
        <v>-2.663606E-2</v>
      </c>
      <c r="N5292">
        <v>0</v>
      </c>
      <c r="O5292">
        <v>0.99963989999999903</v>
      </c>
      <c r="P5292">
        <v>-0.1010566</v>
      </c>
      <c r="Q5292">
        <v>4.6986109999999998E-2</v>
      </c>
      <c r="R5292">
        <v>0.9937705</v>
      </c>
      <c r="S5292">
        <v>-0.1218872</v>
      </c>
      <c r="T5292">
        <v>-0.2233657</v>
      </c>
      <c r="U5292">
        <v>3.0171809999999999</v>
      </c>
      <c r="V5292">
        <v>-7.4743199999999996E-2</v>
      </c>
      <c r="W5292">
        <v>4.9948230000000003E-2</v>
      </c>
      <c r="X5292">
        <v>0.99595109999999998</v>
      </c>
      <c r="Y5292">
        <v>-1.3625989999999999E-2</v>
      </c>
      <c r="Z5292">
        <v>-7.3756669999999996E-2</v>
      </c>
      <c r="AA5292">
        <v>0.99718320000000005</v>
      </c>
      <c r="AB5292">
        <v>38</v>
      </c>
      <c r="AC5292">
        <v>-0.59540000000001203</v>
      </c>
      <c r="AD5292">
        <v>-1.110564193109</v>
      </c>
      <c r="AE5292">
        <v>14.620011999999999</v>
      </c>
      <c r="AF5292">
        <v>-0.204588604007853</v>
      </c>
      <c r="AG5292">
        <v>-1.110564193109</v>
      </c>
      <c r="AH5292">
        <v>14.5468842753268</v>
      </c>
      <c r="AI5292">
        <v>94.365278074623902</v>
      </c>
      <c r="AJ5292">
        <v>90.805759539106305</v>
      </c>
      <c r="AK5292">
        <v>14.5906494524287</v>
      </c>
    </row>
    <row r="5293" spans="1:37" x14ac:dyDescent="0.2">
      <c r="A5293" t="str">
        <f>"20200111154205266"</f>
        <v>20200111154205266</v>
      </c>
      <c r="B5293" t="str">
        <f>"1578728525260999"</f>
        <v>1578728525260999</v>
      </c>
      <c r="C5293" t="s">
        <v>37</v>
      </c>
      <c r="D5293">
        <v>5.3968639999999999</v>
      </c>
      <c r="E5293">
        <v>0.5229357</v>
      </c>
      <c r="F5293" t="s">
        <v>38</v>
      </c>
      <c r="G5293">
        <v>-187.3544</v>
      </c>
      <c r="H5293">
        <v>1.031736</v>
      </c>
      <c r="I5293">
        <v>-7.3537399999999904</v>
      </c>
      <c r="J5293">
        <v>-187.32409999999999</v>
      </c>
      <c r="K5293">
        <v>1.1104879999999999</v>
      </c>
      <c r="L5293">
        <v>-8.0087890000000002</v>
      </c>
      <c r="M5293">
        <v>-2.8040229999999999E-2</v>
      </c>
      <c r="N5293">
        <v>0</v>
      </c>
      <c r="O5293">
        <v>0.99960149999999903</v>
      </c>
      <c r="P5293">
        <v>-0.1011836</v>
      </c>
      <c r="Q5293">
        <v>4.6695599999999997E-2</v>
      </c>
      <c r="R5293">
        <v>0.99377130000000002</v>
      </c>
      <c r="S5293">
        <v>-0.120529199999999</v>
      </c>
      <c r="T5293">
        <v>-0.225360799999999</v>
      </c>
      <c r="U5293">
        <v>3.0172119999999998</v>
      </c>
      <c r="V5293">
        <v>-7.3461960000000007E-2</v>
      </c>
      <c r="W5293">
        <v>4.9657710000000001E-2</v>
      </c>
      <c r="X5293">
        <v>0.99606099999999997</v>
      </c>
      <c r="Y5293">
        <v>-1.1770950000000001E-2</v>
      </c>
      <c r="Z5293">
        <v>-7.4408340000000003E-2</v>
      </c>
      <c r="AA5293">
        <v>0.9971584</v>
      </c>
      <c r="AB5293">
        <v>39</v>
      </c>
      <c r="AC5293">
        <v>-3.0300000000010999E-2</v>
      </c>
      <c r="AD5293">
        <v>-7.8751999999999905E-2</v>
      </c>
      <c r="AE5293">
        <v>0.65504899999999999</v>
      </c>
      <c r="AF5293">
        <v>-1.1750785558658199E-2</v>
      </c>
      <c r="AG5293">
        <v>-7.8751999999999905E-2</v>
      </c>
      <c r="AH5293">
        <v>0.64631936494120301</v>
      </c>
      <c r="AI5293">
        <v>96.945930268844506</v>
      </c>
      <c r="AJ5293">
        <v>91.041584526362797</v>
      </c>
      <c r="AK5293">
        <v>0.65120555891611198</v>
      </c>
    </row>
    <row r="5294" spans="1:37" x14ac:dyDescent="0.2">
      <c r="A5294" t="str">
        <f>"20200111154205290"</f>
        <v>20200111154205290</v>
      </c>
      <c r="B5294" t="str">
        <f>"1578728525281495"</f>
        <v>1578728525281495</v>
      </c>
      <c r="C5294" t="s">
        <v>37</v>
      </c>
      <c r="D5294">
        <v>5.3932669999999998</v>
      </c>
      <c r="E5294">
        <v>0.5232021</v>
      </c>
      <c r="F5294" t="s">
        <v>38</v>
      </c>
      <c r="G5294">
        <v>-187.3631</v>
      </c>
      <c r="H5294">
        <v>1.035533</v>
      </c>
      <c r="I5294">
        <v>-7.0036789999999902</v>
      </c>
      <c r="J5294">
        <v>-187.3364</v>
      </c>
      <c r="K5294">
        <v>1.110412</v>
      </c>
      <c r="L5294">
        <v>-7.6054380000000004</v>
      </c>
      <c r="M5294">
        <v>-2.9379450000000001E-2</v>
      </c>
      <c r="N5294">
        <v>0</v>
      </c>
      <c r="O5294">
        <v>0.99956309999999904</v>
      </c>
      <c r="P5294">
        <v>-0.1012424</v>
      </c>
      <c r="Q5294">
        <v>4.5726309999999999E-2</v>
      </c>
      <c r="R5294">
        <v>0.99381039999999998</v>
      </c>
      <c r="S5294">
        <v>-0.117263799999999</v>
      </c>
      <c r="T5294">
        <v>-0.22503190000000001</v>
      </c>
      <c r="U5294">
        <v>3.0174560000000001</v>
      </c>
      <c r="V5294">
        <v>-7.2174409999999994E-2</v>
      </c>
      <c r="W5294">
        <v>4.8692819999999998E-2</v>
      </c>
      <c r="X5294">
        <v>0.9962027</v>
      </c>
      <c r="Y5294">
        <v>-9.3509309999999998E-3</v>
      </c>
      <c r="Z5294">
        <v>-7.4292609999999995E-2</v>
      </c>
      <c r="AA5294">
        <v>0.99719259999999998</v>
      </c>
      <c r="AB5294">
        <v>39</v>
      </c>
      <c r="AC5294">
        <v>-2.6700000000005199E-2</v>
      </c>
      <c r="AD5294">
        <v>-7.4879000000000098E-2</v>
      </c>
      <c r="AE5294">
        <v>0.60175900000000104</v>
      </c>
      <c r="AF5294">
        <v>-8.8719329391583196E-3</v>
      </c>
      <c r="AG5294">
        <v>-7.4879000000000098E-2</v>
      </c>
      <c r="AH5294">
        <v>0.59311805131282003</v>
      </c>
      <c r="AI5294">
        <v>97.194522145528595</v>
      </c>
      <c r="AJ5294">
        <v>90.8569734233334</v>
      </c>
      <c r="AK5294">
        <v>0.59789179508352097</v>
      </c>
    </row>
    <row r="5295" spans="1:37" x14ac:dyDescent="0.2">
      <c r="A5295" t="str">
        <f>"20200111154205311"</f>
        <v>20200111154205311</v>
      </c>
      <c r="B5295" t="str">
        <f>"1578728525301014"</f>
        <v>1578728525301014</v>
      </c>
      <c r="C5295" t="s">
        <v>37</v>
      </c>
      <c r="D5295">
        <v>5.382403</v>
      </c>
      <c r="E5295">
        <v>0.52341789999999999</v>
      </c>
      <c r="F5295" t="s">
        <v>38</v>
      </c>
      <c r="G5295">
        <v>-187.37270000000001</v>
      </c>
      <c r="H5295">
        <v>1.038956</v>
      </c>
      <c r="I5295">
        <v>-6.6518379999999997</v>
      </c>
      <c r="J5295">
        <v>-187.34819999999999</v>
      </c>
      <c r="K5295">
        <v>1.1103399999999899</v>
      </c>
      <c r="L5295">
        <v>-7.2334589999999999</v>
      </c>
      <c r="M5295">
        <v>-3.0551599999999901E-2</v>
      </c>
      <c r="N5295">
        <v>0</v>
      </c>
      <c r="O5295">
        <v>0.99952799999999997</v>
      </c>
      <c r="P5295">
        <v>-0.1013196</v>
      </c>
      <c r="Q5295">
        <v>4.4841100000000002E-2</v>
      </c>
      <c r="R5295">
        <v>0.99384280000000003</v>
      </c>
      <c r="S5295">
        <v>-0.1148682</v>
      </c>
      <c r="T5295">
        <v>-0.22611059999999999</v>
      </c>
      <c r="U5295">
        <v>3.017395</v>
      </c>
      <c r="V5295">
        <v>-7.1072940000000001E-2</v>
      </c>
      <c r="W5295">
        <v>4.781407E-2</v>
      </c>
      <c r="X5295">
        <v>0.99632449999999995</v>
      </c>
      <c r="Y5295">
        <v>-7.3875140000000004E-3</v>
      </c>
      <c r="Z5295">
        <v>-7.4646100000000007E-2</v>
      </c>
      <c r="AA5295">
        <v>0.99718269999999998</v>
      </c>
      <c r="AB5295">
        <v>39</v>
      </c>
      <c r="AC5295">
        <v>-2.4500000000017501E-2</v>
      </c>
      <c r="AD5295">
        <v>-7.1383999999999795E-2</v>
      </c>
      <c r="AE5295">
        <v>0.58162099999999906</v>
      </c>
      <c r="AF5295">
        <v>-6.61948372479887E-3</v>
      </c>
      <c r="AG5295">
        <v>-7.1383999999999795E-2</v>
      </c>
      <c r="AH5295">
        <v>0.57347485704623402</v>
      </c>
      <c r="AI5295">
        <v>97.094999666714401</v>
      </c>
      <c r="AJ5295">
        <v>90.661322170768699</v>
      </c>
      <c r="AK5295">
        <v>0.577938495590129</v>
      </c>
    </row>
    <row r="5296" spans="1:37" x14ac:dyDescent="0.2">
      <c r="A5296" t="str">
        <f>"20200111154205333"</f>
        <v>20200111154205333</v>
      </c>
      <c r="B5296" t="str">
        <f>"1578728525321511"</f>
        <v>1578728525321511</v>
      </c>
      <c r="C5296" t="s">
        <v>37</v>
      </c>
      <c r="D5296">
        <v>5.3300809999999998</v>
      </c>
      <c r="E5296">
        <v>0.52358159999999998</v>
      </c>
      <c r="F5296" t="s">
        <v>38</v>
      </c>
      <c r="G5296">
        <v>-187.38299999999899</v>
      </c>
      <c r="H5296">
        <v>1.0397129999999899</v>
      </c>
      <c r="I5296">
        <v>-6.3008100000000002</v>
      </c>
      <c r="J5296">
        <v>-187.36089999999999</v>
      </c>
      <c r="K5296">
        <v>1.1102719999999999</v>
      </c>
      <c r="L5296">
        <v>-6.846832</v>
      </c>
      <c r="M5296">
        <v>-3.1706030000000003E-2</v>
      </c>
      <c r="N5296">
        <v>0</v>
      </c>
      <c r="O5296">
        <v>0.99949200000000005</v>
      </c>
      <c r="P5296">
        <v>-0.1016054</v>
      </c>
      <c r="Q5296">
        <v>4.463292E-2</v>
      </c>
      <c r="R5296">
        <v>0.99382309999999996</v>
      </c>
      <c r="S5296">
        <v>-0.11274719999999901</v>
      </c>
      <c r="T5296">
        <v>-0.22851369999999999</v>
      </c>
      <c r="U5296">
        <v>3.017395</v>
      </c>
      <c r="V5296">
        <v>-7.0201330000000006E-2</v>
      </c>
      <c r="W5296">
        <v>4.7614509999999999E-2</v>
      </c>
      <c r="X5296">
        <v>0.99639580000000005</v>
      </c>
      <c r="Y5296">
        <v>-5.5303840000000002E-3</v>
      </c>
      <c r="Z5296">
        <v>-7.5432310000000002E-2</v>
      </c>
      <c r="AA5296">
        <v>0.99713560000000001</v>
      </c>
      <c r="AB5296">
        <v>39</v>
      </c>
      <c r="AC5296">
        <v>-2.20999999999946E-2</v>
      </c>
      <c r="AD5296">
        <v>-7.0558999999999997E-2</v>
      </c>
      <c r="AE5296">
        <v>0.54602200000000001</v>
      </c>
      <c r="AF5296">
        <v>-4.6982810793387998E-3</v>
      </c>
      <c r="AG5296">
        <v>-7.0558999999999997E-2</v>
      </c>
      <c r="AH5296">
        <v>0.53748748270726698</v>
      </c>
      <c r="AI5296">
        <v>97.478490624890298</v>
      </c>
      <c r="AJ5296">
        <v>90.500820632323396</v>
      </c>
      <c r="AK5296">
        <v>0.54211939680581001</v>
      </c>
    </row>
    <row r="5297" spans="1:37" x14ac:dyDescent="0.2">
      <c r="A5297" t="str">
        <f>"20200111154205356"</f>
        <v>20200111154205356</v>
      </c>
      <c r="B5297" t="str">
        <f>"1578728525350792"</f>
        <v>1578728525350792</v>
      </c>
      <c r="C5297" t="s">
        <v>37</v>
      </c>
      <c r="D5297">
        <v>5.3678429999999997</v>
      </c>
      <c r="E5297">
        <v>0.52397749999999998</v>
      </c>
      <c r="F5297" t="s">
        <v>38</v>
      </c>
      <c r="G5297">
        <v>-187.39429999999999</v>
      </c>
      <c r="H5297">
        <v>1.042197</v>
      </c>
      <c r="I5297">
        <v>-5.9468690000000004</v>
      </c>
      <c r="J5297">
        <v>-187.37479999999999</v>
      </c>
      <c r="K5297">
        <v>1.110204</v>
      </c>
      <c r="L5297">
        <v>-6.4351500000000001</v>
      </c>
      <c r="M5297">
        <v>-3.2865220000000001E-2</v>
      </c>
      <c r="N5297">
        <v>0</v>
      </c>
      <c r="O5297">
        <v>0.99945459999999997</v>
      </c>
      <c r="P5297">
        <v>-0.102418699999999</v>
      </c>
      <c r="Q5297">
        <v>4.4409850000000001E-2</v>
      </c>
      <c r="R5297">
        <v>0.99374959999999901</v>
      </c>
      <c r="S5297">
        <v>-0.11183170000000001</v>
      </c>
      <c r="T5297">
        <v>-0.22824899999999901</v>
      </c>
      <c r="U5297">
        <v>3.0174560000000001</v>
      </c>
      <c r="V5297">
        <v>-6.9852819999999996E-2</v>
      </c>
      <c r="W5297">
        <v>4.740113E-2</v>
      </c>
      <c r="X5297">
        <v>0.9964305</v>
      </c>
      <c r="Y5297">
        <v>-4.0679760000000001E-3</v>
      </c>
      <c r="Z5297">
        <v>-7.534035E-2</v>
      </c>
      <c r="AA5297">
        <v>0.99714959999999997</v>
      </c>
      <c r="AB5297">
        <v>39</v>
      </c>
      <c r="AC5297">
        <v>-1.9499999999993599E-2</v>
      </c>
      <c r="AD5297">
        <v>-6.8007000000000095E-2</v>
      </c>
      <c r="AE5297">
        <v>0.48828099999999902</v>
      </c>
      <c r="AF5297">
        <v>-3.37652494052399E-3</v>
      </c>
      <c r="AG5297">
        <v>-6.8007000000000095E-2</v>
      </c>
      <c r="AH5297">
        <v>0.47937378656581803</v>
      </c>
      <c r="AI5297">
        <v>98.074263021393506</v>
      </c>
      <c r="AJ5297">
        <v>90.403562803541703</v>
      </c>
      <c r="AK5297">
        <v>0.48418548121161598</v>
      </c>
    </row>
    <row r="5298" spans="1:37" x14ac:dyDescent="0.2">
      <c r="A5298" t="str">
        <f>"20200111154205379"</f>
        <v>20200111154205379</v>
      </c>
      <c r="B5298" t="str">
        <f>"1578728525371287"</f>
        <v>1578728525371287</v>
      </c>
      <c r="C5298" t="s">
        <v>37</v>
      </c>
      <c r="D5298">
        <v>5.394215</v>
      </c>
      <c r="E5298">
        <v>0.52412689999999995</v>
      </c>
      <c r="F5298" t="s">
        <v>38</v>
      </c>
      <c r="G5298">
        <v>-187.4057</v>
      </c>
      <c r="H5298">
        <v>1.0463559999999901</v>
      </c>
      <c r="I5298">
        <v>-5.5901719999999999</v>
      </c>
      <c r="J5298">
        <v>-187.38820000000001</v>
      </c>
      <c r="K5298">
        <v>1.1101479999999999</v>
      </c>
      <c r="L5298">
        <v>-6.0494079999999997</v>
      </c>
      <c r="M5298">
        <v>-3.3887779999999999E-2</v>
      </c>
      <c r="N5298">
        <v>0</v>
      </c>
      <c r="O5298">
        <v>0.99942050000000004</v>
      </c>
      <c r="P5298">
        <v>-0.10292179999999999</v>
      </c>
      <c r="Q5298">
        <v>4.443267E-2</v>
      </c>
      <c r="R5298">
        <v>0.99369660000000004</v>
      </c>
      <c r="S5298">
        <v>-0.11067200000000001</v>
      </c>
      <c r="T5298">
        <v>-0.22803200000000001</v>
      </c>
      <c r="U5298">
        <v>3.0176699999999999</v>
      </c>
      <c r="V5298">
        <v>-6.9331470000000006E-2</v>
      </c>
      <c r="W5298">
        <v>4.7435430000000001E-2</v>
      </c>
      <c r="X5298">
        <v>0.9964653</v>
      </c>
      <c r="Y5298">
        <v>-2.6597690000000002E-3</v>
      </c>
      <c r="Z5298">
        <v>-7.5260709999999995E-2</v>
      </c>
      <c r="AA5298">
        <v>0.9971603</v>
      </c>
      <c r="AB5298">
        <v>39</v>
      </c>
      <c r="AC5298">
        <v>-1.7499999999984001E-2</v>
      </c>
      <c r="AD5298">
        <v>-6.3792000000000001E-2</v>
      </c>
      <c r="AE5298">
        <v>0.45923599999999998</v>
      </c>
      <c r="AF5298">
        <v>-1.89094590139163E-3</v>
      </c>
      <c r="AG5298">
        <v>-6.3792000000000001E-2</v>
      </c>
      <c r="AH5298">
        <v>0.450877881542603</v>
      </c>
      <c r="AI5298">
        <v>98.052915127907298</v>
      </c>
      <c r="AJ5298">
        <v>90.2402925241269</v>
      </c>
      <c r="AK5298">
        <v>0.45537222028220797</v>
      </c>
    </row>
    <row r="5299" spans="1:37" x14ac:dyDescent="0.2">
      <c r="A5299" t="str">
        <f>"20200111154205399"</f>
        <v>20200111154205399</v>
      </c>
      <c r="B5299" t="str">
        <f>"1578728525390807"</f>
        <v>1578728525390807</v>
      </c>
      <c r="C5299" t="s">
        <v>37</v>
      </c>
      <c r="D5299">
        <v>5.3947750000000001</v>
      </c>
      <c r="E5299">
        <v>0.5242038</v>
      </c>
      <c r="F5299" t="s">
        <v>39</v>
      </c>
      <c r="G5299">
        <v>-187.9288</v>
      </c>
      <c r="H5299" s="1">
        <v>-4.2419290000000002E-6</v>
      </c>
      <c r="I5299">
        <v>8.6643980000000003</v>
      </c>
      <c r="J5299">
        <v>-187.40190000000001</v>
      </c>
      <c r="K5299">
        <v>1.110087</v>
      </c>
      <c r="L5299">
        <v>-5.6678769999999998</v>
      </c>
      <c r="M5299">
        <v>-3.4842539999999998E-2</v>
      </c>
      <c r="N5299">
        <v>0</v>
      </c>
      <c r="O5299">
        <v>0.99938760000000004</v>
      </c>
      <c r="P5299">
        <v>-0.1037575</v>
      </c>
      <c r="Q5299">
        <v>4.4823960000000003E-2</v>
      </c>
      <c r="R5299">
        <v>0.99359209999999998</v>
      </c>
      <c r="S5299">
        <v>-0.1108551</v>
      </c>
      <c r="T5299">
        <v>-0.2276869</v>
      </c>
      <c r="U5299">
        <v>3.0177309999999999</v>
      </c>
      <c r="V5299">
        <v>-6.9212780000000002E-2</v>
      </c>
      <c r="W5299">
        <v>4.7838840000000001E-2</v>
      </c>
      <c r="X5299">
        <v>0.99645419999999996</v>
      </c>
      <c r="Y5299">
        <v>-1.76445799999999E-3</v>
      </c>
      <c r="Z5299">
        <v>-7.5142230000000004E-2</v>
      </c>
      <c r="AA5299">
        <v>0.99717129999999998</v>
      </c>
      <c r="AB5299">
        <v>40</v>
      </c>
      <c r="AC5299">
        <v>-0.52689999999998305</v>
      </c>
      <c r="AD5299">
        <v>-1.1100912419290001</v>
      </c>
      <c r="AE5299">
        <v>14.332274999999999</v>
      </c>
      <c r="AF5299">
        <v>-2.70425906214741E-2</v>
      </c>
      <c r="AG5299">
        <v>-1.1100912419290001</v>
      </c>
      <c r="AH5299">
        <v>14.2565201393345</v>
      </c>
      <c r="AI5299">
        <v>94.452373420644307</v>
      </c>
      <c r="AJ5299">
        <v>90.108681812690406</v>
      </c>
      <c r="AK5299">
        <v>14.299699309788499</v>
      </c>
    </row>
    <row r="5300" spans="1:37" x14ac:dyDescent="0.2">
      <c r="A5300" t="str">
        <f>"20200111154205423"</f>
        <v>20200111154205423</v>
      </c>
      <c r="B5300" t="str">
        <f>"1578728525411302"</f>
        <v>1578728525411302</v>
      </c>
      <c r="C5300" t="s">
        <v>37</v>
      </c>
      <c r="D5300">
        <v>5.3429589999999996</v>
      </c>
      <c r="E5300">
        <v>0.52438430000000003</v>
      </c>
      <c r="F5300" t="s">
        <v>39</v>
      </c>
      <c r="G5300">
        <v>-187.9563</v>
      </c>
      <c r="H5300" s="1">
        <v>-4.4436790000000004E-6</v>
      </c>
      <c r="I5300">
        <v>9.1460530000000002</v>
      </c>
      <c r="J5300">
        <v>-187.4169</v>
      </c>
      <c r="K5300">
        <v>1.1100219999999901</v>
      </c>
      <c r="L5300">
        <v>-5.2571110000000001</v>
      </c>
      <c r="M5300">
        <v>-3.5814369999999998E-2</v>
      </c>
      <c r="N5300">
        <v>0</v>
      </c>
      <c r="O5300">
        <v>0.99935319999999905</v>
      </c>
      <c r="P5300">
        <v>-0.1044499</v>
      </c>
      <c r="Q5300">
        <v>4.4406330000000001E-2</v>
      </c>
      <c r="R5300">
        <v>0.99353829999999999</v>
      </c>
      <c r="S5300">
        <v>-0.1129303</v>
      </c>
      <c r="T5300">
        <v>-0.2261379</v>
      </c>
      <c r="U5300">
        <v>3.0177610000000001</v>
      </c>
      <c r="V5300">
        <v>-6.8929980000000002E-2</v>
      </c>
      <c r="W5300">
        <v>4.743352E-2</v>
      </c>
      <c r="X5300">
        <v>0.99649319999999897</v>
      </c>
      <c r="Y5300">
        <v>-1.477857E-3</v>
      </c>
      <c r="Z5300">
        <v>-7.4628390000000003E-2</v>
      </c>
      <c r="AA5300">
        <v>0.99721029999999999</v>
      </c>
      <c r="AB5300">
        <v>40</v>
      </c>
      <c r="AC5300">
        <v>-0.53939999999999999</v>
      </c>
      <c r="AD5300">
        <v>-1.1100264436789999</v>
      </c>
      <c r="AE5300">
        <v>14.403164</v>
      </c>
      <c r="AF5300">
        <v>-2.30741362282075E-2</v>
      </c>
      <c r="AG5300">
        <v>-1.1100264436789999</v>
      </c>
      <c r="AH5300">
        <v>14.3282583782555</v>
      </c>
      <c r="AI5300">
        <v>94.429915040915702</v>
      </c>
      <c r="AJ5300">
        <v>90.092268679418794</v>
      </c>
      <c r="AK5300">
        <v>14.3712100838962</v>
      </c>
    </row>
    <row r="5301" spans="1:37" x14ac:dyDescent="0.2">
      <c r="A5301" t="str">
        <f>"20200111154205445"</f>
        <v>20200111154205445</v>
      </c>
      <c r="B5301" t="str">
        <f>"1578728525441558"</f>
        <v>1578728525441558</v>
      </c>
      <c r="C5301" t="s">
        <v>37</v>
      </c>
      <c r="D5301">
        <v>5.3316800000000004</v>
      </c>
      <c r="E5301">
        <v>0.52466109999999999</v>
      </c>
      <c r="F5301" t="s">
        <v>39</v>
      </c>
      <c r="G5301">
        <v>-187.97329999999999</v>
      </c>
      <c r="H5301" s="1">
        <v>-4.5914209999999997E-6</v>
      </c>
      <c r="I5301">
        <v>9.4974959999999999</v>
      </c>
      <c r="J5301">
        <v>-187.43190000000001</v>
      </c>
      <c r="K5301">
        <v>1.1099600000000001</v>
      </c>
      <c r="L5301">
        <v>-4.8555599999999997</v>
      </c>
      <c r="M5301">
        <v>-3.670913E-2</v>
      </c>
      <c r="N5301">
        <v>0</v>
      </c>
      <c r="O5301">
        <v>0.99932080000000001</v>
      </c>
      <c r="P5301">
        <v>-0.10516689999999999</v>
      </c>
      <c r="Q5301">
        <v>4.4184349999999997E-2</v>
      </c>
      <c r="R5301">
        <v>0.99347249999999998</v>
      </c>
      <c r="S5301">
        <v>-0.1138</v>
      </c>
      <c r="T5301">
        <v>-0.22702929999999899</v>
      </c>
      <c r="U5301">
        <v>3.0177</v>
      </c>
      <c r="V5301">
        <v>-6.8750110000000003E-2</v>
      </c>
      <c r="W5301">
        <v>4.7220610000000003E-2</v>
      </c>
      <c r="X5301">
        <v>0.99651579999999995</v>
      </c>
      <c r="Y5301">
        <v>-8.6944189999999997E-4</v>
      </c>
      <c r="Z5301">
        <v>-7.4918369999999998E-2</v>
      </c>
      <c r="AA5301">
        <v>0.99718929999999995</v>
      </c>
      <c r="AB5301">
        <v>40</v>
      </c>
      <c r="AC5301">
        <v>-0.54139999999998101</v>
      </c>
      <c r="AD5301">
        <v>-1.1099645914209999</v>
      </c>
      <c r="AE5301">
        <v>14.353056</v>
      </c>
      <c r="AF5301">
        <v>-1.40601899675747E-2</v>
      </c>
      <c r="AG5301">
        <v>-1.1099645914209999</v>
      </c>
      <c r="AH5301">
        <v>14.2779896368869</v>
      </c>
      <c r="AI5301">
        <v>94.445205984321802</v>
      </c>
      <c r="AJ5301">
        <v>90.056421758551494</v>
      </c>
      <c r="AK5301">
        <v>14.321075628394601</v>
      </c>
    </row>
    <row r="5302" spans="1:37" x14ac:dyDescent="0.2">
      <c r="A5302" t="str">
        <f>"20200111154205467"</f>
        <v>20200111154205467</v>
      </c>
      <c r="B5302" t="str">
        <f>"1578728525461079"</f>
        <v>1578728525461079</v>
      </c>
      <c r="C5302" t="s">
        <v>37</v>
      </c>
      <c r="D5302">
        <v>5.2875860000000001</v>
      </c>
      <c r="E5302">
        <v>0.52483059999999904</v>
      </c>
      <c r="F5302" t="s">
        <v>38</v>
      </c>
      <c r="G5302">
        <v>-187.47130000000001</v>
      </c>
      <c r="H5302">
        <v>1.0316379999999901</v>
      </c>
      <c r="I5302">
        <v>-3.8136359999999998</v>
      </c>
      <c r="J5302">
        <v>-187.44710000000001</v>
      </c>
      <c r="K5302">
        <v>1.109904</v>
      </c>
      <c r="L5302">
        <v>-4.458221</v>
      </c>
      <c r="M5302">
        <v>-3.7553199999999898E-2</v>
      </c>
      <c r="N5302">
        <v>0</v>
      </c>
      <c r="O5302">
        <v>0.99928939999999999</v>
      </c>
      <c r="P5302">
        <v>-0.1062225</v>
      </c>
      <c r="Q5302">
        <v>4.4295139999999997E-2</v>
      </c>
      <c r="R5302">
        <v>0.99335529999999905</v>
      </c>
      <c r="S5302">
        <v>-0.11393739999999999</v>
      </c>
      <c r="T5302">
        <v>-0.2268385</v>
      </c>
      <c r="U5302">
        <v>3.0177309999999999</v>
      </c>
      <c r="V5302">
        <v>-6.8963070000000001E-2</v>
      </c>
      <c r="W5302">
        <v>4.7338730000000002E-2</v>
      </c>
      <c r="X5302">
        <v>0.99649539999999903</v>
      </c>
      <c r="Y5302" s="1">
        <v>-6.9908209999999997E-5</v>
      </c>
      <c r="Z5302">
        <v>-7.4851459999999995E-2</v>
      </c>
      <c r="AA5302">
        <v>0.99719469999999999</v>
      </c>
      <c r="AB5302">
        <v>40</v>
      </c>
      <c r="AC5302">
        <v>-2.42000000000075E-2</v>
      </c>
      <c r="AD5302">
        <v>-7.8266000000000099E-2</v>
      </c>
      <c r="AE5302">
        <v>0.64458499999999896</v>
      </c>
      <c r="AF5302" s="1">
        <v>2.3086183861653599E-5</v>
      </c>
      <c r="AG5302">
        <v>-7.8266000000000099E-2</v>
      </c>
      <c r="AH5302">
        <v>0.63568046992663496</v>
      </c>
      <c r="AI5302">
        <v>97.019023635224599</v>
      </c>
      <c r="AJ5302">
        <v>89.997919173291706</v>
      </c>
      <c r="AK5302">
        <v>0.64048046584975504</v>
      </c>
    </row>
    <row r="5303" spans="1:37" x14ac:dyDescent="0.2">
      <c r="A5303" t="str">
        <f>"20200111154205489"</f>
        <v>20200111154205489</v>
      </c>
      <c r="B5303" t="str">
        <f>"1578728525481574"</f>
        <v>1578728525481574</v>
      </c>
      <c r="C5303" t="s">
        <v>37</v>
      </c>
      <c r="D5303">
        <v>5.3141669999999896</v>
      </c>
      <c r="E5303">
        <v>0.52506799999999998</v>
      </c>
      <c r="F5303" t="s">
        <v>38</v>
      </c>
      <c r="G5303">
        <v>-187.48580000000001</v>
      </c>
      <c r="H5303">
        <v>1.034538</v>
      </c>
      <c r="I5303">
        <v>-3.4507569999999999</v>
      </c>
      <c r="J5303">
        <v>-187.4624</v>
      </c>
      <c r="K5303">
        <v>1.1098600000000001</v>
      </c>
      <c r="L5303">
        <v>-4.0689390000000003</v>
      </c>
      <c r="M5303">
        <v>-3.8348430000000003E-2</v>
      </c>
      <c r="N5303">
        <v>0</v>
      </c>
      <c r="O5303">
        <v>0.99925919999999901</v>
      </c>
      <c r="P5303">
        <v>-0.106629</v>
      </c>
      <c r="Q5303">
        <v>4.4517040000000001E-2</v>
      </c>
      <c r="R5303">
        <v>0.99330180000000001</v>
      </c>
      <c r="S5303">
        <v>-0.1160431</v>
      </c>
      <c r="T5303">
        <v>-0.22575120000000001</v>
      </c>
      <c r="U5303">
        <v>3.0177309999999999</v>
      </c>
      <c r="V5303">
        <v>-6.8574099999999999E-2</v>
      </c>
      <c r="W5303">
        <v>4.7570220000000003E-2</v>
      </c>
      <c r="X5303">
        <v>0.99651119999999904</v>
      </c>
      <c r="Y5303" s="1">
        <v>3.004004E-5</v>
      </c>
      <c r="Z5303">
        <v>-7.4490290000000001E-2</v>
      </c>
      <c r="AA5303">
        <v>0.99722180000000005</v>
      </c>
      <c r="AB5303">
        <v>40</v>
      </c>
      <c r="AC5303">
        <v>-2.3400000000009399E-2</v>
      </c>
      <c r="AD5303">
        <v>-7.5322000000000097E-2</v>
      </c>
      <c r="AE5303">
        <v>0.61818200000000001</v>
      </c>
      <c r="AF5303">
        <v>3.18917671185924E-4</v>
      </c>
      <c r="AG5303">
        <v>-7.5322000000000097E-2</v>
      </c>
      <c r="AH5303">
        <v>0.60958761533142003</v>
      </c>
      <c r="AI5303">
        <v>97.043889821509097</v>
      </c>
      <c r="AJ5303">
        <v>89.970024596227901</v>
      </c>
      <c r="AK5303">
        <v>0.61422354738151197</v>
      </c>
    </row>
    <row r="5304" spans="1:37" x14ac:dyDescent="0.2">
      <c r="A5304" t="str">
        <f>"20200111154205510"</f>
        <v>20200111154205510</v>
      </c>
      <c r="B5304" t="str">
        <f>"1578728525501094"</f>
        <v>1578728525501094</v>
      </c>
      <c r="C5304" t="s">
        <v>37</v>
      </c>
      <c r="D5304">
        <v>5.2718999999999996</v>
      </c>
      <c r="E5304">
        <v>0.52521850000000003</v>
      </c>
      <c r="F5304" t="s">
        <v>38</v>
      </c>
      <c r="G5304">
        <v>-187.49979999999999</v>
      </c>
      <c r="H5304">
        <v>1.03688</v>
      </c>
      <c r="I5304">
        <v>-3.0867830000000001</v>
      </c>
      <c r="J5304">
        <v>-187.47839999999999</v>
      </c>
      <c r="K5304">
        <v>1.1098110000000001</v>
      </c>
      <c r="L5304">
        <v>-3.666687</v>
      </c>
      <c r="M5304">
        <v>-3.914227E-2</v>
      </c>
      <c r="N5304">
        <v>0</v>
      </c>
      <c r="O5304">
        <v>0.99922840000000002</v>
      </c>
      <c r="P5304">
        <v>-0.1076174</v>
      </c>
      <c r="Q5304">
        <v>4.4594519999999999E-2</v>
      </c>
      <c r="R5304">
        <v>0.99319169999999901</v>
      </c>
      <c r="S5304">
        <v>-0.1151581</v>
      </c>
      <c r="T5304">
        <v>-0.2242458</v>
      </c>
      <c r="U5304">
        <v>3.01791399999999</v>
      </c>
      <c r="V5304">
        <v>-6.8770059999999994E-2</v>
      </c>
      <c r="W5304">
        <v>4.7656419999999998E-2</v>
      </c>
      <c r="X5304">
        <v>0.99649359999999998</v>
      </c>
      <c r="Y5304">
        <v>1.117397E-3</v>
      </c>
      <c r="Z5304">
        <v>-7.398884E-2</v>
      </c>
      <c r="AA5304">
        <v>0.99725839999999999</v>
      </c>
      <c r="AB5304">
        <v>40</v>
      </c>
      <c r="AC5304">
        <v>-2.1399999999999801E-2</v>
      </c>
      <c r="AD5304">
        <v>-7.2930999999999996E-2</v>
      </c>
      <c r="AE5304">
        <v>0.57990399999999998</v>
      </c>
      <c r="AF5304">
        <v>1.29482622921219E-3</v>
      </c>
      <c r="AG5304">
        <v>-7.2930999999999996E-2</v>
      </c>
      <c r="AH5304">
        <v>0.57127393114993597</v>
      </c>
      <c r="AI5304">
        <v>97.275224605386398</v>
      </c>
      <c r="AJ5304">
        <v>89.870135941708597</v>
      </c>
      <c r="AK5304">
        <v>0.57591189582041602</v>
      </c>
    </row>
    <row r="5305" spans="1:37" x14ac:dyDescent="0.2">
      <c r="A5305" t="str">
        <f>"20200111154205534"</f>
        <v>20200111154205534</v>
      </c>
      <c r="B5305" t="str">
        <f>"1578728525521590"</f>
        <v>1578728525521590</v>
      </c>
      <c r="C5305" t="s">
        <v>37</v>
      </c>
      <c r="D5305">
        <v>5.2662079999999998</v>
      </c>
      <c r="E5305">
        <v>0.5253816</v>
      </c>
      <c r="F5305" t="s">
        <v>38</v>
      </c>
      <c r="G5305">
        <v>-187.51480000000001</v>
      </c>
      <c r="H5305">
        <v>1.039731</v>
      </c>
      <c r="I5305">
        <v>-2.7205680000000001</v>
      </c>
      <c r="J5305">
        <v>-187.49529999999999</v>
      </c>
      <c r="K5305">
        <v>1.109774</v>
      </c>
      <c r="L5305">
        <v>-3.2477419999999899</v>
      </c>
      <c r="M5305">
        <v>-3.9941959999999999E-2</v>
      </c>
      <c r="N5305">
        <v>0</v>
      </c>
      <c r="O5305">
        <v>0.9991968</v>
      </c>
      <c r="P5305">
        <v>-0.1085642</v>
      </c>
      <c r="Q5305">
        <v>4.4392870000000001E-2</v>
      </c>
      <c r="R5305">
        <v>0.99309769999999897</v>
      </c>
      <c r="S5305">
        <v>-0.1165009</v>
      </c>
      <c r="T5305">
        <v>-0.22355079999999999</v>
      </c>
      <c r="U5305">
        <v>3.0179749999999999</v>
      </c>
      <c r="V5305">
        <v>-6.8918469999999996E-2</v>
      </c>
      <c r="W5305">
        <v>4.7464949999999999E-2</v>
      </c>
      <c r="X5305">
        <v>0.996492499999999</v>
      </c>
      <c r="Y5305">
        <v>1.4747650000000001E-3</v>
      </c>
      <c r="Z5305">
        <v>-7.3755139999999997E-2</v>
      </c>
      <c r="AA5305">
        <v>0.99727529999999998</v>
      </c>
      <c r="AB5305">
        <v>41</v>
      </c>
      <c r="AC5305">
        <v>-1.9500000000022E-2</v>
      </c>
      <c r="AD5305">
        <v>-7.0042999999999994E-2</v>
      </c>
      <c r="AE5305">
        <v>0.52717399999999903</v>
      </c>
      <c r="AF5305">
        <v>1.5448001088908499E-3</v>
      </c>
      <c r="AG5305">
        <v>-7.0042999999999994E-2</v>
      </c>
      <c r="AH5305">
        <v>0.51839342565678603</v>
      </c>
      <c r="AI5305">
        <v>97.694914549181306</v>
      </c>
      <c r="AJ5305">
        <v>89.829260441871398</v>
      </c>
      <c r="AK5305">
        <v>0.52310625308875303</v>
      </c>
    </row>
    <row r="5306" spans="1:37" x14ac:dyDescent="0.2">
      <c r="A5306" t="str">
        <f>"20200111154205556"</f>
        <v>20200111154205556</v>
      </c>
      <c r="B5306" t="str">
        <f>"1578728525550870"</f>
        <v>1578728525550870</v>
      </c>
      <c r="C5306" t="s">
        <v>37</v>
      </c>
      <c r="D5306">
        <v>5.2519099999999996</v>
      </c>
      <c r="E5306">
        <v>0.52569009999999905</v>
      </c>
      <c r="F5306" t="s">
        <v>38</v>
      </c>
      <c r="G5306">
        <v>-187.53020000000001</v>
      </c>
      <c r="H5306">
        <v>1.043358</v>
      </c>
      <c r="I5306">
        <v>-2.3519349999999899</v>
      </c>
      <c r="J5306">
        <v>-187.5121</v>
      </c>
      <c r="K5306">
        <v>1.1097440000000001</v>
      </c>
      <c r="L5306">
        <v>-2.8424990000000001</v>
      </c>
      <c r="M5306">
        <v>-4.0691900000000003E-2</v>
      </c>
      <c r="N5306">
        <v>0</v>
      </c>
      <c r="O5306">
        <v>0.99916649999999996</v>
      </c>
      <c r="P5306">
        <v>-0.1089127</v>
      </c>
      <c r="Q5306">
        <v>4.4551599999999997E-2</v>
      </c>
      <c r="R5306">
        <v>0.9930525</v>
      </c>
      <c r="S5306">
        <v>-0.1178131</v>
      </c>
      <c r="T5306">
        <v>-0.2237606</v>
      </c>
      <c r="U5306">
        <v>3.0179749999999999</v>
      </c>
      <c r="V5306">
        <v>-6.8517819999999993E-2</v>
      </c>
      <c r="W5306">
        <v>4.7635469999999999E-2</v>
      </c>
      <c r="X5306">
        <v>0.99651199999999995</v>
      </c>
      <c r="Y5306">
        <v>1.792538E-3</v>
      </c>
      <c r="Z5306">
        <v>-7.3819990000000002E-2</v>
      </c>
      <c r="AA5306">
        <v>0.99726999999999999</v>
      </c>
      <c r="AB5306">
        <v>41</v>
      </c>
      <c r="AC5306">
        <v>-1.8100000000003998E-2</v>
      </c>
      <c r="AD5306">
        <v>-6.6386000000000001E-2</v>
      </c>
      <c r="AE5306">
        <v>0.490564</v>
      </c>
      <c r="AF5306">
        <v>1.8433655838114801E-3</v>
      </c>
      <c r="AG5306">
        <v>-6.6386000000000001E-2</v>
      </c>
      <c r="AH5306">
        <v>0.48207787523892698</v>
      </c>
      <c r="AI5306">
        <v>97.840718288732205</v>
      </c>
      <c r="AJ5306">
        <v>89.780913917179305</v>
      </c>
      <c r="AK5306">
        <v>0.486630842412967</v>
      </c>
    </row>
    <row r="5307" spans="1:37" x14ac:dyDescent="0.2">
      <c r="A5307" t="str">
        <f>"20200111154205579"</f>
        <v>20200111154205579</v>
      </c>
      <c r="B5307" t="str">
        <f>"1578728525571366"</f>
        <v>1578728525571366</v>
      </c>
      <c r="C5307" t="s">
        <v>37</v>
      </c>
      <c r="D5307">
        <v>5.2178579999999997</v>
      </c>
      <c r="E5307">
        <v>0.52591650000000001</v>
      </c>
      <c r="F5307" t="s">
        <v>38</v>
      </c>
      <c r="G5307">
        <v>-187.54509999999999</v>
      </c>
      <c r="H5307">
        <v>1.0463610000000001</v>
      </c>
      <c r="I5307">
        <v>-1.9825599999999901</v>
      </c>
      <c r="J5307">
        <v>-187.52979999999999</v>
      </c>
      <c r="K5307">
        <v>1.1097109999999999</v>
      </c>
      <c r="L5307">
        <v>-2.4219059999999999</v>
      </c>
      <c r="M5307">
        <v>-4.144805E-2</v>
      </c>
      <c r="N5307">
        <v>0</v>
      </c>
      <c r="O5307">
        <v>0.99913539999999901</v>
      </c>
      <c r="P5307">
        <v>-0.1089458</v>
      </c>
      <c r="Q5307">
        <v>4.5119779999999998E-2</v>
      </c>
      <c r="R5307">
        <v>0.99302319999999999</v>
      </c>
      <c r="S5307">
        <v>-0.1162567</v>
      </c>
      <c r="T5307">
        <v>-0.222469999999999</v>
      </c>
      <c r="U5307">
        <v>3.01821899999999</v>
      </c>
      <c r="V5307">
        <v>-6.7796010000000004E-2</v>
      </c>
      <c r="W5307">
        <v>4.8217969999999999E-2</v>
      </c>
      <c r="X5307">
        <v>0.99653329999999996</v>
      </c>
      <c r="Y5307">
        <v>3.0647389999999999E-3</v>
      </c>
      <c r="Z5307">
        <v>-7.3387830000000001E-2</v>
      </c>
      <c r="AA5307">
        <v>0.99729880000000004</v>
      </c>
      <c r="AB5307">
        <v>41</v>
      </c>
      <c r="AC5307">
        <v>-1.5299999999996299E-2</v>
      </c>
      <c r="AD5307">
        <v>-6.3350000000000004E-2</v>
      </c>
      <c r="AE5307">
        <v>0.43934600000000001</v>
      </c>
      <c r="AF5307">
        <v>2.8638087753257101E-3</v>
      </c>
      <c r="AG5307">
        <v>-6.3350000000000004E-2</v>
      </c>
      <c r="AH5307">
        <v>0.43065951782727802</v>
      </c>
      <c r="AI5307">
        <v>98.368011048666403</v>
      </c>
      <c r="AJ5307">
        <v>89.618998928797396</v>
      </c>
      <c r="AK5307">
        <v>0.43530339327407602</v>
      </c>
    </row>
    <row r="5308" spans="1:37" x14ac:dyDescent="0.2">
      <c r="A5308" t="str">
        <f>"20200111154205602"</f>
        <v>20200111154205602</v>
      </c>
      <c r="B5308" t="str">
        <f>"1578728525590887"</f>
        <v>1578728525590887</v>
      </c>
      <c r="C5308" t="s">
        <v>37</v>
      </c>
      <c r="D5308">
        <v>5.2189459999999999</v>
      </c>
      <c r="E5308">
        <v>0.52610069999999998</v>
      </c>
      <c r="F5308" t="s">
        <v>39</v>
      </c>
      <c r="G5308">
        <v>-188.1071</v>
      </c>
      <c r="H5308" s="1">
        <v>-1.6974649999999999E-6</v>
      </c>
      <c r="I5308">
        <v>12.806929999999999</v>
      </c>
      <c r="J5308">
        <v>-187.5478</v>
      </c>
      <c r="K5308">
        <v>1.109677</v>
      </c>
      <c r="L5308">
        <v>-1.9993289999999999</v>
      </c>
      <c r="M5308">
        <v>-4.2184989999999999E-2</v>
      </c>
      <c r="N5308">
        <v>0</v>
      </c>
      <c r="O5308">
        <v>0.99910449999999995</v>
      </c>
      <c r="P5308">
        <v>-0.109469</v>
      </c>
      <c r="Q5308">
        <v>4.544902E-2</v>
      </c>
      <c r="R5308">
        <v>0.99295059999999902</v>
      </c>
      <c r="S5308">
        <v>-0.114440899999999</v>
      </c>
      <c r="T5308">
        <v>-0.2199574</v>
      </c>
      <c r="U5308">
        <v>3.0185240000000002</v>
      </c>
      <c r="V5308">
        <v>-6.7584379999999999E-2</v>
      </c>
      <c r="W5308">
        <v>4.856137E-2</v>
      </c>
      <c r="X5308">
        <v>0.9965311</v>
      </c>
      <c r="Y5308">
        <v>4.4029400000000002E-3</v>
      </c>
      <c r="Z5308">
        <v>-7.2553359999999997E-2</v>
      </c>
      <c r="AA5308">
        <v>0.99735479999999999</v>
      </c>
      <c r="AB5308">
        <v>41</v>
      </c>
      <c r="AC5308">
        <v>-0.55930000000000701</v>
      </c>
      <c r="AD5308">
        <v>-1.1096786974649999</v>
      </c>
      <c r="AE5308">
        <v>14.806258999999899</v>
      </c>
      <c r="AF5308">
        <v>6.54360604588579E-2</v>
      </c>
      <c r="AG5308">
        <v>-1.1096786974649999</v>
      </c>
      <c r="AH5308">
        <v>14.7340297673514</v>
      </c>
      <c r="AI5308">
        <v>94.307000757203994</v>
      </c>
      <c r="AJ5308">
        <v>89.745542427824901</v>
      </c>
      <c r="AK5308">
        <v>14.7759027431427</v>
      </c>
    </row>
    <row r="5309" spans="1:37" x14ac:dyDescent="0.2">
      <c r="A5309" t="str">
        <f>"20200111154205624"</f>
        <v>20200111154205624</v>
      </c>
      <c r="B5309" t="str">
        <f>"1578728525611382"</f>
        <v>1578728525611382</v>
      </c>
      <c r="C5309" t="s">
        <v>37</v>
      </c>
      <c r="D5309">
        <v>5.1787089999999996</v>
      </c>
      <c r="E5309">
        <v>0.52626030000000001</v>
      </c>
      <c r="F5309" t="s">
        <v>39</v>
      </c>
      <c r="G5309">
        <v>-188.1277</v>
      </c>
      <c r="H5309" s="1">
        <v>-1.9255750000000002E-6</v>
      </c>
      <c r="I5309">
        <v>13.347160000000001</v>
      </c>
      <c r="J5309">
        <v>-187.5651</v>
      </c>
      <c r="K5309">
        <v>1.109645</v>
      </c>
      <c r="L5309">
        <v>-1.6000669999999999</v>
      </c>
      <c r="M5309">
        <v>-4.2858599999999997E-2</v>
      </c>
      <c r="N5309">
        <v>0</v>
      </c>
      <c r="O5309">
        <v>0.99907579999999996</v>
      </c>
      <c r="P5309">
        <v>-0.10928980000000001</v>
      </c>
      <c r="Q5309">
        <v>4.5030779999999999E-2</v>
      </c>
      <c r="R5309">
        <v>0.99298940000000002</v>
      </c>
      <c r="S5309">
        <v>-0.1140747</v>
      </c>
      <c r="T5309">
        <v>-0.21827759999999999</v>
      </c>
      <c r="U5309">
        <v>3.018707</v>
      </c>
      <c r="V5309">
        <v>-6.6727469999999997E-2</v>
      </c>
      <c r="W5309">
        <v>4.815842E-2</v>
      </c>
      <c r="X5309">
        <v>0.99660839999999995</v>
      </c>
      <c r="Y5309">
        <v>5.1987329999999997E-3</v>
      </c>
      <c r="Z5309">
        <v>-7.1994740000000002E-2</v>
      </c>
      <c r="AA5309">
        <v>0.99739149999999999</v>
      </c>
      <c r="AB5309">
        <v>41</v>
      </c>
      <c r="AC5309">
        <v>-0.56260000000000299</v>
      </c>
      <c r="AD5309">
        <v>-1.1096469255750001</v>
      </c>
      <c r="AE5309">
        <v>14.947227</v>
      </c>
      <c r="AF5309">
        <v>7.8107737105907293E-2</v>
      </c>
      <c r="AG5309">
        <v>-1.1096469255750001</v>
      </c>
      <c r="AH5309">
        <v>14.8757373454151</v>
      </c>
      <c r="AI5309">
        <v>94.265985720594998</v>
      </c>
      <c r="AJ5309">
        <v>89.6991609589966</v>
      </c>
      <c r="AK5309">
        <v>14.917271154196101</v>
      </c>
    </row>
    <row r="5310" spans="1:37" x14ac:dyDescent="0.2">
      <c r="A5310" t="str">
        <f>"20200111154205646"</f>
        <v>20200111154205646</v>
      </c>
      <c r="B5310" t="str">
        <f>"1578728525641638"</f>
        <v>1578728525641638</v>
      </c>
      <c r="C5310" t="s">
        <v>37</v>
      </c>
      <c r="D5310">
        <v>5.1544689999999997</v>
      </c>
      <c r="E5310">
        <v>0.5265514</v>
      </c>
      <c r="F5310" t="s">
        <v>38</v>
      </c>
      <c r="G5310">
        <v>-187.6052</v>
      </c>
      <c r="H5310">
        <v>1.030767</v>
      </c>
      <c r="I5310">
        <v>-0.51197950000000003</v>
      </c>
      <c r="J5310">
        <v>-187.58410000000001</v>
      </c>
      <c r="K5310">
        <v>1.109612</v>
      </c>
      <c r="L5310">
        <v>-1.1679079999999999</v>
      </c>
      <c r="M5310">
        <v>-4.3559510000000003E-2</v>
      </c>
      <c r="N5310">
        <v>0</v>
      </c>
      <c r="O5310">
        <v>0.99904539999999997</v>
      </c>
      <c r="P5310">
        <v>-0.1089372</v>
      </c>
      <c r="Q5310">
        <v>4.510248E-2</v>
      </c>
      <c r="R5310">
        <v>0.99302489999999999</v>
      </c>
      <c r="S5310">
        <v>-0.1117706</v>
      </c>
      <c r="T5310">
        <v>-0.2188416</v>
      </c>
      <c r="U5310">
        <v>3.018799</v>
      </c>
      <c r="V5310">
        <v>-6.56717E-2</v>
      </c>
      <c r="W5310">
        <v>4.8248449999999998E-2</v>
      </c>
      <c r="X5310">
        <v>0.99667410000000001</v>
      </c>
      <c r="Y5310">
        <v>6.6621040000000003E-3</v>
      </c>
      <c r="Z5310">
        <v>-7.2175039999999996E-2</v>
      </c>
      <c r="AA5310">
        <v>0.99736970000000003</v>
      </c>
      <c r="AB5310">
        <v>42</v>
      </c>
      <c r="AC5310">
        <v>-2.1099999999989901E-2</v>
      </c>
      <c r="AD5310">
        <v>-7.8844999999999998E-2</v>
      </c>
      <c r="AE5310">
        <v>0.65592849999999903</v>
      </c>
      <c r="AF5310">
        <v>7.3855045537717197E-3</v>
      </c>
      <c r="AG5310">
        <v>-7.8844999999999998E-2</v>
      </c>
      <c r="AH5310">
        <v>0.64688785169206098</v>
      </c>
      <c r="AI5310">
        <v>96.948689710628997</v>
      </c>
      <c r="AJ5310">
        <v>89.345883749433597</v>
      </c>
      <c r="AK5310">
        <v>0.65171694190751595</v>
      </c>
    </row>
    <row r="5311" spans="1:37" x14ac:dyDescent="0.2">
      <c r="A5311" t="str">
        <f>"20200111154205667"</f>
        <v>20200111154205667</v>
      </c>
      <c r="B5311" t="str">
        <f>"1578728525661158"</f>
        <v>1578728525661158</v>
      </c>
      <c r="C5311" t="s">
        <v>37</v>
      </c>
      <c r="D5311">
        <v>5.1406529999999897</v>
      </c>
      <c r="E5311">
        <v>0.52669909999999998</v>
      </c>
      <c r="F5311" t="s">
        <v>38</v>
      </c>
      <c r="G5311">
        <v>-187.62110000000001</v>
      </c>
      <c r="H5311">
        <v>1.035209</v>
      </c>
      <c r="I5311">
        <v>-0.13622889999999899</v>
      </c>
      <c r="J5311">
        <v>-187.602</v>
      </c>
      <c r="K5311">
        <v>1.109585</v>
      </c>
      <c r="L5311">
        <v>-0.76763919999999997</v>
      </c>
      <c r="M5311">
        <v>-4.4186820000000002E-2</v>
      </c>
      <c r="N5311">
        <v>0</v>
      </c>
      <c r="O5311">
        <v>0.99901779999999996</v>
      </c>
      <c r="P5311">
        <v>-0.108839899999999</v>
      </c>
      <c r="Q5311">
        <v>4.415446E-2</v>
      </c>
      <c r="R5311">
        <v>0.99307819999999902</v>
      </c>
      <c r="S5311">
        <v>-0.108429</v>
      </c>
      <c r="T5311">
        <v>-0.21773409999999899</v>
      </c>
      <c r="U5311">
        <v>3.0190730000000001</v>
      </c>
      <c r="V5311">
        <v>-6.4941739999999998E-2</v>
      </c>
      <c r="W5311">
        <v>4.73173E-2</v>
      </c>
      <c r="X5311">
        <v>0.99676659999999995</v>
      </c>
      <c r="Y5311">
        <v>8.3948679999999998E-3</v>
      </c>
      <c r="Z5311">
        <v>-7.1803199999999998E-2</v>
      </c>
      <c r="AA5311">
        <v>0.99738349999999898</v>
      </c>
      <c r="AB5311">
        <v>42</v>
      </c>
      <c r="AC5311">
        <v>-1.91000000000087E-2</v>
      </c>
      <c r="AD5311">
        <v>-7.4375999999999998E-2</v>
      </c>
      <c r="AE5311">
        <v>0.63141029999999998</v>
      </c>
      <c r="AF5311">
        <v>8.6982412695975498E-3</v>
      </c>
      <c r="AG5311">
        <v>-7.4375999999999998E-2</v>
      </c>
      <c r="AH5311">
        <v>0.62300113500082099</v>
      </c>
      <c r="AI5311">
        <v>96.8072871565236</v>
      </c>
      <c r="AJ5311">
        <v>89.200097549343397</v>
      </c>
      <c r="AK5311">
        <v>0.62748534882457296</v>
      </c>
    </row>
    <row r="5312" spans="1:37" x14ac:dyDescent="0.2">
      <c r="A5312" t="str">
        <f>"20200111154205689"</f>
        <v>20200111154205689</v>
      </c>
      <c r="B5312" t="str">
        <f>"1578728525681655"</f>
        <v>1578728525681655</v>
      </c>
      <c r="C5312" t="s">
        <v>37</v>
      </c>
      <c r="D5312">
        <v>5.1746679999999996</v>
      </c>
      <c r="E5312">
        <v>0.52684409999999904</v>
      </c>
      <c r="F5312" t="s">
        <v>38</v>
      </c>
      <c r="G5312">
        <v>-187.63749999999999</v>
      </c>
      <c r="H5312">
        <v>1.036198</v>
      </c>
      <c r="I5312">
        <v>0.23920820000000001</v>
      </c>
      <c r="J5312">
        <v>-187.62020000000001</v>
      </c>
      <c r="K5312">
        <v>1.109548</v>
      </c>
      <c r="L5312">
        <v>-0.36547849999999998</v>
      </c>
      <c r="M5312">
        <v>-4.4792800000000001E-2</v>
      </c>
      <c r="N5312">
        <v>0</v>
      </c>
      <c r="O5312">
        <v>0.99899079999999996</v>
      </c>
      <c r="P5312">
        <v>-0.1094131</v>
      </c>
      <c r="Q5312">
        <v>4.386367E-2</v>
      </c>
      <c r="R5312">
        <v>0.99302800000000002</v>
      </c>
      <c r="S5312">
        <v>-0.1067047</v>
      </c>
      <c r="T5312">
        <v>-0.22005149999999901</v>
      </c>
      <c r="U5312">
        <v>3.019012</v>
      </c>
      <c r="V5312">
        <v>-6.4908820000000006E-2</v>
      </c>
      <c r="W5312">
        <v>4.7042470000000003E-2</v>
      </c>
      <c r="X5312">
        <v>0.99678180000000005</v>
      </c>
      <c r="Y5312">
        <v>9.5715599999999998E-3</v>
      </c>
      <c r="Z5312">
        <v>-7.2562260000000003E-2</v>
      </c>
      <c r="AA5312">
        <v>0.99731800000000004</v>
      </c>
      <c r="AB5312">
        <v>42</v>
      </c>
      <c r="AC5312">
        <v>-1.7299999999977399E-2</v>
      </c>
      <c r="AD5312">
        <v>-7.3349999999999999E-2</v>
      </c>
      <c r="AE5312">
        <v>0.60468669999999902</v>
      </c>
      <c r="AF5312">
        <v>9.66108367320705E-3</v>
      </c>
      <c r="AG5312">
        <v>-7.3349999999999999E-2</v>
      </c>
      <c r="AH5312">
        <v>0.59609080685981897</v>
      </c>
      <c r="AI5312">
        <v>97.014167345074895</v>
      </c>
      <c r="AJ5312">
        <v>89.071465532798996</v>
      </c>
      <c r="AK5312">
        <v>0.60066447294686198</v>
      </c>
    </row>
    <row r="5313" spans="1:37" x14ac:dyDescent="0.2">
      <c r="A5313" t="str">
        <f>"20200111154205712"</f>
        <v>20200111154205712</v>
      </c>
      <c r="B5313" t="str">
        <f>"1578728525701175"</f>
        <v>1578728525701175</v>
      </c>
      <c r="C5313" t="s">
        <v>37</v>
      </c>
      <c r="D5313">
        <v>5.1082519999999896</v>
      </c>
      <c r="E5313">
        <v>0.52701960000000003</v>
      </c>
      <c r="F5313" t="s">
        <v>38</v>
      </c>
      <c r="G5313">
        <v>-187.655</v>
      </c>
      <c r="H5313">
        <v>1.03783</v>
      </c>
      <c r="I5313">
        <v>0.61623430000000001</v>
      </c>
      <c r="J5313">
        <v>-187.6403</v>
      </c>
      <c r="K5313">
        <v>1.1095139999999999</v>
      </c>
      <c r="L5313">
        <v>7.3059079999999998E-2</v>
      </c>
      <c r="M5313">
        <v>-4.5420309999999998E-2</v>
      </c>
      <c r="N5313">
        <v>0</v>
      </c>
      <c r="O5313">
        <v>0.99896249999999998</v>
      </c>
      <c r="P5313">
        <v>-0.10988489999999999</v>
      </c>
      <c r="Q5313">
        <v>4.426488E-2</v>
      </c>
      <c r="R5313">
        <v>0.99295820000000001</v>
      </c>
      <c r="S5313">
        <v>-0.1069031</v>
      </c>
      <c r="T5313">
        <v>-0.22055349999999899</v>
      </c>
      <c r="U5313">
        <v>3.019012</v>
      </c>
      <c r="V5313">
        <v>-6.4754510000000001E-2</v>
      </c>
      <c r="W5313">
        <v>4.7462579999999997E-2</v>
      </c>
      <c r="X5313">
        <v>0.99677190000000004</v>
      </c>
      <c r="Y5313">
        <v>1.013466E-2</v>
      </c>
      <c r="Z5313">
        <v>-7.2723549999999998E-2</v>
      </c>
      <c r="AA5313">
        <v>0.99730059999999998</v>
      </c>
      <c r="AB5313">
        <v>42</v>
      </c>
      <c r="AC5313">
        <v>-1.47000000000048E-2</v>
      </c>
      <c r="AD5313">
        <v>-7.1683999999999803E-2</v>
      </c>
      <c r="AE5313">
        <v>0.54317521999999996</v>
      </c>
      <c r="AF5313">
        <v>9.8156618433998498E-3</v>
      </c>
      <c r="AG5313">
        <v>-7.1683999999999803E-2</v>
      </c>
      <c r="AH5313">
        <v>0.533988831684992</v>
      </c>
      <c r="AI5313">
        <v>97.644543106717705</v>
      </c>
      <c r="AJ5313">
        <v>88.946920546574205</v>
      </c>
      <c r="AK5313">
        <v>0.53886827280674698</v>
      </c>
    </row>
    <row r="5314" spans="1:37" x14ac:dyDescent="0.2">
      <c r="A5314" t="str">
        <f>"20200111154205736"</f>
        <v>20200111154205736</v>
      </c>
      <c r="B5314" t="str">
        <f>"1578728525731430"</f>
        <v>1578728525731430</v>
      </c>
      <c r="C5314" t="s">
        <v>37</v>
      </c>
      <c r="D5314">
        <v>5.0729749999999996</v>
      </c>
      <c r="E5314">
        <v>0.5271496</v>
      </c>
      <c r="F5314" t="s">
        <v>38</v>
      </c>
      <c r="G5314">
        <v>-187.6728</v>
      </c>
      <c r="H5314">
        <v>1.0425309999999901</v>
      </c>
      <c r="I5314">
        <v>0.99678609999999901</v>
      </c>
      <c r="J5314">
        <v>-187.66079999999999</v>
      </c>
      <c r="K5314">
        <v>1.10948</v>
      </c>
      <c r="L5314">
        <v>0.51473999999999998</v>
      </c>
      <c r="M5314">
        <v>-4.601222E-2</v>
      </c>
      <c r="N5314">
        <v>0</v>
      </c>
      <c r="O5314">
        <v>0.99893529999999997</v>
      </c>
      <c r="P5314">
        <v>-0.11014829999999901</v>
      </c>
      <c r="Q5314">
        <v>4.4639739999999997E-2</v>
      </c>
      <c r="R5314">
        <v>0.99291219999999902</v>
      </c>
      <c r="S5314">
        <v>-0.106979399999999</v>
      </c>
      <c r="T5314">
        <v>-0.2189391</v>
      </c>
      <c r="U5314">
        <v>3.019196</v>
      </c>
      <c r="V5314">
        <v>-6.4426269999999994E-2</v>
      </c>
      <c r="W5314">
        <v>4.7857419999999998E-2</v>
      </c>
      <c r="X5314">
        <v>0.9967743</v>
      </c>
      <c r="Y5314">
        <v>1.070276E-2</v>
      </c>
      <c r="Z5314">
        <v>-7.2186490000000006E-2</v>
      </c>
      <c r="AA5314">
        <v>0.99733369999999999</v>
      </c>
      <c r="AB5314">
        <v>42</v>
      </c>
      <c r="AC5314">
        <v>-1.2000000000000399E-2</v>
      </c>
      <c r="AD5314">
        <v>-6.6949000000000106E-2</v>
      </c>
      <c r="AE5314">
        <v>0.48204609999999898</v>
      </c>
      <c r="AF5314">
        <v>1.00000718736262E-2</v>
      </c>
      <c r="AG5314">
        <v>-6.6949000000000106E-2</v>
      </c>
      <c r="AH5314">
        <v>0.47297019798497902</v>
      </c>
      <c r="AI5314">
        <v>98.054924629198695</v>
      </c>
      <c r="AJ5314">
        <v>88.7887681696063</v>
      </c>
      <c r="AK5314">
        <v>0.47778967990155302</v>
      </c>
    </row>
    <row r="5315" spans="1:37" x14ac:dyDescent="0.2">
      <c r="A5315" t="str">
        <f>"20200111154205757"</f>
        <v>20200111154205757</v>
      </c>
      <c r="B5315" t="str">
        <f>"1578728525750950"</f>
        <v>1578728525750950</v>
      </c>
      <c r="C5315" t="s">
        <v>37</v>
      </c>
      <c r="D5315">
        <v>5.1011220000000002</v>
      </c>
      <c r="E5315">
        <v>0.53013310000000002</v>
      </c>
      <c r="F5315" t="s">
        <v>38</v>
      </c>
      <c r="G5315">
        <v>-187.69120000000001</v>
      </c>
      <c r="H5315">
        <v>1.047293</v>
      </c>
      <c r="I5315">
        <v>1.37984</v>
      </c>
      <c r="J5315">
        <v>-187.68</v>
      </c>
      <c r="K5315">
        <v>1.109448</v>
      </c>
      <c r="L5315">
        <v>0.92593380000000003</v>
      </c>
      <c r="M5315">
        <v>-4.6522670000000002E-2</v>
      </c>
      <c r="N5315">
        <v>0</v>
      </c>
      <c r="O5315">
        <v>0.99891160000000001</v>
      </c>
      <c r="P5315">
        <v>-0.1106654</v>
      </c>
      <c r="Q5315">
        <v>4.5069489999999997E-2</v>
      </c>
      <c r="R5315">
        <v>0.99283529999999998</v>
      </c>
      <c r="S5315">
        <v>-0.106536899999999</v>
      </c>
      <c r="T5315">
        <v>-0.21704270000000001</v>
      </c>
      <c r="U5315">
        <v>3.0193479999999999</v>
      </c>
      <c r="V5315">
        <v>-6.4433900000000002E-2</v>
      </c>
      <c r="W5315">
        <v>4.8307040000000002E-2</v>
      </c>
      <c r="X5315">
        <v>0.99675210000000003</v>
      </c>
      <c r="Y5315">
        <v>1.1359889999999999E-2</v>
      </c>
      <c r="Z5315">
        <v>-7.1558269999999993E-2</v>
      </c>
      <c r="AA5315">
        <v>0.99737169999999897</v>
      </c>
      <c r="AB5315">
        <v>42</v>
      </c>
      <c r="AC5315">
        <v>-1.12000000000023E-2</v>
      </c>
      <c r="AD5315">
        <v>-6.2154999999999898E-2</v>
      </c>
      <c r="AE5315">
        <v>0.45390619999999898</v>
      </c>
      <c r="AF5315">
        <v>9.7465302335962498E-3</v>
      </c>
      <c r="AG5315">
        <v>-6.2154999999999898E-2</v>
      </c>
      <c r="AH5315">
        <v>0.44558576934337402</v>
      </c>
      <c r="AI5315">
        <v>97.939104876332394</v>
      </c>
      <c r="AJ5315">
        <v>88.746939310026903</v>
      </c>
      <c r="AK5315">
        <v>0.45000546298675198</v>
      </c>
    </row>
    <row r="5316" spans="1:37" x14ac:dyDescent="0.2">
      <c r="A5316" t="str">
        <f>"20200111154205780"</f>
        <v>20200111154205780</v>
      </c>
      <c r="B5316" t="str">
        <f>"1578728525771446"</f>
        <v>1578728525771446</v>
      </c>
      <c r="C5316" t="s">
        <v>37</v>
      </c>
      <c r="D5316">
        <v>5.0962969999999999</v>
      </c>
      <c r="E5316">
        <v>0.53046289999999996</v>
      </c>
      <c r="F5316" t="s">
        <v>39</v>
      </c>
      <c r="G5316">
        <v>-188.44040000000001</v>
      </c>
      <c r="H5316" s="1">
        <v>-3.634335E-6</v>
      </c>
      <c r="I5316">
        <v>27.459599999999998</v>
      </c>
      <c r="J5316">
        <v>-187.7002</v>
      </c>
      <c r="K5316">
        <v>1.1094090000000001</v>
      </c>
      <c r="L5316">
        <v>1.352203</v>
      </c>
      <c r="M5316">
        <v>-4.70065E-2</v>
      </c>
      <c r="N5316">
        <v>0</v>
      </c>
      <c r="O5316">
        <v>0.99888889999999997</v>
      </c>
      <c r="P5316">
        <v>-0.11106480000000001</v>
      </c>
      <c r="Q5316">
        <v>4.5408270000000001E-2</v>
      </c>
      <c r="R5316">
        <v>0.99277530000000003</v>
      </c>
      <c r="S5316">
        <v>-8.6471560000000003E-2</v>
      </c>
      <c r="T5316">
        <v>-0.1261803</v>
      </c>
      <c r="U5316">
        <v>3.0177309999999999</v>
      </c>
      <c r="V5316">
        <v>-6.4348649999999993E-2</v>
      </c>
      <c r="W5316">
        <v>4.8667099999999998E-2</v>
      </c>
      <c r="X5316">
        <v>0.99673999999999996</v>
      </c>
      <c r="Y5316">
        <v>1.840133E-2</v>
      </c>
      <c r="Z5316">
        <v>-4.1695169999999997E-2</v>
      </c>
      <c r="AA5316">
        <v>0.99896090000000004</v>
      </c>
      <c r="AB5316">
        <v>42</v>
      </c>
      <c r="AC5316">
        <v>-0.74020000000001496</v>
      </c>
      <c r="AD5316">
        <v>-1.1094126343349999</v>
      </c>
      <c r="AE5316">
        <v>26.107396999999999</v>
      </c>
      <c r="AF5316">
        <v>0.48696393112932401</v>
      </c>
      <c r="AG5316">
        <v>-1.1094126343349999</v>
      </c>
      <c r="AH5316">
        <v>26.066299961944601</v>
      </c>
      <c r="AI5316">
        <v>92.436680795505595</v>
      </c>
      <c r="AJ5316">
        <v>88.929739438848102</v>
      </c>
      <c r="AK5316">
        <v>26.094442396217499</v>
      </c>
    </row>
    <row r="5317" spans="1:37" x14ac:dyDescent="0.2">
      <c r="A5317" t="str">
        <f>"20200111154205801"</f>
        <v>20200111154205801</v>
      </c>
      <c r="B5317" t="str">
        <f>"1578728525790967"</f>
        <v>1578728525790967</v>
      </c>
      <c r="C5317" t="s">
        <v>37</v>
      </c>
      <c r="D5317">
        <v>5.067831</v>
      </c>
      <c r="E5317">
        <v>0.5308446</v>
      </c>
      <c r="F5317" t="s">
        <v>39</v>
      </c>
      <c r="G5317">
        <v>-188.52760000000001</v>
      </c>
      <c r="H5317" s="1">
        <v>-7.3076439999999999E-7</v>
      </c>
      <c r="I5317">
        <v>30.64423</v>
      </c>
      <c r="J5317">
        <v>-187.71979999999999</v>
      </c>
      <c r="K5317">
        <v>1.1093660000000001</v>
      </c>
      <c r="L5317">
        <v>1.764465</v>
      </c>
      <c r="M5317">
        <v>-4.7425879999999997E-2</v>
      </c>
      <c r="N5317">
        <v>0</v>
      </c>
      <c r="O5317">
        <v>0.99886909999999896</v>
      </c>
      <c r="P5317">
        <v>-0.1109131</v>
      </c>
      <c r="Q5317">
        <v>4.5255910000000003E-2</v>
      </c>
      <c r="R5317">
        <v>0.99279919999999999</v>
      </c>
      <c r="S5317">
        <v>-8.5235599999999995E-2</v>
      </c>
      <c r="T5317">
        <v>-0.11428579999999899</v>
      </c>
      <c r="U5317">
        <v>3.0175169999999998</v>
      </c>
      <c r="V5317">
        <v>-6.3772519999999999E-2</v>
      </c>
      <c r="W5317">
        <v>4.8538030000000003E-2</v>
      </c>
      <c r="X5317">
        <v>0.99678339999999999</v>
      </c>
      <c r="Y5317">
        <v>1.9223509999999999E-2</v>
      </c>
      <c r="Z5317">
        <v>-3.7772130000000001E-2</v>
      </c>
      <c r="AA5317">
        <v>0.99910149999999998</v>
      </c>
      <c r="AB5317">
        <v>43</v>
      </c>
      <c r="AC5317">
        <v>-0.80780000000001395</v>
      </c>
      <c r="AD5317">
        <v>-1.1093667307644</v>
      </c>
      <c r="AE5317">
        <v>28.879764999999999</v>
      </c>
      <c r="AF5317">
        <v>0.56193645757441402</v>
      </c>
      <c r="AG5317">
        <v>-1.1093667307644</v>
      </c>
      <c r="AH5317">
        <v>28.843051826260702</v>
      </c>
      <c r="AI5317">
        <v>92.202217526222498</v>
      </c>
      <c r="AJ5317">
        <v>88.8838727997897</v>
      </c>
      <c r="AK5317">
        <v>28.869847692324999</v>
      </c>
    </row>
    <row r="5318" spans="1:37" x14ac:dyDescent="0.2">
      <c r="A5318" t="str">
        <f>"20200111154205825"</f>
        <v>20200111154205825</v>
      </c>
      <c r="B5318" t="str">
        <f>"1578728525821222"</f>
        <v>1578728525821222</v>
      </c>
      <c r="C5318" t="s">
        <v>37</v>
      </c>
      <c r="D5318">
        <v>5.0725920000000002</v>
      </c>
      <c r="E5318">
        <v>0.53088440000000003</v>
      </c>
      <c r="F5318" t="s">
        <v>39</v>
      </c>
      <c r="G5318">
        <v>-188.48699999999999</v>
      </c>
      <c r="H5318" s="1">
        <v>-5.9772859999999904E-7</v>
      </c>
      <c r="I5318">
        <v>30.221540000000001</v>
      </c>
      <c r="J5318">
        <v>-187.74099999999899</v>
      </c>
      <c r="K5318">
        <v>1.109318</v>
      </c>
      <c r="L5318">
        <v>2.2057799999999999</v>
      </c>
      <c r="M5318">
        <v>-4.7816980000000002E-2</v>
      </c>
      <c r="N5318">
        <v>0</v>
      </c>
      <c r="O5318">
        <v>0.99885029999999997</v>
      </c>
      <c r="P5318">
        <v>-0.111331</v>
      </c>
      <c r="Q5318">
        <v>4.482158E-2</v>
      </c>
      <c r="R5318">
        <v>0.99277209999999905</v>
      </c>
      <c r="S5318">
        <v>-8.1359860000000006E-2</v>
      </c>
      <c r="T5318">
        <v>-0.1176547</v>
      </c>
      <c r="U5318">
        <v>3.0180359999999999</v>
      </c>
      <c r="V5318">
        <v>-6.3794710000000004E-2</v>
      </c>
      <c r="W5318">
        <v>4.812748E-2</v>
      </c>
      <c r="X5318">
        <v>0.99680190000000002</v>
      </c>
      <c r="Y5318">
        <v>2.090301E-2</v>
      </c>
      <c r="Z5318">
        <v>-3.8876189999999998E-2</v>
      </c>
      <c r="AA5318">
        <v>0.99902539999999995</v>
      </c>
      <c r="AB5318">
        <v>43</v>
      </c>
      <c r="AC5318">
        <v>-0.74600000000000899</v>
      </c>
      <c r="AD5318">
        <v>-1.1093185977286</v>
      </c>
      <c r="AE5318">
        <v>28.01576</v>
      </c>
      <c r="AF5318">
        <v>0.59356020323188796</v>
      </c>
      <c r="AG5318">
        <v>-1.1093185977286</v>
      </c>
      <c r="AH5318">
        <v>27.975553742047801</v>
      </c>
      <c r="AI5318">
        <v>92.2702575974171</v>
      </c>
      <c r="AJ5318">
        <v>88.7845319140512</v>
      </c>
      <c r="AK5318">
        <v>28.003830249455799</v>
      </c>
    </row>
    <row r="5319" spans="1:37" x14ac:dyDescent="0.2">
      <c r="A5319" t="str">
        <f>"20200111154205846"</f>
        <v>20200111154205846</v>
      </c>
      <c r="B5319" t="str">
        <f>"1578728525841718"</f>
        <v>1578728525841718</v>
      </c>
      <c r="C5319" t="s">
        <v>37</v>
      </c>
      <c r="D5319">
        <v>5.0615480000000002</v>
      </c>
      <c r="E5319">
        <v>0.53095389999999998</v>
      </c>
      <c r="F5319" t="s">
        <v>39</v>
      </c>
      <c r="G5319">
        <v>-188.50899999999999</v>
      </c>
      <c r="H5319" s="1">
        <v>-6.3516859999999999E-7</v>
      </c>
      <c r="I5319">
        <v>30.348749999999999</v>
      </c>
      <c r="J5319">
        <v>-187.76169999999999</v>
      </c>
      <c r="K5319">
        <v>1.1092660000000001</v>
      </c>
      <c r="L5319">
        <v>2.6334529999999998</v>
      </c>
      <c r="M5319">
        <v>-4.8137949999999999E-2</v>
      </c>
      <c r="N5319">
        <v>0</v>
      </c>
      <c r="O5319">
        <v>0.99883480000000002</v>
      </c>
      <c r="P5319">
        <v>-0.1119376</v>
      </c>
      <c r="Q5319">
        <v>4.4549730000000003E-2</v>
      </c>
      <c r="R5319">
        <v>0.99271609999999999</v>
      </c>
      <c r="S5319">
        <v>-8.2351679999999997E-2</v>
      </c>
      <c r="T5319">
        <v>-0.1189603</v>
      </c>
      <c r="U5319">
        <v>3.0179749999999999</v>
      </c>
      <c r="V5319">
        <v>-6.4077330000000002E-2</v>
      </c>
      <c r="W5319">
        <v>4.7879810000000002E-2</v>
      </c>
      <c r="X5319">
        <v>0.99679569999999995</v>
      </c>
      <c r="Y5319">
        <v>2.0896129999999999E-2</v>
      </c>
      <c r="Z5319">
        <v>-3.9306609999999999E-2</v>
      </c>
      <c r="AA5319">
        <v>0.99900869999999997</v>
      </c>
      <c r="AB5319">
        <v>43</v>
      </c>
      <c r="AC5319">
        <v>-0.74730000000002395</v>
      </c>
      <c r="AD5319">
        <v>-1.1092666351686</v>
      </c>
      <c r="AE5319">
        <v>27.715297</v>
      </c>
      <c r="AF5319">
        <v>0.58679250251009496</v>
      </c>
      <c r="AG5319">
        <v>-1.1092666351686</v>
      </c>
      <c r="AH5319">
        <v>27.674840037037701</v>
      </c>
      <c r="AI5319">
        <v>92.294793189910905</v>
      </c>
      <c r="AJ5319">
        <v>88.785333651494398</v>
      </c>
      <c r="AK5319">
        <v>27.703277224626699</v>
      </c>
    </row>
    <row r="5320" spans="1:37" x14ac:dyDescent="0.2">
      <c r="A5320" t="str">
        <f>"20200111154205870"</f>
        <v>20200111154205870</v>
      </c>
      <c r="B5320" t="str">
        <f>"1578728525861240"</f>
        <v>1578728525861240</v>
      </c>
      <c r="C5320" t="s">
        <v>37</v>
      </c>
      <c r="D5320">
        <v>5.048959</v>
      </c>
      <c r="E5320">
        <v>0.53107309999999996</v>
      </c>
      <c r="F5320" t="s">
        <v>39</v>
      </c>
      <c r="G5320">
        <v>-188.53579999999999</v>
      </c>
      <c r="H5320" s="1">
        <v>-7.6157340000000001E-7</v>
      </c>
      <c r="I5320">
        <v>30.74118</v>
      </c>
      <c r="J5320">
        <v>-187.7841</v>
      </c>
      <c r="K5320">
        <v>1.1092109999999999</v>
      </c>
      <c r="L5320">
        <v>3.0948180000000001</v>
      </c>
      <c r="M5320">
        <v>-4.8430170000000002E-2</v>
      </c>
      <c r="N5320">
        <v>0</v>
      </c>
      <c r="O5320">
        <v>0.99882070000000001</v>
      </c>
      <c r="P5320">
        <v>-0.112965</v>
      </c>
      <c r="Q5320">
        <v>4.4900130000000003E-2</v>
      </c>
      <c r="R5320">
        <v>0.99258389999999996</v>
      </c>
      <c r="S5320">
        <v>-8.311462E-2</v>
      </c>
      <c r="T5320">
        <v>-0.1191038</v>
      </c>
      <c r="U5320">
        <v>3.0179749999999999</v>
      </c>
      <c r="V5320">
        <v>-6.4812400000000006E-2</v>
      </c>
      <c r="W5320">
        <v>4.8256069999999998E-2</v>
      </c>
      <c r="X5320">
        <v>0.99672999999999901</v>
      </c>
      <c r="Y5320">
        <v>2.093633E-2</v>
      </c>
      <c r="Z5320">
        <v>-3.9352989999999997E-2</v>
      </c>
      <c r="AA5320">
        <v>0.99900599999999995</v>
      </c>
      <c r="AB5320">
        <v>43</v>
      </c>
      <c r="AC5320">
        <v>-0.75169999999999904</v>
      </c>
      <c r="AD5320">
        <v>-1.1092117615733901</v>
      </c>
      <c r="AE5320">
        <v>27.646362</v>
      </c>
      <c r="AF5320">
        <v>0.58716346377798201</v>
      </c>
      <c r="AG5320">
        <v>-1.1092117615733901</v>
      </c>
      <c r="AH5320">
        <v>27.605920503158199</v>
      </c>
      <c r="AI5320">
        <v>92.300399187880799</v>
      </c>
      <c r="AJ5320">
        <v>88.781532511297897</v>
      </c>
      <c r="AK5320">
        <v>27.634434289340899</v>
      </c>
    </row>
    <row r="5321" spans="1:37" x14ac:dyDescent="0.2">
      <c r="A5321" t="str">
        <f>"20200111154205893"</f>
        <v>20200111154205893</v>
      </c>
      <c r="B5321" t="str">
        <f>"1578728525881735"</f>
        <v>1578728525881735</v>
      </c>
      <c r="C5321" t="s">
        <v>37</v>
      </c>
      <c r="D5321">
        <v>5.0491209999999898</v>
      </c>
      <c r="E5321">
        <v>0.53131729999999999</v>
      </c>
      <c r="F5321" t="s">
        <v>39</v>
      </c>
      <c r="G5321">
        <v>-188.589</v>
      </c>
      <c r="H5321" s="1">
        <v>-1.104164E-6</v>
      </c>
      <c r="I5321">
        <v>31.623159999999999</v>
      </c>
      <c r="J5321">
        <v>-187.8049</v>
      </c>
      <c r="K5321">
        <v>1.109154</v>
      </c>
      <c r="L5321">
        <v>3.5202640000000001</v>
      </c>
      <c r="M5321">
        <v>-4.8652479999999998E-2</v>
      </c>
      <c r="N5321">
        <v>0</v>
      </c>
      <c r="O5321">
        <v>0.99880979999999997</v>
      </c>
      <c r="P5321">
        <v>-0.11373699999999901</v>
      </c>
      <c r="Q5321">
        <v>4.4617610000000002E-2</v>
      </c>
      <c r="R5321">
        <v>0.99250849999999902</v>
      </c>
      <c r="S5321">
        <v>-8.5144040000000004E-2</v>
      </c>
      <c r="T5321">
        <v>-0.1173444</v>
      </c>
      <c r="U5321">
        <v>3.0180359999999999</v>
      </c>
      <c r="V5321">
        <v>-6.5359760000000003E-2</v>
      </c>
      <c r="W5321">
        <v>4.7997449999999997E-2</v>
      </c>
      <c r="X5321">
        <v>0.99670669999999995</v>
      </c>
      <c r="Y5321">
        <v>2.0487519999999999E-2</v>
      </c>
      <c r="Z5321">
        <v>-3.8770939999999997E-2</v>
      </c>
      <c r="AA5321">
        <v>0.99903809999999904</v>
      </c>
      <c r="AB5321">
        <v>43</v>
      </c>
      <c r="AC5321">
        <v>-0.784100000000023</v>
      </c>
      <c r="AD5321">
        <v>-1.109155104164</v>
      </c>
      <c r="AE5321">
        <v>28.102896000000001</v>
      </c>
      <c r="AF5321">
        <v>0.58320455447279596</v>
      </c>
      <c r="AG5321">
        <v>-1.109155104164</v>
      </c>
      <c r="AH5321">
        <v>28.064082584862401</v>
      </c>
      <c r="AI5321">
        <v>92.262790961073705</v>
      </c>
      <c r="AJ5321">
        <v>88.809497851311704</v>
      </c>
      <c r="AK5321">
        <v>28.092046631162901</v>
      </c>
    </row>
    <row r="5322" spans="1:37" x14ac:dyDescent="0.2">
      <c r="A5322" t="str">
        <f>"20200111154205915"</f>
        <v>20200111154205915</v>
      </c>
      <c r="B5322" t="str">
        <f>"1578728525911014"</f>
        <v>1578728525911014</v>
      </c>
      <c r="C5322" t="s">
        <v>37</v>
      </c>
      <c r="D5322">
        <v>5.0445159999999998</v>
      </c>
      <c r="E5322">
        <v>0.53153869999999903</v>
      </c>
      <c r="F5322" t="s">
        <v>39</v>
      </c>
      <c r="G5322">
        <v>-188.6062</v>
      </c>
      <c r="H5322" s="1">
        <v>-1.200118E-6</v>
      </c>
      <c r="I5322">
        <v>31.853959999999901</v>
      </c>
      <c r="J5322">
        <v>-187.82740000000001</v>
      </c>
      <c r="K5322">
        <v>1.109092</v>
      </c>
      <c r="L5322">
        <v>3.979797</v>
      </c>
      <c r="M5322">
        <v>-4.8840469999999997E-2</v>
      </c>
      <c r="N5322">
        <v>0</v>
      </c>
      <c r="O5322">
        <v>0.99880059999999904</v>
      </c>
      <c r="P5322">
        <v>-0.11513279999999999</v>
      </c>
      <c r="Q5322">
        <v>4.3847110000000002E-2</v>
      </c>
      <c r="R5322">
        <v>0.99238189999999904</v>
      </c>
      <c r="S5322">
        <v>-8.5357669999999997E-2</v>
      </c>
      <c r="T5322">
        <v>-0.118150399999999</v>
      </c>
      <c r="U5322">
        <v>3.0181879999999999</v>
      </c>
      <c r="V5322">
        <v>-6.6565940000000004E-2</v>
      </c>
      <c r="W5322">
        <v>4.7253009999999998E-2</v>
      </c>
      <c r="X5322">
        <v>0.99666250000000001</v>
      </c>
      <c r="Y5322">
        <v>2.0606759999999998E-2</v>
      </c>
      <c r="Z5322">
        <v>-3.903425E-2</v>
      </c>
      <c r="AA5322">
        <v>0.9990253</v>
      </c>
      <c r="AB5322">
        <v>43</v>
      </c>
      <c r="AC5322">
        <v>-0.77879999999998895</v>
      </c>
      <c r="AD5322">
        <v>-1.1090932001180001</v>
      </c>
      <c r="AE5322">
        <v>27.874162999999999</v>
      </c>
      <c r="AF5322">
        <v>0.58260315618897895</v>
      </c>
      <c r="AG5322">
        <v>-1.1090932001180001</v>
      </c>
      <c r="AH5322">
        <v>27.8349010422669</v>
      </c>
      <c r="AI5322">
        <v>92.281267981863394</v>
      </c>
      <c r="AJ5322">
        <v>88.800935969066103</v>
      </c>
      <c r="AK5322">
        <v>27.863080055818301</v>
      </c>
    </row>
    <row r="5323" spans="1:37" x14ac:dyDescent="0.2">
      <c r="A5323" t="str">
        <f>"20200111154205938"</f>
        <v>20200111154205938</v>
      </c>
      <c r="B5323" t="str">
        <f>"1578728525931510"</f>
        <v>1578728525931510</v>
      </c>
      <c r="C5323" t="s">
        <v>37</v>
      </c>
      <c r="D5323">
        <v>5.0476049999999999</v>
      </c>
      <c r="E5323">
        <v>0.5316999</v>
      </c>
      <c r="F5323" t="s">
        <v>39</v>
      </c>
      <c r="G5323">
        <v>-188.63149999999999</v>
      </c>
      <c r="H5323" s="1">
        <v>-1.1021729999999999E-6</v>
      </c>
      <c r="I5323">
        <v>31.636109999999999</v>
      </c>
      <c r="J5323">
        <v>-187.8485</v>
      </c>
      <c r="K5323">
        <v>1.109038</v>
      </c>
      <c r="L5323">
        <v>4.4102169999999896</v>
      </c>
      <c r="M5323">
        <v>-4.896934E-2</v>
      </c>
      <c r="N5323">
        <v>0</v>
      </c>
      <c r="O5323">
        <v>0.99879419999999897</v>
      </c>
      <c r="P5323">
        <v>-0.11649229999999999</v>
      </c>
      <c r="Q5323">
        <v>4.29953E-2</v>
      </c>
      <c r="R5323">
        <v>0.99226049999999999</v>
      </c>
      <c r="S5323">
        <v>-8.7753300000000006E-2</v>
      </c>
      <c r="T5323">
        <v>-0.12103750000000001</v>
      </c>
      <c r="U5323">
        <v>3.0181879999999999</v>
      </c>
      <c r="V5323">
        <v>-6.7794640000000003E-2</v>
      </c>
      <c r="W5323">
        <v>4.6426120000000001E-2</v>
      </c>
      <c r="X5323">
        <v>0.99661849999999996</v>
      </c>
      <c r="Y5323">
        <v>1.994454E-2</v>
      </c>
      <c r="Z5323">
        <v>-3.9986000000000001E-2</v>
      </c>
      <c r="AA5323">
        <v>0.99900109999999998</v>
      </c>
      <c r="AB5323">
        <v>44</v>
      </c>
      <c r="AC5323">
        <v>-0.78299999999998704</v>
      </c>
      <c r="AD5323">
        <v>-1.1090391021729999</v>
      </c>
      <c r="AE5323">
        <v>27.225892999999999</v>
      </c>
      <c r="AF5323">
        <v>0.55026918428187699</v>
      </c>
      <c r="AG5323">
        <v>-1.1090391021729999</v>
      </c>
      <c r="AH5323">
        <v>27.1864986928564</v>
      </c>
      <c r="AI5323">
        <v>92.335536366907206</v>
      </c>
      <c r="AJ5323">
        <v>88.840461296568506</v>
      </c>
      <c r="AK5323">
        <v>27.214673892626401</v>
      </c>
    </row>
    <row r="5324" spans="1:37" x14ac:dyDescent="0.2">
      <c r="A5324" t="str">
        <f>"20200111154205958"</f>
        <v>20200111154205958</v>
      </c>
      <c r="B5324" t="str">
        <f>"1578728525951030"</f>
        <v>1578728525951030</v>
      </c>
      <c r="C5324" t="s">
        <v>37</v>
      </c>
      <c r="D5324">
        <v>5.0295370000000004</v>
      </c>
      <c r="E5324">
        <v>0.53183610000000003</v>
      </c>
      <c r="F5324" t="s">
        <v>39</v>
      </c>
      <c r="G5324">
        <v>-188.65430000000001</v>
      </c>
      <c r="H5324" s="1">
        <v>-9.3896349999999998E-7</v>
      </c>
      <c r="I5324">
        <v>31.2651</v>
      </c>
      <c r="J5324">
        <v>-187.86859999999999</v>
      </c>
      <c r="K5324">
        <v>1.1089850000000001</v>
      </c>
      <c r="L5324">
        <v>4.818085</v>
      </c>
      <c r="M5324">
        <v>-4.9056179999999998E-2</v>
      </c>
      <c r="N5324">
        <v>0</v>
      </c>
      <c r="O5324">
        <v>0.99878979999999995</v>
      </c>
      <c r="P5324">
        <v>-0.11695469999999999</v>
      </c>
      <c r="Q5324">
        <v>4.288757E-2</v>
      </c>
      <c r="R5324">
        <v>0.99221079999999995</v>
      </c>
      <c r="S5324">
        <v>-9.0560909999999994E-2</v>
      </c>
      <c r="T5324">
        <v>-0.1246423</v>
      </c>
      <c r="U5324">
        <v>3.0181580000000001</v>
      </c>
      <c r="V5324">
        <v>-6.8166999999999894E-2</v>
      </c>
      <c r="W5324">
        <v>4.6342759999999997E-2</v>
      </c>
      <c r="X5324">
        <v>0.99659699999999996</v>
      </c>
      <c r="Y5324">
        <v>1.9104119999999999E-2</v>
      </c>
      <c r="Z5324">
        <v>-4.1174809999999999E-2</v>
      </c>
      <c r="AA5324">
        <v>0.99896929999999995</v>
      </c>
      <c r="AB5324">
        <v>44</v>
      </c>
      <c r="AC5324">
        <v>-0.78570000000001905</v>
      </c>
      <c r="AD5324">
        <v>-1.1089859389635</v>
      </c>
      <c r="AE5324">
        <v>26.447015</v>
      </c>
      <c r="AF5324">
        <v>0.51174454871735797</v>
      </c>
      <c r="AG5324">
        <v>-1.1089859389635</v>
      </c>
      <c r="AH5324">
        <v>26.4073249562055</v>
      </c>
      <c r="AI5324">
        <v>92.404294768452303</v>
      </c>
      <c r="AJ5324">
        <v>88.889810561441294</v>
      </c>
      <c r="AK5324">
        <v>26.435554536241401</v>
      </c>
    </row>
    <row r="5325" spans="1:37" x14ac:dyDescent="0.2">
      <c r="A5325" t="str">
        <f>"20200111154205982"</f>
        <v>20200111154205982</v>
      </c>
      <c r="B5325" t="str">
        <f>"1578728525971526"</f>
        <v>1578728525971526</v>
      </c>
      <c r="C5325" t="s">
        <v>37</v>
      </c>
      <c r="D5325">
        <v>5.0888479999999996</v>
      </c>
      <c r="E5325">
        <v>0.532157199999999</v>
      </c>
      <c r="F5325" t="s">
        <v>39</v>
      </c>
      <c r="G5325">
        <v>-188.6748</v>
      </c>
      <c r="H5325" s="1">
        <v>-1.0430100000000001E-6</v>
      </c>
      <c r="I5325">
        <v>31.516100000000002</v>
      </c>
      <c r="J5325">
        <v>-187.8905</v>
      </c>
      <c r="K5325">
        <v>1.108935</v>
      </c>
      <c r="L5325">
        <v>5.2629700000000001</v>
      </c>
      <c r="M5325">
        <v>-4.9122730000000003E-2</v>
      </c>
      <c r="N5325">
        <v>0</v>
      </c>
      <c r="O5325">
        <v>0.99878650000000002</v>
      </c>
      <c r="P5325">
        <v>-0.1169388</v>
      </c>
      <c r="Q5325">
        <v>4.2065030000000003E-2</v>
      </c>
      <c r="R5325">
        <v>0.99224789999999996</v>
      </c>
      <c r="S5325">
        <v>-9.1140750000000006E-2</v>
      </c>
      <c r="T5325">
        <v>-0.12537119999999999</v>
      </c>
      <c r="U5325">
        <v>3.01821899999999</v>
      </c>
      <c r="V5325">
        <v>-6.8077789999999999E-2</v>
      </c>
      <c r="W5325">
        <v>4.554681E-2</v>
      </c>
      <c r="X5325">
        <v>0.99663979999999996</v>
      </c>
      <c r="Y5325">
        <v>1.8979920000000001E-2</v>
      </c>
      <c r="Z5325">
        <v>-4.1414099999999898E-2</v>
      </c>
      <c r="AA5325">
        <v>0.99896180000000001</v>
      </c>
      <c r="AB5325">
        <v>44</v>
      </c>
      <c r="AC5325">
        <v>-0.784300000000001</v>
      </c>
      <c r="AD5325">
        <v>-1.1089360430099999</v>
      </c>
      <c r="AE5325">
        <v>26.253129999999999</v>
      </c>
      <c r="AF5325">
        <v>0.50537941608274795</v>
      </c>
      <c r="AG5325">
        <v>-1.1089360430099999</v>
      </c>
      <c r="AH5325">
        <v>26.213233977968301</v>
      </c>
      <c r="AI5325">
        <v>92.421971593002496</v>
      </c>
      <c r="AJ5325">
        <v>88.895499855307406</v>
      </c>
      <c r="AK5325">
        <v>26.241546888196101</v>
      </c>
    </row>
    <row r="5326" spans="1:37" x14ac:dyDescent="0.2">
      <c r="A5326" t="str">
        <f>"20200111154206002"</f>
        <v>20200111154206002</v>
      </c>
      <c r="B5326" t="str">
        <f>"1578728525991048"</f>
        <v>1578728525991048</v>
      </c>
      <c r="C5326" t="s">
        <v>37</v>
      </c>
      <c r="D5326">
        <v>5.0032870000000003</v>
      </c>
      <c r="E5326">
        <v>0.53224959999999999</v>
      </c>
      <c r="F5326" t="s">
        <v>39</v>
      </c>
      <c r="G5326">
        <v>-188.6611</v>
      </c>
      <c r="H5326" s="1">
        <v>-1.0723990000000001E-6</v>
      </c>
      <c r="I5326">
        <v>31.578959999999999</v>
      </c>
      <c r="J5326">
        <v>-187.91149999999999</v>
      </c>
      <c r="K5326">
        <v>1.108897</v>
      </c>
      <c r="L5326">
        <v>5.6883850000000002</v>
      </c>
      <c r="M5326">
        <v>-4.9165159999999999E-2</v>
      </c>
      <c r="N5326">
        <v>0</v>
      </c>
      <c r="O5326">
        <v>0.99878440000000002</v>
      </c>
      <c r="P5326">
        <v>-0.1167453</v>
      </c>
      <c r="Q5326">
        <v>4.2231440000000002E-2</v>
      </c>
      <c r="R5326">
        <v>0.99226360000000002</v>
      </c>
      <c r="S5326">
        <v>-8.8394169999999994E-2</v>
      </c>
      <c r="T5326">
        <v>-0.12719320000000001</v>
      </c>
      <c r="U5326">
        <v>3.018402</v>
      </c>
      <c r="V5326">
        <v>-6.7837679999999997E-2</v>
      </c>
      <c r="W5326">
        <v>4.5737819999999998E-2</v>
      </c>
      <c r="X5326">
        <v>0.99664739999999996</v>
      </c>
      <c r="Y5326">
        <v>1.9933139999999998E-2</v>
      </c>
      <c r="Z5326">
        <v>-4.2012389999999997E-2</v>
      </c>
      <c r="AA5326">
        <v>0.99891819999999898</v>
      </c>
      <c r="AB5326">
        <v>44</v>
      </c>
      <c r="AC5326">
        <v>-0.74960000000001503</v>
      </c>
      <c r="AD5326">
        <v>-1.1088980723989901</v>
      </c>
      <c r="AE5326">
        <v>25.890574999999998</v>
      </c>
      <c r="AF5326">
        <v>0.52326966024834998</v>
      </c>
      <c r="AG5326">
        <v>-1.1088980723989901</v>
      </c>
      <c r="AH5326">
        <v>25.848740742192501</v>
      </c>
      <c r="AI5326">
        <v>92.455951591096806</v>
      </c>
      <c r="AJ5326">
        <v>88.840289785971393</v>
      </c>
      <c r="AK5326">
        <v>25.877806399101701</v>
      </c>
    </row>
    <row r="5327" spans="1:37" x14ac:dyDescent="0.2">
      <c r="A5327" t="str">
        <f>"20200111154206026"</f>
        <v>20200111154206026</v>
      </c>
      <c r="B5327" t="str">
        <f>"1578728526021303"</f>
        <v>1578728526021303</v>
      </c>
      <c r="C5327" t="s">
        <v>37</v>
      </c>
      <c r="D5327">
        <v>5.0067680000000001</v>
      </c>
      <c r="E5327">
        <v>0.53258240000000001</v>
      </c>
      <c r="F5327" t="s">
        <v>39</v>
      </c>
      <c r="G5327">
        <v>-188.6711</v>
      </c>
      <c r="H5327" s="1">
        <v>-1.2992720000000001E-6</v>
      </c>
      <c r="I5327">
        <v>32.111909999999902</v>
      </c>
      <c r="J5327">
        <v>-187.93350000000001</v>
      </c>
      <c r="K5327">
        <v>1.1088659999999999</v>
      </c>
      <c r="L5327">
        <v>6.1356510000000002</v>
      </c>
      <c r="M5327">
        <v>-4.9185960000000001E-2</v>
      </c>
      <c r="N5327">
        <v>0</v>
      </c>
      <c r="O5327">
        <v>0.99878330000000004</v>
      </c>
      <c r="P5327">
        <v>-0.1162053</v>
      </c>
      <c r="Q5327">
        <v>4.2479629999999997E-2</v>
      </c>
      <c r="R5327">
        <v>0.99231639999999999</v>
      </c>
      <c r="S5327">
        <v>-8.6776729999999996E-2</v>
      </c>
      <c r="T5327">
        <v>-0.12667890000000001</v>
      </c>
      <c r="U5327">
        <v>3.0185849999999999</v>
      </c>
      <c r="V5327">
        <v>-6.7271280000000003E-2</v>
      </c>
      <c r="W5327">
        <v>4.6011709999999997E-2</v>
      </c>
      <c r="X5327">
        <v>0.99667320000000004</v>
      </c>
      <c r="Y5327">
        <v>2.0490330000000001E-2</v>
      </c>
      <c r="Z5327">
        <v>-4.1840330000000002E-2</v>
      </c>
      <c r="AA5327">
        <v>0.99891419999999997</v>
      </c>
      <c r="AB5327">
        <v>44</v>
      </c>
      <c r="AC5327">
        <v>-0.73759999999998604</v>
      </c>
      <c r="AD5327">
        <v>-1.1088672992719999</v>
      </c>
      <c r="AE5327">
        <v>25.976258999999899</v>
      </c>
      <c r="AF5327">
        <v>0.53998490845221103</v>
      </c>
      <c r="AG5327">
        <v>-1.1088672992719999</v>
      </c>
      <c r="AH5327">
        <v>25.933878006326701</v>
      </c>
      <c r="AI5327">
        <v>92.447802016367007</v>
      </c>
      <c r="AJ5327">
        <v>88.807182391242904</v>
      </c>
      <c r="AK5327">
        <v>25.963189304008601</v>
      </c>
    </row>
    <row r="5328" spans="1:37" x14ac:dyDescent="0.2">
      <c r="A5328" t="str">
        <f>"20200111154206048"</f>
        <v>20200111154206048</v>
      </c>
      <c r="B5328" t="str">
        <f>"1578728526040823"</f>
        <v>1578728526040823</v>
      </c>
      <c r="C5328" t="s">
        <v>37</v>
      </c>
      <c r="D5328">
        <v>5.0441919999999998</v>
      </c>
      <c r="E5328">
        <v>0.53278009999999998</v>
      </c>
      <c r="F5328" t="s">
        <v>39</v>
      </c>
      <c r="G5328">
        <v>-188.66659999999999</v>
      </c>
      <c r="H5328" s="1">
        <v>-1.694761E-6</v>
      </c>
      <c r="I5328">
        <v>33.031970000000001</v>
      </c>
      <c r="J5328">
        <v>-187.9562</v>
      </c>
      <c r="K5328">
        <v>1.10883</v>
      </c>
      <c r="L5328">
        <v>6.5962519999999998</v>
      </c>
      <c r="M5328">
        <v>-4.9179019999999997E-2</v>
      </c>
      <c r="N5328">
        <v>0</v>
      </c>
      <c r="O5328">
        <v>0.99878349999999905</v>
      </c>
      <c r="P5328">
        <v>-0.1158686</v>
      </c>
      <c r="Q5328">
        <v>4.3246729999999997E-2</v>
      </c>
      <c r="R5328">
        <v>0.99232260000000005</v>
      </c>
      <c r="S5328">
        <v>-8.2290650000000007E-2</v>
      </c>
      <c r="T5328">
        <v>-0.1244625</v>
      </c>
      <c r="U5328">
        <v>3.01892099999999</v>
      </c>
      <c r="V5328">
        <v>-6.6938040000000004E-2</v>
      </c>
      <c r="W5328">
        <v>4.6805260000000001E-2</v>
      </c>
      <c r="X5328">
        <v>0.99665870000000001</v>
      </c>
      <c r="Y5328">
        <v>2.1968919999999999E-2</v>
      </c>
      <c r="Z5328">
        <v>-4.1105179999999998E-2</v>
      </c>
      <c r="AA5328">
        <v>0.9989133</v>
      </c>
      <c r="AB5328">
        <v>45</v>
      </c>
      <c r="AC5328">
        <v>-0.71039999999999204</v>
      </c>
      <c r="AD5328">
        <v>-1.108831694761</v>
      </c>
      <c r="AE5328">
        <v>26.435718000000001</v>
      </c>
      <c r="AF5328">
        <v>0.58951432199084297</v>
      </c>
      <c r="AG5328">
        <v>-1.108831694761</v>
      </c>
      <c r="AH5328">
        <v>26.392267451855599</v>
      </c>
      <c r="AI5328">
        <v>92.405182526077496</v>
      </c>
      <c r="AJ5328">
        <v>88.720418129637096</v>
      </c>
      <c r="AK5328">
        <v>26.422127395677599</v>
      </c>
    </row>
    <row r="5329" spans="1:37" x14ac:dyDescent="0.2">
      <c r="A5329" t="str">
        <f>"20200111154206070"</f>
        <v>20200111154206070</v>
      </c>
      <c r="B5329" t="str">
        <f>"1578728526061318"</f>
        <v>1578728526061318</v>
      </c>
      <c r="C5329" t="s">
        <v>37</v>
      </c>
      <c r="D5329">
        <v>5.052664</v>
      </c>
      <c r="E5329">
        <v>0.53289909999999996</v>
      </c>
      <c r="F5329" t="s">
        <v>39</v>
      </c>
      <c r="G5329">
        <v>-188.68039999999999</v>
      </c>
      <c r="H5329" s="1">
        <v>-2.1265369999999998E-6</v>
      </c>
      <c r="I5329">
        <v>34.044159999999998</v>
      </c>
      <c r="J5329">
        <v>-187.97799999999901</v>
      </c>
      <c r="K5329">
        <v>1.108789</v>
      </c>
      <c r="L5329">
        <v>7.038513</v>
      </c>
      <c r="M5329">
        <v>-4.9146670000000003E-2</v>
      </c>
      <c r="N5329">
        <v>0</v>
      </c>
      <c r="O5329">
        <v>0.99878509999999998</v>
      </c>
      <c r="P5329">
        <v>-0.11543679999999901</v>
      </c>
      <c r="Q5329">
        <v>4.3964240000000002E-2</v>
      </c>
      <c r="R5329">
        <v>0.99234140000000004</v>
      </c>
      <c r="S5329">
        <v>-7.9666139999999996E-2</v>
      </c>
      <c r="T5329">
        <v>-0.1219698</v>
      </c>
      <c r="U5329">
        <v>3.01922599999999</v>
      </c>
      <c r="V5329">
        <v>-6.6533640000000005E-2</v>
      </c>
      <c r="W5329">
        <v>4.7547829999999999E-2</v>
      </c>
      <c r="X5329">
        <v>0.99665059999999905</v>
      </c>
      <c r="Y5329">
        <v>2.2806099999999999E-2</v>
      </c>
      <c r="Z5329">
        <v>-4.0279420000000003E-2</v>
      </c>
      <c r="AA5329">
        <v>0.99892809999999899</v>
      </c>
      <c r="AB5329">
        <v>45</v>
      </c>
      <c r="AC5329">
        <v>-0.70240000000001102</v>
      </c>
      <c r="AD5329">
        <v>-1.1087911265369901</v>
      </c>
      <c r="AE5329">
        <v>27.0056469999999</v>
      </c>
      <c r="AF5329">
        <v>0.62464273905742296</v>
      </c>
      <c r="AG5329">
        <v>-1.1087911265369901</v>
      </c>
      <c r="AH5329">
        <v>26.9621126930932</v>
      </c>
      <c r="AI5329">
        <v>92.354276255141798</v>
      </c>
      <c r="AJ5329">
        <v>88.672841700334104</v>
      </c>
      <c r="AK5329">
        <v>26.992130653003301</v>
      </c>
    </row>
    <row r="5330" spans="1:37" x14ac:dyDescent="0.2">
      <c r="A5330" t="str">
        <f>"20200111154206092"</f>
        <v>20200111154206092</v>
      </c>
      <c r="B5330" t="str">
        <f>"1578728526080839"</f>
        <v>1578728526080839</v>
      </c>
      <c r="C5330" t="s">
        <v>37</v>
      </c>
      <c r="D5330">
        <v>5.0182570000000002</v>
      </c>
      <c r="E5330">
        <v>0.53299649999999998</v>
      </c>
      <c r="F5330" t="s">
        <v>39</v>
      </c>
      <c r="G5330">
        <v>-188.69669999999999</v>
      </c>
      <c r="H5330" s="1">
        <v>-2.5633730000000002E-6</v>
      </c>
      <c r="I5330">
        <v>35.069159999999997</v>
      </c>
      <c r="J5330">
        <v>-187.99950000000001</v>
      </c>
      <c r="K5330">
        <v>1.1087480000000001</v>
      </c>
      <c r="L5330">
        <v>7.4761049999999996</v>
      </c>
      <c r="M5330">
        <v>-4.9085219999999999E-2</v>
      </c>
      <c r="N5330">
        <v>0</v>
      </c>
      <c r="O5330">
        <v>0.99878799999999901</v>
      </c>
      <c r="P5330">
        <v>-0.1156581</v>
      </c>
      <c r="Q5330">
        <v>4.3320450000000003E-2</v>
      </c>
      <c r="R5330">
        <v>0.992344</v>
      </c>
      <c r="S5330">
        <v>-7.7423099999999995E-2</v>
      </c>
      <c r="T5330">
        <v>-0.11943819999999999</v>
      </c>
      <c r="U5330">
        <v>3.0194399999999999</v>
      </c>
      <c r="V5330">
        <v>-6.6811700000000002E-2</v>
      </c>
      <c r="W5330">
        <v>4.6930069999999997E-2</v>
      </c>
      <c r="X5330">
        <v>0.99666129999999997</v>
      </c>
      <c r="Y5330">
        <v>2.348716E-2</v>
      </c>
      <c r="Z5330">
        <v>-3.9442150000000002E-2</v>
      </c>
      <c r="AA5330">
        <v>0.99894579999999999</v>
      </c>
      <c r="AB5330">
        <v>45</v>
      </c>
      <c r="AC5330">
        <v>-0.69719999999998095</v>
      </c>
      <c r="AD5330">
        <v>-1.1087505633729999</v>
      </c>
      <c r="AE5330">
        <v>27.593055</v>
      </c>
      <c r="AF5330">
        <v>0.65700039182870795</v>
      </c>
      <c r="AG5330">
        <v>-1.1087505633729999</v>
      </c>
      <c r="AH5330">
        <v>27.5495627010656</v>
      </c>
      <c r="AI5330">
        <v>92.304008804690895</v>
      </c>
      <c r="AJ5330">
        <v>88.6338724791147</v>
      </c>
      <c r="AK5330">
        <v>27.579691483890599</v>
      </c>
    </row>
    <row r="5331" spans="1:37" x14ac:dyDescent="0.2">
      <c r="A5331" t="str">
        <f>"20200111154206116"</f>
        <v>20200111154206116</v>
      </c>
      <c r="B5331" t="str">
        <f>"1578728526111094"</f>
        <v>1578728526111094</v>
      </c>
      <c r="C5331" t="s">
        <v>37</v>
      </c>
      <c r="D5331">
        <v>5.0246110000000002</v>
      </c>
      <c r="E5331">
        <v>0.53319640000000001</v>
      </c>
      <c r="F5331" t="s">
        <v>39</v>
      </c>
      <c r="G5331">
        <v>-188.70269999999999</v>
      </c>
      <c r="H5331" s="1">
        <v>-2.5411149999999999E-6</v>
      </c>
      <c r="I5331">
        <v>35.019750000000002</v>
      </c>
      <c r="J5331">
        <v>-188.02260000000001</v>
      </c>
      <c r="K5331">
        <v>1.108697</v>
      </c>
      <c r="L5331">
        <v>7.9476929999999903</v>
      </c>
      <c r="M5331">
        <v>-4.897986E-2</v>
      </c>
      <c r="N5331">
        <v>0</v>
      </c>
      <c r="O5331">
        <v>0.99879309999999999</v>
      </c>
      <c r="P5331">
        <v>-0.1158961</v>
      </c>
      <c r="Q5331">
        <v>4.3415210000000003E-2</v>
      </c>
      <c r="R5331">
        <v>0.99231209999999903</v>
      </c>
      <c r="S5331">
        <v>-7.7087399999999903E-2</v>
      </c>
      <c r="T5331">
        <v>-0.12154669999999999</v>
      </c>
      <c r="U5331">
        <v>3.0194700000000001</v>
      </c>
      <c r="V5331">
        <v>-6.715111E-2</v>
      </c>
      <c r="W5331">
        <v>4.7052950000000003E-2</v>
      </c>
      <c r="X5331">
        <v>0.99663269999999904</v>
      </c>
      <c r="Y5331">
        <v>2.349366E-2</v>
      </c>
      <c r="Z5331">
        <v>-4.0137310000000002E-2</v>
      </c>
      <c r="AA5331">
        <v>0.99891790000000003</v>
      </c>
      <c r="AB5331">
        <v>45</v>
      </c>
      <c r="AC5331">
        <v>-0.68009999999998105</v>
      </c>
      <c r="AD5331">
        <v>-1.108699541115</v>
      </c>
      <c r="AE5331">
        <v>27.072057000000001</v>
      </c>
      <c r="AF5331">
        <v>0.64562851439966495</v>
      </c>
      <c r="AG5331">
        <v>-1.108699541115</v>
      </c>
      <c r="AH5331">
        <v>27.027573104772401</v>
      </c>
      <c r="AI5331">
        <v>92.348347115339706</v>
      </c>
      <c r="AJ5331">
        <v>88.631591703840101</v>
      </c>
      <c r="AK5331">
        <v>27.0580072951592</v>
      </c>
    </row>
    <row r="5332" spans="1:37" x14ac:dyDescent="0.2">
      <c r="A5332" t="str">
        <f>"20200111154206137"</f>
        <v>20200111154206137</v>
      </c>
      <c r="B5332" t="str">
        <f>"1578728526131590"</f>
        <v>1578728526131590</v>
      </c>
      <c r="C5332" t="s">
        <v>37</v>
      </c>
      <c r="D5332">
        <v>5.0428459999999999</v>
      </c>
      <c r="E5332">
        <v>0.53328969999999998</v>
      </c>
      <c r="F5332" t="s">
        <v>39</v>
      </c>
      <c r="G5332">
        <v>-188.71799999999999</v>
      </c>
      <c r="H5332" s="1">
        <v>-2.725376E-6</v>
      </c>
      <c r="I5332">
        <v>35.455620000000003</v>
      </c>
      <c r="J5332">
        <v>-188.0438</v>
      </c>
      <c r="K5332">
        <v>1.108649</v>
      </c>
      <c r="L5332">
        <v>8.3815309999999901</v>
      </c>
      <c r="M5332">
        <v>-4.8843419999999999E-2</v>
      </c>
      <c r="N5332">
        <v>0</v>
      </c>
      <c r="O5332">
        <v>0.99879969999999996</v>
      </c>
      <c r="P5332">
        <v>-0.11554689999999999</v>
      </c>
      <c r="Q5332">
        <v>4.3966989999999997E-2</v>
      </c>
      <c r="R5332">
        <v>0.99232849999999995</v>
      </c>
      <c r="S5332">
        <v>-7.633972E-2</v>
      </c>
      <c r="T5332">
        <v>-0.12170639999999899</v>
      </c>
      <c r="U5332">
        <v>3.0196529999999999</v>
      </c>
      <c r="V5332">
        <v>-6.6932560000000002E-2</v>
      </c>
      <c r="W5332">
        <v>4.7631649999999998E-2</v>
      </c>
      <c r="X5332">
        <v>0.9966199</v>
      </c>
      <c r="Y5332">
        <v>2.3605859999999999E-2</v>
      </c>
      <c r="Z5332">
        <v>-4.0187979999999998E-2</v>
      </c>
      <c r="AA5332">
        <v>0.99891319999999995</v>
      </c>
      <c r="AB5332">
        <v>45</v>
      </c>
      <c r="AC5332">
        <v>-0.67419999999998403</v>
      </c>
      <c r="AD5332">
        <v>-1.108651725376</v>
      </c>
      <c r="AE5332">
        <v>27.074089000000001</v>
      </c>
      <c r="AF5332">
        <v>0.64791895610513806</v>
      </c>
      <c r="AG5332">
        <v>-1.108651725376</v>
      </c>
      <c r="AH5332">
        <v>27.029409721032501</v>
      </c>
      <c r="AI5332">
        <v>92.348081905608694</v>
      </c>
      <c r="AJ5332">
        <v>88.626832248810402</v>
      </c>
      <c r="AK5332">
        <v>27.059894631895801</v>
      </c>
    </row>
    <row r="5333" spans="1:37" x14ac:dyDescent="0.2">
      <c r="A5333" t="str">
        <f>"20200111154206159"</f>
        <v>20200111154206159</v>
      </c>
      <c r="B5333" t="str">
        <f>"1578728526151110"</f>
        <v>1578728526151110</v>
      </c>
      <c r="C5333" t="s">
        <v>37</v>
      </c>
      <c r="D5333">
        <v>5.0292000000000003</v>
      </c>
      <c r="E5333">
        <v>0.53340710000000002</v>
      </c>
      <c r="F5333" t="s">
        <v>39</v>
      </c>
      <c r="G5333">
        <v>-188.733</v>
      </c>
      <c r="H5333" s="1">
        <v>-3.04787399999999E-6</v>
      </c>
      <c r="I5333">
        <v>36.213569999999997</v>
      </c>
      <c r="J5333">
        <v>-188.0667</v>
      </c>
      <c r="K5333">
        <v>1.1086039999999999</v>
      </c>
      <c r="L5333">
        <v>8.8514710000000001</v>
      </c>
      <c r="M5333">
        <v>-4.8652609999999999E-2</v>
      </c>
      <c r="N5333">
        <v>0</v>
      </c>
      <c r="O5333">
        <v>0.99880899999999995</v>
      </c>
      <c r="P5333">
        <v>-0.1152478</v>
      </c>
      <c r="Q5333">
        <v>4.4062940000000002E-2</v>
      </c>
      <c r="R5333">
        <v>0.99235899999999999</v>
      </c>
      <c r="S5333">
        <v>-7.4783329999999995E-2</v>
      </c>
      <c r="T5333">
        <v>-0.12028989999999901</v>
      </c>
      <c r="U5333">
        <v>3.019806</v>
      </c>
      <c r="V5333">
        <v>-6.681716E-2</v>
      </c>
      <c r="W5333">
        <v>4.7756930000000003E-2</v>
      </c>
      <c r="X5333">
        <v>0.99662169999999894</v>
      </c>
      <c r="Y5333">
        <v>2.393021E-2</v>
      </c>
      <c r="Z5333">
        <v>-3.9719659999999997E-2</v>
      </c>
      <c r="AA5333">
        <v>0.99892429999999999</v>
      </c>
      <c r="AB5333">
        <v>45</v>
      </c>
      <c r="AC5333">
        <v>-0.666300000000006</v>
      </c>
      <c r="AD5333">
        <v>-1.108607047874</v>
      </c>
      <c r="AE5333">
        <v>27.362099000000001</v>
      </c>
      <c r="AF5333">
        <v>0.664645182567693</v>
      </c>
      <c r="AG5333">
        <v>-1.108607047874</v>
      </c>
      <c r="AH5333">
        <v>27.317296364521098</v>
      </c>
      <c r="AI5333">
        <v>92.323249947840097</v>
      </c>
      <c r="AJ5333">
        <v>88.606236445455906</v>
      </c>
      <c r="AK5333">
        <v>27.347859943190901</v>
      </c>
    </row>
    <row r="5334" spans="1:37" x14ac:dyDescent="0.2">
      <c r="A5334" t="str">
        <f>"20200111154206181"</f>
        <v>20200111154206181</v>
      </c>
      <c r="B5334" t="str">
        <f>"1578728526171606"</f>
        <v>1578728526171606</v>
      </c>
      <c r="C5334" t="s">
        <v>37</v>
      </c>
      <c r="D5334">
        <v>5.0819789999999996</v>
      </c>
      <c r="E5334">
        <v>0.5335645</v>
      </c>
      <c r="F5334" t="s">
        <v>39</v>
      </c>
      <c r="G5334">
        <v>-188.73830000000001</v>
      </c>
      <c r="H5334" s="1">
        <v>-3.2641549999999998E-6</v>
      </c>
      <c r="I5334">
        <v>36.719909999999999</v>
      </c>
      <c r="J5334">
        <v>-188.08789999999999</v>
      </c>
      <c r="K5334">
        <v>1.1085609999999999</v>
      </c>
      <c r="L5334">
        <v>9.2895199999999996</v>
      </c>
      <c r="M5334">
        <v>-4.8434909999999998E-2</v>
      </c>
      <c r="N5334">
        <v>0</v>
      </c>
      <c r="O5334">
        <v>0.99881949999999997</v>
      </c>
      <c r="P5334">
        <v>-0.1144685</v>
      </c>
      <c r="Q5334">
        <v>4.4603610000000002E-2</v>
      </c>
      <c r="R5334">
        <v>0.992425</v>
      </c>
      <c r="S5334">
        <v>-7.2784420000000002E-2</v>
      </c>
      <c r="T5334">
        <v>-0.1201353</v>
      </c>
      <c r="U5334">
        <v>3.0199889999999998</v>
      </c>
      <c r="V5334">
        <v>-6.6247429999999996E-2</v>
      </c>
      <c r="W5334">
        <v>4.8325130000000001E-2</v>
      </c>
      <c r="X5334">
        <v>0.99663230000000003</v>
      </c>
      <c r="Y5334">
        <v>2.4374549999999998E-2</v>
      </c>
      <c r="Z5334">
        <v>-3.9667029999999999E-2</v>
      </c>
      <c r="AA5334">
        <v>0.99891559999999902</v>
      </c>
      <c r="AB5334">
        <v>45</v>
      </c>
      <c r="AC5334">
        <v>-0.65040000000001896</v>
      </c>
      <c r="AD5334">
        <v>-1.108564264155</v>
      </c>
      <c r="AE5334">
        <v>27.430389999999999</v>
      </c>
      <c r="AF5334">
        <v>0.67785441076071096</v>
      </c>
      <c r="AG5334">
        <v>-1.108564264155</v>
      </c>
      <c r="AH5334">
        <v>27.384995976728199</v>
      </c>
      <c r="AI5334">
        <v>92.317399500847898</v>
      </c>
      <c r="AJ5334">
        <v>88.582060491761794</v>
      </c>
      <c r="AK5334">
        <v>27.415805769215901</v>
      </c>
    </row>
    <row r="5335" spans="1:37" x14ac:dyDescent="0.2">
      <c r="A5335" t="str">
        <f>"20200111154206205"</f>
        <v>20200111154206205</v>
      </c>
      <c r="B5335" t="str">
        <f>"1578728526200886"</f>
        <v>1578728526200886</v>
      </c>
      <c r="C5335" t="s">
        <v>37</v>
      </c>
      <c r="D5335">
        <v>5.2343989999999998</v>
      </c>
      <c r="E5335">
        <v>0.5337499</v>
      </c>
      <c r="F5335" t="s">
        <v>39</v>
      </c>
      <c r="G5335">
        <v>-188.73310000000001</v>
      </c>
      <c r="H5335" s="1">
        <v>-3.5498910000000001E-6</v>
      </c>
      <c r="I5335">
        <v>37.38382</v>
      </c>
      <c r="J5335">
        <v>-188.11070000000001</v>
      </c>
      <c r="K5335">
        <v>1.1085129999999901</v>
      </c>
      <c r="L5335">
        <v>9.7640379999999993</v>
      </c>
      <c r="M5335">
        <v>-4.8161740000000001E-2</v>
      </c>
      <c r="N5335">
        <v>0</v>
      </c>
      <c r="O5335">
        <v>0.99883259999999996</v>
      </c>
      <c r="P5335">
        <v>-0.1137058</v>
      </c>
      <c r="Q5335">
        <v>4.4845360000000001E-2</v>
      </c>
      <c r="R5335">
        <v>0.99250190000000005</v>
      </c>
      <c r="S5335">
        <v>-6.9366460000000005E-2</v>
      </c>
      <c r="T5335">
        <v>-0.1191757</v>
      </c>
      <c r="U5335">
        <v>3.0202640000000001</v>
      </c>
      <c r="V5335">
        <v>-6.5749009999999997E-2</v>
      </c>
      <c r="W5335">
        <v>4.8595180000000002E-2</v>
      </c>
      <c r="X5335">
        <v>0.99665219999999899</v>
      </c>
      <c r="Y5335">
        <v>2.5232859999999999E-2</v>
      </c>
      <c r="Z5335">
        <v>-3.9347970000000003E-2</v>
      </c>
      <c r="AA5335">
        <v>0.99890689999999904</v>
      </c>
      <c r="AB5335">
        <v>46</v>
      </c>
      <c r="AC5335">
        <v>-0.62239999999999895</v>
      </c>
      <c r="AD5335">
        <v>-1.1085165498909999</v>
      </c>
      <c r="AE5335">
        <v>27.619782000000001</v>
      </c>
      <c r="AF5335">
        <v>0.70740934552980606</v>
      </c>
      <c r="AG5335">
        <v>-1.1085165498909999</v>
      </c>
      <c r="AH5335">
        <v>27.573313475546499</v>
      </c>
      <c r="AI5335">
        <v>92.301438196584996</v>
      </c>
      <c r="AJ5335">
        <v>88.530365939218399</v>
      </c>
      <c r="AK5335">
        <v>27.604652740874698</v>
      </c>
    </row>
    <row r="5336" spans="1:37" x14ac:dyDescent="0.2">
      <c r="A5336" t="str">
        <f>"20200111154206227"</f>
        <v>20200111154206227</v>
      </c>
      <c r="B5336" t="str">
        <f>"1578728526221382"</f>
        <v>1578728526221382</v>
      </c>
      <c r="C5336" t="s">
        <v>37</v>
      </c>
      <c r="D5336">
        <v>5.100962</v>
      </c>
      <c r="E5336">
        <v>0.53388530000000001</v>
      </c>
      <c r="F5336" t="s">
        <v>39</v>
      </c>
      <c r="G5336">
        <v>-188.71289999999999</v>
      </c>
      <c r="H5336" s="1">
        <v>-3.6246640000000001E-6</v>
      </c>
      <c r="I5336">
        <v>37.549750000000003</v>
      </c>
      <c r="J5336">
        <v>-188.13239999999999</v>
      </c>
      <c r="K5336">
        <v>1.1084700000000001</v>
      </c>
      <c r="L5336">
        <v>10.21744</v>
      </c>
      <c r="M5336">
        <v>-4.787284E-2</v>
      </c>
      <c r="N5336">
        <v>0</v>
      </c>
      <c r="O5336">
        <v>0.99884640000000002</v>
      </c>
      <c r="P5336">
        <v>-0.112444899999999</v>
      </c>
      <c r="Q5336">
        <v>4.5111569999999997E-2</v>
      </c>
      <c r="R5336">
        <v>0.9926334</v>
      </c>
      <c r="S5336">
        <v>-6.5460210000000005E-2</v>
      </c>
      <c r="T5336">
        <v>-0.1205075</v>
      </c>
      <c r="U5336">
        <v>3.0205989999999998</v>
      </c>
      <c r="V5336">
        <v>-6.4767149999999996E-2</v>
      </c>
      <c r="W5336">
        <v>4.8888090000000002E-2</v>
      </c>
      <c r="X5336">
        <v>0.99670210000000004</v>
      </c>
      <c r="Y5336">
        <v>2.6237770000000001E-2</v>
      </c>
      <c r="Z5336">
        <v>-3.9783470000000001E-2</v>
      </c>
      <c r="AA5336">
        <v>0.99886379999999997</v>
      </c>
      <c r="AB5336">
        <v>46</v>
      </c>
      <c r="AC5336">
        <v>-0.58050000000000002</v>
      </c>
      <c r="AD5336">
        <v>-1.1084736246639999</v>
      </c>
      <c r="AE5336">
        <v>27.33231</v>
      </c>
      <c r="AF5336">
        <v>0.72745415514943701</v>
      </c>
      <c r="AG5336">
        <v>-1.1084736246639999</v>
      </c>
      <c r="AH5336">
        <v>27.283906975549701</v>
      </c>
      <c r="AI5336">
        <v>92.325672290320298</v>
      </c>
      <c r="AJ5336">
        <v>88.472719446670396</v>
      </c>
      <c r="AK5336">
        <v>27.316103001249399</v>
      </c>
    </row>
    <row r="5337" spans="1:37" x14ac:dyDescent="0.2">
      <c r="A5337" t="str">
        <f>"20200111154206251"</f>
        <v>20200111154206251</v>
      </c>
      <c r="B5337" t="str">
        <f>"1578728526240903"</f>
        <v>1578728526240903</v>
      </c>
      <c r="C5337" t="s">
        <v>37</v>
      </c>
      <c r="D5337">
        <v>5.1429769999999904</v>
      </c>
      <c r="E5337">
        <v>0.53401359999999998</v>
      </c>
      <c r="F5337" t="s">
        <v>39</v>
      </c>
      <c r="G5337">
        <v>-188.6867</v>
      </c>
      <c r="H5337" s="1">
        <v>-3.8036759999999999E-6</v>
      </c>
      <c r="I5337">
        <v>37.956209999999999</v>
      </c>
      <c r="J5337">
        <v>-188.15620000000001</v>
      </c>
      <c r="K5337">
        <v>1.1084209999999901</v>
      </c>
      <c r="L5337">
        <v>10.71771</v>
      </c>
      <c r="M5337">
        <v>-4.7532159999999997E-2</v>
      </c>
      <c r="N5337">
        <v>0</v>
      </c>
      <c r="O5337">
        <v>0.99886260000000004</v>
      </c>
      <c r="P5337">
        <v>-0.111601399999999</v>
      </c>
      <c r="Q5337">
        <v>4.5287149999999998E-2</v>
      </c>
      <c r="R5337">
        <v>0.99272059999999995</v>
      </c>
      <c r="S5337">
        <v>-6.0363769999999997E-2</v>
      </c>
      <c r="T5337">
        <v>-0.120718899999999</v>
      </c>
      <c r="U5337">
        <v>3.020905</v>
      </c>
      <c r="V5337">
        <v>-6.4255580000000007E-2</v>
      </c>
      <c r="W5337">
        <v>4.9091450000000002E-2</v>
      </c>
      <c r="X5337">
        <v>0.99672530000000004</v>
      </c>
      <c r="Y5337">
        <v>2.7583449999999999E-2</v>
      </c>
      <c r="Z5337">
        <v>-3.9850080000000003E-2</v>
      </c>
      <c r="AA5337">
        <v>0.99882490000000002</v>
      </c>
      <c r="AB5337">
        <v>46</v>
      </c>
      <c r="AC5337">
        <v>-0.53049999999998898</v>
      </c>
      <c r="AD5337">
        <v>-1.1084248036759901</v>
      </c>
      <c r="AE5337">
        <v>27.238499999999998</v>
      </c>
      <c r="AF5337">
        <v>0.76354964375530798</v>
      </c>
      <c r="AG5337">
        <v>-1.1084248036759901</v>
      </c>
      <c r="AH5337">
        <v>27.187923442414501</v>
      </c>
      <c r="AI5337">
        <v>92.333680385654901</v>
      </c>
      <c r="AJ5337">
        <v>88.391319738257707</v>
      </c>
      <c r="AK5337">
        <v>27.2212195669936</v>
      </c>
    </row>
    <row r="5338" spans="1:37" x14ac:dyDescent="0.2">
      <c r="A5338" t="str">
        <f>"20200111154206272"</f>
        <v>20200111154206272</v>
      </c>
      <c r="B5338" t="str">
        <f>"1578728526261399"</f>
        <v>1578728526261399</v>
      </c>
      <c r="C5338" t="s">
        <v>37</v>
      </c>
      <c r="D5338">
        <v>5.0656939999999997</v>
      </c>
      <c r="E5338">
        <v>0.53420819999999902</v>
      </c>
      <c r="F5338" t="s">
        <v>39</v>
      </c>
      <c r="G5338">
        <v>-188.67500000000001</v>
      </c>
      <c r="H5338" s="1">
        <v>-3.9349269999999999E-6</v>
      </c>
      <c r="I5338">
        <v>38.257329999999897</v>
      </c>
      <c r="J5338">
        <v>-188.1764</v>
      </c>
      <c r="K5338">
        <v>1.108392</v>
      </c>
      <c r="L5338">
        <v>11.144069999999999</v>
      </c>
      <c r="M5338">
        <v>-4.722995E-2</v>
      </c>
      <c r="N5338">
        <v>0</v>
      </c>
      <c r="O5338">
        <v>0.99887689999999996</v>
      </c>
      <c r="P5338">
        <v>-0.1107361</v>
      </c>
      <c r="Q5338">
        <v>4.5248099999999999E-2</v>
      </c>
      <c r="R5338">
        <v>0.99281929999999996</v>
      </c>
      <c r="S5338">
        <v>-5.6915279999999999E-2</v>
      </c>
      <c r="T5338">
        <v>-0.12159629999999901</v>
      </c>
      <c r="U5338">
        <v>3.0211489999999999</v>
      </c>
      <c r="V5338">
        <v>-6.3685770000000003E-2</v>
      </c>
      <c r="W5338">
        <v>4.907574E-2</v>
      </c>
      <c r="X5338">
        <v>0.99676260000000005</v>
      </c>
      <c r="Y5338">
        <v>2.84225E-2</v>
      </c>
      <c r="Z5338">
        <v>-4.0136860000000003E-2</v>
      </c>
      <c r="AA5338">
        <v>0.99878979999999995</v>
      </c>
      <c r="AB5338">
        <v>46</v>
      </c>
      <c r="AC5338">
        <v>-0.49860000000000998</v>
      </c>
      <c r="AD5338">
        <v>-1.1083959349270001</v>
      </c>
      <c r="AE5338">
        <v>27.113259999999901</v>
      </c>
      <c r="AF5338">
        <v>0.78121835073782098</v>
      </c>
      <c r="AG5338">
        <v>-1.1083959349270001</v>
      </c>
      <c r="AH5338">
        <v>27.061341951141699</v>
      </c>
      <c r="AI5338">
        <v>92.344470944324499</v>
      </c>
      <c r="AJ5338">
        <v>88.346420277026198</v>
      </c>
      <c r="AK5338">
        <v>27.095296120484001</v>
      </c>
    </row>
    <row r="5339" spans="1:37" x14ac:dyDescent="0.2">
      <c r="A5339" t="str">
        <f>"20200111154206294"</f>
        <v>20200111154206294</v>
      </c>
      <c r="B5339" t="str">
        <f>"1578728526291654"</f>
        <v>1578728526291654</v>
      </c>
      <c r="C5339" t="s">
        <v>37</v>
      </c>
      <c r="D5339">
        <v>5.2280620000000004</v>
      </c>
      <c r="E5339">
        <v>0.53787439999999997</v>
      </c>
      <c r="F5339" t="s">
        <v>39</v>
      </c>
      <c r="G5339">
        <v>-188.6525</v>
      </c>
      <c r="H5339" s="1">
        <v>-4.0208989999999997E-6</v>
      </c>
      <c r="I5339">
        <v>38.448419999999999</v>
      </c>
      <c r="J5339">
        <v>-188.1979</v>
      </c>
      <c r="K5339">
        <v>1.108358</v>
      </c>
      <c r="L5339">
        <v>11.602839999999899</v>
      </c>
      <c r="M5339">
        <v>-4.6896729999999998E-2</v>
      </c>
      <c r="N5339">
        <v>0</v>
      </c>
      <c r="O5339">
        <v>0.99889249999999996</v>
      </c>
      <c r="P5339">
        <v>-0.11028789999999999</v>
      </c>
      <c r="Q5339">
        <v>4.4493860000000003E-2</v>
      </c>
      <c r="R5339">
        <v>0.99290319999999899</v>
      </c>
      <c r="S5339">
        <v>-5.2688599999999898E-2</v>
      </c>
      <c r="T5339">
        <v>-0.122652</v>
      </c>
      <c r="U5339">
        <v>3.021423</v>
      </c>
      <c r="V5339">
        <v>-6.3563990000000001E-2</v>
      </c>
      <c r="W5339">
        <v>4.8346569999999998E-2</v>
      </c>
      <c r="X5339">
        <v>0.99680599999999997</v>
      </c>
      <c r="Y5339">
        <v>2.9487739999999998E-2</v>
      </c>
      <c r="Z5339">
        <v>-4.0481910000000003E-2</v>
      </c>
      <c r="AA5339">
        <v>0.99874509999999905</v>
      </c>
      <c r="AB5339">
        <v>46</v>
      </c>
      <c r="AC5339">
        <v>-0.454599999999999</v>
      </c>
      <c r="AD5339">
        <v>-1.1083620208989999</v>
      </c>
      <c r="AE5339">
        <v>26.845579999999899</v>
      </c>
      <c r="AF5339">
        <v>0.80350995453654706</v>
      </c>
      <c r="AG5339">
        <v>-1.1083620208989999</v>
      </c>
      <c r="AH5339">
        <v>26.791706398295599</v>
      </c>
      <c r="AI5339">
        <v>92.367888861538702</v>
      </c>
      <c r="AJ5339">
        <v>88.282157436241505</v>
      </c>
      <c r="AK5339">
        <v>26.826658874128999</v>
      </c>
    </row>
    <row r="5340" spans="1:37" x14ac:dyDescent="0.2">
      <c r="A5340" t="str">
        <f>"20200111154206315"</f>
        <v>20200111154206315</v>
      </c>
      <c r="B5340" t="str">
        <f>"1578728526311174"</f>
        <v>1578728526311174</v>
      </c>
      <c r="C5340" t="s">
        <v>37</v>
      </c>
      <c r="D5340">
        <v>5.3318839999999996</v>
      </c>
      <c r="E5340">
        <v>0.53696239999999995</v>
      </c>
      <c r="F5340" t="s">
        <v>39</v>
      </c>
      <c r="G5340">
        <v>-188.34909999999999</v>
      </c>
      <c r="H5340" s="1">
        <v>-1.7759549999999901E-6</v>
      </c>
      <c r="I5340">
        <v>33.089929999999903</v>
      </c>
      <c r="J5340">
        <v>-188.2184</v>
      </c>
      <c r="K5340">
        <v>1.1083430000000001</v>
      </c>
      <c r="L5340">
        <v>12.04251</v>
      </c>
      <c r="M5340">
        <v>-4.6573009999999998E-2</v>
      </c>
      <c r="N5340">
        <v>0</v>
      </c>
      <c r="O5340">
        <v>0.99890749999999995</v>
      </c>
      <c r="P5340">
        <v>-0.109965699999999</v>
      </c>
      <c r="Q5340">
        <v>4.3977349999999998E-2</v>
      </c>
      <c r="R5340">
        <v>0.99296200000000001</v>
      </c>
      <c r="S5340">
        <v>-2.1286010000000001E-2</v>
      </c>
      <c r="T5340">
        <v>-0.15609219999999999</v>
      </c>
      <c r="U5340">
        <v>3.026062</v>
      </c>
      <c r="V5340">
        <v>-6.3560270000000002E-2</v>
      </c>
      <c r="W5340">
        <v>4.7853609999999998E-2</v>
      </c>
      <c r="X5340">
        <v>0.99682999999999899</v>
      </c>
      <c r="Y5340">
        <v>3.9555069999999998E-2</v>
      </c>
      <c r="Z5340">
        <v>-5.1409530000000002E-2</v>
      </c>
      <c r="AA5340">
        <v>0.99789399999999995</v>
      </c>
      <c r="AB5340">
        <v>46</v>
      </c>
      <c r="AC5340">
        <v>-0.13069999999998999</v>
      </c>
      <c r="AD5340">
        <v>-1.108344775955</v>
      </c>
      <c r="AE5340">
        <v>21.047419999999899</v>
      </c>
      <c r="AF5340">
        <v>0.84734116503411605</v>
      </c>
      <c r="AG5340">
        <v>-1.108344775955</v>
      </c>
      <c r="AH5340">
        <v>20.972513180610999</v>
      </c>
      <c r="AI5340">
        <v>93.022662791831294</v>
      </c>
      <c r="AJ5340">
        <v>87.686367795558894</v>
      </c>
      <c r="AK5340">
        <v>21.018865913822498</v>
      </c>
    </row>
    <row r="5341" spans="1:37" x14ac:dyDescent="0.2">
      <c r="A5341" t="str">
        <f>"20200111154206405"</f>
        <v>20200111154206405</v>
      </c>
      <c r="B5341" t="str">
        <f>"1578728526400966"</f>
        <v>1578728526400966</v>
      </c>
      <c r="C5341" t="s">
        <v>37</v>
      </c>
      <c r="D5341">
        <v>5.1996640000000003</v>
      </c>
      <c r="E5341">
        <v>0.54842630000000003</v>
      </c>
      <c r="F5341" t="s">
        <v>38</v>
      </c>
      <c r="G5341">
        <v>-188.26249999999999</v>
      </c>
      <c r="H5341">
        <v>0.92114629999999997</v>
      </c>
      <c r="I5341">
        <v>14.142329999999999</v>
      </c>
      <c r="J5341">
        <v>-188.30539999999999</v>
      </c>
      <c r="K5341">
        <v>1.108257</v>
      </c>
      <c r="L5341">
        <v>13.943629999999899</v>
      </c>
      <c r="M5341">
        <v>-4.5157570000000001E-2</v>
      </c>
      <c r="N5341">
        <v>0</v>
      </c>
      <c r="O5341">
        <v>0.99897219999999998</v>
      </c>
      <c r="P5341">
        <v>-0.1087595</v>
      </c>
      <c r="Q5341">
        <v>4.3091940000000002E-2</v>
      </c>
      <c r="R5341">
        <v>0.99313370000000001</v>
      </c>
      <c r="S5341">
        <v>9.5382690000000006E-2</v>
      </c>
      <c r="T5341">
        <v>-0.84396959999999999</v>
      </c>
      <c r="U5341">
        <v>3.068298</v>
      </c>
      <c r="V5341">
        <v>-6.3753249999999997E-2</v>
      </c>
      <c r="W5341">
        <v>4.7067240000000003E-2</v>
      </c>
      <c r="X5341">
        <v>0.99685509999999999</v>
      </c>
      <c r="Y5341">
        <v>7.5066859999999999E-2</v>
      </c>
      <c r="Z5341">
        <v>-0.26437349999999998</v>
      </c>
      <c r="AA5341">
        <v>0.96149439999999997</v>
      </c>
      <c r="AB5341">
        <v>47</v>
      </c>
      <c r="AC5341">
        <v>4.2900000000002998E-2</v>
      </c>
      <c r="AD5341">
        <v>-0.18711069999999999</v>
      </c>
      <c r="AE5341">
        <v>0.19869999999999999</v>
      </c>
      <c r="AF5341">
        <v>2.8057346968787301E-2</v>
      </c>
      <c r="AG5341">
        <v>-0.18711069999999999</v>
      </c>
      <c r="AH5341">
        <v>0.106406464643784</v>
      </c>
      <c r="AI5341">
        <v>149.539395419714</v>
      </c>
      <c r="AJ5341">
        <v>75.228418296966595</v>
      </c>
      <c r="AK5341">
        <v>0.21707133502930701</v>
      </c>
    </row>
    <row r="5342" spans="1:37" x14ac:dyDescent="0.2">
      <c r="A5342" t="str">
        <f>"20200111154206428"</f>
        <v>20200111154206428</v>
      </c>
      <c r="B5342" t="str">
        <f>"1578728526421462"</f>
        <v>1578728526421462</v>
      </c>
      <c r="C5342" t="s">
        <v>37</v>
      </c>
      <c r="D5342">
        <v>5.346489</v>
      </c>
      <c r="E5342">
        <v>0.55136719999999995</v>
      </c>
      <c r="F5342" t="s">
        <v>58</v>
      </c>
      <c r="G5342">
        <v>-181.351</v>
      </c>
      <c r="H5342">
        <v>25.701920000000001</v>
      </c>
      <c r="I5342">
        <v>391.87</v>
      </c>
      <c r="J5342">
        <v>-188.32669999999999</v>
      </c>
      <c r="K5342">
        <v>1.1082379999999901</v>
      </c>
      <c r="L5342">
        <v>14.416499999999999</v>
      </c>
      <c r="M5342">
        <v>-4.4798360000000002E-2</v>
      </c>
      <c r="N5342">
        <v>0</v>
      </c>
      <c r="O5342">
        <v>0.99898829999999905</v>
      </c>
      <c r="P5342">
        <v>-0.108271699999999</v>
      </c>
      <c r="Q5342">
        <v>4.2787650000000003E-2</v>
      </c>
      <c r="R5342">
        <v>0.99320010000000003</v>
      </c>
      <c r="S5342">
        <v>5.5541989999999999E-2</v>
      </c>
      <c r="T5342">
        <v>0.19641729999999999</v>
      </c>
      <c r="U5342">
        <v>3.0183110000000002</v>
      </c>
      <c r="V5342">
        <v>-6.362052E-2</v>
      </c>
      <c r="W5342">
        <v>4.678765E-2</v>
      </c>
      <c r="X5342">
        <v>0.99687680000000001</v>
      </c>
      <c r="Y5342">
        <v>6.3132460000000001E-2</v>
      </c>
      <c r="Z5342">
        <v>6.4769919999999995E-2</v>
      </c>
      <c r="AA5342">
        <v>0.99590119999999904</v>
      </c>
      <c r="AB5342">
        <v>47</v>
      </c>
      <c r="AC5342">
        <v>6.9756999999999802</v>
      </c>
      <c r="AD5342">
        <v>24.593682000000001</v>
      </c>
      <c r="AE5342">
        <v>377.45350000000002</v>
      </c>
      <c r="AF5342">
        <v>23.777215626040501</v>
      </c>
      <c r="AG5342">
        <v>24.593682000000001</v>
      </c>
      <c r="AH5342">
        <v>375.16983915676298</v>
      </c>
      <c r="AI5342">
        <v>86.256917924735902</v>
      </c>
      <c r="AJ5342">
        <v>86.373603819596596</v>
      </c>
      <c r="AK5342">
        <v>376.72617826500499</v>
      </c>
    </row>
    <row r="5343" spans="1:37" x14ac:dyDescent="0.2">
      <c r="A5343" t="str">
        <f>"20200111154206448"</f>
        <v>20200111154206448</v>
      </c>
      <c r="B5343" t="str">
        <f>"1578728526440983"</f>
        <v>1578728526440983</v>
      </c>
      <c r="C5343" t="s">
        <v>37</v>
      </c>
      <c r="D5343">
        <v>5.1572250000000004</v>
      </c>
      <c r="E5343">
        <v>0.55211290000000002</v>
      </c>
      <c r="F5343" t="s">
        <v>58</v>
      </c>
      <c r="G5343">
        <v>-178.23079999999999</v>
      </c>
      <c r="H5343">
        <v>24.602979999999999</v>
      </c>
      <c r="I5343">
        <v>391.87</v>
      </c>
      <c r="J5343">
        <v>-188.3468</v>
      </c>
      <c r="K5343">
        <v>1.10822</v>
      </c>
      <c r="L5343">
        <v>14.869719999999999</v>
      </c>
      <c r="M5343">
        <v>-4.4448670000000003E-2</v>
      </c>
      <c r="N5343">
        <v>0</v>
      </c>
      <c r="O5343">
        <v>0.9990038</v>
      </c>
      <c r="P5343">
        <v>-0.108211999999999</v>
      </c>
      <c r="Q5343">
        <v>4.2746779999999998E-2</v>
      </c>
      <c r="R5343">
        <v>0.99320830000000004</v>
      </c>
      <c r="S5343">
        <v>8.0810549999999995E-2</v>
      </c>
      <c r="T5343">
        <v>0.18805829999999901</v>
      </c>
      <c r="U5343">
        <v>3.0212400000000001</v>
      </c>
      <c r="V5343">
        <v>-6.3907679999999994E-2</v>
      </c>
      <c r="W5343">
        <v>4.6770029999999997E-2</v>
      </c>
      <c r="X5343">
        <v>0.9968593</v>
      </c>
      <c r="Y5343">
        <v>7.1093110000000001E-2</v>
      </c>
      <c r="Z5343">
        <v>6.1943419999999999E-2</v>
      </c>
      <c r="AA5343">
        <v>0.99554449999999906</v>
      </c>
      <c r="AB5343">
        <v>47</v>
      </c>
      <c r="AC5343">
        <v>10.116</v>
      </c>
      <c r="AD5343">
        <v>23.494759999999999</v>
      </c>
      <c r="AE5343">
        <v>377.00027999999998</v>
      </c>
      <c r="AF5343">
        <v>26.759440690484499</v>
      </c>
      <c r="AG5343">
        <v>23.494759999999999</v>
      </c>
      <c r="AH5343">
        <v>374.72371600130799</v>
      </c>
      <c r="AI5343">
        <v>86.421403945128702</v>
      </c>
      <c r="AJ5343">
        <v>85.915377971886102</v>
      </c>
      <c r="AK5343">
        <v>376.41192163287599</v>
      </c>
    </row>
    <row r="5344" spans="1:37" x14ac:dyDescent="0.2">
      <c r="A5344" t="str">
        <f>"20200111154206472"</f>
        <v>20200111154206472</v>
      </c>
      <c r="B5344" t="str">
        <f>"1578728526461197"</f>
        <v>1578728526461197</v>
      </c>
      <c r="C5344" t="s">
        <v>37</v>
      </c>
      <c r="D5344">
        <v>5.1968309999999898</v>
      </c>
      <c r="E5344">
        <v>0.54906119999999903</v>
      </c>
      <c r="F5344" t="s">
        <v>58</v>
      </c>
      <c r="G5344">
        <v>-177.60050000000001</v>
      </c>
      <c r="H5344">
        <v>27.69</v>
      </c>
      <c r="I5344">
        <v>391.87</v>
      </c>
      <c r="J5344">
        <v>-188.36850000000001</v>
      </c>
      <c r="K5344">
        <v>1.1081989999999999</v>
      </c>
      <c r="L5344">
        <v>15.36154</v>
      </c>
      <c r="M5344">
        <v>-4.4058439999999997E-2</v>
      </c>
      <c r="N5344">
        <v>0</v>
      </c>
      <c r="O5344">
        <v>0.99902099999999905</v>
      </c>
      <c r="P5344">
        <v>-0.10856739999999999</v>
      </c>
      <c r="Q5344">
        <v>4.201237E-2</v>
      </c>
      <c r="R5344">
        <v>0.99320090000000005</v>
      </c>
      <c r="S5344">
        <v>8.6105349999999997E-2</v>
      </c>
      <c r="T5344">
        <v>0.21298690000000001</v>
      </c>
      <c r="U5344">
        <v>3.020721</v>
      </c>
      <c r="V5344">
        <v>-6.4651330000000007E-2</v>
      </c>
      <c r="W5344">
        <v>4.6061730000000002E-2</v>
      </c>
      <c r="X5344">
        <v>0.99684430000000002</v>
      </c>
      <c r="Y5344">
        <v>7.2436210000000001E-2</v>
      </c>
      <c r="Z5344">
        <v>7.0125049999999994E-2</v>
      </c>
      <c r="AA5344">
        <v>0.99490480000000003</v>
      </c>
      <c r="AB5344">
        <v>48</v>
      </c>
      <c r="AC5344">
        <v>10.768000000000001</v>
      </c>
      <c r="AD5344">
        <v>26.581800999999999</v>
      </c>
      <c r="AE5344">
        <v>376.50846000000001</v>
      </c>
      <c r="AF5344">
        <v>27.2105315239608</v>
      </c>
      <c r="AG5344">
        <v>26.581800999999999</v>
      </c>
      <c r="AH5344">
        <v>373.80671559447302</v>
      </c>
      <c r="AI5344">
        <v>85.943179955914999</v>
      </c>
      <c r="AJ5344">
        <v>85.836608703825604</v>
      </c>
      <c r="AK5344">
        <v>375.73722971479299</v>
      </c>
    </row>
    <row r="5345" spans="1:37" x14ac:dyDescent="0.2">
      <c r="A5345" t="str">
        <f>"20200111154206494"</f>
        <v>20200111154206494</v>
      </c>
      <c r="B5345" t="str">
        <f>"1578728526491454"</f>
        <v>1578728526491454</v>
      </c>
      <c r="C5345" t="s">
        <v>37</v>
      </c>
      <c r="D5345">
        <v>5.1808629999999898</v>
      </c>
      <c r="E5345">
        <v>0.54472849999999995</v>
      </c>
      <c r="F5345" t="s">
        <v>58</v>
      </c>
      <c r="G5345">
        <v>-180.60640000000001</v>
      </c>
      <c r="H5345">
        <v>21.29158</v>
      </c>
      <c r="I5345">
        <v>391.87</v>
      </c>
      <c r="J5345">
        <v>-188.38910000000001</v>
      </c>
      <c r="K5345">
        <v>1.1081749999999999</v>
      </c>
      <c r="L5345">
        <v>15.831759999999999</v>
      </c>
      <c r="M5345">
        <v>-4.3669270000000003E-2</v>
      </c>
      <c r="N5345">
        <v>0</v>
      </c>
      <c r="O5345">
        <v>0.99903799999999898</v>
      </c>
      <c r="P5345">
        <v>-0.108769899999999</v>
      </c>
      <c r="Q5345">
        <v>4.2563660000000003E-2</v>
      </c>
      <c r="R5345">
        <v>0.99315529999999996</v>
      </c>
      <c r="S5345">
        <v>6.2271119999999999E-2</v>
      </c>
      <c r="T5345">
        <v>0.16191949999999999</v>
      </c>
      <c r="U5345">
        <v>3.020508</v>
      </c>
      <c r="V5345">
        <v>-6.5241820000000006E-2</v>
      </c>
      <c r="W5345">
        <v>4.6638560000000003E-2</v>
      </c>
      <c r="X5345">
        <v>0.99677899999999997</v>
      </c>
      <c r="Y5345">
        <v>6.4222920000000003E-2</v>
      </c>
      <c r="Z5345">
        <v>5.3392340000000003E-2</v>
      </c>
      <c r="AA5345">
        <v>0.99650620000000001</v>
      </c>
      <c r="AB5345">
        <v>48</v>
      </c>
      <c r="AC5345">
        <v>7.7827000000000002</v>
      </c>
      <c r="AD5345">
        <v>20.183405</v>
      </c>
      <c r="AE5345">
        <v>376.03823999999997</v>
      </c>
      <c r="AF5345">
        <v>24.127245004424701</v>
      </c>
      <c r="AG5345">
        <v>20.183405</v>
      </c>
      <c r="AH5345">
        <v>374.261900962862</v>
      </c>
      <c r="AI5345">
        <v>86.919493514723797</v>
      </c>
      <c r="AJ5345">
        <v>86.311462514899404</v>
      </c>
      <c r="AK5345">
        <v>375.58150154291798</v>
      </c>
    </row>
    <row r="5346" spans="1:37" x14ac:dyDescent="0.2">
      <c r="A5346" t="str">
        <f>"20200111154206515"</f>
        <v>20200111154206515</v>
      </c>
      <c r="B5346" t="str">
        <f>"1578728526510973"</f>
        <v>1578728526510973</v>
      </c>
      <c r="C5346" t="s">
        <v>37</v>
      </c>
      <c r="D5346">
        <v>5.1474690000000001</v>
      </c>
      <c r="E5346">
        <v>0.54331459999999998</v>
      </c>
      <c r="F5346" t="s">
        <v>58</v>
      </c>
      <c r="G5346">
        <v>-184.73490000000001</v>
      </c>
      <c r="H5346">
        <v>13.888400000000001</v>
      </c>
      <c r="I5346">
        <v>391.87</v>
      </c>
      <c r="J5346">
        <v>-188.40950000000001</v>
      </c>
      <c r="K5346">
        <v>1.1081540000000001</v>
      </c>
      <c r="L5346">
        <v>16.30264</v>
      </c>
      <c r="M5346">
        <v>-4.3256959999999997E-2</v>
      </c>
      <c r="N5346">
        <v>0</v>
      </c>
      <c r="O5346">
        <v>0.9990559</v>
      </c>
      <c r="P5346">
        <v>-0.10869230000000001</v>
      </c>
      <c r="Q5346">
        <v>4.2459719999999999E-2</v>
      </c>
      <c r="R5346">
        <v>0.99316819999999895</v>
      </c>
      <c r="S5346">
        <v>2.9342650000000001E-2</v>
      </c>
      <c r="T5346">
        <v>0.1026223</v>
      </c>
      <c r="U5346">
        <v>3.019501</v>
      </c>
      <c r="V5346">
        <v>-6.5572870000000005E-2</v>
      </c>
      <c r="W5346">
        <v>4.6560919999999999E-2</v>
      </c>
      <c r="X5346">
        <v>0.99676089999999995</v>
      </c>
      <c r="Y5346">
        <v>5.2957829999999997E-2</v>
      </c>
      <c r="Z5346">
        <v>3.3894580000000001E-2</v>
      </c>
      <c r="AA5346">
        <v>0.99802139999999995</v>
      </c>
      <c r="AB5346">
        <v>48</v>
      </c>
      <c r="AC5346">
        <v>3.6745999999999901</v>
      </c>
      <c r="AD5346">
        <v>12.780246</v>
      </c>
      <c r="AE5346">
        <v>375.56736000000001</v>
      </c>
      <c r="AF5346">
        <v>19.894158929614999</v>
      </c>
      <c r="AG5346">
        <v>12.780246</v>
      </c>
      <c r="AH5346">
        <v>374.62309610529798</v>
      </c>
      <c r="AI5346">
        <v>88.048862562540293</v>
      </c>
      <c r="AJ5346">
        <v>86.960193665031895</v>
      </c>
      <c r="AK5346">
        <v>375.36858736827799</v>
      </c>
    </row>
    <row r="5347" spans="1:37" x14ac:dyDescent="0.2">
      <c r="A5347" t="str">
        <f>"20200111154206538"</f>
        <v>20200111154206538</v>
      </c>
      <c r="B5347" t="str">
        <f>"1578728526531469"</f>
        <v>1578728526531469</v>
      </c>
      <c r="C5347" t="s">
        <v>37</v>
      </c>
      <c r="D5347">
        <v>5.1737149999999996</v>
      </c>
      <c r="E5347">
        <v>0.54220089999999999</v>
      </c>
      <c r="F5347" t="s">
        <v>58</v>
      </c>
      <c r="G5347">
        <v>-186.005</v>
      </c>
      <c r="H5347">
        <v>10.2131899999999</v>
      </c>
      <c r="I5347">
        <v>391.87</v>
      </c>
      <c r="J5347">
        <v>-188.43039999999999</v>
      </c>
      <c r="K5347">
        <v>1.1081209999999999</v>
      </c>
      <c r="L5347">
        <v>16.79025</v>
      </c>
      <c r="M5347">
        <v>-4.2798580000000003E-2</v>
      </c>
      <c r="N5347">
        <v>0</v>
      </c>
      <c r="O5347">
        <v>0.99907549999999901</v>
      </c>
      <c r="P5347">
        <v>-0.1084156</v>
      </c>
      <c r="Q5347">
        <v>4.2009100000000001E-2</v>
      </c>
      <c r="R5347">
        <v>0.99321759999999903</v>
      </c>
      <c r="S5347">
        <v>1.9332889999999998E-2</v>
      </c>
      <c r="T5347">
        <v>7.3205950000000006E-2</v>
      </c>
      <c r="U5347">
        <v>3.0196230000000002</v>
      </c>
      <c r="V5347">
        <v>-6.5748600000000004E-2</v>
      </c>
      <c r="W5347">
        <v>4.6137940000000002E-2</v>
      </c>
      <c r="X5347">
        <v>0.99676900000000002</v>
      </c>
      <c r="Y5347">
        <v>4.9192599999999899E-2</v>
      </c>
      <c r="Z5347">
        <v>2.4188060000000001E-2</v>
      </c>
      <c r="AA5347">
        <v>0.99849639999999995</v>
      </c>
      <c r="AB5347">
        <v>48</v>
      </c>
      <c r="AC5347">
        <v>2.42539999999999</v>
      </c>
      <c r="AD5347">
        <v>9.1050690000000003</v>
      </c>
      <c r="AE5347">
        <v>375.07974999999999</v>
      </c>
      <c r="AF5347">
        <v>18.465309436797401</v>
      </c>
      <c r="AG5347">
        <v>9.1050690000000003</v>
      </c>
      <c r="AH5347">
        <v>374.41163930304498</v>
      </c>
      <c r="AI5347">
        <v>88.608626818548402</v>
      </c>
      <c r="AJ5347">
        <v>87.176562735724801</v>
      </c>
      <c r="AK5347">
        <v>374.97726008344102</v>
      </c>
    </row>
    <row r="5348" spans="1:37" x14ac:dyDescent="0.2">
      <c r="A5348" t="str">
        <f>"20200111154206561"</f>
        <v>20200111154206561</v>
      </c>
      <c r="B5348" t="str">
        <f>"1578728526550989"</f>
        <v>1578728526550989</v>
      </c>
      <c r="C5348" t="s">
        <v>37</v>
      </c>
      <c r="D5348">
        <v>5.1447799999999999</v>
      </c>
      <c r="E5348">
        <v>0.54120619999999997</v>
      </c>
      <c r="F5348" t="s">
        <v>58</v>
      </c>
      <c r="G5348">
        <v>-186.91749999999999</v>
      </c>
      <c r="H5348">
        <v>7.2681899999999997</v>
      </c>
      <c r="I5348">
        <v>390.11860000000001</v>
      </c>
      <c r="J5348">
        <v>-188.45050000000001</v>
      </c>
      <c r="K5348">
        <v>1.1080840000000001</v>
      </c>
      <c r="L5348">
        <v>17.264009999999999</v>
      </c>
      <c r="M5348">
        <v>-4.2313199999999898E-2</v>
      </c>
      <c r="N5348">
        <v>0</v>
      </c>
      <c r="O5348">
        <v>0.99909599999999898</v>
      </c>
      <c r="P5348">
        <v>-0.10811649999999901</v>
      </c>
      <c r="Q5348">
        <v>4.148777E-2</v>
      </c>
      <c r="R5348">
        <v>0.99327219999999905</v>
      </c>
      <c r="S5348">
        <v>1.223755E-2</v>
      </c>
      <c r="T5348">
        <v>4.9826499999999899E-2</v>
      </c>
      <c r="U5348">
        <v>3.019714</v>
      </c>
      <c r="V5348">
        <v>-6.5928799999999996E-2</v>
      </c>
      <c r="W5348">
        <v>4.5644940000000002E-2</v>
      </c>
      <c r="X5348">
        <v>0.99677979999999999</v>
      </c>
      <c r="Y5348">
        <v>4.636154E-2</v>
      </c>
      <c r="Z5348">
        <v>1.6467059999999999E-2</v>
      </c>
      <c r="AA5348">
        <v>0.99878899999999904</v>
      </c>
      <c r="AB5348">
        <v>48</v>
      </c>
      <c r="AC5348">
        <v>1.5330000000000099</v>
      </c>
      <c r="AD5348">
        <v>6.1601059999999999</v>
      </c>
      <c r="AE5348">
        <v>372.85458999999997</v>
      </c>
      <c r="AF5348">
        <v>17.303707066005298</v>
      </c>
      <c r="AG5348">
        <v>6.1601059999999999</v>
      </c>
      <c r="AH5348">
        <v>372.354151776229</v>
      </c>
      <c r="AI5348">
        <v>89.053225290330801</v>
      </c>
      <c r="AJ5348">
        <v>87.339316297068095</v>
      </c>
      <c r="AK5348">
        <v>372.80689308159498</v>
      </c>
    </row>
    <row r="5349" spans="1:37" x14ac:dyDescent="0.2">
      <c r="A5349" t="str">
        <f>"20200111154206584"</f>
        <v>20200111154206584</v>
      </c>
      <c r="B5349" t="str">
        <f>"1578728526581631"</f>
        <v>1578728526581631</v>
      </c>
      <c r="C5349" t="s">
        <v>37</v>
      </c>
      <c r="D5349">
        <v>5.1558080000000004</v>
      </c>
      <c r="E5349">
        <v>0.54026569999999996</v>
      </c>
      <c r="F5349" t="s">
        <v>58</v>
      </c>
      <c r="G5349">
        <v>-187.71599999999901</v>
      </c>
      <c r="H5349">
        <v>5.084581</v>
      </c>
      <c r="I5349">
        <v>391.87</v>
      </c>
      <c r="J5349">
        <v>-188.47190000000001</v>
      </c>
      <c r="K5349">
        <v>1.1080350000000001</v>
      </c>
      <c r="L5349">
        <v>17.777010000000001</v>
      </c>
      <c r="M5349">
        <v>-4.173193E-2</v>
      </c>
      <c r="N5349">
        <v>0</v>
      </c>
      <c r="O5349">
        <v>0.99912040000000002</v>
      </c>
      <c r="P5349">
        <v>-0.10671559999999999</v>
      </c>
      <c r="Q5349">
        <v>4.1900020000000003E-2</v>
      </c>
      <c r="R5349">
        <v>0.99340640000000002</v>
      </c>
      <c r="S5349">
        <v>5.9204100000000001E-3</v>
      </c>
      <c r="T5349">
        <v>3.2053709999999999E-2</v>
      </c>
      <c r="U5349">
        <v>3.0196230000000002</v>
      </c>
      <c r="V5349">
        <v>-6.5097569999999993E-2</v>
      </c>
      <c r="W5349">
        <v>4.6088400000000002E-2</v>
      </c>
      <c r="X5349">
        <v>0.99681399999999998</v>
      </c>
      <c r="Y5349">
        <v>4.3691029999999999E-2</v>
      </c>
      <c r="Z5349">
        <v>1.059559E-2</v>
      </c>
      <c r="AA5349">
        <v>0.99898889999999996</v>
      </c>
      <c r="AB5349">
        <v>48</v>
      </c>
      <c r="AC5349">
        <v>0.755900000000025</v>
      </c>
      <c r="AD5349">
        <v>3.9765459999999999</v>
      </c>
      <c r="AE5349">
        <v>374.09298999999999</v>
      </c>
      <c r="AF5349">
        <v>16.365146512564198</v>
      </c>
      <c r="AG5349">
        <v>3.9765459999999999</v>
      </c>
      <c r="AH5349">
        <v>373.69332085926601</v>
      </c>
      <c r="AI5349">
        <v>89.390910804906298</v>
      </c>
      <c r="AJ5349">
        <v>87.492448904147906</v>
      </c>
      <c r="AK5349">
        <v>374.07262529259498</v>
      </c>
    </row>
    <row r="5350" spans="1:37" x14ac:dyDescent="0.2">
      <c r="A5350" t="str">
        <f>"20200111154206608"</f>
        <v>20200111154206608</v>
      </c>
      <c r="B5350" t="str">
        <f>"1578728526601151"</f>
        <v>1578728526601151</v>
      </c>
      <c r="C5350" t="s">
        <v>37</v>
      </c>
      <c r="D5350">
        <v>5.1457649999999999</v>
      </c>
      <c r="E5350">
        <v>0.54000570000000003</v>
      </c>
      <c r="F5350" t="s">
        <v>58</v>
      </c>
      <c r="G5350">
        <v>-188.06739999999999</v>
      </c>
      <c r="H5350">
        <v>2.9752640000000001</v>
      </c>
      <c r="I5350">
        <v>391.87</v>
      </c>
      <c r="J5350">
        <v>-188.4939</v>
      </c>
      <c r="K5350">
        <v>1.107977</v>
      </c>
      <c r="L5350">
        <v>18.311429999999898</v>
      </c>
      <c r="M5350">
        <v>-4.1052409999999998E-2</v>
      </c>
      <c r="N5350">
        <v>0</v>
      </c>
      <c r="O5350">
        <v>0.99914840000000005</v>
      </c>
      <c r="P5350">
        <v>-0.10563259999999999</v>
      </c>
      <c r="Q5350">
        <v>4.2443500000000002E-2</v>
      </c>
      <c r="R5350">
        <v>0.99349900000000002</v>
      </c>
      <c r="S5350">
        <v>3.2653809999999999E-3</v>
      </c>
      <c r="T5350">
        <v>1.507199E-2</v>
      </c>
      <c r="U5350">
        <v>3.0196230000000002</v>
      </c>
      <c r="V5350">
        <v>-6.4682779999999995E-2</v>
      </c>
      <c r="W5350">
        <v>4.6666180000000002E-2</v>
      </c>
      <c r="X5350">
        <v>0.99681409999999904</v>
      </c>
      <c r="Y5350">
        <v>4.2133200000000003E-2</v>
      </c>
      <c r="Z5350">
        <v>4.9827559999999996E-3</v>
      </c>
      <c r="AA5350">
        <v>0.99909959999999898</v>
      </c>
      <c r="AB5350">
        <v>49</v>
      </c>
      <c r="AC5350">
        <v>0.42650000000000399</v>
      </c>
      <c r="AD5350">
        <v>1.8672869999999999</v>
      </c>
      <c r="AE5350">
        <v>373.55856999999997</v>
      </c>
      <c r="AF5350">
        <v>15.7613578972006</v>
      </c>
      <c r="AG5350">
        <v>1.8672869999999999</v>
      </c>
      <c r="AH5350">
        <v>373.21681829709502</v>
      </c>
      <c r="AI5350">
        <v>89.713594104897496</v>
      </c>
      <c r="AJ5350">
        <v>87.581772959097705</v>
      </c>
      <c r="AK5350">
        <v>373.55414684261001</v>
      </c>
    </row>
    <row r="5351" spans="1:37" x14ac:dyDescent="0.2">
      <c r="A5351" t="str">
        <f>"20200111154206627"</f>
        <v>20200111154206627</v>
      </c>
      <c r="B5351" t="str">
        <f>"1578728526621647"</f>
        <v>1578728526621647</v>
      </c>
      <c r="C5351" t="s">
        <v>37</v>
      </c>
      <c r="D5351">
        <v>5.163195</v>
      </c>
      <c r="E5351">
        <v>0.53980909999999904</v>
      </c>
      <c r="F5351" t="s">
        <v>58</v>
      </c>
      <c r="G5351">
        <v>-187.87289999999999</v>
      </c>
      <c r="H5351">
        <v>1.9599439999999999</v>
      </c>
      <c r="I5351">
        <v>391.87</v>
      </c>
      <c r="J5351">
        <v>-188.5102</v>
      </c>
      <c r="K5351">
        <v>1.1079289999999999</v>
      </c>
      <c r="L5351">
        <v>18.714020000000001</v>
      </c>
      <c r="M5351">
        <v>-4.0499590000000002E-2</v>
      </c>
      <c r="N5351">
        <v>0</v>
      </c>
      <c r="O5351">
        <v>0.99917099999999903</v>
      </c>
      <c r="P5351">
        <v>-0.1049413</v>
      </c>
      <c r="Q5351">
        <v>4.325056E-2</v>
      </c>
      <c r="R5351">
        <v>0.99353749999999996</v>
      </c>
      <c r="S5351">
        <v>5.020142E-3</v>
      </c>
      <c r="T5351">
        <v>6.8873169999999996E-3</v>
      </c>
      <c r="U5351">
        <v>3.0198669999999899</v>
      </c>
      <c r="V5351">
        <v>-6.4535250000000002E-2</v>
      </c>
      <c r="W5351">
        <v>4.7499720000000002E-2</v>
      </c>
      <c r="X5351">
        <v>0.99678429999999996</v>
      </c>
      <c r="Y5351">
        <v>4.2160889999999999E-2</v>
      </c>
      <c r="Z5351">
        <v>2.2768409999999999E-3</v>
      </c>
      <c r="AA5351">
        <v>0.99910829999999995</v>
      </c>
      <c r="AB5351">
        <v>49</v>
      </c>
      <c r="AC5351">
        <v>0.63730000000000997</v>
      </c>
      <c r="AD5351">
        <v>0.85201499999999897</v>
      </c>
      <c r="AE5351">
        <v>373.15598</v>
      </c>
      <c r="AF5351">
        <v>15.7494883952583</v>
      </c>
      <c r="AG5351">
        <v>0.85201499999999897</v>
      </c>
      <c r="AH5351">
        <v>372.82206657944801</v>
      </c>
      <c r="AI5351">
        <v>89.869178132826306</v>
      </c>
      <c r="AJ5351">
        <v>87.581036403328696</v>
      </c>
      <c r="AK5351">
        <v>373.15555153694697</v>
      </c>
    </row>
    <row r="5352" spans="1:37" x14ac:dyDescent="0.2">
      <c r="A5352" t="str">
        <f>"20200111154206649"</f>
        <v>20200111154206649</v>
      </c>
      <c r="B5352" t="str">
        <f>"1578728526641167"</f>
        <v>1578728526641167</v>
      </c>
      <c r="C5352" t="s">
        <v>37</v>
      </c>
      <c r="D5352">
        <v>5.1516789999999997</v>
      </c>
      <c r="E5352">
        <v>0.53935529999999998</v>
      </c>
      <c r="F5352" t="s">
        <v>58</v>
      </c>
      <c r="G5352">
        <v>-187.79</v>
      </c>
      <c r="H5352">
        <v>1.1186659999999999</v>
      </c>
      <c r="I5352">
        <v>391.87</v>
      </c>
      <c r="J5352">
        <v>-188.5301</v>
      </c>
      <c r="K5352">
        <v>1.107864</v>
      </c>
      <c r="L5352">
        <v>19.214079999999999</v>
      </c>
      <c r="M5352">
        <v>-3.9753520000000001E-2</v>
      </c>
      <c r="N5352">
        <v>0</v>
      </c>
      <c r="O5352">
        <v>0.9992008</v>
      </c>
      <c r="P5352">
        <v>-0.1044272</v>
      </c>
      <c r="Q5352">
        <v>4.3523539999999999E-2</v>
      </c>
      <c r="R5352">
        <v>0.99357969999999896</v>
      </c>
      <c r="S5352">
        <v>5.8288569999999998E-3</v>
      </c>
      <c r="T5352" s="1">
        <v>8.6903570000000004E-5</v>
      </c>
      <c r="U5352">
        <v>3.020111</v>
      </c>
      <c r="V5352">
        <v>-6.4756279999999999E-2</v>
      </c>
      <c r="W5352">
        <v>4.7807410000000002E-2</v>
      </c>
      <c r="X5352">
        <v>0.99675530000000001</v>
      </c>
      <c r="Y5352">
        <v>4.1682280000000002E-2</v>
      </c>
      <c r="Z5352" s="1">
        <v>2.87283099999999E-5</v>
      </c>
      <c r="AA5352">
        <v>0.99913090000000004</v>
      </c>
      <c r="AB5352">
        <v>49</v>
      </c>
      <c r="AC5352">
        <v>0.74010000000001197</v>
      </c>
      <c r="AD5352">
        <v>1.08019999999999E-2</v>
      </c>
      <c r="AE5352">
        <v>372.65591999999998</v>
      </c>
      <c r="AF5352">
        <v>15.5540285356832</v>
      </c>
      <c r="AG5352">
        <v>1.08019999999999E-2</v>
      </c>
      <c r="AH5352">
        <v>372.331914321081</v>
      </c>
      <c r="AI5352">
        <v>89.998339197750795</v>
      </c>
      <c r="AJ5352">
        <v>87.607880785974203</v>
      </c>
      <c r="AK5352">
        <v>372.65665476732403</v>
      </c>
    </row>
    <row r="5353" spans="1:37" x14ac:dyDescent="0.2">
      <c r="A5353" t="str">
        <f>"20200111154206672"</f>
        <v>20200111154206672</v>
      </c>
      <c r="B5353" t="str">
        <f>"1578728526661590"</f>
        <v>1578728526661590</v>
      </c>
      <c r="C5353" t="s">
        <v>37</v>
      </c>
      <c r="D5353">
        <v>5.1741960000000002</v>
      </c>
      <c r="E5353">
        <v>0.53896509999999997</v>
      </c>
      <c r="F5353" t="s">
        <v>58</v>
      </c>
      <c r="G5353">
        <v>-188.018</v>
      </c>
      <c r="H5353">
        <v>0.35135459999999902</v>
      </c>
      <c r="I5353">
        <v>391.87</v>
      </c>
      <c r="J5353">
        <v>-188.54910000000001</v>
      </c>
      <c r="K5353">
        <v>1.1077950000000001</v>
      </c>
      <c r="L5353">
        <v>19.70111</v>
      </c>
      <c r="M5353">
        <v>-3.8962330000000003E-2</v>
      </c>
      <c r="N5353">
        <v>0</v>
      </c>
      <c r="O5353">
        <v>0.99923189999999995</v>
      </c>
      <c r="P5353">
        <v>-0.1038361</v>
      </c>
      <c r="Q5353">
        <v>4.3564760000000001E-2</v>
      </c>
      <c r="R5353">
        <v>0.99363989999999902</v>
      </c>
      <c r="S5353">
        <v>4.1503909999999998E-3</v>
      </c>
      <c r="T5353">
        <v>-6.1309340000000002E-3</v>
      </c>
      <c r="U5353">
        <v>3.0200809999999998</v>
      </c>
      <c r="V5353">
        <v>-6.4944730000000006E-2</v>
      </c>
      <c r="W5353">
        <v>4.7883149999999999E-2</v>
      </c>
      <c r="X5353">
        <v>0.99673940000000005</v>
      </c>
      <c r="Y5353">
        <v>4.0335849999999999E-2</v>
      </c>
      <c r="Z5353">
        <v>-2.026913E-3</v>
      </c>
      <c r="AA5353">
        <v>0.99918410000000002</v>
      </c>
      <c r="AB5353">
        <v>49</v>
      </c>
      <c r="AC5353">
        <v>0.53110000000000901</v>
      </c>
      <c r="AD5353">
        <v>-0.75644040000000001</v>
      </c>
      <c r="AE5353">
        <v>372.16888999999998</v>
      </c>
      <c r="AF5353">
        <v>15.031328951154901</v>
      </c>
      <c r="AG5353">
        <v>-0.75644040000000001</v>
      </c>
      <c r="AH5353">
        <v>371.86406051666</v>
      </c>
      <c r="AI5353">
        <v>90.116454971844206</v>
      </c>
      <c r="AJ5353">
        <v>87.685274798967498</v>
      </c>
      <c r="AK5353">
        <v>372.16850022006798</v>
      </c>
    </row>
    <row r="5354" spans="1:37" x14ac:dyDescent="0.2">
      <c r="A5354" t="str">
        <f>"20200111154206696"</f>
        <v>20200111154206696</v>
      </c>
      <c r="B5354" t="str">
        <f>"1578728526690870"</f>
        <v>1578728526690870</v>
      </c>
      <c r="C5354" t="s">
        <v>37</v>
      </c>
      <c r="D5354">
        <v>5.139513</v>
      </c>
      <c r="E5354">
        <v>0.53851039999999994</v>
      </c>
      <c r="F5354" t="s">
        <v>43</v>
      </c>
      <c r="G5354">
        <v>-188.3039</v>
      </c>
      <c r="H5354" s="1">
        <v>3.3957310000000002E-6</v>
      </c>
      <c r="I5354">
        <v>287.85340000000002</v>
      </c>
      <c r="J5354">
        <v>-188.56890000000001</v>
      </c>
      <c r="K5354">
        <v>1.107715</v>
      </c>
      <c r="L5354">
        <v>20.21902</v>
      </c>
      <c r="M5354">
        <v>-3.804838E-2</v>
      </c>
      <c r="N5354">
        <v>0</v>
      </c>
      <c r="O5354">
        <v>0.99926700000000002</v>
      </c>
      <c r="P5354">
        <v>-0.10305449999999999</v>
      </c>
      <c r="Q5354">
        <v>4.3287609999999997E-2</v>
      </c>
      <c r="R5354">
        <v>0.99373330000000004</v>
      </c>
      <c r="S5354">
        <v>2.7618409999999901E-3</v>
      </c>
      <c r="T5354">
        <v>-1.247644E-2</v>
      </c>
      <c r="U5354">
        <v>3.0200499999999999</v>
      </c>
      <c r="V5354">
        <v>-6.5063819999999994E-2</v>
      </c>
      <c r="W5354">
        <v>4.7643089999999999E-2</v>
      </c>
      <c r="X5354">
        <v>0.99674309999999999</v>
      </c>
      <c r="Y5354">
        <v>3.8962539999999997E-2</v>
      </c>
      <c r="Z5354">
        <v>-4.1251129999999997E-3</v>
      </c>
      <c r="AA5354">
        <v>0.99923220000000001</v>
      </c>
      <c r="AB5354">
        <v>49</v>
      </c>
      <c r="AC5354">
        <v>0.265000000000014</v>
      </c>
      <c r="AD5354">
        <v>-1.1077116042690001</v>
      </c>
      <c r="AE5354">
        <v>267.63438000000002</v>
      </c>
      <c r="AF5354">
        <v>10.4477742720116</v>
      </c>
      <c r="AG5354">
        <v>-1.1077116042690001</v>
      </c>
      <c r="AH5354">
        <v>267.42591798254301</v>
      </c>
      <c r="AI5354">
        <v>90.237144022865195</v>
      </c>
      <c r="AJ5354">
        <v>87.762710887523099</v>
      </c>
      <c r="AK5354">
        <v>267.63221895176002</v>
      </c>
    </row>
    <row r="5355" spans="1:37" x14ac:dyDescent="0.2">
      <c r="A5355" t="str">
        <f>"20200111154206717"</f>
        <v>20200111154206717</v>
      </c>
      <c r="B5355" t="str">
        <f>"1578728526711365"</f>
        <v>1578728526711365</v>
      </c>
      <c r="C5355" t="s">
        <v>37</v>
      </c>
      <c r="D5355">
        <v>5.170401</v>
      </c>
      <c r="E5355">
        <v>0.53842319999999999</v>
      </c>
      <c r="F5355" t="s">
        <v>39</v>
      </c>
      <c r="G5355">
        <v>-188.46549999999999</v>
      </c>
      <c r="H5355" s="1">
        <v>-9.6729819999999902E-7</v>
      </c>
      <c r="I5355">
        <v>181.25309999999999</v>
      </c>
      <c r="J5355">
        <v>-188.58609999999999</v>
      </c>
      <c r="K5355">
        <v>1.107639</v>
      </c>
      <c r="L5355">
        <v>20.681270000000001</v>
      </c>
      <c r="M5355">
        <v>-3.7169420000000002E-2</v>
      </c>
      <c r="N5355">
        <v>0</v>
      </c>
      <c r="O5355">
        <v>0.99929990000000002</v>
      </c>
      <c r="P5355">
        <v>-0.1024785</v>
      </c>
      <c r="Q5355">
        <v>4.2735699999999897E-2</v>
      </c>
      <c r="R5355">
        <v>0.99381679999999994</v>
      </c>
      <c r="S5355">
        <v>1.9378659999999999E-3</v>
      </c>
      <c r="T5355">
        <v>-2.0774009999999999E-2</v>
      </c>
      <c r="U5355">
        <v>3.0200200000000001</v>
      </c>
      <c r="V5355">
        <v>-6.5354880000000004E-2</v>
      </c>
      <c r="W5355">
        <v>4.712583E-2</v>
      </c>
      <c r="X5355">
        <v>0.99674869999999904</v>
      </c>
      <c r="Y5355">
        <v>3.7810959999999998E-2</v>
      </c>
      <c r="Z5355">
        <v>-6.8690130000000002E-3</v>
      </c>
      <c r="AA5355">
        <v>0.99926130000000002</v>
      </c>
      <c r="AB5355">
        <v>49</v>
      </c>
      <c r="AC5355">
        <v>0.120599999999996</v>
      </c>
      <c r="AD5355">
        <v>-1.1076399672982</v>
      </c>
      <c r="AE5355">
        <v>160.57182999999901</v>
      </c>
      <c r="AF5355">
        <v>6.0886428764578397</v>
      </c>
      <c r="AG5355">
        <v>-1.1076399672982</v>
      </c>
      <c r="AH5355">
        <v>160.448751956389</v>
      </c>
      <c r="AI5355">
        <v>90.395244237654595</v>
      </c>
      <c r="AJ5355">
        <v>87.826806203733696</v>
      </c>
      <c r="AK5355">
        <v>160.56805548656601</v>
      </c>
    </row>
    <row r="5356" spans="1:37" x14ac:dyDescent="0.2">
      <c r="A5356" t="str">
        <f>"20200111154206739"</f>
        <v>20200111154206739</v>
      </c>
      <c r="B5356" t="str">
        <f>"1578728526730886"</f>
        <v>1578728526730886</v>
      </c>
      <c r="C5356" t="s">
        <v>37</v>
      </c>
      <c r="D5356">
        <v>5.1995189999999996</v>
      </c>
      <c r="E5356">
        <v>0.53841049999999901</v>
      </c>
      <c r="F5356" t="s">
        <v>46</v>
      </c>
      <c r="G5356">
        <v>-188.4631</v>
      </c>
      <c r="H5356" s="1">
        <v>-8.9236170000000003E-6</v>
      </c>
      <c r="I5356">
        <v>142.4297</v>
      </c>
      <c r="J5356">
        <v>-188.6046</v>
      </c>
      <c r="K5356">
        <v>1.1075539999999999</v>
      </c>
      <c r="L5356">
        <v>21.190860000000001</v>
      </c>
      <c r="M5356">
        <v>-3.6133869999999998E-2</v>
      </c>
      <c r="N5356">
        <v>0</v>
      </c>
      <c r="O5356">
        <v>0.9993379</v>
      </c>
      <c r="P5356">
        <v>-0.1013192</v>
      </c>
      <c r="Q5356">
        <v>4.2947300000000001E-2</v>
      </c>
      <c r="R5356">
        <v>0.99392649999999905</v>
      </c>
      <c r="S5356">
        <v>3.0517579999999999E-3</v>
      </c>
      <c r="T5356">
        <v>-2.747703E-2</v>
      </c>
      <c r="U5356">
        <v>3.0201720000000001</v>
      </c>
      <c r="V5356">
        <v>-6.5215809999999999E-2</v>
      </c>
      <c r="W5356">
        <v>4.737541E-2</v>
      </c>
      <c r="X5356">
        <v>0.99674589999999996</v>
      </c>
      <c r="Y5356">
        <v>3.7143929999999999E-2</v>
      </c>
      <c r="Z5356">
        <v>-9.0854059999999903E-3</v>
      </c>
      <c r="AA5356">
        <v>0.99926870000000001</v>
      </c>
      <c r="AB5356">
        <v>49</v>
      </c>
      <c r="AC5356">
        <v>0.14150000000000701</v>
      </c>
      <c r="AD5356">
        <v>-1.1075629236169999</v>
      </c>
      <c r="AE5356">
        <v>121.23884</v>
      </c>
      <c r="AF5356">
        <v>4.5218983592825603</v>
      </c>
      <c r="AG5356">
        <v>-1.1075629236169999</v>
      </c>
      <c r="AH5356">
        <v>121.14444146493901</v>
      </c>
      <c r="AI5356">
        <v>90.523447503489805</v>
      </c>
      <c r="AJ5356">
        <v>87.862341321839295</v>
      </c>
      <c r="AK5356">
        <v>121.233864733635</v>
      </c>
    </row>
    <row r="5357" spans="1:37" x14ac:dyDescent="0.2">
      <c r="A5357" t="str">
        <f>"20200111154206763"</f>
        <v>20200111154206763</v>
      </c>
      <c r="B5357" t="str">
        <f>"1578728526751382"</f>
        <v>1578728526751382</v>
      </c>
      <c r="C5357" t="s">
        <v>37</v>
      </c>
      <c r="D5357">
        <v>5.1249739999999999</v>
      </c>
      <c r="E5357">
        <v>0.5380933</v>
      </c>
      <c r="F5357" t="s">
        <v>46</v>
      </c>
      <c r="G5357">
        <v>-188.37190000000001</v>
      </c>
      <c r="H5357" s="1">
        <v>-4.5072790000000001E-6</v>
      </c>
      <c r="I5357">
        <v>128.58260000000001</v>
      </c>
      <c r="J5357">
        <v>-188.6225</v>
      </c>
      <c r="K5357">
        <v>1.1074709999999901</v>
      </c>
      <c r="L5357">
        <v>21.69763</v>
      </c>
      <c r="M5357">
        <v>-3.503684E-2</v>
      </c>
      <c r="N5357">
        <v>0</v>
      </c>
      <c r="O5357">
        <v>0.99937679999999995</v>
      </c>
      <c r="P5357">
        <v>-0.10011249999999999</v>
      </c>
      <c r="Q5357">
        <v>4.3320860000000003E-2</v>
      </c>
      <c r="R5357">
        <v>0.99403259999999904</v>
      </c>
      <c r="S5357">
        <v>6.546021E-3</v>
      </c>
      <c r="T5357">
        <v>-3.1149389999999999E-2</v>
      </c>
      <c r="U5357">
        <v>3.0203250000000001</v>
      </c>
      <c r="V5357">
        <v>-6.5089530000000007E-2</v>
      </c>
      <c r="W5357">
        <v>4.7786460000000003E-2</v>
      </c>
      <c r="X5357">
        <v>0.99673459999999903</v>
      </c>
      <c r="Y5357">
        <v>3.7202949999999999E-2</v>
      </c>
      <c r="Z5357">
        <v>-1.0299630000000001E-2</v>
      </c>
      <c r="AA5357">
        <v>0.99925459999999999</v>
      </c>
      <c r="AB5357">
        <v>49</v>
      </c>
      <c r="AC5357">
        <v>0.250599999999991</v>
      </c>
      <c r="AD5357">
        <v>-1.1074755072789999</v>
      </c>
      <c r="AE5357">
        <v>106.88497</v>
      </c>
      <c r="AF5357">
        <v>3.9949633495303498</v>
      </c>
      <c r="AG5357">
        <v>-1.1074755072789999</v>
      </c>
      <c r="AH5357">
        <v>106.79909770716399</v>
      </c>
      <c r="AI5357">
        <v>90.593704044337599</v>
      </c>
      <c r="AJ5357">
        <v>87.857773383287395</v>
      </c>
      <c r="AK5357">
        <v>106.879527998713</v>
      </c>
    </row>
    <row r="5358" spans="1:37" x14ac:dyDescent="0.2">
      <c r="A5358" t="str">
        <f>"20200111154206784"</f>
        <v>20200111154206784</v>
      </c>
      <c r="B5358" t="str">
        <f>"1578728526781638"</f>
        <v>1578728526781638</v>
      </c>
      <c r="C5358" t="s">
        <v>37</v>
      </c>
      <c r="D5358">
        <v>5.1883759999999999</v>
      </c>
      <c r="E5358">
        <v>0.53776650000000004</v>
      </c>
      <c r="F5358" t="s">
        <v>39</v>
      </c>
      <c r="G5358">
        <v>-188.37620000000001</v>
      </c>
      <c r="H5358" s="1">
        <v>-3.4894480000000001E-6</v>
      </c>
      <c r="I5358">
        <v>117.09529999999999</v>
      </c>
      <c r="J5358">
        <v>-188.63890000000001</v>
      </c>
      <c r="K5358">
        <v>1.1073899999999901</v>
      </c>
      <c r="L5358">
        <v>22.180510000000002</v>
      </c>
      <c r="M5358">
        <v>-3.392891E-2</v>
      </c>
      <c r="N5358">
        <v>0</v>
      </c>
      <c r="O5358">
        <v>0.99941489999999999</v>
      </c>
      <c r="P5358">
        <v>-9.9238919999999994E-2</v>
      </c>
      <c r="Q5358">
        <v>4.3987800000000001E-2</v>
      </c>
      <c r="R5358">
        <v>0.9940909</v>
      </c>
      <c r="S5358">
        <v>7.7972409999999999E-3</v>
      </c>
      <c r="T5358">
        <v>-3.5063030000000002E-2</v>
      </c>
      <c r="U5358">
        <v>3.0203250000000001</v>
      </c>
      <c r="V5358">
        <v>-6.5308320000000003E-2</v>
      </c>
      <c r="W5358">
        <v>4.8490400000000003E-2</v>
      </c>
      <c r="X5358">
        <v>0.99668630000000003</v>
      </c>
      <c r="Y5358">
        <v>3.6509029999999998E-2</v>
      </c>
      <c r="Z5358">
        <v>-1.159433E-2</v>
      </c>
      <c r="AA5358">
        <v>0.99926610000000005</v>
      </c>
      <c r="AB5358">
        <v>50</v>
      </c>
      <c r="AC5358">
        <v>0.26269999999999499</v>
      </c>
      <c r="AD5358">
        <v>-1.107393489448</v>
      </c>
      <c r="AE5358">
        <v>94.914789999999996</v>
      </c>
      <c r="AF5358">
        <v>3.4824601599214202</v>
      </c>
      <c r="AG5358">
        <v>-1.107393489448</v>
      </c>
      <c r="AH5358">
        <v>94.838318749804699</v>
      </c>
      <c r="AI5358">
        <v>90.668541616630407</v>
      </c>
      <c r="AJ5358">
        <v>87.897045568623298</v>
      </c>
      <c r="AK5358">
        <v>94.908695873431299</v>
      </c>
    </row>
    <row r="5359" spans="1:37" x14ac:dyDescent="0.2">
      <c r="A5359" t="str">
        <f>"20200111154206807"</f>
        <v>20200111154206807</v>
      </c>
      <c r="B5359" t="str">
        <f>"1578728526801158"</f>
        <v>1578728526801158</v>
      </c>
      <c r="C5359" t="s">
        <v>37</v>
      </c>
      <c r="D5359">
        <v>5.2326600000000001</v>
      </c>
      <c r="E5359">
        <v>0.53768159999999998</v>
      </c>
      <c r="F5359" t="s">
        <v>39</v>
      </c>
      <c r="G5359">
        <v>-188.4059</v>
      </c>
      <c r="H5359" s="1">
        <v>-3.4936849999999999E-6</v>
      </c>
      <c r="I5359">
        <v>107.11750000000001</v>
      </c>
      <c r="J5359">
        <v>-188.65629999999999</v>
      </c>
      <c r="K5359">
        <v>1.1072959999999901</v>
      </c>
      <c r="L5359">
        <v>22.705690000000001</v>
      </c>
      <c r="M5359">
        <v>-3.2664390000000001E-2</v>
      </c>
      <c r="N5359">
        <v>0</v>
      </c>
      <c r="O5359">
        <v>0.99945689999999998</v>
      </c>
      <c r="P5359">
        <v>-9.8278039999999997E-2</v>
      </c>
      <c r="Q5359">
        <v>4.3631620000000003E-2</v>
      </c>
      <c r="R5359">
        <v>0.99420200000000003</v>
      </c>
      <c r="S5359">
        <v>8.285522E-3</v>
      </c>
      <c r="T5359">
        <v>-3.9379240000000003E-2</v>
      </c>
      <c r="U5359">
        <v>3.0203859999999998</v>
      </c>
      <c r="V5359">
        <v>-6.5596829999999995E-2</v>
      </c>
      <c r="W5359">
        <v>4.8174630000000003E-2</v>
      </c>
      <c r="X5359">
        <v>0.99668259999999897</v>
      </c>
      <c r="Y5359">
        <v>3.5406060000000003E-2</v>
      </c>
      <c r="Z5359">
        <v>-1.302216E-2</v>
      </c>
      <c r="AA5359">
        <v>0.99928809999999901</v>
      </c>
      <c r="AB5359">
        <v>50</v>
      </c>
      <c r="AC5359">
        <v>0.25039999999998402</v>
      </c>
      <c r="AD5359">
        <v>-1.10729949368499</v>
      </c>
      <c r="AE5359">
        <v>84.411810000000003</v>
      </c>
      <c r="AF5359">
        <v>3.00703533767815</v>
      </c>
      <c r="AG5359">
        <v>-1.10729949368499</v>
      </c>
      <c r="AH5359">
        <v>84.3440721958832</v>
      </c>
      <c r="AI5359">
        <v>90.751679001395502</v>
      </c>
      <c r="AJ5359">
        <v>87.958155358681594</v>
      </c>
      <c r="AK5359">
        <v>84.404922180374797</v>
      </c>
    </row>
    <row r="5360" spans="1:37" x14ac:dyDescent="0.2">
      <c r="A5360" t="str">
        <f>"20200111154206829"</f>
        <v>20200111154206829</v>
      </c>
      <c r="B5360" t="str">
        <f>"1578728526821654"</f>
        <v>1578728526821654</v>
      </c>
      <c r="C5360" t="s">
        <v>37</v>
      </c>
      <c r="D5360">
        <v>5.2638530000000001</v>
      </c>
      <c r="E5360">
        <v>0.53763989999999995</v>
      </c>
      <c r="F5360" t="s">
        <v>39</v>
      </c>
      <c r="G5360">
        <v>-188.3852</v>
      </c>
      <c r="H5360" s="1">
        <v>-5.1908900000000005E-7</v>
      </c>
      <c r="I5360">
        <v>99.910839999999993</v>
      </c>
      <c r="J5360">
        <v>-188.6713</v>
      </c>
      <c r="K5360">
        <v>1.107219</v>
      </c>
      <c r="L5360">
        <v>23.180789999999998</v>
      </c>
      <c r="M5360">
        <v>-3.1479979999999998E-2</v>
      </c>
      <c r="N5360">
        <v>0</v>
      </c>
      <c r="O5360">
        <v>0.99949489999999996</v>
      </c>
      <c r="P5360">
        <v>-9.7453529999999997E-2</v>
      </c>
      <c r="Q5360">
        <v>4.3066739999999999E-2</v>
      </c>
      <c r="R5360">
        <v>0.99430779999999996</v>
      </c>
      <c r="S5360">
        <v>1.0604860000000001E-2</v>
      </c>
      <c r="T5360">
        <v>-4.3320060000000001E-2</v>
      </c>
      <c r="U5360">
        <v>3.0204469999999999</v>
      </c>
      <c r="V5360">
        <v>-6.5944030000000001E-2</v>
      </c>
      <c r="W5360">
        <v>4.7645470000000002E-2</v>
      </c>
      <c r="X5360">
        <v>0.99668509999999999</v>
      </c>
      <c r="Y5360">
        <v>3.4988980000000003E-2</v>
      </c>
      <c r="Z5360">
        <v>-1.43257E-2</v>
      </c>
      <c r="AA5360">
        <v>0.99928499999999998</v>
      </c>
      <c r="AB5360">
        <v>50</v>
      </c>
      <c r="AC5360">
        <v>0.28610000000000402</v>
      </c>
      <c r="AD5360">
        <v>-1.107219519089</v>
      </c>
      <c r="AE5360">
        <v>76.730050000000006</v>
      </c>
      <c r="AF5360">
        <v>2.70087914686605</v>
      </c>
      <c r="AG5360">
        <v>-1.107219519089</v>
      </c>
      <c r="AH5360">
        <v>76.667050116160098</v>
      </c>
      <c r="AI5360">
        <v>90.826890749208204</v>
      </c>
      <c r="AJ5360">
        <v>87.982379576457504</v>
      </c>
      <c r="AK5360">
        <v>76.722599387294196</v>
      </c>
    </row>
    <row r="5361" spans="1:37" x14ac:dyDescent="0.2">
      <c r="A5361" t="str">
        <f>"20200111154206852"</f>
        <v>20200111154206852</v>
      </c>
      <c r="B5361" t="str">
        <f>"1578728526841174"</f>
        <v>1578728526841174</v>
      </c>
      <c r="C5361" t="s">
        <v>37</v>
      </c>
      <c r="D5361">
        <v>5.2116629999999997</v>
      </c>
      <c r="E5361">
        <v>0.53760649999999999</v>
      </c>
      <c r="F5361" t="s">
        <v>39</v>
      </c>
      <c r="G5361">
        <v>-188.3612</v>
      </c>
      <c r="H5361" s="1">
        <v>-2.58355399999999E-6</v>
      </c>
      <c r="I5361">
        <v>94.97748</v>
      </c>
      <c r="J5361">
        <v>-188.68729999999999</v>
      </c>
      <c r="K5361">
        <v>1.1071409999999999</v>
      </c>
      <c r="L5361">
        <v>23.70645</v>
      </c>
      <c r="M5361">
        <v>-3.0128849999999999E-2</v>
      </c>
      <c r="N5361">
        <v>0</v>
      </c>
      <c r="O5361">
        <v>0.99953630000000004</v>
      </c>
      <c r="P5361">
        <v>-9.6346619999999994E-2</v>
      </c>
      <c r="Q5361">
        <v>4.3344550000000003E-2</v>
      </c>
      <c r="R5361">
        <v>0.99440360000000005</v>
      </c>
      <c r="S5361">
        <v>1.304626E-2</v>
      </c>
      <c r="T5361">
        <v>-4.6580669999999998E-2</v>
      </c>
      <c r="U5361">
        <v>3.0204770000000001</v>
      </c>
      <c r="V5361">
        <v>-6.6172560000000005E-2</v>
      </c>
      <c r="W5361">
        <v>4.7962209999999998E-2</v>
      </c>
      <c r="X5361">
        <v>0.99665479999999995</v>
      </c>
      <c r="Y5361">
        <v>3.4445620000000003E-2</v>
      </c>
      <c r="Z5361">
        <v>-1.5404640000000001E-2</v>
      </c>
      <c r="AA5361">
        <v>0.99928779999999995</v>
      </c>
      <c r="AB5361">
        <v>50</v>
      </c>
      <c r="AC5361">
        <v>0.326099999999996</v>
      </c>
      <c r="AD5361">
        <v>-1.107143583554</v>
      </c>
      <c r="AE5361">
        <v>71.271029999999996</v>
      </c>
      <c r="AF5361">
        <v>2.47269031552631</v>
      </c>
      <c r="AG5361">
        <v>-1.107143583554</v>
      </c>
      <c r="AH5361">
        <v>71.211664875383505</v>
      </c>
      <c r="AI5361">
        <v>90.890182062452297</v>
      </c>
      <c r="AJ5361">
        <v>88.011311465207598</v>
      </c>
      <c r="AK5361">
        <v>71.263182490224395</v>
      </c>
    </row>
    <row r="5362" spans="1:37" x14ac:dyDescent="0.2">
      <c r="A5362" t="str">
        <f>"20200111154206875"</f>
        <v>20200111154206875</v>
      </c>
      <c r="B5362" t="str">
        <f>"1578728526871430"</f>
        <v>1578728526871430</v>
      </c>
      <c r="C5362" t="s">
        <v>37</v>
      </c>
      <c r="D5362">
        <v>5.2907440000000001</v>
      </c>
      <c r="E5362">
        <v>0.5375934</v>
      </c>
      <c r="F5362" t="s">
        <v>39</v>
      </c>
      <c r="G5362">
        <v>-188.31450000000001</v>
      </c>
      <c r="H5362" s="1">
        <v>-2.1741949999999999E-6</v>
      </c>
      <c r="I5362">
        <v>94.003929999999997</v>
      </c>
      <c r="J5362">
        <v>-188.7021</v>
      </c>
      <c r="K5362">
        <v>1.10707</v>
      </c>
      <c r="L5362">
        <v>24.211179999999999</v>
      </c>
      <c r="M5362">
        <v>-2.8798170000000001E-2</v>
      </c>
      <c r="N5362">
        <v>0</v>
      </c>
      <c r="O5362">
        <v>0.99957549999999995</v>
      </c>
      <c r="P5362">
        <v>-9.4816090000000006E-2</v>
      </c>
      <c r="Q5362">
        <v>4.3845120000000001E-2</v>
      </c>
      <c r="R5362">
        <v>0.99452879999999999</v>
      </c>
      <c r="S5362">
        <v>1.6021730000000001E-2</v>
      </c>
      <c r="T5362">
        <v>-4.7571179999999998E-2</v>
      </c>
      <c r="U5362">
        <v>3.020508</v>
      </c>
      <c r="V5362">
        <v>-6.5956050000000002E-2</v>
      </c>
      <c r="W5362">
        <v>4.849755E-2</v>
      </c>
      <c r="X5362">
        <v>0.99664319999999895</v>
      </c>
      <c r="Y5362">
        <v>3.409943E-2</v>
      </c>
      <c r="Z5362">
        <v>-1.5732960000000001E-2</v>
      </c>
      <c r="AA5362">
        <v>0.99929460000000003</v>
      </c>
      <c r="AB5362">
        <v>50</v>
      </c>
      <c r="AC5362">
        <v>0.38759999999999201</v>
      </c>
      <c r="AD5362">
        <v>-1.107072174195</v>
      </c>
      <c r="AE5362">
        <v>69.792749999999998</v>
      </c>
      <c r="AF5362">
        <v>2.39675926507614</v>
      </c>
      <c r="AG5362">
        <v>-1.107072174195</v>
      </c>
      <c r="AH5362">
        <v>69.735094741060294</v>
      </c>
      <c r="AI5362">
        <v>90.908980105639401</v>
      </c>
      <c r="AJ5362">
        <v>88.0315484294687</v>
      </c>
      <c r="AK5362">
        <v>69.785052140972596</v>
      </c>
    </row>
    <row r="5363" spans="1:37" x14ac:dyDescent="0.2">
      <c r="A5363" t="str">
        <f>"20200111154206897"</f>
        <v>20200111154206897</v>
      </c>
      <c r="B5363" t="str">
        <f>"1578728526890950"</f>
        <v>1578728526890950</v>
      </c>
      <c r="C5363" t="s">
        <v>37</v>
      </c>
      <c r="D5363">
        <v>5.2828269999999904</v>
      </c>
      <c r="E5363">
        <v>0.53758930000000005</v>
      </c>
      <c r="F5363" t="s">
        <v>39</v>
      </c>
      <c r="G5363">
        <v>-188.2467</v>
      </c>
      <c r="H5363" s="1">
        <v>-8.7200950000000002E-7</v>
      </c>
      <c r="I5363">
        <v>90.839650000000006</v>
      </c>
      <c r="J5363">
        <v>-188.7165</v>
      </c>
      <c r="K5363">
        <v>1.107</v>
      </c>
      <c r="L5363">
        <v>24.728819999999999</v>
      </c>
      <c r="M5363">
        <v>-2.7404560000000001E-2</v>
      </c>
      <c r="N5363">
        <v>0</v>
      </c>
      <c r="O5363">
        <v>0.99961449999999996</v>
      </c>
      <c r="P5363">
        <v>-9.3759540000000002E-2</v>
      </c>
      <c r="Q5363">
        <v>4.3414620000000001E-2</v>
      </c>
      <c r="R5363">
        <v>0.99464789999999903</v>
      </c>
      <c r="S5363">
        <v>2.0645139999999999E-2</v>
      </c>
      <c r="T5363">
        <v>-5.0190569999999997E-2</v>
      </c>
      <c r="U5363">
        <v>3.0206909999999998</v>
      </c>
      <c r="V5363">
        <v>-6.6279989999999997E-2</v>
      </c>
      <c r="W5363">
        <v>4.8103659999999999E-2</v>
      </c>
      <c r="X5363">
        <v>0.99664089999999905</v>
      </c>
      <c r="Y5363">
        <v>3.4235099999999997E-2</v>
      </c>
      <c r="Z5363">
        <v>-1.659888E-2</v>
      </c>
      <c r="AA5363">
        <v>0.99927600000000005</v>
      </c>
      <c r="AB5363">
        <v>50</v>
      </c>
      <c r="AC5363">
        <v>0.469799999999992</v>
      </c>
      <c r="AD5363">
        <v>-1.1070008720094999</v>
      </c>
      <c r="AE5363">
        <v>66.110830000000007</v>
      </c>
      <c r="AF5363">
        <v>2.2807402854916501</v>
      </c>
      <c r="AG5363">
        <v>-1.1070008720094999</v>
      </c>
      <c r="AH5363">
        <v>66.054605498519606</v>
      </c>
      <c r="AI5363">
        <v>90.959551216577097</v>
      </c>
      <c r="AJ5363">
        <v>88.022470982406404</v>
      </c>
      <c r="AK5363">
        <v>66.103238458834596</v>
      </c>
    </row>
    <row r="5364" spans="1:37" x14ac:dyDescent="0.2">
      <c r="A5364" t="str">
        <f>"20200111154206918"</f>
        <v>20200111154206918</v>
      </c>
      <c r="B5364" t="str">
        <f>"1578728526911446"</f>
        <v>1578728526911446</v>
      </c>
      <c r="C5364" t="s">
        <v>37</v>
      </c>
      <c r="D5364">
        <v>5.2655430000000001</v>
      </c>
      <c r="E5364">
        <v>0.53754399999999902</v>
      </c>
      <c r="F5364" t="s">
        <v>39</v>
      </c>
      <c r="G5364">
        <v>-188.2209</v>
      </c>
      <c r="H5364" s="1">
        <v>-3.6025459999999998E-6</v>
      </c>
      <c r="I5364">
        <v>87.294780000000003</v>
      </c>
      <c r="J5364">
        <v>-188.72909999999999</v>
      </c>
      <c r="K5364">
        <v>1.106943</v>
      </c>
      <c r="L5364">
        <v>25.202549999999999</v>
      </c>
      <c r="M5364">
        <v>-2.610664E-2</v>
      </c>
      <c r="N5364">
        <v>0</v>
      </c>
      <c r="O5364">
        <v>0.99964920000000002</v>
      </c>
      <c r="P5364">
        <v>-9.2766370000000001E-2</v>
      </c>
      <c r="Q5364">
        <v>4.3538279999999999E-2</v>
      </c>
      <c r="R5364">
        <v>0.99473549999999999</v>
      </c>
      <c r="S5364">
        <v>2.3925780000000001E-2</v>
      </c>
      <c r="T5364">
        <v>-5.3446769999999998E-2</v>
      </c>
      <c r="U5364">
        <v>3.020721</v>
      </c>
      <c r="V5364">
        <v>-6.6571740000000004E-2</v>
      </c>
      <c r="W5364">
        <v>4.8260829999999998E-2</v>
      </c>
      <c r="X5364">
        <v>0.99661379999999999</v>
      </c>
      <c r="Y5364">
        <v>3.4022450000000003E-2</v>
      </c>
      <c r="Z5364">
        <v>-1.7676170000000001E-2</v>
      </c>
      <c r="AA5364">
        <v>0.99926469999999901</v>
      </c>
      <c r="AB5364">
        <v>51</v>
      </c>
      <c r="AC5364">
        <v>0.50819999999998799</v>
      </c>
      <c r="AD5364">
        <v>-1.106946602546</v>
      </c>
      <c r="AE5364">
        <v>62.092230000000001</v>
      </c>
      <c r="AF5364">
        <v>2.12838603011275</v>
      </c>
      <c r="AG5364">
        <v>-1.106946602546</v>
      </c>
      <c r="AH5364">
        <v>62.0380832447483</v>
      </c>
      <c r="AI5364">
        <v>91.021620191157595</v>
      </c>
      <c r="AJ5364">
        <v>88.035082337098302</v>
      </c>
      <c r="AK5364">
        <v>62.084451600673603</v>
      </c>
    </row>
    <row r="5365" spans="1:37" x14ac:dyDescent="0.2">
      <c r="A5365" t="str">
        <f>"20200111154206941"</f>
        <v>20200111154206941</v>
      </c>
      <c r="B5365" t="str">
        <f>"1578728526930966"</f>
        <v>1578728526930966</v>
      </c>
      <c r="C5365" t="s">
        <v>37</v>
      </c>
      <c r="D5365">
        <v>5.2546589999999904</v>
      </c>
      <c r="E5365">
        <v>0.53752049999999996</v>
      </c>
      <c r="F5365" t="s">
        <v>39</v>
      </c>
      <c r="G5365">
        <v>-188.1875</v>
      </c>
      <c r="H5365" s="1">
        <v>-3.0731619999999999E-6</v>
      </c>
      <c r="I5365">
        <v>86.046949999999995</v>
      </c>
      <c r="J5365">
        <v>-188.7423</v>
      </c>
      <c r="K5365">
        <v>1.1068770000000001</v>
      </c>
      <c r="L5365">
        <v>25.728670000000001</v>
      </c>
      <c r="M5365">
        <v>-2.4643180000000001E-2</v>
      </c>
      <c r="N5365">
        <v>0</v>
      </c>
      <c r="O5365">
        <v>0.99968619999999997</v>
      </c>
      <c r="P5365">
        <v>-9.1317460000000003E-2</v>
      </c>
      <c r="Q5365">
        <v>4.3889240000000003E-2</v>
      </c>
      <c r="R5365">
        <v>0.99485419999999902</v>
      </c>
      <c r="S5365">
        <v>2.6885989999999999E-2</v>
      </c>
      <c r="T5365">
        <v>-5.4957270000000003E-2</v>
      </c>
      <c r="U5365">
        <v>3.0207820000000001</v>
      </c>
      <c r="V5365">
        <v>-6.6570980000000002E-2</v>
      </c>
      <c r="W5365">
        <v>4.8646620000000002E-2</v>
      </c>
      <c r="X5365">
        <v>0.99659509999999996</v>
      </c>
      <c r="Y5365">
        <v>3.3538270000000002E-2</v>
      </c>
      <c r="Z5365">
        <v>-1.8176290000000001E-2</v>
      </c>
      <c r="AA5365">
        <v>0.99927219999999894</v>
      </c>
      <c r="AB5365">
        <v>51</v>
      </c>
      <c r="AC5365">
        <v>0.55479999999999996</v>
      </c>
      <c r="AD5365">
        <v>-1.1068800731620001</v>
      </c>
      <c r="AE5365">
        <v>60.318280000000001</v>
      </c>
      <c r="AF5365">
        <v>2.0403937280725701</v>
      </c>
      <c r="AG5365">
        <v>-1.1068800731620001</v>
      </c>
      <c r="AH5365">
        <v>60.265996786821603</v>
      </c>
      <c r="AI5365">
        <v>91.051606645646004</v>
      </c>
      <c r="AJ5365">
        <v>88.060908009961395</v>
      </c>
      <c r="AK5365">
        <v>60.310685278573203</v>
      </c>
    </row>
    <row r="5366" spans="1:37" x14ac:dyDescent="0.2">
      <c r="A5366" t="str">
        <f>"20200111154206964"</f>
        <v>20200111154206964</v>
      </c>
      <c r="B5366" t="str">
        <f>"1578728526961173"</f>
        <v>1578728526961173</v>
      </c>
      <c r="C5366" t="s">
        <v>37</v>
      </c>
      <c r="D5366">
        <v>5.27562</v>
      </c>
      <c r="E5366">
        <v>0.5374871</v>
      </c>
      <c r="F5366" t="s">
        <v>39</v>
      </c>
      <c r="G5366">
        <v>-188.12209999999999</v>
      </c>
      <c r="H5366" s="1">
        <v>-2.9902659999999999E-6</v>
      </c>
      <c r="I5366">
        <v>85.826689999999999</v>
      </c>
      <c r="J5366">
        <v>-188.75450000000001</v>
      </c>
      <c r="K5366">
        <v>1.106816</v>
      </c>
      <c r="L5366">
        <v>26.23874</v>
      </c>
      <c r="M5366">
        <v>-2.3203370000000001E-2</v>
      </c>
      <c r="N5366">
        <v>0</v>
      </c>
      <c r="O5366">
        <v>0.99972059999999996</v>
      </c>
      <c r="P5366">
        <v>-8.9956220000000003E-2</v>
      </c>
      <c r="Q5366">
        <v>4.3720139999999998E-2</v>
      </c>
      <c r="R5366">
        <v>0.99498560000000003</v>
      </c>
      <c r="S5366">
        <v>3.117371E-2</v>
      </c>
      <c r="T5366">
        <v>-5.5637599999999898E-2</v>
      </c>
      <c r="U5366">
        <v>3.0208439999999999</v>
      </c>
      <c r="V5366">
        <v>-6.6636989999999993E-2</v>
      </c>
      <c r="W5366">
        <v>4.8511360000000003E-2</v>
      </c>
      <c r="X5366">
        <v>0.99659730000000002</v>
      </c>
      <c r="Y5366">
        <v>3.3516820000000003E-2</v>
      </c>
      <c r="Z5366">
        <v>-1.8401669999999998E-2</v>
      </c>
      <c r="AA5366">
        <v>0.99926870000000001</v>
      </c>
      <c r="AB5366">
        <v>51</v>
      </c>
      <c r="AC5366">
        <v>0.63240000000001795</v>
      </c>
      <c r="AD5366">
        <v>-1.1068189902659999</v>
      </c>
      <c r="AE5366">
        <v>59.5879499999999</v>
      </c>
      <c r="AF5366">
        <v>2.01419019085934</v>
      </c>
      <c r="AG5366">
        <v>-1.1068189902659999</v>
      </c>
      <c r="AH5366">
        <v>59.536693925113497</v>
      </c>
      <c r="AI5366">
        <v>91.064427682417701</v>
      </c>
      <c r="AJ5366">
        <v>88.062361356836803</v>
      </c>
      <c r="AK5366">
        <v>59.581036697382302</v>
      </c>
    </row>
    <row r="5367" spans="1:37" x14ac:dyDescent="0.2">
      <c r="A5367" t="str">
        <f>"20200111154206986"</f>
        <v>20200111154206986</v>
      </c>
      <c r="B5367" t="str">
        <f>"1578728526980695"</f>
        <v>1578728526980695</v>
      </c>
      <c r="C5367" t="s">
        <v>37</v>
      </c>
      <c r="D5367">
        <v>5.2845399999999998</v>
      </c>
      <c r="E5367">
        <v>0.53738889999999995</v>
      </c>
      <c r="F5367" t="s">
        <v>39</v>
      </c>
      <c r="G5367">
        <v>-188.0864</v>
      </c>
      <c r="H5367" s="1">
        <v>-2.12391799999999E-6</v>
      </c>
      <c r="I5367">
        <v>83.792429999999996</v>
      </c>
      <c r="J5367">
        <v>-188.76570000000001</v>
      </c>
      <c r="K5367">
        <v>1.106762</v>
      </c>
      <c r="L5367">
        <v>26.744450000000001</v>
      </c>
      <c r="M5367">
        <v>-2.1756770000000002E-2</v>
      </c>
      <c r="N5367">
        <v>0</v>
      </c>
      <c r="O5367">
        <v>0.999753</v>
      </c>
      <c r="P5367">
        <v>-8.8795189999999996E-2</v>
      </c>
      <c r="Q5367">
        <v>4.2847169999999997E-2</v>
      </c>
      <c r="R5367">
        <v>0.99512789999999995</v>
      </c>
      <c r="S5367">
        <v>3.5064699999999997E-2</v>
      </c>
      <c r="T5367">
        <v>-5.8094020000000003E-2</v>
      </c>
      <c r="U5367">
        <v>3.0208439999999999</v>
      </c>
      <c r="V5367">
        <v>-6.6912940000000004E-2</v>
      </c>
      <c r="W5367">
        <v>4.7672140000000002E-2</v>
      </c>
      <c r="X5367">
        <v>0.99661929999999999</v>
      </c>
      <c r="Y5367">
        <v>3.3357449999999997E-2</v>
      </c>
      <c r="Z5367">
        <v>-1.9214680000000001E-2</v>
      </c>
      <c r="AA5367">
        <v>0.9992588</v>
      </c>
      <c r="AB5367">
        <v>51</v>
      </c>
      <c r="AC5367">
        <v>0.67930000000001201</v>
      </c>
      <c r="AD5367">
        <v>-1.1067641239179999</v>
      </c>
      <c r="AE5367">
        <v>57.047980000000003</v>
      </c>
      <c r="AF5367">
        <v>1.91960934967473</v>
      </c>
      <c r="AG5367">
        <v>-1.1067641239179999</v>
      </c>
      <c r="AH5367">
        <v>56.998246456334201</v>
      </c>
      <c r="AI5367">
        <v>91.1117715154693</v>
      </c>
      <c r="AJ5367">
        <v>88.071099269669006</v>
      </c>
      <c r="AK5367">
        <v>57.041300177839297</v>
      </c>
    </row>
    <row r="5368" spans="1:37" x14ac:dyDescent="0.2">
      <c r="A5368" t="str">
        <f>"20200111154207009"</f>
        <v>20200111154207009</v>
      </c>
      <c r="B5368" t="str">
        <f>"1578728527001189"</f>
        <v>1578728527001189</v>
      </c>
      <c r="C5368" t="s">
        <v>37</v>
      </c>
      <c r="D5368">
        <v>5.2892769999999896</v>
      </c>
      <c r="E5368">
        <v>0.53736110000000004</v>
      </c>
      <c r="F5368" t="s">
        <v>39</v>
      </c>
      <c r="G5368">
        <v>-188.08170000000001</v>
      </c>
      <c r="H5368" s="1">
        <v>-9.4665939999999998E-7</v>
      </c>
      <c r="I5368">
        <v>80.930009999999996</v>
      </c>
      <c r="J5368">
        <v>-188.77709999999999</v>
      </c>
      <c r="K5368">
        <v>1.1067020000000001</v>
      </c>
      <c r="L5368">
        <v>27.295409999999901</v>
      </c>
      <c r="M5368">
        <v>-2.016387E-2</v>
      </c>
      <c r="N5368">
        <v>0</v>
      </c>
      <c r="O5368">
        <v>0.99978630000000002</v>
      </c>
      <c r="P5368">
        <v>-8.7440509999999999E-2</v>
      </c>
      <c r="Q5368">
        <v>4.2277299999999997E-2</v>
      </c>
      <c r="R5368">
        <v>0.99527219999999905</v>
      </c>
      <c r="S5368">
        <v>3.8131709999999999E-2</v>
      </c>
      <c r="T5368">
        <v>-6.1700110000000002E-2</v>
      </c>
      <c r="U5368">
        <v>3.0207519999999999</v>
      </c>
      <c r="V5368">
        <v>-6.7140389999999994E-2</v>
      </c>
      <c r="W5368">
        <v>4.7138689999999997E-2</v>
      </c>
      <c r="X5368">
        <v>0.9966294</v>
      </c>
      <c r="Y5368">
        <v>3.2779519999999999E-2</v>
      </c>
      <c r="Z5368">
        <v>-2.0408619999999999E-2</v>
      </c>
      <c r="AA5368">
        <v>0.99925419999999998</v>
      </c>
      <c r="AB5368">
        <v>51</v>
      </c>
      <c r="AC5368">
        <v>0.69539999999997804</v>
      </c>
      <c r="AD5368">
        <v>-1.1067029466593901</v>
      </c>
      <c r="AE5368">
        <v>53.634599999999999</v>
      </c>
      <c r="AF5368">
        <v>1.7759949159466299</v>
      </c>
      <c r="AG5368">
        <v>-1.1067029466593901</v>
      </c>
      <c r="AH5368">
        <v>53.586861457183801</v>
      </c>
      <c r="AI5368">
        <v>91.182484136759498</v>
      </c>
      <c r="AJ5368">
        <v>88.101777605233295</v>
      </c>
      <c r="AK5368">
        <v>53.627704315819997</v>
      </c>
    </row>
    <row r="5369" spans="1:37" x14ac:dyDescent="0.2">
      <c r="A5369" t="str">
        <f>"20200111154207030"</f>
        <v>20200111154207030</v>
      </c>
      <c r="B5369" t="str">
        <f>"1578728527020708"</f>
        <v>1578728527020708</v>
      </c>
      <c r="C5369" t="s">
        <v>37</v>
      </c>
      <c r="D5369">
        <v>5.2908189999999999</v>
      </c>
      <c r="E5369">
        <v>0.53732419999999903</v>
      </c>
      <c r="F5369" t="s">
        <v>39</v>
      </c>
      <c r="G5369">
        <v>-188.05619999999999</v>
      </c>
      <c r="H5369" s="1">
        <v>-4.3988189999999996E-6</v>
      </c>
      <c r="I5369">
        <v>79.08278</v>
      </c>
      <c r="J5369">
        <v>-188.78620000000001</v>
      </c>
      <c r="K5369">
        <v>1.106652</v>
      </c>
      <c r="L5369">
        <v>27.764679999999998</v>
      </c>
      <c r="M5369">
        <v>-1.879519E-2</v>
      </c>
      <c r="N5369">
        <v>0</v>
      </c>
      <c r="O5369">
        <v>0.99981279999999995</v>
      </c>
      <c r="P5369">
        <v>-8.6147260000000003E-2</v>
      </c>
      <c r="Q5369">
        <v>4.1968249999999999E-2</v>
      </c>
      <c r="R5369">
        <v>0.99539800000000001</v>
      </c>
      <c r="S5369">
        <v>4.2053220000000002E-2</v>
      </c>
      <c r="T5369">
        <v>-6.4552780000000004E-2</v>
      </c>
      <c r="U5369">
        <v>3.0206909999999998</v>
      </c>
      <c r="V5369">
        <v>-6.7205879999999996E-2</v>
      </c>
      <c r="W5369">
        <v>4.6859089999999999E-2</v>
      </c>
      <c r="X5369">
        <v>0.99663809999999997</v>
      </c>
      <c r="Y5369">
        <v>3.2708309999999997E-2</v>
      </c>
      <c r="Z5369">
        <v>-2.1352920000000001E-2</v>
      </c>
      <c r="AA5369">
        <v>0.99923680000000004</v>
      </c>
      <c r="AB5369">
        <v>51</v>
      </c>
      <c r="AC5369">
        <v>0.73000000000001797</v>
      </c>
      <c r="AD5369">
        <v>-1.1066563988189999</v>
      </c>
      <c r="AE5369">
        <v>51.318100000000001</v>
      </c>
      <c r="AF5369">
        <v>1.69362723054917</v>
      </c>
      <c r="AG5369">
        <v>-1.1066563988189999</v>
      </c>
      <c r="AH5369">
        <v>51.271475937445899</v>
      </c>
      <c r="AI5369">
        <v>91.235820643892097</v>
      </c>
      <c r="AJ5369">
        <v>88.108062631242106</v>
      </c>
      <c r="AK5369">
        <v>51.311375993878798</v>
      </c>
    </row>
    <row r="5370" spans="1:37" x14ac:dyDescent="0.2">
      <c r="A5370" t="str">
        <f>"20200111154207052"</f>
        <v>20200111154207052</v>
      </c>
      <c r="B5370" t="str">
        <f>"1578728527041205"</f>
        <v>1578728527041205</v>
      </c>
      <c r="C5370" t="s">
        <v>37</v>
      </c>
      <c r="D5370">
        <v>5.255071</v>
      </c>
      <c r="E5370">
        <v>0.53721450000000004</v>
      </c>
      <c r="F5370" t="s">
        <v>39</v>
      </c>
      <c r="G5370">
        <v>-188.0258</v>
      </c>
      <c r="H5370" s="1">
        <v>-3.9576049999999902E-6</v>
      </c>
      <c r="I5370">
        <v>78.041730000000001</v>
      </c>
      <c r="J5370">
        <v>-188.7954</v>
      </c>
      <c r="K5370">
        <v>1.1066039999999999</v>
      </c>
      <c r="L5370">
        <v>28.28238</v>
      </c>
      <c r="M5370">
        <v>-1.7273489999999999E-2</v>
      </c>
      <c r="N5370">
        <v>0</v>
      </c>
      <c r="O5370">
        <v>0.99984010000000001</v>
      </c>
      <c r="P5370">
        <v>-8.4741120000000003E-2</v>
      </c>
      <c r="Q5370">
        <v>4.1169909999999997E-2</v>
      </c>
      <c r="R5370">
        <v>0.99555210000000005</v>
      </c>
      <c r="S5370">
        <v>4.5684809999999999E-2</v>
      </c>
      <c r="T5370">
        <v>-6.6487550000000006E-2</v>
      </c>
      <c r="U5370">
        <v>3.0206300000000001</v>
      </c>
      <c r="V5370">
        <v>-6.7313330000000005E-2</v>
      </c>
      <c r="W5370">
        <v>4.6093170000000003E-2</v>
      </c>
      <c r="X5370">
        <v>0.99666659999999996</v>
      </c>
      <c r="Y5370">
        <v>3.238833E-2</v>
      </c>
      <c r="Z5370">
        <v>-2.1993869999999999E-2</v>
      </c>
      <c r="AA5370">
        <v>0.99923340000000005</v>
      </c>
      <c r="AB5370">
        <v>51</v>
      </c>
      <c r="AC5370">
        <v>0.76959999999999695</v>
      </c>
      <c r="AD5370">
        <v>-1.1066079576050001</v>
      </c>
      <c r="AE5370">
        <v>49.759349999999998</v>
      </c>
      <c r="AF5370">
        <v>1.6282069178929399</v>
      </c>
      <c r="AG5370">
        <v>-1.1066079576050001</v>
      </c>
      <c r="AH5370">
        <v>49.714050245446998</v>
      </c>
      <c r="AI5370">
        <v>91.274479453306398</v>
      </c>
      <c r="AJ5370">
        <v>88.124151025295603</v>
      </c>
      <c r="AK5370">
        <v>49.753014288042301</v>
      </c>
    </row>
    <row r="5371" spans="1:37" x14ac:dyDescent="0.2">
      <c r="A5371" t="str">
        <f>"20200111154207074"</f>
        <v>20200111154207074</v>
      </c>
      <c r="B5371" t="str">
        <f>"1578728527071061"</f>
        <v>1578728527071061</v>
      </c>
      <c r="C5371" t="s">
        <v>37</v>
      </c>
      <c r="D5371">
        <v>5.2779179999999997</v>
      </c>
      <c r="E5371">
        <v>0.53709609999999997</v>
      </c>
      <c r="F5371" t="s">
        <v>39</v>
      </c>
      <c r="G5371">
        <v>-188.00649999999999</v>
      </c>
      <c r="H5371" s="1">
        <v>-3.29253699999999E-6</v>
      </c>
      <c r="I5371">
        <v>76.483469999999997</v>
      </c>
      <c r="J5371">
        <v>-188.804</v>
      </c>
      <c r="K5371">
        <v>1.1065529999999999</v>
      </c>
      <c r="L5371">
        <v>28.805569999999999</v>
      </c>
      <c r="M5371">
        <v>-1.5725570000000001E-2</v>
      </c>
      <c r="N5371">
        <v>0</v>
      </c>
      <c r="O5371">
        <v>0.99986559999999902</v>
      </c>
      <c r="P5371">
        <v>-8.3581030000000001E-2</v>
      </c>
      <c r="Q5371">
        <v>4.063344E-2</v>
      </c>
      <c r="R5371">
        <v>0.99567220000000001</v>
      </c>
      <c r="S5371">
        <v>4.943848E-2</v>
      </c>
      <c r="T5371">
        <v>-6.9344520000000007E-2</v>
      </c>
      <c r="U5371">
        <v>3.0204770000000001</v>
      </c>
      <c r="V5371">
        <v>-6.7692710000000003E-2</v>
      </c>
      <c r="W5371">
        <v>4.5590150000000003E-2</v>
      </c>
      <c r="X5371">
        <v>0.99666399999999999</v>
      </c>
      <c r="Y5371">
        <v>3.2082869999999999E-2</v>
      </c>
      <c r="Z5371">
        <v>-2.294038E-2</v>
      </c>
      <c r="AA5371">
        <v>0.9992219</v>
      </c>
      <c r="AB5371">
        <v>52</v>
      </c>
      <c r="AC5371">
        <v>0.79750000000001298</v>
      </c>
      <c r="AD5371">
        <v>-1.1065562925370001</v>
      </c>
      <c r="AE5371">
        <v>47.677900000000001</v>
      </c>
      <c r="AF5371">
        <v>1.5463388789027801</v>
      </c>
      <c r="AG5371">
        <v>-1.1065562925370001</v>
      </c>
      <c r="AH5371">
        <v>47.633811875669998</v>
      </c>
      <c r="AI5371">
        <v>91.330068673293894</v>
      </c>
      <c r="AJ5371">
        <v>88.140657142468299</v>
      </c>
      <c r="AK5371">
        <v>47.671749124231603</v>
      </c>
    </row>
    <row r="5372" spans="1:37" x14ac:dyDescent="0.2">
      <c r="A5372" t="str">
        <f>"20200111154207097"</f>
        <v>20200111154207097</v>
      </c>
      <c r="B5372" t="str">
        <f>"1578728527091557"</f>
        <v>1578728527091557</v>
      </c>
      <c r="C5372" t="s">
        <v>37</v>
      </c>
      <c r="D5372">
        <v>5.2386799999999996</v>
      </c>
      <c r="E5372">
        <v>0.53692220000000002</v>
      </c>
      <c r="F5372" t="s">
        <v>39</v>
      </c>
      <c r="G5372">
        <v>-188.01179999999999</v>
      </c>
      <c r="H5372" s="1">
        <v>-2.5825849999999999E-6</v>
      </c>
      <c r="I5372">
        <v>74.830759999999998</v>
      </c>
      <c r="J5372">
        <v>-188.8117</v>
      </c>
      <c r="K5372">
        <v>1.1065100000000001</v>
      </c>
      <c r="L5372">
        <v>29.324159999999999</v>
      </c>
      <c r="M5372">
        <v>-1.4183579999999999E-2</v>
      </c>
      <c r="N5372">
        <v>0</v>
      </c>
      <c r="O5372">
        <v>0.99988849999999996</v>
      </c>
      <c r="P5372">
        <v>-8.2198729999999998E-2</v>
      </c>
      <c r="Q5372">
        <v>4.0011449999999997E-2</v>
      </c>
      <c r="R5372">
        <v>0.99581249999999999</v>
      </c>
      <c r="S5372">
        <v>5.1986690000000002E-2</v>
      </c>
      <c r="T5372">
        <v>-7.261658E-2</v>
      </c>
      <c r="U5372">
        <v>3.0203549999999999</v>
      </c>
      <c r="V5372">
        <v>-6.7845660000000002E-2</v>
      </c>
      <c r="W5372">
        <v>4.4999959999999999E-2</v>
      </c>
      <c r="X5372">
        <v>0.99668049999999997</v>
      </c>
      <c r="Y5372">
        <v>3.1384509999999997E-2</v>
      </c>
      <c r="Z5372">
        <v>-2.4024130000000001E-2</v>
      </c>
      <c r="AA5372">
        <v>0.99921859999999996</v>
      </c>
      <c r="AB5372">
        <v>52</v>
      </c>
      <c r="AC5372">
        <v>0.79990000000000705</v>
      </c>
      <c r="AD5372">
        <v>-1.106512582585</v>
      </c>
      <c r="AE5372">
        <v>45.506599999999999</v>
      </c>
      <c r="AF5372">
        <v>1.4444193412265101</v>
      </c>
      <c r="AG5372">
        <v>-1.106512582585</v>
      </c>
      <c r="AH5372">
        <v>45.463805004154203</v>
      </c>
      <c r="AI5372">
        <v>91.393504872600403</v>
      </c>
      <c r="AJ5372">
        <v>88.180282011493702</v>
      </c>
      <c r="AK5372">
        <v>45.500200909276103</v>
      </c>
    </row>
    <row r="5373" spans="1:37" x14ac:dyDescent="0.2">
      <c r="A5373" t="str">
        <f>"20200111154207119"</f>
        <v>20200111154207119</v>
      </c>
      <c r="B5373" t="str">
        <f>"1578728527111079"</f>
        <v>1578728527111079</v>
      </c>
      <c r="C5373" t="s">
        <v>37</v>
      </c>
      <c r="D5373">
        <v>5.2462780000000002</v>
      </c>
      <c r="E5373">
        <v>0.53671250000000004</v>
      </c>
      <c r="F5373" t="s">
        <v>39</v>
      </c>
      <c r="G5373">
        <v>-188.00149999999999</v>
      </c>
      <c r="H5373" s="1">
        <v>-2.2100309999999998E-6</v>
      </c>
      <c r="I5373">
        <v>73.95805</v>
      </c>
      <c r="J5373">
        <v>-188.81890000000001</v>
      </c>
      <c r="K5373">
        <v>1.1064750000000001</v>
      </c>
      <c r="L5373">
        <v>29.860320000000002</v>
      </c>
      <c r="M5373">
        <v>-1.258402E-2</v>
      </c>
      <c r="N5373">
        <v>0</v>
      </c>
      <c r="O5373">
        <v>0.99990979999999996</v>
      </c>
      <c r="P5373">
        <v>-8.1074220000000002E-2</v>
      </c>
      <c r="Q5373">
        <v>3.9945370000000001E-2</v>
      </c>
      <c r="R5373">
        <v>0.99590730000000005</v>
      </c>
      <c r="S5373">
        <v>5.4824829999999998E-2</v>
      </c>
      <c r="T5373">
        <v>-7.4871899999999894E-2</v>
      </c>
      <c r="U5373">
        <v>3.0201419999999999</v>
      </c>
      <c r="V5373">
        <v>-6.831102E-2</v>
      </c>
      <c r="W5373">
        <v>4.4967090000000001E-2</v>
      </c>
      <c r="X5373">
        <v>0.99665020000000004</v>
      </c>
      <c r="Y5373">
        <v>3.072515E-2</v>
      </c>
      <c r="Z5373">
        <v>-2.4772410000000002E-2</v>
      </c>
      <c r="AA5373">
        <v>0.99922080000000002</v>
      </c>
      <c r="AB5373">
        <v>52</v>
      </c>
      <c r="AC5373">
        <v>0.81740000000002</v>
      </c>
      <c r="AD5373">
        <v>-1.1064772100310001</v>
      </c>
      <c r="AE5373">
        <v>44.097729999999999</v>
      </c>
      <c r="AF5373">
        <v>1.3714049896748399</v>
      </c>
      <c r="AG5373">
        <v>-1.1064772100310001</v>
      </c>
      <c r="AH5373">
        <v>44.056224398821101</v>
      </c>
      <c r="AI5373">
        <v>91.437991502771894</v>
      </c>
      <c r="AJ5373">
        <v>88.217043013247306</v>
      </c>
      <c r="AK5373">
        <v>44.091449871163299</v>
      </c>
    </row>
    <row r="5374" spans="1:37" x14ac:dyDescent="0.2">
      <c r="A5374" t="str">
        <f>"20200111154207141"</f>
        <v>20200111154207141</v>
      </c>
      <c r="B5374" t="str">
        <f>"1578728527131574"</f>
        <v>1578728527131574</v>
      </c>
      <c r="C5374" t="s">
        <v>37</v>
      </c>
      <c r="D5374">
        <v>5.215192</v>
      </c>
      <c r="E5374">
        <v>0.53644340000000001</v>
      </c>
      <c r="F5374" t="s">
        <v>39</v>
      </c>
      <c r="G5374">
        <v>-187.98009999999999</v>
      </c>
      <c r="H5374" s="1">
        <v>-2.4867240000000001E-6</v>
      </c>
      <c r="I5374">
        <v>74.594189999999998</v>
      </c>
      <c r="J5374">
        <v>-188.82480000000001</v>
      </c>
      <c r="K5374">
        <v>1.106441</v>
      </c>
      <c r="L5374">
        <v>30.353549999999998</v>
      </c>
      <c r="M5374">
        <v>-1.110917E-2</v>
      </c>
      <c r="N5374">
        <v>0</v>
      </c>
      <c r="O5374">
        <v>0.99992719999999902</v>
      </c>
      <c r="P5374">
        <v>-8.0117380000000002E-2</v>
      </c>
      <c r="Q5374">
        <v>4.0000300000000003E-2</v>
      </c>
      <c r="R5374">
        <v>0.99598249999999999</v>
      </c>
      <c r="S5374">
        <v>5.6625370000000001E-2</v>
      </c>
      <c r="T5374">
        <v>-7.4696899999999997E-2</v>
      </c>
      <c r="U5374">
        <v>3.01992799999999</v>
      </c>
      <c r="V5374">
        <v>-6.882067E-2</v>
      </c>
      <c r="W5374">
        <v>4.505236E-2</v>
      </c>
      <c r="X5374">
        <v>0.99661119999999903</v>
      </c>
      <c r="Y5374">
        <v>2.9847729999999999E-2</v>
      </c>
      <c r="Z5374">
        <v>-2.471713E-2</v>
      </c>
      <c r="AA5374">
        <v>0.99924880000000005</v>
      </c>
      <c r="AB5374">
        <v>52</v>
      </c>
      <c r="AC5374">
        <v>0.84470000000001699</v>
      </c>
      <c r="AD5374">
        <v>-1.1064434867240001</v>
      </c>
      <c r="AE5374">
        <v>44.240639999999999</v>
      </c>
      <c r="AF5374">
        <v>1.33529521457094</v>
      </c>
      <c r="AG5374">
        <v>-1.1064434867240001</v>
      </c>
      <c r="AH5374">
        <v>44.200889045841997</v>
      </c>
      <c r="AI5374">
        <v>91.433283749580397</v>
      </c>
      <c r="AJ5374">
        <v>88.269638449036506</v>
      </c>
      <c r="AK5374">
        <v>44.234893725906097</v>
      </c>
    </row>
    <row r="5375" spans="1:37" x14ac:dyDescent="0.2">
      <c r="A5375" t="str">
        <f>"20200111154207164"</f>
        <v>20200111154207164</v>
      </c>
      <c r="B5375" t="str">
        <f>"1578728527161551"</f>
        <v>1578728527161551</v>
      </c>
      <c r="C5375" t="s">
        <v>37</v>
      </c>
      <c r="D5375">
        <v>5.1870769999999897</v>
      </c>
      <c r="E5375">
        <v>0.53614519999999899</v>
      </c>
      <c r="F5375" t="s">
        <v>39</v>
      </c>
      <c r="G5375">
        <v>-187.96729999999999</v>
      </c>
      <c r="H5375" s="1">
        <v>-2.8553629999999998E-6</v>
      </c>
      <c r="I5375">
        <v>75.4482</v>
      </c>
      <c r="J5375">
        <v>-188.83029999999999</v>
      </c>
      <c r="K5375">
        <v>1.1064129999999901</v>
      </c>
      <c r="L5375">
        <v>30.889340000000001</v>
      </c>
      <c r="M5375">
        <v>-9.5051459999999904E-3</v>
      </c>
      <c r="N5375">
        <v>0</v>
      </c>
      <c r="O5375">
        <v>0.99994359999999904</v>
      </c>
      <c r="P5375">
        <v>-7.9650970000000001E-2</v>
      </c>
      <c r="Q5375">
        <v>4.026511E-2</v>
      </c>
      <c r="R5375">
        <v>0.99600919999999904</v>
      </c>
      <c r="S5375">
        <v>5.7418820000000002E-2</v>
      </c>
      <c r="T5375">
        <v>-7.4091080000000004E-2</v>
      </c>
      <c r="U5375">
        <v>3.0196839999999998</v>
      </c>
      <c r="V5375">
        <v>-6.9947860000000001E-2</v>
      </c>
      <c r="W5375">
        <v>4.5352459999999997E-2</v>
      </c>
      <c r="X5375">
        <v>0.99651909999999899</v>
      </c>
      <c r="Y5375">
        <v>2.8508370000000002E-2</v>
      </c>
      <c r="Z5375">
        <v>-2.4519799999999901E-2</v>
      </c>
      <c r="AA5375">
        <v>0.99929279999999998</v>
      </c>
      <c r="AB5375">
        <v>52</v>
      </c>
      <c r="AC5375">
        <v>0.86299999999999899</v>
      </c>
      <c r="AD5375">
        <v>-1.1064158553629999</v>
      </c>
      <c r="AE5375">
        <v>44.558859999999903</v>
      </c>
      <c r="AF5375">
        <v>1.28571182814776</v>
      </c>
      <c r="AG5375">
        <v>-1.1064158553629999</v>
      </c>
      <c r="AH5375">
        <v>44.521204701343997</v>
      </c>
      <c r="AI5375">
        <v>91.422996356756599</v>
      </c>
      <c r="AJ5375">
        <v>88.345835571116197</v>
      </c>
      <c r="AK5375">
        <v>44.553505799308503</v>
      </c>
    </row>
    <row r="5376" spans="1:37" x14ac:dyDescent="0.2">
      <c r="A5376" t="str">
        <f>"20200111154207198"</f>
        <v>20200111154207198</v>
      </c>
      <c r="B5376" t="str">
        <f>"1578728527190830"</f>
        <v>1578728527190830</v>
      </c>
      <c r="C5376" t="s">
        <v>37</v>
      </c>
      <c r="D5376">
        <v>5.1643369999999997</v>
      </c>
      <c r="E5376">
        <v>0.53589010000000004</v>
      </c>
      <c r="F5376" t="s">
        <v>39</v>
      </c>
      <c r="G5376">
        <v>-187.9734</v>
      </c>
      <c r="H5376" s="1">
        <v>-3.4358979999999999E-6</v>
      </c>
      <c r="I5376">
        <v>76.803960000000004</v>
      </c>
      <c r="J5376">
        <v>-188.83680000000001</v>
      </c>
      <c r="K5376">
        <v>1.106384</v>
      </c>
      <c r="L5376">
        <v>31.69012</v>
      </c>
      <c r="M5376">
        <v>-7.105704E-3</v>
      </c>
      <c r="N5376">
        <v>0</v>
      </c>
      <c r="O5376">
        <v>0.9999633</v>
      </c>
      <c r="P5376">
        <v>-7.8232289999999996E-2</v>
      </c>
      <c r="Q5376">
        <v>4.11416E-2</v>
      </c>
      <c r="R5376">
        <v>0.99608589999999997</v>
      </c>
      <c r="S5376">
        <v>5.6350709999999998E-2</v>
      </c>
      <c r="T5376">
        <v>-7.2760939999999996E-2</v>
      </c>
      <c r="U5376">
        <v>3.0194700000000001</v>
      </c>
      <c r="V5376">
        <v>-7.0912279999999994E-2</v>
      </c>
      <c r="W5376">
        <v>4.6277029999999997E-2</v>
      </c>
      <c r="X5376">
        <v>0.99640849999999903</v>
      </c>
      <c r="Y5376">
        <v>2.5757869999999999E-2</v>
      </c>
      <c r="Z5376">
        <v>-2.4083259999999999E-2</v>
      </c>
      <c r="AA5376">
        <v>0.99937809999999905</v>
      </c>
      <c r="AB5376">
        <v>52</v>
      </c>
      <c r="AC5376">
        <v>0.86340000000001205</v>
      </c>
      <c r="AD5376">
        <v>-1.1063874358979999</v>
      </c>
      <c r="AE5376">
        <v>45.113840000000003</v>
      </c>
      <c r="AF5376">
        <v>1.18323607819306</v>
      </c>
      <c r="AG5376">
        <v>-1.1063874358979999</v>
      </c>
      <c r="AH5376">
        <v>45.079463076481296</v>
      </c>
      <c r="AI5376">
        <v>91.405446970735596</v>
      </c>
      <c r="AJ5376">
        <v>88.496457891283598</v>
      </c>
      <c r="AK5376">
        <v>45.108559409926798</v>
      </c>
    </row>
    <row r="5377" spans="1:37" x14ac:dyDescent="0.2">
      <c r="A5377" t="str">
        <f>"20200111154207219"</f>
        <v>20200111154207219</v>
      </c>
      <c r="B5377" t="str">
        <f>"1578728527211327"</f>
        <v>1578728527211327</v>
      </c>
      <c r="C5377" t="s">
        <v>37</v>
      </c>
      <c r="D5377">
        <v>5.184132</v>
      </c>
      <c r="E5377">
        <v>0.53574409999999995</v>
      </c>
      <c r="F5377" t="s">
        <v>39</v>
      </c>
      <c r="G5377">
        <v>-187.9033</v>
      </c>
      <c r="H5377" s="1">
        <v>-4.5669670000000002E-6</v>
      </c>
      <c r="I5377">
        <v>79.411509999999893</v>
      </c>
      <c r="J5377">
        <v>-188.84</v>
      </c>
      <c r="K5377">
        <v>1.1063639999999999</v>
      </c>
      <c r="L5377">
        <v>32.184779999999897</v>
      </c>
      <c r="M5377">
        <v>-5.6235769999999899E-3</v>
      </c>
      <c r="N5377">
        <v>0</v>
      </c>
      <c r="O5377">
        <v>0.99997259999999999</v>
      </c>
      <c r="P5377">
        <v>-7.7182200000000006E-2</v>
      </c>
      <c r="Q5377">
        <v>4.209326E-2</v>
      </c>
      <c r="R5377">
        <v>0.99612800000000001</v>
      </c>
      <c r="S5377">
        <v>5.9066769999999998E-2</v>
      </c>
      <c r="T5377">
        <v>-7.0000889999999996E-2</v>
      </c>
      <c r="U5377">
        <v>3.0193180000000002</v>
      </c>
      <c r="V5377">
        <v>-7.1331389999999995E-2</v>
      </c>
      <c r="W5377">
        <v>4.7257760000000003E-2</v>
      </c>
      <c r="X5377">
        <v>0.99633249999999995</v>
      </c>
      <c r="Y5377">
        <v>2.5176219999999999E-2</v>
      </c>
      <c r="Z5377">
        <v>-2.3171669999999998E-2</v>
      </c>
      <c r="AA5377">
        <v>0.99941440000000004</v>
      </c>
      <c r="AB5377">
        <v>53</v>
      </c>
      <c r="AC5377">
        <v>0.93670000000000198</v>
      </c>
      <c r="AD5377">
        <v>-1.10636856696699</v>
      </c>
      <c r="AE5377">
        <v>47.226729999999897</v>
      </c>
      <c r="AF5377">
        <v>1.2016122178662201</v>
      </c>
      <c r="AG5377">
        <v>-1.10636856696699</v>
      </c>
      <c r="AH5377">
        <v>47.194824628421998</v>
      </c>
      <c r="AI5377">
        <v>91.342480169850205</v>
      </c>
      <c r="AJ5377">
        <v>88.541525721221205</v>
      </c>
      <c r="AK5377">
        <v>47.223081168382102</v>
      </c>
    </row>
    <row r="5378" spans="1:37" x14ac:dyDescent="0.2">
      <c r="A5378" t="str">
        <f>"20200111154207241"</f>
        <v>20200111154207241</v>
      </c>
      <c r="B5378" t="str">
        <f>"1578728527230846"</f>
        <v>1578728527230846</v>
      </c>
      <c r="C5378" t="s">
        <v>37</v>
      </c>
      <c r="D5378">
        <v>5.1562029999999996</v>
      </c>
      <c r="E5378">
        <v>0.5355647</v>
      </c>
      <c r="F5378" t="s">
        <v>39</v>
      </c>
      <c r="G5378">
        <v>-187.83179999999999</v>
      </c>
      <c r="H5378" s="1">
        <v>-1.4460319999999901E-6</v>
      </c>
      <c r="I5378">
        <v>82.106989999999996</v>
      </c>
      <c r="J5378">
        <v>-188.8426</v>
      </c>
      <c r="K5378">
        <v>1.106344</v>
      </c>
      <c r="L5378">
        <v>32.712040000000002</v>
      </c>
      <c r="M5378">
        <v>-4.0444080000000002E-3</v>
      </c>
      <c r="N5378">
        <v>0</v>
      </c>
      <c r="O5378">
        <v>0.99998019999999999</v>
      </c>
      <c r="P5378">
        <v>-7.5216389999999994E-2</v>
      </c>
      <c r="Q5378">
        <v>4.2310449999999999E-2</v>
      </c>
      <c r="R5378">
        <v>0.99626919999999897</v>
      </c>
      <c r="S5378">
        <v>6.097412E-2</v>
      </c>
      <c r="T5378">
        <v>-6.6910739999999996E-2</v>
      </c>
      <c r="U5378">
        <v>3.019196</v>
      </c>
      <c r="V5378">
        <v>-7.093576E-2</v>
      </c>
      <c r="W5378">
        <v>4.7501630000000003E-2</v>
      </c>
      <c r="X5378">
        <v>0.99634920000000005</v>
      </c>
      <c r="Y5378">
        <v>2.4229879999999999E-2</v>
      </c>
      <c r="Z5378">
        <v>-2.215056E-2</v>
      </c>
      <c r="AA5378">
        <v>0.99946100000000004</v>
      </c>
      <c r="AB5378">
        <v>53</v>
      </c>
      <c r="AC5378">
        <v>1.0108000000000099</v>
      </c>
      <c r="AD5378">
        <v>-1.1063454460319999</v>
      </c>
      <c r="AE5378">
        <v>49.394950000000001</v>
      </c>
      <c r="AF5378">
        <v>1.20996064094824</v>
      </c>
      <c r="AG5378">
        <v>-1.1063454460319999</v>
      </c>
      <c r="AH5378">
        <v>49.365703043932903</v>
      </c>
      <c r="AI5378">
        <v>91.283467856533505</v>
      </c>
      <c r="AJ5378">
        <v>88.5959531327549</v>
      </c>
      <c r="AK5378">
        <v>49.392920970725797</v>
      </c>
    </row>
    <row r="5379" spans="1:37" x14ac:dyDescent="0.2">
      <c r="A5379" t="str">
        <f>"20200111154207265"</f>
        <v>20200111154207265</v>
      </c>
      <c r="B5379" t="str">
        <f>"1578728527261609"</f>
        <v>1578728527261609</v>
      </c>
      <c r="C5379" t="s">
        <v>37</v>
      </c>
      <c r="D5379">
        <v>5.1349549999999997</v>
      </c>
      <c r="E5379">
        <v>0.53531779999999995</v>
      </c>
      <c r="F5379" t="s">
        <v>39</v>
      </c>
      <c r="G5379">
        <v>-187.75640000000001</v>
      </c>
      <c r="H5379" s="1">
        <v>-1.7943740000000001E-6</v>
      </c>
      <c r="I5379">
        <v>82.887819999999905</v>
      </c>
      <c r="J5379">
        <v>-188.84440000000001</v>
      </c>
      <c r="K5379">
        <v>1.1063190000000001</v>
      </c>
      <c r="L5379">
        <v>33.275329999999997</v>
      </c>
      <c r="M5379">
        <v>-2.3587959999999998E-3</v>
      </c>
      <c r="N5379">
        <v>0</v>
      </c>
      <c r="O5379">
        <v>0.99998539999999903</v>
      </c>
      <c r="P5379">
        <v>-7.3467710000000006E-2</v>
      </c>
      <c r="Q5379">
        <v>4.2264999999999997E-2</v>
      </c>
      <c r="R5379">
        <v>0.9964016</v>
      </c>
      <c r="S5379">
        <v>6.5353389999999997E-2</v>
      </c>
      <c r="T5379">
        <v>-6.6567420000000002E-2</v>
      </c>
      <c r="U5379">
        <v>3.019012</v>
      </c>
      <c r="V5379">
        <v>-7.0864070000000001E-2</v>
      </c>
      <c r="W5379">
        <v>4.7485430000000002E-2</v>
      </c>
      <c r="X5379">
        <v>0.99635509999999905</v>
      </c>
      <c r="Y5379">
        <v>2.399517E-2</v>
      </c>
      <c r="Z5379">
        <v>-2.2038200000000001E-2</v>
      </c>
      <c r="AA5379">
        <v>0.99946919999999995</v>
      </c>
      <c r="AB5379">
        <v>53</v>
      </c>
      <c r="AC5379">
        <v>1.0879999999999901</v>
      </c>
      <c r="AD5379">
        <v>-1.1063207943740001</v>
      </c>
      <c r="AE5379">
        <v>49.612490000000001</v>
      </c>
      <c r="AF5379">
        <v>1.2044254791392399</v>
      </c>
      <c r="AG5379">
        <v>-1.1063207943740001</v>
      </c>
      <c r="AH5379">
        <v>49.585140915623001</v>
      </c>
      <c r="AI5379">
        <v>91.277768180565303</v>
      </c>
      <c r="AJ5379">
        <v>88.608556345680199</v>
      </c>
      <c r="AK5379">
        <v>49.612103221462498</v>
      </c>
    </row>
    <row r="5380" spans="1:37" x14ac:dyDescent="0.2">
      <c r="A5380" t="str">
        <f>"20200111154207286"</f>
        <v>20200111154207286</v>
      </c>
      <c r="B5380" t="str">
        <f>"1578728527281130"</f>
        <v>1578728527281130</v>
      </c>
      <c r="C5380" t="s">
        <v>37</v>
      </c>
      <c r="D5380">
        <v>5.1218949999999897</v>
      </c>
      <c r="E5380">
        <v>0.53513699999999997</v>
      </c>
      <c r="F5380" t="s">
        <v>39</v>
      </c>
      <c r="G5380">
        <v>-187.70189999999999</v>
      </c>
      <c r="H5380" s="1">
        <v>-2.0770339999999999E-6</v>
      </c>
      <c r="I5380">
        <v>83.524180000000001</v>
      </c>
      <c r="J5380">
        <v>-188.84520000000001</v>
      </c>
      <c r="K5380">
        <v>1.1062959999999999</v>
      </c>
      <c r="L5380">
        <v>33.779789999999998</v>
      </c>
      <c r="M5380">
        <v>-8.5444380000000003E-4</v>
      </c>
      <c r="N5380">
        <v>0</v>
      </c>
      <c r="O5380">
        <v>0.99998770000000003</v>
      </c>
      <c r="P5380">
        <v>-7.1911230000000007E-2</v>
      </c>
      <c r="Q5380">
        <v>4.1681509999999998E-2</v>
      </c>
      <c r="R5380">
        <v>0.99653969999999903</v>
      </c>
      <c r="S5380">
        <v>6.8634029999999999E-2</v>
      </c>
      <c r="T5380">
        <v>-6.6462399999999894E-2</v>
      </c>
      <c r="U5380">
        <v>3.018707</v>
      </c>
      <c r="V5380">
        <v>-7.0807960000000003E-2</v>
      </c>
      <c r="W5380">
        <v>4.6928150000000002E-2</v>
      </c>
      <c r="X5380">
        <v>0.99638549999999904</v>
      </c>
      <c r="Y5380">
        <v>2.3579079999999999E-2</v>
      </c>
      <c r="Z5380">
        <v>-2.2005589999999998E-2</v>
      </c>
      <c r="AA5380">
        <v>0.99947980000000003</v>
      </c>
      <c r="AB5380">
        <v>53</v>
      </c>
      <c r="AC5380">
        <v>1.14330000000001</v>
      </c>
      <c r="AD5380">
        <v>-1.1062980770339901</v>
      </c>
      <c r="AE5380">
        <v>49.744390000000003</v>
      </c>
      <c r="AF5380">
        <v>1.18521797356043</v>
      </c>
      <c r="AG5380">
        <v>-1.1062980770339901</v>
      </c>
      <c r="AH5380">
        <v>49.718816887740701</v>
      </c>
      <c r="AI5380">
        <v>91.274321535128095</v>
      </c>
      <c r="AJ5380">
        <v>88.634417853034094</v>
      </c>
      <c r="AK5380">
        <v>49.7452448963394</v>
      </c>
    </row>
    <row r="5381" spans="1:37" x14ac:dyDescent="0.2">
      <c r="A5381" t="str">
        <f>"20200111154207308"</f>
        <v>20200111154207308</v>
      </c>
      <c r="B5381" t="str">
        <f>"1578728527301626"</f>
        <v>1578728527301626</v>
      </c>
      <c r="C5381" t="s">
        <v>37</v>
      </c>
      <c r="D5381">
        <v>5.0978339999999998</v>
      </c>
      <c r="E5381">
        <v>0.534925599999999</v>
      </c>
      <c r="F5381" t="s">
        <v>39</v>
      </c>
      <c r="G5381">
        <v>-187.67439999999999</v>
      </c>
      <c r="H5381" s="1">
        <v>-1.756669E-6</v>
      </c>
      <c r="I5381">
        <v>82.766019999999997</v>
      </c>
      <c r="J5381">
        <v>-188.84530000000001</v>
      </c>
      <c r="K5381">
        <v>1.106271</v>
      </c>
      <c r="L5381">
        <v>34.30847</v>
      </c>
      <c r="M5381">
        <v>7.1502079999999997E-4</v>
      </c>
      <c r="N5381">
        <v>0</v>
      </c>
      <c r="O5381">
        <v>0.99998770000000003</v>
      </c>
      <c r="P5381">
        <v>-7.0916660000000006E-2</v>
      </c>
      <c r="Q5381">
        <v>4.1135409999999997E-2</v>
      </c>
      <c r="R5381">
        <v>0.99663369999999996</v>
      </c>
      <c r="S5381">
        <v>7.2143550000000001E-2</v>
      </c>
      <c r="T5381">
        <v>-6.8169240000000006E-2</v>
      </c>
      <c r="U5381">
        <v>3.018494</v>
      </c>
      <c r="V5381">
        <v>-7.1379339999999999E-2</v>
      </c>
      <c r="W5381">
        <v>4.6411830000000001E-2</v>
      </c>
      <c r="X5381">
        <v>0.9963689</v>
      </c>
      <c r="Y5381">
        <v>2.3172769999999999E-2</v>
      </c>
      <c r="Z5381">
        <v>-2.2571839999999999E-2</v>
      </c>
      <c r="AA5381">
        <v>0.99947659999999905</v>
      </c>
      <c r="AB5381">
        <v>53</v>
      </c>
      <c r="AC5381">
        <v>1.17090000000001</v>
      </c>
      <c r="AD5381">
        <v>-1.106272756669</v>
      </c>
      <c r="AE5381">
        <v>48.457549999999998</v>
      </c>
      <c r="AF5381">
        <v>1.1356595707369701</v>
      </c>
      <c r="AG5381">
        <v>-1.106272756669</v>
      </c>
      <c r="AH5381">
        <v>48.433146382061501</v>
      </c>
      <c r="AI5381">
        <v>91.308119265385301</v>
      </c>
      <c r="AJ5381">
        <v>88.656775698034707</v>
      </c>
      <c r="AK5381">
        <v>48.459088214069297</v>
      </c>
    </row>
    <row r="5382" spans="1:37" x14ac:dyDescent="0.2">
      <c r="A5382" t="str">
        <f>"20200111154207330"</f>
        <v>20200111154207330</v>
      </c>
      <c r="B5382" t="str">
        <f>"1578728527321146"</f>
        <v>1578728527321146</v>
      </c>
      <c r="C5382" t="s">
        <v>37</v>
      </c>
      <c r="D5382">
        <v>5.1214329999999997</v>
      </c>
      <c r="E5382">
        <v>0.53478099999999995</v>
      </c>
      <c r="F5382" t="s">
        <v>39</v>
      </c>
      <c r="G5382">
        <v>-187.68099999999899</v>
      </c>
      <c r="H5382" s="1">
        <v>-1.431699E-6</v>
      </c>
      <c r="I5382">
        <v>82.011219999999994</v>
      </c>
      <c r="J5382">
        <v>-188.84450000000001</v>
      </c>
      <c r="K5382">
        <v>1.1062559999999999</v>
      </c>
      <c r="L5382">
        <v>34.852779999999903</v>
      </c>
      <c r="M5382">
        <v>2.316968E-3</v>
      </c>
      <c r="N5382">
        <v>0</v>
      </c>
      <c r="O5382">
        <v>0.99998519999999902</v>
      </c>
      <c r="P5382">
        <v>-6.9841710000000001E-2</v>
      </c>
      <c r="Q5382">
        <v>4.0575590000000002E-2</v>
      </c>
      <c r="R5382">
        <v>0.99673250000000002</v>
      </c>
      <c r="S5382">
        <v>7.3669429999999994E-2</v>
      </c>
      <c r="T5382">
        <v>-6.9996119999999995E-2</v>
      </c>
      <c r="U5382">
        <v>3.0182500000000001</v>
      </c>
      <c r="V5382">
        <v>-7.1903239999999993E-2</v>
      </c>
      <c r="W5382">
        <v>4.5882159999999998E-2</v>
      </c>
      <c r="X5382">
        <v>0.99635569999999896</v>
      </c>
      <c r="Y5382">
        <v>2.207781E-2</v>
      </c>
      <c r="Z5382">
        <v>-2.317837E-2</v>
      </c>
      <c r="AA5382">
        <v>0.99948749999999997</v>
      </c>
      <c r="AB5382">
        <v>53</v>
      </c>
      <c r="AC5382">
        <v>1.16350000000002</v>
      </c>
      <c r="AD5382">
        <v>-1.1062574316989999</v>
      </c>
      <c r="AE5382">
        <v>47.158439999999999</v>
      </c>
      <c r="AF5382">
        <v>1.0536514929177601</v>
      </c>
      <c r="AG5382">
        <v>-1.1062574316989999</v>
      </c>
      <c r="AH5382">
        <v>47.135086937957297</v>
      </c>
      <c r="AI5382">
        <v>91.344145733043007</v>
      </c>
      <c r="AJ5382">
        <v>88.719431000222002</v>
      </c>
      <c r="AK5382">
        <v>47.159838927020402</v>
      </c>
    </row>
    <row r="5383" spans="1:37" x14ac:dyDescent="0.2">
      <c r="A5383" t="str">
        <f>"20200111154207353"</f>
        <v>20200111154207353</v>
      </c>
      <c r="B5383" t="str">
        <f>"1578728527351402"</f>
        <v>1578728527351402</v>
      </c>
      <c r="C5383" t="s">
        <v>37</v>
      </c>
      <c r="D5383">
        <v>5.0743879999999999</v>
      </c>
      <c r="E5383">
        <v>0.53449950000000002</v>
      </c>
      <c r="F5383" t="s">
        <v>39</v>
      </c>
      <c r="G5383">
        <v>-187.6961</v>
      </c>
      <c r="H5383" s="1">
        <v>-9.3784259999999999E-7</v>
      </c>
      <c r="I5383">
        <v>80.602620000000002</v>
      </c>
      <c r="J5383">
        <v>-188.84289999999999</v>
      </c>
      <c r="K5383">
        <v>1.1062510000000001</v>
      </c>
      <c r="L5383">
        <v>35.392400000000002</v>
      </c>
      <c r="M5383">
        <v>3.8815049999999999E-3</v>
      </c>
      <c r="N5383">
        <v>0</v>
      </c>
      <c r="O5383">
        <v>0.99998019999999999</v>
      </c>
      <c r="P5383">
        <v>-6.8919320000000006E-2</v>
      </c>
      <c r="Q5383">
        <v>4.0088940000000003E-2</v>
      </c>
      <c r="R5383">
        <v>0.99681649999999999</v>
      </c>
      <c r="S5383">
        <v>7.5759889999999996E-2</v>
      </c>
      <c r="T5383">
        <v>-7.2980050000000005E-2</v>
      </c>
      <c r="U5383">
        <v>3.0181269999999998</v>
      </c>
      <c r="V5383">
        <v>-7.2542339999999997E-2</v>
      </c>
      <c r="W5383">
        <v>4.5423909999999998E-2</v>
      </c>
      <c r="X5383">
        <v>0.99633039999999995</v>
      </c>
      <c r="Y5383">
        <v>2.1205870000000002E-2</v>
      </c>
      <c r="Z5383">
        <v>-2.4166710000000001E-2</v>
      </c>
      <c r="AA5383">
        <v>0.99948300000000001</v>
      </c>
      <c r="AB5383">
        <v>53</v>
      </c>
      <c r="AC5383">
        <v>1.1467999999999801</v>
      </c>
      <c r="AD5383">
        <v>-1.1062519378425999</v>
      </c>
      <c r="AE5383">
        <v>45.21022</v>
      </c>
      <c r="AF5383">
        <v>0.97072467984186295</v>
      </c>
      <c r="AG5383">
        <v>-1.1062519378425999</v>
      </c>
      <c r="AH5383">
        <v>45.187292955037599</v>
      </c>
      <c r="AI5383">
        <v>91.402082159852895</v>
      </c>
      <c r="AJ5383">
        <v>88.769347083477001</v>
      </c>
      <c r="AK5383">
        <v>45.211254620486102</v>
      </c>
    </row>
    <row r="5384" spans="1:37" x14ac:dyDescent="0.2">
      <c r="A5384" t="str">
        <f>"20200111154207376"</f>
        <v>20200111154207376</v>
      </c>
      <c r="B5384" t="str">
        <f>"1578728527371227"</f>
        <v>1578728527371227</v>
      </c>
      <c r="C5384" t="s">
        <v>37</v>
      </c>
      <c r="D5384">
        <v>5.091939</v>
      </c>
      <c r="E5384">
        <v>0.53431580000000001</v>
      </c>
      <c r="F5384" t="s">
        <v>39</v>
      </c>
      <c r="G5384">
        <v>-187.7388</v>
      </c>
      <c r="H5384" s="1">
        <v>-4.5309990000000001E-6</v>
      </c>
      <c r="I5384">
        <v>79.25967</v>
      </c>
      <c r="J5384">
        <v>-188.84049999999999</v>
      </c>
      <c r="K5384">
        <v>1.1062559999999999</v>
      </c>
      <c r="L5384">
        <v>35.923189999999998</v>
      </c>
      <c r="M5384">
        <v>5.3868579999999996E-3</v>
      </c>
      <c r="N5384">
        <v>0</v>
      </c>
      <c r="O5384">
        <v>0.99997309999999995</v>
      </c>
      <c r="P5384">
        <v>-6.7602679999999998E-2</v>
      </c>
      <c r="Q5384">
        <v>3.9715760000000003E-2</v>
      </c>
      <c r="R5384">
        <v>0.99692150000000002</v>
      </c>
      <c r="S5384">
        <v>7.5958250000000005E-2</v>
      </c>
      <c r="T5384">
        <v>-7.6105709999999993E-2</v>
      </c>
      <c r="U5384">
        <v>3.0178829999999999</v>
      </c>
      <c r="V5384">
        <v>-7.2729240000000001E-2</v>
      </c>
      <c r="W5384">
        <v>4.507427E-2</v>
      </c>
      <c r="X5384">
        <v>0.99633259999999901</v>
      </c>
      <c r="Y5384">
        <v>1.976783E-2</v>
      </c>
      <c r="Z5384">
        <v>-2.520323E-2</v>
      </c>
      <c r="AA5384">
        <v>0.99948689999999996</v>
      </c>
      <c r="AB5384">
        <v>54</v>
      </c>
      <c r="AC5384">
        <v>1.1016999999999899</v>
      </c>
      <c r="AD5384">
        <v>-1.1062605309989999</v>
      </c>
      <c r="AE5384">
        <v>43.336480000000002</v>
      </c>
      <c r="AF5384">
        <v>0.86766861603420198</v>
      </c>
      <c r="AG5384">
        <v>-1.1062605309989999</v>
      </c>
      <c r="AH5384">
        <v>43.313579359862402</v>
      </c>
      <c r="AI5384">
        <v>91.462764743917205</v>
      </c>
      <c r="AJ5384">
        <v>88.852389893576998</v>
      </c>
      <c r="AK5384">
        <v>43.336391383602702</v>
      </c>
    </row>
    <row r="5385" spans="1:37" x14ac:dyDescent="0.2">
      <c r="A5385" t="str">
        <f>"20200111154207398"</f>
        <v>20200111154207398</v>
      </c>
      <c r="B5385" t="str">
        <f>"1578728527391723"</f>
        <v>1578728527391723</v>
      </c>
      <c r="C5385" t="s">
        <v>37</v>
      </c>
      <c r="D5385">
        <v>5.0708089999999997</v>
      </c>
      <c r="E5385">
        <v>0.53412569999999904</v>
      </c>
      <c r="F5385" t="s">
        <v>39</v>
      </c>
      <c r="G5385">
        <v>-187.73259999999999</v>
      </c>
      <c r="H5385" s="1">
        <v>-4.1684679999999999E-6</v>
      </c>
      <c r="I5385">
        <v>78.412040000000005</v>
      </c>
      <c r="J5385">
        <v>-188.8374</v>
      </c>
      <c r="K5385">
        <v>1.106276</v>
      </c>
      <c r="L5385">
        <v>36.458100000000002</v>
      </c>
      <c r="M5385">
        <v>6.8557490000000004E-3</v>
      </c>
      <c r="N5385">
        <v>0</v>
      </c>
      <c r="O5385">
        <v>0.99996390000000002</v>
      </c>
      <c r="P5385">
        <v>-6.5646010000000005E-2</v>
      </c>
      <c r="Q5385">
        <v>3.9631609999999998E-2</v>
      </c>
      <c r="R5385">
        <v>0.99705560000000004</v>
      </c>
      <c r="S5385">
        <v>7.8689579999999995E-2</v>
      </c>
      <c r="T5385">
        <v>-7.8571080000000001E-2</v>
      </c>
      <c r="U5385">
        <v>3.0177309999999999</v>
      </c>
      <c r="V5385">
        <v>-7.2240100000000002E-2</v>
      </c>
      <c r="W5385">
        <v>4.5008060000000003E-2</v>
      </c>
      <c r="X5385">
        <v>0.99637119999999901</v>
      </c>
      <c r="Y5385">
        <v>1.9203939999999999E-2</v>
      </c>
      <c r="Z5385">
        <v>-2.6019919999999998E-2</v>
      </c>
      <c r="AA5385">
        <v>0.99947699999999995</v>
      </c>
      <c r="AB5385">
        <v>54</v>
      </c>
      <c r="AC5385">
        <v>1.10480000000001</v>
      </c>
      <c r="AD5385">
        <v>-1.1062801684679999</v>
      </c>
      <c r="AE5385">
        <v>41.953940000000003</v>
      </c>
      <c r="AF5385">
        <v>0.81657734041612695</v>
      </c>
      <c r="AG5385">
        <v>-1.1062801684679999</v>
      </c>
      <c r="AH5385">
        <v>41.931392812215002</v>
      </c>
      <c r="AI5385">
        <v>91.511003387292803</v>
      </c>
      <c r="AJ5385">
        <v>88.8843556341848</v>
      </c>
      <c r="AK5385">
        <v>41.953931371640302</v>
      </c>
    </row>
    <row r="5386" spans="1:37" x14ac:dyDescent="0.2">
      <c r="A5386" t="str">
        <f>"20200111154207421"</f>
        <v>20200111154207421</v>
      </c>
      <c r="B5386" t="str">
        <f>"1578728527411243"</f>
        <v>1578728527411243</v>
      </c>
      <c r="C5386" t="s">
        <v>37</v>
      </c>
      <c r="D5386">
        <v>5.0470199999999998</v>
      </c>
      <c r="E5386">
        <v>0.53395190000000003</v>
      </c>
      <c r="F5386" t="s">
        <v>39</v>
      </c>
      <c r="G5386">
        <v>-187.69550000000001</v>
      </c>
      <c r="H5386" s="1">
        <v>-4.0117629999999999E-6</v>
      </c>
      <c r="I5386">
        <v>78.031390000000002</v>
      </c>
      <c r="J5386">
        <v>-188.83340000000001</v>
      </c>
      <c r="K5386">
        <v>1.1063179999999999</v>
      </c>
      <c r="L5386">
        <v>37.012790000000003</v>
      </c>
      <c r="M5386">
        <v>8.3115919999999996E-3</v>
      </c>
      <c r="N5386">
        <v>0</v>
      </c>
      <c r="O5386">
        <v>0.99995279999999998</v>
      </c>
      <c r="P5386">
        <v>-6.3753420000000005E-2</v>
      </c>
      <c r="Q5386">
        <v>3.9106879999999997E-2</v>
      </c>
      <c r="R5386">
        <v>0.99719919999999995</v>
      </c>
      <c r="S5386">
        <v>8.2885739999999999E-2</v>
      </c>
      <c r="T5386">
        <v>-8.0297229999999997E-2</v>
      </c>
      <c r="U5386">
        <v>3.0175169999999998</v>
      </c>
      <c r="V5386">
        <v>-7.1806999999999996E-2</v>
      </c>
      <c r="W5386">
        <v>4.450026E-2</v>
      </c>
      <c r="X5386">
        <v>0.99642529999999996</v>
      </c>
      <c r="Y5386">
        <v>1.913861E-2</v>
      </c>
      <c r="Z5386">
        <v>-2.659212E-2</v>
      </c>
      <c r="AA5386">
        <v>0.99946309999999905</v>
      </c>
      <c r="AB5386">
        <v>54</v>
      </c>
      <c r="AC5386">
        <v>1.1378999999999999</v>
      </c>
      <c r="AD5386">
        <v>-1.1063220117629999</v>
      </c>
      <c r="AE5386">
        <v>41.018599999999999</v>
      </c>
      <c r="AF5386">
        <v>0.79634765539883601</v>
      </c>
      <c r="AG5386">
        <v>-1.1063220117629999</v>
      </c>
      <c r="AH5386">
        <v>40.996840883526303</v>
      </c>
      <c r="AI5386">
        <v>91.545491170579297</v>
      </c>
      <c r="AJ5386">
        <v>88.887191760177302</v>
      </c>
      <c r="AK5386">
        <v>41.019496345166701</v>
      </c>
    </row>
    <row r="5387" spans="1:37" x14ac:dyDescent="0.2">
      <c r="A5387" t="str">
        <f>"20200111154207443"</f>
        <v>20200111154207443</v>
      </c>
      <c r="B5387" t="str">
        <f>"1578728527441498"</f>
        <v>1578728527441498</v>
      </c>
      <c r="C5387" t="s">
        <v>37</v>
      </c>
      <c r="D5387">
        <v>5.1069610000000001</v>
      </c>
      <c r="E5387">
        <v>0.51665839999999996</v>
      </c>
      <c r="F5387" t="s">
        <v>39</v>
      </c>
      <c r="G5387">
        <v>-187.67080000000001</v>
      </c>
      <c r="H5387" s="1">
        <v>-3.6664359999999999E-6</v>
      </c>
      <c r="I5387">
        <v>77.216239999999999</v>
      </c>
      <c r="J5387">
        <v>-188.8287</v>
      </c>
      <c r="K5387">
        <v>1.106365</v>
      </c>
      <c r="L5387">
        <v>37.557340000000003</v>
      </c>
      <c r="M5387">
        <v>9.6556319999999904E-3</v>
      </c>
      <c r="N5387">
        <v>0</v>
      </c>
      <c r="O5387">
        <v>0.99994059999999996</v>
      </c>
      <c r="P5387">
        <v>-6.2219709999999998E-2</v>
      </c>
      <c r="Q5387">
        <v>3.9329540000000003E-2</v>
      </c>
      <c r="R5387">
        <v>0.99728729999999999</v>
      </c>
      <c r="S5387">
        <v>8.7249759999999996E-2</v>
      </c>
      <c r="T5387">
        <v>-8.3029510000000001E-2</v>
      </c>
      <c r="U5387">
        <v>3.0172729999999999</v>
      </c>
      <c r="V5387">
        <v>-7.1617630000000002E-2</v>
      </c>
      <c r="W5387">
        <v>4.4736529999999997E-2</v>
      </c>
      <c r="X5387">
        <v>0.99642839999999999</v>
      </c>
      <c r="Y5387">
        <v>1.924068E-2</v>
      </c>
      <c r="Z5387">
        <v>-2.7497440000000001E-2</v>
      </c>
      <c r="AA5387">
        <v>0.99943669999999996</v>
      </c>
      <c r="AB5387">
        <v>54</v>
      </c>
      <c r="AC5387">
        <v>1.1578999999999799</v>
      </c>
      <c r="AD5387">
        <v>-1.106368666436</v>
      </c>
      <c r="AE5387">
        <v>39.658900000000003</v>
      </c>
      <c r="AF5387">
        <v>0.77430729184670299</v>
      </c>
      <c r="AG5387">
        <v>-1.106368666436</v>
      </c>
      <c r="AH5387">
        <v>39.637410095058002</v>
      </c>
      <c r="AI5387">
        <v>91.598533259574694</v>
      </c>
      <c r="AJ5387">
        <v>88.880883039944607</v>
      </c>
      <c r="AK5387">
        <v>39.660406987978398</v>
      </c>
    </row>
    <row r="5388" spans="1:37" x14ac:dyDescent="0.2">
      <c r="A5388" t="str">
        <f>"20200111154207465"</f>
        <v>20200111154207465</v>
      </c>
      <c r="B5388" t="str">
        <f>"1578728527461525"</f>
        <v>1578728527461525</v>
      </c>
      <c r="C5388" t="s">
        <v>37</v>
      </c>
      <c r="D5388">
        <v>5.0680690000000004</v>
      </c>
      <c r="E5388">
        <v>0.51583420000000002</v>
      </c>
      <c r="F5388" t="s">
        <v>39</v>
      </c>
      <c r="G5388">
        <v>-189.4272</v>
      </c>
      <c r="H5388" s="1">
        <v>-3.1949529999999899E-6</v>
      </c>
      <c r="I5388">
        <v>76.843440000000001</v>
      </c>
      <c r="J5388">
        <v>-188.82339999999999</v>
      </c>
      <c r="K5388">
        <v>1.1064290000000001</v>
      </c>
      <c r="L5388">
        <v>38.090330000000002</v>
      </c>
      <c r="M5388">
        <v>1.0867180000000001E-2</v>
      </c>
      <c r="N5388">
        <v>0</v>
      </c>
      <c r="O5388">
        <v>0.99992809999999899</v>
      </c>
      <c r="P5388">
        <v>-6.0581950000000002E-2</v>
      </c>
      <c r="Q5388">
        <v>3.9438059999999997E-2</v>
      </c>
      <c r="R5388">
        <v>0.99738379999999904</v>
      </c>
      <c r="S5388">
        <v>-4.58374E-2</v>
      </c>
      <c r="T5388">
        <v>-8.4728719999999993E-2</v>
      </c>
      <c r="U5388">
        <v>3.0086360000000001</v>
      </c>
      <c r="V5388">
        <v>-7.1195309999999998E-2</v>
      </c>
      <c r="W5388">
        <v>4.4854669999999999E-2</v>
      </c>
      <c r="X5388">
        <v>0.99645329999999999</v>
      </c>
      <c r="Y5388">
        <v>-2.6092629999999999E-2</v>
      </c>
      <c r="Z5388">
        <v>-2.814175E-2</v>
      </c>
      <c r="AA5388">
        <v>0.99926329999999997</v>
      </c>
      <c r="AB5388">
        <v>54</v>
      </c>
      <c r="AC5388">
        <v>-0.603800000000006</v>
      </c>
      <c r="AD5388">
        <v>-1.106432194953</v>
      </c>
      <c r="AE5388">
        <v>38.75311</v>
      </c>
      <c r="AF5388">
        <v>-1.02407221059797</v>
      </c>
      <c r="AG5388">
        <v>-1.106432194953</v>
      </c>
      <c r="AH5388">
        <v>38.712710968540001</v>
      </c>
      <c r="AI5388">
        <v>91.636529451658404</v>
      </c>
      <c r="AJ5388">
        <v>91.515299072656504</v>
      </c>
      <c r="AK5388">
        <v>38.742056045443199</v>
      </c>
    </row>
    <row r="5389" spans="1:37" x14ac:dyDescent="0.2">
      <c r="A5389" t="str">
        <f>"20200111154207486"</f>
        <v>20200111154207486</v>
      </c>
      <c r="B5389" t="str">
        <f>"1578728527481046"</f>
        <v>1578728527481046</v>
      </c>
      <c r="C5389" t="s">
        <v>37</v>
      </c>
      <c r="D5389">
        <v>5.0650259999999996</v>
      </c>
      <c r="E5389">
        <v>0.51479220000000003</v>
      </c>
      <c r="F5389" t="s">
        <v>39</v>
      </c>
      <c r="G5389">
        <v>-189.47069999999999</v>
      </c>
      <c r="H5389" s="1">
        <v>-4.148248E-6</v>
      </c>
      <c r="I5389">
        <v>79.083559999999906</v>
      </c>
      <c r="J5389">
        <v>-188.8176</v>
      </c>
      <c r="K5389">
        <v>1.1064989999999999</v>
      </c>
      <c r="L5389">
        <v>38.613009999999903</v>
      </c>
      <c r="M5389">
        <v>1.1968589999999999E-2</v>
      </c>
      <c r="N5389">
        <v>0</v>
      </c>
      <c r="O5389">
        <v>0.99991540000000001</v>
      </c>
      <c r="P5389">
        <v>-5.884926E-2</v>
      </c>
      <c r="Q5389">
        <v>3.914637E-2</v>
      </c>
      <c r="R5389">
        <v>0.99749900000000002</v>
      </c>
      <c r="S5389">
        <v>-4.7500609999999999E-2</v>
      </c>
      <c r="T5389">
        <v>-8.1192609999999998E-2</v>
      </c>
      <c r="U5389">
        <v>3.0081790000000002</v>
      </c>
      <c r="V5389">
        <v>-7.0571389999999998E-2</v>
      </c>
      <c r="W5389">
        <v>4.4570279999999997E-2</v>
      </c>
      <c r="X5389">
        <v>0.99651049999999997</v>
      </c>
      <c r="Y5389">
        <v>-2.7748910000000002E-2</v>
      </c>
      <c r="Z5389">
        <v>-2.6971019999999998E-2</v>
      </c>
      <c r="AA5389">
        <v>0.999251</v>
      </c>
      <c r="AB5389">
        <v>54</v>
      </c>
      <c r="AC5389">
        <v>-0.65309999999999402</v>
      </c>
      <c r="AD5389">
        <v>-1.1065031482479999</v>
      </c>
      <c r="AE5389">
        <v>40.470550000000003</v>
      </c>
      <c r="AF5389">
        <v>-1.13658551606275</v>
      </c>
      <c r="AG5389">
        <v>-1.1065031482479999</v>
      </c>
      <c r="AH5389">
        <v>40.429620009333497</v>
      </c>
      <c r="AI5389">
        <v>91.567096583947105</v>
      </c>
      <c r="AJ5389">
        <v>91.610314555093098</v>
      </c>
      <c r="AK5389">
        <v>40.460726018591203</v>
      </c>
    </row>
    <row r="5390" spans="1:37" x14ac:dyDescent="0.2">
      <c r="A5390" t="str">
        <f>"20200111154207511"</f>
        <v>20200111154207511</v>
      </c>
      <c r="B5390" t="str">
        <f>"1578728527501542"</f>
        <v>1578728527501542</v>
      </c>
      <c r="C5390" t="s">
        <v>37</v>
      </c>
      <c r="D5390">
        <v>5.0915429999999997</v>
      </c>
      <c r="E5390">
        <v>0.51428969999999996</v>
      </c>
      <c r="F5390" t="s">
        <v>39</v>
      </c>
      <c r="G5390">
        <v>-189.49029999999999</v>
      </c>
      <c r="H5390" s="1">
        <v>-3.9340129999999997E-6</v>
      </c>
      <c r="I5390">
        <v>78.592309999999998</v>
      </c>
      <c r="J5390">
        <v>-188.81030000000001</v>
      </c>
      <c r="K5390">
        <v>1.1065879999999999</v>
      </c>
      <c r="L5390">
        <v>39.214259999999904</v>
      </c>
      <c r="M5390">
        <v>1.3117810000000001E-2</v>
      </c>
      <c r="N5390">
        <v>0</v>
      </c>
      <c r="O5390">
        <v>0.99990080000000003</v>
      </c>
      <c r="P5390">
        <v>-5.7565659999999998E-2</v>
      </c>
      <c r="Q5390">
        <v>3.8606799999999997E-2</v>
      </c>
      <c r="R5390">
        <v>0.99759500000000001</v>
      </c>
      <c r="S5390">
        <v>-5.0613400000000003E-2</v>
      </c>
      <c r="T5390">
        <v>-8.324695E-2</v>
      </c>
      <c r="U5390">
        <v>3.0078130000000001</v>
      </c>
      <c r="V5390">
        <v>-7.0447599999999999E-2</v>
      </c>
      <c r="W5390">
        <v>4.4041039999999997E-2</v>
      </c>
      <c r="X5390">
        <v>0.99654279999999995</v>
      </c>
      <c r="Y5390">
        <v>-2.993318E-2</v>
      </c>
      <c r="Z5390">
        <v>-2.765459E-2</v>
      </c>
      <c r="AA5390">
        <v>0.99916930000000004</v>
      </c>
      <c r="AB5390">
        <v>54</v>
      </c>
      <c r="AC5390">
        <v>-0.67999999999997796</v>
      </c>
      <c r="AD5390">
        <v>-1.1065919340129999</v>
      </c>
      <c r="AE5390">
        <v>39.378050000000002</v>
      </c>
      <c r="AF5390">
        <v>-1.1955582035571299</v>
      </c>
      <c r="AG5390">
        <v>-1.1065919340129999</v>
      </c>
      <c r="AH5390">
        <v>39.334687848689001</v>
      </c>
      <c r="AI5390">
        <v>91.610717888197399</v>
      </c>
      <c r="AJ5390">
        <v>91.740940643006198</v>
      </c>
      <c r="AK5390">
        <v>39.368408315301799</v>
      </c>
    </row>
    <row r="5391" spans="1:37" x14ac:dyDescent="0.2">
      <c r="A5391" t="str">
        <f>"20200111154207532"</f>
        <v>20200111154207532</v>
      </c>
      <c r="B5391" t="str">
        <f>"1578728527521062"</f>
        <v>1578728527521062</v>
      </c>
      <c r="C5391" t="s">
        <v>37</v>
      </c>
      <c r="D5391">
        <v>5.1093089999999997</v>
      </c>
      <c r="E5391">
        <v>0.51386829999999994</v>
      </c>
      <c r="F5391" t="s">
        <v>39</v>
      </c>
      <c r="G5391">
        <v>-189.45439999999999</v>
      </c>
      <c r="H5391" s="1">
        <v>-3.48248E-6</v>
      </c>
      <c r="I5391">
        <v>77.524919999999995</v>
      </c>
      <c r="J5391">
        <v>-188.80330000000001</v>
      </c>
      <c r="K5391">
        <v>1.106679</v>
      </c>
      <c r="L5391">
        <v>39.744840000000003</v>
      </c>
      <c r="M5391">
        <v>1.402102E-2</v>
      </c>
      <c r="N5391">
        <v>0</v>
      </c>
      <c r="O5391">
        <v>0.99988840000000001</v>
      </c>
      <c r="P5391">
        <v>-5.7288199999999997E-2</v>
      </c>
      <c r="Q5391">
        <v>3.7888770000000002E-2</v>
      </c>
      <c r="R5391">
        <v>0.99763849999999998</v>
      </c>
      <c r="S5391">
        <v>-5.0567630000000002E-2</v>
      </c>
      <c r="T5391">
        <v>-8.6875320000000006E-2</v>
      </c>
      <c r="U5391">
        <v>3.00766</v>
      </c>
      <c r="V5391">
        <v>-7.1083690000000005E-2</v>
      </c>
      <c r="W5391">
        <v>4.3332660000000002E-2</v>
      </c>
      <c r="X5391">
        <v>0.99652870000000005</v>
      </c>
      <c r="Y5391">
        <v>-3.082114E-2</v>
      </c>
      <c r="Z5391">
        <v>-2.8859490000000002E-2</v>
      </c>
      <c r="AA5391">
        <v>0.9991082</v>
      </c>
      <c r="AB5391">
        <v>55</v>
      </c>
      <c r="AC5391">
        <v>-0.65109999999998502</v>
      </c>
      <c r="AD5391">
        <v>-1.1066824824799999</v>
      </c>
      <c r="AE5391">
        <v>37.780079999999899</v>
      </c>
      <c r="AF5391">
        <v>-1.1797462990965899</v>
      </c>
      <c r="AG5391">
        <v>-1.1066824824799999</v>
      </c>
      <c r="AH5391">
        <v>37.734867571667998</v>
      </c>
      <c r="AI5391">
        <v>91.679060499196098</v>
      </c>
      <c r="AJ5391">
        <v>91.790717122667999</v>
      </c>
      <c r="AK5391">
        <v>37.769521814534301</v>
      </c>
    </row>
    <row r="5392" spans="1:37" x14ac:dyDescent="0.2">
      <c r="A5392" t="str">
        <f>"20200111154207555"</f>
        <v>20200111154207555</v>
      </c>
      <c r="B5392" t="str">
        <f>"1578728527551317"</f>
        <v>1578728527551317</v>
      </c>
      <c r="C5392" t="s">
        <v>37</v>
      </c>
      <c r="D5392">
        <v>5.1090039999999997</v>
      </c>
      <c r="E5392">
        <v>0.51359600000000005</v>
      </c>
      <c r="F5392" t="s">
        <v>39</v>
      </c>
      <c r="G5392">
        <v>-189.44540000000001</v>
      </c>
      <c r="H5392" s="1">
        <v>-2.9371959999999999E-6</v>
      </c>
      <c r="I5392">
        <v>76.250140000000002</v>
      </c>
      <c r="J5392">
        <v>-188.79570000000001</v>
      </c>
      <c r="K5392">
        <v>1.1067849999999999</v>
      </c>
      <c r="L5392">
        <v>40.288420000000002</v>
      </c>
      <c r="M5392">
        <v>1.4828350000000001E-2</v>
      </c>
      <c r="N5392">
        <v>0</v>
      </c>
      <c r="O5392">
        <v>0.9998766</v>
      </c>
      <c r="P5392">
        <v>-5.719904E-2</v>
      </c>
      <c r="Q5392">
        <v>3.722661E-2</v>
      </c>
      <c r="R5392">
        <v>0.99766849999999996</v>
      </c>
      <c r="S5392">
        <v>-5.290222E-2</v>
      </c>
      <c r="T5392">
        <v>-9.1175439999999996E-2</v>
      </c>
      <c r="U5392">
        <v>3.0075379999999998</v>
      </c>
      <c r="V5392">
        <v>-7.1814630000000004E-2</v>
      </c>
      <c r="W5392">
        <v>4.2678090000000002E-2</v>
      </c>
      <c r="X5392">
        <v>0.99650450000000002</v>
      </c>
      <c r="Y5392">
        <v>-3.2403410000000001E-2</v>
      </c>
      <c r="Z5392">
        <v>-3.028643E-2</v>
      </c>
      <c r="AA5392">
        <v>0.99901589999999996</v>
      </c>
      <c r="AB5392">
        <v>55</v>
      </c>
      <c r="AC5392">
        <v>-0.64969999999999495</v>
      </c>
      <c r="AD5392">
        <v>-1.1067879371960001</v>
      </c>
      <c r="AE5392">
        <v>35.96172</v>
      </c>
      <c r="AF5392">
        <v>-1.18176968751399</v>
      </c>
      <c r="AG5392">
        <v>-1.1067879371960001</v>
      </c>
      <c r="AH5392">
        <v>35.914124689403799</v>
      </c>
      <c r="AI5392">
        <v>91.764206788752006</v>
      </c>
      <c r="AJ5392">
        <v>91.884662196097494</v>
      </c>
      <c r="AK5392">
        <v>35.950603768758697</v>
      </c>
    </row>
    <row r="5393" spans="1:37" x14ac:dyDescent="0.2">
      <c r="A5393" t="str">
        <f>"20200111154207577"</f>
        <v>20200111154207577</v>
      </c>
      <c r="B5393" t="str">
        <f>"1578728527571814"</f>
        <v>1578728527571814</v>
      </c>
      <c r="C5393" t="s">
        <v>37</v>
      </c>
      <c r="D5393">
        <v>5.1482809999999999</v>
      </c>
      <c r="E5393">
        <v>0.51332579999999906</v>
      </c>
      <c r="F5393" t="s">
        <v>39</v>
      </c>
      <c r="G5393">
        <v>-189.43960000000001</v>
      </c>
      <c r="H5393" s="1">
        <v>-2.68995799999999E-6</v>
      </c>
      <c r="I5393">
        <v>75.671419999999998</v>
      </c>
      <c r="J5393">
        <v>-188.78749999999999</v>
      </c>
      <c r="K5393">
        <v>1.106908</v>
      </c>
      <c r="L5393">
        <v>40.844059999999999</v>
      </c>
      <c r="M5393">
        <v>1.552797E-2</v>
      </c>
      <c r="N5393">
        <v>0</v>
      </c>
      <c r="O5393">
        <v>0.99986589999999997</v>
      </c>
      <c r="P5393">
        <v>-5.651047E-2</v>
      </c>
      <c r="Q5393">
        <v>3.8197179999999997E-2</v>
      </c>
      <c r="R5393">
        <v>0.99767109999999903</v>
      </c>
      <c r="S5393">
        <v>-5.4733280000000002E-2</v>
      </c>
      <c r="T5393">
        <v>-9.4071630000000003E-2</v>
      </c>
      <c r="U5393">
        <v>3.00738499999999</v>
      </c>
      <c r="V5393">
        <v>-7.1832519999999997E-2</v>
      </c>
      <c r="W5393">
        <v>4.3651849999999999E-2</v>
      </c>
      <c r="X5393">
        <v>0.99646100000000004</v>
      </c>
      <c r="Y5393">
        <v>-3.3711129999999999E-2</v>
      </c>
      <c r="Z5393">
        <v>-3.1247790000000001E-2</v>
      </c>
      <c r="AA5393">
        <v>0.99894300000000003</v>
      </c>
      <c r="AB5393">
        <v>55</v>
      </c>
      <c r="AC5393">
        <v>-0.652100000000018</v>
      </c>
      <c r="AD5393">
        <v>-1.1069106899579999</v>
      </c>
      <c r="AE5393">
        <v>34.827359999999999</v>
      </c>
      <c r="AF5393">
        <v>-1.1916236044872099</v>
      </c>
      <c r="AG5393">
        <v>-1.1069106899579999</v>
      </c>
      <c r="AH5393">
        <v>34.777916504134197</v>
      </c>
      <c r="AI5393">
        <v>91.821924839831595</v>
      </c>
      <c r="AJ5393">
        <v>91.962403458937601</v>
      </c>
      <c r="AK5393">
        <v>34.815925873927903</v>
      </c>
    </row>
    <row r="5394" spans="1:37" x14ac:dyDescent="0.2">
      <c r="A5394" t="str">
        <f>"20200111154207600"</f>
        <v>20200111154207600</v>
      </c>
      <c r="B5394" t="str">
        <f>"1578728527591334"</f>
        <v>1578728527591334</v>
      </c>
      <c r="C5394" t="s">
        <v>37</v>
      </c>
      <c r="D5394">
        <v>5.1406349999999996</v>
      </c>
      <c r="E5394">
        <v>0.51353959999999998</v>
      </c>
      <c r="F5394" t="s">
        <v>39</v>
      </c>
      <c r="G5394">
        <v>-189.4426</v>
      </c>
      <c r="H5394" s="1">
        <v>-3.2000630000000001E-6</v>
      </c>
      <c r="I5394">
        <v>76.861729999999994</v>
      </c>
      <c r="J5394">
        <v>-188.779</v>
      </c>
      <c r="K5394">
        <v>1.1070420000000001</v>
      </c>
      <c r="L5394">
        <v>41.396909999999998</v>
      </c>
      <c r="M5394">
        <v>1.6100090000000001E-2</v>
      </c>
      <c r="N5394">
        <v>0</v>
      </c>
      <c r="O5394">
        <v>0.99985669999999904</v>
      </c>
      <c r="P5394">
        <v>-5.617457E-2</v>
      </c>
      <c r="Q5394">
        <v>3.8462450000000002E-2</v>
      </c>
      <c r="R5394">
        <v>0.99767980000000001</v>
      </c>
      <c r="S5394">
        <v>-5.4702760000000003E-2</v>
      </c>
      <c r="T5394">
        <v>-9.2426179999999997E-2</v>
      </c>
      <c r="U5394">
        <v>3.0074459999999998</v>
      </c>
      <c r="V5394">
        <v>-7.2080169999999999E-2</v>
      </c>
      <c r="W5394">
        <v>4.3919560000000003E-2</v>
      </c>
      <c r="X5394">
        <v>0.99643139999999997</v>
      </c>
      <c r="Y5394">
        <v>-3.4272810000000001E-2</v>
      </c>
      <c r="Z5394">
        <v>-3.0700410000000001E-2</v>
      </c>
      <c r="AA5394">
        <v>0.99894090000000002</v>
      </c>
      <c r="AB5394">
        <v>55</v>
      </c>
      <c r="AC5394">
        <v>-0.66359999999997399</v>
      </c>
      <c r="AD5394">
        <v>-1.107045200063</v>
      </c>
      <c r="AE5394">
        <v>35.464820000000003</v>
      </c>
      <c r="AF5394">
        <v>-1.23330728396488</v>
      </c>
      <c r="AG5394">
        <v>-1.107045200063</v>
      </c>
      <c r="AH5394">
        <v>35.415042767082099</v>
      </c>
      <c r="AI5394">
        <v>91.789352102583806</v>
      </c>
      <c r="AJ5394">
        <v>91.994484605998693</v>
      </c>
      <c r="AK5394">
        <v>35.453798810930202</v>
      </c>
    </row>
    <row r="5395" spans="1:37" x14ac:dyDescent="0.2">
      <c r="A5395" t="str">
        <f>"20200111154207621"</f>
        <v>20200111154207621</v>
      </c>
      <c r="B5395" t="str">
        <f>"1578728527611829"</f>
        <v>1578728527611829</v>
      </c>
      <c r="C5395" t="s">
        <v>37</v>
      </c>
      <c r="D5395">
        <v>5.1369509999999998</v>
      </c>
      <c r="E5395">
        <v>0.51311799999999996</v>
      </c>
      <c r="F5395" t="s">
        <v>39</v>
      </c>
      <c r="G5395">
        <v>-189.41139999999999</v>
      </c>
      <c r="H5395" s="1">
        <v>-3.68663599999999E-6</v>
      </c>
      <c r="I5395">
        <v>77.983040000000003</v>
      </c>
      <c r="J5395">
        <v>-188.7705</v>
      </c>
      <c r="K5395">
        <v>1.107172</v>
      </c>
      <c r="L5395">
        <v>41.93356</v>
      </c>
      <c r="M5395">
        <v>1.6539519999999999E-2</v>
      </c>
      <c r="N5395">
        <v>0</v>
      </c>
      <c r="O5395">
        <v>0.9998494</v>
      </c>
      <c r="P5395">
        <v>-5.6115909999999998E-2</v>
      </c>
      <c r="Q5395">
        <v>3.8094330000000003E-2</v>
      </c>
      <c r="R5395">
        <v>0.99769719999999995</v>
      </c>
      <c r="S5395">
        <v>-5.1986690000000002E-2</v>
      </c>
      <c r="T5395">
        <v>-9.1004849999999998E-2</v>
      </c>
      <c r="U5395">
        <v>3.007568</v>
      </c>
      <c r="V5395">
        <v>-7.2475209999999998E-2</v>
      </c>
      <c r="W5395">
        <v>4.3552750000000001E-2</v>
      </c>
      <c r="X5395">
        <v>0.99641880000000005</v>
      </c>
      <c r="Y5395">
        <v>-3.3809720000000001E-2</v>
      </c>
      <c r="Z5395">
        <v>-3.0227670000000002E-2</v>
      </c>
      <c r="AA5395">
        <v>0.99897099999999905</v>
      </c>
      <c r="AB5395">
        <v>55</v>
      </c>
      <c r="AC5395">
        <v>-0.64089999999998704</v>
      </c>
      <c r="AD5395">
        <v>-1.1071756866360001</v>
      </c>
      <c r="AE5395">
        <v>36.049480000000003</v>
      </c>
      <c r="AF5395">
        <v>-1.2358962478878499</v>
      </c>
      <c r="AG5395">
        <v>-1.1071756866360001</v>
      </c>
      <c r="AH5395">
        <v>36.000001513510902</v>
      </c>
      <c r="AI5395">
        <v>91.760532993520997</v>
      </c>
      <c r="AJ5395">
        <v>91.966217681785494</v>
      </c>
      <c r="AK5395">
        <v>36.038221189584398</v>
      </c>
    </row>
    <row r="5396" spans="1:37" x14ac:dyDescent="0.2">
      <c r="A5396" t="str">
        <f>"20200111154207645"</f>
        <v>20200111154207645</v>
      </c>
      <c r="B5396" t="str">
        <f>"1578728527641110"</f>
        <v>1578728527641110</v>
      </c>
      <c r="C5396" t="s">
        <v>37</v>
      </c>
      <c r="D5396">
        <v>5.1083400000000001</v>
      </c>
      <c r="E5396">
        <v>0.51248119999999997</v>
      </c>
      <c r="F5396" t="s">
        <v>39</v>
      </c>
      <c r="G5396">
        <v>-189.40870000000001</v>
      </c>
      <c r="H5396" s="1">
        <v>-3.2467409999999998E-6</v>
      </c>
      <c r="I5396">
        <v>76.956530000000001</v>
      </c>
      <c r="J5396">
        <v>-188.76070000000001</v>
      </c>
      <c r="K5396">
        <v>1.1073200000000001</v>
      </c>
      <c r="L5396">
        <v>42.53152</v>
      </c>
      <c r="M5396">
        <v>1.690295E-2</v>
      </c>
      <c r="N5396">
        <v>0</v>
      </c>
      <c r="O5396">
        <v>0.99984319999999904</v>
      </c>
      <c r="P5396">
        <v>-5.5650829999999998E-2</v>
      </c>
      <c r="Q5396">
        <v>3.8206789999999997E-2</v>
      </c>
      <c r="R5396">
        <v>0.99771900000000002</v>
      </c>
      <c r="S5396">
        <v>-5.4809570000000002E-2</v>
      </c>
      <c r="T5396">
        <v>-9.5074889999999995E-2</v>
      </c>
      <c r="U5396">
        <v>3.0074770000000002</v>
      </c>
      <c r="V5396">
        <v>-7.2388369999999994E-2</v>
      </c>
      <c r="W5396">
        <v>4.3666129999999997E-2</v>
      </c>
      <c r="X5396">
        <v>0.99642019999999998</v>
      </c>
      <c r="Y5396">
        <v>-3.5110099999999998E-2</v>
      </c>
      <c r="Z5396">
        <v>-3.1577929999999997E-2</v>
      </c>
      <c r="AA5396">
        <v>0.99888440000000001</v>
      </c>
      <c r="AB5396">
        <v>55</v>
      </c>
      <c r="AC5396">
        <v>-0.64799999999999602</v>
      </c>
      <c r="AD5396">
        <v>-1.1073232467409999</v>
      </c>
      <c r="AE5396">
        <v>34.42501</v>
      </c>
      <c r="AF5396">
        <v>-1.22852908258631</v>
      </c>
      <c r="AG5396">
        <v>-1.1073232467409999</v>
      </c>
      <c r="AH5396">
        <v>34.373585842577199</v>
      </c>
      <c r="AI5396">
        <v>91.843932562548503</v>
      </c>
      <c r="AJ5396">
        <v>92.046908438503806</v>
      </c>
      <c r="AK5396">
        <v>34.4133528177153</v>
      </c>
    </row>
    <row r="5397" spans="1:37" x14ac:dyDescent="0.2">
      <c r="A5397" t="str">
        <f>"20200111154207665"</f>
        <v>20200111154207665</v>
      </c>
      <c r="B5397" t="str">
        <f>"1578728527661606"</f>
        <v>1578728527661606</v>
      </c>
      <c r="C5397" t="s">
        <v>37</v>
      </c>
      <c r="D5397">
        <v>5.1212150000000003</v>
      </c>
      <c r="E5397">
        <v>0.51223419999999997</v>
      </c>
      <c r="F5397" t="s">
        <v>39</v>
      </c>
      <c r="G5397">
        <v>-189.42490000000001</v>
      </c>
      <c r="H5397" s="1">
        <v>-3.067582E-6</v>
      </c>
      <c r="I5397">
        <v>76.545599999999993</v>
      </c>
      <c r="J5397">
        <v>-188.75229999999999</v>
      </c>
      <c r="K5397">
        <v>1.1074389999999901</v>
      </c>
      <c r="L5397">
        <v>43.032559999999997</v>
      </c>
      <c r="M5397">
        <v>1.7128170000000002E-2</v>
      </c>
      <c r="N5397">
        <v>0</v>
      </c>
      <c r="O5397">
        <v>0.99983919999999904</v>
      </c>
      <c r="P5397">
        <v>-5.4563090000000002E-2</v>
      </c>
      <c r="Q5397">
        <v>3.8220560000000001E-2</v>
      </c>
      <c r="R5397">
        <v>0.99777850000000001</v>
      </c>
      <c r="S5397">
        <v>-5.8731079999999998E-2</v>
      </c>
      <c r="T5397">
        <v>-9.7903009999999999E-2</v>
      </c>
      <c r="U5397">
        <v>3.0073240000000001</v>
      </c>
      <c r="V5397">
        <v>-7.1539249999999999E-2</v>
      </c>
      <c r="W5397">
        <v>4.3679950000000002E-2</v>
      </c>
      <c r="X5397">
        <v>0.9964809</v>
      </c>
      <c r="Y5397">
        <v>-3.6637580000000003E-2</v>
      </c>
      <c r="Z5397">
        <v>-3.2516440000000001E-2</v>
      </c>
      <c r="AA5397">
        <v>0.9987994</v>
      </c>
      <c r="AB5397">
        <v>55</v>
      </c>
      <c r="AC5397">
        <v>-0.67260000000001696</v>
      </c>
      <c r="AD5397">
        <v>-1.10744206758199</v>
      </c>
      <c r="AE5397">
        <v>33.513039999999997</v>
      </c>
      <c r="AF5397">
        <v>-1.24516731895702</v>
      </c>
      <c r="AG5397">
        <v>-1.10744206758199</v>
      </c>
      <c r="AH5397">
        <v>33.460079998861097</v>
      </c>
      <c r="AI5397">
        <v>91.8943397832291</v>
      </c>
      <c r="AJ5397">
        <v>92.131194144141801</v>
      </c>
      <c r="AK5397">
        <v>33.501549562899797</v>
      </c>
    </row>
    <row r="5398" spans="1:37" x14ac:dyDescent="0.2">
      <c r="A5398" t="str">
        <f>"20200111154207687"</f>
        <v>20200111154207687</v>
      </c>
      <c r="B5398" t="str">
        <f>"1578728527681126"</f>
        <v>1578728527681126</v>
      </c>
      <c r="C5398" t="s">
        <v>37</v>
      </c>
      <c r="D5398">
        <v>5.1427170000000002</v>
      </c>
      <c r="E5398">
        <v>0.51197510000000002</v>
      </c>
      <c r="F5398" t="s">
        <v>39</v>
      </c>
      <c r="G5398">
        <v>-189.39320000000001</v>
      </c>
      <c r="H5398" s="1">
        <v>-3.073465E-6</v>
      </c>
      <c r="I5398">
        <v>76.546189999999996</v>
      </c>
      <c r="J5398">
        <v>-188.7431</v>
      </c>
      <c r="K5398">
        <v>1.1075569999999999</v>
      </c>
      <c r="L5398">
        <v>43.571170000000002</v>
      </c>
      <c r="M5398">
        <v>1.7307510000000002E-2</v>
      </c>
      <c r="N5398">
        <v>0</v>
      </c>
      <c r="O5398">
        <v>0.99983599999999995</v>
      </c>
      <c r="P5398">
        <v>-5.3317299999999998E-2</v>
      </c>
      <c r="Q5398">
        <v>3.777022E-2</v>
      </c>
      <c r="R5398">
        <v>0.997863099999999</v>
      </c>
      <c r="S5398">
        <v>-5.751038E-2</v>
      </c>
      <c r="T5398">
        <v>-9.9376679999999995E-2</v>
      </c>
      <c r="U5398">
        <v>3.007355</v>
      </c>
      <c r="V5398">
        <v>-7.0487649999999999E-2</v>
      </c>
      <c r="W5398">
        <v>4.3232140000000002E-2</v>
      </c>
      <c r="X5398">
        <v>0.9965754</v>
      </c>
      <c r="Y5398">
        <v>-3.641105E-2</v>
      </c>
      <c r="Z5398">
        <v>-3.3005130000000001E-2</v>
      </c>
      <c r="AA5398">
        <v>0.99879169999999995</v>
      </c>
      <c r="AB5398">
        <v>56</v>
      </c>
      <c r="AC5398">
        <v>-0.650100000000009</v>
      </c>
      <c r="AD5398">
        <v>-1.107560073465</v>
      </c>
      <c r="AE5398">
        <v>32.975019999999901</v>
      </c>
      <c r="AF5398">
        <v>-1.2193511516570701</v>
      </c>
      <c r="AG5398">
        <v>-1.107560073465</v>
      </c>
      <c r="AH5398">
        <v>32.921702901704997</v>
      </c>
      <c r="AI5398">
        <v>91.925512809478406</v>
      </c>
      <c r="AJ5398">
        <v>92.121146488684403</v>
      </c>
      <c r="AK5398">
        <v>32.9628886552061</v>
      </c>
    </row>
    <row r="5399" spans="1:37" x14ac:dyDescent="0.2">
      <c r="A5399" t="str">
        <f>"20200111154207710"</f>
        <v>20200111154207710</v>
      </c>
      <c r="B5399" t="str">
        <f>"1578728527701622"</f>
        <v>1578728527701622</v>
      </c>
      <c r="C5399" t="s">
        <v>37</v>
      </c>
      <c r="D5399">
        <v>5.0793460000000001</v>
      </c>
      <c r="E5399">
        <v>0.51171449999999996</v>
      </c>
      <c r="F5399" t="s">
        <v>39</v>
      </c>
      <c r="G5399">
        <v>-189.34460000000001</v>
      </c>
      <c r="H5399" s="1">
        <v>-2.830543E-6</v>
      </c>
      <c r="I5399">
        <v>75.95984</v>
      </c>
      <c r="J5399">
        <v>-188.73320000000001</v>
      </c>
      <c r="K5399">
        <v>1.1076589999999999</v>
      </c>
      <c r="L5399">
        <v>44.148009999999999</v>
      </c>
      <c r="M5399">
        <v>1.744503E-2</v>
      </c>
      <c r="N5399">
        <v>0</v>
      </c>
      <c r="O5399">
        <v>0.99983349999999904</v>
      </c>
      <c r="P5399">
        <v>-5.2376489999999998E-2</v>
      </c>
      <c r="Q5399">
        <v>3.7232599999999998E-2</v>
      </c>
      <c r="R5399">
        <v>0.99793310000000002</v>
      </c>
      <c r="S5399">
        <v>-5.5847170000000002E-2</v>
      </c>
      <c r="T5399">
        <v>-0.1028382</v>
      </c>
      <c r="U5399">
        <v>3.0073240000000001</v>
      </c>
      <c r="V5399">
        <v>-6.9697980000000007E-2</v>
      </c>
      <c r="W5399">
        <v>4.2700479999999999E-2</v>
      </c>
      <c r="X5399">
        <v>0.99665389999999998</v>
      </c>
      <c r="Y5399">
        <v>-3.5995800000000001E-2</v>
      </c>
      <c r="Z5399">
        <v>-3.4154110000000001E-2</v>
      </c>
      <c r="AA5399">
        <v>0.998768199999999</v>
      </c>
      <c r="AB5399">
        <v>56</v>
      </c>
      <c r="AC5399">
        <v>-0.61140000000000305</v>
      </c>
      <c r="AD5399">
        <v>-1.1076618305429999</v>
      </c>
      <c r="AE5399">
        <v>31.81183</v>
      </c>
      <c r="AF5399">
        <v>-1.1648615057894001</v>
      </c>
      <c r="AG5399">
        <v>-1.1076618305429999</v>
      </c>
      <c r="AH5399">
        <v>31.757834619473002</v>
      </c>
      <c r="AI5399">
        <v>91.996232914554795</v>
      </c>
      <c r="AJ5399">
        <v>92.100638845474705</v>
      </c>
      <c r="AK5399">
        <v>31.798488592640801</v>
      </c>
    </row>
    <row r="5400" spans="1:37" x14ac:dyDescent="0.2">
      <c r="A5400" t="str">
        <f>"20200111154207732"</f>
        <v>20200111154207732</v>
      </c>
      <c r="B5400" t="str">
        <f>"1578728527721144"</f>
        <v>1578728527721144</v>
      </c>
      <c r="C5400" t="s">
        <v>37</v>
      </c>
      <c r="D5400">
        <v>5.1145120000000004</v>
      </c>
      <c r="E5400">
        <v>0.51142979999999905</v>
      </c>
      <c r="F5400" t="s">
        <v>39</v>
      </c>
      <c r="G5400">
        <v>-189.30619999999999</v>
      </c>
      <c r="H5400" s="1">
        <v>-2.6469569999999899E-6</v>
      </c>
      <c r="I5400">
        <v>75.516009999999994</v>
      </c>
      <c r="J5400">
        <v>-188.7235</v>
      </c>
      <c r="K5400">
        <v>1.1077549999999901</v>
      </c>
      <c r="L5400">
        <v>44.708500000000001</v>
      </c>
      <c r="M5400">
        <v>1.7532079999999998E-2</v>
      </c>
      <c r="N5400">
        <v>0</v>
      </c>
      <c r="O5400">
        <v>0.99983180000000005</v>
      </c>
      <c r="P5400">
        <v>-5.1891499999999903E-2</v>
      </c>
      <c r="Q5400">
        <v>3.6524550000000003E-2</v>
      </c>
      <c r="R5400">
        <v>0.9979846</v>
      </c>
      <c r="S5400">
        <v>-5.4931639999999997E-2</v>
      </c>
      <c r="T5400">
        <v>-0.1061931</v>
      </c>
      <c r="U5400">
        <v>3.0072939999999999</v>
      </c>
      <c r="V5400">
        <v>-6.9313189999999997E-2</v>
      </c>
      <c r="W5400">
        <v>4.2000160000000002E-2</v>
      </c>
      <c r="X5400">
        <v>0.996710399999999</v>
      </c>
      <c r="Y5400">
        <v>-3.5778329999999997E-2</v>
      </c>
      <c r="Z5400">
        <v>-3.5267470000000002E-2</v>
      </c>
      <c r="AA5400">
        <v>0.99873729999999905</v>
      </c>
      <c r="AB5400">
        <v>56</v>
      </c>
      <c r="AC5400">
        <v>-0.58269999999998801</v>
      </c>
      <c r="AD5400">
        <v>-1.1077576469570001</v>
      </c>
      <c r="AE5400">
        <v>30.807509999999901</v>
      </c>
      <c r="AF5400">
        <v>-1.1212887646321399</v>
      </c>
      <c r="AG5400">
        <v>-1.1077576469570001</v>
      </c>
      <c r="AH5400">
        <v>30.752811563844599</v>
      </c>
      <c r="AI5400">
        <v>92.061610363153704</v>
      </c>
      <c r="AJ5400">
        <v>92.088155959385205</v>
      </c>
      <c r="AK5400">
        <v>30.7931783773519</v>
      </c>
    </row>
    <row r="5401" spans="1:37" x14ac:dyDescent="0.2">
      <c r="A5401" t="str">
        <f>"20200111154207755"</f>
        <v>20200111154207755</v>
      </c>
      <c r="B5401" t="str">
        <f>"1578728527751398"</f>
        <v>1578728527751398</v>
      </c>
      <c r="C5401" t="s">
        <v>37</v>
      </c>
      <c r="D5401">
        <v>5.054189</v>
      </c>
      <c r="E5401">
        <v>0.51123980000000002</v>
      </c>
      <c r="F5401" t="s">
        <v>39</v>
      </c>
      <c r="G5401">
        <v>-189.27680000000001</v>
      </c>
      <c r="H5401" s="1">
        <v>-2.3136639999999998E-6</v>
      </c>
      <c r="I5401">
        <v>74.726959999999906</v>
      </c>
      <c r="J5401">
        <v>-188.71379999999999</v>
      </c>
      <c r="K5401">
        <v>1.107847</v>
      </c>
      <c r="L5401">
        <v>45.263309999999997</v>
      </c>
      <c r="M5401">
        <v>1.757471E-2</v>
      </c>
      <c r="N5401">
        <v>0</v>
      </c>
      <c r="O5401">
        <v>0.99983089999999997</v>
      </c>
      <c r="P5401">
        <v>-5.144576E-2</v>
      </c>
      <c r="Q5401">
        <v>3.5132160000000003E-2</v>
      </c>
      <c r="R5401">
        <v>0.99805769999999905</v>
      </c>
      <c r="S5401">
        <v>-5.5435180000000001E-2</v>
      </c>
      <c r="T5401">
        <v>-0.11097460000000001</v>
      </c>
      <c r="U5401">
        <v>3.0072329999999998</v>
      </c>
      <c r="V5401">
        <v>-6.8923139999999994E-2</v>
      </c>
      <c r="W5401">
        <v>4.0616600000000003E-2</v>
      </c>
      <c r="X5401">
        <v>0.99679479999999998</v>
      </c>
      <c r="Y5401">
        <v>-3.5987430000000001E-2</v>
      </c>
      <c r="Z5401">
        <v>-3.6853829999999997E-2</v>
      </c>
      <c r="AA5401">
        <v>0.99867249999999996</v>
      </c>
      <c r="AB5401">
        <v>56</v>
      </c>
      <c r="AC5401">
        <v>-0.56300000000001604</v>
      </c>
      <c r="AD5401">
        <v>-1.107849313664</v>
      </c>
      <c r="AE5401">
        <v>29.463649999999902</v>
      </c>
      <c r="AF5401">
        <v>-1.07921050240061</v>
      </c>
      <c r="AG5401">
        <v>-1.107849313664</v>
      </c>
      <c r="AH5401">
        <v>29.407643202467501</v>
      </c>
      <c r="AI5401">
        <v>92.155985365013294</v>
      </c>
      <c r="AJ5401">
        <v>92.101714518841803</v>
      </c>
      <c r="AK5401">
        <v>29.448285249465901</v>
      </c>
    </row>
    <row r="5402" spans="1:37" x14ac:dyDescent="0.2">
      <c r="A5402" t="str">
        <f>"20200111154207778"</f>
        <v>20200111154207778</v>
      </c>
      <c r="B5402" t="str">
        <f>"1578728527771894"</f>
        <v>1578728527771894</v>
      </c>
      <c r="C5402" t="s">
        <v>37</v>
      </c>
      <c r="D5402">
        <v>5.0595910000000002</v>
      </c>
      <c r="E5402">
        <v>0.51106010000000002</v>
      </c>
      <c r="F5402" t="s">
        <v>39</v>
      </c>
      <c r="G5402">
        <v>-189.23920000000001</v>
      </c>
      <c r="H5402" s="1">
        <v>-1.8938260000000001E-6</v>
      </c>
      <c r="I5402">
        <v>73.732730000000004</v>
      </c>
      <c r="J5402">
        <v>-188.7037</v>
      </c>
      <c r="K5402">
        <v>1.1079330000000001</v>
      </c>
      <c r="L5402">
        <v>45.83569</v>
      </c>
      <c r="M5402">
        <v>1.7576379999999999E-2</v>
      </c>
      <c r="N5402">
        <v>0</v>
      </c>
      <c r="O5402">
        <v>0.99983080000000002</v>
      </c>
      <c r="P5402">
        <v>-5.1425459999999999E-2</v>
      </c>
      <c r="Q5402">
        <v>3.3996209999999999E-2</v>
      </c>
      <c r="R5402">
        <v>0.99809799999999904</v>
      </c>
      <c r="S5402">
        <v>-5.5496219999999999E-2</v>
      </c>
      <c r="T5402">
        <v>-0.1170176</v>
      </c>
      <c r="U5402">
        <v>3.0071110000000001</v>
      </c>
      <c r="V5402">
        <v>-6.8916749999999999E-2</v>
      </c>
      <c r="W5402">
        <v>3.9490749999999998E-2</v>
      </c>
      <c r="X5402">
        <v>0.99684050000000002</v>
      </c>
      <c r="Y5402">
        <v>-3.6008709999999999E-2</v>
      </c>
      <c r="Z5402">
        <v>-3.8859289999999998E-2</v>
      </c>
      <c r="AA5402">
        <v>0.99859569999999998</v>
      </c>
      <c r="AB5402">
        <v>56</v>
      </c>
      <c r="AC5402">
        <v>-0.53550000000001297</v>
      </c>
      <c r="AD5402">
        <v>-1.1079348938260001</v>
      </c>
      <c r="AE5402">
        <v>27.897040000000001</v>
      </c>
      <c r="AF5402">
        <v>-1.02413869840091</v>
      </c>
      <c r="AG5402">
        <v>-1.1079348938260001</v>
      </c>
      <c r="AH5402">
        <v>27.839423406942299</v>
      </c>
      <c r="AI5402">
        <v>92.277477798452693</v>
      </c>
      <c r="AJ5402">
        <v>92.106810025082495</v>
      </c>
      <c r="AK5402">
        <v>27.880277535087899</v>
      </c>
    </row>
    <row r="5403" spans="1:37" x14ac:dyDescent="0.2">
      <c r="A5403" t="str">
        <f>"20200111154207800"</f>
        <v>20200111154207800</v>
      </c>
      <c r="B5403" t="str">
        <f>"1578728527791414"</f>
        <v>1578728527791414</v>
      </c>
      <c r="C5403" t="s">
        <v>37</v>
      </c>
      <c r="D5403">
        <v>5.0560349999999996</v>
      </c>
      <c r="E5403">
        <v>0.51088009999999995</v>
      </c>
      <c r="F5403" t="s">
        <v>39</v>
      </c>
      <c r="G5403">
        <v>-189.21960000000001</v>
      </c>
      <c r="H5403" s="1">
        <v>-1.6463839999999901E-6</v>
      </c>
      <c r="I5403">
        <v>73.147829999999999</v>
      </c>
      <c r="J5403">
        <v>-188.69370000000001</v>
      </c>
      <c r="K5403">
        <v>1.10802</v>
      </c>
      <c r="L5403">
        <v>46.409059999999997</v>
      </c>
      <c r="M5403">
        <v>1.7541190000000002E-2</v>
      </c>
      <c r="N5403">
        <v>0</v>
      </c>
      <c r="O5403">
        <v>0.99983120000000003</v>
      </c>
      <c r="P5403">
        <v>-5.2086710000000001E-2</v>
      </c>
      <c r="Q5403">
        <v>3.3059190000000002E-2</v>
      </c>
      <c r="R5403">
        <v>0.99809519999999996</v>
      </c>
      <c r="S5403">
        <v>-5.6793209999999997E-2</v>
      </c>
      <c r="T5403">
        <v>-0.1219792</v>
      </c>
      <c r="U5403">
        <v>3.006958</v>
      </c>
      <c r="V5403">
        <v>-6.9552859999999994E-2</v>
      </c>
      <c r="W5403">
        <v>3.8564960000000002E-2</v>
      </c>
      <c r="X5403">
        <v>0.99683250000000001</v>
      </c>
      <c r="Y5403">
        <v>-3.6403820000000003E-2</v>
      </c>
      <c r="Z5403">
        <v>-4.0505909999999999E-2</v>
      </c>
      <c r="AA5403">
        <v>0.99851590000000001</v>
      </c>
      <c r="AB5403">
        <v>56</v>
      </c>
      <c r="AC5403">
        <v>-0.52590000000000703</v>
      </c>
      <c r="AD5403">
        <v>-1.108021646384</v>
      </c>
      <c r="AE5403">
        <v>26.738769999999999</v>
      </c>
      <c r="AF5403">
        <v>-0.99315118403581604</v>
      </c>
      <c r="AG5403">
        <v>-1.108021646384</v>
      </c>
      <c r="AH5403">
        <v>26.679635050023101</v>
      </c>
      <c r="AI5403">
        <v>92.376518180764805</v>
      </c>
      <c r="AJ5403">
        <v>92.131854847927102</v>
      </c>
      <c r="AK5403">
        <v>26.721096303213901</v>
      </c>
    </row>
    <row r="5404" spans="1:37" x14ac:dyDescent="0.2">
      <c r="A5404" t="str">
        <f>"20200111154207822"</f>
        <v>20200111154207822</v>
      </c>
      <c r="B5404" t="str">
        <f>"1578728527811909"</f>
        <v>1578728527811909</v>
      </c>
      <c r="C5404" t="s">
        <v>37</v>
      </c>
      <c r="D5404">
        <v>5.056972</v>
      </c>
      <c r="E5404">
        <v>0.51071099999999903</v>
      </c>
      <c r="F5404" t="s">
        <v>39</v>
      </c>
      <c r="G5404">
        <v>-189.22219999999999</v>
      </c>
      <c r="H5404" s="1">
        <v>-1.527315E-6</v>
      </c>
      <c r="I5404">
        <v>72.871390000000005</v>
      </c>
      <c r="J5404">
        <v>-188.68389999999999</v>
      </c>
      <c r="K5404">
        <v>1.1080969999999899</v>
      </c>
      <c r="L5404">
        <v>46.965089999999996</v>
      </c>
      <c r="M5404">
        <v>1.747816E-2</v>
      </c>
      <c r="N5404">
        <v>0</v>
      </c>
      <c r="O5404">
        <v>0.99983219999999995</v>
      </c>
      <c r="P5404">
        <v>-5.2294210000000001E-2</v>
      </c>
      <c r="Q5404">
        <v>3.2925070000000001E-2</v>
      </c>
      <c r="R5404">
        <v>0.9980888</v>
      </c>
      <c r="S5404">
        <v>-6.0058590000000002E-2</v>
      </c>
      <c r="T5404">
        <v>-0.1258986</v>
      </c>
      <c r="U5404">
        <v>3.0067750000000002</v>
      </c>
      <c r="V5404">
        <v>-6.9705290000000003E-2</v>
      </c>
      <c r="W5404">
        <v>3.8442499999999998E-2</v>
      </c>
      <c r="X5404">
        <v>0.99682660000000001</v>
      </c>
      <c r="Y5404">
        <v>-3.7424869999999999E-2</v>
      </c>
      <c r="Z5404">
        <v>-4.1806570000000001E-2</v>
      </c>
      <c r="AA5404">
        <v>0.99842450000000005</v>
      </c>
      <c r="AB5404">
        <v>56</v>
      </c>
      <c r="AC5404">
        <v>-0.53829999999999201</v>
      </c>
      <c r="AD5404">
        <v>-1.1080985273149999</v>
      </c>
      <c r="AE5404">
        <v>25.906300000000002</v>
      </c>
      <c r="AF5404">
        <v>-0.989210002415286</v>
      </c>
      <c r="AG5404">
        <v>-1.1080985273149999</v>
      </c>
      <c r="AH5404">
        <v>25.845668217405301</v>
      </c>
      <c r="AI5404">
        <v>92.453182649263596</v>
      </c>
      <c r="AJ5404">
        <v>92.191853070940894</v>
      </c>
      <c r="AK5404">
        <v>25.888317527010301</v>
      </c>
    </row>
    <row r="5405" spans="1:37" x14ac:dyDescent="0.2">
      <c r="A5405" t="str">
        <f>"20200111154207846"</f>
        <v>20200111154207846</v>
      </c>
      <c r="B5405" t="str">
        <f>"1578728527841189"</f>
        <v>1578728527841189</v>
      </c>
      <c r="C5405" t="s">
        <v>37</v>
      </c>
      <c r="D5405">
        <v>5.0946339999999903</v>
      </c>
      <c r="E5405">
        <v>0.54102399999999995</v>
      </c>
      <c r="F5405" t="s">
        <v>39</v>
      </c>
      <c r="G5405">
        <v>-189.22829999999999</v>
      </c>
      <c r="H5405" s="1">
        <v>-1.7500969999999999E-6</v>
      </c>
      <c r="I5405">
        <v>73.393219999999999</v>
      </c>
      <c r="J5405">
        <v>-188.6738</v>
      </c>
      <c r="K5405">
        <v>1.108177</v>
      </c>
      <c r="L5405">
        <v>47.547909999999902</v>
      </c>
      <c r="M5405">
        <v>1.7387329999999999E-2</v>
      </c>
      <c r="N5405">
        <v>0</v>
      </c>
      <c r="O5405">
        <v>0.99983359999999899</v>
      </c>
      <c r="P5405">
        <v>-5.1851300000000003E-2</v>
      </c>
      <c r="Q5405">
        <v>3.3105179999999998E-2</v>
      </c>
      <c r="R5405">
        <v>0.99810589999999999</v>
      </c>
      <c r="S5405">
        <v>-6.1935419999999998E-2</v>
      </c>
      <c r="T5405">
        <v>-0.12606529999999999</v>
      </c>
      <c r="U5405">
        <v>3.006653</v>
      </c>
      <c r="V5405">
        <v>-6.9179530000000003E-2</v>
      </c>
      <c r="W5405">
        <v>3.8635959999999997E-2</v>
      </c>
      <c r="X5405">
        <v>0.99685579999999996</v>
      </c>
      <c r="Y5405">
        <v>-3.7957820000000003E-2</v>
      </c>
      <c r="Z5405">
        <v>-4.1862940000000001E-2</v>
      </c>
      <c r="AA5405">
        <v>0.99840209999999996</v>
      </c>
      <c r="AB5405">
        <v>56</v>
      </c>
      <c r="AC5405">
        <v>-0.55449999999999</v>
      </c>
      <c r="AD5405">
        <v>-1.108178750097</v>
      </c>
      <c r="AE5405">
        <v>25.845310000000001</v>
      </c>
      <c r="AF5405">
        <v>-1.00196272051297</v>
      </c>
      <c r="AG5405">
        <v>-1.108178750097</v>
      </c>
      <c r="AH5405">
        <v>25.7843794428174</v>
      </c>
      <c r="AI5405">
        <v>92.459129069427803</v>
      </c>
      <c r="AJ5405">
        <v>92.2253537287543</v>
      </c>
      <c r="AK5405">
        <v>25.827624991211401</v>
      </c>
    </row>
    <row r="5406" spans="1:37" x14ac:dyDescent="0.2">
      <c r="A5406" t="str">
        <f>"20200111154207866"</f>
        <v>20200111154207866</v>
      </c>
      <c r="B5406" t="str">
        <f>"1578728527861686"</f>
        <v>1578728527861686</v>
      </c>
      <c r="C5406" t="s">
        <v>37</v>
      </c>
      <c r="D5406">
        <v>5.1729000000000003</v>
      </c>
      <c r="E5406">
        <v>0.54474359999999999</v>
      </c>
      <c r="F5406" t="s">
        <v>39</v>
      </c>
      <c r="G5406">
        <v>-185.82589999999999</v>
      </c>
      <c r="H5406" s="1">
        <v>-3.3095299999999998E-6</v>
      </c>
      <c r="I5406">
        <v>95.621449999999996</v>
      </c>
      <c r="J5406">
        <v>-188.6643</v>
      </c>
      <c r="K5406">
        <v>1.1082419999999999</v>
      </c>
      <c r="L5406">
        <v>48.092219999999998</v>
      </c>
      <c r="M5406">
        <v>1.7285809999999999E-2</v>
      </c>
      <c r="N5406">
        <v>0</v>
      </c>
      <c r="O5406">
        <v>0.99983529999999998</v>
      </c>
      <c r="P5406">
        <v>-5.1309639999999997E-2</v>
      </c>
      <c r="Q5406">
        <v>3.3253110000000002E-2</v>
      </c>
      <c r="R5406">
        <v>0.99812900000000004</v>
      </c>
      <c r="S5406">
        <v>0.1787415</v>
      </c>
      <c r="T5406">
        <v>-6.9553489999999996E-2</v>
      </c>
      <c r="U5406">
        <v>3.0172729999999999</v>
      </c>
      <c r="V5406">
        <v>-6.8542610000000004E-2</v>
      </c>
      <c r="W5406">
        <v>3.8798430000000002E-2</v>
      </c>
      <c r="X5406">
        <v>0.99689349999999999</v>
      </c>
      <c r="Y5406">
        <v>4.1855429999999999E-2</v>
      </c>
      <c r="Z5406">
        <v>-2.3010240000000001E-2</v>
      </c>
      <c r="AA5406">
        <v>0.99885869999999999</v>
      </c>
      <c r="AB5406">
        <v>57</v>
      </c>
      <c r="AC5406">
        <v>2.8384</v>
      </c>
      <c r="AD5406">
        <v>-1.10824530953</v>
      </c>
      <c r="AE5406">
        <v>47.529229999999899</v>
      </c>
      <c r="AF5406">
        <v>2.0152903039362098</v>
      </c>
      <c r="AG5406">
        <v>-1.10824530953</v>
      </c>
      <c r="AH5406">
        <v>47.545435147227003</v>
      </c>
      <c r="AI5406">
        <v>91.334078643011097</v>
      </c>
      <c r="AJ5406">
        <v>87.5728783993533</v>
      </c>
      <c r="AK5406">
        <v>47.601029463808999</v>
      </c>
    </row>
    <row r="5407" spans="1:37" x14ac:dyDescent="0.2">
      <c r="A5407" t="str">
        <f>"20200111154207890"</f>
        <v>20200111154207890</v>
      </c>
      <c r="B5407" t="str">
        <f>"1578728527881206"</f>
        <v>1578728527881206</v>
      </c>
      <c r="C5407" t="s">
        <v>37</v>
      </c>
      <c r="D5407">
        <v>5.0597880000000002</v>
      </c>
      <c r="E5407">
        <v>0.54550240000000005</v>
      </c>
      <c r="F5407" t="s">
        <v>39</v>
      </c>
      <c r="G5407">
        <v>-186.35489999999999</v>
      </c>
      <c r="H5407" s="1">
        <v>-1.4641329999999999E-6</v>
      </c>
      <c r="I5407">
        <v>81.100449999999995</v>
      </c>
      <c r="J5407">
        <v>-188.654</v>
      </c>
      <c r="K5407">
        <v>1.1083069999999999</v>
      </c>
      <c r="L5407">
        <v>48.6907</v>
      </c>
      <c r="M5407">
        <v>1.7159259999999999E-2</v>
      </c>
      <c r="N5407">
        <v>0</v>
      </c>
      <c r="O5407">
        <v>0.99983729999999904</v>
      </c>
      <c r="P5407">
        <v>-5.0288850000000003E-2</v>
      </c>
      <c r="Q5407">
        <v>3.4113789999999998E-2</v>
      </c>
      <c r="R5407">
        <v>0.99815200000000004</v>
      </c>
      <c r="S5407">
        <v>0.21128849999999999</v>
      </c>
      <c r="T5407">
        <v>-0.1013913</v>
      </c>
      <c r="U5407">
        <v>3.0198669999999899</v>
      </c>
      <c r="V5407">
        <v>-6.7402249999999997E-2</v>
      </c>
      <c r="W5407">
        <v>3.9677049999999998E-2</v>
      </c>
      <c r="X5407">
        <v>0.99693659999999995</v>
      </c>
      <c r="Y5407">
        <v>5.2628429999999997E-2</v>
      </c>
      <c r="Z5407">
        <v>-3.3484319999999998E-2</v>
      </c>
      <c r="AA5407">
        <v>0.99805270000000001</v>
      </c>
      <c r="AB5407">
        <v>57</v>
      </c>
      <c r="AC5407">
        <v>2.2991000000000299</v>
      </c>
      <c r="AD5407">
        <v>-1.1083084641329899</v>
      </c>
      <c r="AE5407">
        <v>32.409749999999903</v>
      </c>
      <c r="AF5407">
        <v>1.74060026426591</v>
      </c>
      <c r="AG5407">
        <v>-1.1083084641329899</v>
      </c>
      <c r="AH5407">
        <v>32.406722333902003</v>
      </c>
      <c r="AI5407">
        <v>91.9559325868846</v>
      </c>
      <c r="AJ5407">
        <v>86.925535651092304</v>
      </c>
      <c r="AK5407">
        <v>32.472352692070999</v>
      </c>
    </row>
    <row r="5408" spans="1:37" x14ac:dyDescent="0.2">
      <c r="A5408" t="str">
        <f>"20200111154207935"</f>
        <v>20200111154207935</v>
      </c>
      <c r="B5408" t="str">
        <f>"1578728527930981"</f>
        <v>1578728527930981</v>
      </c>
      <c r="C5408" t="s">
        <v>37</v>
      </c>
      <c r="D5408">
        <v>5.0422969999999996</v>
      </c>
      <c r="E5408">
        <v>0.54524220000000001</v>
      </c>
      <c r="F5408" t="s">
        <v>39</v>
      </c>
      <c r="G5408">
        <v>-186.16720000000001</v>
      </c>
      <c r="H5408" s="1">
        <v>-2.095841E-6</v>
      </c>
      <c r="I5408">
        <v>82.810050000000004</v>
      </c>
      <c r="J5408">
        <v>-188.6343</v>
      </c>
      <c r="K5408">
        <v>1.1084039999999999</v>
      </c>
      <c r="L5408">
        <v>49.837859999999999</v>
      </c>
      <c r="M5408">
        <v>1.6887849999999999E-2</v>
      </c>
      <c r="N5408">
        <v>0</v>
      </c>
      <c r="O5408">
        <v>0.999841599999999</v>
      </c>
      <c r="P5408">
        <v>-4.8374559999999997E-2</v>
      </c>
      <c r="Q5408">
        <v>3.6480459999999999E-2</v>
      </c>
      <c r="R5408">
        <v>0.99816289999999996</v>
      </c>
      <c r="S5408">
        <v>0.220108</v>
      </c>
      <c r="T5408">
        <v>-9.8099229999999996E-2</v>
      </c>
      <c r="U5408">
        <v>3.0199889999999998</v>
      </c>
      <c r="V5408">
        <v>-6.5226510000000001E-2</v>
      </c>
      <c r="W5408">
        <v>4.2082099999999997E-2</v>
      </c>
      <c r="X5408">
        <v>0.99698279999999995</v>
      </c>
      <c r="Y5408">
        <v>5.5798970000000003E-2</v>
      </c>
      <c r="Z5408">
        <v>-3.2391049999999998E-2</v>
      </c>
      <c r="AA5408">
        <v>0.99791649999999998</v>
      </c>
      <c r="AB5408">
        <v>57</v>
      </c>
      <c r="AC5408">
        <v>2.4670999999999799</v>
      </c>
      <c r="AD5408">
        <v>-1.108406095841</v>
      </c>
      <c r="AE5408">
        <v>32.972189999999998</v>
      </c>
      <c r="AF5408">
        <v>1.9077660748593499</v>
      </c>
      <c r="AG5408">
        <v>-1.108406095841</v>
      </c>
      <c r="AH5408">
        <v>32.972099295274901</v>
      </c>
      <c r="AI5408">
        <v>91.922145339395499</v>
      </c>
      <c r="AJ5408">
        <v>86.688557520461501</v>
      </c>
      <c r="AK5408">
        <v>33.045838881879703</v>
      </c>
    </row>
    <row r="5409" spans="1:37" x14ac:dyDescent="0.2">
      <c r="A5409" t="str">
        <f>"20200111154207956"</f>
        <v>20200111154207956</v>
      </c>
      <c r="B5409" t="str">
        <f>"1578728527951477"</f>
        <v>1578728527951477</v>
      </c>
      <c r="C5409" t="s">
        <v>37</v>
      </c>
      <c r="D5409">
        <v>5.0692019999999998</v>
      </c>
      <c r="E5409">
        <v>0.5452034</v>
      </c>
      <c r="F5409" t="s">
        <v>39</v>
      </c>
      <c r="G5409">
        <v>-186.28880000000001</v>
      </c>
      <c r="H5409" s="1">
        <v>-1.5864759999999999E-6</v>
      </c>
      <c r="I5409">
        <v>81.408280000000005</v>
      </c>
      <c r="J5409">
        <v>-188.6251</v>
      </c>
      <c r="K5409">
        <v>1.1084479999999901</v>
      </c>
      <c r="L5409">
        <v>50.385379999999998</v>
      </c>
      <c r="M5409">
        <v>1.674931E-2</v>
      </c>
      <c r="N5409">
        <v>0</v>
      </c>
      <c r="O5409">
        <v>0.99984379999999995</v>
      </c>
      <c r="P5409">
        <v>-4.6624720000000001E-2</v>
      </c>
      <c r="Q5409">
        <v>3.658397E-2</v>
      </c>
      <c r="R5409">
        <v>0.99824230000000003</v>
      </c>
      <c r="S5409">
        <v>0.22439580000000001</v>
      </c>
      <c r="T5409">
        <v>-0.10603849999999999</v>
      </c>
      <c r="U5409">
        <v>3.0202640000000001</v>
      </c>
      <c r="V5409">
        <v>-6.3343499999999997E-2</v>
      </c>
      <c r="W5409">
        <v>4.2205970000000002E-2</v>
      </c>
      <c r="X5409">
        <v>0.99709890000000001</v>
      </c>
      <c r="Y5409">
        <v>5.7333200000000001E-2</v>
      </c>
      <c r="Z5409">
        <v>-3.5002980000000003E-2</v>
      </c>
      <c r="AA5409">
        <v>0.99774130000000005</v>
      </c>
      <c r="AB5409">
        <v>57</v>
      </c>
      <c r="AC5409">
        <v>2.3362999999999898</v>
      </c>
      <c r="AD5409">
        <v>-1.10844958647599</v>
      </c>
      <c r="AE5409">
        <v>31.0229</v>
      </c>
      <c r="AF5409">
        <v>1.81404899378388</v>
      </c>
      <c r="AG5409">
        <v>-1.10844958647599</v>
      </c>
      <c r="AH5409">
        <v>31.018304250698801</v>
      </c>
      <c r="AI5409">
        <v>92.043125075130007</v>
      </c>
      <c r="AJ5409">
        <v>86.65297320677</v>
      </c>
      <c r="AK5409">
        <v>31.091069985230899</v>
      </c>
    </row>
    <row r="5410" spans="1:37" x14ac:dyDescent="0.2">
      <c r="A5410" t="str">
        <f>"20200111154207979"</f>
        <v>20200111154207979</v>
      </c>
      <c r="B5410" t="str">
        <f>"1578728527970998"</f>
        <v>1578728527970998</v>
      </c>
      <c r="C5410" t="s">
        <v>37</v>
      </c>
      <c r="D5410">
        <v>5.1345130000000001</v>
      </c>
      <c r="E5410">
        <v>0.54524150000000005</v>
      </c>
      <c r="F5410" t="s">
        <v>39</v>
      </c>
      <c r="G5410">
        <v>-186.30950000000001</v>
      </c>
      <c r="H5410" s="1">
        <v>-1.405243E-6</v>
      </c>
      <c r="I5410">
        <v>80.891930000000002</v>
      </c>
      <c r="J5410">
        <v>-188.61519999999999</v>
      </c>
      <c r="K5410">
        <v>1.108484</v>
      </c>
      <c r="L5410">
        <v>50.975009999999997</v>
      </c>
      <c r="M5410">
        <v>1.6596010000000001E-2</v>
      </c>
      <c r="N5410">
        <v>0</v>
      </c>
      <c r="O5410">
        <v>0.99984619999999902</v>
      </c>
      <c r="P5410">
        <v>-4.4535610000000003E-2</v>
      </c>
      <c r="Q5410">
        <v>3.699707E-2</v>
      </c>
      <c r="R5410">
        <v>0.9983225</v>
      </c>
      <c r="S5410">
        <v>0.22923279999999999</v>
      </c>
      <c r="T5410">
        <v>-0.1097318</v>
      </c>
      <c r="U5410">
        <v>3.0200200000000001</v>
      </c>
      <c r="V5410">
        <v>-6.1106609999999999E-2</v>
      </c>
      <c r="W5410">
        <v>4.2642350000000002E-2</v>
      </c>
      <c r="X5410">
        <v>0.99721990000000005</v>
      </c>
      <c r="Y5410">
        <v>5.9077940000000002E-2</v>
      </c>
      <c r="Z5410">
        <v>-3.6219609999999999E-2</v>
      </c>
      <c r="AA5410">
        <v>0.99759609999999999</v>
      </c>
      <c r="AB5410">
        <v>57</v>
      </c>
      <c r="AC5410">
        <v>2.3056999999999701</v>
      </c>
      <c r="AD5410">
        <v>-1.108485405243</v>
      </c>
      <c r="AE5410">
        <v>29.916920000000001</v>
      </c>
      <c r="AF5410">
        <v>1.80640765551413</v>
      </c>
      <c r="AG5410">
        <v>-1.108485405243</v>
      </c>
      <c r="AH5410">
        <v>29.910245535828501</v>
      </c>
      <c r="AI5410">
        <v>92.1185759908102</v>
      </c>
      <c r="AJ5410">
        <v>86.543860792134097</v>
      </c>
      <c r="AK5410">
        <v>29.985240311277899</v>
      </c>
    </row>
    <row r="5411" spans="1:37" x14ac:dyDescent="0.2">
      <c r="A5411" t="str">
        <f>"20200111154208002"</f>
        <v>20200111154208002</v>
      </c>
      <c r="B5411" t="str">
        <f>"1578728527991494"</f>
        <v>1578728527991494</v>
      </c>
      <c r="C5411" t="s">
        <v>37</v>
      </c>
      <c r="D5411">
        <v>5.1230859999999998</v>
      </c>
      <c r="E5411">
        <v>0.54502740000000005</v>
      </c>
      <c r="F5411" t="s">
        <v>39</v>
      </c>
      <c r="G5411">
        <v>-186.2636</v>
      </c>
      <c r="H5411" s="1">
        <v>-1.4757459999999999E-6</v>
      </c>
      <c r="I5411">
        <v>81.063220000000001</v>
      </c>
      <c r="J5411">
        <v>-188.60570000000001</v>
      </c>
      <c r="K5411">
        <v>1.108514</v>
      </c>
      <c r="L5411">
        <v>51.545809999999904</v>
      </c>
      <c r="M5411">
        <v>1.6444690000000001E-2</v>
      </c>
      <c r="N5411">
        <v>0</v>
      </c>
      <c r="O5411">
        <v>0.99984850000000003</v>
      </c>
      <c r="P5411">
        <v>-4.2673889999999999E-2</v>
      </c>
      <c r="Q5411">
        <v>3.6911989999999999E-2</v>
      </c>
      <c r="R5411">
        <v>0.99840689999999999</v>
      </c>
      <c r="S5411">
        <v>0.23600769999999999</v>
      </c>
      <c r="T5411">
        <v>-0.11124870000000001</v>
      </c>
      <c r="U5411">
        <v>3.0196839999999998</v>
      </c>
      <c r="V5411">
        <v>-5.9098560000000001E-2</v>
      </c>
      <c r="W5411">
        <v>4.258091E-2</v>
      </c>
      <c r="X5411">
        <v>0.9973436</v>
      </c>
      <c r="Y5411">
        <v>6.1460769999999998E-2</v>
      </c>
      <c r="Z5411">
        <v>-3.671804E-2</v>
      </c>
      <c r="AA5411">
        <v>0.99743389999999998</v>
      </c>
      <c r="AB5411">
        <v>57</v>
      </c>
      <c r="AC5411">
        <v>2.3421000000000101</v>
      </c>
      <c r="AD5411">
        <v>-1.1085154757460001</v>
      </c>
      <c r="AE5411">
        <v>29.517410000000002</v>
      </c>
      <c r="AF5411">
        <v>1.85377261512507</v>
      </c>
      <c r="AG5411">
        <v>-1.1085154757460001</v>
      </c>
      <c r="AH5411">
        <v>29.510574316113001</v>
      </c>
      <c r="AI5411">
        <v>92.146981076129507</v>
      </c>
      <c r="AJ5411">
        <v>86.4055606101291</v>
      </c>
      <c r="AK5411">
        <v>29.5895129384615</v>
      </c>
    </row>
    <row r="5412" spans="1:37" x14ac:dyDescent="0.2">
      <c r="A5412" t="str">
        <f>"20200111154208024"</f>
        <v>20200111154208024</v>
      </c>
      <c r="B5412" t="str">
        <f>"1578728528021750"</f>
        <v>1578728528021750</v>
      </c>
      <c r="C5412" t="s">
        <v>37</v>
      </c>
      <c r="D5412">
        <v>5.1779929999999998</v>
      </c>
      <c r="E5412">
        <v>0.54485699999999904</v>
      </c>
      <c r="F5412" t="s">
        <v>39</v>
      </c>
      <c r="G5412">
        <v>-186.25280000000001</v>
      </c>
      <c r="H5412" s="1">
        <v>-1.499255E-6</v>
      </c>
      <c r="I5412">
        <v>81.12388</v>
      </c>
      <c r="J5412">
        <v>-188.59620000000001</v>
      </c>
      <c r="K5412">
        <v>1.108533</v>
      </c>
      <c r="L5412">
        <v>52.121519999999997</v>
      </c>
      <c r="M5412">
        <v>1.6289250000000002E-2</v>
      </c>
      <c r="N5412">
        <v>0</v>
      </c>
      <c r="O5412">
        <v>0.99985089999999999</v>
      </c>
      <c r="P5412">
        <v>-4.0721670000000001E-2</v>
      </c>
      <c r="Q5412">
        <v>3.6848400000000003E-2</v>
      </c>
      <c r="R5412">
        <v>0.99849080000000001</v>
      </c>
      <c r="S5412">
        <v>0.24017329999999901</v>
      </c>
      <c r="T5412">
        <v>-0.1131533</v>
      </c>
      <c r="U5412">
        <v>3.01922599999999</v>
      </c>
      <c r="V5412">
        <v>-5.6994599999999999E-2</v>
      </c>
      <c r="W5412">
        <v>4.2541839999999997E-2</v>
      </c>
      <c r="X5412">
        <v>0.99746769999999996</v>
      </c>
      <c r="Y5412">
        <v>6.2993419999999994E-2</v>
      </c>
      <c r="Z5412">
        <v>-3.7347760000000001E-2</v>
      </c>
      <c r="AA5412">
        <v>0.997314899999999</v>
      </c>
      <c r="AB5412">
        <v>58</v>
      </c>
      <c r="AC5412">
        <v>2.3433999999999999</v>
      </c>
      <c r="AD5412">
        <v>-1.1085344992549999</v>
      </c>
      <c r="AE5412">
        <v>29.0023599999999</v>
      </c>
      <c r="AF5412">
        <v>1.86794337273652</v>
      </c>
      <c r="AG5412">
        <v>-1.1085344992549999</v>
      </c>
      <c r="AH5412">
        <v>28.994600182754699</v>
      </c>
      <c r="AI5412">
        <v>92.184966254061493</v>
      </c>
      <c r="AJ5412">
        <v>86.313880115638995</v>
      </c>
      <c r="AK5412">
        <v>29.075847381247399</v>
      </c>
    </row>
    <row r="5413" spans="1:37" x14ac:dyDescent="0.2">
      <c r="A5413" t="str">
        <f>"20200111154208046"</f>
        <v>20200111154208046</v>
      </c>
      <c r="B5413" t="str">
        <f>"1578728528041270"</f>
        <v>1578728528041270</v>
      </c>
      <c r="C5413" t="s">
        <v>37</v>
      </c>
      <c r="D5413">
        <v>5.1670040000000004</v>
      </c>
      <c r="E5413">
        <v>0.54464049999999997</v>
      </c>
      <c r="F5413" t="s">
        <v>39</v>
      </c>
      <c r="G5413">
        <v>-186.18199999999999</v>
      </c>
      <c r="H5413" s="1">
        <v>-1.780173E-6</v>
      </c>
      <c r="I5413">
        <v>81.893979999999999</v>
      </c>
      <c r="J5413">
        <v>-188.58699999999999</v>
      </c>
      <c r="K5413">
        <v>1.1085499999999999</v>
      </c>
      <c r="L5413">
        <v>52.687840000000001</v>
      </c>
      <c r="M5413">
        <v>1.6134119999999998E-2</v>
      </c>
      <c r="N5413">
        <v>0</v>
      </c>
      <c r="O5413">
        <v>0.99985329999999994</v>
      </c>
      <c r="P5413">
        <v>-3.7976719999999999E-2</v>
      </c>
      <c r="Q5413">
        <v>3.6205859999999999E-2</v>
      </c>
      <c r="R5413">
        <v>0.99862249999999997</v>
      </c>
      <c r="S5413">
        <v>0.24478150000000001</v>
      </c>
      <c r="T5413">
        <v>-0.1123961</v>
      </c>
      <c r="U5413">
        <v>3.0186769999999998</v>
      </c>
      <c r="V5413">
        <v>-5.4099670000000002E-2</v>
      </c>
      <c r="W5413">
        <v>4.1924889999999999E-2</v>
      </c>
      <c r="X5413">
        <v>0.99765499999999996</v>
      </c>
      <c r="Y5413">
        <v>6.4675940000000001E-2</v>
      </c>
      <c r="Z5413">
        <v>-3.7100769999999998E-2</v>
      </c>
      <c r="AA5413">
        <v>0.9972164</v>
      </c>
      <c r="AB5413">
        <v>58</v>
      </c>
      <c r="AC5413">
        <v>2.4049999999999998</v>
      </c>
      <c r="AD5413">
        <v>-1.1085517801729901</v>
      </c>
      <c r="AE5413">
        <v>29.206140000000001</v>
      </c>
      <c r="AF5413">
        <v>1.9307010241053699</v>
      </c>
      <c r="AG5413">
        <v>-1.1085517801729901</v>
      </c>
      <c r="AH5413">
        <v>29.199358273573399</v>
      </c>
      <c r="AI5413">
        <v>92.169453701107201</v>
      </c>
      <c r="AJ5413">
        <v>86.217032312543296</v>
      </c>
      <c r="AK5413">
        <v>29.284108610000501</v>
      </c>
    </row>
    <row r="5414" spans="1:37" x14ac:dyDescent="0.2">
      <c r="A5414" t="str">
        <f>"20200111154208067"</f>
        <v>20200111154208067</v>
      </c>
      <c r="B5414" t="str">
        <f>"1578728528061766"</f>
        <v>1578728528061766</v>
      </c>
      <c r="C5414" t="s">
        <v>37</v>
      </c>
      <c r="D5414">
        <v>5.168914</v>
      </c>
      <c r="E5414">
        <v>0.54444590000000004</v>
      </c>
      <c r="F5414" t="s">
        <v>39</v>
      </c>
      <c r="G5414">
        <v>-186.1464</v>
      </c>
      <c r="H5414" s="1">
        <v>-1.8275479999999999E-6</v>
      </c>
      <c r="I5414">
        <v>82.005399999999995</v>
      </c>
      <c r="J5414">
        <v>-188.578</v>
      </c>
      <c r="K5414">
        <v>1.1085609999999999</v>
      </c>
      <c r="L5414">
        <v>53.242649999999998</v>
      </c>
      <c r="M5414">
        <v>1.5980310000000001E-2</v>
      </c>
      <c r="N5414">
        <v>0</v>
      </c>
      <c r="O5414">
        <v>0.99985559999999996</v>
      </c>
      <c r="P5414">
        <v>-3.5199710000000002E-2</v>
      </c>
      <c r="Q5414">
        <v>3.5757039999999997E-2</v>
      </c>
      <c r="R5414">
        <v>0.99874039999999997</v>
      </c>
      <c r="S5414">
        <v>0.25122070000000002</v>
      </c>
      <c r="T5414">
        <v>-0.1141095</v>
      </c>
      <c r="U5414">
        <v>3.0178219999999998</v>
      </c>
      <c r="V5414">
        <v>-5.1172769999999999E-2</v>
      </c>
      <c r="W5414">
        <v>4.1501349999999999E-2</v>
      </c>
      <c r="X5414">
        <v>0.99782709999999997</v>
      </c>
      <c r="Y5414">
        <v>6.6963800000000004E-2</v>
      </c>
      <c r="Z5414">
        <v>-3.7670189999999999E-2</v>
      </c>
      <c r="AA5414">
        <v>0.99704400000000004</v>
      </c>
      <c r="AB5414">
        <v>58</v>
      </c>
      <c r="AC5414">
        <v>2.4316</v>
      </c>
      <c r="AD5414">
        <v>-1.108562827548</v>
      </c>
      <c r="AE5414">
        <v>28.76275</v>
      </c>
      <c r="AF5414">
        <v>1.9687404264581301</v>
      </c>
      <c r="AG5414">
        <v>-1.108562827548</v>
      </c>
      <c r="AH5414">
        <v>28.755523488826601</v>
      </c>
      <c r="AI5414">
        <v>92.202582445384394</v>
      </c>
      <c r="AJ5414">
        <v>86.083369392597703</v>
      </c>
      <c r="AK5414">
        <v>28.8441498665821</v>
      </c>
    </row>
    <row r="5415" spans="1:37" x14ac:dyDescent="0.2">
      <c r="A5415" t="str">
        <f>"20200111154208090"</f>
        <v>20200111154208090</v>
      </c>
      <c r="B5415" t="str">
        <f>"1578728528081285"</f>
        <v>1578728528081285</v>
      </c>
      <c r="C5415" t="s">
        <v>37</v>
      </c>
      <c r="D5415">
        <v>5.1796920000000002</v>
      </c>
      <c r="E5415">
        <v>0.54420190000000002</v>
      </c>
      <c r="F5415" t="s">
        <v>39</v>
      </c>
      <c r="G5415">
        <v>-186.11779999999999</v>
      </c>
      <c r="H5415" s="1">
        <v>-1.8357799999999999E-6</v>
      </c>
      <c r="I5415">
        <v>82.007230000000007</v>
      </c>
      <c r="J5415">
        <v>-188.5685</v>
      </c>
      <c r="K5415">
        <v>1.1085689999999999</v>
      </c>
      <c r="L5415">
        <v>53.834809999999997</v>
      </c>
      <c r="M5415">
        <v>1.5814310000000002E-2</v>
      </c>
      <c r="N5415">
        <v>0</v>
      </c>
      <c r="O5415">
        <v>0.99985809999999997</v>
      </c>
      <c r="P5415">
        <v>-3.2686800000000002E-2</v>
      </c>
      <c r="Q5415">
        <v>3.4587930000000003E-2</v>
      </c>
      <c r="R5415">
        <v>0.99886699999999995</v>
      </c>
      <c r="S5415">
        <v>0.25804139999999998</v>
      </c>
      <c r="T5415">
        <v>-0.1162738</v>
      </c>
      <c r="U5415">
        <v>3.017029</v>
      </c>
      <c r="V5415">
        <v>-4.8497060000000002E-2</v>
      </c>
      <c r="W5415">
        <v>4.0359810000000003E-2</v>
      </c>
      <c r="X5415">
        <v>0.998007599999999</v>
      </c>
      <c r="Y5415">
        <v>6.9386710000000004E-2</v>
      </c>
      <c r="Z5415">
        <v>-3.8386990000000003E-2</v>
      </c>
      <c r="AA5415">
        <v>0.99685100000000004</v>
      </c>
      <c r="AB5415">
        <v>58</v>
      </c>
      <c r="AC5415">
        <v>2.4507000000000101</v>
      </c>
      <c r="AD5415">
        <v>-1.1085708357799999</v>
      </c>
      <c r="AE5415">
        <v>28.172419999999999</v>
      </c>
      <c r="AF5415">
        <v>2.0017823831396702</v>
      </c>
      <c r="AG5415">
        <v>-1.1085708357799999</v>
      </c>
      <c r="AH5415">
        <v>28.164371854232201</v>
      </c>
      <c r="AI5415">
        <v>92.248375359193503</v>
      </c>
      <c r="AJ5415">
        <v>85.934539744160404</v>
      </c>
      <c r="AK5415">
        <v>28.257174380161501</v>
      </c>
    </row>
    <row r="5416" spans="1:37" x14ac:dyDescent="0.2">
      <c r="A5416" t="str">
        <f>"20200111154208113"</f>
        <v>20200111154208113</v>
      </c>
      <c r="B5416" t="str">
        <f>"1578728528101785"</f>
        <v>1578728528101785</v>
      </c>
      <c r="C5416" t="s">
        <v>37</v>
      </c>
      <c r="D5416">
        <v>5.1851769999999897</v>
      </c>
      <c r="E5416">
        <v>0.54390260000000001</v>
      </c>
      <c r="F5416" t="s">
        <v>39</v>
      </c>
      <c r="G5416">
        <v>-186.1497</v>
      </c>
      <c r="H5416" s="1">
        <v>-1.657592E-6</v>
      </c>
      <c r="I5416">
        <v>81.508569999999906</v>
      </c>
      <c r="J5416">
        <v>-188.55879999999999</v>
      </c>
      <c r="K5416">
        <v>1.108565</v>
      </c>
      <c r="L5416">
        <v>54.447419999999902</v>
      </c>
      <c r="M5416">
        <v>1.5640970000000001E-2</v>
      </c>
      <c r="N5416">
        <v>0</v>
      </c>
      <c r="O5416">
        <v>0.99986059999999999</v>
      </c>
      <c r="P5416">
        <v>-3.0228419999999999E-2</v>
      </c>
      <c r="Q5416">
        <v>3.2840479999999998E-2</v>
      </c>
      <c r="R5416">
        <v>0.99900339999999999</v>
      </c>
      <c r="S5416">
        <v>0.26362609999999997</v>
      </c>
      <c r="T5416">
        <v>-0.1208248</v>
      </c>
      <c r="U5416">
        <v>3.0162049999999998</v>
      </c>
      <c r="V5416">
        <v>-4.5868829999999999E-2</v>
      </c>
      <c r="W5416">
        <v>3.8641200000000001E-2</v>
      </c>
      <c r="X5416">
        <v>0.99819979999999997</v>
      </c>
      <c r="Y5416">
        <v>7.1409509999999995E-2</v>
      </c>
      <c r="Z5416">
        <v>-3.9892120000000003E-2</v>
      </c>
      <c r="AA5416">
        <v>0.99664900000000001</v>
      </c>
      <c r="AB5416">
        <v>58</v>
      </c>
      <c r="AC5416">
        <v>2.4090999999999898</v>
      </c>
      <c r="AD5416">
        <v>-1.1085666575919999</v>
      </c>
      <c r="AE5416">
        <v>27.061150000000001</v>
      </c>
      <c r="AF5416">
        <v>1.9822350958645101</v>
      </c>
      <c r="AG5416">
        <v>-1.1085666575919999</v>
      </c>
      <c r="AH5416">
        <v>27.0504830046285</v>
      </c>
      <c r="AI5416">
        <v>92.340479499620997</v>
      </c>
      <c r="AJ5416">
        <v>85.808907845307203</v>
      </c>
      <c r="AK5416">
        <v>27.1456590782633</v>
      </c>
    </row>
    <row r="5417" spans="1:37" x14ac:dyDescent="0.2">
      <c r="A5417" t="str">
        <f>"20200111154208136"</f>
        <v>20200111154208136</v>
      </c>
      <c r="B5417" t="str">
        <f>"1578728528131061"</f>
        <v>1578728528131061</v>
      </c>
      <c r="C5417" t="s">
        <v>37</v>
      </c>
      <c r="D5417">
        <v>5.2116220000000002</v>
      </c>
      <c r="E5417">
        <v>0.54351190000000005</v>
      </c>
      <c r="F5417" t="s">
        <v>39</v>
      </c>
      <c r="G5417">
        <v>-186.20349999999999</v>
      </c>
      <c r="H5417" s="1">
        <v>-1.4339679999999999E-6</v>
      </c>
      <c r="I5417">
        <v>80.893479999999997</v>
      </c>
      <c r="J5417">
        <v>-188.54949999999999</v>
      </c>
      <c r="K5417">
        <v>1.1085609999999999</v>
      </c>
      <c r="L5417">
        <v>55.037599999999998</v>
      </c>
      <c r="M5417">
        <v>1.547258E-2</v>
      </c>
      <c r="N5417">
        <v>0</v>
      </c>
      <c r="O5417">
        <v>0.99986309999999901</v>
      </c>
      <c r="P5417">
        <v>-2.7545460000000001E-2</v>
      </c>
      <c r="Q5417">
        <v>3.1004859999999999E-2</v>
      </c>
      <c r="R5417">
        <v>0.99913960000000002</v>
      </c>
      <c r="S5417">
        <v>0.26853939999999998</v>
      </c>
      <c r="T5417">
        <v>-0.12639489999999901</v>
      </c>
      <c r="U5417">
        <v>3.0152890000000001</v>
      </c>
      <c r="V5417">
        <v>-4.3020469999999998E-2</v>
      </c>
      <c r="W5417">
        <v>3.6834319999999997E-2</v>
      </c>
      <c r="X5417">
        <v>0.99839500000000003</v>
      </c>
      <c r="Y5417">
        <v>7.3208410000000002E-2</v>
      </c>
      <c r="Z5417">
        <v>-4.1735090000000002E-2</v>
      </c>
      <c r="AA5417">
        <v>0.99644299999999997</v>
      </c>
      <c r="AB5417">
        <v>58</v>
      </c>
      <c r="AC5417">
        <v>2.3460000000000001</v>
      </c>
      <c r="AD5417">
        <v>-1.108562433968</v>
      </c>
      <c r="AE5417">
        <v>25.855879999999999</v>
      </c>
      <c r="AF5417">
        <v>1.9421141908961399</v>
      </c>
      <c r="AG5417">
        <v>-1.108562433968</v>
      </c>
      <c r="AH5417">
        <v>25.841968252300401</v>
      </c>
      <c r="AI5417">
        <v>92.449455202537493</v>
      </c>
      <c r="AJ5417">
        <v>85.702101438957101</v>
      </c>
      <c r="AK5417">
        <v>25.9385435472655</v>
      </c>
    </row>
    <row r="5418" spans="1:37" x14ac:dyDescent="0.2">
      <c r="A5418" t="str">
        <f>"20200111154208156"</f>
        <v>20200111154208156</v>
      </c>
      <c r="B5418" t="str">
        <f>"1578728528151558"</f>
        <v>1578728528151558</v>
      </c>
      <c r="C5418" t="s">
        <v>37</v>
      </c>
      <c r="D5418">
        <v>5.2147139999999998</v>
      </c>
      <c r="E5418">
        <v>0.54321750000000002</v>
      </c>
      <c r="F5418" t="s">
        <v>39</v>
      </c>
      <c r="G5418">
        <v>-186.2637</v>
      </c>
      <c r="H5418" s="1">
        <v>-1.2044320000000001E-6</v>
      </c>
      <c r="I5418">
        <v>80.266050000000007</v>
      </c>
      <c r="J5418">
        <v>-188.54130000000001</v>
      </c>
      <c r="K5418">
        <v>1.108555</v>
      </c>
      <c r="L5418">
        <v>55.564819999999997</v>
      </c>
      <c r="M5418">
        <v>1.5321039999999999E-2</v>
      </c>
      <c r="N5418">
        <v>0</v>
      </c>
      <c r="O5418">
        <v>0.99986529999999996</v>
      </c>
      <c r="P5418">
        <v>-2.3811289999999999E-2</v>
      </c>
      <c r="Q5418">
        <v>2.921984E-2</v>
      </c>
      <c r="R5418">
        <v>0.99928930000000005</v>
      </c>
      <c r="S5418">
        <v>0.27310180000000001</v>
      </c>
      <c r="T5418">
        <v>-0.13244779999999901</v>
      </c>
      <c r="U5418">
        <v>3.014221</v>
      </c>
      <c r="V5418">
        <v>-3.9137409999999997E-2</v>
      </c>
      <c r="W5418">
        <v>3.5076410000000002E-2</v>
      </c>
      <c r="X5418">
        <v>0.99861800000000001</v>
      </c>
      <c r="Y5418">
        <v>7.4879070000000006E-2</v>
      </c>
      <c r="Z5418">
        <v>-4.3739859999999998E-2</v>
      </c>
      <c r="AA5418">
        <v>0.99623289999999998</v>
      </c>
      <c r="AB5418">
        <v>58</v>
      </c>
      <c r="AC5418">
        <v>2.2776000000000001</v>
      </c>
      <c r="AD5418">
        <v>-1.1085562044320001</v>
      </c>
      <c r="AE5418">
        <v>24.701229999999999</v>
      </c>
      <c r="AF5418">
        <v>1.89509286543323</v>
      </c>
      <c r="AG5418">
        <v>-1.1085562044320001</v>
      </c>
      <c r="AH5418">
        <v>24.683929949460001</v>
      </c>
      <c r="AI5418">
        <v>92.563892754795603</v>
      </c>
      <c r="AJ5418">
        <v>85.6097656061565</v>
      </c>
      <c r="AK5418">
        <v>24.781377515724401</v>
      </c>
    </row>
    <row r="5419" spans="1:37" x14ac:dyDescent="0.2">
      <c r="A5419" t="str">
        <f>"20200111154208179"</f>
        <v>20200111154208179</v>
      </c>
      <c r="B5419" t="str">
        <f>"1578728528171078"</f>
        <v>1578728528171078</v>
      </c>
      <c r="C5419" t="s">
        <v>37</v>
      </c>
      <c r="D5419">
        <v>5.2477839999999896</v>
      </c>
      <c r="E5419">
        <v>0.54286119999999904</v>
      </c>
      <c r="F5419" t="s">
        <v>39</v>
      </c>
      <c r="G5419">
        <v>-186.30359999999999</v>
      </c>
      <c r="H5419" s="1">
        <v>-4.8905189999999902E-6</v>
      </c>
      <c r="I5419">
        <v>79.504289999999997</v>
      </c>
      <c r="J5419">
        <v>-188.53190000000001</v>
      </c>
      <c r="K5419">
        <v>1.108544</v>
      </c>
      <c r="L5419">
        <v>56.178040000000003</v>
      </c>
      <c r="M5419">
        <v>1.5143810000000001E-2</v>
      </c>
      <c r="N5419">
        <v>0</v>
      </c>
      <c r="O5419">
        <v>0.99986790000000003</v>
      </c>
      <c r="P5419">
        <v>-1.9430099999999999E-2</v>
      </c>
      <c r="Q5419">
        <v>2.7602990000000001E-2</v>
      </c>
      <c r="R5419">
        <v>0.99943009999999999</v>
      </c>
      <c r="S5419">
        <v>0.28163149999999998</v>
      </c>
      <c r="T5419">
        <v>-0.13951810000000001</v>
      </c>
      <c r="U5419">
        <v>3.0129090000000001</v>
      </c>
      <c r="V5419">
        <v>-3.4581389999999997E-2</v>
      </c>
      <c r="W5419">
        <v>3.349042E-2</v>
      </c>
      <c r="X5419">
        <v>0.99884059999999897</v>
      </c>
      <c r="Y5419">
        <v>7.7881359999999997E-2</v>
      </c>
      <c r="Z5419">
        <v>-4.6078809999999998E-2</v>
      </c>
      <c r="AA5419">
        <v>0.99589719999999904</v>
      </c>
      <c r="AB5419">
        <v>58</v>
      </c>
      <c r="AC5419">
        <v>2.2283000000000102</v>
      </c>
      <c r="AD5419">
        <v>-1.108548890519</v>
      </c>
      <c r="AE5419">
        <v>23.326249999999899</v>
      </c>
      <c r="AF5419">
        <v>1.87060345867719</v>
      </c>
      <c r="AG5419">
        <v>-1.108548890519</v>
      </c>
      <c r="AH5419">
        <v>23.305161827289201</v>
      </c>
      <c r="AI5419">
        <v>92.714599295217198</v>
      </c>
      <c r="AJ5419">
        <v>85.410956459035106</v>
      </c>
      <c r="AK5419">
        <v>23.406379594854599</v>
      </c>
    </row>
    <row r="5420" spans="1:37" x14ac:dyDescent="0.2">
      <c r="A5420" t="str">
        <f>"20200111154208202"</f>
        <v>20200111154208202</v>
      </c>
      <c r="B5420" t="str">
        <f>"1578728528191574"</f>
        <v>1578728528191574</v>
      </c>
      <c r="C5420" t="s">
        <v>37</v>
      </c>
      <c r="D5420">
        <v>5.2549999999999999</v>
      </c>
      <c r="E5420">
        <v>0.54260350000000002</v>
      </c>
      <c r="F5420" t="s">
        <v>39</v>
      </c>
      <c r="G5420">
        <v>-186.3167</v>
      </c>
      <c r="H5420" s="1">
        <v>-4.708044E-6</v>
      </c>
      <c r="I5420">
        <v>79.084339999999997</v>
      </c>
      <c r="J5420">
        <v>-188.52279999999999</v>
      </c>
      <c r="K5420">
        <v>1.1085290000000001</v>
      </c>
      <c r="L5420">
        <v>56.780239999999999</v>
      </c>
      <c r="M5420">
        <v>1.496864E-2</v>
      </c>
      <c r="N5420">
        <v>0</v>
      </c>
      <c r="O5420">
        <v>0.99987029999999999</v>
      </c>
      <c r="P5420">
        <v>-1.297005E-2</v>
      </c>
      <c r="Q5420">
        <v>2.4412619999999999E-2</v>
      </c>
      <c r="R5420">
        <v>0.9996178</v>
      </c>
      <c r="S5420">
        <v>0.29122919999999902</v>
      </c>
      <c r="T5420">
        <v>-0.14573710000000001</v>
      </c>
      <c r="U5420">
        <v>3.0114139999999998</v>
      </c>
      <c r="V5420">
        <v>-2.794839E-2</v>
      </c>
      <c r="W5420">
        <v>3.033251E-2</v>
      </c>
      <c r="X5420">
        <v>0.99914899999999995</v>
      </c>
      <c r="Y5420">
        <v>8.1237649999999995E-2</v>
      </c>
      <c r="Z5420">
        <v>-4.813833E-2</v>
      </c>
      <c r="AA5420">
        <v>0.99553159999999896</v>
      </c>
      <c r="AB5420">
        <v>59</v>
      </c>
      <c r="AC5420">
        <v>2.20609999999999</v>
      </c>
      <c r="AD5420">
        <v>-1.1085337080440001</v>
      </c>
      <c r="AE5420">
        <v>22.304099999999998</v>
      </c>
      <c r="AF5420">
        <v>1.8674167256904499</v>
      </c>
      <c r="AG5420">
        <v>-1.1085337080440001</v>
      </c>
      <c r="AH5420">
        <v>22.280121267466299</v>
      </c>
      <c r="AI5420">
        <v>92.838431181803799</v>
      </c>
      <c r="AJ5420">
        <v>85.208930911135496</v>
      </c>
      <c r="AK5420">
        <v>22.3857074023195</v>
      </c>
    </row>
    <row r="5421" spans="1:37" x14ac:dyDescent="0.2">
      <c r="A5421" t="str">
        <f>"20200111154208235"</f>
        <v>20200111154208235</v>
      </c>
      <c r="B5421" t="str">
        <f>"1578728528231590"</f>
        <v>1578728528231590</v>
      </c>
      <c r="C5421" t="s">
        <v>37</v>
      </c>
      <c r="D5421">
        <v>5.2023580000000003</v>
      </c>
      <c r="E5421">
        <v>0.54192989999999996</v>
      </c>
      <c r="F5421" t="s">
        <v>39</v>
      </c>
      <c r="G5421">
        <v>-186.32740000000001</v>
      </c>
      <c r="H5421" s="1">
        <v>-4.345754E-6</v>
      </c>
      <c r="I5421">
        <v>78.24427</v>
      </c>
      <c r="J5421">
        <v>-188.50989999999999</v>
      </c>
      <c r="K5421">
        <v>1.1085</v>
      </c>
      <c r="L5421">
        <v>57.64105</v>
      </c>
      <c r="M5421">
        <v>1.4717279999999999E-2</v>
      </c>
      <c r="N5421">
        <v>0</v>
      </c>
      <c r="O5421">
        <v>0.99987380000000003</v>
      </c>
      <c r="P5421">
        <v>-8.8013309999999904E-3</v>
      </c>
      <c r="Q5421">
        <v>2.0314510000000001E-2</v>
      </c>
      <c r="R5421">
        <v>0.9997549</v>
      </c>
      <c r="S5421">
        <v>0.30775449999999999</v>
      </c>
      <c r="T5421">
        <v>-0.15540000000000001</v>
      </c>
      <c r="U5421">
        <v>3.0089419999999998</v>
      </c>
      <c r="V5421">
        <v>-2.3529540000000002E-2</v>
      </c>
      <c r="W5421">
        <v>2.6276730000000002E-2</v>
      </c>
      <c r="X5421">
        <v>0.99937770000000004</v>
      </c>
      <c r="Y5421">
        <v>8.696284E-2</v>
      </c>
      <c r="Z5421">
        <v>-5.133774E-2</v>
      </c>
      <c r="AA5421">
        <v>0.99488790000000005</v>
      </c>
      <c r="AB5421">
        <v>59</v>
      </c>
      <c r="AC5421">
        <v>2.1824999999999699</v>
      </c>
      <c r="AD5421">
        <v>-1.108504345754</v>
      </c>
      <c r="AE5421">
        <v>20.60322</v>
      </c>
      <c r="AF5421">
        <v>1.87367128849352</v>
      </c>
      <c r="AG5421">
        <v>-1.108504345754</v>
      </c>
      <c r="AH5421">
        <v>20.574214082150998</v>
      </c>
      <c r="AI5421">
        <v>93.071333845283206</v>
      </c>
      <c r="AJ5421">
        <v>84.796489216111098</v>
      </c>
      <c r="AK5421">
        <v>20.689072262430301</v>
      </c>
    </row>
    <row r="5422" spans="1:37" x14ac:dyDescent="0.2">
      <c r="A5422" t="str">
        <f>"20200111154208255"</f>
        <v>20200111154208255</v>
      </c>
      <c r="B5422" t="str">
        <f>"1578728528251109"</f>
        <v>1578728528251109</v>
      </c>
      <c r="C5422" t="s">
        <v>37</v>
      </c>
      <c r="D5422">
        <v>5.2814670000000001</v>
      </c>
      <c r="E5422">
        <v>0.54158260000000003</v>
      </c>
      <c r="F5422" t="s">
        <v>38</v>
      </c>
      <c r="G5422">
        <v>-188.4102</v>
      </c>
      <c r="H5422">
        <v>1.056189</v>
      </c>
      <c r="I5422">
        <v>58.59234</v>
      </c>
      <c r="J5422">
        <v>-188.5017</v>
      </c>
      <c r="K5422">
        <v>1.1085049999999901</v>
      </c>
      <c r="L5422">
        <v>58.195069999999902</v>
      </c>
      <c r="M5422">
        <v>1.455504E-2</v>
      </c>
      <c r="N5422">
        <v>0</v>
      </c>
      <c r="O5422">
        <v>0.99987599999999999</v>
      </c>
      <c r="P5422">
        <v>-7.1956969999999896E-3</v>
      </c>
      <c r="Q5422">
        <v>1.8897810000000001E-2</v>
      </c>
      <c r="R5422">
        <v>0.99979560000000001</v>
      </c>
      <c r="S5422">
        <v>0.31449890000000003</v>
      </c>
      <c r="T5422">
        <v>-0.1653724</v>
      </c>
      <c r="U5422">
        <v>3.006866</v>
      </c>
      <c r="V5422">
        <v>-2.1761840000000001E-2</v>
      </c>
      <c r="W5422">
        <v>2.4886249999999999E-2</v>
      </c>
      <c r="X5422">
        <v>0.99945339999999905</v>
      </c>
      <c r="Y5422">
        <v>8.9383329999999997E-2</v>
      </c>
      <c r="Z5422">
        <v>-5.4648059999999998E-2</v>
      </c>
      <c r="AA5422">
        <v>0.99449690000000002</v>
      </c>
      <c r="AB5422">
        <v>59</v>
      </c>
      <c r="AC5422">
        <v>9.1499999999996307E-2</v>
      </c>
      <c r="AD5422">
        <v>-5.23159999999998E-2</v>
      </c>
      <c r="AE5422">
        <v>0.39727000000000601</v>
      </c>
      <c r="AF5422">
        <v>8.4319324287321806E-2</v>
      </c>
      <c r="AG5422">
        <v>-5.23159999999998E-2</v>
      </c>
      <c r="AH5422">
        <v>0.39210245744960798</v>
      </c>
      <c r="AI5422">
        <v>97.431832075942793</v>
      </c>
      <c r="AJ5422">
        <v>77.863704156625502</v>
      </c>
      <c r="AK5422">
        <v>0.40446390375692598</v>
      </c>
    </row>
    <row r="5423" spans="1:37" x14ac:dyDescent="0.2">
      <c r="A5423" t="str">
        <f>"20200111154208279"</f>
        <v>20200111154208279</v>
      </c>
      <c r="B5423" t="str">
        <f>"1578728528271605"</f>
        <v>1578728528271605</v>
      </c>
      <c r="C5423" t="s">
        <v>37</v>
      </c>
      <c r="D5423">
        <v>5.2543639999999998</v>
      </c>
      <c r="E5423">
        <v>0.54125059999999903</v>
      </c>
      <c r="F5423" t="s">
        <v>38</v>
      </c>
      <c r="G5423">
        <v>-188.404</v>
      </c>
      <c r="H5423">
        <v>1.056354</v>
      </c>
      <c r="I5423">
        <v>59.12283</v>
      </c>
      <c r="J5423">
        <v>-188.49270000000001</v>
      </c>
      <c r="K5423">
        <v>1.108517</v>
      </c>
      <c r="L5423">
        <v>58.81183</v>
      </c>
      <c r="M5423">
        <v>1.4374120000000001E-2</v>
      </c>
      <c r="N5423">
        <v>0</v>
      </c>
      <c r="O5423">
        <v>0.9998785</v>
      </c>
      <c r="P5423">
        <v>-5.2488619999999904E-3</v>
      </c>
      <c r="Q5423">
        <v>1.9712489999999999E-2</v>
      </c>
      <c r="R5423">
        <v>0.99979189999999996</v>
      </c>
      <c r="S5423">
        <v>0.31669619999999998</v>
      </c>
      <c r="T5423">
        <v>-0.1689831</v>
      </c>
      <c r="U5423">
        <v>3.00607299999999</v>
      </c>
      <c r="V5423">
        <v>-1.9634889999999999E-2</v>
      </c>
      <c r="W5423">
        <v>2.573046E-2</v>
      </c>
      <c r="X5423">
        <v>0.99947609999999998</v>
      </c>
      <c r="Y5423">
        <v>9.0302709999999994E-2</v>
      </c>
      <c r="Z5423">
        <v>-5.5847939999999999E-2</v>
      </c>
      <c r="AA5423">
        <v>0.99434719999999999</v>
      </c>
      <c r="AB5423">
        <v>59</v>
      </c>
      <c r="AC5423">
        <v>8.8699999999988594E-2</v>
      </c>
      <c r="AD5423">
        <v>-5.2162999999999897E-2</v>
      </c>
      <c r="AE5423">
        <v>0.310999999999999</v>
      </c>
      <c r="AF5423">
        <v>8.2084883479683401E-2</v>
      </c>
      <c r="AG5423">
        <v>-5.2162999999999897E-2</v>
      </c>
      <c r="AH5423">
        <v>0.30432554503769599</v>
      </c>
      <c r="AI5423">
        <v>99.396768473640705</v>
      </c>
      <c r="AJ5423">
        <v>74.904993029255294</v>
      </c>
      <c r="AK5423">
        <v>0.319488566348412</v>
      </c>
    </row>
    <row r="5424" spans="1:37" x14ac:dyDescent="0.2">
      <c r="A5424" t="str">
        <f>"20200111154208302"</f>
        <v>20200111154208302</v>
      </c>
      <c r="B5424" t="str">
        <f>"1578728528291126"</f>
        <v>1578728528291126</v>
      </c>
      <c r="C5424" t="s">
        <v>37</v>
      </c>
      <c r="D5424">
        <v>5.3279379999999996</v>
      </c>
      <c r="E5424">
        <v>0.54099379999999997</v>
      </c>
      <c r="F5424" t="s">
        <v>39</v>
      </c>
      <c r="G5424">
        <v>-186.35</v>
      </c>
      <c r="H5424" s="1">
        <v>-4.6516590000000002E-6</v>
      </c>
      <c r="I5424">
        <v>78.966669999999993</v>
      </c>
      <c r="J5424">
        <v>-188.48390000000001</v>
      </c>
      <c r="K5424">
        <v>1.1085259999999999</v>
      </c>
      <c r="L5424">
        <v>59.423430000000003</v>
      </c>
      <c r="M5424">
        <v>1.41944999999999E-2</v>
      </c>
      <c r="N5424">
        <v>0</v>
      </c>
      <c r="O5424">
        <v>0.99988089999999996</v>
      </c>
      <c r="P5424">
        <v>-3.5533639999999998E-3</v>
      </c>
      <c r="Q5424">
        <v>1.9831700000000001E-2</v>
      </c>
      <c r="R5424">
        <v>0.99979699999999905</v>
      </c>
      <c r="S5424">
        <v>0.31953429999999999</v>
      </c>
      <c r="T5424">
        <v>-0.16530619999999999</v>
      </c>
      <c r="U5424">
        <v>3.0055540000000001</v>
      </c>
      <c r="V5424">
        <v>-1.7760370000000001E-2</v>
      </c>
      <c r="W5424">
        <v>2.5878709999999999E-2</v>
      </c>
      <c r="X5424">
        <v>0.99950729999999999</v>
      </c>
      <c r="Y5424">
        <v>9.1435069999999993E-2</v>
      </c>
      <c r="Z5424">
        <v>-5.4640460000000002E-2</v>
      </c>
      <c r="AA5424">
        <v>0.9943109</v>
      </c>
      <c r="AB5424">
        <v>59</v>
      </c>
      <c r="AC5424">
        <v>2.1339000000000099</v>
      </c>
      <c r="AD5424">
        <v>-1.1085306516590001</v>
      </c>
      <c r="AE5424">
        <v>19.543239999999901</v>
      </c>
      <c r="AF5424">
        <v>1.85039013119247</v>
      </c>
      <c r="AG5424">
        <v>-1.1085306516590001</v>
      </c>
      <c r="AH5424">
        <v>19.5095311722094</v>
      </c>
      <c r="AI5424">
        <v>93.237548554232006</v>
      </c>
      <c r="AJ5424">
        <v>84.581963874205101</v>
      </c>
      <c r="AK5424">
        <v>19.628412834528699</v>
      </c>
    </row>
    <row r="5425" spans="1:37" x14ac:dyDescent="0.2">
      <c r="A5425" t="str">
        <f>"20200111154208326"</f>
        <v>20200111154208326</v>
      </c>
      <c r="B5425" t="str">
        <f>"1578728528321381"</f>
        <v>1578728528321381</v>
      </c>
      <c r="C5425" t="s">
        <v>37</v>
      </c>
      <c r="D5425">
        <v>5.2899320000000003</v>
      </c>
      <c r="E5425">
        <v>0.54057469999999996</v>
      </c>
      <c r="F5425" t="s">
        <v>39</v>
      </c>
      <c r="G5425">
        <v>-186.3271</v>
      </c>
      <c r="H5425" s="1">
        <v>-4.8987280000000001E-6</v>
      </c>
      <c r="I5425">
        <v>79.533150000000006</v>
      </c>
      <c r="J5425">
        <v>-188.4751</v>
      </c>
      <c r="K5425">
        <v>1.108528</v>
      </c>
      <c r="L5425">
        <v>60.042269999999903</v>
      </c>
      <c r="M5425">
        <v>1.40126E-2</v>
      </c>
      <c r="N5425">
        <v>0</v>
      </c>
      <c r="O5425">
        <v>0.99988330000000003</v>
      </c>
      <c r="P5425">
        <v>-2.9102569999999999E-3</v>
      </c>
      <c r="Q5425">
        <v>1.9441549999999998E-2</v>
      </c>
      <c r="R5425">
        <v>0.9998068</v>
      </c>
      <c r="S5425">
        <v>0.32229609999999997</v>
      </c>
      <c r="T5425">
        <v>-0.16564999999999999</v>
      </c>
      <c r="U5425">
        <v>3.0050349999999999</v>
      </c>
      <c r="V5425">
        <v>-1.6935519999999999E-2</v>
      </c>
      <c r="W5425">
        <v>2.5517379999999999E-2</v>
      </c>
      <c r="X5425">
        <v>0.9995309</v>
      </c>
      <c r="Y5425">
        <v>9.2537079999999994E-2</v>
      </c>
      <c r="Z5425">
        <v>-5.4757899999999998E-2</v>
      </c>
      <c r="AA5425">
        <v>0.99420239999999904</v>
      </c>
      <c r="AB5425">
        <v>59</v>
      </c>
      <c r="AC5425">
        <v>2.1479999999999899</v>
      </c>
      <c r="AD5425">
        <v>-1.1085328987279901</v>
      </c>
      <c r="AE5425">
        <v>19.490880000000001</v>
      </c>
      <c r="AF5425">
        <v>1.8686940009958799</v>
      </c>
      <c r="AG5425">
        <v>-1.1085328987279901</v>
      </c>
      <c r="AH5425">
        <v>19.456883904608802</v>
      </c>
      <c r="AI5425">
        <v>93.245929867883305</v>
      </c>
      <c r="AJ5425">
        <v>84.513978557308903</v>
      </c>
      <c r="AK5425">
        <v>19.5778240296092</v>
      </c>
    </row>
    <row r="5426" spans="1:37" x14ac:dyDescent="0.2">
      <c r="A5426" t="str">
        <f>"20200111154208346"</f>
        <v>20200111154208346</v>
      </c>
      <c r="B5426" t="str">
        <f>"1578728528341878"</f>
        <v>1578728528341878</v>
      </c>
      <c r="C5426" t="s">
        <v>37</v>
      </c>
      <c r="D5426">
        <v>5.3011980000000003</v>
      </c>
      <c r="E5426">
        <v>0.54029349999999998</v>
      </c>
      <c r="F5426" t="s">
        <v>38</v>
      </c>
      <c r="G5426">
        <v>-188.34790000000001</v>
      </c>
      <c r="H5426">
        <v>1.0422100000000001</v>
      </c>
      <c r="I5426">
        <v>61.233280000000001</v>
      </c>
      <c r="J5426">
        <v>-188.4674</v>
      </c>
      <c r="K5426">
        <v>1.108538</v>
      </c>
      <c r="L5426">
        <v>60.592289999999998</v>
      </c>
      <c r="M5426">
        <v>1.385081E-2</v>
      </c>
      <c r="N5426">
        <v>0</v>
      </c>
      <c r="O5426">
        <v>0.99988539999999904</v>
      </c>
      <c r="P5426">
        <v>-2.4736649999999999E-3</v>
      </c>
      <c r="Q5426">
        <v>1.8212829999999999E-2</v>
      </c>
      <c r="R5426">
        <v>0.99983109999999997</v>
      </c>
      <c r="S5426">
        <v>0.32086179999999997</v>
      </c>
      <c r="T5426">
        <v>-0.16730610000000001</v>
      </c>
      <c r="U5426">
        <v>3.0047609999999998</v>
      </c>
      <c r="V5426">
        <v>-1.6337379999999999E-2</v>
      </c>
      <c r="W5426">
        <v>2.431612E-2</v>
      </c>
      <c r="X5426">
        <v>0.99957079999999998</v>
      </c>
      <c r="Y5426">
        <v>9.2235349999999994E-2</v>
      </c>
      <c r="Z5426">
        <v>-5.5311020000000002E-2</v>
      </c>
      <c r="AA5426">
        <v>0.99419990000000003</v>
      </c>
      <c r="AB5426">
        <v>60</v>
      </c>
      <c r="AC5426">
        <v>0.11949999999998701</v>
      </c>
      <c r="AD5426">
        <v>-6.6327999999999901E-2</v>
      </c>
      <c r="AE5426">
        <v>0.64099000000000195</v>
      </c>
      <c r="AF5426">
        <v>0.109477277285587</v>
      </c>
      <c r="AG5426">
        <v>-6.6327999999999901E-2</v>
      </c>
      <c r="AH5426">
        <v>0.63600240762170801</v>
      </c>
      <c r="AI5426">
        <v>95.868106323747398</v>
      </c>
      <c r="AJ5426">
        <v>80.2331934720969</v>
      </c>
      <c r="AK5426">
        <v>0.64875553201993996</v>
      </c>
    </row>
    <row r="5427" spans="1:37" x14ac:dyDescent="0.2">
      <c r="A5427" t="str">
        <f>"20200111154208369"</f>
        <v>20200111154208369</v>
      </c>
      <c r="B5427" t="str">
        <f>"1578728528361397"</f>
        <v>1578728528361397</v>
      </c>
      <c r="C5427" t="s">
        <v>37</v>
      </c>
      <c r="D5427">
        <v>5.289911</v>
      </c>
      <c r="E5427">
        <v>0.54004350000000001</v>
      </c>
      <c r="F5427" t="s">
        <v>38</v>
      </c>
      <c r="G5427">
        <v>-188.34219999999999</v>
      </c>
      <c r="H5427">
        <v>1.0413840000000001</v>
      </c>
      <c r="I5427">
        <v>61.767040000000001</v>
      </c>
      <c r="J5427">
        <v>-188.459</v>
      </c>
      <c r="K5427">
        <v>1.108555</v>
      </c>
      <c r="L5427">
        <v>61.200869999999902</v>
      </c>
      <c r="M5427">
        <v>1.3671569999999999E-2</v>
      </c>
      <c r="N5427">
        <v>0</v>
      </c>
      <c r="O5427">
        <v>0.99988759999999999</v>
      </c>
      <c r="P5427">
        <v>-1.7502749999999999E-3</v>
      </c>
      <c r="Q5427">
        <v>1.8931940000000001E-2</v>
      </c>
      <c r="R5427">
        <v>0.99981919999999902</v>
      </c>
      <c r="S5427">
        <v>0.3198242</v>
      </c>
      <c r="T5427">
        <v>-0.17176720000000001</v>
      </c>
      <c r="U5427">
        <v>3.0044249999999999</v>
      </c>
      <c r="V5427">
        <v>-1.543482E-2</v>
      </c>
      <c r="W5427">
        <v>2.5068819999999999E-2</v>
      </c>
      <c r="X5427">
        <v>0.99956659999999997</v>
      </c>
      <c r="Y5427">
        <v>9.2077290000000006E-2</v>
      </c>
      <c r="Z5427">
        <v>-5.6789099999999898E-2</v>
      </c>
      <c r="AA5427">
        <v>0.99413109999999905</v>
      </c>
      <c r="AB5427">
        <v>60</v>
      </c>
      <c r="AC5427">
        <v>0.11680000000001201</v>
      </c>
      <c r="AD5427">
        <v>-6.71709999999998E-2</v>
      </c>
      <c r="AE5427">
        <v>0.56617000000000595</v>
      </c>
      <c r="AF5427">
        <v>0.10759584149097801</v>
      </c>
      <c r="AG5427">
        <v>-6.71709999999998E-2</v>
      </c>
      <c r="AH5427">
        <v>0.56015129280823694</v>
      </c>
      <c r="AI5427">
        <v>96.716388865037999</v>
      </c>
      <c r="AJ5427">
        <v>79.126858591945805</v>
      </c>
      <c r="AK5427">
        <v>0.57433289926826503</v>
      </c>
    </row>
    <row r="5428" spans="1:37" x14ac:dyDescent="0.2">
      <c r="A5428" t="str">
        <f>"20200111154208392"</f>
        <v>20200111154208392</v>
      </c>
      <c r="B5428" t="str">
        <f>"1578728528381894"</f>
        <v>1578728528381894</v>
      </c>
      <c r="C5428" t="s">
        <v>37</v>
      </c>
      <c r="D5428">
        <v>5.288119</v>
      </c>
      <c r="E5428">
        <v>0.53973369999999998</v>
      </c>
      <c r="F5428" t="s">
        <v>38</v>
      </c>
      <c r="G5428">
        <v>-188.3415</v>
      </c>
      <c r="H5428">
        <v>1.046065</v>
      </c>
      <c r="I5428">
        <v>62.304830000000003</v>
      </c>
      <c r="J5428">
        <v>-188.45079999999999</v>
      </c>
      <c r="K5428">
        <v>1.1085799999999999</v>
      </c>
      <c r="L5428">
        <v>61.797759999999997</v>
      </c>
      <c r="M5428">
        <v>1.3495979999999999E-2</v>
      </c>
      <c r="N5428">
        <v>0</v>
      </c>
      <c r="O5428">
        <v>0.99988980000000005</v>
      </c>
      <c r="P5428">
        <v>-5.0493309999999998E-4</v>
      </c>
      <c r="Q5428">
        <v>1.8220119999999999E-2</v>
      </c>
      <c r="R5428">
        <v>0.99983389999999905</v>
      </c>
      <c r="S5428">
        <v>0.31944270000000002</v>
      </c>
      <c r="T5428">
        <v>-0.17007169999999999</v>
      </c>
      <c r="U5428">
        <v>3.0043329999999999</v>
      </c>
      <c r="V5428">
        <v>-1.4014209999999999E-2</v>
      </c>
      <c r="W5428">
        <v>2.4396210000000002E-2</v>
      </c>
      <c r="X5428">
        <v>0.999604099999999</v>
      </c>
      <c r="Y5428">
        <v>9.2133859999999998E-2</v>
      </c>
      <c r="Z5428">
        <v>-5.6232440000000002E-2</v>
      </c>
      <c r="AA5428">
        <v>0.99415759999999898</v>
      </c>
      <c r="AB5428">
        <v>60</v>
      </c>
      <c r="AC5428">
        <v>0.10929999999999</v>
      </c>
      <c r="AD5428">
        <v>-6.2514999999999807E-2</v>
      </c>
      <c r="AE5428">
        <v>0.50707000000000502</v>
      </c>
      <c r="AF5428">
        <v>0.100979800595974</v>
      </c>
      <c r="AG5428">
        <v>-6.2514999999999807E-2</v>
      </c>
      <c r="AH5428">
        <v>0.501218873264894</v>
      </c>
      <c r="AI5428">
        <v>96.970909053946002</v>
      </c>
      <c r="AJ5428">
        <v>78.609189212906003</v>
      </c>
      <c r="AK5428">
        <v>0.51509747065029698</v>
      </c>
    </row>
    <row r="5429" spans="1:37" x14ac:dyDescent="0.2">
      <c r="A5429" t="str">
        <f>"20200111154208416"</f>
        <v>20200111154208416</v>
      </c>
      <c r="B5429" t="str">
        <f>"1578728528411174"</f>
        <v>1578728528411174</v>
      </c>
      <c r="C5429" t="s">
        <v>37</v>
      </c>
      <c r="D5429">
        <v>5.27095</v>
      </c>
      <c r="E5429">
        <v>0.53928969999999998</v>
      </c>
      <c r="F5429" t="s">
        <v>38</v>
      </c>
      <c r="G5429">
        <v>-188.33930000000001</v>
      </c>
      <c r="H5429">
        <v>1.0482670000000001</v>
      </c>
      <c r="I5429">
        <v>62.842739999999999</v>
      </c>
      <c r="J5429">
        <v>-188.44200000000001</v>
      </c>
      <c r="K5429">
        <v>1.1086039999999999</v>
      </c>
      <c r="L5429">
        <v>62.451900000000002</v>
      </c>
      <c r="M5429">
        <v>1.3302990000000001E-2</v>
      </c>
      <c r="N5429">
        <v>0</v>
      </c>
      <c r="O5429">
        <v>0.99989209999999995</v>
      </c>
      <c r="P5429">
        <v>2.0659669999999999E-4</v>
      </c>
      <c r="Q5429">
        <v>1.7418019999999999E-2</v>
      </c>
      <c r="R5429">
        <v>0.99984819999999996</v>
      </c>
      <c r="S5429">
        <v>0.32023620000000003</v>
      </c>
      <c r="T5429">
        <v>-0.1733972</v>
      </c>
      <c r="U5429">
        <v>3.0038149999999999</v>
      </c>
      <c r="V5429">
        <v>-1.3109279999999999E-2</v>
      </c>
      <c r="W5429">
        <v>2.3649699999999999E-2</v>
      </c>
      <c r="X5429">
        <v>0.99963429999999998</v>
      </c>
      <c r="Y5429">
        <v>9.2597109999999996E-2</v>
      </c>
      <c r="Z5429">
        <v>-5.7336430000000001E-2</v>
      </c>
      <c r="AA5429">
        <v>0.99405149999999998</v>
      </c>
      <c r="AB5429">
        <v>60</v>
      </c>
      <c r="AC5429">
        <v>0.102699999999998</v>
      </c>
      <c r="AD5429">
        <v>-6.0337000000000002E-2</v>
      </c>
      <c r="AE5429">
        <v>0.39083999999999702</v>
      </c>
      <c r="AF5429">
        <v>9.53654672763877E-2</v>
      </c>
      <c r="AG5429">
        <v>-6.0337000000000002E-2</v>
      </c>
      <c r="AH5429">
        <v>0.383619543616189</v>
      </c>
      <c r="AI5429">
        <v>98.678512342768101</v>
      </c>
      <c r="AJ5429">
        <v>76.039607716588904</v>
      </c>
      <c r="AK5429">
        <v>0.399873830304181</v>
      </c>
    </row>
    <row r="5430" spans="1:37" x14ac:dyDescent="0.2">
      <c r="A5430" t="str">
        <f>"20200111154208436"</f>
        <v>20200111154208436</v>
      </c>
      <c r="B5430" t="str">
        <f>"1578728528431670"</f>
        <v>1578728528431670</v>
      </c>
      <c r="C5430" t="s">
        <v>37</v>
      </c>
      <c r="D5430">
        <v>5.3545069999999999</v>
      </c>
      <c r="E5430">
        <v>0.53012079999999995</v>
      </c>
      <c r="F5430" t="s">
        <v>38</v>
      </c>
      <c r="G5430">
        <v>-188.34289999999999</v>
      </c>
      <c r="H5430">
        <v>1.0537529999999999</v>
      </c>
      <c r="I5430">
        <v>63.384439999999998</v>
      </c>
      <c r="J5430">
        <v>-188.43450000000001</v>
      </c>
      <c r="K5430">
        <v>1.1086370000000001</v>
      </c>
      <c r="L5430">
        <v>63.014130000000002</v>
      </c>
      <c r="M5430">
        <v>1.3135869999999999E-2</v>
      </c>
      <c r="N5430">
        <v>0</v>
      </c>
      <c r="O5430">
        <v>0.99989380000000005</v>
      </c>
      <c r="P5430">
        <v>5.857697E-4</v>
      </c>
      <c r="Q5430">
        <v>1.676155E-2</v>
      </c>
      <c r="R5430">
        <v>0.99985930000000001</v>
      </c>
      <c r="S5430">
        <v>0.31860349999999998</v>
      </c>
      <c r="T5430">
        <v>-0.17669019999999999</v>
      </c>
      <c r="U5430">
        <v>3.003479</v>
      </c>
      <c r="V5430">
        <v>-1.256319E-2</v>
      </c>
      <c r="W5430">
        <v>2.306621E-2</v>
      </c>
      <c r="X5430">
        <v>0.99965499999999996</v>
      </c>
      <c r="Y5430">
        <v>9.2234189999999994E-2</v>
      </c>
      <c r="Z5430">
        <v>-5.8430889999999999E-2</v>
      </c>
      <c r="AA5430">
        <v>0.9940215</v>
      </c>
      <c r="AB5430">
        <v>60</v>
      </c>
      <c r="AC5430">
        <v>9.1600000000028103E-2</v>
      </c>
      <c r="AD5430">
        <v>-5.4883999999999898E-2</v>
      </c>
      <c r="AE5430">
        <v>0.37031000000000303</v>
      </c>
      <c r="AF5430">
        <v>8.4968808097200102E-2</v>
      </c>
      <c r="AG5430">
        <v>-5.4883999999999898E-2</v>
      </c>
      <c r="AH5430">
        <v>0.363947631614009</v>
      </c>
      <c r="AI5430">
        <v>98.354334756740101</v>
      </c>
      <c r="AJ5430">
        <v>76.858857174199102</v>
      </c>
      <c r="AK5430">
        <v>0.37774307453996397</v>
      </c>
    </row>
    <row r="5431" spans="1:37" x14ac:dyDescent="0.2">
      <c r="A5431" t="str">
        <f>"20200111154208458"</f>
        <v>20200111154208458</v>
      </c>
      <c r="B5431" t="str">
        <f>"1578728528451190"</f>
        <v>1578728528451190</v>
      </c>
      <c r="C5431" t="s">
        <v>37</v>
      </c>
      <c r="D5431">
        <v>5.3286100000000003</v>
      </c>
      <c r="E5431">
        <v>0.53094759999999996</v>
      </c>
      <c r="F5431" t="s">
        <v>38</v>
      </c>
      <c r="G5431">
        <v>-188.35990000000001</v>
      </c>
      <c r="H5431">
        <v>1.0516379999999901</v>
      </c>
      <c r="I5431">
        <v>63.920140000000004</v>
      </c>
      <c r="J5431">
        <v>-188.42699999999999</v>
      </c>
      <c r="K5431">
        <v>1.108689</v>
      </c>
      <c r="L5431">
        <v>63.585999999999999</v>
      </c>
      <c r="M5431">
        <v>1.29632999999999E-2</v>
      </c>
      <c r="N5431">
        <v>0</v>
      </c>
      <c r="O5431">
        <v>0.99989519999999998</v>
      </c>
      <c r="P5431">
        <v>1.852614E-3</v>
      </c>
      <c r="Q5431">
        <v>1.6196970000000002E-2</v>
      </c>
      <c r="R5431">
        <v>0.99986710000000001</v>
      </c>
      <c r="S5431">
        <v>0.2466431</v>
      </c>
      <c r="T5431">
        <v>-0.18898889999999999</v>
      </c>
      <c r="U5431">
        <v>3.0034480000000001</v>
      </c>
      <c r="V5431">
        <v>-1.1124220000000001E-2</v>
      </c>
      <c r="W5431">
        <v>2.262716E-2</v>
      </c>
      <c r="X5431">
        <v>0.99968210000000002</v>
      </c>
      <c r="Y5431">
        <v>6.8756929999999994E-2</v>
      </c>
      <c r="Z5431">
        <v>-6.2612619999999994E-2</v>
      </c>
      <c r="AA5431">
        <v>0.99566669999999902</v>
      </c>
      <c r="AB5431">
        <v>60</v>
      </c>
      <c r="AC5431">
        <v>6.7100000000010596E-2</v>
      </c>
      <c r="AD5431">
        <v>-5.7051000000000102E-2</v>
      </c>
      <c r="AE5431">
        <v>0.33413999999999699</v>
      </c>
      <c r="AF5431">
        <v>6.1051914264759102E-2</v>
      </c>
      <c r="AG5431">
        <v>-5.7051000000000102E-2</v>
      </c>
      <c r="AH5431">
        <v>0.32585076856821099</v>
      </c>
      <c r="AI5431">
        <v>99.764319252734893</v>
      </c>
      <c r="AJ5431">
        <v>79.388006545246498</v>
      </c>
      <c r="AK5431">
        <v>0.33639393010707702</v>
      </c>
    </row>
    <row r="5432" spans="1:37" x14ac:dyDescent="0.2">
      <c r="A5432" t="str">
        <f>"20200111154208481"</f>
        <v>20200111154208481</v>
      </c>
      <c r="B5432" t="str">
        <f>"1578728528471686"</f>
        <v>1578728528471686</v>
      </c>
      <c r="C5432" t="s">
        <v>37</v>
      </c>
      <c r="D5432">
        <v>5.3030619999999997</v>
      </c>
      <c r="E5432">
        <v>0.53111919999999901</v>
      </c>
      <c r="F5432" t="s">
        <v>38</v>
      </c>
      <c r="G5432">
        <v>-188.352</v>
      </c>
      <c r="H5432">
        <v>1.0548439999999999</v>
      </c>
      <c r="I5432">
        <v>64.461600000000004</v>
      </c>
      <c r="J5432">
        <v>-188.41890000000001</v>
      </c>
      <c r="K5432">
        <v>1.10877</v>
      </c>
      <c r="L5432">
        <v>64.207639999999998</v>
      </c>
      <c r="M5432">
        <v>1.277241E-2</v>
      </c>
      <c r="N5432">
        <v>0</v>
      </c>
      <c r="O5432">
        <v>0.99989619999999901</v>
      </c>
      <c r="P5432">
        <v>3.067897E-3</v>
      </c>
      <c r="Q5432">
        <v>1.568978E-2</v>
      </c>
      <c r="R5432">
        <v>0.99987219999999999</v>
      </c>
      <c r="S5432">
        <v>0.25714110000000001</v>
      </c>
      <c r="T5432">
        <v>-0.18465010000000001</v>
      </c>
      <c r="U5432">
        <v>3.0028990000000002</v>
      </c>
      <c r="V5432">
        <v>-9.7185229999999997E-3</v>
      </c>
      <c r="W5432">
        <v>2.2354949999999998E-2</v>
      </c>
      <c r="X5432">
        <v>0.99970289999999995</v>
      </c>
      <c r="Y5432">
        <v>7.242585E-2</v>
      </c>
      <c r="Z5432">
        <v>-6.1175090000000001E-2</v>
      </c>
      <c r="AA5432">
        <v>0.99549589999999999</v>
      </c>
      <c r="AB5432">
        <v>60</v>
      </c>
      <c r="AC5432">
        <v>6.6900000000003901E-2</v>
      </c>
      <c r="AD5432">
        <v>-5.3925999999999898E-2</v>
      </c>
      <c r="AE5432">
        <v>0.25396000000000601</v>
      </c>
      <c r="AF5432">
        <v>6.1075676061171001E-2</v>
      </c>
      <c r="AG5432">
        <v>-5.3925999999999898E-2</v>
      </c>
      <c r="AH5432">
        <v>0.24448561165325899</v>
      </c>
      <c r="AI5432">
        <v>102.078720353207</v>
      </c>
      <c r="AJ5432">
        <v>75.973842807005695</v>
      </c>
      <c r="AK5432">
        <v>0.25770422190526399</v>
      </c>
    </row>
    <row r="5433" spans="1:37" x14ac:dyDescent="0.2">
      <c r="A5433" t="str">
        <f>"20200111154208503"</f>
        <v>20200111154208503</v>
      </c>
      <c r="B5433" t="str">
        <f>"1578728528491205"</f>
        <v>1578728528491205</v>
      </c>
      <c r="C5433" t="s">
        <v>37</v>
      </c>
      <c r="D5433">
        <v>5.3232609999999996</v>
      </c>
      <c r="E5433">
        <v>0.53132590000000002</v>
      </c>
      <c r="F5433" t="s">
        <v>39</v>
      </c>
      <c r="G5433">
        <v>-186.8252</v>
      </c>
      <c r="H5433" s="1">
        <v>-1.803041E-6</v>
      </c>
      <c r="I5433">
        <v>82.464069999999893</v>
      </c>
      <c r="J5433">
        <v>-188.41130000000001</v>
      </c>
      <c r="K5433">
        <v>1.1088819999999999</v>
      </c>
      <c r="L5433">
        <v>64.805480000000003</v>
      </c>
      <c r="M5433">
        <v>1.2585549999999999E-2</v>
      </c>
      <c r="N5433">
        <v>0</v>
      </c>
      <c r="O5433">
        <v>0.99989599999999901</v>
      </c>
      <c r="P5433">
        <v>3.812845E-3</v>
      </c>
      <c r="Q5433">
        <v>1.5888610000000001E-2</v>
      </c>
      <c r="R5433">
        <v>0.99986649999999999</v>
      </c>
      <c r="S5433">
        <v>0.26210020000000001</v>
      </c>
      <c r="T5433">
        <v>-0.18234800000000001</v>
      </c>
      <c r="U5433">
        <v>3.0024410000000001</v>
      </c>
      <c r="V5433">
        <v>-8.7869430000000002E-3</v>
      </c>
      <c r="W5433">
        <v>2.2921770000000001E-2</v>
      </c>
      <c r="X5433">
        <v>0.99969859999999899</v>
      </c>
      <c r="Y5433">
        <v>7.4261069999999998E-2</v>
      </c>
      <c r="Z5433">
        <v>-6.0416230000000001E-2</v>
      </c>
      <c r="AA5433">
        <v>0.99540699999999904</v>
      </c>
      <c r="AB5433">
        <v>60</v>
      </c>
      <c r="AC5433">
        <v>1.5861000000000101</v>
      </c>
      <c r="AD5433">
        <v>-1.108883803041</v>
      </c>
      <c r="AE5433">
        <v>17.658589999999901</v>
      </c>
      <c r="AF5433">
        <v>1.35841203527025</v>
      </c>
      <c r="AG5433">
        <v>-1.108883803041</v>
      </c>
      <c r="AH5433">
        <v>17.608274736037</v>
      </c>
      <c r="AI5433">
        <v>93.592804511188106</v>
      </c>
      <c r="AJ5433">
        <v>85.588584269749106</v>
      </c>
      <c r="AK5433">
        <v>17.695373568421001</v>
      </c>
    </row>
    <row r="5434" spans="1:37" x14ac:dyDescent="0.2">
      <c r="A5434" t="str">
        <f>"20200111154208524"</f>
        <v>20200111154208524</v>
      </c>
      <c r="B5434" t="str">
        <f>"1578728528521461"</f>
        <v>1578728528521461</v>
      </c>
      <c r="C5434" t="s">
        <v>37</v>
      </c>
      <c r="D5434">
        <v>5.4646419999999898</v>
      </c>
      <c r="E5434">
        <v>0.53116850000000004</v>
      </c>
      <c r="F5434" t="s">
        <v>38</v>
      </c>
      <c r="G5434">
        <v>-188.29949999999999</v>
      </c>
      <c r="H5434">
        <v>1.033236</v>
      </c>
      <c r="I5434">
        <v>66.06568</v>
      </c>
      <c r="J5434">
        <v>-188.404</v>
      </c>
      <c r="K5434">
        <v>1.1090329999999999</v>
      </c>
      <c r="L5434">
        <v>65.386629999999997</v>
      </c>
      <c r="M5434">
        <v>1.238945E-2</v>
      </c>
      <c r="N5434">
        <v>0</v>
      </c>
      <c r="O5434">
        <v>0.99989470000000003</v>
      </c>
      <c r="P5434">
        <v>2.7491500000000001E-3</v>
      </c>
      <c r="Q5434">
        <v>1.6535000000000001E-2</v>
      </c>
      <c r="R5434">
        <v>0.99985949999999901</v>
      </c>
      <c r="S5434">
        <v>0.26593020000000001</v>
      </c>
      <c r="T5434">
        <v>-0.1802436</v>
      </c>
      <c r="U5434">
        <v>3.0022579999999999</v>
      </c>
      <c r="V5434">
        <v>-9.6561640000000001E-3</v>
      </c>
      <c r="W5434">
        <v>2.40854E-2</v>
      </c>
      <c r="X5434">
        <v>0.99966330000000003</v>
      </c>
      <c r="Y5434">
        <v>7.5725559999999997E-2</v>
      </c>
      <c r="Z5434">
        <v>-5.9718729999999998E-2</v>
      </c>
      <c r="AA5434">
        <v>0.99533879999999997</v>
      </c>
      <c r="AB5434">
        <v>60</v>
      </c>
      <c r="AC5434">
        <v>0.10450000000003</v>
      </c>
      <c r="AD5434">
        <v>-7.5796999999999795E-2</v>
      </c>
      <c r="AE5434">
        <v>0.67904999999998905</v>
      </c>
      <c r="AF5434">
        <v>9.4923346890252003E-2</v>
      </c>
      <c r="AG5434">
        <v>-7.5796999999999795E-2</v>
      </c>
      <c r="AH5434">
        <v>0.67211216717442401</v>
      </c>
      <c r="AI5434">
        <v>96.371604279429206</v>
      </c>
      <c r="AJ5434">
        <v>81.961203208979299</v>
      </c>
      <c r="AK5434">
        <v>0.68300101922160195</v>
      </c>
    </row>
    <row r="5435" spans="1:37" x14ac:dyDescent="0.2">
      <c r="A5435" t="str">
        <f>"20200111154208546"</f>
        <v>20200111154208546</v>
      </c>
      <c r="B5435" t="str">
        <f>"1578728528540981"</f>
        <v>1578728528540981</v>
      </c>
      <c r="C5435" t="s">
        <v>37</v>
      </c>
      <c r="D5435">
        <v>5.5209970000000004</v>
      </c>
      <c r="E5435">
        <v>0.53358850000000002</v>
      </c>
      <c r="F5435" t="s">
        <v>38</v>
      </c>
      <c r="G5435">
        <v>-188.29769999999999</v>
      </c>
      <c r="H5435">
        <v>1.0354620000000001</v>
      </c>
      <c r="I5435">
        <v>66.605869999999996</v>
      </c>
      <c r="J5435">
        <v>-188.3965</v>
      </c>
      <c r="K5435">
        <v>1.1091979999999999</v>
      </c>
      <c r="L5435">
        <v>65.99091</v>
      </c>
      <c r="M5435">
        <v>1.21748E-2</v>
      </c>
      <c r="N5435">
        <v>0</v>
      </c>
      <c r="O5435">
        <v>0.99989240000000001</v>
      </c>
      <c r="P5435">
        <v>1.6195160000000001E-3</v>
      </c>
      <c r="Q5435">
        <v>1.7415949999999999E-2</v>
      </c>
      <c r="R5435">
        <v>0.99984699999999904</v>
      </c>
      <c r="S5435">
        <v>0.2616425</v>
      </c>
      <c r="T5435">
        <v>-0.18120729999999999</v>
      </c>
      <c r="U5435">
        <v>3.0026860000000002</v>
      </c>
      <c r="V5435">
        <v>-1.057337E-2</v>
      </c>
      <c r="W5435">
        <v>2.5592699999999999E-2</v>
      </c>
      <c r="X5435">
        <v>0.99961659999999997</v>
      </c>
      <c r="Y5435">
        <v>7.4514990000000003E-2</v>
      </c>
      <c r="Z5435">
        <v>-6.0035089999999999E-2</v>
      </c>
      <c r="AA5435">
        <v>0.99541109999999899</v>
      </c>
      <c r="AB5435">
        <v>60</v>
      </c>
      <c r="AC5435">
        <v>9.8800000000011295E-2</v>
      </c>
      <c r="AD5435">
        <v>-7.3735999999999802E-2</v>
      </c>
      <c r="AE5435">
        <v>0.61495999999999595</v>
      </c>
      <c r="AF5435">
        <v>9.0043439101757106E-2</v>
      </c>
      <c r="AG5435">
        <v>-7.3735999999999802E-2</v>
      </c>
      <c r="AH5435">
        <v>0.60760170179367501</v>
      </c>
      <c r="AI5435">
        <v>96.845302688029093</v>
      </c>
      <c r="AJ5435">
        <v>81.570413009457795</v>
      </c>
      <c r="AK5435">
        <v>0.61864743323143401</v>
      </c>
    </row>
    <row r="5436" spans="1:37" x14ac:dyDescent="0.2">
      <c r="A5436" t="str">
        <f>"20200111154208569"</f>
        <v>20200111154208569</v>
      </c>
      <c r="B5436" t="str">
        <f>"1578728528561477"</f>
        <v>1578728528561477</v>
      </c>
      <c r="C5436" t="s">
        <v>37</v>
      </c>
      <c r="D5436">
        <v>5.4497099999999996</v>
      </c>
      <c r="E5436">
        <v>0.56025389999999997</v>
      </c>
      <c r="F5436" t="s">
        <v>38</v>
      </c>
      <c r="G5436">
        <v>-188.2894</v>
      </c>
      <c r="H5436">
        <v>1.0413809999999999</v>
      </c>
      <c r="I5436">
        <v>67.147540000000006</v>
      </c>
      <c r="J5436">
        <v>-188.38919999999999</v>
      </c>
      <c r="K5436">
        <v>1.1093729999999999</v>
      </c>
      <c r="L5436">
        <v>66.601650000000006</v>
      </c>
      <c r="M5436">
        <v>1.193727E-2</v>
      </c>
      <c r="N5436">
        <v>0</v>
      </c>
      <c r="O5436">
        <v>0.99988909999999998</v>
      </c>
      <c r="P5436">
        <v>1.487459E-3</v>
      </c>
      <c r="Q5436">
        <v>1.8584110000000001E-2</v>
      </c>
      <c r="R5436">
        <v>0.999826199999999</v>
      </c>
      <c r="S5436">
        <v>0.27752690000000002</v>
      </c>
      <c r="T5436">
        <v>-0.1761124</v>
      </c>
      <c r="U5436">
        <v>3.003082</v>
      </c>
      <c r="V5436">
        <v>-1.0471319999999999E-2</v>
      </c>
      <c r="W5436">
        <v>2.7469819999999999E-2</v>
      </c>
      <c r="X5436">
        <v>0.99956780000000001</v>
      </c>
      <c r="Y5436">
        <v>7.9971630000000002E-2</v>
      </c>
      <c r="Z5436">
        <v>-5.831948E-2</v>
      </c>
      <c r="AA5436">
        <v>0.99508969999999897</v>
      </c>
      <c r="AB5436">
        <v>60</v>
      </c>
      <c r="AC5436">
        <v>9.9799999999987593E-2</v>
      </c>
      <c r="AD5436">
        <v>-6.7991999999999997E-2</v>
      </c>
      <c r="AE5436">
        <v>0.54588999999999999</v>
      </c>
      <c r="AF5436">
        <v>9.1896677434582699E-2</v>
      </c>
      <c r="AG5436">
        <v>-6.7991999999999997E-2</v>
      </c>
      <c r="AH5436">
        <v>0.53895195551466002</v>
      </c>
      <c r="AI5436">
        <v>97.088970111918599</v>
      </c>
      <c r="AJ5436">
        <v>80.323559111857804</v>
      </c>
      <c r="AK5436">
        <v>0.55094203119801299</v>
      </c>
    </row>
    <row r="5437" spans="1:37" x14ac:dyDescent="0.2">
      <c r="A5437" t="str">
        <f>"20200111154208592"</f>
        <v>20200111154208592</v>
      </c>
      <c r="B5437" t="str">
        <f>"1578728528581000"</f>
        <v>1578728528581000</v>
      </c>
      <c r="C5437" t="s">
        <v>37</v>
      </c>
      <c r="D5437">
        <v>5.4701300000000002</v>
      </c>
      <c r="E5437">
        <v>0.55830259999999998</v>
      </c>
      <c r="F5437" t="s">
        <v>39</v>
      </c>
      <c r="G5437">
        <v>-185.3236</v>
      </c>
      <c r="H5437" s="1">
        <v>-3.3040839999999998E-6</v>
      </c>
      <c r="I5437">
        <v>85.401060000000001</v>
      </c>
      <c r="J5437">
        <v>-188.38210000000001</v>
      </c>
      <c r="K5437">
        <v>1.1095409999999899</v>
      </c>
      <c r="L5437">
        <v>67.207490000000007</v>
      </c>
      <c r="M5437">
        <v>1.1646E-2</v>
      </c>
      <c r="N5437">
        <v>0</v>
      </c>
      <c r="O5437">
        <v>0.99988569999999999</v>
      </c>
      <c r="P5437">
        <v>2.4183820000000002E-3</v>
      </c>
      <c r="Q5437">
        <v>1.7907550000000001E-2</v>
      </c>
      <c r="R5437">
        <v>0.99983670000000002</v>
      </c>
      <c r="S5437">
        <v>0.48970029999999998</v>
      </c>
      <c r="T5437">
        <v>-0.1772156</v>
      </c>
      <c r="U5437">
        <v>3.003082</v>
      </c>
      <c r="V5437">
        <v>-9.2520699999999994E-3</v>
      </c>
      <c r="W5437">
        <v>2.753369E-2</v>
      </c>
      <c r="X5437">
        <v>0.99957809999999903</v>
      </c>
      <c r="Y5437">
        <v>0.14916189999999999</v>
      </c>
      <c r="Z5437">
        <v>-5.8190329999999998E-2</v>
      </c>
      <c r="AA5437">
        <v>0.98709910000000001</v>
      </c>
      <c r="AB5437">
        <v>60</v>
      </c>
      <c r="AC5437">
        <v>3.0585</v>
      </c>
      <c r="AD5437">
        <v>-1.1095443040839901</v>
      </c>
      <c r="AE5437">
        <v>18.193569999999902</v>
      </c>
      <c r="AF5437">
        <v>2.8361420306021499</v>
      </c>
      <c r="AG5437">
        <v>-1.1095443040839901</v>
      </c>
      <c r="AH5437">
        <v>18.1622638267689</v>
      </c>
      <c r="AI5437">
        <v>93.454134111197803</v>
      </c>
      <c r="AJ5437">
        <v>81.124612044294196</v>
      </c>
      <c r="AK5437">
        <v>18.415825191764501</v>
      </c>
    </row>
    <row r="5438" spans="1:37" x14ac:dyDescent="0.2">
      <c r="A5438" t="str">
        <f>"20200111154208615"</f>
        <v>20200111154208615</v>
      </c>
      <c r="B5438" t="str">
        <f>"1578728528611254"</f>
        <v>1578728528611254</v>
      </c>
      <c r="C5438" t="s">
        <v>37</v>
      </c>
      <c r="D5438">
        <v>5.453894</v>
      </c>
      <c r="E5438">
        <v>0.55738989999999999</v>
      </c>
      <c r="F5438" t="s">
        <v>39</v>
      </c>
      <c r="G5438">
        <v>-185.31700000000001</v>
      </c>
      <c r="H5438" s="1">
        <v>-3.7929639999999998E-6</v>
      </c>
      <c r="I5438">
        <v>86.537899999999993</v>
      </c>
      <c r="J5438">
        <v>-188.37520000000001</v>
      </c>
      <c r="K5438">
        <v>1.1096839999999999</v>
      </c>
      <c r="L5438">
        <v>67.811859999999996</v>
      </c>
      <c r="M5438">
        <v>1.127973E-2</v>
      </c>
      <c r="N5438">
        <v>0</v>
      </c>
      <c r="O5438">
        <v>0.99988279999999996</v>
      </c>
      <c r="P5438">
        <v>3.446864E-3</v>
      </c>
      <c r="Q5438">
        <v>1.550847E-2</v>
      </c>
      <c r="R5438">
        <v>0.99987380000000003</v>
      </c>
      <c r="S5438">
        <v>0.4760742</v>
      </c>
      <c r="T5438">
        <v>-0.17233509999999999</v>
      </c>
      <c r="U5438">
        <v>3.0024109999999999</v>
      </c>
      <c r="V5438">
        <v>-7.8596849999999999E-3</v>
      </c>
      <c r="W5438">
        <v>2.5854390000000001E-2</v>
      </c>
      <c r="X5438">
        <v>0.99963480000000005</v>
      </c>
      <c r="Y5438">
        <v>0.145205</v>
      </c>
      <c r="Z5438">
        <v>-5.6642850000000002E-2</v>
      </c>
      <c r="AA5438">
        <v>0.98777879999999996</v>
      </c>
      <c r="AB5438">
        <v>60</v>
      </c>
      <c r="AC5438">
        <v>3.0581999999999998</v>
      </c>
      <c r="AD5438">
        <v>-1.1096877929640001</v>
      </c>
      <c r="AE5438">
        <v>18.726040000000001</v>
      </c>
      <c r="AF5438">
        <v>2.83706549647495</v>
      </c>
      <c r="AG5438">
        <v>-1.1096877929640001</v>
      </c>
      <c r="AH5438">
        <v>18.695400104613501</v>
      </c>
      <c r="AI5438">
        <v>93.358512467367703</v>
      </c>
      <c r="AJ5438">
        <v>81.3710829909636</v>
      </c>
      <c r="AK5438">
        <v>18.941972777425399</v>
      </c>
    </row>
    <row r="5439" spans="1:37" x14ac:dyDescent="0.2">
      <c r="A5439" t="str">
        <f>"20200111154208635"</f>
        <v>20200111154208635</v>
      </c>
      <c r="B5439" t="str">
        <f>"1578728528631750"</f>
        <v>1578728528631750</v>
      </c>
      <c r="C5439" t="s">
        <v>37</v>
      </c>
      <c r="D5439">
        <v>5.5056099999999999</v>
      </c>
      <c r="E5439">
        <v>0.55665520000000002</v>
      </c>
      <c r="F5439" t="s">
        <v>39</v>
      </c>
      <c r="G5439">
        <v>-185.5076</v>
      </c>
      <c r="H5439" s="1">
        <v>-3.55226E-6</v>
      </c>
      <c r="I5439">
        <v>86.055629999999994</v>
      </c>
      <c r="J5439">
        <v>-188.36920000000001</v>
      </c>
      <c r="K5439">
        <v>1.109802</v>
      </c>
      <c r="L5439">
        <v>68.367519999999999</v>
      </c>
      <c r="M5439">
        <v>1.0871860000000001E-2</v>
      </c>
      <c r="N5439">
        <v>0</v>
      </c>
      <c r="O5439">
        <v>0.99988069999999896</v>
      </c>
      <c r="P5439">
        <v>5.0464630000000002E-3</v>
      </c>
      <c r="Q5439">
        <v>1.182774E-2</v>
      </c>
      <c r="R5439">
        <v>0.99991730000000001</v>
      </c>
      <c r="S5439">
        <v>0.47180179999999999</v>
      </c>
      <c r="T5439">
        <v>-0.18257319999999999</v>
      </c>
      <c r="U5439">
        <v>3.0015869999999998</v>
      </c>
      <c r="V5439">
        <v>-5.8528790000000001E-3</v>
      </c>
      <c r="W5439">
        <v>2.2787330000000001E-2</v>
      </c>
      <c r="X5439">
        <v>0.99972320000000003</v>
      </c>
      <c r="Y5439">
        <v>0.14424790000000001</v>
      </c>
      <c r="Z5439">
        <v>-6.0023399999999998E-2</v>
      </c>
      <c r="AA5439">
        <v>0.98771949999999997</v>
      </c>
      <c r="AB5439">
        <v>60</v>
      </c>
      <c r="AC5439">
        <v>2.8616000000000001</v>
      </c>
      <c r="AD5439">
        <v>-1.1098055522600001</v>
      </c>
      <c r="AE5439">
        <v>17.688110000000002</v>
      </c>
      <c r="AF5439">
        <v>2.6589162782573901</v>
      </c>
      <c r="AG5439">
        <v>-1.1098055522600001</v>
      </c>
      <c r="AH5439">
        <v>17.6504651594237</v>
      </c>
      <c r="AI5439">
        <v>93.557803677927296</v>
      </c>
      <c r="AJ5439">
        <v>81.433216005305596</v>
      </c>
      <c r="AK5439">
        <v>17.8840829925003</v>
      </c>
    </row>
    <row r="5440" spans="1:37" x14ac:dyDescent="0.2">
      <c r="A5440" t="str">
        <f>"20200111154208658"</f>
        <v>20200111154208658</v>
      </c>
      <c r="B5440" t="str">
        <f>"1578728528651270"</f>
        <v>1578728528651270</v>
      </c>
      <c r="C5440" t="s">
        <v>37</v>
      </c>
      <c r="D5440">
        <v>5.5031489999999996</v>
      </c>
      <c r="E5440">
        <v>0.55625839999999904</v>
      </c>
      <c r="F5440" t="s">
        <v>39</v>
      </c>
      <c r="G5440">
        <v>-185.65</v>
      </c>
      <c r="H5440" s="1">
        <v>-3.3717630000000001E-6</v>
      </c>
      <c r="I5440">
        <v>85.693770000000001</v>
      </c>
      <c r="J5440">
        <v>-188.36269999999999</v>
      </c>
      <c r="K5440">
        <v>1.1099159999999999</v>
      </c>
      <c r="L5440">
        <v>68.982819999999904</v>
      </c>
      <c r="M5440">
        <v>1.0349560000000001E-2</v>
      </c>
      <c r="N5440">
        <v>0</v>
      </c>
      <c r="O5440">
        <v>0.99987939999999997</v>
      </c>
      <c r="P5440">
        <v>6.8688839999999996E-3</v>
      </c>
      <c r="Q5440">
        <v>8.389044E-3</v>
      </c>
      <c r="R5440">
        <v>0.99994119999999997</v>
      </c>
      <c r="S5440">
        <v>0.4708405</v>
      </c>
      <c r="T5440">
        <v>-0.19217000000000001</v>
      </c>
      <c r="U5440">
        <v>3.0001530000000001</v>
      </c>
      <c r="V5440">
        <v>-3.5086399999999999E-3</v>
      </c>
      <c r="W5440">
        <v>1.99651E-2</v>
      </c>
      <c r="X5440">
        <v>0.99979449999999903</v>
      </c>
      <c r="Y5440">
        <v>0.14449790000000001</v>
      </c>
      <c r="Z5440">
        <v>-6.3196719999999998E-2</v>
      </c>
      <c r="AA5440">
        <v>0.9874849</v>
      </c>
      <c r="AB5440">
        <v>60</v>
      </c>
      <c r="AC5440">
        <v>2.7126999999999799</v>
      </c>
      <c r="AD5440">
        <v>-1.10991937176299</v>
      </c>
      <c r="AE5440">
        <v>16.71095</v>
      </c>
      <c r="AF5440">
        <v>2.52872321185724</v>
      </c>
      <c r="AG5440">
        <v>-1.10991937176299</v>
      </c>
      <c r="AH5440">
        <v>16.666496410196999</v>
      </c>
      <c r="AI5440">
        <v>93.767048238143602</v>
      </c>
      <c r="AJ5440">
        <v>81.3726017869744</v>
      </c>
      <c r="AK5440">
        <v>16.893740399482599</v>
      </c>
    </row>
    <row r="5441" spans="1:37" x14ac:dyDescent="0.2">
      <c r="A5441" t="str">
        <f>"20200111154208681"</f>
        <v>20200111154208681</v>
      </c>
      <c r="B5441" t="str">
        <f>"1578728528671765"</f>
        <v>1578728528671765</v>
      </c>
      <c r="C5441" t="s">
        <v>37</v>
      </c>
      <c r="D5441">
        <v>5.5572010000000001</v>
      </c>
      <c r="E5441">
        <v>0.55622780000000005</v>
      </c>
      <c r="F5441" t="s">
        <v>39</v>
      </c>
      <c r="G5441">
        <v>-185.76679999999999</v>
      </c>
      <c r="H5441" s="1">
        <v>-3.2375290000000001E-6</v>
      </c>
      <c r="I5441">
        <v>85.429159999999996</v>
      </c>
      <c r="J5441">
        <v>-188.35659999999999</v>
      </c>
      <c r="K5441">
        <v>1.1100190000000001</v>
      </c>
      <c r="L5441">
        <v>69.597169999999906</v>
      </c>
      <c r="M5441">
        <v>9.7660090000000008E-3</v>
      </c>
      <c r="N5441">
        <v>0</v>
      </c>
      <c r="O5441">
        <v>0.99987879999999996</v>
      </c>
      <c r="P5441">
        <v>8.9642200000000002E-3</v>
      </c>
      <c r="Q5441">
        <v>6.4777489999999997E-3</v>
      </c>
      <c r="R5441">
        <v>0.99993880000000002</v>
      </c>
      <c r="S5441">
        <v>0.47331239999999902</v>
      </c>
      <c r="T5441">
        <v>-0.2023692</v>
      </c>
      <c r="U5441">
        <v>2.9986269999999999</v>
      </c>
      <c r="V5441">
        <v>-8.3128529999999996E-4</v>
      </c>
      <c r="W5441">
        <v>1.8602549999999999E-2</v>
      </c>
      <c r="X5441">
        <v>0.99982660000000001</v>
      </c>
      <c r="Y5441">
        <v>0.1459124</v>
      </c>
      <c r="Z5441">
        <v>-6.6558880000000001E-2</v>
      </c>
      <c r="AA5441">
        <v>0.98705599999999905</v>
      </c>
      <c r="AB5441">
        <v>60</v>
      </c>
      <c r="AC5441">
        <v>2.5897999999999901</v>
      </c>
      <c r="AD5441">
        <v>-1.1100222375290001</v>
      </c>
      <c r="AE5441">
        <v>15.831989999999999</v>
      </c>
      <c r="AF5441">
        <v>2.4234470941552702</v>
      </c>
      <c r="AG5441">
        <v>-1.1100222375290001</v>
      </c>
      <c r="AH5441">
        <v>15.780974681985899</v>
      </c>
      <c r="AI5441">
        <v>93.977046555412201</v>
      </c>
      <c r="AJ5441">
        <v>81.2694268977897</v>
      </c>
      <c r="AK5441">
        <v>16.004512085641899</v>
      </c>
    </row>
    <row r="5442" spans="1:37" x14ac:dyDescent="0.2">
      <c r="A5442" t="str">
        <f>"20200111154208704"</f>
        <v>20200111154208704</v>
      </c>
      <c r="B5442" t="str">
        <f>"1578728528701046"</f>
        <v>1578728528701046</v>
      </c>
      <c r="C5442" t="s">
        <v>37</v>
      </c>
      <c r="D5442">
        <v>5.5430720000000004</v>
      </c>
      <c r="E5442">
        <v>0.55596619999999997</v>
      </c>
      <c r="F5442" t="s">
        <v>39</v>
      </c>
      <c r="G5442">
        <v>-185.78219999999999</v>
      </c>
      <c r="H5442" s="1">
        <v>-3.349476E-6</v>
      </c>
      <c r="I5442">
        <v>85.6965</v>
      </c>
      <c r="J5442">
        <v>-188.351</v>
      </c>
      <c r="K5442">
        <v>1.110106</v>
      </c>
      <c r="L5442">
        <v>70.203429999999997</v>
      </c>
      <c r="M5442">
        <v>9.1415479999999993E-3</v>
      </c>
      <c r="N5442">
        <v>0</v>
      </c>
      <c r="O5442">
        <v>0.99987879999999996</v>
      </c>
      <c r="P5442">
        <v>1.092212E-2</v>
      </c>
      <c r="Q5442">
        <v>5.3577919999999897E-3</v>
      </c>
      <c r="R5442">
        <v>0.99992599999999998</v>
      </c>
      <c r="S5442">
        <v>0.4792786</v>
      </c>
      <c r="T5442">
        <v>-0.20665359999999999</v>
      </c>
      <c r="U5442">
        <v>2.997223</v>
      </c>
      <c r="V5442">
        <v>1.7492179999999899E-3</v>
      </c>
      <c r="W5442">
        <v>1.7963219999999998E-2</v>
      </c>
      <c r="X5442">
        <v>0.99983709999999903</v>
      </c>
      <c r="Y5442">
        <v>0.1485022</v>
      </c>
      <c r="Z5442">
        <v>-6.7969730000000006E-2</v>
      </c>
      <c r="AA5442">
        <v>0.98657349999999999</v>
      </c>
      <c r="AB5442">
        <v>60</v>
      </c>
      <c r="AC5442">
        <v>2.5688</v>
      </c>
      <c r="AD5442">
        <v>-1.1101093494759999</v>
      </c>
      <c r="AE5442">
        <v>15.4930699999999</v>
      </c>
      <c r="AF5442">
        <v>2.4149839330083398</v>
      </c>
      <c r="AG5442">
        <v>-1.1101093494759999</v>
      </c>
      <c r="AH5442">
        <v>15.438765137557199</v>
      </c>
      <c r="AI5442">
        <v>94.0634749093376</v>
      </c>
      <c r="AJ5442">
        <v>81.109643523454807</v>
      </c>
      <c r="AK5442">
        <v>15.6658852011987</v>
      </c>
    </row>
    <row r="5443" spans="1:37" x14ac:dyDescent="0.2">
      <c r="A5443" t="str">
        <f>"20200111154208725"</f>
        <v>20200111154208725</v>
      </c>
      <c r="B5443" t="str">
        <f>"1578728528721541"</f>
        <v>1578728528721541</v>
      </c>
      <c r="C5443" t="s">
        <v>37</v>
      </c>
      <c r="D5443">
        <v>5.5652150000000002</v>
      </c>
      <c r="E5443">
        <v>0.55574049999999997</v>
      </c>
      <c r="F5443" t="s">
        <v>39</v>
      </c>
      <c r="G5443">
        <v>-185.8065</v>
      </c>
      <c r="H5443" s="1">
        <v>-3.4758869999999999E-6</v>
      </c>
      <c r="I5443">
        <v>86.001180000000005</v>
      </c>
      <c r="J5443">
        <v>-188.34610000000001</v>
      </c>
      <c r="K5443">
        <v>1.110179</v>
      </c>
      <c r="L5443">
        <v>70.769779999999997</v>
      </c>
      <c r="M5443">
        <v>8.5253180000000005E-3</v>
      </c>
      <c r="N5443">
        <v>0</v>
      </c>
      <c r="O5443">
        <v>0.99987919999999997</v>
      </c>
      <c r="P5443">
        <v>1.129727E-2</v>
      </c>
      <c r="Q5443">
        <v>4.8300050000000001E-3</v>
      </c>
      <c r="R5443">
        <v>0.99992449999999999</v>
      </c>
      <c r="S5443">
        <v>0.48258970000000001</v>
      </c>
      <c r="T5443">
        <v>-0.210535799999999</v>
      </c>
      <c r="U5443">
        <v>2.9960939999999998</v>
      </c>
      <c r="V5443">
        <v>2.7383220000000001E-3</v>
      </c>
      <c r="W5443">
        <v>1.7830680000000002E-2</v>
      </c>
      <c r="X5443">
        <v>0.99983729999999904</v>
      </c>
      <c r="Y5443">
        <v>0.1502183</v>
      </c>
      <c r="Z5443">
        <v>-6.9251679999999996E-2</v>
      </c>
      <c r="AA5443">
        <v>0.98622449999999995</v>
      </c>
      <c r="AB5443">
        <v>60</v>
      </c>
      <c r="AC5443">
        <v>2.5396000000000001</v>
      </c>
      <c r="AD5443">
        <v>-1.110182475887</v>
      </c>
      <c r="AE5443">
        <v>15.231399999999899</v>
      </c>
      <c r="AF5443">
        <v>2.39725297301643</v>
      </c>
      <c r="AG5443">
        <v>-1.110182475887</v>
      </c>
      <c r="AH5443">
        <v>15.1740654853431</v>
      </c>
      <c r="AI5443">
        <v>94.133400728605693</v>
      </c>
      <c r="AJ5443">
        <v>81.022407728074498</v>
      </c>
      <c r="AK5443">
        <v>15.4023241850015</v>
      </c>
    </row>
    <row r="5444" spans="1:37" x14ac:dyDescent="0.2">
      <c r="A5444" t="str">
        <f>"20200111154208747"</f>
        <v>20200111154208747</v>
      </c>
      <c r="B5444" t="str">
        <f>"1578728528741062"</f>
        <v>1578728528741062</v>
      </c>
      <c r="C5444" t="s">
        <v>37</v>
      </c>
      <c r="D5444">
        <v>5.5741239999999896</v>
      </c>
      <c r="E5444">
        <v>0.55558129999999994</v>
      </c>
      <c r="F5444" t="s">
        <v>39</v>
      </c>
      <c r="G5444">
        <v>-185.8193</v>
      </c>
      <c r="H5444" s="1">
        <v>-3.6850939999999999E-6</v>
      </c>
      <c r="I5444">
        <v>86.494159999999994</v>
      </c>
      <c r="J5444">
        <v>-188.34119999999999</v>
      </c>
      <c r="K5444">
        <v>1.1102399999999999</v>
      </c>
      <c r="L5444">
        <v>71.380099999999999</v>
      </c>
      <c r="M5444">
        <v>7.8362399999999995E-3</v>
      </c>
      <c r="N5444">
        <v>0</v>
      </c>
      <c r="O5444">
        <v>0.99987990000000004</v>
      </c>
      <c r="P5444">
        <v>1.241919E-2</v>
      </c>
      <c r="Q5444">
        <v>3.5634199999999999E-3</v>
      </c>
      <c r="R5444">
        <v>0.99991659999999905</v>
      </c>
      <c r="S5444">
        <v>0.48141479999999998</v>
      </c>
      <c r="T5444">
        <v>-0.2115127</v>
      </c>
      <c r="U5444">
        <v>2.995819</v>
      </c>
      <c r="V5444">
        <v>4.5487590000000003E-3</v>
      </c>
      <c r="W5444">
        <v>1.6941040000000001E-2</v>
      </c>
      <c r="X5444">
        <v>0.99984619999999902</v>
      </c>
      <c r="Y5444">
        <v>0.1505331</v>
      </c>
      <c r="Z5444">
        <v>-6.957874E-2</v>
      </c>
      <c r="AA5444">
        <v>0.98615339999999996</v>
      </c>
      <c r="AB5444">
        <v>60</v>
      </c>
      <c r="AC5444">
        <v>2.52189999999998</v>
      </c>
      <c r="AD5444">
        <v>-1.1102436850939901</v>
      </c>
      <c r="AE5444">
        <v>15.114059999999901</v>
      </c>
      <c r="AF5444">
        <v>2.3908230649464</v>
      </c>
      <c r="AG5444">
        <v>-1.1102436850939901</v>
      </c>
      <c r="AH5444">
        <v>15.0543266497793</v>
      </c>
      <c r="AI5444">
        <v>94.1658583974165</v>
      </c>
      <c r="AJ5444">
        <v>80.976046757685793</v>
      </c>
      <c r="AK5444">
        <v>15.283370925500201</v>
      </c>
    </row>
    <row r="5445" spans="1:37" x14ac:dyDescent="0.2">
      <c r="A5445" t="str">
        <f>"20200111154208771"</f>
        <v>20200111154208771</v>
      </c>
      <c r="B5445" t="str">
        <f>"1578728528761557"</f>
        <v>1578728528761557</v>
      </c>
      <c r="C5445" t="s">
        <v>37</v>
      </c>
      <c r="D5445">
        <v>5.5787949999999897</v>
      </c>
      <c r="E5445">
        <v>0.5556835</v>
      </c>
      <c r="F5445" t="s">
        <v>39</v>
      </c>
      <c r="G5445">
        <v>-185.8365</v>
      </c>
      <c r="H5445" s="1">
        <v>-3.8621480000000003E-6</v>
      </c>
      <c r="I5445">
        <v>86.914000000000001</v>
      </c>
      <c r="J5445">
        <v>-188.33670000000001</v>
      </c>
      <c r="K5445">
        <v>1.1102889999999901</v>
      </c>
      <c r="L5445">
        <v>72.008089999999996</v>
      </c>
      <c r="M5445">
        <v>7.108573E-3</v>
      </c>
      <c r="N5445">
        <v>0</v>
      </c>
      <c r="O5445">
        <v>0.99988080000000001</v>
      </c>
      <c r="P5445">
        <v>1.379442E-2</v>
      </c>
      <c r="Q5445">
        <v>9.4997319999999997E-4</v>
      </c>
      <c r="R5445">
        <v>0.99990440000000003</v>
      </c>
      <c r="S5445">
        <v>0.4829254</v>
      </c>
      <c r="T5445">
        <v>-0.21406129999999901</v>
      </c>
      <c r="U5445">
        <v>2.99502599999999</v>
      </c>
      <c r="V5445">
        <v>6.6545040000000003E-3</v>
      </c>
      <c r="W5445">
        <v>1.46692E-2</v>
      </c>
      <c r="X5445">
        <v>0.99987019999999904</v>
      </c>
      <c r="Y5445">
        <v>0.15176870000000001</v>
      </c>
      <c r="Z5445">
        <v>-7.0422380000000007E-2</v>
      </c>
      <c r="AA5445">
        <v>0.98590409999999995</v>
      </c>
      <c r="AB5445">
        <v>60</v>
      </c>
      <c r="AC5445">
        <v>2.5002</v>
      </c>
      <c r="AD5445">
        <v>-1.1102928621479999</v>
      </c>
      <c r="AE5445">
        <v>14.90591</v>
      </c>
      <c r="AF5445">
        <v>2.38131645319777</v>
      </c>
      <c r="AG5445">
        <v>-1.1102928621479999</v>
      </c>
      <c r="AH5445">
        <v>14.843207174862901</v>
      </c>
      <c r="AI5445">
        <v>94.224023724954407</v>
      </c>
      <c r="AJ5445">
        <v>80.885624478708905</v>
      </c>
      <c r="AK5445">
        <v>15.073958256738999</v>
      </c>
    </row>
    <row r="5446" spans="1:37" x14ac:dyDescent="0.2">
      <c r="A5446" t="str">
        <f>"20200111154208794"</f>
        <v>20200111154208794</v>
      </c>
      <c r="B5446" t="str">
        <f>"1578728528791814"</f>
        <v>1578728528791814</v>
      </c>
      <c r="C5446" t="s">
        <v>37</v>
      </c>
      <c r="D5446">
        <v>5.5854949999999999</v>
      </c>
      <c r="E5446">
        <v>0.55583450000000001</v>
      </c>
      <c r="F5446" t="s">
        <v>39</v>
      </c>
      <c r="G5446">
        <v>-185.92349999999999</v>
      </c>
      <c r="H5446" s="1">
        <v>-3.8038840000000001E-6</v>
      </c>
      <c r="I5446">
        <v>86.814130000000006</v>
      </c>
      <c r="J5446">
        <v>-188.33260000000001</v>
      </c>
      <c r="K5446">
        <v>1.1103229999999999</v>
      </c>
      <c r="L5446">
        <v>72.616</v>
      </c>
      <c r="M5446">
        <v>6.3924029999999996E-3</v>
      </c>
      <c r="N5446">
        <v>0</v>
      </c>
      <c r="O5446">
        <v>0.99988169999999899</v>
      </c>
      <c r="P5446">
        <v>1.5463330000000001E-2</v>
      </c>
      <c r="Q5446">
        <v>-1.980866E-3</v>
      </c>
      <c r="R5446">
        <v>0.9998785</v>
      </c>
      <c r="S5446">
        <v>0.48794559999999998</v>
      </c>
      <c r="T5446">
        <v>-0.2245007</v>
      </c>
      <c r="U5446">
        <v>2.9937740000000002</v>
      </c>
      <c r="V5446">
        <v>9.0441040000000007E-3</v>
      </c>
      <c r="W5446">
        <v>1.2028230000000001E-2</v>
      </c>
      <c r="X5446">
        <v>0.99988679999999996</v>
      </c>
      <c r="Y5446">
        <v>0.1541119</v>
      </c>
      <c r="Z5446">
        <v>-7.3845789999999994E-2</v>
      </c>
      <c r="AA5446">
        <v>0.98529</v>
      </c>
      <c r="AB5446">
        <v>60</v>
      </c>
      <c r="AC5446">
        <v>2.40910000000002</v>
      </c>
      <c r="AD5446">
        <v>-1.110326803884</v>
      </c>
      <c r="AE5446">
        <v>14.198130000000001</v>
      </c>
      <c r="AF5446">
        <v>2.30458221815665</v>
      </c>
      <c r="AG5446">
        <v>-1.110326803884</v>
      </c>
      <c r="AH5446">
        <v>14.1292505237895</v>
      </c>
      <c r="AI5446">
        <v>94.4349049483816</v>
      </c>
      <c r="AJ5446">
        <v>80.736223137588993</v>
      </c>
      <c r="AK5446">
        <v>14.3589569668439</v>
      </c>
    </row>
    <row r="5447" spans="1:37" x14ac:dyDescent="0.2">
      <c r="A5447" t="str">
        <f>"20200111154208817"</f>
        <v>20200111154208817</v>
      </c>
      <c r="B5447" t="str">
        <f>"1578728528811334"</f>
        <v>1578728528811334</v>
      </c>
      <c r="C5447" t="s">
        <v>37</v>
      </c>
      <c r="D5447">
        <v>5.5572650000000001</v>
      </c>
      <c r="E5447">
        <v>0.55610669999999995</v>
      </c>
      <c r="F5447" t="s">
        <v>39</v>
      </c>
      <c r="G5447">
        <v>-185.97900000000001</v>
      </c>
      <c r="H5447" s="1">
        <v>-3.8214130000000001E-6</v>
      </c>
      <c r="I5447">
        <v>86.877939999999995</v>
      </c>
      <c r="J5447">
        <v>-188.32910000000001</v>
      </c>
      <c r="K5447">
        <v>1.110357</v>
      </c>
      <c r="L5447">
        <v>73.210390000000004</v>
      </c>
      <c r="M5447">
        <v>5.6850169999999997E-3</v>
      </c>
      <c r="N5447">
        <v>0</v>
      </c>
      <c r="O5447">
        <v>0.99988259999999995</v>
      </c>
      <c r="P5447">
        <v>1.7041460000000001E-2</v>
      </c>
      <c r="Q5447">
        <v>-4.3170739999999997E-3</v>
      </c>
      <c r="R5447">
        <v>0.9998454</v>
      </c>
      <c r="S5447">
        <v>0.49382019999999999</v>
      </c>
      <c r="T5447">
        <v>-0.2329561</v>
      </c>
      <c r="U5447">
        <v>2.9922789999999999</v>
      </c>
      <c r="V5447">
        <v>1.133355E-2</v>
      </c>
      <c r="W5447">
        <v>9.9393320000000004E-3</v>
      </c>
      <c r="X5447">
        <v>0.99988639999999995</v>
      </c>
      <c r="Y5447">
        <v>0.15673809999999999</v>
      </c>
      <c r="Z5447">
        <v>-7.6620939999999998E-2</v>
      </c>
      <c r="AA5447">
        <v>0.98466359999999997</v>
      </c>
      <c r="AB5447">
        <v>60</v>
      </c>
      <c r="AC5447">
        <v>2.3500999999999901</v>
      </c>
      <c r="AD5447">
        <v>-1.1103608214130001</v>
      </c>
      <c r="AE5447">
        <v>13.667549999999901</v>
      </c>
      <c r="AF5447">
        <v>2.2578797274297502</v>
      </c>
      <c r="AG5447">
        <v>-1.1103608214130001</v>
      </c>
      <c r="AH5447">
        <v>13.5935491824471</v>
      </c>
      <c r="AI5447">
        <v>94.606879554885495</v>
      </c>
      <c r="AJ5447">
        <v>80.569306859127707</v>
      </c>
      <c r="AK5447">
        <v>13.82445302328</v>
      </c>
    </row>
    <row r="5448" spans="1:37" x14ac:dyDescent="0.2">
      <c r="A5448" t="str">
        <f>"20200111154208837"</f>
        <v>20200111154208837</v>
      </c>
      <c r="B5448" t="str">
        <f>"1578728528830854"</f>
        <v>1578728528830854</v>
      </c>
      <c r="C5448" t="s">
        <v>37</v>
      </c>
      <c r="D5448">
        <v>5.6400769999999998</v>
      </c>
      <c r="E5448">
        <v>0.55613359999999901</v>
      </c>
      <c r="F5448" t="s">
        <v>39</v>
      </c>
      <c r="G5448">
        <v>-186.0147</v>
      </c>
      <c r="H5448" s="1">
        <v>-3.8828240000000001E-6</v>
      </c>
      <c r="I5448">
        <v>87.03586</v>
      </c>
      <c r="J5448">
        <v>-188.3262</v>
      </c>
      <c r="K5448">
        <v>1.1103879999999999</v>
      </c>
      <c r="L5448">
        <v>73.76849</v>
      </c>
      <c r="M5448">
        <v>5.0164650000000003E-3</v>
      </c>
      <c r="N5448">
        <v>0</v>
      </c>
      <c r="O5448">
        <v>0.99988330000000003</v>
      </c>
      <c r="P5448">
        <v>1.7832540000000001E-2</v>
      </c>
      <c r="Q5448">
        <v>-5.6879290000000004E-3</v>
      </c>
      <c r="R5448">
        <v>0.99982479999999996</v>
      </c>
      <c r="S5448">
        <v>0.50068659999999998</v>
      </c>
      <c r="T5448">
        <v>-0.24020759999999999</v>
      </c>
      <c r="U5448">
        <v>2.9909059999999998</v>
      </c>
      <c r="V5448">
        <v>1.2795340000000001E-2</v>
      </c>
      <c r="W5448">
        <v>8.770178E-3</v>
      </c>
      <c r="X5448">
        <v>0.99987969999999904</v>
      </c>
      <c r="Y5448">
        <v>0.15963949999999999</v>
      </c>
      <c r="Z5448">
        <v>-7.8994010000000003E-2</v>
      </c>
      <c r="AA5448">
        <v>0.98400969999999999</v>
      </c>
      <c r="AB5448">
        <v>60</v>
      </c>
      <c r="AC5448">
        <v>2.3114999999999899</v>
      </c>
      <c r="AD5448">
        <v>-1.110391882824</v>
      </c>
      <c r="AE5448">
        <v>13.26737</v>
      </c>
      <c r="AF5448">
        <v>2.2297503092154201</v>
      </c>
      <c r="AG5448">
        <v>-1.110391882824</v>
      </c>
      <c r="AH5448">
        <v>13.1891369058092</v>
      </c>
      <c r="AI5448">
        <v>94.745354348171205</v>
      </c>
      <c r="AJ5448">
        <v>80.404329916224199</v>
      </c>
      <c r="AK5448">
        <v>13.4222981972189</v>
      </c>
    </row>
    <row r="5449" spans="1:37" x14ac:dyDescent="0.2">
      <c r="A5449" t="str">
        <f>"20200111154208861"</f>
        <v>20200111154208861</v>
      </c>
      <c r="B5449" t="str">
        <f>"1578728528851350"</f>
        <v>1578728528851350</v>
      </c>
      <c r="C5449" t="s">
        <v>37</v>
      </c>
      <c r="D5449">
        <v>5.5048899999999996</v>
      </c>
      <c r="E5449">
        <v>0.52968539999999997</v>
      </c>
      <c r="F5449" t="s">
        <v>39</v>
      </c>
      <c r="G5449">
        <v>-186.02590000000001</v>
      </c>
      <c r="H5449" s="1">
        <v>-4.0525179999999998E-6</v>
      </c>
      <c r="I5449">
        <v>87.436059999999998</v>
      </c>
      <c r="J5449">
        <v>-188.32329999999999</v>
      </c>
      <c r="K5449">
        <v>1.110425</v>
      </c>
      <c r="L5449">
        <v>74.385249999999999</v>
      </c>
      <c r="M5449">
        <v>4.2745669999999999E-3</v>
      </c>
      <c r="N5449">
        <v>0</v>
      </c>
      <c r="O5449">
        <v>0.999884</v>
      </c>
      <c r="P5449">
        <v>1.8805949999999998E-2</v>
      </c>
      <c r="Q5449">
        <v>-6.6427090000000001E-3</v>
      </c>
      <c r="R5449">
        <v>0.9998011</v>
      </c>
      <c r="S5449">
        <v>0.50325010000000003</v>
      </c>
      <c r="T5449">
        <v>-0.24293029999999999</v>
      </c>
      <c r="U5449">
        <v>2.990173</v>
      </c>
      <c r="V5449">
        <v>1.4511980000000001E-2</v>
      </c>
      <c r="W5449">
        <v>8.0110800000000003E-3</v>
      </c>
      <c r="X5449">
        <v>0.99986260000000005</v>
      </c>
      <c r="Y5449">
        <v>0.16121959999999999</v>
      </c>
      <c r="Z5449">
        <v>-7.9887280000000005E-2</v>
      </c>
      <c r="AA5449">
        <v>0.983679999999999</v>
      </c>
      <c r="AB5449">
        <v>60</v>
      </c>
      <c r="AC5449">
        <v>2.2973999999999801</v>
      </c>
      <c r="AD5449">
        <v>-1.1104290525180001</v>
      </c>
      <c r="AE5449">
        <v>13.050809999999901</v>
      </c>
      <c r="AF5449">
        <v>2.2259561024353198</v>
      </c>
      <c r="AG5449">
        <v>-1.1104290525180001</v>
      </c>
      <c r="AH5449">
        <v>12.969442410023699</v>
      </c>
      <c r="AI5449">
        <v>94.823478301266107</v>
      </c>
      <c r="AJ5449">
        <v>80.261164375128203</v>
      </c>
      <c r="AK5449">
        <v>13.2058460417182</v>
      </c>
    </row>
    <row r="5450" spans="1:37" x14ac:dyDescent="0.2">
      <c r="A5450" t="str">
        <f>"20200111154208884"</f>
        <v>20200111154208884</v>
      </c>
      <c r="B5450" t="str">
        <f>"1578728528881136"</f>
        <v>1578728528881136</v>
      </c>
      <c r="C5450" t="s">
        <v>37</v>
      </c>
      <c r="D5450">
        <v>5.7049149999999997</v>
      </c>
      <c r="E5450">
        <v>0.51148649999999996</v>
      </c>
      <c r="F5450" t="s">
        <v>38</v>
      </c>
      <c r="G5450">
        <v>-188.2448</v>
      </c>
      <c r="H5450">
        <v>1.047814</v>
      </c>
      <c r="I5450">
        <v>75.182580000000002</v>
      </c>
      <c r="J5450">
        <v>-188.321</v>
      </c>
      <c r="K5450">
        <v>1.1104540000000001</v>
      </c>
      <c r="L5450">
        <v>74.994380000000007</v>
      </c>
      <c r="M5450">
        <v>3.539047E-3</v>
      </c>
      <c r="N5450">
        <v>0</v>
      </c>
      <c r="O5450">
        <v>0.99988449999999995</v>
      </c>
      <c r="P5450">
        <v>2.0082840000000001E-2</v>
      </c>
      <c r="Q5450">
        <v>-6.8856000000000004E-3</v>
      </c>
      <c r="R5450">
        <v>0.99977459999999996</v>
      </c>
      <c r="S5450">
        <v>0.29486079999999998</v>
      </c>
      <c r="T5450">
        <v>-0.2350747</v>
      </c>
      <c r="U5450">
        <v>2.9935</v>
      </c>
      <c r="V5450">
        <v>1.6524170000000001E-2</v>
      </c>
      <c r="W5450">
        <v>7.9357439999999998E-3</v>
      </c>
      <c r="X5450">
        <v>0.99983199999999905</v>
      </c>
      <c r="Y5450">
        <v>9.4204940000000001E-2</v>
      </c>
      <c r="Z5450">
        <v>-7.79252E-2</v>
      </c>
      <c r="AA5450">
        <v>0.9924984</v>
      </c>
      <c r="AB5450">
        <v>60</v>
      </c>
      <c r="AC5450">
        <v>7.6200000000000004E-2</v>
      </c>
      <c r="AD5450">
        <v>-6.2640000000000001E-2</v>
      </c>
      <c r="AE5450">
        <v>0.18819999999999401</v>
      </c>
      <c r="AF5450">
        <v>6.8969076220254402E-2</v>
      </c>
      <c r="AG5450">
        <v>-6.2640000000000001E-2</v>
      </c>
      <c r="AH5450">
        <v>0.17208943213042699</v>
      </c>
      <c r="AI5450">
        <v>108.668681691337</v>
      </c>
      <c r="AJ5450">
        <v>68.1603401550379</v>
      </c>
      <c r="AK5450">
        <v>0.19569178757844699</v>
      </c>
    </row>
    <row r="5451" spans="1:37" x14ac:dyDescent="0.2">
      <c r="A5451" t="str">
        <f>"20200111154208906"</f>
        <v>20200111154208906</v>
      </c>
      <c r="B5451" t="str">
        <f>"1578728528901632"</f>
        <v>1578728528901632</v>
      </c>
      <c r="C5451" t="s">
        <v>37</v>
      </c>
      <c r="D5451">
        <v>5.4983250000000004</v>
      </c>
      <c r="E5451">
        <v>0.50776390000000005</v>
      </c>
      <c r="F5451" t="s">
        <v>38</v>
      </c>
      <c r="G5451">
        <v>-188.2578</v>
      </c>
      <c r="H5451">
        <v>1.018241</v>
      </c>
      <c r="I5451">
        <v>76.229489999999998</v>
      </c>
      <c r="J5451">
        <v>-188.3192</v>
      </c>
      <c r="K5451">
        <v>1.110493</v>
      </c>
      <c r="L5451">
        <v>75.584500000000006</v>
      </c>
      <c r="M5451">
        <v>2.8232919999999998E-3</v>
      </c>
      <c r="N5451">
        <v>0</v>
      </c>
      <c r="O5451">
        <v>0.99988480000000002</v>
      </c>
      <c r="P5451">
        <v>2.1694700000000001E-2</v>
      </c>
      <c r="Q5451">
        <v>-7.256513E-3</v>
      </c>
      <c r="R5451">
        <v>0.99973829999999997</v>
      </c>
      <c r="S5451">
        <v>0.15327449999999901</v>
      </c>
      <c r="T5451">
        <v>-0.22370039999999999</v>
      </c>
      <c r="U5451">
        <v>2.9960629999999999</v>
      </c>
      <c r="V5451">
        <v>1.885204E-2</v>
      </c>
      <c r="W5451">
        <v>7.7044840000000002E-3</v>
      </c>
      <c r="X5451">
        <v>0.99979259999999903</v>
      </c>
      <c r="Y5451">
        <v>4.8130239999999998E-2</v>
      </c>
      <c r="Z5451">
        <v>-7.4365589999999995E-2</v>
      </c>
      <c r="AA5451">
        <v>0.99606890000000003</v>
      </c>
      <c r="AB5451">
        <v>60</v>
      </c>
      <c r="AC5451">
        <v>6.1399999999991899E-2</v>
      </c>
      <c r="AD5451">
        <v>-9.2252000000000001E-2</v>
      </c>
      <c r="AE5451">
        <v>0.64498999999999196</v>
      </c>
      <c r="AF5451">
        <v>5.8394695521394403E-2</v>
      </c>
      <c r="AG5451">
        <v>-9.2252000000000001E-2</v>
      </c>
      <c r="AH5451">
        <v>0.632341061977307</v>
      </c>
      <c r="AI5451">
        <v>98.265622466771703</v>
      </c>
      <c r="AJ5451">
        <v>84.723880304905293</v>
      </c>
      <c r="AK5451">
        <v>0.64169742919200301</v>
      </c>
    </row>
    <row r="5452" spans="1:37" x14ac:dyDescent="0.2">
      <c r="A5452" t="str">
        <f>"20200111154208927"</f>
        <v>20200111154208927</v>
      </c>
      <c r="B5452" t="str">
        <f>"1578728528921153"</f>
        <v>1578728528921153</v>
      </c>
      <c r="C5452" t="s">
        <v>37</v>
      </c>
      <c r="D5452">
        <v>5.4668970000000003</v>
      </c>
      <c r="E5452">
        <v>0.50601079999999998</v>
      </c>
      <c r="F5452" t="s">
        <v>38</v>
      </c>
      <c r="G5452">
        <v>-188.26849999999999</v>
      </c>
      <c r="H5452">
        <v>1.024133</v>
      </c>
      <c r="I5452">
        <v>76.763729999999995</v>
      </c>
      <c r="J5452">
        <v>-188.31780000000001</v>
      </c>
      <c r="K5452">
        <v>1.11052</v>
      </c>
      <c r="L5452">
        <v>76.166079999999994</v>
      </c>
      <c r="M5452">
        <v>2.1148339999999999E-3</v>
      </c>
      <c r="N5452">
        <v>0</v>
      </c>
      <c r="O5452">
        <v>0.99988480000000002</v>
      </c>
      <c r="P5452">
        <v>2.3426840000000001E-2</v>
      </c>
      <c r="Q5452">
        <v>-6.773706E-3</v>
      </c>
      <c r="R5452">
        <v>0.9997026</v>
      </c>
      <c r="S5452">
        <v>0.12821959999999999</v>
      </c>
      <c r="T5452">
        <v>-0.21948789999999899</v>
      </c>
      <c r="U5452">
        <v>2.996429</v>
      </c>
      <c r="V5452">
        <v>2.1290759999999999E-2</v>
      </c>
      <c r="W5452">
        <v>8.3081409999999998E-3</v>
      </c>
      <c r="X5452">
        <v>0.99973880000000004</v>
      </c>
      <c r="Y5452">
        <v>4.0524409999999997E-2</v>
      </c>
      <c r="Z5452">
        <v>-7.2990630000000001E-2</v>
      </c>
      <c r="AA5452">
        <v>0.99650899999999998</v>
      </c>
      <c r="AB5452">
        <v>59</v>
      </c>
      <c r="AC5452">
        <v>4.9300000000016497E-2</v>
      </c>
      <c r="AD5452">
        <v>-8.63870000000002E-2</v>
      </c>
      <c r="AE5452">
        <v>0.59765000000000101</v>
      </c>
      <c r="AF5452">
        <v>4.7059247818675001E-2</v>
      </c>
      <c r="AG5452">
        <v>-8.63870000000002E-2</v>
      </c>
      <c r="AH5452">
        <v>0.58560061378030204</v>
      </c>
      <c r="AI5452">
        <v>98.365088355873397</v>
      </c>
      <c r="AJ5452">
        <v>85.405546833213606</v>
      </c>
      <c r="AK5452">
        <v>0.59380583142482402</v>
      </c>
    </row>
    <row r="5453" spans="1:37" x14ac:dyDescent="0.2">
      <c r="A5453" t="str">
        <f>"20200111154208949"</f>
        <v>20200111154208949</v>
      </c>
      <c r="B5453" t="str">
        <f>"1578728528941649"</f>
        <v>1578728528941649</v>
      </c>
      <c r="C5453" t="s">
        <v>37</v>
      </c>
      <c r="D5453">
        <v>5.4231870000000004</v>
      </c>
      <c r="E5453">
        <v>0.50479019999999997</v>
      </c>
      <c r="F5453" t="s">
        <v>38</v>
      </c>
      <c r="G5453">
        <v>-188.27289999999999</v>
      </c>
      <c r="H5453">
        <v>1.0276829999999999</v>
      </c>
      <c r="I5453">
        <v>77.296300000000002</v>
      </c>
      <c r="J5453">
        <v>-188.3169</v>
      </c>
      <c r="K5453">
        <v>1.110554</v>
      </c>
      <c r="L5453">
        <v>76.758030000000005</v>
      </c>
      <c r="M5453">
        <v>1.3862620000000001E-3</v>
      </c>
      <c r="N5453">
        <v>0</v>
      </c>
      <c r="O5453">
        <v>0.99988459999999901</v>
      </c>
      <c r="P5453">
        <v>2.4741719999999998E-2</v>
      </c>
      <c r="Q5453">
        <v>-5.7759500000000002E-3</v>
      </c>
      <c r="R5453">
        <v>0.99967719999999904</v>
      </c>
      <c r="S5453">
        <v>0.118988</v>
      </c>
      <c r="T5453">
        <v>-0.21963160000000001</v>
      </c>
      <c r="U5453">
        <v>2.996613</v>
      </c>
      <c r="V5453">
        <v>2.3330900000000002E-2</v>
      </c>
      <c r="W5453">
        <v>9.4114999999999997E-3</v>
      </c>
      <c r="X5453">
        <v>0.99968349999999995</v>
      </c>
      <c r="Y5453">
        <v>3.8184910000000002E-2</v>
      </c>
      <c r="Z5453">
        <v>-7.3041830000000002E-2</v>
      </c>
      <c r="AA5453">
        <v>0.99659759999999997</v>
      </c>
      <c r="AB5453">
        <v>59</v>
      </c>
      <c r="AC5453">
        <v>4.40000000000111E-2</v>
      </c>
      <c r="AD5453">
        <v>-8.2871000000000097E-2</v>
      </c>
      <c r="AE5453">
        <v>0.53826999999999703</v>
      </c>
      <c r="AF5453">
        <v>4.2258676854995597E-2</v>
      </c>
      <c r="AG5453">
        <v>-8.2871000000000097E-2</v>
      </c>
      <c r="AH5453">
        <v>0.52594667662641204</v>
      </c>
      <c r="AI5453">
        <v>98.925915085060296</v>
      </c>
      <c r="AJ5453">
        <v>85.406276541705907</v>
      </c>
      <c r="AK5453">
        <v>0.53410982490954295</v>
      </c>
    </row>
    <row r="5454" spans="1:37" x14ac:dyDescent="0.2">
      <c r="A5454" t="str">
        <f>"20200111154208972"</f>
        <v>20200111154208972</v>
      </c>
      <c r="B5454" t="str">
        <f>"1578728528961171"</f>
        <v>1578728528961171</v>
      </c>
      <c r="C5454" t="s">
        <v>37</v>
      </c>
      <c r="D5454">
        <v>5.4036549999999997</v>
      </c>
      <c r="E5454">
        <v>0.50414209999999904</v>
      </c>
      <c r="F5454" t="s">
        <v>38</v>
      </c>
      <c r="G5454">
        <v>-188.27619999999999</v>
      </c>
      <c r="H5454">
        <v>1.032629</v>
      </c>
      <c r="I5454">
        <v>77.829189999999997</v>
      </c>
      <c r="J5454">
        <v>-188.31630000000001</v>
      </c>
      <c r="K5454">
        <v>1.110573</v>
      </c>
      <c r="L5454">
        <v>77.352050000000006</v>
      </c>
      <c r="M5454">
        <v>6.3986010000000005E-4</v>
      </c>
      <c r="N5454">
        <v>0</v>
      </c>
      <c r="O5454">
        <v>0.999884</v>
      </c>
      <c r="P5454">
        <v>2.635639E-2</v>
      </c>
      <c r="Q5454">
        <v>-5.95167599999999E-3</v>
      </c>
      <c r="R5454">
        <v>0.99963489999999999</v>
      </c>
      <c r="S5454">
        <v>0.11326600000000001</v>
      </c>
      <c r="T5454">
        <v>-0.218053899999999</v>
      </c>
      <c r="U5454">
        <v>2.996918</v>
      </c>
      <c r="V5454">
        <v>2.569167E-2</v>
      </c>
      <c r="W5454">
        <v>9.3290089999999992E-3</v>
      </c>
      <c r="X5454">
        <v>0.99962640000000003</v>
      </c>
      <c r="Y5454">
        <v>3.7028279999999997E-2</v>
      </c>
      <c r="Z5454">
        <v>-7.2516910000000004E-2</v>
      </c>
      <c r="AA5454">
        <v>0.9966796</v>
      </c>
      <c r="AB5454">
        <v>59</v>
      </c>
      <c r="AC5454">
        <v>4.01000000000237E-2</v>
      </c>
      <c r="AD5454">
        <v>-7.7943999999999999E-2</v>
      </c>
      <c r="AE5454">
        <v>0.47713999999999102</v>
      </c>
      <c r="AF5454">
        <v>3.8767386079192702E-2</v>
      </c>
      <c r="AG5454">
        <v>-7.7943999999999999E-2</v>
      </c>
      <c r="AH5454">
        <v>0.46484791206932202</v>
      </c>
      <c r="AI5454">
        <v>99.486269081780904</v>
      </c>
      <c r="AJ5454">
        <v>85.232678765704193</v>
      </c>
      <c r="AK5454">
        <v>0.472928915075639</v>
      </c>
    </row>
    <row r="5455" spans="1:37" x14ac:dyDescent="0.2">
      <c r="A5455" t="str">
        <f>"20200111154208994"</f>
        <v>20200111154208994</v>
      </c>
      <c r="B5455" t="str">
        <f>"1578728528990955"</f>
        <v>1578728528990955</v>
      </c>
      <c r="C5455" t="s">
        <v>37</v>
      </c>
      <c r="D5455">
        <v>5.4517239999999996</v>
      </c>
      <c r="E5455">
        <v>0.50331939999999997</v>
      </c>
      <c r="F5455" t="s">
        <v>38</v>
      </c>
      <c r="G5455">
        <v>-188.2784</v>
      </c>
      <c r="H5455">
        <v>1.036176</v>
      </c>
      <c r="I5455">
        <v>78.360979999999998</v>
      </c>
      <c r="J5455">
        <v>-188.31630000000001</v>
      </c>
      <c r="K5455">
        <v>1.110587</v>
      </c>
      <c r="L5455">
        <v>77.945309999999907</v>
      </c>
      <c r="M5455">
        <v>-1.296599E-4</v>
      </c>
      <c r="N5455">
        <v>0</v>
      </c>
      <c r="O5455">
        <v>0.99988310000000002</v>
      </c>
      <c r="P5455">
        <v>2.8561340000000001E-2</v>
      </c>
      <c r="Q5455">
        <v>-6.33554199999999E-3</v>
      </c>
      <c r="R5455">
        <v>0.99957199999999902</v>
      </c>
      <c r="S5455">
        <v>0.1125641</v>
      </c>
      <c r="T5455">
        <v>-0.22097910000000001</v>
      </c>
      <c r="U5455">
        <v>2.996826</v>
      </c>
      <c r="V5455">
        <v>2.8666259999999999E-2</v>
      </c>
      <c r="W5455">
        <v>9.0276609999999993E-3</v>
      </c>
      <c r="X5455">
        <v>0.99954829999999995</v>
      </c>
      <c r="Y5455">
        <v>3.7562739999999997E-2</v>
      </c>
      <c r="Z5455">
        <v>-7.3486350000000006E-2</v>
      </c>
      <c r="AA5455">
        <v>0.99658860000000005</v>
      </c>
      <c r="AB5455">
        <v>59</v>
      </c>
      <c r="AC5455">
        <v>3.7900000000007601E-2</v>
      </c>
      <c r="AD5455">
        <v>-7.4411000000000005E-2</v>
      </c>
      <c r="AE5455">
        <v>0.41567000000000498</v>
      </c>
      <c r="AF5455">
        <v>3.6784806618954197E-2</v>
      </c>
      <c r="AG5455">
        <v>-7.4411000000000005E-2</v>
      </c>
      <c r="AH5455">
        <v>0.40286133870417501</v>
      </c>
      <c r="AI5455">
        <v>100.422540817655</v>
      </c>
      <c r="AJ5455">
        <v>84.7828549941094</v>
      </c>
      <c r="AK5455">
        <v>0.41132393212833301</v>
      </c>
    </row>
    <row r="5456" spans="1:37" x14ac:dyDescent="0.2">
      <c r="A5456" t="str">
        <f>"20200111154209016"</f>
        <v>20200111154209016</v>
      </c>
      <c r="B5456" t="str">
        <f>"1578728529011451"</f>
        <v>1578728529011451</v>
      </c>
      <c r="C5456" t="s">
        <v>37</v>
      </c>
      <c r="D5456">
        <v>5.4975629999999898</v>
      </c>
      <c r="E5456">
        <v>0.50287629999999905</v>
      </c>
      <c r="F5456" t="s">
        <v>38</v>
      </c>
      <c r="G5456">
        <v>-188.2807</v>
      </c>
      <c r="H5456">
        <v>1.0386919999999999</v>
      </c>
      <c r="I5456">
        <v>78.891840000000002</v>
      </c>
      <c r="J5456">
        <v>-188.31659999999999</v>
      </c>
      <c r="K5456">
        <v>1.110603</v>
      </c>
      <c r="L5456">
        <v>78.498260000000002</v>
      </c>
      <c r="M5456">
        <v>-8.7747550000000002E-4</v>
      </c>
      <c r="N5456">
        <v>0</v>
      </c>
      <c r="O5456">
        <v>0.99988180000000004</v>
      </c>
      <c r="P5456">
        <v>3.1174460000000001E-2</v>
      </c>
      <c r="Q5456">
        <v>-7.2780409999999999E-3</v>
      </c>
      <c r="R5456">
        <v>0.99948749999999997</v>
      </c>
      <c r="S5456">
        <v>0.1120758</v>
      </c>
      <c r="T5456">
        <v>-0.22767970000000001</v>
      </c>
      <c r="U5456">
        <v>2.9966430000000002</v>
      </c>
      <c r="V5456">
        <v>3.202874E-2</v>
      </c>
      <c r="W5456">
        <v>8.1546050000000005E-3</v>
      </c>
      <c r="X5456">
        <v>0.9994537</v>
      </c>
      <c r="Y5456">
        <v>3.8144009999999999E-2</v>
      </c>
      <c r="Z5456">
        <v>-7.5705980000000006E-2</v>
      </c>
      <c r="AA5456">
        <v>0.99640039999999996</v>
      </c>
      <c r="AB5456">
        <v>59</v>
      </c>
      <c r="AC5456">
        <v>3.5899999999998003E-2</v>
      </c>
      <c r="AD5456">
        <v>-7.1911000000000003E-2</v>
      </c>
      <c r="AE5456">
        <v>0.39357999999999999</v>
      </c>
      <c r="AF5456">
        <v>3.5083845662044998E-2</v>
      </c>
      <c r="AG5456">
        <v>-7.1911000000000003E-2</v>
      </c>
      <c r="AH5456">
        <v>0.38093649283403402</v>
      </c>
      <c r="AI5456">
        <v>100.646148622615</v>
      </c>
      <c r="AJ5456">
        <v>84.737964072257697</v>
      </c>
      <c r="AK5456">
        <v>0.38924886604861397</v>
      </c>
    </row>
    <row r="5457" spans="1:37" x14ac:dyDescent="0.2">
      <c r="A5457" t="str">
        <f>"20200111154209039"</f>
        <v>20200111154209039</v>
      </c>
      <c r="B5457" t="str">
        <f>"1578728529030970"</f>
        <v>1578728529030970</v>
      </c>
      <c r="C5457" t="s">
        <v>37</v>
      </c>
      <c r="D5457">
        <v>5.5279509999999998</v>
      </c>
      <c r="E5457">
        <v>0.50267329999999999</v>
      </c>
      <c r="F5457" t="s">
        <v>38</v>
      </c>
      <c r="G5457">
        <v>-188.2809</v>
      </c>
      <c r="H5457">
        <v>1.0390280000000001</v>
      </c>
      <c r="I5457">
        <v>79.421180000000007</v>
      </c>
      <c r="J5457">
        <v>-188.3175</v>
      </c>
      <c r="K5457">
        <v>1.1106339999999999</v>
      </c>
      <c r="L5457">
        <v>79.112340000000003</v>
      </c>
      <c r="M5457">
        <v>-1.750553E-3</v>
      </c>
      <c r="N5457">
        <v>0</v>
      </c>
      <c r="O5457">
        <v>0.99987979999999999</v>
      </c>
      <c r="P5457">
        <v>3.3154089999999997E-2</v>
      </c>
      <c r="Q5457">
        <v>-7.74195E-3</v>
      </c>
      <c r="R5457">
        <v>0.99942030000000004</v>
      </c>
      <c r="S5457">
        <v>0.11596679999999999</v>
      </c>
      <c r="T5457">
        <v>-0.2323366</v>
      </c>
      <c r="U5457">
        <v>2.99624599999999</v>
      </c>
      <c r="V5457">
        <v>3.488132E-2</v>
      </c>
      <c r="W5457">
        <v>7.7583649999999997E-3</v>
      </c>
      <c r="X5457">
        <v>0.99936130000000001</v>
      </c>
      <c r="Y5457">
        <v>4.030889E-2</v>
      </c>
      <c r="Z5457">
        <v>-7.7250159999999998E-2</v>
      </c>
      <c r="AA5457">
        <v>0.99619659999999999</v>
      </c>
      <c r="AB5457">
        <v>59</v>
      </c>
      <c r="AC5457">
        <v>3.6599999999992798E-2</v>
      </c>
      <c r="AD5457">
        <v>-7.1606000000000003E-2</v>
      </c>
      <c r="AE5457">
        <v>0.308840000000003</v>
      </c>
      <c r="AF5457">
        <v>3.5270866692551098E-2</v>
      </c>
      <c r="AG5457">
        <v>-7.1606000000000003E-2</v>
      </c>
      <c r="AH5457">
        <v>0.293230679268564</v>
      </c>
      <c r="AI5457">
        <v>103.628346676395</v>
      </c>
      <c r="AJ5457">
        <v>83.141203899875705</v>
      </c>
      <c r="AK5457">
        <v>0.30390078074520899</v>
      </c>
    </row>
    <row r="5458" spans="1:37" x14ac:dyDescent="0.2">
      <c r="A5458" t="str">
        <f>"20200111154209061"</f>
        <v>20200111154209061</v>
      </c>
      <c r="B5458" t="str">
        <f>"1578728529051466"</f>
        <v>1578728529051466</v>
      </c>
      <c r="C5458" t="s">
        <v>37</v>
      </c>
      <c r="D5458">
        <v>5.533239</v>
      </c>
      <c r="E5458">
        <v>0.50230969999999997</v>
      </c>
      <c r="F5458" t="s">
        <v>38</v>
      </c>
      <c r="G5458">
        <v>-188.28360000000001</v>
      </c>
      <c r="H5458">
        <v>1.04546299999999</v>
      </c>
      <c r="I5458">
        <v>79.955469999999906</v>
      </c>
      <c r="J5458">
        <v>-188.31890000000001</v>
      </c>
      <c r="K5458">
        <v>1.11069</v>
      </c>
      <c r="L5458">
        <v>79.71002</v>
      </c>
      <c r="M5458">
        <v>-2.652948E-3</v>
      </c>
      <c r="N5458">
        <v>0</v>
      </c>
      <c r="O5458">
        <v>0.99987700000000002</v>
      </c>
      <c r="P5458">
        <v>3.3586869999999998E-2</v>
      </c>
      <c r="Q5458">
        <v>-7.5640869999999997E-3</v>
      </c>
      <c r="R5458">
        <v>0.99940720000000005</v>
      </c>
      <c r="S5458">
        <v>0.119705199999999</v>
      </c>
      <c r="T5458">
        <v>-0.23164029999999899</v>
      </c>
      <c r="U5458">
        <v>2.9959720000000001</v>
      </c>
      <c r="V5458">
        <v>3.6214370000000003E-2</v>
      </c>
      <c r="W5458">
        <v>7.9910539999999992E-3</v>
      </c>
      <c r="X5458">
        <v>0.99931209999999904</v>
      </c>
      <c r="Y5458">
        <v>4.2455939999999998E-2</v>
      </c>
      <c r="Z5458">
        <v>-7.7021480000000003E-2</v>
      </c>
      <c r="AA5458">
        <v>0.99612509999999999</v>
      </c>
      <c r="AB5458">
        <v>59</v>
      </c>
      <c r="AC5458">
        <v>3.53000000000065E-2</v>
      </c>
      <c r="AD5458">
        <v>-6.5227000000000104E-2</v>
      </c>
      <c r="AE5458">
        <v>0.24544999999999101</v>
      </c>
      <c r="AF5458">
        <v>3.3624659830616403E-2</v>
      </c>
      <c r="AG5458">
        <v>-6.5227000000000104E-2</v>
      </c>
      <c r="AH5458">
        <v>0.22947809393173499</v>
      </c>
      <c r="AI5458">
        <v>105.707978259556</v>
      </c>
      <c r="AJ5458">
        <v>81.663961151666896</v>
      </c>
      <c r="AK5458">
        <v>0.24092607760943399</v>
      </c>
    </row>
    <row r="5459" spans="1:37" x14ac:dyDescent="0.2">
      <c r="A5459" t="str">
        <f>"20200111154209084"</f>
        <v>20200111154209084</v>
      </c>
      <c r="B5459" t="str">
        <f>"1578728529081722"</f>
        <v>1578728529081722</v>
      </c>
      <c r="C5459" t="s">
        <v>37</v>
      </c>
      <c r="D5459">
        <v>5.5202489999999997</v>
      </c>
      <c r="E5459">
        <v>0.50151769999999996</v>
      </c>
      <c r="F5459" t="s">
        <v>39</v>
      </c>
      <c r="G5459">
        <v>-187.75620000000001</v>
      </c>
      <c r="H5459" s="1">
        <v>-2.272131E-6</v>
      </c>
      <c r="I5459">
        <v>94.001400000000004</v>
      </c>
      <c r="J5459">
        <v>-188.321</v>
      </c>
      <c r="K5459">
        <v>1.1107659999999999</v>
      </c>
      <c r="L5459">
        <v>80.307249999999996</v>
      </c>
      <c r="M5459">
        <v>-3.6200970000000001E-3</v>
      </c>
      <c r="N5459">
        <v>0</v>
      </c>
      <c r="O5459">
        <v>0.99987340000000002</v>
      </c>
      <c r="P5459">
        <v>3.3451149999999999E-2</v>
      </c>
      <c r="Q5459">
        <v>-6.3332800000000002E-3</v>
      </c>
      <c r="R5459">
        <v>0.99942030000000004</v>
      </c>
      <c r="S5459">
        <v>0.11796569999999899</v>
      </c>
      <c r="T5459">
        <v>-0.232846999999999</v>
      </c>
      <c r="U5459">
        <v>2.9960629999999999</v>
      </c>
      <c r="V5459">
        <v>3.7040110000000001E-2</v>
      </c>
      <c r="W5459">
        <v>9.2694059999999905E-3</v>
      </c>
      <c r="X5459">
        <v>0.99927080000000001</v>
      </c>
      <c r="Y5459">
        <v>4.2842470000000001E-2</v>
      </c>
      <c r="Z5459">
        <v>-7.741787E-2</v>
      </c>
      <c r="AA5459">
        <v>0.99607780000000001</v>
      </c>
      <c r="AB5459">
        <v>59</v>
      </c>
      <c r="AC5459">
        <v>0.56479999999999098</v>
      </c>
      <c r="AD5459">
        <v>-1.1107682721309999</v>
      </c>
      <c r="AE5459">
        <v>13.69415</v>
      </c>
      <c r="AF5459">
        <v>0.61036745729978403</v>
      </c>
      <c r="AG5459">
        <v>-1.1107682721309999</v>
      </c>
      <c r="AH5459">
        <v>13.602671891027599</v>
      </c>
      <c r="AI5459">
        <v>94.663634592695999</v>
      </c>
      <c r="AJ5459">
        <v>87.430796163104702</v>
      </c>
      <c r="AK5459">
        <v>13.661589847534399</v>
      </c>
    </row>
    <row r="5460" spans="1:37" x14ac:dyDescent="0.2">
      <c r="A5460" t="str">
        <f>"20200111154209107"</f>
        <v>20200111154209107</v>
      </c>
      <c r="B5460" t="str">
        <f>"1578728529101243"</f>
        <v>1578728529101243</v>
      </c>
      <c r="C5460" t="s">
        <v>37</v>
      </c>
      <c r="D5460">
        <v>5.522894</v>
      </c>
      <c r="E5460">
        <v>0.50107639999999998</v>
      </c>
      <c r="F5460" t="s">
        <v>38</v>
      </c>
      <c r="G5460">
        <v>-188.27599999999899</v>
      </c>
      <c r="H5460">
        <v>1.015935</v>
      </c>
      <c r="I5460">
        <v>81.522359999999907</v>
      </c>
      <c r="J5460">
        <v>-188.3237</v>
      </c>
      <c r="K5460">
        <v>1.1108579999999999</v>
      </c>
      <c r="L5460">
        <v>80.912109999999998</v>
      </c>
      <c r="M5460">
        <v>-4.6780550000000004E-3</v>
      </c>
      <c r="N5460">
        <v>0</v>
      </c>
      <c r="O5460">
        <v>0.99986849999999905</v>
      </c>
      <c r="P5460">
        <v>3.3687839999999997E-2</v>
      </c>
      <c r="Q5460">
        <v>-5.5145960000000001E-3</v>
      </c>
      <c r="R5460">
        <v>0.99941719999999901</v>
      </c>
      <c r="S5460">
        <v>0.11087039999999999</v>
      </c>
      <c r="T5460">
        <v>-0.2338643</v>
      </c>
      <c r="U5460">
        <v>2.9965519999999999</v>
      </c>
      <c r="V5460">
        <v>3.8329679999999998E-2</v>
      </c>
      <c r="W5460">
        <v>1.013244E-2</v>
      </c>
      <c r="X5460">
        <v>0.99921380000000004</v>
      </c>
      <c r="Y5460">
        <v>4.1537119999999997E-2</v>
      </c>
      <c r="Z5460">
        <v>-7.7746590000000004E-2</v>
      </c>
      <c r="AA5460">
        <v>0.99610750000000003</v>
      </c>
      <c r="AB5460">
        <v>59</v>
      </c>
      <c r="AC5460">
        <v>4.7700000000020198E-2</v>
      </c>
      <c r="AD5460">
        <v>-9.4922999999999799E-2</v>
      </c>
      <c r="AE5460">
        <v>0.61024999999999296</v>
      </c>
      <c r="AF5460">
        <v>4.9367409462329703E-2</v>
      </c>
      <c r="AG5460">
        <v>-9.4922999999999799E-2</v>
      </c>
      <c r="AH5460">
        <v>0.59569478280861798</v>
      </c>
      <c r="AI5460">
        <v>99.023448032779498</v>
      </c>
      <c r="AJ5460">
        <v>85.262514762301194</v>
      </c>
      <c r="AK5460">
        <v>0.60522705764979501</v>
      </c>
    </row>
    <row r="5461" spans="1:37" x14ac:dyDescent="0.2">
      <c r="A5461" t="str">
        <f>"20200111154209129"</f>
        <v>20200111154209129</v>
      </c>
      <c r="B5461" t="str">
        <f>"1578728529121738"</f>
        <v>1578728529121738</v>
      </c>
      <c r="C5461" t="s">
        <v>37</v>
      </c>
      <c r="D5461">
        <v>5.4092219999999998</v>
      </c>
      <c r="E5461">
        <v>0.50098640000000005</v>
      </c>
      <c r="F5461" t="s">
        <v>38</v>
      </c>
      <c r="G5461">
        <v>-188.2825</v>
      </c>
      <c r="H5461">
        <v>1.0218449999999999</v>
      </c>
      <c r="I5461">
        <v>82.052440000000004</v>
      </c>
      <c r="J5461">
        <v>-188.32689999999999</v>
      </c>
      <c r="K5461">
        <v>1.110943</v>
      </c>
      <c r="L5461">
        <v>81.488559999999893</v>
      </c>
      <c r="M5461">
        <v>-5.7507290000000004E-3</v>
      </c>
      <c r="N5461">
        <v>0</v>
      </c>
      <c r="O5461">
        <v>0.99986239999999904</v>
      </c>
      <c r="P5461">
        <v>3.4326780000000001E-2</v>
      </c>
      <c r="Q5461">
        <v>-4.1257430000000003E-3</v>
      </c>
      <c r="R5461">
        <v>0.99940219999999902</v>
      </c>
      <c r="S5461">
        <v>0.10792539999999901</v>
      </c>
      <c r="T5461">
        <v>-0.23394570000000001</v>
      </c>
      <c r="U5461">
        <v>2.996826</v>
      </c>
      <c r="V5461">
        <v>4.0033720000000002E-2</v>
      </c>
      <c r="W5461">
        <v>1.156096E-2</v>
      </c>
      <c r="X5461">
        <v>0.9991314</v>
      </c>
      <c r="Y5461">
        <v>4.1627999999999998E-2</v>
      </c>
      <c r="Z5461">
        <v>-7.7766979999999999E-2</v>
      </c>
      <c r="AA5461">
        <v>0.99610209999999999</v>
      </c>
      <c r="AB5461">
        <v>59</v>
      </c>
      <c r="AC5461">
        <v>4.4399999999995998E-2</v>
      </c>
      <c r="AD5461">
        <v>-8.90979999999999E-2</v>
      </c>
      <c r="AE5461">
        <v>0.56388000000001104</v>
      </c>
      <c r="AF5461">
        <v>4.6488854219520002E-2</v>
      </c>
      <c r="AG5461">
        <v>-8.90979999999999E-2</v>
      </c>
      <c r="AH5461">
        <v>0.54996896394313399</v>
      </c>
      <c r="AI5461">
        <v>99.1701356487753</v>
      </c>
      <c r="AJ5461">
        <v>85.168276296358897</v>
      </c>
      <c r="AK5461">
        <v>0.55907560174928805</v>
      </c>
    </row>
    <row r="5462" spans="1:37" x14ac:dyDescent="0.2">
      <c r="A5462" t="str">
        <f>"20200111154209151"</f>
        <v>20200111154209151</v>
      </c>
      <c r="B5462" t="str">
        <f>"1578728529141259"</f>
        <v>1578728529141259</v>
      </c>
      <c r="C5462" t="s">
        <v>37</v>
      </c>
      <c r="D5462">
        <v>5.8161019999999999</v>
      </c>
      <c r="E5462">
        <v>0.50067059999999997</v>
      </c>
      <c r="F5462" t="s">
        <v>38</v>
      </c>
      <c r="G5462">
        <v>-188.28700000000001</v>
      </c>
      <c r="H5462">
        <v>1.027982</v>
      </c>
      <c r="I5462">
        <v>82.582219999999893</v>
      </c>
      <c r="J5462">
        <v>-188.33090000000001</v>
      </c>
      <c r="K5462">
        <v>1.11103</v>
      </c>
      <c r="L5462">
        <v>82.094269999999995</v>
      </c>
      <c r="M5462">
        <v>-6.9486289999999996E-3</v>
      </c>
      <c r="N5462">
        <v>0</v>
      </c>
      <c r="O5462">
        <v>0.99985440000000003</v>
      </c>
      <c r="P5462">
        <v>3.4631699999999897E-2</v>
      </c>
      <c r="Q5462">
        <v>-1.912008E-3</v>
      </c>
      <c r="R5462">
        <v>0.99939829999999996</v>
      </c>
      <c r="S5462">
        <v>0.109024</v>
      </c>
      <c r="T5462">
        <v>-0.22739200000000001</v>
      </c>
      <c r="U5462">
        <v>2.9971009999999998</v>
      </c>
      <c r="V5462">
        <v>4.1525099999999898E-2</v>
      </c>
      <c r="W5462">
        <v>1.3812410000000001E-2</v>
      </c>
      <c r="X5462">
        <v>0.99904199999999999</v>
      </c>
      <c r="Y5462">
        <v>4.319245E-2</v>
      </c>
      <c r="Z5462">
        <v>-7.5590320000000003E-2</v>
      </c>
      <c r="AA5462">
        <v>0.99620309999999901</v>
      </c>
      <c r="AB5462">
        <v>59</v>
      </c>
      <c r="AC5462">
        <v>4.3900000000007801E-2</v>
      </c>
      <c r="AD5462">
        <v>-8.3047999999999997E-2</v>
      </c>
      <c r="AE5462">
        <v>0.487949999999997</v>
      </c>
      <c r="AF5462">
        <v>4.5969029342694298E-2</v>
      </c>
      <c r="AG5462">
        <v>-8.3047999999999997E-2</v>
      </c>
      <c r="AH5462">
        <v>0.47401253069164001</v>
      </c>
      <c r="AI5462">
        <v>99.891997179021104</v>
      </c>
      <c r="AJ5462">
        <v>84.460862174774903</v>
      </c>
      <c r="AK5462">
        <v>0.483423211291517</v>
      </c>
    </row>
    <row r="5463" spans="1:37" x14ac:dyDescent="0.2">
      <c r="A5463" t="str">
        <f>"20200111154209173"</f>
        <v>20200111154209173</v>
      </c>
      <c r="B5463" t="str">
        <f>"1578728529161754"</f>
        <v>1578728529161754</v>
      </c>
      <c r="C5463" t="s">
        <v>37</v>
      </c>
      <c r="D5463">
        <v>5.524832</v>
      </c>
      <c r="E5463">
        <v>0.50041809999999998</v>
      </c>
      <c r="F5463" t="s">
        <v>38</v>
      </c>
      <c r="G5463">
        <v>-188.29419999999999</v>
      </c>
      <c r="H5463">
        <v>1.0355350000000001</v>
      </c>
      <c r="I5463">
        <v>83.112309999999994</v>
      </c>
      <c r="J5463">
        <v>-188.33539999999999</v>
      </c>
      <c r="K5463">
        <v>1.1111180000000001</v>
      </c>
      <c r="L5463">
        <v>82.661959999999993</v>
      </c>
      <c r="M5463">
        <v>-8.1345510000000003E-3</v>
      </c>
      <c r="N5463">
        <v>0</v>
      </c>
      <c r="O5463">
        <v>0.99984509999999904</v>
      </c>
      <c r="P5463">
        <v>3.4938150000000001E-2</v>
      </c>
      <c r="Q5463">
        <v>-1.6066689999999999E-4</v>
      </c>
      <c r="R5463">
        <v>0.99938950000000004</v>
      </c>
      <c r="S5463">
        <v>0.1076508</v>
      </c>
      <c r="T5463">
        <v>-0.22235199999999999</v>
      </c>
      <c r="U5463">
        <v>2.9976500000000001</v>
      </c>
      <c r="V5463">
        <v>4.3006990000000002E-2</v>
      </c>
      <c r="W5463">
        <v>1.5596540000000001E-2</v>
      </c>
      <c r="X5463">
        <v>0.99895299999999998</v>
      </c>
      <c r="Y5463">
        <v>4.3919519999999997E-2</v>
      </c>
      <c r="Z5463">
        <v>-7.3909150000000007E-2</v>
      </c>
      <c r="AA5463">
        <v>0.9962974</v>
      </c>
      <c r="AB5463">
        <v>59</v>
      </c>
      <c r="AC5463">
        <v>4.1200000000003401E-2</v>
      </c>
      <c r="AD5463">
        <v>-7.55829999999999E-2</v>
      </c>
      <c r="AE5463">
        <v>0.45034999999999997</v>
      </c>
      <c r="AF5463">
        <v>4.36433579627582E-2</v>
      </c>
      <c r="AG5463">
        <v>-7.55829999999999E-2</v>
      </c>
      <c r="AH5463">
        <v>0.43777134409400698</v>
      </c>
      <c r="AI5463">
        <v>99.748384637064405</v>
      </c>
      <c r="AJ5463">
        <v>84.3067427752203</v>
      </c>
      <c r="AK5463">
        <v>0.44638691993957402</v>
      </c>
    </row>
    <row r="5464" spans="1:37" x14ac:dyDescent="0.2">
      <c r="A5464" t="str">
        <f>"20200111154209195"</f>
        <v>20200111154209195</v>
      </c>
      <c r="B5464" t="str">
        <f>"1578728529191034"</f>
        <v>1578728529191034</v>
      </c>
      <c r="C5464" t="s">
        <v>37</v>
      </c>
      <c r="D5464">
        <v>5.5689679999999999</v>
      </c>
      <c r="E5464">
        <v>0.50009609999999904</v>
      </c>
      <c r="F5464" t="s">
        <v>38</v>
      </c>
      <c r="G5464">
        <v>-188.3005</v>
      </c>
      <c r="H5464">
        <v>1.040073</v>
      </c>
      <c r="I5464">
        <v>83.640469999999993</v>
      </c>
      <c r="J5464">
        <v>-188.34059999999999</v>
      </c>
      <c r="K5464">
        <v>1.1112070000000001</v>
      </c>
      <c r="L5464">
        <v>83.239990000000006</v>
      </c>
      <c r="M5464">
        <v>-9.3948299999999998E-3</v>
      </c>
      <c r="N5464">
        <v>0</v>
      </c>
      <c r="O5464">
        <v>0.99983349999999904</v>
      </c>
      <c r="P5464">
        <v>3.5487779999999997E-2</v>
      </c>
      <c r="Q5464">
        <v>8.9961909999999997E-4</v>
      </c>
      <c r="R5464">
        <v>0.99936970000000003</v>
      </c>
      <c r="S5464">
        <v>0.1066589</v>
      </c>
      <c r="T5464">
        <v>-0.2177045</v>
      </c>
      <c r="U5464">
        <v>2.9980769999999999</v>
      </c>
      <c r="V5464">
        <v>4.4808220000000003E-2</v>
      </c>
      <c r="W5464">
        <v>1.6708379999999998E-2</v>
      </c>
      <c r="X5464">
        <v>0.99885590000000002</v>
      </c>
      <c r="Y5464">
        <v>4.4848550000000001E-2</v>
      </c>
      <c r="Z5464">
        <v>-7.2360019999999997E-2</v>
      </c>
      <c r="AA5464">
        <v>0.99636970000000002</v>
      </c>
      <c r="AB5464">
        <v>59</v>
      </c>
      <c r="AC5464">
        <v>4.0099999999995299E-2</v>
      </c>
      <c r="AD5464">
        <v>-7.1134000000000003E-2</v>
      </c>
      <c r="AE5464">
        <v>0.40047999999998701</v>
      </c>
      <c r="AF5464">
        <v>4.2532569675771202E-2</v>
      </c>
      <c r="AG5464">
        <v>-7.1134000000000003E-2</v>
      </c>
      <c r="AH5464">
        <v>0.38796687453470202</v>
      </c>
      <c r="AI5464">
        <v>100.329278325307</v>
      </c>
      <c r="AJ5464">
        <v>83.743683188407601</v>
      </c>
      <c r="AK5464">
        <v>0.39672075969811499</v>
      </c>
    </row>
    <row r="5465" spans="1:37" x14ac:dyDescent="0.2">
      <c r="A5465" t="str">
        <f>"20200111154209218"</f>
        <v>20200111154209218</v>
      </c>
      <c r="B5465" t="str">
        <f>"1578728529211531"</f>
        <v>1578728529211531</v>
      </c>
      <c r="C5465" t="s">
        <v>37</v>
      </c>
      <c r="D5465">
        <v>5.5502219999999998</v>
      </c>
      <c r="E5465">
        <v>0.499891799999999</v>
      </c>
      <c r="F5465" t="s">
        <v>38</v>
      </c>
      <c r="G5465">
        <v>-188.30770000000001</v>
      </c>
      <c r="H5465">
        <v>1.044719</v>
      </c>
      <c r="I5465">
        <v>84.169609999999906</v>
      </c>
      <c r="J5465">
        <v>-188.34649999999999</v>
      </c>
      <c r="K5465">
        <v>1.1113170000000001</v>
      </c>
      <c r="L5465">
        <v>83.814329999999998</v>
      </c>
      <c r="M5465">
        <v>-1.0676690000000001E-2</v>
      </c>
      <c r="N5465">
        <v>0</v>
      </c>
      <c r="O5465">
        <v>0.99981869999999995</v>
      </c>
      <c r="P5465">
        <v>3.577408E-2</v>
      </c>
      <c r="Q5465">
        <v>1.2792330000000001E-3</v>
      </c>
      <c r="R5465">
        <v>0.99935909999999994</v>
      </c>
      <c r="S5465">
        <v>0.1057587</v>
      </c>
      <c r="T5465">
        <v>-0.21450050000000001</v>
      </c>
      <c r="U5465">
        <v>2.9983219999999999</v>
      </c>
      <c r="V5465">
        <v>4.6370069999999999E-2</v>
      </c>
      <c r="W5465">
        <v>1.7224719999999999E-2</v>
      </c>
      <c r="X5465">
        <v>0.99877579999999999</v>
      </c>
      <c r="Y5465">
        <v>4.5830360000000001E-2</v>
      </c>
      <c r="Z5465">
        <v>-7.1292149999999999E-2</v>
      </c>
      <c r="AA5465">
        <v>0.99640200000000001</v>
      </c>
      <c r="AB5465">
        <v>59</v>
      </c>
      <c r="AC5465">
        <v>3.87999999999806E-2</v>
      </c>
      <c r="AD5465">
        <v>-6.6598000000000102E-2</v>
      </c>
      <c r="AE5465">
        <v>0.35527999999999299</v>
      </c>
      <c r="AF5465">
        <v>4.1162152633404503E-2</v>
      </c>
      <c r="AG5465">
        <v>-6.6598000000000102E-2</v>
      </c>
      <c r="AH5465">
        <v>0.34293722975006402</v>
      </c>
      <c r="AI5465">
        <v>100.913546146116</v>
      </c>
      <c r="AJ5465">
        <v>83.1556314438143</v>
      </c>
      <c r="AK5465">
        <v>0.35176065721178001</v>
      </c>
    </row>
    <row r="5466" spans="1:37" x14ac:dyDescent="0.2">
      <c r="A5466" t="str">
        <f>"20200111154209239"</f>
        <v>20200111154209239</v>
      </c>
      <c r="B5466" t="str">
        <f>"1578728529231051"</f>
        <v>1578728529231051</v>
      </c>
      <c r="C5466" t="s">
        <v>37</v>
      </c>
      <c r="D5466">
        <v>5.5478329999999998</v>
      </c>
      <c r="E5466">
        <v>0.49966519999999998</v>
      </c>
      <c r="F5466" t="s">
        <v>38</v>
      </c>
      <c r="G5466">
        <v>-188.31559999999999</v>
      </c>
      <c r="H5466">
        <v>1.048122</v>
      </c>
      <c r="I5466">
        <v>84.697369999999907</v>
      </c>
      <c r="J5466">
        <v>-188.35329999999999</v>
      </c>
      <c r="K5466">
        <v>1.1114389999999901</v>
      </c>
      <c r="L5466">
        <v>84.398560000000003</v>
      </c>
      <c r="M5466">
        <v>-1.1997209999999999E-2</v>
      </c>
      <c r="N5466">
        <v>0</v>
      </c>
      <c r="O5466">
        <v>0.99979979999999902</v>
      </c>
      <c r="P5466">
        <v>3.7344130000000003E-2</v>
      </c>
      <c r="Q5466">
        <v>1.6498509999999999E-3</v>
      </c>
      <c r="R5466">
        <v>0.99930110000000005</v>
      </c>
      <c r="S5466">
        <v>0.1047211</v>
      </c>
      <c r="T5466">
        <v>-0.21464729999999899</v>
      </c>
      <c r="U5466">
        <v>2.9984439999999899</v>
      </c>
      <c r="V5466">
        <v>4.9253169999999999E-2</v>
      </c>
      <c r="W5466">
        <v>1.786072E-2</v>
      </c>
      <c r="X5466">
        <v>0.99862659999999903</v>
      </c>
      <c r="Y5466">
        <v>4.6803839999999999E-2</v>
      </c>
      <c r="Z5466">
        <v>-7.1335019999999999E-2</v>
      </c>
      <c r="AA5466">
        <v>0.99635370000000001</v>
      </c>
      <c r="AB5466">
        <v>59</v>
      </c>
      <c r="AC5466">
        <v>3.7700000000000899E-2</v>
      </c>
      <c r="AD5466">
        <v>-6.3316999999999804E-2</v>
      </c>
      <c r="AE5466">
        <v>0.29880999999998797</v>
      </c>
      <c r="AF5466">
        <v>3.9535295112738802E-2</v>
      </c>
      <c r="AG5466">
        <v>-6.3316999999999804E-2</v>
      </c>
      <c r="AH5466">
        <v>0.28570870121693798</v>
      </c>
      <c r="AI5466">
        <v>102.381298050658</v>
      </c>
      <c r="AJ5466">
        <v>82.121656184095499</v>
      </c>
      <c r="AK5466">
        <v>0.29529907551450402</v>
      </c>
    </row>
    <row r="5467" spans="1:37" x14ac:dyDescent="0.2">
      <c r="A5467" t="str">
        <f>"20200111154209273"</f>
        <v>20200111154209273</v>
      </c>
      <c r="B5467" t="str">
        <f>"1578728529261308"</f>
        <v>1578728529261308</v>
      </c>
      <c r="C5467" t="s">
        <v>37</v>
      </c>
      <c r="D5467">
        <v>5.535819</v>
      </c>
      <c r="E5467">
        <v>0.49938469999999902</v>
      </c>
      <c r="F5467" t="s">
        <v>39</v>
      </c>
      <c r="G5467">
        <v>-187.79830000000001</v>
      </c>
      <c r="H5467" s="1">
        <v>-6.7403439999999998E-7</v>
      </c>
      <c r="I5467">
        <v>99.907309999999995</v>
      </c>
      <c r="J5467">
        <v>-188.3648</v>
      </c>
      <c r="K5467">
        <v>1.111629</v>
      </c>
      <c r="L5467">
        <v>85.262019999999893</v>
      </c>
      <c r="M5467">
        <v>-1.397413E-2</v>
      </c>
      <c r="N5467">
        <v>0</v>
      </c>
      <c r="O5467">
        <v>0.99976599999999904</v>
      </c>
      <c r="P5467">
        <v>3.8715850000000003E-2</v>
      </c>
      <c r="Q5467">
        <v>8.0876560000000001E-4</v>
      </c>
      <c r="R5467">
        <v>0.99924990000000002</v>
      </c>
      <c r="S5467">
        <v>0.1072998</v>
      </c>
      <c r="T5467">
        <v>-0.21488449999999901</v>
      </c>
      <c r="U5467">
        <v>2.9984439999999899</v>
      </c>
      <c r="V5467">
        <v>5.2596810000000001E-2</v>
      </c>
      <c r="W5467">
        <v>1.7544629999999999E-2</v>
      </c>
      <c r="X5467">
        <v>0.99846170000000001</v>
      </c>
      <c r="Y5467">
        <v>4.9634560000000001E-2</v>
      </c>
      <c r="Z5467">
        <v>-7.1404759999999998E-2</v>
      </c>
      <c r="AA5467">
        <v>0.99621170000000003</v>
      </c>
      <c r="AB5467">
        <v>59</v>
      </c>
      <c r="AC5467">
        <v>0.56649999999999001</v>
      </c>
      <c r="AD5467">
        <v>-1.1116296740343901</v>
      </c>
      <c r="AE5467">
        <v>14.645289999999999</v>
      </c>
      <c r="AF5467">
        <v>0.76671703762054</v>
      </c>
      <c r="AG5467">
        <v>-1.1116296740343901</v>
      </c>
      <c r="AH5467">
        <v>14.552226952966301</v>
      </c>
      <c r="AI5467">
        <v>94.362255137208905</v>
      </c>
      <c r="AJ5467">
        <v>86.984030743819304</v>
      </c>
      <c r="AK5467">
        <v>14.6147488804499</v>
      </c>
    </row>
    <row r="5468" spans="1:37" x14ac:dyDescent="0.2">
      <c r="A5468" t="str">
        <f>"20200111154209296"</f>
        <v>20200111154209296</v>
      </c>
      <c r="B5468" t="str">
        <f>"1578728529291562"</f>
        <v>1578728529291562</v>
      </c>
      <c r="C5468" t="s">
        <v>37</v>
      </c>
      <c r="D5468">
        <v>7.1315049999999998</v>
      </c>
      <c r="E5468">
        <v>0.49928050000000002</v>
      </c>
      <c r="F5468" t="s">
        <v>38</v>
      </c>
      <c r="G5468">
        <v>-188.32859999999999</v>
      </c>
      <c r="H5468">
        <v>1.0389139999999999</v>
      </c>
      <c r="I5468">
        <v>86.257679999999993</v>
      </c>
      <c r="J5468">
        <v>-188.37389999999999</v>
      </c>
      <c r="K5468">
        <v>1.1117509999999999</v>
      </c>
      <c r="L5468">
        <v>85.864559999999997</v>
      </c>
      <c r="M5468">
        <v>-1.5358729999999999E-2</v>
      </c>
      <c r="N5468">
        <v>0</v>
      </c>
      <c r="O5468">
        <v>0.9997393</v>
      </c>
      <c r="P5468">
        <v>4.0109029999999997E-2</v>
      </c>
      <c r="Q5468" s="1">
        <v>-3.7648419999999998E-5</v>
      </c>
      <c r="R5468">
        <v>0.99919530000000001</v>
      </c>
      <c r="S5468">
        <v>0.108413699999999</v>
      </c>
      <c r="T5468">
        <v>-0.21906629999999999</v>
      </c>
      <c r="U5468">
        <v>2.99823</v>
      </c>
      <c r="V5468">
        <v>5.5371879999999998E-2</v>
      </c>
      <c r="W5468">
        <v>1.7095989999999998E-2</v>
      </c>
      <c r="X5468">
        <v>0.99831939999999997</v>
      </c>
      <c r="Y5468">
        <v>5.1386359999999999E-2</v>
      </c>
      <c r="Z5468">
        <v>-7.2786240000000002E-2</v>
      </c>
      <c r="AA5468">
        <v>0.99602289999999905</v>
      </c>
      <c r="AB5468">
        <v>58</v>
      </c>
      <c r="AC5468">
        <v>4.5299999999997398E-2</v>
      </c>
      <c r="AD5468">
        <v>-7.2836999999999999E-2</v>
      </c>
      <c r="AE5468">
        <v>0.39312000000001002</v>
      </c>
      <c r="AF5468">
        <v>4.9651228609681297E-2</v>
      </c>
      <c r="AG5468">
        <v>-7.2836999999999999E-2</v>
      </c>
      <c r="AH5468">
        <v>0.37952016815854001</v>
      </c>
      <c r="AI5468">
        <v>100.77439270808399</v>
      </c>
      <c r="AJ5468">
        <v>82.546534734106203</v>
      </c>
      <c r="AK5468">
        <v>0.38962293452841901</v>
      </c>
    </row>
    <row r="5469" spans="1:37" x14ac:dyDescent="0.2">
      <c r="A5469" t="str">
        <f>"20200111154209317"</f>
        <v>20200111154209317</v>
      </c>
      <c r="B5469" t="str">
        <f>"1578728529311082"</f>
        <v>1578728529311082</v>
      </c>
      <c r="C5469" t="s">
        <v>37</v>
      </c>
      <c r="D5469">
        <v>5.5775180000000004</v>
      </c>
      <c r="E5469">
        <v>0.49893119999999902</v>
      </c>
      <c r="F5469" t="s">
        <v>38</v>
      </c>
      <c r="G5469">
        <v>-188.3398</v>
      </c>
      <c r="H5469">
        <v>1.0438160000000001</v>
      </c>
      <c r="I5469">
        <v>86.78143</v>
      </c>
      <c r="J5469">
        <v>-188.38290000000001</v>
      </c>
      <c r="K5469">
        <v>1.111855</v>
      </c>
      <c r="L5469">
        <v>86.411709999999999</v>
      </c>
      <c r="M5469">
        <v>-1.6612399999999999E-2</v>
      </c>
      <c r="N5469">
        <v>0</v>
      </c>
      <c r="O5469">
        <v>0.99971309999999902</v>
      </c>
      <c r="P5469">
        <v>4.1428810000000003E-2</v>
      </c>
      <c r="Q5469">
        <v>-6.4720610000000003E-4</v>
      </c>
      <c r="R5469">
        <v>0.99914130000000001</v>
      </c>
      <c r="S5469">
        <v>0.111434899999999</v>
      </c>
      <c r="T5469">
        <v>-0.22215679999999999</v>
      </c>
      <c r="U5469">
        <v>2.997925</v>
      </c>
      <c r="V5469">
        <v>5.794204E-2</v>
      </c>
      <c r="W5469">
        <v>1.6861899999999999E-2</v>
      </c>
      <c r="X5469">
        <v>0.99817749999999905</v>
      </c>
      <c r="Y5469">
        <v>5.3641960000000002E-2</v>
      </c>
      <c r="Z5469">
        <v>-7.3807010000000006E-2</v>
      </c>
      <c r="AA5469">
        <v>0.99582879999999996</v>
      </c>
      <c r="AB5469">
        <v>58</v>
      </c>
      <c r="AC5469">
        <v>4.3100000000009603E-2</v>
      </c>
      <c r="AD5469">
        <v>-6.8038999999999905E-2</v>
      </c>
      <c r="AE5469">
        <v>0.36971999999999999</v>
      </c>
      <c r="AF5469">
        <v>4.7644968570925803E-2</v>
      </c>
      <c r="AG5469">
        <v>-6.8038999999999905E-2</v>
      </c>
      <c r="AH5469">
        <v>0.35702383775081298</v>
      </c>
      <c r="AI5469">
        <v>100.697019679702</v>
      </c>
      <c r="AJ5469">
        <v>82.398767316164495</v>
      </c>
      <c r="AK5469">
        <v>0.36655882102800802</v>
      </c>
    </row>
    <row r="5470" spans="1:37" x14ac:dyDescent="0.2">
      <c r="A5470" t="str">
        <f>"20200111154209340"</f>
        <v>20200111154209340</v>
      </c>
      <c r="B5470" t="str">
        <f>"1578728529331578"</f>
        <v>1578728529331578</v>
      </c>
      <c r="C5470" t="s">
        <v>37</v>
      </c>
      <c r="D5470">
        <v>5.6036479999999997</v>
      </c>
      <c r="E5470">
        <v>0.49890600000000002</v>
      </c>
      <c r="F5470" t="s">
        <v>38</v>
      </c>
      <c r="G5470">
        <v>-188.3494</v>
      </c>
      <c r="H5470">
        <v>1.0446040000000001</v>
      </c>
      <c r="I5470">
        <v>87.301540000000003</v>
      </c>
      <c r="J5470">
        <v>-188.3938</v>
      </c>
      <c r="K5470">
        <v>1.1119589999999999</v>
      </c>
      <c r="L5470">
        <v>87.021550000000005</v>
      </c>
      <c r="M5470">
        <v>-1.800595E-2</v>
      </c>
      <c r="N5470">
        <v>0</v>
      </c>
      <c r="O5470">
        <v>0.99968159999999895</v>
      </c>
      <c r="P5470">
        <v>4.321448E-2</v>
      </c>
      <c r="Q5470">
        <v>-3.9143910000000002E-4</v>
      </c>
      <c r="R5470">
        <v>0.9990658</v>
      </c>
      <c r="S5470">
        <v>0.1123962</v>
      </c>
      <c r="T5470">
        <v>-0.2266522</v>
      </c>
      <c r="U5470">
        <v>2.9977719999999999</v>
      </c>
      <c r="V5470">
        <v>6.111275E-2</v>
      </c>
      <c r="W5470">
        <v>1.755702E-2</v>
      </c>
      <c r="X5470">
        <v>0.99797639999999999</v>
      </c>
      <c r="Y5470">
        <v>5.5350589999999998E-2</v>
      </c>
      <c r="Z5470">
        <v>-7.528928E-2</v>
      </c>
      <c r="AA5470">
        <v>0.99562439999999996</v>
      </c>
      <c r="AB5470">
        <v>58</v>
      </c>
      <c r="AC5470">
        <v>4.4399999999995998E-2</v>
      </c>
      <c r="AD5470">
        <v>-6.7354999999999804E-2</v>
      </c>
      <c r="AE5470">
        <v>0.27998999999999702</v>
      </c>
      <c r="AF5470">
        <v>4.6793549126694603E-2</v>
      </c>
      <c r="AG5470">
        <v>-6.7354999999999804E-2</v>
      </c>
      <c r="AH5470">
        <v>0.26422911067420801</v>
      </c>
      <c r="AI5470">
        <v>104.09046112264799</v>
      </c>
      <c r="AJ5470">
        <v>79.957350363230901</v>
      </c>
      <c r="AK5470">
        <v>0.276664698132153</v>
      </c>
    </row>
    <row r="5471" spans="1:37" x14ac:dyDescent="0.2">
      <c r="A5471" t="str">
        <f>"20200111154209363"</f>
        <v>20200111154209363</v>
      </c>
      <c r="B5471" t="str">
        <f>"1578728529360858"</f>
        <v>1578728529360858</v>
      </c>
      <c r="C5471" t="s">
        <v>37</v>
      </c>
      <c r="D5471">
        <v>5.8269609999999998</v>
      </c>
      <c r="E5471">
        <v>0.54025519999999905</v>
      </c>
      <c r="F5471" t="s">
        <v>38</v>
      </c>
      <c r="G5471">
        <v>-188.36189999999999</v>
      </c>
      <c r="H5471">
        <v>1.050454</v>
      </c>
      <c r="I5471">
        <v>87.829930000000004</v>
      </c>
      <c r="J5471">
        <v>-188.4051</v>
      </c>
      <c r="K5471">
        <v>1.1120540000000001</v>
      </c>
      <c r="L5471">
        <v>87.61063</v>
      </c>
      <c r="M5471">
        <v>-1.93528E-2</v>
      </c>
      <c r="N5471">
        <v>0</v>
      </c>
      <c r="O5471">
        <v>0.999648599999999</v>
      </c>
      <c r="P5471">
        <v>4.5969240000000001E-2</v>
      </c>
      <c r="Q5471">
        <v>5.3773510000000005E-4</v>
      </c>
      <c r="R5471">
        <v>0.99894269999999996</v>
      </c>
      <c r="S5471">
        <v>0.117584199999999</v>
      </c>
      <c r="T5471">
        <v>-0.22814209999999999</v>
      </c>
      <c r="U5471">
        <v>2.9976500000000001</v>
      </c>
      <c r="V5471">
        <v>6.5201590000000004E-2</v>
      </c>
      <c r="W5471">
        <v>1.89419999999999E-2</v>
      </c>
      <c r="X5471">
        <v>0.99769229999999998</v>
      </c>
      <c r="Y5471">
        <v>5.8416339999999997E-2</v>
      </c>
      <c r="Z5471">
        <v>-7.5772430000000002E-2</v>
      </c>
      <c r="AA5471">
        <v>0.99541250000000003</v>
      </c>
      <c r="AB5471">
        <v>58</v>
      </c>
      <c r="AC5471">
        <v>4.3200000000012999E-2</v>
      </c>
      <c r="AD5471">
        <v>-6.1600000000000099E-2</v>
      </c>
      <c r="AE5471">
        <v>0.21930000000000399</v>
      </c>
      <c r="AF5471">
        <v>4.40880158574068E-2</v>
      </c>
      <c r="AG5471">
        <v>-6.1600000000000099E-2</v>
      </c>
      <c r="AH5471">
        <v>0.20300380783085201</v>
      </c>
      <c r="AI5471">
        <v>106.516671624176</v>
      </c>
      <c r="AJ5471">
        <v>77.746881926853007</v>
      </c>
      <c r="AK5471">
        <v>0.21667685417706301</v>
      </c>
    </row>
    <row r="5472" spans="1:37" x14ac:dyDescent="0.2">
      <c r="A5472" t="str">
        <f>"20200111154209385"</f>
        <v>20200111154209385</v>
      </c>
      <c r="B5472" t="str">
        <f>"1578728529381358"</f>
        <v>1578728529381358</v>
      </c>
      <c r="C5472" t="s">
        <v>37</v>
      </c>
      <c r="D5472">
        <v>5.8015309999999998</v>
      </c>
      <c r="E5472">
        <v>0.54889529999999997</v>
      </c>
      <c r="F5472" t="s">
        <v>39</v>
      </c>
      <c r="G5472">
        <v>-185.72569999999999</v>
      </c>
      <c r="H5472" s="1">
        <v>-3.1225979999999999E-6</v>
      </c>
      <c r="I5472">
        <v>105.1442</v>
      </c>
      <c r="J5472">
        <v>-188.41650000000001</v>
      </c>
      <c r="K5472">
        <v>1.112133</v>
      </c>
      <c r="L5472">
        <v>88.158389999999997</v>
      </c>
      <c r="M5472">
        <v>-2.061083E-2</v>
      </c>
      <c r="N5472">
        <v>0</v>
      </c>
      <c r="O5472">
        <v>0.999615699999999</v>
      </c>
      <c r="P5472">
        <v>4.9129720000000002E-2</v>
      </c>
      <c r="Q5472">
        <v>1.2541189999999999E-3</v>
      </c>
      <c r="R5472">
        <v>0.998791599999999</v>
      </c>
      <c r="S5472">
        <v>0.45574949999999997</v>
      </c>
      <c r="T5472">
        <v>-0.18915019999999999</v>
      </c>
      <c r="U5472">
        <v>2.9823</v>
      </c>
      <c r="V5472">
        <v>6.9607849999999999E-2</v>
      </c>
      <c r="W5472">
        <v>2.0099539999999999E-2</v>
      </c>
      <c r="X5472">
        <v>0.99737189999999998</v>
      </c>
      <c r="Y5472">
        <v>0.17111489999999999</v>
      </c>
      <c r="Z5472">
        <v>-6.2448969999999999E-2</v>
      </c>
      <c r="AA5472">
        <v>0.98326999999999998</v>
      </c>
      <c r="AB5472">
        <v>58</v>
      </c>
      <c r="AC5472">
        <v>2.6908000000000198</v>
      </c>
      <c r="AD5472">
        <v>-1.112136122598</v>
      </c>
      <c r="AE5472">
        <v>16.985810000000001</v>
      </c>
      <c r="AF5472">
        <v>3.0277182436811998</v>
      </c>
      <c r="AG5472">
        <v>-1.112136122598</v>
      </c>
      <c r="AH5472">
        <v>16.856239377607999</v>
      </c>
      <c r="AI5472">
        <v>93.715482951442795</v>
      </c>
      <c r="AJ5472">
        <v>79.817115049453506</v>
      </c>
      <c r="AK5472">
        <v>17.162072441099099</v>
      </c>
    </row>
    <row r="5473" spans="1:37" x14ac:dyDescent="0.2">
      <c r="A5473" t="str">
        <f>"20200111154209405"</f>
        <v>20200111154209405</v>
      </c>
      <c r="B5473" t="str">
        <f>"1578728529400875"</f>
        <v>1578728529400875</v>
      </c>
      <c r="C5473" t="s">
        <v>37</v>
      </c>
      <c r="D5473">
        <v>5.7838609999999999</v>
      </c>
      <c r="E5473">
        <v>0.55187549999999996</v>
      </c>
      <c r="F5473" t="s">
        <v>39</v>
      </c>
      <c r="G5473">
        <v>-185.45580000000001</v>
      </c>
      <c r="H5473" s="1">
        <v>-2.9625839999999998E-6</v>
      </c>
      <c r="I5473">
        <v>104.6597</v>
      </c>
      <c r="J5473">
        <v>-188.42830000000001</v>
      </c>
      <c r="K5473">
        <v>1.1122019999999999</v>
      </c>
      <c r="L5473">
        <v>88.69632</v>
      </c>
      <c r="M5473">
        <v>-2.1849159999999999E-2</v>
      </c>
      <c r="N5473">
        <v>0</v>
      </c>
      <c r="O5473">
        <v>0.99958130000000001</v>
      </c>
      <c r="P5473">
        <v>5.2458110000000002E-2</v>
      </c>
      <c r="Q5473">
        <v>1.781464E-3</v>
      </c>
      <c r="R5473">
        <v>0.99862150000000005</v>
      </c>
      <c r="S5473">
        <v>0.53424069999999901</v>
      </c>
      <c r="T5473">
        <v>-0.2006811</v>
      </c>
      <c r="U5473">
        <v>2.9775999999999998</v>
      </c>
      <c r="V5473">
        <v>7.4162510000000001E-2</v>
      </c>
      <c r="W5473">
        <v>2.1071610000000001E-2</v>
      </c>
      <c r="X5473">
        <v>0.99702349999999995</v>
      </c>
      <c r="Y5473">
        <v>0.19768139999999901</v>
      </c>
      <c r="Z5473">
        <v>-6.6031820000000005E-2</v>
      </c>
      <c r="AA5473">
        <v>0.97803980000000001</v>
      </c>
      <c r="AB5473">
        <v>58</v>
      </c>
      <c r="AC5473">
        <v>2.9724999999999899</v>
      </c>
      <c r="AD5473">
        <v>-1.112204962584</v>
      </c>
      <c r="AE5473">
        <v>15.963380000000001</v>
      </c>
      <c r="AF5473">
        <v>3.3051331476478398</v>
      </c>
      <c r="AG5473">
        <v>-1.112204962584</v>
      </c>
      <c r="AH5473">
        <v>15.8203873048607</v>
      </c>
      <c r="AI5473">
        <v>93.936675358910605</v>
      </c>
      <c r="AJ5473">
        <v>78.199715288137</v>
      </c>
      <c r="AK5473">
        <v>16.200171587926899</v>
      </c>
    </row>
    <row r="5474" spans="1:37" x14ac:dyDescent="0.2">
      <c r="A5474" t="str">
        <f>"20200111154209429"</f>
        <v>20200111154209429</v>
      </c>
      <c r="B5474" t="str">
        <f>"1578728529421371"</f>
        <v>1578728529421371</v>
      </c>
      <c r="C5474" t="s">
        <v>37</v>
      </c>
      <c r="D5474">
        <v>5.8057059999999998</v>
      </c>
      <c r="E5474">
        <v>0.5528187</v>
      </c>
      <c r="F5474" t="s">
        <v>39</v>
      </c>
      <c r="G5474">
        <v>-185.2843</v>
      </c>
      <c r="H5474" s="1">
        <v>-3.20665599999999E-6</v>
      </c>
      <c r="I5474">
        <v>105.15770000000001</v>
      </c>
      <c r="J5474">
        <v>-188.4425</v>
      </c>
      <c r="K5474">
        <v>1.1122749999999999</v>
      </c>
      <c r="L5474">
        <v>89.299769999999995</v>
      </c>
      <c r="M5474">
        <v>-2.3240219999999999E-2</v>
      </c>
      <c r="N5474">
        <v>0</v>
      </c>
      <c r="O5474">
        <v>0.99954069999999995</v>
      </c>
      <c r="P5474">
        <v>5.5247730000000002E-2</v>
      </c>
      <c r="Q5474">
        <v>3.4004129999999902E-3</v>
      </c>
      <c r="R5474">
        <v>0.99846689999999905</v>
      </c>
      <c r="S5474">
        <v>0.56813049999999998</v>
      </c>
      <c r="T5474">
        <v>-0.20097989999999999</v>
      </c>
      <c r="U5474">
        <v>2.97464</v>
      </c>
      <c r="V5474">
        <v>7.8324950000000004E-2</v>
      </c>
      <c r="W5474">
        <v>2.3183949999999998E-2</v>
      </c>
      <c r="X5474">
        <v>0.9966583</v>
      </c>
      <c r="Y5474">
        <v>0.20997150000000001</v>
      </c>
      <c r="Z5474">
        <v>-6.6037769999999996E-2</v>
      </c>
      <c r="AA5474">
        <v>0.97547479999999998</v>
      </c>
      <c r="AB5474">
        <v>57</v>
      </c>
      <c r="AC5474">
        <v>3.1581999999999901</v>
      </c>
      <c r="AD5474">
        <v>-1.112278206656</v>
      </c>
      <c r="AE5474">
        <v>15.85793</v>
      </c>
      <c r="AF5474">
        <v>3.5093520650507202</v>
      </c>
      <c r="AG5474">
        <v>-1.112278206656</v>
      </c>
      <c r="AH5474">
        <v>15.7059143655111</v>
      </c>
      <c r="AI5474">
        <v>93.953696985420606</v>
      </c>
      <c r="AJ5474">
        <v>77.404641012364294</v>
      </c>
      <c r="AK5474">
        <v>16.131598209174602</v>
      </c>
    </row>
    <row r="5475" spans="1:37" x14ac:dyDescent="0.2">
      <c r="A5475" t="str">
        <f>"20200111154209452"</f>
        <v>20200111154209452</v>
      </c>
      <c r="B5475" t="str">
        <f>"1578728529440893"</f>
        <v>1578728529440893</v>
      </c>
      <c r="C5475" t="s">
        <v>37</v>
      </c>
      <c r="D5475">
        <v>5.8121609999999997</v>
      </c>
      <c r="E5475">
        <v>0.55344869999999902</v>
      </c>
      <c r="F5475" t="s">
        <v>39</v>
      </c>
      <c r="G5475">
        <v>-185.16749999999999</v>
      </c>
      <c r="H5475" s="1">
        <v>-3.574621E-6</v>
      </c>
      <c r="I5475">
        <v>105.9671</v>
      </c>
      <c r="J5475">
        <v>-188.45699999999999</v>
      </c>
      <c r="K5475">
        <v>1.1123399999999899</v>
      </c>
      <c r="L5475">
        <v>89.884799999999998</v>
      </c>
      <c r="M5475">
        <v>-2.4587060000000001E-2</v>
      </c>
      <c r="N5475">
        <v>0</v>
      </c>
      <c r="O5475">
        <v>0.99949949999999999</v>
      </c>
      <c r="P5475">
        <v>5.8143229999999997E-2</v>
      </c>
      <c r="Q5475">
        <v>4.8265349999999999E-3</v>
      </c>
      <c r="R5475">
        <v>0.99829659999999998</v>
      </c>
      <c r="S5475">
        <v>0.58416749999999995</v>
      </c>
      <c r="T5475">
        <v>-0.1983993</v>
      </c>
      <c r="U5475">
        <v>2.9729919999999899</v>
      </c>
      <c r="V5475">
        <v>8.2549310000000001E-2</v>
      </c>
      <c r="W5475">
        <v>2.5082170000000001E-2</v>
      </c>
      <c r="X5475">
        <v>0.99627129999999997</v>
      </c>
      <c r="Y5475">
        <v>0.21646660000000001</v>
      </c>
      <c r="Z5475">
        <v>-6.5145919999999996E-2</v>
      </c>
      <c r="AA5475">
        <v>0.97411409999999998</v>
      </c>
      <c r="AB5475">
        <v>57</v>
      </c>
      <c r="AC5475">
        <v>3.2894999999999999</v>
      </c>
      <c r="AD5475">
        <v>-1.112343574621</v>
      </c>
      <c r="AE5475">
        <v>16.0823</v>
      </c>
      <c r="AF5475">
        <v>3.66716117961372</v>
      </c>
      <c r="AG5475">
        <v>-1.112343574621</v>
      </c>
      <c r="AH5475">
        <v>15.923424147336499</v>
      </c>
      <c r="AI5475">
        <v>93.8943375749013</v>
      </c>
      <c r="AJ5475">
        <v>77.030923045493594</v>
      </c>
      <c r="AK5475">
        <v>16.378058979050198</v>
      </c>
    </row>
    <row r="5476" spans="1:37" x14ac:dyDescent="0.2">
      <c r="A5476" t="str">
        <f>"20200111154209474"</f>
        <v>20200111154209474</v>
      </c>
      <c r="B5476" t="str">
        <f>"1578728529471146"</f>
        <v>1578728529471146</v>
      </c>
      <c r="C5476" t="s">
        <v>37</v>
      </c>
      <c r="D5476">
        <v>5.824389</v>
      </c>
      <c r="E5476">
        <v>0.55416799999999999</v>
      </c>
      <c r="F5476" t="s">
        <v>39</v>
      </c>
      <c r="G5476">
        <v>-185.10839999999999</v>
      </c>
      <c r="H5476" s="1">
        <v>-3.831059E-6</v>
      </c>
      <c r="I5476">
        <v>106.54049999999999</v>
      </c>
      <c r="J5476">
        <v>-188.4716</v>
      </c>
      <c r="K5476">
        <v>1.112392</v>
      </c>
      <c r="L5476">
        <v>90.441220000000001</v>
      </c>
      <c r="M5476">
        <v>-2.5864580000000002E-2</v>
      </c>
      <c r="N5476">
        <v>0</v>
      </c>
      <c r="O5476">
        <v>0.99945869999999903</v>
      </c>
      <c r="P5476">
        <v>6.0988929999999997E-2</v>
      </c>
      <c r="Q5476">
        <v>4.8016889999999996E-3</v>
      </c>
      <c r="R5476">
        <v>0.99812690000000004</v>
      </c>
      <c r="S5476">
        <v>0.59738159999999996</v>
      </c>
      <c r="T5476">
        <v>-0.19843629999999901</v>
      </c>
      <c r="U5476">
        <v>2.9712830000000001</v>
      </c>
      <c r="V5476">
        <v>8.6661870000000002E-2</v>
      </c>
      <c r="W5476">
        <v>2.549688E-2</v>
      </c>
      <c r="X5476">
        <v>0.99591149999999995</v>
      </c>
      <c r="Y5476">
        <v>0.22198470000000001</v>
      </c>
      <c r="Z5476">
        <v>-6.5122650000000004E-2</v>
      </c>
      <c r="AA5476">
        <v>0.97287299999999999</v>
      </c>
      <c r="AB5476">
        <v>57</v>
      </c>
      <c r="AC5476">
        <v>3.3632</v>
      </c>
      <c r="AD5476">
        <v>-1.1123958310590001</v>
      </c>
      <c r="AE5476">
        <v>16.099279999999901</v>
      </c>
      <c r="AF5476">
        <v>3.7613548349194201</v>
      </c>
      <c r="AG5476">
        <v>-1.1123958310590001</v>
      </c>
      <c r="AH5476">
        <v>15.9339941894816</v>
      </c>
      <c r="AI5476">
        <v>93.8870061573502</v>
      </c>
      <c r="AJ5476">
        <v>76.717988539128399</v>
      </c>
      <c r="AK5476">
        <v>16.409673534521101</v>
      </c>
    </row>
    <row r="5477" spans="1:37" x14ac:dyDescent="0.2">
      <c r="A5477" t="str">
        <f>"20200111154209496"</f>
        <v>20200111154209496</v>
      </c>
      <c r="B5477" t="str">
        <f>"1578728529491642"</f>
        <v>1578728529491642</v>
      </c>
      <c r="C5477" t="s">
        <v>37</v>
      </c>
      <c r="D5477">
        <v>5.7074480000000003</v>
      </c>
      <c r="E5477">
        <v>0.55454869999999901</v>
      </c>
      <c r="F5477" t="s">
        <v>39</v>
      </c>
      <c r="G5477">
        <v>-184.9211</v>
      </c>
      <c r="H5477" s="1">
        <v>-4.348663E-6</v>
      </c>
      <c r="I5477">
        <v>107.6696</v>
      </c>
      <c r="J5477">
        <v>-188.48660000000001</v>
      </c>
      <c r="K5477">
        <v>1.1124289999999999</v>
      </c>
      <c r="L5477">
        <v>90.985869999999906</v>
      </c>
      <c r="M5477">
        <v>-2.7107510000000001E-2</v>
      </c>
      <c r="N5477">
        <v>0</v>
      </c>
      <c r="O5477">
        <v>0.99941740000000001</v>
      </c>
      <c r="P5477">
        <v>6.3398990000000002E-2</v>
      </c>
      <c r="Q5477">
        <v>4.1387769999999997E-3</v>
      </c>
      <c r="R5477">
        <v>0.99797969999999903</v>
      </c>
      <c r="S5477">
        <v>0.61189269999999996</v>
      </c>
      <c r="T5477">
        <v>-0.1917111</v>
      </c>
      <c r="U5477">
        <v>2.969147</v>
      </c>
      <c r="V5477">
        <v>9.0308100000000002E-2</v>
      </c>
      <c r="W5477">
        <v>2.5245670000000001E-2</v>
      </c>
      <c r="X5477">
        <v>0.99559379999999997</v>
      </c>
      <c r="Y5477">
        <v>0.22792280000000001</v>
      </c>
      <c r="Z5477">
        <v>-6.289177E-2</v>
      </c>
      <c r="AA5477">
        <v>0.97164599999999901</v>
      </c>
      <c r="AB5477">
        <v>57</v>
      </c>
      <c r="AC5477">
        <v>3.5655000000000099</v>
      </c>
      <c r="AD5477">
        <v>-1.112433348663</v>
      </c>
      <c r="AE5477">
        <v>16.683730000000001</v>
      </c>
      <c r="AF5477">
        <v>3.9995358939780199</v>
      </c>
      <c r="AG5477">
        <v>-1.112433348663</v>
      </c>
      <c r="AH5477">
        <v>16.510724676310002</v>
      </c>
      <c r="AI5477">
        <v>93.746524995411505</v>
      </c>
      <c r="AJ5477">
        <v>76.383048203069393</v>
      </c>
      <c r="AK5477">
        <v>17.024624068076999</v>
      </c>
    </row>
    <row r="5478" spans="1:37" x14ac:dyDescent="0.2">
      <c r="A5478" t="str">
        <f>"20200111154209518"</f>
        <v>20200111154209518</v>
      </c>
      <c r="B5478" t="str">
        <f>"1578728529511164"</f>
        <v>1578728529511164</v>
      </c>
      <c r="C5478" t="s">
        <v>37</v>
      </c>
      <c r="D5478">
        <v>5.7269879999999898</v>
      </c>
      <c r="E5478">
        <v>0.55467460000000002</v>
      </c>
      <c r="F5478" t="s">
        <v>39</v>
      </c>
      <c r="G5478">
        <v>-184.89660000000001</v>
      </c>
      <c r="H5478" s="1">
        <v>-4.5423870000000002E-6</v>
      </c>
      <c r="I5478">
        <v>108.111</v>
      </c>
      <c r="J5478">
        <v>-188.50309999999999</v>
      </c>
      <c r="K5478">
        <v>1.112447</v>
      </c>
      <c r="L5478">
        <v>91.557009999999906</v>
      </c>
      <c r="M5478">
        <v>-2.8390809999999999E-2</v>
      </c>
      <c r="N5478">
        <v>0</v>
      </c>
      <c r="O5478">
        <v>0.99937350000000003</v>
      </c>
      <c r="P5478">
        <v>6.6003720000000002E-2</v>
      </c>
      <c r="Q5478">
        <v>3.774412E-3</v>
      </c>
      <c r="R5478">
        <v>0.99781219999999904</v>
      </c>
      <c r="S5478">
        <v>0.62207029999999996</v>
      </c>
      <c r="T5478">
        <v>-0.19275829999999999</v>
      </c>
      <c r="U5478">
        <v>2.9673769999999999</v>
      </c>
      <c r="V5478">
        <v>9.4187179999999995E-2</v>
      </c>
      <c r="W5478">
        <v>2.5282849999999999E-2</v>
      </c>
      <c r="X5478">
        <v>0.99523340000000005</v>
      </c>
      <c r="Y5478">
        <v>0.2324754</v>
      </c>
      <c r="Z5478">
        <v>-6.3210950000000002E-2</v>
      </c>
      <c r="AA5478">
        <v>0.97054599999999902</v>
      </c>
      <c r="AB5478">
        <v>57</v>
      </c>
      <c r="AC5478">
        <v>3.6064999999999801</v>
      </c>
      <c r="AD5478">
        <v>-1.1124515423870001</v>
      </c>
      <c r="AE5478">
        <v>16.553989999999999</v>
      </c>
      <c r="AF5478">
        <v>4.0576376576864401</v>
      </c>
      <c r="AG5478">
        <v>-1.1124515423870001</v>
      </c>
      <c r="AH5478">
        <v>16.374303713218001</v>
      </c>
      <c r="AI5478">
        <v>93.772866911586604</v>
      </c>
      <c r="AJ5478">
        <v>76.082172902651493</v>
      </c>
      <c r="AK5478">
        <v>16.906205780361802</v>
      </c>
    </row>
    <row r="5479" spans="1:37" x14ac:dyDescent="0.2">
      <c r="A5479" t="str">
        <f>"20200111154209541"</f>
        <v>20200111154209541</v>
      </c>
      <c r="B5479" t="str">
        <f>"1578728529531658"</f>
        <v>1578728529531658</v>
      </c>
      <c r="C5479" t="s">
        <v>37</v>
      </c>
      <c r="D5479">
        <v>5.7189110000000003</v>
      </c>
      <c r="E5479">
        <v>0.55477749999999904</v>
      </c>
      <c r="F5479" t="s">
        <v>39</v>
      </c>
      <c r="G5479">
        <v>-184.87280000000001</v>
      </c>
      <c r="H5479" s="1">
        <v>-4.7681999999999902E-6</v>
      </c>
      <c r="I5479">
        <v>108.6275</v>
      </c>
      <c r="J5479">
        <v>-188.5205</v>
      </c>
      <c r="K5479">
        <v>1.112441</v>
      </c>
      <c r="L5479">
        <v>92.135649999999998</v>
      </c>
      <c r="M5479">
        <v>-2.9654489999999999E-2</v>
      </c>
      <c r="N5479">
        <v>0</v>
      </c>
      <c r="O5479">
        <v>0.99932900000000002</v>
      </c>
      <c r="P5479">
        <v>6.8876679999999996E-2</v>
      </c>
      <c r="Q5479">
        <v>3.602867E-3</v>
      </c>
      <c r="R5479">
        <v>0.99761869999999997</v>
      </c>
      <c r="S5479">
        <v>0.63067629999999997</v>
      </c>
      <c r="T5479">
        <v>-0.19326070000000001</v>
      </c>
      <c r="U5479">
        <v>2.965576</v>
      </c>
      <c r="V5479">
        <v>9.8313609999999996E-2</v>
      </c>
      <c r="W5479">
        <v>2.5479249999999998E-2</v>
      </c>
      <c r="X5479">
        <v>0.99482919999999997</v>
      </c>
      <c r="Y5479">
        <v>0.2365158</v>
      </c>
      <c r="Z5479">
        <v>-6.3358919999999999E-2</v>
      </c>
      <c r="AA5479">
        <v>0.96955970000000002</v>
      </c>
      <c r="AB5479">
        <v>57</v>
      </c>
      <c r="AC5479">
        <v>3.64769999999998</v>
      </c>
      <c r="AD5479">
        <v>-1.1124457682</v>
      </c>
      <c r="AE5479">
        <v>16.491849999999999</v>
      </c>
      <c r="AF5479">
        <v>4.1174047404301604</v>
      </c>
      <c r="AG5479">
        <v>-1.1124457682</v>
      </c>
      <c r="AH5479">
        <v>16.3056662201076</v>
      </c>
      <c r="AI5479">
        <v>93.784497491637694</v>
      </c>
      <c r="AJ5479">
        <v>75.8282824450215</v>
      </c>
      <c r="AK5479">
        <v>16.854237101253201</v>
      </c>
    </row>
    <row r="5480" spans="1:37" x14ac:dyDescent="0.2">
      <c r="A5480" t="str">
        <f>"20200111154209563"</f>
        <v>20200111154209563</v>
      </c>
      <c r="B5480" t="str">
        <f>"1578728529560939"</f>
        <v>1578728529560939</v>
      </c>
      <c r="C5480" t="s">
        <v>37</v>
      </c>
      <c r="D5480">
        <v>5.7380149999999999</v>
      </c>
      <c r="E5480">
        <v>0.55481619999999998</v>
      </c>
      <c r="F5480" t="s">
        <v>39</v>
      </c>
      <c r="G5480">
        <v>-184.8629</v>
      </c>
      <c r="H5480" s="1">
        <v>-4.9596599999999999E-6</v>
      </c>
      <c r="I5480">
        <v>109.0698</v>
      </c>
      <c r="J5480">
        <v>-188.53790000000001</v>
      </c>
      <c r="K5480">
        <v>1.1124049999999901</v>
      </c>
      <c r="L5480">
        <v>92.693449999999999</v>
      </c>
      <c r="M5480">
        <v>-3.0817899999999999E-2</v>
      </c>
      <c r="N5480">
        <v>0</v>
      </c>
      <c r="O5480">
        <v>0.99928689999999998</v>
      </c>
      <c r="P5480">
        <v>7.0889930000000004E-2</v>
      </c>
      <c r="Q5480">
        <v>2.6428770000000001E-3</v>
      </c>
      <c r="R5480">
        <v>0.99748060000000005</v>
      </c>
      <c r="S5480">
        <v>0.64010619999999996</v>
      </c>
      <c r="T5480">
        <v>-0.19469</v>
      </c>
      <c r="U5480">
        <v>2.963654</v>
      </c>
      <c r="V5480">
        <v>0.1014871</v>
      </c>
      <c r="W5480">
        <v>2.4829049999999998E-2</v>
      </c>
      <c r="X5480">
        <v>0.99452700000000005</v>
      </c>
      <c r="Y5480">
        <v>0.24071619999999999</v>
      </c>
      <c r="Z5480">
        <v>-6.3808030000000002E-2</v>
      </c>
      <c r="AA5480">
        <v>0.96849589999999997</v>
      </c>
      <c r="AB5480">
        <v>56</v>
      </c>
      <c r="AC5480">
        <v>3.67500000000001</v>
      </c>
      <c r="AD5480">
        <v>-1.1124099596599999</v>
      </c>
      <c r="AE5480">
        <v>16.376349999999999</v>
      </c>
      <c r="AF5480">
        <v>4.15978468075921</v>
      </c>
      <c r="AG5480">
        <v>-1.1124099596599999</v>
      </c>
      <c r="AH5480">
        <v>16.184188493430501</v>
      </c>
      <c r="AI5480">
        <v>93.808594816843296</v>
      </c>
      <c r="AJ5480">
        <v>75.585416056819795</v>
      </c>
      <c r="AK5480">
        <v>16.7472153416476</v>
      </c>
    </row>
    <row r="5481" spans="1:37" x14ac:dyDescent="0.2">
      <c r="A5481" t="str">
        <f>"20200111154209585"</f>
        <v>20200111154209585</v>
      </c>
      <c r="B5481" t="str">
        <f>"1578728529581438"</f>
        <v>1578728529581438</v>
      </c>
      <c r="C5481" t="s">
        <v>37</v>
      </c>
      <c r="D5481">
        <v>5.667872</v>
      </c>
      <c r="E5481">
        <v>0.55479160000000005</v>
      </c>
      <c r="F5481" t="s">
        <v>39</v>
      </c>
      <c r="G5481">
        <v>-184.94200000000001</v>
      </c>
      <c r="H5481" s="1">
        <v>-4.9882080000000002E-6</v>
      </c>
      <c r="I5481">
        <v>109.169</v>
      </c>
      <c r="J5481">
        <v>-188.5556</v>
      </c>
      <c r="K5481">
        <v>1.1123339999999999</v>
      </c>
      <c r="L5481">
        <v>93.237700000000004</v>
      </c>
      <c r="M5481">
        <v>-3.1877170000000003E-2</v>
      </c>
      <c r="N5481">
        <v>0</v>
      </c>
      <c r="O5481">
        <v>0.99924760000000001</v>
      </c>
      <c r="P5481">
        <v>7.2503419999999999E-2</v>
      </c>
      <c r="Q5481">
        <v>-2.0451519999999999E-4</v>
      </c>
      <c r="R5481">
        <v>0.99736819999999904</v>
      </c>
      <c r="S5481">
        <v>0.6465149</v>
      </c>
      <c r="T5481">
        <v>-0.20000129999999999</v>
      </c>
      <c r="U5481">
        <v>2.9621580000000001</v>
      </c>
      <c r="V5481">
        <v>0.10416739999999999</v>
      </c>
      <c r="W5481">
        <v>2.224054E-2</v>
      </c>
      <c r="X5481">
        <v>0.994311099999999</v>
      </c>
      <c r="Y5481">
        <v>0.2438217</v>
      </c>
      <c r="Z5481">
        <v>-6.5529329999999997E-2</v>
      </c>
      <c r="AA5481">
        <v>0.96760369999999996</v>
      </c>
      <c r="AB5481">
        <v>56</v>
      </c>
      <c r="AC5481">
        <v>3.6135999999999902</v>
      </c>
      <c r="AD5481">
        <v>-1.1123389882079999</v>
      </c>
      <c r="AE5481">
        <v>15.931299999999901</v>
      </c>
      <c r="AF5481">
        <v>4.1007186954720796</v>
      </c>
      <c r="AG5481">
        <v>-1.1123389882079999</v>
      </c>
      <c r="AH5481">
        <v>15.7350258639279</v>
      </c>
      <c r="AI5481">
        <v>93.9133375729769</v>
      </c>
      <c r="AJ5481">
        <v>75.393004900134699</v>
      </c>
      <c r="AK5481">
        <v>16.298595975805998</v>
      </c>
    </row>
    <row r="5482" spans="1:37" x14ac:dyDescent="0.2">
      <c r="A5482" t="str">
        <f>"20200111154209606"</f>
        <v>20200111154209606</v>
      </c>
      <c r="B5482" t="str">
        <f>"1578728529600957"</f>
        <v>1578728529600957</v>
      </c>
      <c r="C5482" t="s">
        <v>37</v>
      </c>
      <c r="D5482">
        <v>5.6393589999999998</v>
      </c>
      <c r="E5482">
        <v>0.55480189999999996</v>
      </c>
      <c r="F5482" t="s">
        <v>39</v>
      </c>
      <c r="G5482">
        <v>-185.08750000000001</v>
      </c>
      <c r="H5482" s="1">
        <v>-4.8868849999999902E-6</v>
      </c>
      <c r="I5482">
        <v>108.99299999999999</v>
      </c>
      <c r="J5482">
        <v>-188.57329999999999</v>
      </c>
      <c r="K5482">
        <v>1.1122540000000001</v>
      </c>
      <c r="L5482">
        <v>93.768429999999995</v>
      </c>
      <c r="M5482">
        <v>-3.2842419999999997E-2</v>
      </c>
      <c r="N5482">
        <v>0</v>
      </c>
      <c r="O5482">
        <v>0.99921109999999902</v>
      </c>
      <c r="P5482">
        <v>7.3907410000000007E-2</v>
      </c>
      <c r="Q5482">
        <v>-1.9588990000000001E-3</v>
      </c>
      <c r="R5482">
        <v>0.99726319999999902</v>
      </c>
      <c r="S5482">
        <v>0.65168760000000003</v>
      </c>
      <c r="T5482">
        <v>-0.20901529999999999</v>
      </c>
      <c r="U5482">
        <v>2.96050999999999</v>
      </c>
      <c r="V5482">
        <v>0.106539699999999</v>
      </c>
      <c r="W5482">
        <v>2.0703570000000001E-2</v>
      </c>
      <c r="X5482">
        <v>0.99409289999999995</v>
      </c>
      <c r="Y5482">
        <v>0.24644050000000001</v>
      </c>
      <c r="Z5482">
        <v>-6.8466830000000006E-2</v>
      </c>
      <c r="AA5482">
        <v>0.96673639999999905</v>
      </c>
      <c r="AB5482">
        <v>56</v>
      </c>
      <c r="AC5482">
        <v>3.4857999999999798</v>
      </c>
      <c r="AD5482">
        <v>-1.1122588868850001</v>
      </c>
      <c r="AE5482">
        <v>15.2245699999999</v>
      </c>
      <c r="AF5482">
        <v>3.9639520651875002</v>
      </c>
      <c r="AG5482">
        <v>-1.1122588868850001</v>
      </c>
      <c r="AH5482">
        <v>15.025640524501799</v>
      </c>
      <c r="AI5482">
        <v>94.093977335934795</v>
      </c>
      <c r="AJ5482">
        <v>75.221364874145806</v>
      </c>
      <c r="AK5482">
        <v>15.579470754108099</v>
      </c>
    </row>
    <row r="5483" spans="1:37" x14ac:dyDescent="0.2">
      <c r="A5483" t="str">
        <f>"20200111154209630"</f>
        <v>20200111154209630</v>
      </c>
      <c r="B5483" t="str">
        <f>"1578728529621454"</f>
        <v>1578728529621454</v>
      </c>
      <c r="C5483" t="s">
        <v>37</v>
      </c>
      <c r="D5483">
        <v>5.6728480000000001</v>
      </c>
      <c r="E5483">
        <v>0.55484769999999894</v>
      </c>
      <c r="F5483" t="s">
        <v>39</v>
      </c>
      <c r="G5483">
        <v>-185.17160000000001</v>
      </c>
      <c r="H5483" s="1">
        <v>-4.92241999999999E-6</v>
      </c>
      <c r="I5483">
        <v>109.11060000000001</v>
      </c>
      <c r="J5483">
        <v>-188.5934</v>
      </c>
      <c r="K5483">
        <v>1.1121589999999999</v>
      </c>
      <c r="L5483">
        <v>94.354429999999994</v>
      </c>
      <c r="M5483">
        <v>-3.3809850000000002E-2</v>
      </c>
      <c r="N5483">
        <v>0</v>
      </c>
      <c r="O5483">
        <v>0.99917369999999905</v>
      </c>
      <c r="P5483">
        <v>7.5014800000000006E-2</v>
      </c>
      <c r="Q5483">
        <v>-3.3629290000000002E-3</v>
      </c>
      <c r="R5483">
        <v>0.99717679999999997</v>
      </c>
      <c r="S5483">
        <v>0.65612789999999999</v>
      </c>
      <c r="T5483">
        <v>-0.214532899999999</v>
      </c>
      <c r="U5483">
        <v>2.95919799999999</v>
      </c>
      <c r="V5483">
        <v>0.108616899999999</v>
      </c>
      <c r="W5483">
        <v>1.9501709999999998E-2</v>
      </c>
      <c r="X5483">
        <v>0.99389240000000001</v>
      </c>
      <c r="Y5483">
        <v>0.24882399999999999</v>
      </c>
      <c r="Z5483">
        <v>-7.0258979999999999E-2</v>
      </c>
      <c r="AA5483">
        <v>0.965996999999999</v>
      </c>
      <c r="AB5483">
        <v>56</v>
      </c>
      <c r="AC5483">
        <v>3.42179999999999</v>
      </c>
      <c r="AD5483">
        <v>-1.11216392242</v>
      </c>
      <c r="AE5483">
        <v>14.7561699999999</v>
      </c>
      <c r="AF5483">
        <v>3.8978614569215901</v>
      </c>
      <c r="AG5483">
        <v>-1.11216392242</v>
      </c>
      <c r="AH5483">
        <v>14.5535558439986</v>
      </c>
      <c r="AI5483">
        <v>94.221747012922194</v>
      </c>
      <c r="AJ5483">
        <v>75.006435876422898</v>
      </c>
      <c r="AK5483">
        <v>15.1074888790982</v>
      </c>
    </row>
    <row r="5484" spans="1:37" x14ac:dyDescent="0.2">
      <c r="A5484" t="str">
        <f>"20200111154209651"</f>
        <v>20200111154209651</v>
      </c>
      <c r="B5484" t="str">
        <f>"1578728529640985"</f>
        <v>1578728529640985</v>
      </c>
      <c r="C5484" t="s">
        <v>37</v>
      </c>
      <c r="D5484">
        <v>5.6906400000000001</v>
      </c>
      <c r="E5484">
        <v>0.55483509999999903</v>
      </c>
      <c r="F5484" t="s">
        <v>39</v>
      </c>
      <c r="G5484">
        <v>-185.23140000000001</v>
      </c>
      <c r="H5484" s="1">
        <v>-5.0460340000000001E-6</v>
      </c>
      <c r="I5484">
        <v>109.4234</v>
      </c>
      <c r="J5484">
        <v>-188.6123</v>
      </c>
      <c r="K5484">
        <v>1.1120559999999999</v>
      </c>
      <c r="L5484">
        <v>94.894589999999994</v>
      </c>
      <c r="M5484">
        <v>-3.459367E-2</v>
      </c>
      <c r="N5484">
        <v>0</v>
      </c>
      <c r="O5484">
        <v>0.99914259999999999</v>
      </c>
      <c r="P5484">
        <v>7.6304330000000004E-2</v>
      </c>
      <c r="Q5484">
        <v>-3.3588369999999999E-3</v>
      </c>
      <c r="R5484">
        <v>0.99707889999999999</v>
      </c>
      <c r="S5484">
        <v>0.65998840000000003</v>
      </c>
      <c r="T5484">
        <v>-0.21832389999999999</v>
      </c>
      <c r="U5484">
        <v>2.9581300000000001</v>
      </c>
      <c r="V5484">
        <v>0.1106873</v>
      </c>
      <c r="W5484">
        <v>1.9659989999999999E-2</v>
      </c>
      <c r="X5484">
        <v>0.99366080000000001</v>
      </c>
      <c r="Y5484">
        <v>0.25083909999999998</v>
      </c>
      <c r="Z5484">
        <v>-7.1487270000000006E-2</v>
      </c>
      <c r="AA5484">
        <v>0.96538559999999995</v>
      </c>
      <c r="AB5484">
        <v>56</v>
      </c>
      <c r="AC5484">
        <v>3.3808999999999898</v>
      </c>
      <c r="AD5484">
        <v>-1.1120610460339999</v>
      </c>
      <c r="AE5484">
        <v>14.528809999999901</v>
      </c>
      <c r="AF5484">
        <v>3.8601567061676998</v>
      </c>
      <c r="AG5484">
        <v>-1.1120610460339999</v>
      </c>
      <c r="AH5484">
        <v>14.323515734777301</v>
      </c>
      <c r="AI5484">
        <v>94.287116581118397</v>
      </c>
      <c r="AJ5484">
        <v>74.917244399480893</v>
      </c>
      <c r="AK5484">
        <v>14.8761753340934</v>
      </c>
    </row>
    <row r="5485" spans="1:37" x14ac:dyDescent="0.2">
      <c r="A5485" t="str">
        <f>"20200111154209674"</f>
        <v>20200111154209674</v>
      </c>
      <c r="B5485" t="str">
        <f>"1578728529671229"</f>
        <v>1578728529671229</v>
      </c>
      <c r="C5485" t="s">
        <v>37</v>
      </c>
      <c r="D5485">
        <v>5.6415540000000002</v>
      </c>
      <c r="E5485">
        <v>0.55494259999999995</v>
      </c>
      <c r="F5485" t="s">
        <v>39</v>
      </c>
      <c r="G5485">
        <v>-185.24599999999899</v>
      </c>
      <c r="H5485" s="1">
        <v>-1.34805E-6</v>
      </c>
      <c r="I5485">
        <v>109.89239999999999</v>
      </c>
      <c r="J5485">
        <v>-188.63149999999999</v>
      </c>
      <c r="K5485">
        <v>1.1119379999999901</v>
      </c>
      <c r="L5485">
        <v>95.432459999999907</v>
      </c>
      <c r="M5485">
        <v>-3.5251770000000002E-2</v>
      </c>
      <c r="N5485">
        <v>0</v>
      </c>
      <c r="O5485">
        <v>0.999116</v>
      </c>
      <c r="P5485">
        <v>7.7397149999999998E-2</v>
      </c>
      <c r="Q5485">
        <v>-3.067967E-3</v>
      </c>
      <c r="R5485">
        <v>0.99699559999999998</v>
      </c>
      <c r="S5485">
        <v>0.66375729999999999</v>
      </c>
      <c r="T5485">
        <v>-0.21927389999999999</v>
      </c>
      <c r="U5485">
        <v>2.9572449999999999</v>
      </c>
      <c r="V5485">
        <v>0.1124363</v>
      </c>
      <c r="W5485">
        <v>2.0074749999999999E-2</v>
      </c>
      <c r="X5485">
        <v>0.99345609999999995</v>
      </c>
      <c r="Y5485">
        <v>0.2527045</v>
      </c>
      <c r="Z5485">
        <v>-7.1787450000000003E-2</v>
      </c>
      <c r="AA5485">
        <v>0.96487670000000003</v>
      </c>
      <c r="AB5485">
        <v>55</v>
      </c>
      <c r="AC5485">
        <v>3.3855</v>
      </c>
      <c r="AD5485">
        <v>-1.1119393480499999</v>
      </c>
      <c r="AE5485">
        <v>14.45994</v>
      </c>
      <c r="AF5485">
        <v>3.8715629622491599</v>
      </c>
      <c r="AG5485">
        <v>-1.1119393480499999</v>
      </c>
      <c r="AH5485">
        <v>14.251676974919199</v>
      </c>
      <c r="AI5485">
        <v>94.305840451792406</v>
      </c>
      <c r="AJ5485">
        <v>74.8019916797831</v>
      </c>
      <c r="AK5485">
        <v>14.8099866806775</v>
      </c>
    </row>
    <row r="5486" spans="1:37" x14ac:dyDescent="0.2">
      <c r="A5486" t="str">
        <f>"20200111154209697"</f>
        <v>20200111154209697</v>
      </c>
      <c r="B5486" t="str">
        <f>"1578728529691725"</f>
        <v>1578728529691725</v>
      </c>
      <c r="C5486" t="s">
        <v>37</v>
      </c>
      <c r="D5486">
        <v>5.6584919999999999</v>
      </c>
      <c r="E5486">
        <v>0.55501919999999905</v>
      </c>
      <c r="F5486" t="s">
        <v>39</v>
      </c>
      <c r="G5486">
        <v>-185.2423</v>
      </c>
      <c r="H5486" s="1">
        <v>-1.5332439999999999E-6</v>
      </c>
      <c r="I5486">
        <v>110.4337</v>
      </c>
      <c r="J5486">
        <v>-188.65170000000001</v>
      </c>
      <c r="K5486">
        <v>1.111799</v>
      </c>
      <c r="L5486">
        <v>95.99127</v>
      </c>
      <c r="M5486">
        <v>-3.5794109999999997E-2</v>
      </c>
      <c r="N5486">
        <v>0</v>
      </c>
      <c r="O5486">
        <v>0.99909340000000002</v>
      </c>
      <c r="P5486">
        <v>7.8577999999999995E-2</v>
      </c>
      <c r="Q5486">
        <v>-3.0290690000000001E-3</v>
      </c>
      <c r="R5486">
        <v>0.9969034</v>
      </c>
      <c r="S5486">
        <v>0.66795349999999998</v>
      </c>
      <c r="T5486">
        <v>-0.2191466</v>
      </c>
      <c r="U5486">
        <v>2.956512</v>
      </c>
      <c r="V5486">
        <v>0.11415979999999901</v>
      </c>
      <c r="W5486">
        <v>2.021301E-2</v>
      </c>
      <c r="X5486">
        <v>0.99325669999999899</v>
      </c>
      <c r="Y5486">
        <v>0.25458459999999999</v>
      </c>
      <c r="Z5486">
        <v>-7.1732130000000005E-2</v>
      </c>
      <c r="AA5486">
        <v>0.96438649999999904</v>
      </c>
      <c r="AB5486">
        <v>55</v>
      </c>
      <c r="AC5486">
        <v>3.4094000000000002</v>
      </c>
      <c r="AD5486">
        <v>-1.111800533244</v>
      </c>
      <c r="AE5486">
        <v>14.44243</v>
      </c>
      <c r="AF5486">
        <v>3.9023998378358402</v>
      </c>
      <c r="AG5486">
        <v>-1.111800533244</v>
      </c>
      <c r="AH5486">
        <v>14.231216692601601</v>
      </c>
      <c r="AI5486">
        <v>94.308682026626499</v>
      </c>
      <c r="AJ5486">
        <v>74.665621675581207</v>
      </c>
      <c r="AK5486">
        <v>14.798390232449099</v>
      </c>
    </row>
    <row r="5487" spans="1:37" x14ac:dyDescent="0.2">
      <c r="A5487" t="str">
        <f>"20200111154209719"</f>
        <v>20200111154209719</v>
      </c>
      <c r="B5487" t="str">
        <f>"1578728529711246"</f>
        <v>1578728529711246</v>
      </c>
      <c r="C5487" t="s">
        <v>37</v>
      </c>
      <c r="D5487">
        <v>5.6489310000000001</v>
      </c>
      <c r="E5487">
        <v>0.55513659999999998</v>
      </c>
      <c r="F5487" t="s">
        <v>39</v>
      </c>
      <c r="G5487">
        <v>-185.2405</v>
      </c>
      <c r="H5487" s="1">
        <v>-1.7246129999999999E-6</v>
      </c>
      <c r="I5487">
        <v>110.99460000000001</v>
      </c>
      <c r="J5487">
        <v>-188.67169999999999</v>
      </c>
      <c r="K5487">
        <v>1.1116469999999901</v>
      </c>
      <c r="L5487">
        <v>96.54016</v>
      </c>
      <c r="M5487">
        <v>-3.6192500000000002E-2</v>
      </c>
      <c r="N5487">
        <v>0</v>
      </c>
      <c r="O5487">
        <v>0.99907619999999897</v>
      </c>
      <c r="P5487">
        <v>7.8281950000000003E-2</v>
      </c>
      <c r="Q5487">
        <v>-3.070634E-3</v>
      </c>
      <c r="R5487">
        <v>0.99692649999999905</v>
      </c>
      <c r="S5487">
        <v>0.67201230000000001</v>
      </c>
      <c r="T5487">
        <v>-0.21902739999999901</v>
      </c>
      <c r="U5487">
        <v>2.9556879999999999</v>
      </c>
      <c r="V5487">
        <v>0.1142691</v>
      </c>
      <c r="W5487">
        <v>2.0245429999999998E-2</v>
      </c>
      <c r="X5487">
        <v>0.99324349999999995</v>
      </c>
      <c r="Y5487">
        <v>0.25628790000000001</v>
      </c>
      <c r="Z5487">
        <v>-7.1684020000000001E-2</v>
      </c>
      <c r="AA5487">
        <v>0.96393879999999998</v>
      </c>
      <c r="AB5487">
        <v>55</v>
      </c>
      <c r="AC5487">
        <v>3.4311999999999898</v>
      </c>
      <c r="AD5487">
        <v>-1.11164872461299</v>
      </c>
      <c r="AE5487">
        <v>14.45444</v>
      </c>
      <c r="AF5487">
        <v>3.9302275164943201</v>
      </c>
      <c r="AG5487">
        <v>-1.11164872461299</v>
      </c>
      <c r="AH5487">
        <v>14.241009759164401</v>
      </c>
      <c r="AI5487">
        <v>94.303208456498695</v>
      </c>
      <c r="AJ5487">
        <v>74.571583525514299</v>
      </c>
      <c r="AK5487">
        <v>14.8151547470473</v>
      </c>
    </row>
    <row r="5488" spans="1:37" x14ac:dyDescent="0.2">
      <c r="A5488" t="str">
        <f>"20200111154209741"</f>
        <v>20200111154209741</v>
      </c>
      <c r="B5488" t="str">
        <f>"1578728529731741"</f>
        <v>1578728529731741</v>
      </c>
      <c r="C5488" t="s">
        <v>37</v>
      </c>
      <c r="D5488">
        <v>5.6695269999999898</v>
      </c>
      <c r="E5488">
        <v>0.55526900000000001</v>
      </c>
      <c r="F5488" t="s">
        <v>39</v>
      </c>
      <c r="G5488">
        <v>-185.2595</v>
      </c>
      <c r="H5488" s="1">
        <v>-1.9096209999999998E-6</v>
      </c>
      <c r="I5488">
        <v>111.5531</v>
      </c>
      <c r="J5488">
        <v>-188.69149999999999</v>
      </c>
      <c r="K5488">
        <v>1.1114999999999999</v>
      </c>
      <c r="L5488">
        <v>97.079800000000006</v>
      </c>
      <c r="M5488">
        <v>-3.6464459999999997E-2</v>
      </c>
      <c r="N5488">
        <v>0</v>
      </c>
      <c r="O5488">
        <v>0.99906399999999995</v>
      </c>
      <c r="P5488">
        <v>7.8379069999999995E-2</v>
      </c>
      <c r="Q5488">
        <v>-3.4573659999999999E-3</v>
      </c>
      <c r="R5488">
        <v>0.99691759999999996</v>
      </c>
      <c r="S5488">
        <v>0.67181400000000002</v>
      </c>
      <c r="T5488">
        <v>-0.21886630000000001</v>
      </c>
      <c r="U5488">
        <v>2.9558110000000002</v>
      </c>
      <c r="V5488">
        <v>0.11464529999999901</v>
      </c>
      <c r="W5488">
        <v>1.9913139999999999E-2</v>
      </c>
      <c r="X5488">
        <v>0.9932069</v>
      </c>
      <c r="Y5488">
        <v>0.25648179999999998</v>
      </c>
      <c r="Z5488">
        <v>-7.1626280000000001E-2</v>
      </c>
      <c r="AA5488">
        <v>0.96389139999999995</v>
      </c>
      <c r="AB5488">
        <v>55</v>
      </c>
      <c r="AC5488">
        <v>3.43199999999998</v>
      </c>
      <c r="AD5488">
        <v>-1.1115019096209999</v>
      </c>
      <c r="AE5488">
        <v>14.473299999999901</v>
      </c>
      <c r="AF5488">
        <v>3.9356446014661</v>
      </c>
      <c r="AG5488">
        <v>-1.1115019096209999</v>
      </c>
      <c r="AH5488">
        <v>14.258871190606699</v>
      </c>
      <c r="AI5488">
        <v>94.297235195078301</v>
      </c>
      <c r="AJ5488">
        <v>74.569762553308394</v>
      </c>
      <c r="AK5488">
        <v>14.833750117703</v>
      </c>
    </row>
    <row r="5489" spans="1:37" x14ac:dyDescent="0.2">
      <c r="A5489" t="str">
        <f>"20200111154209763"</f>
        <v>20200111154209763</v>
      </c>
      <c r="B5489" t="str">
        <f>"1578728529761997"</f>
        <v>1578728529761997</v>
      </c>
      <c r="C5489" t="s">
        <v>37</v>
      </c>
      <c r="D5489">
        <v>5.6033059999999999</v>
      </c>
      <c r="E5489">
        <v>0.55556139999999998</v>
      </c>
      <c r="F5489" t="s">
        <v>39</v>
      </c>
      <c r="G5489">
        <v>-185.292</v>
      </c>
      <c r="H5489" s="1">
        <v>-2.0578710000000001E-6</v>
      </c>
      <c r="I5489">
        <v>112.0141</v>
      </c>
      <c r="J5489">
        <v>-188.71129999999999</v>
      </c>
      <c r="K5489">
        <v>1.1113459999999999</v>
      </c>
      <c r="L5489">
        <v>97.616299999999995</v>
      </c>
      <c r="M5489">
        <v>-3.6609820000000001E-2</v>
      </c>
      <c r="N5489">
        <v>0</v>
      </c>
      <c r="O5489">
        <v>0.99905659999999896</v>
      </c>
      <c r="P5489">
        <v>7.7996599999999999E-2</v>
      </c>
      <c r="Q5489">
        <v>-3.3867150000000002E-3</v>
      </c>
      <c r="R5489">
        <v>0.996947899999999</v>
      </c>
      <c r="S5489">
        <v>0.67279049999999996</v>
      </c>
      <c r="T5489">
        <v>-0.21997329999999901</v>
      </c>
      <c r="U5489">
        <v>2.955597</v>
      </c>
      <c r="V5489">
        <v>0.1144167</v>
      </c>
      <c r="W5489">
        <v>2.0021839999999999E-2</v>
      </c>
      <c r="X5489">
        <v>0.99323109999999903</v>
      </c>
      <c r="Y5489">
        <v>0.25693470000000002</v>
      </c>
      <c r="Z5489">
        <v>-7.1984080000000006E-2</v>
      </c>
      <c r="AA5489">
        <v>0.96374419999999905</v>
      </c>
      <c r="AB5489">
        <v>55</v>
      </c>
      <c r="AC5489">
        <v>3.41929999999999</v>
      </c>
      <c r="AD5489">
        <v>-1.111348057871</v>
      </c>
      <c r="AE5489">
        <v>14.3978</v>
      </c>
      <c r="AF5489">
        <v>3.92213046963621</v>
      </c>
      <c r="AG5489">
        <v>-1.111348057871</v>
      </c>
      <c r="AH5489">
        <v>14.182937025100999</v>
      </c>
      <c r="AI5489">
        <v>94.318979853068498</v>
      </c>
      <c r="AJ5489">
        <v>74.541820309956506</v>
      </c>
      <c r="AK5489">
        <v>14.7571645170935</v>
      </c>
    </row>
    <row r="5490" spans="1:37" x14ac:dyDescent="0.2">
      <c r="A5490" t="str">
        <f>"20200111154209785"</f>
        <v>20200111154209785</v>
      </c>
      <c r="B5490" t="str">
        <f>"1578728529781517"</f>
        <v>1578728529781517</v>
      </c>
      <c r="C5490" t="s">
        <v>37</v>
      </c>
      <c r="D5490">
        <v>5.6591459999999998</v>
      </c>
      <c r="E5490">
        <v>0.55567800000000001</v>
      </c>
      <c r="F5490" t="s">
        <v>39</v>
      </c>
      <c r="G5490">
        <v>-185.32089999999999</v>
      </c>
      <c r="H5490" s="1">
        <v>-2.2105630000000001E-6</v>
      </c>
      <c r="I5490">
        <v>112.4854</v>
      </c>
      <c r="J5490">
        <v>-188.7304</v>
      </c>
      <c r="K5490">
        <v>1.111191</v>
      </c>
      <c r="L5490">
        <v>98.135829999999999</v>
      </c>
      <c r="M5490">
        <v>-3.6622389999999998E-2</v>
      </c>
      <c r="N5490">
        <v>0</v>
      </c>
      <c r="O5490">
        <v>0.99905460000000001</v>
      </c>
      <c r="P5490">
        <v>7.8954040000000003E-2</v>
      </c>
      <c r="Q5490">
        <v>-3.0421950000000001E-3</v>
      </c>
      <c r="R5490">
        <v>0.99687359999999903</v>
      </c>
      <c r="S5490">
        <v>0.67395019999999894</v>
      </c>
      <c r="T5490">
        <v>-0.22091649999999999</v>
      </c>
      <c r="U5490">
        <v>2.95571899999999</v>
      </c>
      <c r="V5490">
        <v>0.11539099999999999</v>
      </c>
      <c r="W5490">
        <v>2.038798E-2</v>
      </c>
      <c r="X5490">
        <v>0.99311090000000002</v>
      </c>
      <c r="Y5490">
        <v>0.25729279999999999</v>
      </c>
      <c r="Z5490">
        <v>-7.2281460000000006E-2</v>
      </c>
      <c r="AA5490">
        <v>0.96362639999999999</v>
      </c>
      <c r="AB5490">
        <v>54</v>
      </c>
      <c r="AC5490">
        <v>3.4095</v>
      </c>
      <c r="AD5490">
        <v>-1.111193210563</v>
      </c>
      <c r="AE5490">
        <v>14.34957</v>
      </c>
      <c r="AF5490">
        <v>3.9106739614768902</v>
      </c>
      <c r="AG5490">
        <v>-1.111193210563</v>
      </c>
      <c r="AH5490">
        <v>14.134809712489799</v>
      </c>
      <c r="AI5490">
        <v>94.3328826502282</v>
      </c>
      <c r="AJ5490">
        <v>74.534844644155697</v>
      </c>
      <c r="AK5490">
        <v>14.707853915254599</v>
      </c>
    </row>
    <row r="5491" spans="1:37" x14ac:dyDescent="0.2">
      <c r="A5491" t="str">
        <f>"20200111154209808"</f>
        <v>20200111154209808</v>
      </c>
      <c r="B5491" t="str">
        <f>"1578728529802014"</f>
        <v>1578728529802014</v>
      </c>
      <c r="C5491" t="s">
        <v>37</v>
      </c>
      <c r="D5491">
        <v>5.7275499999999999</v>
      </c>
      <c r="E5491">
        <v>0.55579829999999997</v>
      </c>
      <c r="F5491" t="s">
        <v>39</v>
      </c>
      <c r="G5491">
        <v>-185.30930000000001</v>
      </c>
      <c r="H5491" s="1">
        <v>-2.403925E-6</v>
      </c>
      <c r="I5491">
        <v>113.0446</v>
      </c>
      <c r="J5491">
        <v>-188.75049999999999</v>
      </c>
      <c r="K5491">
        <v>1.1110370000000001</v>
      </c>
      <c r="L5491">
        <v>98.687190000000001</v>
      </c>
      <c r="M5491">
        <v>-3.6518549999999997E-2</v>
      </c>
      <c r="N5491">
        <v>0</v>
      </c>
      <c r="O5491">
        <v>0.99905689999999903</v>
      </c>
      <c r="P5491">
        <v>8.0244650000000001E-2</v>
      </c>
      <c r="Q5491">
        <v>-2.3817550000000002E-3</v>
      </c>
      <c r="R5491">
        <v>0.99677229999999895</v>
      </c>
      <c r="S5491">
        <v>0.6780853</v>
      </c>
      <c r="T5491">
        <v>-0.22024850000000001</v>
      </c>
      <c r="U5491">
        <v>2.9550480000000001</v>
      </c>
      <c r="V5491">
        <v>0.1165819</v>
      </c>
      <c r="W5491">
        <v>2.1058259999999999E-2</v>
      </c>
      <c r="X5491">
        <v>0.9929578</v>
      </c>
      <c r="Y5491">
        <v>0.2585247</v>
      </c>
      <c r="Z5491">
        <v>-7.2057300000000005E-2</v>
      </c>
      <c r="AA5491">
        <v>0.96331339999999999</v>
      </c>
      <c r="AB5491">
        <v>54</v>
      </c>
      <c r="AC5491">
        <v>3.4411999999999798</v>
      </c>
      <c r="AD5491">
        <v>-1.111039403925</v>
      </c>
      <c r="AE5491">
        <v>14.35741</v>
      </c>
      <c r="AF5491">
        <v>3.9410416572393299</v>
      </c>
      <c r="AG5491">
        <v>-1.111039403925</v>
      </c>
      <c r="AH5491">
        <v>14.142039000627801</v>
      </c>
      <c r="AI5491">
        <v>94.327848935876304</v>
      </c>
      <c r="AJ5491">
        <v>74.428141855497302</v>
      </c>
      <c r="AK5491">
        <v>14.7228898317024</v>
      </c>
    </row>
    <row r="5492" spans="1:37" x14ac:dyDescent="0.2">
      <c r="A5492" t="str">
        <f>"20200111154209831"</f>
        <v>20200111154209831</v>
      </c>
      <c r="B5492" t="str">
        <f>"1578728529821533"</f>
        <v>1578728529821533</v>
      </c>
      <c r="C5492" t="s">
        <v>37</v>
      </c>
      <c r="D5492">
        <v>5.7495659999999997</v>
      </c>
      <c r="E5492">
        <v>0.55592269999999999</v>
      </c>
      <c r="F5492" t="s">
        <v>39</v>
      </c>
      <c r="G5492">
        <v>-185.2884</v>
      </c>
      <c r="H5492" s="1">
        <v>-2.61908799999999E-6</v>
      </c>
      <c r="I5492">
        <v>113.6605</v>
      </c>
      <c r="J5492">
        <v>-188.77090000000001</v>
      </c>
      <c r="K5492">
        <v>1.110884</v>
      </c>
      <c r="L5492">
        <v>99.247959999999907</v>
      </c>
      <c r="M5492">
        <v>-3.6290280000000001E-2</v>
      </c>
      <c r="N5492">
        <v>0</v>
      </c>
      <c r="O5492">
        <v>0.99906399999999995</v>
      </c>
      <c r="P5492">
        <v>8.2697759999999995E-2</v>
      </c>
      <c r="Q5492">
        <v>-2.0245100000000002E-3</v>
      </c>
      <c r="R5492">
        <v>0.99657260000000003</v>
      </c>
      <c r="S5492">
        <v>0.68307499999999999</v>
      </c>
      <c r="T5492">
        <v>-0.21920519999999999</v>
      </c>
      <c r="U5492">
        <v>2.9541930000000001</v>
      </c>
      <c r="V5492">
        <v>0.118808199999999</v>
      </c>
      <c r="W5492">
        <v>2.1411989999999999E-2</v>
      </c>
      <c r="X5492">
        <v>0.99268630000000002</v>
      </c>
      <c r="Y5492">
        <v>0.25991520000000001</v>
      </c>
      <c r="Z5492">
        <v>-7.1711849999999994E-2</v>
      </c>
      <c r="AA5492">
        <v>0.96296499999999996</v>
      </c>
      <c r="AB5492">
        <v>54</v>
      </c>
      <c r="AC5492">
        <v>3.4825000000000101</v>
      </c>
      <c r="AD5492">
        <v>-1.110886619088</v>
      </c>
      <c r="AE5492">
        <v>14.41254</v>
      </c>
      <c r="AF5492">
        <v>3.9810382807919802</v>
      </c>
      <c r="AG5492">
        <v>-1.110886619088</v>
      </c>
      <c r="AH5492">
        <v>14.196934124255399</v>
      </c>
      <c r="AI5492">
        <v>94.308650426182197</v>
      </c>
      <c r="AJ5492">
        <v>74.335688118674895</v>
      </c>
      <c r="AK5492">
        <v>14.7863340081998</v>
      </c>
    </row>
    <row r="5493" spans="1:37" x14ac:dyDescent="0.2">
      <c r="A5493" t="str">
        <f>"20200111154209852"</f>
        <v>20200111154209852</v>
      </c>
      <c r="B5493" t="str">
        <f>"1578728529842032"</f>
        <v>1578728529842032</v>
      </c>
      <c r="C5493" t="s">
        <v>37</v>
      </c>
      <c r="D5493">
        <v>5.7326680000000003</v>
      </c>
      <c r="E5493">
        <v>0.55606489999999997</v>
      </c>
      <c r="F5493" t="s">
        <v>39</v>
      </c>
      <c r="G5493">
        <v>-185.25460000000001</v>
      </c>
      <c r="H5493" s="1">
        <v>-2.8337320000000001E-6</v>
      </c>
      <c r="I5493">
        <v>114.26479999999999</v>
      </c>
      <c r="J5493">
        <v>-188.7895</v>
      </c>
      <c r="K5493">
        <v>1.110744</v>
      </c>
      <c r="L5493">
        <v>99.763459999999995</v>
      </c>
      <c r="M5493">
        <v>-3.596245E-2</v>
      </c>
      <c r="N5493">
        <v>0</v>
      </c>
      <c r="O5493">
        <v>0.99907489999999999</v>
      </c>
      <c r="P5493">
        <v>8.4867479999999995E-2</v>
      </c>
      <c r="Q5493">
        <v>-5.0056679999999998E-4</v>
      </c>
      <c r="R5493">
        <v>0.9963921</v>
      </c>
      <c r="S5493">
        <v>0.69136049999999905</v>
      </c>
      <c r="T5493">
        <v>-0.21841340000000001</v>
      </c>
      <c r="U5493">
        <v>2.9524840000000001</v>
      </c>
      <c r="V5493">
        <v>0.1206528</v>
      </c>
      <c r="W5493">
        <v>2.292081E-2</v>
      </c>
      <c r="X5493">
        <v>0.99243009999999998</v>
      </c>
      <c r="Y5493">
        <v>0.26228779999999902</v>
      </c>
      <c r="Z5493">
        <v>-7.1449869999999999E-2</v>
      </c>
      <c r="AA5493">
        <v>0.96234089999999906</v>
      </c>
      <c r="AB5493">
        <v>54</v>
      </c>
      <c r="AC5493">
        <v>3.5348999999999902</v>
      </c>
      <c r="AD5493">
        <v>-1.1107468337319999</v>
      </c>
      <c r="AE5493">
        <v>14.5013399999999</v>
      </c>
      <c r="AF5493">
        <v>4.0319324587164704</v>
      </c>
      <c r="AG5493">
        <v>-1.1107468337319999</v>
      </c>
      <c r="AH5493">
        <v>14.2856827067222</v>
      </c>
      <c r="AI5493">
        <v>94.279422404180806</v>
      </c>
      <c r="AJ5493">
        <v>74.239028678990607</v>
      </c>
      <c r="AK5493">
        <v>14.8852601011013</v>
      </c>
    </row>
    <row r="5494" spans="1:37" x14ac:dyDescent="0.2">
      <c r="A5494" t="str">
        <f>"20200111154209875"</f>
        <v>20200111154209875</v>
      </c>
      <c r="B5494" t="str">
        <f>"1578728529871310"</f>
        <v>1578728529871310</v>
      </c>
      <c r="C5494" t="s">
        <v>37</v>
      </c>
      <c r="D5494">
        <v>5.7389979999999996</v>
      </c>
      <c r="E5494">
        <v>0.55637099999999995</v>
      </c>
      <c r="F5494" t="s">
        <v>39</v>
      </c>
      <c r="G5494">
        <v>-185.16759999999999</v>
      </c>
      <c r="H5494" s="1">
        <v>-3.1817430000000001E-6</v>
      </c>
      <c r="I5494">
        <v>115.0514</v>
      </c>
      <c r="J5494">
        <v>-188.80760000000001</v>
      </c>
      <c r="K5494">
        <v>1.1105929999999999</v>
      </c>
      <c r="L5494">
        <v>100.2752</v>
      </c>
      <c r="M5494">
        <v>-3.5506929999999999E-2</v>
      </c>
      <c r="N5494">
        <v>0</v>
      </c>
      <c r="O5494">
        <v>0.99909040000000005</v>
      </c>
      <c r="P5494">
        <v>8.5947159999999995E-2</v>
      </c>
      <c r="Q5494">
        <v>2.67730099999999E-3</v>
      </c>
      <c r="R5494">
        <v>0.99629609999999902</v>
      </c>
      <c r="S5494">
        <v>0.69917299999999905</v>
      </c>
      <c r="T5494">
        <v>-0.21442030000000001</v>
      </c>
      <c r="U5494">
        <v>2.9512019999999999</v>
      </c>
      <c r="V5494">
        <v>0.1212867</v>
      </c>
      <c r="W5494">
        <v>2.6075089999999999E-2</v>
      </c>
      <c r="X5494">
        <v>0.99227500000000002</v>
      </c>
      <c r="Y5494">
        <v>0.26437519999999998</v>
      </c>
      <c r="Z5494">
        <v>-7.0140339999999995E-2</v>
      </c>
      <c r="AA5494">
        <v>0.961866</v>
      </c>
      <c r="AB5494">
        <v>53</v>
      </c>
      <c r="AC5494">
        <v>3.6400000000000099</v>
      </c>
      <c r="AD5494">
        <v>-1.1105961817429999</v>
      </c>
      <c r="AE5494">
        <v>14.776199999999999</v>
      </c>
      <c r="AF5494">
        <v>4.1404552494457096</v>
      </c>
      <c r="AG5494">
        <v>-1.1105961817429999</v>
      </c>
      <c r="AH5494">
        <v>14.560049368325499</v>
      </c>
      <c r="AI5494">
        <v>94.196163713228302</v>
      </c>
      <c r="AJ5494">
        <v>74.125787273075304</v>
      </c>
      <c r="AK5494">
        <v>15.178004847793501</v>
      </c>
    </row>
    <row r="5495" spans="1:37" x14ac:dyDescent="0.2">
      <c r="A5495" t="str">
        <f>"20200111154209899"</f>
        <v>20200111154209899</v>
      </c>
      <c r="B5495" t="str">
        <f>"1578728529891807"</f>
        <v>1578728529891807</v>
      </c>
      <c r="C5495" t="s">
        <v>37</v>
      </c>
      <c r="D5495">
        <v>5.7301310000000001</v>
      </c>
      <c r="E5495">
        <v>0.55663430000000003</v>
      </c>
      <c r="F5495" t="s">
        <v>39</v>
      </c>
      <c r="G5495">
        <v>-185.00659999999999</v>
      </c>
      <c r="H5495" s="1">
        <v>-3.694502E-6</v>
      </c>
      <c r="I5495">
        <v>116.1801</v>
      </c>
      <c r="J5495">
        <v>-188.8272</v>
      </c>
      <c r="K5495">
        <v>1.110414</v>
      </c>
      <c r="L5495">
        <v>100.8387</v>
      </c>
      <c r="M5495">
        <v>-3.483468E-2</v>
      </c>
      <c r="N5495">
        <v>0</v>
      </c>
      <c r="O5495">
        <v>0.99911340000000004</v>
      </c>
      <c r="P5495">
        <v>8.7110800000000002E-2</v>
      </c>
      <c r="Q5495">
        <v>5.3512309999999997E-3</v>
      </c>
      <c r="R5495">
        <v>0.99618419999999896</v>
      </c>
      <c r="S5495">
        <v>0.7052155</v>
      </c>
      <c r="T5495">
        <v>-0.20605219999999999</v>
      </c>
      <c r="U5495">
        <v>2.9508669999999899</v>
      </c>
      <c r="V5495">
        <v>0.1217935</v>
      </c>
      <c r="W5495">
        <v>2.871197E-2</v>
      </c>
      <c r="X5495">
        <v>0.99214009999999997</v>
      </c>
      <c r="Y5495">
        <v>0.26565879999999997</v>
      </c>
      <c r="Z5495">
        <v>-6.739829E-2</v>
      </c>
      <c r="AA5495">
        <v>0.96170829999999996</v>
      </c>
      <c r="AB5495">
        <v>53</v>
      </c>
      <c r="AC5495">
        <v>3.82060000000001</v>
      </c>
      <c r="AD5495">
        <v>-1.1104176945019999</v>
      </c>
      <c r="AE5495">
        <v>15.341399999999901</v>
      </c>
      <c r="AF5495">
        <v>4.3314750054944202</v>
      </c>
      <c r="AG5495">
        <v>-1.1104176945019999</v>
      </c>
      <c r="AH5495">
        <v>15.124349107514499</v>
      </c>
      <c r="AI5495">
        <v>94.037337843155498</v>
      </c>
      <c r="AJ5495">
        <v>74.018772504354303</v>
      </c>
      <c r="AK5495">
        <v>15.771513532488299</v>
      </c>
    </row>
    <row r="5496" spans="1:37" x14ac:dyDescent="0.2">
      <c r="A5496" t="str">
        <f>"20200111154209922"</f>
        <v>20200111154209922</v>
      </c>
      <c r="B5496" t="str">
        <f>"1578728529911325"</f>
        <v>1578728529911325</v>
      </c>
      <c r="C5496" t="s">
        <v>37</v>
      </c>
      <c r="D5496">
        <v>5.8000930000000004</v>
      </c>
      <c r="E5496">
        <v>0.55686040000000003</v>
      </c>
      <c r="F5496" t="s">
        <v>39</v>
      </c>
      <c r="G5496">
        <v>-184.85339999999999</v>
      </c>
      <c r="H5496" s="1">
        <v>-4.2131649999999998E-6</v>
      </c>
      <c r="I5496">
        <v>117.3257</v>
      </c>
      <c r="J5496">
        <v>-188.84559999999999</v>
      </c>
      <c r="K5496">
        <v>1.11022</v>
      </c>
      <c r="L5496">
        <v>101.38200000000001</v>
      </c>
      <c r="M5496">
        <v>-3.3989579999999998E-2</v>
      </c>
      <c r="N5496">
        <v>0</v>
      </c>
      <c r="O5496">
        <v>0.99914210000000003</v>
      </c>
      <c r="P5496">
        <v>8.8754559999999996E-2</v>
      </c>
      <c r="Q5496">
        <v>7.4398769999999897E-3</v>
      </c>
      <c r="R5496">
        <v>0.99602570000000001</v>
      </c>
      <c r="S5496">
        <v>0.71112059999999999</v>
      </c>
      <c r="T5496">
        <v>-0.1987112</v>
      </c>
      <c r="U5496">
        <v>2.95037799999999</v>
      </c>
      <c r="V5496">
        <v>0.1226101</v>
      </c>
      <c r="W5496">
        <v>3.07505E-2</v>
      </c>
      <c r="X5496">
        <v>0.99197839999999904</v>
      </c>
      <c r="Y5496">
        <v>0.2667369</v>
      </c>
      <c r="Z5496">
        <v>-6.4996380000000006E-2</v>
      </c>
      <c r="AA5496">
        <v>0.96157519999999996</v>
      </c>
      <c r="AB5496">
        <v>53</v>
      </c>
      <c r="AC5496">
        <v>3.9921999999999902</v>
      </c>
      <c r="AD5496">
        <v>-1.110224213165</v>
      </c>
      <c r="AE5496">
        <v>15.9436999999999</v>
      </c>
      <c r="AF5496">
        <v>4.5113787421137097</v>
      </c>
      <c r="AG5496">
        <v>-1.110224213165</v>
      </c>
      <c r="AH5496">
        <v>15.7269916730415</v>
      </c>
      <c r="AI5496">
        <v>93.881962612600105</v>
      </c>
      <c r="AJ5496">
        <v>73.9941546660759</v>
      </c>
      <c r="AK5496">
        <v>16.398884201134301</v>
      </c>
    </row>
    <row r="5497" spans="1:37" x14ac:dyDescent="0.2">
      <c r="A5497" t="str">
        <f>"20200111154209945"</f>
        <v>20200111154209945</v>
      </c>
      <c r="B5497" t="str">
        <f>"1578728529941582"</f>
        <v>1578728529941582</v>
      </c>
      <c r="C5497" t="s">
        <v>37</v>
      </c>
      <c r="D5497">
        <v>5.3310639999999996</v>
      </c>
      <c r="E5497">
        <v>0.55706330000000004</v>
      </c>
      <c r="F5497" t="s">
        <v>39</v>
      </c>
      <c r="G5497">
        <v>-184.6935</v>
      </c>
      <c r="H5497" s="1">
        <v>-4.7173639999999998E-6</v>
      </c>
      <c r="I5497">
        <v>118.4349</v>
      </c>
      <c r="J5497">
        <v>-188.86340000000001</v>
      </c>
      <c r="K5497">
        <v>1.109988</v>
      </c>
      <c r="L5497">
        <v>101.93</v>
      </c>
      <c r="M5497">
        <v>-3.2881210000000001E-2</v>
      </c>
      <c r="N5497">
        <v>0</v>
      </c>
      <c r="O5497">
        <v>0.99917909999999899</v>
      </c>
      <c r="P5497">
        <v>9.0805230000000001E-2</v>
      </c>
      <c r="Q5497">
        <v>9.3095290000000004E-3</v>
      </c>
      <c r="R5497">
        <v>0.99582519999999997</v>
      </c>
      <c r="S5497">
        <v>0.71813959999999999</v>
      </c>
      <c r="T5497">
        <v>-0.19202239999999901</v>
      </c>
      <c r="U5497">
        <v>2.9494319999999998</v>
      </c>
      <c r="V5497">
        <v>0.1235753</v>
      </c>
      <c r="W5497">
        <v>3.2537749999999997E-2</v>
      </c>
      <c r="X5497">
        <v>0.99180159999999995</v>
      </c>
      <c r="Y5497">
        <v>0.26793270000000002</v>
      </c>
      <c r="Z5497">
        <v>-6.2812880000000001E-2</v>
      </c>
      <c r="AA5497">
        <v>0.96138789999999996</v>
      </c>
      <c r="AB5497">
        <v>53</v>
      </c>
      <c r="AC5497">
        <v>4.1699000000000099</v>
      </c>
      <c r="AD5497">
        <v>-1.1099927173639901</v>
      </c>
      <c r="AE5497">
        <v>16.5048999999999</v>
      </c>
      <c r="AF5497">
        <v>4.6905551276283903</v>
      </c>
      <c r="AG5497">
        <v>-1.1099927173639901</v>
      </c>
      <c r="AH5497">
        <v>16.289565400990298</v>
      </c>
      <c r="AI5497">
        <v>93.746421661655503</v>
      </c>
      <c r="AJ5497">
        <v>73.936326817510405</v>
      </c>
      <c r="AK5497">
        <v>16.987740644095702</v>
      </c>
    </row>
    <row r="5498" spans="1:37" x14ac:dyDescent="0.2">
      <c r="A5498" t="str">
        <f>"20200111154209965"</f>
        <v>20200111154209965</v>
      </c>
      <c r="B5498" t="str">
        <f>"1578728529962078"</f>
        <v>1578728529962078</v>
      </c>
      <c r="C5498" t="s">
        <v>37</v>
      </c>
      <c r="D5498">
        <v>5.8027939999999996</v>
      </c>
      <c r="E5498">
        <v>0.56483660000000002</v>
      </c>
      <c r="F5498" t="s">
        <v>39</v>
      </c>
      <c r="G5498">
        <v>-184.55799999999999</v>
      </c>
      <c r="H5498" s="1">
        <v>-5.1585790000000001E-6</v>
      </c>
      <c r="I5498">
        <v>119.4074</v>
      </c>
      <c r="J5498">
        <v>-188.87790000000001</v>
      </c>
      <c r="K5498">
        <v>1.109753</v>
      </c>
      <c r="L5498">
        <v>102.3984</v>
      </c>
      <c r="M5498">
        <v>-3.1697530000000002E-2</v>
      </c>
      <c r="N5498">
        <v>0</v>
      </c>
      <c r="O5498">
        <v>0.99921789999999999</v>
      </c>
      <c r="P5498">
        <v>9.2878459999999996E-2</v>
      </c>
      <c r="Q5498">
        <v>1.1938010000000001E-2</v>
      </c>
      <c r="R5498">
        <v>0.99560590000000004</v>
      </c>
      <c r="S5498">
        <v>0.726242099999999</v>
      </c>
      <c r="T5498">
        <v>-0.1872364</v>
      </c>
      <c r="U5498">
        <v>2.9481199999999999</v>
      </c>
      <c r="V5498">
        <v>0.124491899999999</v>
      </c>
      <c r="W5498">
        <v>3.5059720000000003E-2</v>
      </c>
      <c r="X5498">
        <v>0.99160099999999995</v>
      </c>
      <c r="Y5498">
        <v>0.26940549999999902</v>
      </c>
      <c r="Z5498">
        <v>-6.1251020000000003E-2</v>
      </c>
      <c r="AA5498">
        <v>0.96107699999999996</v>
      </c>
      <c r="AB5498">
        <v>53</v>
      </c>
      <c r="AC5498">
        <v>4.3199000000000103</v>
      </c>
      <c r="AD5498">
        <v>-1.109758158579</v>
      </c>
      <c r="AE5498">
        <v>17.009</v>
      </c>
      <c r="AF5498">
        <v>4.8376761913540998</v>
      </c>
      <c r="AG5498">
        <v>-1.109758158579</v>
      </c>
      <c r="AH5498">
        <v>16.7963113932535</v>
      </c>
      <c r="AI5498">
        <v>93.632864472298394</v>
      </c>
      <c r="AJ5498">
        <v>73.932533182957798</v>
      </c>
      <c r="AK5498">
        <v>17.514301314127898</v>
      </c>
    </row>
    <row r="5499" spans="1:37" x14ac:dyDescent="0.2">
      <c r="A5499" t="str">
        <f>"20200111154209987"</f>
        <v>20200111154209987</v>
      </c>
      <c r="B5499" t="str">
        <f>"1578728529981597"</f>
        <v>1578728529981597</v>
      </c>
      <c r="C5499" t="s">
        <v>37</v>
      </c>
      <c r="D5499">
        <v>5.7701599999999997</v>
      </c>
      <c r="E5499">
        <v>0.56540979999999996</v>
      </c>
      <c r="F5499" t="s">
        <v>46</v>
      </c>
      <c r="G5499">
        <v>-180.2903</v>
      </c>
      <c r="H5499" s="1">
        <v>-7.0044579999999997E-6</v>
      </c>
      <c r="I5499">
        <v>134.19669999999999</v>
      </c>
      <c r="J5499">
        <v>-188.8931</v>
      </c>
      <c r="K5499">
        <v>1.109467</v>
      </c>
      <c r="L5499">
        <v>102.9145</v>
      </c>
      <c r="M5499">
        <v>-3.014437E-2</v>
      </c>
      <c r="N5499">
        <v>0</v>
      </c>
      <c r="O5499">
        <v>0.99926719999999902</v>
      </c>
      <c r="P5499">
        <v>9.5226989999999997E-2</v>
      </c>
      <c r="Q5499">
        <v>1.3935009999999999E-2</v>
      </c>
      <c r="R5499">
        <v>0.99535799999999997</v>
      </c>
      <c r="S5499">
        <v>0.79409790000000002</v>
      </c>
      <c r="T5499">
        <v>-0.1026188</v>
      </c>
      <c r="U5499">
        <v>2.940369</v>
      </c>
      <c r="V5499">
        <v>0.1253214</v>
      </c>
      <c r="W5499">
        <v>3.6911029999999997E-2</v>
      </c>
      <c r="X5499">
        <v>0.99142929999999996</v>
      </c>
      <c r="Y5499">
        <v>0.28957100000000002</v>
      </c>
      <c r="Z5499">
        <v>-3.3508200000000002E-2</v>
      </c>
      <c r="AA5499">
        <v>0.95656980000000003</v>
      </c>
      <c r="AB5499">
        <v>52</v>
      </c>
      <c r="AC5499">
        <v>8.6028000000000002</v>
      </c>
      <c r="AD5499">
        <v>-1.109474004458</v>
      </c>
      <c r="AE5499">
        <v>31.2821999999999</v>
      </c>
      <c r="AF5499">
        <v>9.5309870706108004</v>
      </c>
      <c r="AG5499">
        <v>-1.109474004458</v>
      </c>
      <c r="AH5499">
        <v>30.972357623903498</v>
      </c>
      <c r="AI5499">
        <v>91.960872335404403</v>
      </c>
      <c r="AJ5499">
        <v>72.895528956055301</v>
      </c>
      <c r="AK5499">
        <v>32.4246446995135</v>
      </c>
    </row>
    <row r="5500" spans="1:37" x14ac:dyDescent="0.2">
      <c r="A5500" t="str">
        <f>"20200111154210011"</f>
        <v>20200111154210011</v>
      </c>
      <c r="B5500" t="str">
        <f>"1578728530001117"</f>
        <v>1578728530001117</v>
      </c>
      <c r="C5500" t="s">
        <v>37</v>
      </c>
      <c r="D5500">
        <v>5.8229150000000001</v>
      </c>
      <c r="E5500">
        <v>0.5662045</v>
      </c>
      <c r="F5500" t="s">
        <v>46</v>
      </c>
      <c r="G5500">
        <v>-182.38589999999999</v>
      </c>
      <c r="H5500" s="1">
        <v>-4.3218869999999902E-6</v>
      </c>
      <c r="I5500">
        <v>126.6438</v>
      </c>
      <c r="J5500">
        <v>-188.9085</v>
      </c>
      <c r="K5500">
        <v>1.1091299999999999</v>
      </c>
      <c r="L5500">
        <v>103.4807</v>
      </c>
      <c r="M5500">
        <v>-2.810702E-2</v>
      </c>
      <c r="N5500">
        <v>0</v>
      </c>
      <c r="O5500">
        <v>0.999328199999999</v>
      </c>
      <c r="P5500">
        <v>9.800942E-2</v>
      </c>
      <c r="Q5500">
        <v>1.556313E-2</v>
      </c>
      <c r="R5500">
        <v>0.99506380000000005</v>
      </c>
      <c r="S5500">
        <v>0.80589290000000002</v>
      </c>
      <c r="T5500">
        <v>-0.1374049</v>
      </c>
      <c r="U5500">
        <v>2.938812</v>
      </c>
      <c r="V5500">
        <v>0.12610940000000001</v>
      </c>
      <c r="W5500">
        <v>3.8357210000000003E-2</v>
      </c>
      <c r="X5500">
        <v>0.99127449999999995</v>
      </c>
      <c r="Y5500">
        <v>0.2912033</v>
      </c>
      <c r="Z5500">
        <v>-4.4838469999999998E-2</v>
      </c>
      <c r="AA5500">
        <v>0.95560990000000001</v>
      </c>
      <c r="AB5500">
        <v>52</v>
      </c>
      <c r="AC5500">
        <v>6.5226000000000104</v>
      </c>
      <c r="AD5500">
        <v>-1.109134321887</v>
      </c>
      <c r="AE5500">
        <v>23.1631</v>
      </c>
      <c r="AF5500">
        <v>7.1560452304328397</v>
      </c>
      <c r="AG5500">
        <v>-1.109134321887</v>
      </c>
      <c r="AH5500">
        <v>22.9218670517728</v>
      </c>
      <c r="AI5500">
        <v>92.644557412479998</v>
      </c>
      <c r="AJ5500">
        <v>72.662004395218403</v>
      </c>
      <c r="AK5500">
        <v>24.038534718720602</v>
      </c>
    </row>
    <row r="5501" spans="1:37" x14ac:dyDescent="0.2">
      <c r="A5501" t="str">
        <f>"20200111154210033"</f>
        <v>20200111154210033</v>
      </c>
      <c r="B5501" t="str">
        <f>"1578728530021613"</f>
        <v>1578728530021613</v>
      </c>
      <c r="C5501" t="s">
        <v>37</v>
      </c>
      <c r="D5501">
        <v>5.7966089999999904</v>
      </c>
      <c r="E5501">
        <v>0.56735690000000005</v>
      </c>
      <c r="F5501" t="s">
        <v>46</v>
      </c>
      <c r="G5501">
        <v>-182.62739999999999</v>
      </c>
      <c r="H5501" s="1">
        <v>-4.1076759999999998E-6</v>
      </c>
      <c r="I5501">
        <v>125.9485</v>
      </c>
      <c r="J5501">
        <v>-188.9211</v>
      </c>
      <c r="K5501">
        <v>1.1087959999999999</v>
      </c>
      <c r="L5501">
        <v>103.98690000000001</v>
      </c>
      <c r="M5501">
        <v>-2.594517E-2</v>
      </c>
      <c r="N5501">
        <v>0</v>
      </c>
      <c r="O5501">
        <v>0.99938819999999995</v>
      </c>
      <c r="P5501">
        <v>0.1007411</v>
      </c>
      <c r="Q5501">
        <v>1.709637E-2</v>
      </c>
      <c r="R5501">
        <v>0.99476580000000003</v>
      </c>
      <c r="S5501">
        <v>0.82087710000000003</v>
      </c>
      <c r="T5501">
        <v>-0.14495229999999901</v>
      </c>
      <c r="U5501">
        <v>2.93630999999999</v>
      </c>
      <c r="V5501">
        <v>0.12672549999999999</v>
      </c>
      <c r="W5501">
        <v>3.971421E-2</v>
      </c>
      <c r="X5501">
        <v>0.99114249999999904</v>
      </c>
      <c r="Y5501">
        <v>0.29383899999999902</v>
      </c>
      <c r="Z5501">
        <v>-4.7287699999999898E-2</v>
      </c>
      <c r="AA5501">
        <v>0.95468449999999905</v>
      </c>
      <c r="AB5501">
        <v>52</v>
      </c>
      <c r="AC5501">
        <v>6.2937000000000003</v>
      </c>
      <c r="AD5501">
        <v>-1.1088001076759999</v>
      </c>
      <c r="AE5501">
        <v>21.961599999999901</v>
      </c>
      <c r="AF5501">
        <v>6.8454093882955904</v>
      </c>
      <c r="AG5501">
        <v>-1.1088001076759999</v>
      </c>
      <c r="AH5501">
        <v>21.739657084695299</v>
      </c>
      <c r="AI5501">
        <v>92.785174572284106</v>
      </c>
      <c r="AJ5501">
        <v>72.521765007785902</v>
      </c>
      <c r="AK5501">
        <v>22.8188903659291</v>
      </c>
    </row>
    <row r="5502" spans="1:37" x14ac:dyDescent="0.2">
      <c r="A5502" t="str">
        <f>"20200111154210054"</f>
        <v>20200111154210054</v>
      </c>
      <c r="B5502" t="str">
        <f>"1578728530051869"</f>
        <v>1578728530051869</v>
      </c>
      <c r="C5502" t="s">
        <v>37</v>
      </c>
      <c r="D5502">
        <v>5.8221339999999904</v>
      </c>
      <c r="E5502">
        <v>0.56916909999999998</v>
      </c>
      <c r="F5502" t="s">
        <v>46</v>
      </c>
      <c r="G5502">
        <v>-182.54660000000001</v>
      </c>
      <c r="H5502" s="1">
        <v>-4.2067169999999997E-6</v>
      </c>
      <c r="I5502">
        <v>126.2865</v>
      </c>
      <c r="J5502">
        <v>-188.93209999999999</v>
      </c>
      <c r="K5502">
        <v>1.1084259999999999</v>
      </c>
      <c r="L5502">
        <v>104.48609999999999</v>
      </c>
      <c r="M5502">
        <v>-2.3434969999999999E-2</v>
      </c>
      <c r="N5502">
        <v>0</v>
      </c>
      <c r="O5502">
        <v>0.9994518</v>
      </c>
      <c r="P5502">
        <v>0.10442120000000001</v>
      </c>
      <c r="Q5502">
        <v>1.7488469999999999E-2</v>
      </c>
      <c r="R5502">
        <v>0.99437940000000002</v>
      </c>
      <c r="S5502">
        <v>0.83851620000000004</v>
      </c>
      <c r="T5502">
        <v>-0.14585509999999999</v>
      </c>
      <c r="U5502">
        <v>2.9333649999999998</v>
      </c>
      <c r="V5502">
        <v>0.12794249999999999</v>
      </c>
      <c r="W5502">
        <v>3.9911929999999998E-2</v>
      </c>
      <c r="X5502">
        <v>0.99097819999999903</v>
      </c>
      <c r="Y5502">
        <v>0.29699720000000002</v>
      </c>
      <c r="Z5502">
        <v>-4.7570059999999997E-2</v>
      </c>
      <c r="AA5502">
        <v>0.95369269999999995</v>
      </c>
      <c r="AB5502">
        <v>52</v>
      </c>
      <c r="AC5502">
        <v>6.3854999999999702</v>
      </c>
      <c r="AD5502">
        <v>-1.108430206717</v>
      </c>
      <c r="AE5502">
        <v>21.8004</v>
      </c>
      <c r="AF5502">
        <v>6.8784000888687498</v>
      </c>
      <c r="AG5502">
        <v>-1.108430206717</v>
      </c>
      <c r="AH5502">
        <v>21.593313211014799</v>
      </c>
      <c r="AI5502">
        <v>92.800138239957505</v>
      </c>
      <c r="AJ5502">
        <v>72.3310828391717</v>
      </c>
      <c r="AK5502">
        <v>22.689472905616402</v>
      </c>
    </row>
    <row r="5503" spans="1:37" x14ac:dyDescent="0.2">
      <c r="A5503" t="str">
        <f>"20200111154210075"</f>
        <v>20200111154210075</v>
      </c>
      <c r="B5503" t="str">
        <f>"1578728530071390"</f>
        <v>1578728530071390</v>
      </c>
      <c r="C5503" t="s">
        <v>37</v>
      </c>
      <c r="D5503">
        <v>5.8106859999999996</v>
      </c>
      <c r="E5503">
        <v>0.57016509999999998</v>
      </c>
      <c r="F5503" t="s">
        <v>46</v>
      </c>
      <c r="G5503">
        <v>-183.203</v>
      </c>
      <c r="H5503" s="1">
        <v>-3.2909760000000001E-6</v>
      </c>
      <c r="I5503">
        <v>123.90389999999999</v>
      </c>
      <c r="J5503">
        <v>-188.94130000000001</v>
      </c>
      <c r="K5503">
        <v>1.1080129999999999</v>
      </c>
      <c r="L5503">
        <v>104.9676</v>
      </c>
      <c r="M5503">
        <v>-2.061027E-2</v>
      </c>
      <c r="N5503">
        <v>0</v>
      </c>
      <c r="O5503">
        <v>0.99951559999999995</v>
      </c>
      <c r="P5503">
        <v>0.1085791</v>
      </c>
      <c r="Q5503">
        <v>1.7942219999999998E-2</v>
      </c>
      <c r="R5503">
        <v>0.99392590000000003</v>
      </c>
      <c r="S5503">
        <v>0.86422730000000003</v>
      </c>
      <c r="T5503">
        <v>-0.1672052</v>
      </c>
      <c r="U5503">
        <v>2.9291529999999999</v>
      </c>
      <c r="V5503">
        <v>0.1293301</v>
      </c>
      <c r="W5503">
        <v>4.0155400000000001E-2</v>
      </c>
      <c r="X5503">
        <v>0.99078820000000001</v>
      </c>
      <c r="Y5503">
        <v>0.30227540000000003</v>
      </c>
      <c r="Z5503">
        <v>-5.4481809999999999E-2</v>
      </c>
      <c r="AA5503">
        <v>0.95166240000000002</v>
      </c>
      <c r="AB5503">
        <v>52</v>
      </c>
      <c r="AC5503">
        <v>5.7382999999999997</v>
      </c>
      <c r="AD5503">
        <v>-1.1080162909760001</v>
      </c>
      <c r="AE5503">
        <v>18.9362999999999</v>
      </c>
      <c r="AF5503">
        <v>6.10831442955398</v>
      </c>
      <c r="AG5503">
        <v>-1.1080162909760001</v>
      </c>
      <c r="AH5503">
        <v>18.755163037312801</v>
      </c>
      <c r="AI5503">
        <v>93.215141111762506</v>
      </c>
      <c r="AJ5503">
        <v>71.960239278018193</v>
      </c>
      <c r="AK5503">
        <v>19.755893951617299</v>
      </c>
    </row>
    <row r="5504" spans="1:37" x14ac:dyDescent="0.2">
      <c r="A5504" t="str">
        <f>"20200111154210098"</f>
        <v>20200111154210098</v>
      </c>
      <c r="B5504" t="str">
        <f>"1578728530091886"</f>
        <v>1578728530091886</v>
      </c>
      <c r="C5504" t="s">
        <v>37</v>
      </c>
      <c r="D5504">
        <v>5.8295469999999998</v>
      </c>
      <c r="E5504">
        <v>0.57816299999999998</v>
      </c>
      <c r="F5504" t="s">
        <v>46</v>
      </c>
      <c r="G5504">
        <v>-183.4753</v>
      </c>
      <c r="H5504" s="1">
        <v>-2.77736E-6</v>
      </c>
      <c r="I5504">
        <v>123.0361</v>
      </c>
      <c r="J5504">
        <v>-188.9496</v>
      </c>
      <c r="K5504">
        <v>1.107502</v>
      </c>
      <c r="L5504">
        <v>105.4978</v>
      </c>
      <c r="M5504">
        <v>-1.7015579999999999E-2</v>
      </c>
      <c r="N5504">
        <v>0</v>
      </c>
      <c r="O5504">
        <v>0.99958499999999995</v>
      </c>
      <c r="P5504">
        <v>0.1139874</v>
      </c>
      <c r="Q5504">
        <v>1.87358E-2</v>
      </c>
      <c r="R5504">
        <v>0.99330549999999995</v>
      </c>
      <c r="S5504">
        <v>0.88482669999999997</v>
      </c>
      <c r="T5504">
        <v>-0.179364</v>
      </c>
      <c r="U5504">
        <v>2.9249109999999998</v>
      </c>
      <c r="V5504">
        <v>0.1312161</v>
      </c>
      <c r="W5504">
        <v>4.069474E-2</v>
      </c>
      <c r="X5504">
        <v>0.99051819999999902</v>
      </c>
      <c r="Y5504">
        <v>0.30530839999999998</v>
      </c>
      <c r="Z5504">
        <v>-5.8430450000000002E-2</v>
      </c>
      <c r="AA5504">
        <v>0.95045919999999895</v>
      </c>
      <c r="AB5504">
        <v>52</v>
      </c>
      <c r="AC5504">
        <v>5.4743000000000004</v>
      </c>
      <c r="AD5504">
        <v>-1.10750477736</v>
      </c>
      <c r="AE5504">
        <v>17.5383</v>
      </c>
      <c r="AF5504">
        <v>5.7511146208469599</v>
      </c>
      <c r="AG5504">
        <v>-1.10750477736</v>
      </c>
      <c r="AH5504">
        <v>17.379435563536799</v>
      </c>
      <c r="AI5504">
        <v>93.462095071491106</v>
      </c>
      <c r="AJ5504">
        <v>71.689849641286003</v>
      </c>
      <c r="AK5504">
        <v>18.339756452066698</v>
      </c>
    </row>
    <row r="5505" spans="1:37" x14ac:dyDescent="0.2">
      <c r="A5505" t="str">
        <f>"20200111154210122"</f>
        <v>20200111154210122</v>
      </c>
      <c r="B5505" t="str">
        <f>"1578728530111405"</f>
        <v>1578728530111405</v>
      </c>
      <c r="C5505" t="s">
        <v>37</v>
      </c>
      <c r="D5505">
        <v>5.6963099999999898</v>
      </c>
      <c r="E5505">
        <v>0.57870859999999902</v>
      </c>
      <c r="F5505" t="s">
        <v>39</v>
      </c>
      <c r="G5505">
        <v>-185.33500000000001</v>
      </c>
      <c r="H5505" s="1">
        <v>-3.7316870000000001E-6</v>
      </c>
      <c r="I5505">
        <v>116.4025</v>
      </c>
      <c r="J5505">
        <v>-188.9556</v>
      </c>
      <c r="K5505">
        <v>1.10693</v>
      </c>
      <c r="L5505">
        <v>106.0347</v>
      </c>
      <c r="M5505">
        <v>-1.282524E-2</v>
      </c>
      <c r="N5505">
        <v>0</v>
      </c>
      <c r="O5505">
        <v>0.99964929999999996</v>
      </c>
      <c r="P5505">
        <v>0.12075230000000001</v>
      </c>
      <c r="Q5505">
        <v>1.8847699999999998E-2</v>
      </c>
      <c r="R5505">
        <v>0.99250369999999999</v>
      </c>
      <c r="S5505">
        <v>0.96621699999999999</v>
      </c>
      <c r="T5505">
        <v>-0.29604849999999999</v>
      </c>
      <c r="U5505">
        <v>2.9149479999999999</v>
      </c>
      <c r="V5505">
        <v>0.13386970000000001</v>
      </c>
      <c r="W5505">
        <v>4.0515130000000003E-2</v>
      </c>
      <c r="X5505">
        <v>0.99017040000000001</v>
      </c>
      <c r="Y5505">
        <v>0.3253394</v>
      </c>
      <c r="Z5505">
        <v>-9.574502E-2</v>
      </c>
      <c r="AA5505">
        <v>0.9407375</v>
      </c>
      <c r="AB5505">
        <v>51</v>
      </c>
      <c r="AC5505">
        <v>3.6205999999999898</v>
      </c>
      <c r="AD5505">
        <v>-1.106933731687</v>
      </c>
      <c r="AE5505">
        <v>10.367800000000001</v>
      </c>
      <c r="AF5505">
        <v>3.7155570368775899</v>
      </c>
      <c r="AG5505">
        <v>-1.106933731687</v>
      </c>
      <c r="AH5505">
        <v>10.2166971348116</v>
      </c>
      <c r="AI5505">
        <v>95.813887109764295</v>
      </c>
      <c r="AJ5505">
        <v>70.014939790480398</v>
      </c>
      <c r="AK5505">
        <v>10.9275599620915</v>
      </c>
    </row>
    <row r="5506" spans="1:37" x14ac:dyDescent="0.2">
      <c r="A5506" t="str">
        <f>"20200111154210143"</f>
        <v>20200111154210143</v>
      </c>
      <c r="B5506" t="str">
        <f>"1578728530141661"</f>
        <v>1578728530141661</v>
      </c>
      <c r="C5506" t="s">
        <v>37</v>
      </c>
      <c r="D5506">
        <v>5.7742569999999898</v>
      </c>
      <c r="E5506">
        <v>0.58001659999999999</v>
      </c>
      <c r="F5506" t="s">
        <v>39</v>
      </c>
      <c r="G5506">
        <v>-185.21279999999999</v>
      </c>
      <c r="H5506" s="1">
        <v>-4.0193949999999997E-6</v>
      </c>
      <c r="I5506">
        <v>117.0226</v>
      </c>
      <c r="J5506">
        <v>-188.95869999999999</v>
      </c>
      <c r="K5506">
        <v>1.106366</v>
      </c>
      <c r="L5506">
        <v>106.5326</v>
      </c>
      <c r="M5506">
        <v>-8.3905439999999998E-3</v>
      </c>
      <c r="N5506">
        <v>0</v>
      </c>
      <c r="O5506">
        <v>0.99969830000000004</v>
      </c>
      <c r="P5506">
        <v>0.12854199999999999</v>
      </c>
      <c r="Q5506">
        <v>1.9438770000000001E-2</v>
      </c>
      <c r="R5506">
        <v>0.99151359999999999</v>
      </c>
      <c r="S5506">
        <v>0.990448</v>
      </c>
      <c r="T5506">
        <v>-0.29292499999999999</v>
      </c>
      <c r="U5506">
        <v>2.907715</v>
      </c>
      <c r="V5506">
        <v>0.13731379999999899</v>
      </c>
      <c r="W5506">
        <v>4.0798130000000002E-2</v>
      </c>
      <c r="X5506">
        <v>0.98968699999999998</v>
      </c>
      <c r="Y5506">
        <v>0.32891550000000003</v>
      </c>
      <c r="Z5506">
        <v>-9.4791139999999996E-2</v>
      </c>
      <c r="AA5506">
        <v>0.93958989999999998</v>
      </c>
      <c r="AB5506">
        <v>51</v>
      </c>
      <c r="AC5506">
        <v>3.7458999999999998</v>
      </c>
      <c r="AD5506">
        <v>-1.1063700193949999</v>
      </c>
      <c r="AE5506">
        <v>10.489999999999901</v>
      </c>
      <c r="AF5506">
        <v>3.7963546780125701</v>
      </c>
      <c r="AG5506">
        <v>-1.1063700193949999</v>
      </c>
      <c r="AH5506">
        <v>10.3560227119715</v>
      </c>
      <c r="AI5506">
        <v>95.727957371671806</v>
      </c>
      <c r="AJ5506">
        <v>69.8678598714299</v>
      </c>
      <c r="AK5506">
        <v>11.085286188094299</v>
      </c>
    </row>
    <row r="5507" spans="1:37" x14ac:dyDescent="0.2">
      <c r="A5507" t="str">
        <f>"20200111154210166"</f>
        <v>20200111154210166</v>
      </c>
      <c r="B5507" t="str">
        <f>"1578728530161181"</f>
        <v>1578728530161181</v>
      </c>
      <c r="C5507" t="s">
        <v>37</v>
      </c>
      <c r="D5507">
        <v>5.764856</v>
      </c>
      <c r="E5507">
        <v>0.58035429999999999</v>
      </c>
      <c r="F5507" t="s">
        <v>39</v>
      </c>
      <c r="G5507">
        <v>-184.86160000000001</v>
      </c>
      <c r="H5507" s="1">
        <v>-4.5583269999999997E-6</v>
      </c>
      <c r="I5507">
        <v>118.1337</v>
      </c>
      <c r="J5507">
        <v>-188.95920000000001</v>
      </c>
      <c r="K5507">
        <v>1.105802</v>
      </c>
      <c r="L5507">
        <v>107.0204</v>
      </c>
      <c r="M5507">
        <v>-3.5194890000000002E-3</v>
      </c>
      <c r="N5507">
        <v>0</v>
      </c>
      <c r="O5507">
        <v>0.99972899999999998</v>
      </c>
      <c r="P5507">
        <v>0.13663599999999901</v>
      </c>
      <c r="Q5507">
        <v>1.9804039999999998E-2</v>
      </c>
      <c r="R5507">
        <v>0.99042330000000001</v>
      </c>
      <c r="S5507">
        <v>1.0236049999999901</v>
      </c>
      <c r="T5507">
        <v>-0.27641339999999998</v>
      </c>
      <c r="U5507">
        <v>2.8983919999999999</v>
      </c>
      <c r="V5507">
        <v>0.14063529999999999</v>
      </c>
      <c r="W5507">
        <v>4.0848639999999999E-2</v>
      </c>
      <c r="X5507">
        <v>0.98921840000000005</v>
      </c>
      <c r="Y5507">
        <v>0.33498670000000003</v>
      </c>
      <c r="Z5507">
        <v>-8.9508260000000006E-2</v>
      </c>
      <c r="AA5507">
        <v>0.93796179999999996</v>
      </c>
      <c r="AB5507">
        <v>51</v>
      </c>
      <c r="AC5507">
        <v>4.0975999999999999</v>
      </c>
      <c r="AD5507">
        <v>-1.105806558327</v>
      </c>
      <c r="AE5507">
        <v>11.113300000000001</v>
      </c>
      <c r="AF5507">
        <v>4.1009544706323897</v>
      </c>
      <c r="AG5507">
        <v>-1.105806558327</v>
      </c>
      <c r="AH5507">
        <v>11.0029052961457</v>
      </c>
      <c r="AI5507">
        <v>95.379841152268995</v>
      </c>
      <c r="AJ5507">
        <v>69.558790564153</v>
      </c>
      <c r="AK5507">
        <v>11.7942596491086</v>
      </c>
    </row>
    <row r="5508" spans="1:37" x14ac:dyDescent="0.2">
      <c r="A5508" t="str">
        <f>"20200111154210187"</f>
        <v>20200111154210187</v>
      </c>
      <c r="B5508" t="str">
        <f>"1578728530181678"</f>
        <v>1578728530181678</v>
      </c>
      <c r="C5508" t="s">
        <v>37</v>
      </c>
      <c r="D5508">
        <v>5.7451819999999998</v>
      </c>
      <c r="E5508">
        <v>0.58057879999999995</v>
      </c>
      <c r="F5508" t="s">
        <v>39</v>
      </c>
      <c r="G5508">
        <v>-184.7467</v>
      </c>
      <c r="H5508" s="1">
        <v>-4.7855059999999999E-6</v>
      </c>
      <c r="I5508">
        <v>118.6157</v>
      </c>
      <c r="J5508">
        <v>-188.95689999999999</v>
      </c>
      <c r="K5508">
        <v>1.105243</v>
      </c>
      <c r="L5508">
        <v>107.5213</v>
      </c>
      <c r="M5508">
        <v>1.9540349999999998E-3</v>
      </c>
      <c r="N5508">
        <v>0</v>
      </c>
      <c r="O5508">
        <v>0.99973500000000004</v>
      </c>
      <c r="P5508">
        <v>0.1448921</v>
      </c>
      <c r="Q5508">
        <v>2.1366650000000001E-2</v>
      </c>
      <c r="R5508">
        <v>0.98921669999999995</v>
      </c>
      <c r="S5508">
        <v>1.0498049999999901</v>
      </c>
      <c r="T5508">
        <v>-0.27558080000000001</v>
      </c>
      <c r="U5508">
        <v>2.889694</v>
      </c>
      <c r="V5508">
        <v>0.14354739999999999</v>
      </c>
      <c r="W5508">
        <v>4.2099730000000002E-2</v>
      </c>
      <c r="X5508">
        <v>0.98874759999999995</v>
      </c>
      <c r="Y5508">
        <v>0.3382558</v>
      </c>
      <c r="Z5508">
        <v>-8.9307339999999999E-2</v>
      </c>
      <c r="AA5508">
        <v>0.9368069</v>
      </c>
      <c r="AB5508">
        <v>51</v>
      </c>
      <c r="AC5508">
        <v>4.21019999999998</v>
      </c>
      <c r="AD5508">
        <v>-1.1052477855059999</v>
      </c>
      <c r="AE5508">
        <v>11.0944</v>
      </c>
      <c r="AF5508">
        <v>4.1524836399500797</v>
      </c>
      <c r="AG5508">
        <v>-1.1052477855059999</v>
      </c>
      <c r="AH5508">
        <v>11.0071185229059</v>
      </c>
      <c r="AI5508">
        <v>95.367124824296894</v>
      </c>
      <c r="AJ5508">
        <v>69.330797123851099</v>
      </c>
      <c r="AK5508">
        <v>11.816147901271201</v>
      </c>
    </row>
    <row r="5509" spans="1:37" x14ac:dyDescent="0.2">
      <c r="A5509" t="str">
        <f>"20200111154210210"</f>
        <v>20200111154210210</v>
      </c>
      <c r="B5509" t="str">
        <f>"1578728530201200"</f>
        <v>1578728530201200</v>
      </c>
      <c r="C5509" t="s">
        <v>37</v>
      </c>
      <c r="D5509">
        <v>5.6728360000000002</v>
      </c>
      <c r="E5509">
        <v>0.60005940000000002</v>
      </c>
      <c r="F5509" t="s">
        <v>39</v>
      </c>
      <c r="G5509">
        <v>-184.53550000000001</v>
      </c>
      <c r="H5509" s="1">
        <v>-5.1436839999999898E-6</v>
      </c>
      <c r="I5509">
        <v>119.3633</v>
      </c>
      <c r="J5509">
        <v>-188.9511</v>
      </c>
      <c r="K5509">
        <v>1.104652</v>
      </c>
      <c r="L5509">
        <v>108.0622</v>
      </c>
      <c r="M5509">
        <v>8.3948069999999902E-3</v>
      </c>
      <c r="N5509">
        <v>0</v>
      </c>
      <c r="O5509">
        <v>0.99970319999999901</v>
      </c>
      <c r="P5509">
        <v>0.15383959999999999</v>
      </c>
      <c r="Q5509">
        <v>2.2331509999999999E-2</v>
      </c>
      <c r="R5509">
        <v>0.98784349999999999</v>
      </c>
      <c r="S5509">
        <v>1.075653</v>
      </c>
      <c r="T5509">
        <v>-0.2688873</v>
      </c>
      <c r="U5509">
        <v>2.8809659999999999</v>
      </c>
      <c r="V5509">
        <v>0.14620169999999999</v>
      </c>
      <c r="W5509">
        <v>4.2740979999999998E-2</v>
      </c>
      <c r="X5509">
        <v>0.98833110000000002</v>
      </c>
      <c r="Y5509">
        <v>0.34056920000000002</v>
      </c>
      <c r="Z5509">
        <v>-8.7229940000000006E-2</v>
      </c>
      <c r="AA5509">
        <v>0.93616429999999995</v>
      </c>
      <c r="AB5509">
        <v>51</v>
      </c>
      <c r="AC5509">
        <v>4.41559999999998</v>
      </c>
      <c r="AD5509">
        <v>-1.104657143684</v>
      </c>
      <c r="AE5509">
        <v>11.3010999999999</v>
      </c>
      <c r="AF5509">
        <v>4.2850296445517202</v>
      </c>
      <c r="AG5509">
        <v>-1.104657143684</v>
      </c>
      <c r="AH5509">
        <v>11.2445713013736</v>
      </c>
      <c r="AI5509">
        <v>95.245024730045699</v>
      </c>
      <c r="AJ5509">
        <v>69.139386397601797</v>
      </c>
      <c r="AK5509">
        <v>12.0839616935612</v>
      </c>
    </row>
    <row r="5510" spans="1:37" x14ac:dyDescent="0.2">
      <c r="A5510" t="str">
        <f>"20200111154210233"</f>
        <v>20200111154210233</v>
      </c>
      <c r="B5510" t="str">
        <f>"1578728530221693"</f>
        <v>1578728530221693</v>
      </c>
      <c r="C5510" t="s">
        <v>37</v>
      </c>
      <c r="D5510">
        <v>5.7067050000000004</v>
      </c>
      <c r="E5510">
        <v>0.60148579999999996</v>
      </c>
      <c r="F5510" t="s">
        <v>46</v>
      </c>
      <c r="G5510">
        <v>-182.61349999999999</v>
      </c>
      <c r="H5510" s="1">
        <v>-2.7860969999999899E-6</v>
      </c>
      <c r="I5510">
        <v>122.44110000000001</v>
      </c>
      <c r="J5510">
        <v>-188.94239999999999</v>
      </c>
      <c r="K5510">
        <v>1.1041129999999999</v>
      </c>
      <c r="L5510">
        <v>108.56529999999999</v>
      </c>
      <c r="M5510">
        <v>1.4870359999999999E-2</v>
      </c>
      <c r="N5510">
        <v>0</v>
      </c>
      <c r="O5510">
        <v>0.99962929999999905</v>
      </c>
      <c r="P5510">
        <v>0.1622315</v>
      </c>
      <c r="Q5510">
        <v>2.32634E-2</v>
      </c>
      <c r="R5510">
        <v>0.98647839999999998</v>
      </c>
      <c r="S5510">
        <v>1.2546079999999999</v>
      </c>
      <c r="T5510">
        <v>-0.21868029999999999</v>
      </c>
      <c r="U5510">
        <v>2.8464809999999998</v>
      </c>
      <c r="V5510">
        <v>0.14827319999999999</v>
      </c>
      <c r="W5510">
        <v>4.3377440000000003E-2</v>
      </c>
      <c r="X5510">
        <v>0.9879947</v>
      </c>
      <c r="Y5510">
        <v>0.38866649999999903</v>
      </c>
      <c r="Z5510">
        <v>-7.0329710000000004E-2</v>
      </c>
      <c r="AA5510">
        <v>0.91869040000000002</v>
      </c>
      <c r="AB5510">
        <v>50</v>
      </c>
      <c r="AC5510">
        <v>6.3289</v>
      </c>
      <c r="AD5510">
        <v>-1.1041157860969999</v>
      </c>
      <c r="AE5510">
        <v>13.8758</v>
      </c>
      <c r="AF5510">
        <v>6.0898895323150599</v>
      </c>
      <c r="AG5510">
        <v>-1.1041157860969999</v>
      </c>
      <c r="AH5510">
        <v>13.8955726117465</v>
      </c>
      <c r="AI5510">
        <v>94.162406042440594</v>
      </c>
      <c r="AJ5510">
        <v>66.334028473682395</v>
      </c>
      <c r="AK5510">
        <v>15.2115996658217</v>
      </c>
    </row>
    <row r="5511" spans="1:37" x14ac:dyDescent="0.2">
      <c r="A5511" t="str">
        <f>"20200111154210254"</f>
        <v>20200111154210254</v>
      </c>
      <c r="B5511" t="str">
        <f>"1578728530251950"</f>
        <v>1578728530251950</v>
      </c>
      <c r="C5511" t="s">
        <v>37</v>
      </c>
      <c r="D5511">
        <v>5.7069749999999999</v>
      </c>
      <c r="E5511">
        <v>0.59368699999999996</v>
      </c>
      <c r="F5511" t="s">
        <v>46</v>
      </c>
      <c r="G5511">
        <v>-182.2807</v>
      </c>
      <c r="H5511" s="1">
        <v>-3.096249E-6</v>
      </c>
      <c r="I5511">
        <v>123.1935</v>
      </c>
      <c r="J5511">
        <v>-188.9307</v>
      </c>
      <c r="K5511">
        <v>1.103591</v>
      </c>
      <c r="L5511">
        <v>109.0501</v>
      </c>
      <c r="M5511">
        <v>2.156812E-2</v>
      </c>
      <c r="N5511">
        <v>0</v>
      </c>
      <c r="O5511">
        <v>0.99950869999999903</v>
      </c>
      <c r="P5511">
        <v>0.1710071</v>
      </c>
      <c r="Q5511">
        <v>2.5100669999999999E-2</v>
      </c>
      <c r="R5511">
        <v>0.98494999999999999</v>
      </c>
      <c r="S5511">
        <v>1.290573</v>
      </c>
      <c r="T5511">
        <v>-0.21390309999999901</v>
      </c>
      <c r="U5511">
        <v>2.8339539999999999</v>
      </c>
      <c r="V5511">
        <v>0.15053749999999999</v>
      </c>
      <c r="W5511">
        <v>4.4912790000000001E-2</v>
      </c>
      <c r="X5511">
        <v>0.98758359999999901</v>
      </c>
      <c r="Y5511">
        <v>0.39373399999999997</v>
      </c>
      <c r="Z5511">
        <v>-6.8817530000000002E-2</v>
      </c>
      <c r="AA5511">
        <v>0.91664480000000004</v>
      </c>
      <c r="AB5511">
        <v>50</v>
      </c>
      <c r="AC5511">
        <v>6.65</v>
      </c>
      <c r="AD5511">
        <v>-1.1035940962490001</v>
      </c>
      <c r="AE5511">
        <v>14.1434</v>
      </c>
      <c r="AF5511">
        <v>6.3118546695783699</v>
      </c>
      <c r="AG5511">
        <v>-1.1035940962490001</v>
      </c>
      <c r="AH5511">
        <v>14.2127060171242</v>
      </c>
      <c r="AI5511">
        <v>94.059195881257097</v>
      </c>
      <c r="AJ5511">
        <v>66.054020234265906</v>
      </c>
      <c r="AK5511">
        <v>15.590331671531301</v>
      </c>
    </row>
    <row r="5512" spans="1:37" x14ac:dyDescent="0.2">
      <c r="A5512" t="str">
        <f>"20200111154210277"</f>
        <v>20200111154210277</v>
      </c>
      <c r="B5512" t="str">
        <f>"1578728530271470"</f>
        <v>1578728530271470</v>
      </c>
      <c r="C5512" t="s">
        <v>37</v>
      </c>
      <c r="D5512">
        <v>5.7212370000000004</v>
      </c>
      <c r="E5512">
        <v>0.59481839999999997</v>
      </c>
      <c r="F5512" t="s">
        <v>46</v>
      </c>
      <c r="G5512">
        <v>-183.8038</v>
      </c>
      <c r="H5512" s="1">
        <v>-1.9336730000000001E-6</v>
      </c>
      <c r="I5512">
        <v>120.62220000000001</v>
      </c>
      <c r="J5512">
        <v>-188.9153</v>
      </c>
      <c r="K5512">
        <v>1.103059</v>
      </c>
      <c r="L5512">
        <v>109.5438</v>
      </c>
      <c r="M5512">
        <v>2.885339E-2</v>
      </c>
      <c r="N5512">
        <v>0</v>
      </c>
      <c r="O5512">
        <v>0.99932649999999901</v>
      </c>
      <c r="P5512">
        <v>0.18100169999999999</v>
      </c>
      <c r="Q5512">
        <v>2.8365330000000001E-2</v>
      </c>
      <c r="R5512">
        <v>0.98307369999999905</v>
      </c>
      <c r="S5512">
        <v>1.2558750000000001</v>
      </c>
      <c r="T5512">
        <v>-0.27033400000000002</v>
      </c>
      <c r="U5512">
        <v>2.8346709999999899</v>
      </c>
      <c r="V5512">
        <v>0.15349260000000001</v>
      </c>
      <c r="W5512">
        <v>4.7843139999999999E-2</v>
      </c>
      <c r="X5512">
        <v>0.9869909</v>
      </c>
      <c r="Y5512">
        <v>0.37696669999999999</v>
      </c>
      <c r="Z5512">
        <v>-8.7318870000000007E-2</v>
      </c>
      <c r="AA5512">
        <v>0.92210170000000002</v>
      </c>
      <c r="AB5512">
        <v>50</v>
      </c>
      <c r="AC5512">
        <v>5.1115000000000004</v>
      </c>
      <c r="AD5512">
        <v>-1.103060933673</v>
      </c>
      <c r="AE5512">
        <v>11.0784</v>
      </c>
      <c r="AF5512">
        <v>4.7508068735799398</v>
      </c>
      <c r="AG5512">
        <v>-1.103060933673</v>
      </c>
      <c r="AH5512">
        <v>11.130329757168001</v>
      </c>
      <c r="AI5512">
        <v>95.208018475444007</v>
      </c>
      <c r="AJ5512">
        <v>66.885546569762795</v>
      </c>
      <c r="AK5512">
        <v>12.1520018876212</v>
      </c>
    </row>
    <row r="5513" spans="1:37" x14ac:dyDescent="0.2">
      <c r="A5513" t="str">
        <f>"20200111154210310"</f>
        <v>20200111154210310</v>
      </c>
      <c r="B5513" t="str">
        <f>"1578728530301725"</f>
        <v>1578728530301725</v>
      </c>
      <c r="C5513" t="s">
        <v>37</v>
      </c>
      <c r="D5513">
        <v>5.6564160000000001</v>
      </c>
      <c r="E5513">
        <v>0.59497580000000005</v>
      </c>
      <c r="F5513" t="s">
        <v>46</v>
      </c>
      <c r="G5513">
        <v>-183.15260000000001</v>
      </c>
      <c r="H5513" s="1">
        <v>-2.5451929999999998E-6</v>
      </c>
      <c r="I5513">
        <v>122.11020000000001</v>
      </c>
      <c r="J5513">
        <v>-188.8843</v>
      </c>
      <c r="K5513">
        <v>1.1022270000000001</v>
      </c>
      <c r="L5513">
        <v>110.2987</v>
      </c>
      <c r="M5513">
        <v>4.0910549999999997E-2</v>
      </c>
      <c r="N5513">
        <v>0</v>
      </c>
      <c r="O5513">
        <v>0.99890780000000001</v>
      </c>
      <c r="P5513">
        <v>0.1935365</v>
      </c>
      <c r="Q5513">
        <v>3.1701449999999999E-2</v>
      </c>
      <c r="R5513">
        <v>0.98058069999999897</v>
      </c>
      <c r="S5513">
        <v>1.293488</v>
      </c>
      <c r="T5513">
        <v>-0.24759210000000001</v>
      </c>
      <c r="U5513">
        <v>2.8206329999999999</v>
      </c>
      <c r="V5513">
        <v>0.15435160000000001</v>
      </c>
      <c r="W5513">
        <v>5.0747819999999999E-2</v>
      </c>
      <c r="X5513">
        <v>0.98671180000000003</v>
      </c>
      <c r="Y5513">
        <v>0.37795879999999998</v>
      </c>
      <c r="Z5513">
        <v>-8.0110009999999995E-2</v>
      </c>
      <c r="AA5513">
        <v>0.92235</v>
      </c>
      <c r="AB5513">
        <v>50</v>
      </c>
      <c r="AC5513">
        <v>5.7316999999999796</v>
      </c>
      <c r="AD5513">
        <v>-1.102229545193</v>
      </c>
      <c r="AE5513">
        <v>11.811500000000001</v>
      </c>
      <c r="AF5513">
        <v>5.2068602900613197</v>
      </c>
      <c r="AG5513">
        <v>-1.102229545193</v>
      </c>
      <c r="AH5513">
        <v>11.951910045428299</v>
      </c>
      <c r="AI5513">
        <v>94.832704895034098</v>
      </c>
      <c r="AJ5513">
        <v>66.459607787303895</v>
      </c>
      <c r="AK5513">
        <v>13.0833656902391</v>
      </c>
    </row>
    <row r="5514" spans="1:37" x14ac:dyDescent="0.2">
      <c r="A5514" t="str">
        <f>"20200111154210332"</f>
        <v>20200111154210332</v>
      </c>
      <c r="B5514" t="str">
        <f>"1578728530321248"</f>
        <v>1578728530321248</v>
      </c>
      <c r="C5514" t="s">
        <v>37</v>
      </c>
      <c r="D5514">
        <v>5.621861</v>
      </c>
      <c r="E5514">
        <v>0.59714929999999999</v>
      </c>
      <c r="F5514" t="s">
        <v>46</v>
      </c>
      <c r="G5514">
        <v>-182.8441</v>
      </c>
      <c r="H5514" s="1">
        <v>-2.8927630000000001E-6</v>
      </c>
      <c r="I5514">
        <v>123.0116</v>
      </c>
      <c r="J5514">
        <v>-188.85910000000001</v>
      </c>
      <c r="K5514">
        <v>1.1016900000000001</v>
      </c>
      <c r="L5514">
        <v>110.7868</v>
      </c>
      <c r="M5514">
        <v>4.9277769999999999E-2</v>
      </c>
      <c r="N5514">
        <v>0</v>
      </c>
      <c r="O5514">
        <v>0.99853139999999996</v>
      </c>
      <c r="P5514">
        <v>0.2039108</v>
      </c>
      <c r="Q5514">
        <v>3.316202E-2</v>
      </c>
      <c r="R5514">
        <v>0.97842759999999995</v>
      </c>
      <c r="S5514">
        <v>1.332382</v>
      </c>
      <c r="T5514">
        <v>-0.24313769999999901</v>
      </c>
      <c r="U5514">
        <v>2.804306</v>
      </c>
      <c r="V5514">
        <v>0.15663529999999901</v>
      </c>
      <c r="W5514">
        <v>5.1888820000000002E-2</v>
      </c>
      <c r="X5514">
        <v>0.98629249999999902</v>
      </c>
      <c r="Y5514">
        <v>0.38277440000000001</v>
      </c>
      <c r="Z5514">
        <v>-7.8745300000000004E-2</v>
      </c>
      <c r="AA5514">
        <v>0.92047979999999996</v>
      </c>
      <c r="AB5514">
        <v>50</v>
      </c>
      <c r="AC5514">
        <v>6.0150000000000103</v>
      </c>
      <c r="AD5514">
        <v>-1.1016928927630001</v>
      </c>
      <c r="AE5514">
        <v>12.2248</v>
      </c>
      <c r="AF5514">
        <v>5.3700129968808801</v>
      </c>
      <c r="AG5514">
        <v>-1.1016928927630001</v>
      </c>
      <c r="AH5514">
        <v>12.425178800133899</v>
      </c>
      <c r="AI5514">
        <v>94.653053130501903</v>
      </c>
      <c r="AJ5514">
        <v>66.626579315493998</v>
      </c>
      <c r="AK5514">
        <v>13.580715556697699</v>
      </c>
    </row>
    <row r="5515" spans="1:37" x14ac:dyDescent="0.2">
      <c r="A5515" t="str">
        <f>"20200111154210354"</f>
        <v>20200111154210354</v>
      </c>
      <c r="B5515" t="str">
        <f>"1578728530351501"</f>
        <v>1578728530351501</v>
      </c>
      <c r="C5515" t="s">
        <v>37</v>
      </c>
      <c r="D5515">
        <v>5.596711</v>
      </c>
      <c r="E5515">
        <v>0.59918899999999997</v>
      </c>
      <c r="F5515" t="s">
        <v>46</v>
      </c>
      <c r="G5515">
        <v>-182.34739999999999</v>
      </c>
      <c r="H5515" s="1">
        <v>-3.4367800000000002E-6</v>
      </c>
      <c r="I5515">
        <v>123.9525</v>
      </c>
      <c r="J5515">
        <v>-188.83029999999999</v>
      </c>
      <c r="K5515">
        <v>1.1011660000000001</v>
      </c>
      <c r="L5515">
        <v>111.267</v>
      </c>
      <c r="M5515">
        <v>5.7921309999999997E-2</v>
      </c>
      <c r="N5515">
        <v>0</v>
      </c>
      <c r="O5515">
        <v>0.99806879999999998</v>
      </c>
      <c r="P5515">
        <v>0.21496299999999999</v>
      </c>
      <c r="Q5515">
        <v>3.3482949999999997E-2</v>
      </c>
      <c r="R5515">
        <v>0.97604809999999997</v>
      </c>
      <c r="S5515">
        <v>1.3783570000000001</v>
      </c>
      <c r="T5515">
        <v>-0.23319670000000001</v>
      </c>
      <c r="U5515">
        <v>2.7868040000000001</v>
      </c>
      <c r="V5515">
        <v>0.1593215</v>
      </c>
      <c r="W5515">
        <v>5.1880719999999998E-2</v>
      </c>
      <c r="X5515">
        <v>0.98586260000000003</v>
      </c>
      <c r="Y5515">
        <v>0.3893993</v>
      </c>
      <c r="Z5515">
        <v>-7.5550399999999907E-2</v>
      </c>
      <c r="AA5515">
        <v>0.91796529999999998</v>
      </c>
      <c r="AB5515">
        <v>50</v>
      </c>
      <c r="AC5515">
        <v>6.4828999999999999</v>
      </c>
      <c r="AD5515">
        <v>-1.10116943677999</v>
      </c>
      <c r="AE5515">
        <v>12.6854999999999</v>
      </c>
      <c r="AF5515">
        <v>5.7029908501105497</v>
      </c>
      <c r="AG5515">
        <v>-1.10116943677999</v>
      </c>
      <c r="AH5515">
        <v>12.9623382294247</v>
      </c>
      <c r="AI5515">
        <v>94.446276037583104</v>
      </c>
      <c r="AJ5515">
        <v>66.252127433278602</v>
      </c>
      <c r="AK5515">
        <v>14.204185690807799</v>
      </c>
    </row>
    <row r="5516" spans="1:37" x14ac:dyDescent="0.2">
      <c r="A5516" t="str">
        <f>"20200111154210376"</f>
        <v>20200111154210376</v>
      </c>
      <c r="B5516" t="str">
        <f>"1578728530371997"</f>
        <v>1578728530371997</v>
      </c>
      <c r="C5516" t="s">
        <v>37</v>
      </c>
      <c r="D5516">
        <v>5.6612869999999997</v>
      </c>
      <c r="E5516">
        <v>0.60033990000000004</v>
      </c>
      <c r="F5516" t="s">
        <v>46</v>
      </c>
      <c r="G5516">
        <v>-182.1086</v>
      </c>
      <c r="H5516" s="1">
        <v>-3.6752629999999998E-6</v>
      </c>
      <c r="I5516">
        <v>124.32689999999999</v>
      </c>
      <c r="J5516">
        <v>-188.79599999999999</v>
      </c>
      <c r="K5516">
        <v>1.1006229999999999</v>
      </c>
      <c r="L5516">
        <v>111.7646</v>
      </c>
      <c r="M5516">
        <v>6.7320240000000003E-2</v>
      </c>
      <c r="N5516">
        <v>0</v>
      </c>
      <c r="O5516">
        <v>0.99748060000000005</v>
      </c>
      <c r="P5516">
        <v>0.22565749999999901</v>
      </c>
      <c r="Q5516">
        <v>3.2997619999999998E-2</v>
      </c>
      <c r="R5516">
        <v>0.97364769999999901</v>
      </c>
      <c r="S5516">
        <v>1.4245760000000001</v>
      </c>
      <c r="T5516">
        <v>-0.23337929999999901</v>
      </c>
      <c r="U5516">
        <v>2.7678989999999999</v>
      </c>
      <c r="V5516">
        <v>0.1609003</v>
      </c>
      <c r="W5516">
        <v>5.1084520000000001E-2</v>
      </c>
      <c r="X5516">
        <v>0.98564769999999902</v>
      </c>
      <c r="Y5516">
        <v>0.39540629999999999</v>
      </c>
      <c r="Z5516">
        <v>-7.5629879999999997E-2</v>
      </c>
      <c r="AA5516">
        <v>0.91538729999999902</v>
      </c>
      <c r="AB5516">
        <v>49</v>
      </c>
      <c r="AC5516">
        <v>6.6873999999999896</v>
      </c>
      <c r="AD5516">
        <v>-1.1006266752629901</v>
      </c>
      <c r="AE5516">
        <v>12.562299999999899</v>
      </c>
      <c r="AF5516">
        <v>5.7916718738718798</v>
      </c>
      <c r="AG5516">
        <v>-1.1006266752629901</v>
      </c>
      <c r="AH5516">
        <v>12.906899049429599</v>
      </c>
      <c r="AI5516">
        <v>94.448678033236007</v>
      </c>
      <c r="AJ5516">
        <v>65.832946664397696</v>
      </c>
      <c r="AK5516">
        <v>14.1895343561748</v>
      </c>
    </row>
    <row r="5517" spans="1:37" x14ac:dyDescent="0.2">
      <c r="A5517" t="str">
        <f>"20200111154210399"</f>
        <v>20200111154210399</v>
      </c>
      <c r="B5517" t="str">
        <f>"1578728530391517"</f>
        <v>1578728530391517</v>
      </c>
      <c r="C5517" t="s">
        <v>37</v>
      </c>
      <c r="D5517">
        <v>5.6392709999999999</v>
      </c>
      <c r="E5517">
        <v>0.60125360000000005</v>
      </c>
      <c r="F5517" t="s">
        <v>46</v>
      </c>
      <c r="G5517">
        <v>-181.7149</v>
      </c>
      <c r="H5517" s="1">
        <v>-4.005546E-6</v>
      </c>
      <c r="I5517">
        <v>125.06610000000001</v>
      </c>
      <c r="J5517">
        <v>-188.75640000000001</v>
      </c>
      <c r="K5517">
        <v>1.1000840000000001</v>
      </c>
      <c r="L5517">
        <v>112.2681</v>
      </c>
      <c r="M5517">
        <v>7.7287960000000003E-2</v>
      </c>
      <c r="N5517">
        <v>0</v>
      </c>
      <c r="O5517">
        <v>0.99675930000000001</v>
      </c>
      <c r="P5517">
        <v>0.237179799999999</v>
      </c>
      <c r="Q5517">
        <v>3.2479099999999997E-2</v>
      </c>
      <c r="R5517">
        <v>0.97092269999999903</v>
      </c>
      <c r="S5517">
        <v>1.463776</v>
      </c>
      <c r="T5517">
        <v>-0.22751939999999901</v>
      </c>
      <c r="U5517">
        <v>2.7496640000000001</v>
      </c>
      <c r="V5517">
        <v>0.16277510000000001</v>
      </c>
      <c r="W5517">
        <v>5.0247779999999999E-2</v>
      </c>
      <c r="X5517">
        <v>0.98538289999999995</v>
      </c>
      <c r="Y5517">
        <v>0.39898679999999997</v>
      </c>
      <c r="Z5517">
        <v>-7.3802199999999998E-2</v>
      </c>
      <c r="AA5517">
        <v>0.91398189999999901</v>
      </c>
      <c r="AB5517">
        <v>49</v>
      </c>
      <c r="AC5517">
        <v>7.0415000000000099</v>
      </c>
      <c r="AD5517">
        <v>-1.1000880055460001</v>
      </c>
      <c r="AE5517">
        <v>12.798</v>
      </c>
      <c r="AF5517">
        <v>5.9970358249283304</v>
      </c>
      <c r="AG5517">
        <v>-1.1000880055460001</v>
      </c>
      <c r="AH5517">
        <v>13.229026325015999</v>
      </c>
      <c r="AI5517">
        <v>94.331214899608796</v>
      </c>
      <c r="AJ5517">
        <v>65.614069998779897</v>
      </c>
      <c r="AK5517">
        <v>14.5664604421729</v>
      </c>
    </row>
    <row r="5518" spans="1:37" x14ac:dyDescent="0.2">
      <c r="A5518" t="str">
        <f>"20200111154210420"</f>
        <v>20200111154210420</v>
      </c>
      <c r="B5518" t="str">
        <f>"1578728530412018"</f>
        <v>1578728530412018</v>
      </c>
      <c r="C5518" t="s">
        <v>37</v>
      </c>
      <c r="D5518">
        <v>5.6852970000000003</v>
      </c>
      <c r="E5518">
        <v>0.60178319999999996</v>
      </c>
      <c r="F5518" t="s">
        <v>46</v>
      </c>
      <c r="G5518">
        <v>-181.2277</v>
      </c>
      <c r="H5518" s="1">
        <v>-4.3016779999999996E-6</v>
      </c>
      <c r="I5518">
        <v>125.9451</v>
      </c>
      <c r="J5518">
        <v>-188.71379999999999</v>
      </c>
      <c r="K5518">
        <v>1.0995709999999901</v>
      </c>
      <c r="L5518">
        <v>112.74930000000001</v>
      </c>
      <c r="M5518">
        <v>8.7256840000000002E-2</v>
      </c>
      <c r="N5518">
        <v>0</v>
      </c>
      <c r="O5518">
        <v>0.99593750000000003</v>
      </c>
      <c r="P5518">
        <v>0.24984509999999999</v>
      </c>
      <c r="Q5518">
        <v>3.2147790000000002E-2</v>
      </c>
      <c r="R5518">
        <v>0.96775199999999995</v>
      </c>
      <c r="S5518">
        <v>1.502823</v>
      </c>
      <c r="T5518">
        <v>-0.2195907</v>
      </c>
      <c r="U5518">
        <v>2.7300869999999899</v>
      </c>
      <c r="V5518">
        <v>0.1658385</v>
      </c>
      <c r="W5518">
        <v>4.9575809999999998E-2</v>
      </c>
      <c r="X5518">
        <v>0.98490599999999995</v>
      </c>
      <c r="Y5518">
        <v>0.40270919999999999</v>
      </c>
      <c r="Z5518">
        <v>-7.1313260000000003E-2</v>
      </c>
      <c r="AA5518">
        <v>0.91254570000000002</v>
      </c>
      <c r="AB5518">
        <v>49</v>
      </c>
      <c r="AC5518">
        <v>7.4860999999999898</v>
      </c>
      <c r="AD5518">
        <v>-1.0995753016779899</v>
      </c>
      <c r="AE5518">
        <v>13.195799999999901</v>
      </c>
      <c r="AF5518">
        <v>6.2728731581016399</v>
      </c>
      <c r="AG5518">
        <v>-1.0995753016779899</v>
      </c>
      <c r="AH5518">
        <v>13.726714182833099</v>
      </c>
      <c r="AI5518">
        <v>94.167073101917296</v>
      </c>
      <c r="AJ5518">
        <v>65.440411517685803</v>
      </c>
      <c r="AK5518">
        <v>15.1321077764759</v>
      </c>
    </row>
    <row r="5519" spans="1:37" x14ac:dyDescent="0.2">
      <c r="A5519" t="str">
        <f>"20200111154210444"</f>
        <v>20200111154210444</v>
      </c>
      <c r="B5519" t="str">
        <f>"1578728530441293"</f>
        <v>1578728530441293</v>
      </c>
      <c r="C5519" t="s">
        <v>37</v>
      </c>
      <c r="D5519">
        <v>5.6572680000000002</v>
      </c>
      <c r="E5519">
        <v>0.60243769999999996</v>
      </c>
      <c r="F5519" t="s">
        <v>46</v>
      </c>
      <c r="G5519">
        <v>-180.8537</v>
      </c>
      <c r="H5519" s="1">
        <v>-4.513942E-6</v>
      </c>
      <c r="I5519">
        <v>126.56189999999999</v>
      </c>
      <c r="J5519">
        <v>-188.66650000000001</v>
      </c>
      <c r="K5519">
        <v>1.0990690000000001</v>
      </c>
      <c r="L5519">
        <v>113.22839999999999</v>
      </c>
      <c r="M5519">
        <v>9.7631040000000002E-2</v>
      </c>
      <c r="N5519">
        <v>0</v>
      </c>
      <c r="O5519">
        <v>0.99497539999999995</v>
      </c>
      <c r="P5519">
        <v>0.26254820000000001</v>
      </c>
      <c r="Q5519">
        <v>3.1193950000000002E-2</v>
      </c>
      <c r="R5519">
        <v>0.96441449999999995</v>
      </c>
      <c r="S5519">
        <v>1.541641</v>
      </c>
      <c r="T5519">
        <v>-0.21566460000000001</v>
      </c>
      <c r="U5519">
        <v>2.7091219999999998</v>
      </c>
      <c r="V5519">
        <v>0.16855100000000001</v>
      </c>
      <c r="W5519">
        <v>4.8285599999999998E-2</v>
      </c>
      <c r="X5519">
        <v>0.98450959999999998</v>
      </c>
      <c r="Y5519">
        <v>0.40613080000000001</v>
      </c>
      <c r="Z5519">
        <v>-7.0127079999999994E-2</v>
      </c>
      <c r="AA5519">
        <v>0.91112019999999905</v>
      </c>
      <c r="AB5519">
        <v>49</v>
      </c>
      <c r="AC5519">
        <v>7.81280000000001</v>
      </c>
      <c r="AD5519">
        <v>-1.099073513942</v>
      </c>
      <c r="AE5519">
        <v>13.333500000000001</v>
      </c>
      <c r="AF5519">
        <v>6.4407958499965199</v>
      </c>
      <c r="AG5519">
        <v>-1.099073513942</v>
      </c>
      <c r="AH5519">
        <v>13.9621093150503</v>
      </c>
      <c r="AI5519">
        <v>94.088511847381</v>
      </c>
      <c r="AJ5519">
        <v>65.235870791925706</v>
      </c>
      <c r="AK5519">
        <v>15.415327122568399</v>
      </c>
    </row>
    <row r="5520" spans="1:37" x14ac:dyDescent="0.2">
      <c r="A5520" t="str">
        <f>"20200111154210464"</f>
        <v>20200111154210464</v>
      </c>
      <c r="B5520" t="str">
        <f>"1578728530461790"</f>
        <v>1578728530461790</v>
      </c>
      <c r="C5520" t="s">
        <v>37</v>
      </c>
      <c r="D5520">
        <v>5.63652</v>
      </c>
      <c r="E5520">
        <v>0.60273549999999998</v>
      </c>
      <c r="F5520" t="s">
        <v>46</v>
      </c>
      <c r="G5520">
        <v>-180.32589999999999</v>
      </c>
      <c r="H5520" s="1">
        <v>-4.8045840000000001E-6</v>
      </c>
      <c r="I5520">
        <v>127.39790000000001</v>
      </c>
      <c r="J5520">
        <v>-188.6155</v>
      </c>
      <c r="K5520">
        <v>1.0985750000000001</v>
      </c>
      <c r="L5520">
        <v>113.6942</v>
      </c>
      <c r="M5520">
        <v>0.108163</v>
      </c>
      <c r="N5520">
        <v>0</v>
      </c>
      <c r="O5520">
        <v>0.99388709999999902</v>
      </c>
      <c r="P5520">
        <v>0.27377240000000003</v>
      </c>
      <c r="Q5520">
        <v>2.9636989999999998E-2</v>
      </c>
      <c r="R5520">
        <v>0.96133780000000002</v>
      </c>
      <c r="S5520">
        <v>1.5815889999999999</v>
      </c>
      <c r="T5520">
        <v>-0.20840980000000001</v>
      </c>
      <c r="U5520">
        <v>2.686874</v>
      </c>
      <c r="V5520">
        <v>0.1696019</v>
      </c>
      <c r="W5520">
        <v>4.6444699999999901E-2</v>
      </c>
      <c r="X5520">
        <v>0.984417599999999</v>
      </c>
      <c r="Y5520">
        <v>0.40989690000000001</v>
      </c>
      <c r="Z5520">
        <v>-6.785455E-2</v>
      </c>
      <c r="AA5520">
        <v>0.90960450000000004</v>
      </c>
      <c r="AB5520">
        <v>49</v>
      </c>
      <c r="AC5520">
        <v>8.2896000000000001</v>
      </c>
      <c r="AD5520">
        <v>-1.0985798045840001</v>
      </c>
      <c r="AE5520">
        <v>13.7037</v>
      </c>
      <c r="AF5520">
        <v>6.7266972879905103</v>
      </c>
      <c r="AG5520">
        <v>-1.0985798045840001</v>
      </c>
      <c r="AH5520">
        <v>14.452113311012599</v>
      </c>
      <c r="AI5520">
        <v>93.942352848678794</v>
      </c>
      <c r="AJ5520">
        <v>65.040503311227496</v>
      </c>
      <c r="AK5520">
        <v>15.9787018604656</v>
      </c>
    </row>
    <row r="5521" spans="1:37" x14ac:dyDescent="0.2">
      <c r="A5521" t="str">
        <f>"20200111154210488"</f>
        <v>20200111154210488</v>
      </c>
      <c r="B5521" t="str">
        <f>"1578728530481309"</f>
        <v>1578728530481309</v>
      </c>
      <c r="C5521" t="s">
        <v>37</v>
      </c>
      <c r="D5521">
        <v>5.6759949999999897</v>
      </c>
      <c r="E5521">
        <v>0.60300450000000005</v>
      </c>
      <c r="F5521" t="s">
        <v>46</v>
      </c>
      <c r="G5521">
        <v>-180.06099999999901</v>
      </c>
      <c r="H5521" s="1">
        <v>-4.9495260000000001E-6</v>
      </c>
      <c r="I5521">
        <v>127.81399999999999</v>
      </c>
      <c r="J5521">
        <v>-188.554</v>
      </c>
      <c r="K5521">
        <v>1.0980669999999999</v>
      </c>
      <c r="L5521">
        <v>114.2021</v>
      </c>
      <c r="M5521">
        <v>0.1200894</v>
      </c>
      <c r="N5521">
        <v>0</v>
      </c>
      <c r="O5521">
        <v>0.99251809999999996</v>
      </c>
      <c r="P5521">
        <v>0.28625879999999998</v>
      </c>
      <c r="Q5521">
        <v>2.8923919999999999E-2</v>
      </c>
      <c r="R5521">
        <v>0.95771569999999995</v>
      </c>
      <c r="S5521">
        <v>1.6157379999999999</v>
      </c>
      <c r="T5521">
        <v>-0.2074965</v>
      </c>
      <c r="U5521">
        <v>2.6669160000000001</v>
      </c>
      <c r="V5521">
        <v>0.1706193</v>
      </c>
      <c r="W5521">
        <v>4.5434389999999998E-2</v>
      </c>
      <c r="X5521">
        <v>0.98428899999999997</v>
      </c>
      <c r="Y5521">
        <v>0.41049639999999998</v>
      </c>
      <c r="Z5521">
        <v>-6.7632380000000006E-2</v>
      </c>
      <c r="AA5521">
        <v>0.90935059999999901</v>
      </c>
      <c r="AB5521">
        <v>49</v>
      </c>
      <c r="AC5521">
        <v>8.4930000000000199</v>
      </c>
      <c r="AD5521">
        <v>-1.0980719495259901</v>
      </c>
      <c r="AE5521">
        <v>13.611899999999901</v>
      </c>
      <c r="AF5521">
        <v>6.7647772502427097</v>
      </c>
      <c r="AG5521">
        <v>-1.0980719495259901</v>
      </c>
      <c r="AH5521">
        <v>14.465751758742</v>
      </c>
      <c r="AI5521">
        <v>93.933535614743107</v>
      </c>
      <c r="AJ5521">
        <v>64.937286236149603</v>
      </c>
      <c r="AK5521">
        <v>16.007059292614802</v>
      </c>
    </row>
    <row r="5522" spans="1:37" x14ac:dyDescent="0.2">
      <c r="A5522" t="str">
        <f>"20200111154210510"</f>
        <v>20200111154210510</v>
      </c>
      <c r="B5522" t="str">
        <f>"1578728530501805"</f>
        <v>1578728530501805</v>
      </c>
      <c r="C5522" t="s">
        <v>37</v>
      </c>
      <c r="D5522">
        <v>5.6756719999999996</v>
      </c>
      <c r="E5522">
        <v>0.6032575</v>
      </c>
      <c r="F5522" t="s">
        <v>46</v>
      </c>
      <c r="G5522">
        <v>-179.68099999999899</v>
      </c>
      <c r="H5522" s="1">
        <v>-4.9354140000000002E-6</v>
      </c>
      <c r="I5522">
        <v>128.39959999999999</v>
      </c>
      <c r="J5522">
        <v>-188.49080000000001</v>
      </c>
      <c r="K5522">
        <v>1.0976090000000001</v>
      </c>
      <c r="L5522">
        <v>114.6799</v>
      </c>
      <c r="M5522">
        <v>0.13170129999999999</v>
      </c>
      <c r="N5522">
        <v>0</v>
      </c>
      <c r="O5522">
        <v>0.99104550000000002</v>
      </c>
      <c r="P5522">
        <v>0.29834640000000001</v>
      </c>
      <c r="Q5522">
        <v>2.8799439999999999E-2</v>
      </c>
      <c r="R5522">
        <v>0.95402310000000001</v>
      </c>
      <c r="S5522">
        <v>1.65281699999999</v>
      </c>
      <c r="T5522">
        <v>-0.204542</v>
      </c>
      <c r="U5522">
        <v>2.6446079999999998</v>
      </c>
      <c r="V5522">
        <v>0.1715835</v>
      </c>
      <c r="W5522">
        <v>4.5037109999999998E-2</v>
      </c>
      <c r="X5522">
        <v>0.9841396</v>
      </c>
      <c r="Y5522">
        <v>0.41247519999999999</v>
      </c>
      <c r="Z5522">
        <v>-6.6741179999999997E-2</v>
      </c>
      <c r="AA5522">
        <v>0.90852069999999996</v>
      </c>
      <c r="AB5522">
        <v>48</v>
      </c>
      <c r="AC5522">
        <v>8.8098000000000205</v>
      </c>
      <c r="AD5522">
        <v>-1.097613935414</v>
      </c>
      <c r="AE5522">
        <v>13.7196999999999</v>
      </c>
      <c r="AF5522">
        <v>6.8944406092299504</v>
      </c>
      <c r="AG5522">
        <v>-1.097613935414</v>
      </c>
      <c r="AH5522">
        <v>14.694087279691299</v>
      </c>
      <c r="AI5522">
        <v>93.868680308011406</v>
      </c>
      <c r="AJ5522">
        <v>64.864110690785594</v>
      </c>
      <c r="AK5522">
        <v>16.2681980762652</v>
      </c>
    </row>
    <row r="5523" spans="1:37" x14ac:dyDescent="0.2">
      <c r="A5523" t="str">
        <f>"20200111154210532"</f>
        <v>20200111154210532</v>
      </c>
      <c r="B5523" t="str">
        <f>"1578728530521328"</f>
        <v>1578728530521328</v>
      </c>
      <c r="C5523" t="s">
        <v>37</v>
      </c>
      <c r="D5523">
        <v>5.661308</v>
      </c>
      <c r="E5523">
        <v>0.60339880000000001</v>
      </c>
      <c r="F5523" t="s">
        <v>46</v>
      </c>
      <c r="G5523">
        <v>-179.28540000000001</v>
      </c>
      <c r="H5523" s="1">
        <v>-4.8270529999999997E-6</v>
      </c>
      <c r="I5523">
        <v>128.97999999999999</v>
      </c>
      <c r="J5523">
        <v>-188.4239</v>
      </c>
      <c r="K5523">
        <v>1.0971869999999999</v>
      </c>
      <c r="L5523">
        <v>115.1448</v>
      </c>
      <c r="M5523">
        <v>0.1433759</v>
      </c>
      <c r="N5523">
        <v>0</v>
      </c>
      <c r="O5523">
        <v>0.98942540000000001</v>
      </c>
      <c r="P5523">
        <v>0.30991609999999897</v>
      </c>
      <c r="Q5523">
        <v>2.9116409999999999E-2</v>
      </c>
      <c r="R5523">
        <v>0.950318</v>
      </c>
      <c r="S5523">
        <v>1.688293</v>
      </c>
      <c r="T5523">
        <v>-0.20130580000000001</v>
      </c>
      <c r="U5523">
        <v>2.622681</v>
      </c>
      <c r="V5523">
        <v>0.17199300000000001</v>
      </c>
      <c r="W5523">
        <v>4.5107139999999997E-2</v>
      </c>
      <c r="X5523">
        <v>0.98406489999999902</v>
      </c>
      <c r="Y5523">
        <v>0.41392440000000003</v>
      </c>
      <c r="Z5523">
        <v>-6.5745330000000005E-2</v>
      </c>
      <c r="AA5523">
        <v>0.90793400000000002</v>
      </c>
      <c r="AB5523">
        <v>48</v>
      </c>
      <c r="AC5523">
        <v>9.1384999999999899</v>
      </c>
      <c r="AD5523">
        <v>-1.0971918270529999</v>
      </c>
      <c r="AE5523">
        <v>13.835199999999899</v>
      </c>
      <c r="AF5523">
        <v>7.0291479854677297</v>
      </c>
      <c r="AG5523">
        <v>-1.0971918270529999</v>
      </c>
      <c r="AH5523">
        <v>14.9373385211286</v>
      </c>
      <c r="AI5523">
        <v>93.802396592498795</v>
      </c>
      <c r="AJ5523">
        <v>64.799466073657101</v>
      </c>
      <c r="AK5523">
        <v>16.544994209782899</v>
      </c>
    </row>
    <row r="5524" spans="1:37" x14ac:dyDescent="0.2">
      <c r="A5524" t="str">
        <f>"20200111154210553"</f>
        <v>20200111154210553</v>
      </c>
      <c r="B5524" t="str">
        <f>"1578728530551582"</f>
        <v>1578728530551582</v>
      </c>
      <c r="C5524" t="s">
        <v>37</v>
      </c>
      <c r="D5524">
        <v>5.6686589999999999</v>
      </c>
      <c r="E5524">
        <v>0.60366070000000005</v>
      </c>
      <c r="F5524" t="s">
        <v>46</v>
      </c>
      <c r="G5524">
        <v>-178.8776</v>
      </c>
      <c r="H5524" s="1">
        <v>-4.6845940000000003E-6</v>
      </c>
      <c r="I5524">
        <v>129.57040000000001</v>
      </c>
      <c r="J5524">
        <v>-188.35120000000001</v>
      </c>
      <c r="K5524">
        <v>1.096773</v>
      </c>
      <c r="L5524">
        <v>115.6114</v>
      </c>
      <c r="M5524">
        <v>0.15546689999999999</v>
      </c>
      <c r="N5524">
        <v>0</v>
      </c>
      <c r="O5524">
        <v>0.98759929999999996</v>
      </c>
      <c r="P5524">
        <v>0.32192100000000001</v>
      </c>
      <c r="Q5524">
        <v>3.1263890000000003E-2</v>
      </c>
      <c r="R5524">
        <v>0.94625020000000004</v>
      </c>
      <c r="S5524">
        <v>1.7215419999999999</v>
      </c>
      <c r="T5524">
        <v>-0.19786319999999999</v>
      </c>
      <c r="U5524">
        <v>2.6014560000000002</v>
      </c>
      <c r="V5524">
        <v>0.172538</v>
      </c>
      <c r="W5524">
        <v>4.7001029999999999E-2</v>
      </c>
      <c r="X5524">
        <v>0.98388089999999995</v>
      </c>
      <c r="Y5524">
        <v>0.41431560000000001</v>
      </c>
      <c r="Z5524">
        <v>-6.467001E-2</v>
      </c>
      <c r="AA5524">
        <v>0.9078328</v>
      </c>
      <c r="AB5524">
        <v>48</v>
      </c>
      <c r="AC5524">
        <v>9.4735999999999994</v>
      </c>
      <c r="AD5524">
        <v>-1.096777684594</v>
      </c>
      <c r="AE5524">
        <v>13.959</v>
      </c>
      <c r="AF5524">
        <v>7.1574230822026497</v>
      </c>
      <c r="AG5524">
        <v>-1.096777684594</v>
      </c>
      <c r="AH5524">
        <v>15.198137969522399</v>
      </c>
      <c r="AI5524">
        <v>93.735403326643294</v>
      </c>
      <c r="AJ5524">
        <v>64.782341069241596</v>
      </c>
      <c r="AK5524">
        <v>16.834934636276699</v>
      </c>
    </row>
    <row r="5525" spans="1:37" x14ac:dyDescent="0.2">
      <c r="A5525" t="str">
        <f>"20200111154210577"</f>
        <v>20200111154210577</v>
      </c>
      <c r="B5525" t="str">
        <f>"1578728530571102"</f>
        <v>1578728530571102</v>
      </c>
      <c r="C5525" t="s">
        <v>37</v>
      </c>
      <c r="D5525">
        <v>5.6487400000000001</v>
      </c>
      <c r="E5525">
        <v>0.60379579999999999</v>
      </c>
      <c r="F5525" t="s">
        <v>46</v>
      </c>
      <c r="G5525">
        <v>-178.30350000000001</v>
      </c>
      <c r="H5525" s="1">
        <v>-4.5877689999999997E-6</v>
      </c>
      <c r="I5525">
        <v>130.36529999999999</v>
      </c>
      <c r="J5525">
        <v>-188.26730000000001</v>
      </c>
      <c r="K5525">
        <v>1.0963479999999901</v>
      </c>
      <c r="L5525">
        <v>116.1105</v>
      </c>
      <c r="M5525">
        <v>0.16879820000000001</v>
      </c>
      <c r="N5525">
        <v>0</v>
      </c>
      <c r="O5525">
        <v>0.98541000000000001</v>
      </c>
      <c r="P5525">
        <v>0.33546550000000003</v>
      </c>
      <c r="Q5525">
        <v>3.3659050000000003E-2</v>
      </c>
      <c r="R5525">
        <v>0.94145100000000004</v>
      </c>
      <c r="S5525">
        <v>1.75647</v>
      </c>
      <c r="T5525">
        <v>-0.19172999999999901</v>
      </c>
      <c r="U5525">
        <v>2.5791629999999999</v>
      </c>
      <c r="V5525">
        <v>0.17350199999999999</v>
      </c>
      <c r="W5525">
        <v>4.9111460000000003E-2</v>
      </c>
      <c r="X5525">
        <v>0.98360820000000004</v>
      </c>
      <c r="Y5525">
        <v>0.41414719999999999</v>
      </c>
      <c r="Z5525">
        <v>-6.2696100000000005E-2</v>
      </c>
      <c r="AA5525">
        <v>0.90804810000000002</v>
      </c>
      <c r="AB5525">
        <v>48</v>
      </c>
      <c r="AC5525">
        <v>9.9637999999999902</v>
      </c>
      <c r="AD5525">
        <v>-1.0963525877689999</v>
      </c>
      <c r="AE5525">
        <v>14.2547999999999</v>
      </c>
      <c r="AF5525">
        <v>7.3846566859842202</v>
      </c>
      <c r="AG5525">
        <v>-1.0963525877689999</v>
      </c>
      <c r="AH5525">
        <v>15.670154914599699</v>
      </c>
      <c r="AI5525">
        <v>93.621350041104805</v>
      </c>
      <c r="AJ5525">
        <v>64.767554522835198</v>
      </c>
      <c r="AK5525">
        <v>17.3576754899414</v>
      </c>
    </row>
    <row r="5526" spans="1:37" x14ac:dyDescent="0.2">
      <c r="A5526" t="str">
        <f>"20200111154210599"</f>
        <v>20200111154210599</v>
      </c>
      <c r="B5526" t="str">
        <f>"1578728530591597"</f>
        <v>1578728530591597</v>
      </c>
      <c r="C5526" t="s">
        <v>37</v>
      </c>
      <c r="D5526">
        <v>5.6804160000000001</v>
      </c>
      <c r="E5526">
        <v>0.60401359999999904</v>
      </c>
      <c r="F5526" t="s">
        <v>46</v>
      </c>
      <c r="G5526">
        <v>-177.78450000000001</v>
      </c>
      <c r="H5526" s="1">
        <v>-4.4888460000000001E-6</v>
      </c>
      <c r="I5526">
        <v>131.03749999999999</v>
      </c>
      <c r="J5526">
        <v>-188.18099999999899</v>
      </c>
      <c r="K5526">
        <v>1.095944</v>
      </c>
      <c r="L5526">
        <v>116.5868</v>
      </c>
      <c r="M5526">
        <v>0.1818921</v>
      </c>
      <c r="N5526">
        <v>0</v>
      </c>
      <c r="O5526">
        <v>0.98307900000000004</v>
      </c>
      <c r="P5526">
        <v>0.34905729999999902</v>
      </c>
      <c r="Q5526">
        <v>3.5861030000000002E-2</v>
      </c>
      <c r="R5526">
        <v>0.936415</v>
      </c>
      <c r="S5526">
        <v>1.7936859999999999</v>
      </c>
      <c r="T5526">
        <v>-0.1875947</v>
      </c>
      <c r="U5526">
        <v>2.5541230000000001</v>
      </c>
      <c r="V5526">
        <v>0.17479059999999999</v>
      </c>
      <c r="W5526">
        <v>5.1031649999999998E-2</v>
      </c>
      <c r="X5526">
        <v>0.98328230000000005</v>
      </c>
      <c r="Y5526">
        <v>0.41514190000000001</v>
      </c>
      <c r="Z5526">
        <v>-6.1374409999999997E-2</v>
      </c>
      <c r="AA5526">
        <v>0.90768409999999999</v>
      </c>
      <c r="AB5526">
        <v>48</v>
      </c>
      <c r="AC5526">
        <v>10.3964999999999</v>
      </c>
      <c r="AD5526">
        <v>-1.095948488846</v>
      </c>
      <c r="AE5526">
        <v>14.4506999999999</v>
      </c>
      <c r="AF5526">
        <v>7.56522845482184</v>
      </c>
      <c r="AG5526">
        <v>-1.095948488846</v>
      </c>
      <c r="AH5526">
        <v>16.040219543530199</v>
      </c>
      <c r="AI5526">
        <v>93.536191754834206</v>
      </c>
      <c r="AJ5526">
        <v>64.749503879454593</v>
      </c>
      <c r="AK5526">
        <v>17.7685797876054</v>
      </c>
    </row>
    <row r="5527" spans="1:37" x14ac:dyDescent="0.2">
      <c r="A5527" t="str">
        <f>"20200111154210620"</f>
        <v>20200111154210620</v>
      </c>
      <c r="B5527" t="str">
        <f>"1578728530611117"</f>
        <v>1578728530611117</v>
      </c>
      <c r="C5527" t="s">
        <v>37</v>
      </c>
      <c r="D5527">
        <v>5.8904709999999998</v>
      </c>
      <c r="E5527">
        <v>0.60422299999999995</v>
      </c>
      <c r="F5527" t="s">
        <v>46</v>
      </c>
      <c r="G5527">
        <v>-177.3329</v>
      </c>
      <c r="H5527" s="1">
        <v>-4.3789539999999999E-6</v>
      </c>
      <c r="I5527">
        <v>131.5598</v>
      </c>
      <c r="J5527">
        <v>-188.09299999999999</v>
      </c>
      <c r="K5527">
        <v>1.0955619999999999</v>
      </c>
      <c r="L5527">
        <v>117.0397</v>
      </c>
      <c r="M5527">
        <v>0.1946764</v>
      </c>
      <c r="N5527">
        <v>0</v>
      </c>
      <c r="O5527">
        <v>0.98062890000000003</v>
      </c>
      <c r="P5527">
        <v>0.36237059999999999</v>
      </c>
      <c r="Q5527">
        <v>3.5964280000000001E-2</v>
      </c>
      <c r="R5527">
        <v>0.93133999999999995</v>
      </c>
      <c r="S5527">
        <v>1.8315889999999999</v>
      </c>
      <c r="T5527">
        <v>-0.18503900000000001</v>
      </c>
      <c r="U5527">
        <v>2.52802999999999</v>
      </c>
      <c r="V5527">
        <v>0.17605079999999901</v>
      </c>
      <c r="W5527">
        <v>5.0870220000000001E-2</v>
      </c>
      <c r="X5527">
        <v>0.98306579999999999</v>
      </c>
      <c r="Y5527">
        <v>0.41671000000000002</v>
      </c>
      <c r="Z5527">
        <v>-6.0556520000000003E-2</v>
      </c>
      <c r="AA5527">
        <v>0.90702019999999905</v>
      </c>
      <c r="AB5527">
        <v>48</v>
      </c>
      <c r="AC5527">
        <v>10.7600999999999</v>
      </c>
      <c r="AD5527">
        <v>-1.095566378954</v>
      </c>
      <c r="AE5527">
        <v>14.520099999999999</v>
      </c>
      <c r="AF5527">
        <v>7.6984617659037102</v>
      </c>
      <c r="AG5527">
        <v>-1.095566378954</v>
      </c>
      <c r="AH5527">
        <v>16.277572885871599</v>
      </c>
      <c r="AI5527">
        <v>93.4817899022581</v>
      </c>
      <c r="AJ5527">
        <v>64.688238814160101</v>
      </c>
      <c r="AK5527">
        <v>18.039566466704201</v>
      </c>
    </row>
    <row r="5528" spans="1:37" x14ac:dyDescent="0.2">
      <c r="A5528" t="str">
        <f>"20200111154210643"</f>
        <v>20200111154210643</v>
      </c>
      <c r="B5528" t="str">
        <f>"1578728530631613"</f>
        <v>1578728530631613</v>
      </c>
      <c r="C5528" t="s">
        <v>37</v>
      </c>
      <c r="D5528">
        <v>5.658506</v>
      </c>
      <c r="E5528">
        <v>0.60439580000000004</v>
      </c>
      <c r="F5528" t="s">
        <v>46</v>
      </c>
      <c r="G5528">
        <v>-177.14439999999999</v>
      </c>
      <c r="H5528" s="1">
        <v>-4.3027600000000003E-6</v>
      </c>
      <c r="I5528">
        <v>131.6978</v>
      </c>
      <c r="J5528">
        <v>-187.99860000000001</v>
      </c>
      <c r="K5528">
        <v>1.0951869999999999</v>
      </c>
      <c r="L5528">
        <v>117.495</v>
      </c>
      <c r="M5528">
        <v>0.207830499999999</v>
      </c>
      <c r="N5528">
        <v>0</v>
      </c>
      <c r="O5528">
        <v>0.97792710000000005</v>
      </c>
      <c r="P5528">
        <v>0.37668000000000001</v>
      </c>
      <c r="Q5528">
        <v>3.5075240000000001E-2</v>
      </c>
      <c r="R5528">
        <v>0.92567919999999904</v>
      </c>
      <c r="S5528">
        <v>1.8683779999999901</v>
      </c>
      <c r="T5528">
        <v>-0.18695909999999999</v>
      </c>
      <c r="U5528">
        <v>2.501404</v>
      </c>
      <c r="V5528">
        <v>0.17799509999999999</v>
      </c>
      <c r="W5528">
        <v>4.9692489999999999E-2</v>
      </c>
      <c r="X5528">
        <v>0.98277590000000004</v>
      </c>
      <c r="Y5528">
        <v>0.41767479999999901</v>
      </c>
      <c r="Z5528">
        <v>-6.1193339999999999E-2</v>
      </c>
      <c r="AA5528">
        <v>0.90653359999999905</v>
      </c>
      <c r="AB5528">
        <v>48</v>
      </c>
      <c r="AC5528">
        <v>10.854200000000001</v>
      </c>
      <c r="AD5528">
        <v>-1.09519130276</v>
      </c>
      <c r="AE5528">
        <v>14.2027999999999</v>
      </c>
      <c r="AF5528">
        <v>7.6359604075176799</v>
      </c>
      <c r="AG5528">
        <v>-1.09519130276</v>
      </c>
      <c r="AH5528">
        <v>16.088500429341199</v>
      </c>
      <c r="AI5528">
        <v>93.519129175209201</v>
      </c>
      <c r="AJ5528">
        <v>64.609943222647701</v>
      </c>
      <c r="AK5528">
        <v>17.842286327702801</v>
      </c>
    </row>
    <row r="5529" spans="1:37" x14ac:dyDescent="0.2">
      <c r="A5529" t="str">
        <f>"20200111154210665"</f>
        <v>20200111154210665</v>
      </c>
      <c r="B5529" t="str">
        <f>"1578728530661869"</f>
        <v>1578728530661869</v>
      </c>
      <c r="C5529" t="s">
        <v>37</v>
      </c>
      <c r="D5529">
        <v>5.6792999999999996</v>
      </c>
      <c r="E5529">
        <v>0.60448919999999995</v>
      </c>
      <c r="F5529" t="s">
        <v>46</v>
      </c>
      <c r="G5529">
        <v>-177.06049999999999</v>
      </c>
      <c r="H5529" s="1">
        <v>-4.234299E-6</v>
      </c>
      <c r="I5529">
        <v>131.66820000000001</v>
      </c>
      <c r="J5529">
        <v>-187.89410000000001</v>
      </c>
      <c r="K5529">
        <v>1.094819</v>
      </c>
      <c r="L5529">
        <v>117.9653</v>
      </c>
      <c r="M5529">
        <v>0.22174779999999999</v>
      </c>
      <c r="N5529">
        <v>0</v>
      </c>
      <c r="O5529">
        <v>0.97486700000000004</v>
      </c>
      <c r="P5529">
        <v>0.39201859999999999</v>
      </c>
      <c r="Q5529">
        <v>3.3721969999999997E-2</v>
      </c>
      <c r="R5529">
        <v>0.91933899999999902</v>
      </c>
      <c r="S5529">
        <v>1.9076389999999901</v>
      </c>
      <c r="T5529">
        <v>-0.19100520000000001</v>
      </c>
      <c r="U5529">
        <v>2.471848</v>
      </c>
      <c r="V5529">
        <v>0.1803023</v>
      </c>
      <c r="W5529">
        <v>4.8039369999999998E-2</v>
      </c>
      <c r="X5529">
        <v>0.98243740000000002</v>
      </c>
      <c r="Y5529">
        <v>0.41894680000000001</v>
      </c>
      <c r="Z5529">
        <v>-6.2518589999999999E-2</v>
      </c>
      <c r="AA5529">
        <v>0.90585599999999999</v>
      </c>
      <c r="AB5529">
        <v>47</v>
      </c>
      <c r="AC5529">
        <v>10.833600000000001</v>
      </c>
      <c r="AD5529">
        <v>-1.0948232342990001</v>
      </c>
      <c r="AE5529">
        <v>13.7029</v>
      </c>
      <c r="AF5529">
        <v>7.4950284777370397</v>
      </c>
      <c r="AG5529">
        <v>-1.0948232342990001</v>
      </c>
      <c r="AH5529">
        <v>15.702792156825099</v>
      </c>
      <c r="AI5529">
        <v>93.600395027036797</v>
      </c>
      <c r="AJ5529">
        <v>64.484601961813894</v>
      </c>
      <c r="AK5529">
        <v>17.434212666963099</v>
      </c>
    </row>
    <row r="5530" spans="1:37" x14ac:dyDescent="0.2">
      <c r="A5530" t="str">
        <f>"20200111154210689"</f>
        <v>20200111154210689</v>
      </c>
      <c r="B5530" t="str">
        <f>"1578728530681405"</f>
        <v>1578728530681405</v>
      </c>
      <c r="C5530" t="s">
        <v>37</v>
      </c>
      <c r="D5530">
        <v>5.6642239999999999</v>
      </c>
      <c r="E5530">
        <v>0.60450170000000003</v>
      </c>
      <c r="F5530" t="s">
        <v>46</v>
      </c>
      <c r="G5530">
        <v>-177.21209999999999</v>
      </c>
      <c r="H5530" s="1">
        <v>-4.2122789999999902E-6</v>
      </c>
      <c r="I5530">
        <v>131.33770000000001</v>
      </c>
      <c r="J5530">
        <v>-187.78049999999999</v>
      </c>
      <c r="K5530">
        <v>1.0944579999999999</v>
      </c>
      <c r="L5530">
        <v>118.446</v>
      </c>
      <c r="M5530">
        <v>0.236261</v>
      </c>
      <c r="N5530">
        <v>0</v>
      </c>
      <c r="O5530">
        <v>0.97145300000000001</v>
      </c>
      <c r="P5530">
        <v>0.40738950000000002</v>
      </c>
      <c r="Q5530">
        <v>3.1329570000000001E-2</v>
      </c>
      <c r="R5530">
        <v>0.912717</v>
      </c>
      <c r="S5530">
        <v>1.948761</v>
      </c>
      <c r="T5530">
        <v>-0.19973150000000001</v>
      </c>
      <c r="U5530">
        <v>2.439575</v>
      </c>
      <c r="V5530">
        <v>0.1820582</v>
      </c>
      <c r="W5530">
        <v>4.5379610000000001E-2</v>
      </c>
      <c r="X5530">
        <v>0.98224</v>
      </c>
      <c r="Y5530">
        <v>0.42046129999999998</v>
      </c>
      <c r="Z5530">
        <v>-6.5363160000000003E-2</v>
      </c>
      <c r="AA5530">
        <v>0.90495300000000001</v>
      </c>
      <c r="AB5530">
        <v>47</v>
      </c>
      <c r="AC5530">
        <v>10.568399999999899</v>
      </c>
      <c r="AD5530">
        <v>-1.094462212279</v>
      </c>
      <c r="AE5530">
        <v>12.8917</v>
      </c>
      <c r="AF5530">
        <v>7.19155902137972</v>
      </c>
      <c r="AG5530">
        <v>-1.094462212279</v>
      </c>
      <c r="AH5530">
        <v>14.959551893011101</v>
      </c>
      <c r="AI5530">
        <v>93.772498580186905</v>
      </c>
      <c r="AJ5530">
        <v>64.324843223219602</v>
      </c>
      <c r="AK5530">
        <v>16.6344390206519</v>
      </c>
    </row>
    <row r="5531" spans="1:37" x14ac:dyDescent="0.2">
      <c r="A5531" t="str">
        <f>"20200111154210710"</f>
        <v>20200111154210710</v>
      </c>
      <c r="B5531" t="str">
        <f>"1578728530701888"</f>
        <v>1578728530701888</v>
      </c>
      <c r="C5531" t="s">
        <v>37</v>
      </c>
      <c r="D5531">
        <v>5.6842839999999999</v>
      </c>
      <c r="E5531">
        <v>0.60463269999999902</v>
      </c>
      <c r="F5531" t="s">
        <v>46</v>
      </c>
      <c r="G5531">
        <v>-177.3989</v>
      </c>
      <c r="H5531" s="1">
        <v>-4.2133220000000001E-6</v>
      </c>
      <c r="I5531">
        <v>131.00460000000001</v>
      </c>
      <c r="J5531">
        <v>-187.66810000000001</v>
      </c>
      <c r="K5531">
        <v>1.0941459999999901</v>
      </c>
      <c r="L5531">
        <v>118.893999999999</v>
      </c>
      <c r="M5531">
        <v>0.25002269999999999</v>
      </c>
      <c r="N5531">
        <v>0</v>
      </c>
      <c r="O5531">
        <v>0.96800350000000002</v>
      </c>
      <c r="P5531">
        <v>0.422599</v>
      </c>
      <c r="Q5531">
        <v>2.9687020000000001E-2</v>
      </c>
      <c r="R5531">
        <v>0.90583040000000004</v>
      </c>
      <c r="S5531">
        <v>1.9891049999999999</v>
      </c>
      <c r="T5531">
        <v>-0.20969839999999901</v>
      </c>
      <c r="U5531">
        <v>2.4062349999999899</v>
      </c>
      <c r="V5531">
        <v>0.18449839999999901</v>
      </c>
      <c r="W5531">
        <v>4.346796E-2</v>
      </c>
      <c r="X5531">
        <v>0.981871099999999</v>
      </c>
      <c r="Y5531">
        <v>0.42261880000000002</v>
      </c>
      <c r="Z5531">
        <v>-6.8614739999999994E-2</v>
      </c>
      <c r="AA5531">
        <v>0.90370640000000002</v>
      </c>
      <c r="AB5531">
        <v>47</v>
      </c>
      <c r="AC5531">
        <v>10.2692</v>
      </c>
      <c r="AD5531">
        <v>-1.09415021332199</v>
      </c>
      <c r="AE5531">
        <v>12.1106</v>
      </c>
      <c r="AF5531">
        <v>6.8816035932307296</v>
      </c>
      <c r="AG5531">
        <v>-1.09415021332199</v>
      </c>
      <c r="AH5531">
        <v>14.226357576316699</v>
      </c>
      <c r="AI5531">
        <v>93.960573328544001</v>
      </c>
      <c r="AJ5531">
        <v>64.1859196626162</v>
      </c>
      <c r="AK5531">
        <v>15.841176805809001</v>
      </c>
    </row>
    <row r="5532" spans="1:37" x14ac:dyDescent="0.2">
      <c r="A5532" t="str">
        <f>"20200111154210732"</f>
        <v>20200111154210732</v>
      </c>
      <c r="B5532" t="str">
        <f>"1578728530721405"</f>
        <v>1578728530721405</v>
      </c>
      <c r="C5532" t="s">
        <v>37</v>
      </c>
      <c r="D5532">
        <v>5.6516919999999997</v>
      </c>
      <c r="E5532">
        <v>0.6047266</v>
      </c>
      <c r="F5532" t="s">
        <v>46</v>
      </c>
      <c r="G5532">
        <v>-177.37690000000001</v>
      </c>
      <c r="H5532" s="1">
        <v>-4.164395E-6</v>
      </c>
      <c r="I5532">
        <v>130.9153</v>
      </c>
      <c r="J5532">
        <v>-187.5522</v>
      </c>
      <c r="K5532">
        <v>1.093872</v>
      </c>
      <c r="L5532">
        <v>119.33159999999999</v>
      </c>
      <c r="M5532">
        <v>0.26367239999999997</v>
      </c>
      <c r="N5532">
        <v>0</v>
      </c>
      <c r="O5532">
        <v>0.96437569999999995</v>
      </c>
      <c r="P5532">
        <v>0.43746059999999998</v>
      </c>
      <c r="Q5532">
        <v>2.8969780000000001E-2</v>
      </c>
      <c r="R5532">
        <v>0.89877090000000004</v>
      </c>
      <c r="S5532">
        <v>2.0303650000000002</v>
      </c>
      <c r="T5532">
        <v>-0.21586520000000001</v>
      </c>
      <c r="U5532">
        <v>2.3716889999999999</v>
      </c>
      <c r="V5532">
        <v>0.1867885</v>
      </c>
      <c r="W5532">
        <v>4.2502310000000001E-2</v>
      </c>
      <c r="X5532">
        <v>0.98148029999999997</v>
      </c>
      <c r="Y5532">
        <v>0.42530459999999898</v>
      </c>
      <c r="Z5532">
        <v>-7.0608690000000002E-2</v>
      </c>
      <c r="AA5532">
        <v>0.90229179999999998</v>
      </c>
      <c r="AB5532">
        <v>47</v>
      </c>
      <c r="AC5532">
        <v>10.175299999999901</v>
      </c>
      <c r="AD5532">
        <v>-1.0938761643949999</v>
      </c>
      <c r="AE5532">
        <v>11.5837</v>
      </c>
      <c r="AF5532">
        <v>6.7261962992850499</v>
      </c>
      <c r="AG5532">
        <v>-1.0938761643949999</v>
      </c>
      <c r="AH5532">
        <v>13.7877459118631</v>
      </c>
      <c r="AI5532">
        <v>94.0785437922097</v>
      </c>
      <c r="AJ5532">
        <v>63.995087941584302</v>
      </c>
      <c r="AK5532">
        <v>15.3798640777364</v>
      </c>
    </row>
    <row r="5533" spans="1:37" x14ac:dyDescent="0.2">
      <c r="A5533" t="str">
        <f>"20200111154210754"</f>
        <v>20200111154210754</v>
      </c>
      <c r="B5533" t="str">
        <f>"1578728530751661"</f>
        <v>1578728530751661</v>
      </c>
      <c r="C5533" t="s">
        <v>37</v>
      </c>
      <c r="D5533">
        <v>5.6447349999999998</v>
      </c>
      <c r="E5533">
        <v>0.60479530000000004</v>
      </c>
      <c r="F5533" t="s">
        <v>46</v>
      </c>
      <c r="G5533">
        <v>-177.2337</v>
      </c>
      <c r="H5533" s="1">
        <v>-4.0926060000000002E-6</v>
      </c>
      <c r="I5533">
        <v>130.98349999999999</v>
      </c>
      <c r="J5533">
        <v>-187.42580000000001</v>
      </c>
      <c r="K5533">
        <v>1.0936049999999999</v>
      </c>
      <c r="L5533">
        <v>119.7838</v>
      </c>
      <c r="M5533">
        <v>0.27798579999999901</v>
      </c>
      <c r="N5533">
        <v>0</v>
      </c>
      <c r="O5533">
        <v>0.96034850000000005</v>
      </c>
      <c r="P5533">
        <v>0.45211089999999998</v>
      </c>
      <c r="Q5533">
        <v>2.8293390000000002E-2</v>
      </c>
      <c r="R5533">
        <v>0.89151290000000005</v>
      </c>
      <c r="S5533">
        <v>2.0699619999999999</v>
      </c>
      <c r="T5533">
        <v>-0.21943889999999999</v>
      </c>
      <c r="U5533">
        <v>2.33744799999999</v>
      </c>
      <c r="V5533">
        <v>0.18824399999999999</v>
      </c>
      <c r="W5533">
        <v>4.1617120000000001E-2</v>
      </c>
      <c r="X5533">
        <v>0.98124020000000001</v>
      </c>
      <c r="Y5533">
        <v>0.42692449999999998</v>
      </c>
      <c r="Z5533">
        <v>-7.1729319999999999E-2</v>
      </c>
      <c r="AA5533">
        <v>0.90143799999999996</v>
      </c>
      <c r="AB5533">
        <v>47</v>
      </c>
      <c r="AC5533">
        <v>10.1921</v>
      </c>
      <c r="AD5533">
        <v>-1.093609092606</v>
      </c>
      <c r="AE5533">
        <v>11.199699999999901</v>
      </c>
      <c r="AF5533">
        <v>6.6414894381410896</v>
      </c>
      <c r="AG5533">
        <v>-1.093609092606</v>
      </c>
      <c r="AH5533">
        <v>13.521443063695701</v>
      </c>
      <c r="AI5533">
        <v>94.152113159402106</v>
      </c>
      <c r="AJ5533">
        <v>63.8405601198412</v>
      </c>
      <c r="AK5533">
        <v>15.10413139936</v>
      </c>
    </row>
    <row r="5534" spans="1:37" x14ac:dyDescent="0.2">
      <c r="A5534" t="str">
        <f>"20200111154210777"</f>
        <v>20200111154210777</v>
      </c>
      <c r="B5534" t="str">
        <f>"1578728530771184"</f>
        <v>1578728530771184</v>
      </c>
      <c r="C5534" t="s">
        <v>37</v>
      </c>
      <c r="D5534">
        <v>5.6576610000000001</v>
      </c>
      <c r="E5534">
        <v>0.60484589999999905</v>
      </c>
      <c r="F5534" t="s">
        <v>46</v>
      </c>
      <c r="G5534">
        <v>-177.06389999999999</v>
      </c>
      <c r="H5534" s="1">
        <v>-4.0194540000000002E-6</v>
      </c>
      <c r="I5534">
        <v>131.096</v>
      </c>
      <c r="J5534">
        <v>-187.2902</v>
      </c>
      <c r="K5534">
        <v>1.093353</v>
      </c>
      <c r="L5534">
        <v>120.24339999999999</v>
      </c>
      <c r="M5534">
        <v>0.29273850000000001</v>
      </c>
      <c r="N5534">
        <v>0</v>
      </c>
      <c r="O5534">
        <v>0.95595560000000002</v>
      </c>
      <c r="P5534">
        <v>0.4663467</v>
      </c>
      <c r="Q5534">
        <v>2.8179630000000001E-2</v>
      </c>
      <c r="R5534">
        <v>0.88415309999999903</v>
      </c>
      <c r="S5534">
        <v>2.10911599999999</v>
      </c>
      <c r="T5534">
        <v>-0.2225993</v>
      </c>
      <c r="U5534">
        <v>2.3025359999999999</v>
      </c>
      <c r="V5534">
        <v>0.18888529999999901</v>
      </c>
      <c r="W5534">
        <v>4.13327E-2</v>
      </c>
      <c r="X5534">
        <v>0.98112889999999997</v>
      </c>
      <c r="Y5534">
        <v>0.42810490000000001</v>
      </c>
      <c r="Z5534">
        <v>-7.2689760000000006E-2</v>
      </c>
      <c r="AA5534">
        <v>0.90080099999999996</v>
      </c>
      <c r="AB5534">
        <v>47</v>
      </c>
      <c r="AC5534">
        <v>10.2263</v>
      </c>
      <c r="AD5534">
        <v>-1.0933570194540001</v>
      </c>
      <c r="AE5534">
        <v>10.852600000000001</v>
      </c>
      <c r="AF5534">
        <v>6.5651149455885696</v>
      </c>
      <c r="AG5534">
        <v>-1.0933570194540001</v>
      </c>
      <c r="AH5534">
        <v>13.2997627179248</v>
      </c>
      <c r="AI5534">
        <v>94.216031404248497</v>
      </c>
      <c r="AJ5534">
        <v>63.727833978407602</v>
      </c>
      <c r="AK5534">
        <v>14.872116600332401</v>
      </c>
    </row>
    <row r="5535" spans="1:37" x14ac:dyDescent="0.2">
      <c r="A5535" t="str">
        <f>"20200111154210799"</f>
        <v>20200111154210799</v>
      </c>
      <c r="B5535" t="str">
        <f>"1578728530791677"</f>
        <v>1578728530791677</v>
      </c>
      <c r="C5535" t="s">
        <v>37</v>
      </c>
      <c r="D5535">
        <v>5.6311109999999998</v>
      </c>
      <c r="E5535">
        <v>0.60486669999999998</v>
      </c>
      <c r="F5535" t="s">
        <v>46</v>
      </c>
      <c r="G5535">
        <v>-176.71430000000001</v>
      </c>
      <c r="H5535" s="1">
        <v>-3.9012809999999999E-6</v>
      </c>
      <c r="I5535">
        <v>131.41299999999899</v>
      </c>
      <c r="J5535">
        <v>-187.1499</v>
      </c>
      <c r="K5535">
        <v>1.0931230000000001</v>
      </c>
      <c r="L5535">
        <v>120.6952</v>
      </c>
      <c r="M5535">
        <v>0.30743480000000001</v>
      </c>
      <c r="N5535">
        <v>0</v>
      </c>
      <c r="O5535">
        <v>0.95133199999999996</v>
      </c>
      <c r="P5535">
        <v>0.48022809999999999</v>
      </c>
      <c r="Q5535">
        <v>2.9764639999999998E-2</v>
      </c>
      <c r="R5535">
        <v>0.87663849999999999</v>
      </c>
      <c r="S5535">
        <v>2.1471100000000001</v>
      </c>
      <c r="T5535">
        <v>-0.221971999999999</v>
      </c>
      <c r="U5535">
        <v>2.267639</v>
      </c>
      <c r="V5535">
        <v>0.18933710000000001</v>
      </c>
      <c r="W5535">
        <v>4.2760029999999997E-2</v>
      </c>
      <c r="X5535">
        <v>0.98098059999999998</v>
      </c>
      <c r="Y5535">
        <v>0.42908149999999901</v>
      </c>
      <c r="Z5535">
        <v>-7.2397669999999997E-2</v>
      </c>
      <c r="AA5535">
        <v>0.90035969999999999</v>
      </c>
      <c r="AB5535">
        <v>46</v>
      </c>
      <c r="AC5535">
        <v>10.4355999999999</v>
      </c>
      <c r="AD5535">
        <v>-1.0931269012810001</v>
      </c>
      <c r="AE5535">
        <v>10.717799999999899</v>
      </c>
      <c r="AF5535">
        <v>6.5989548030162402</v>
      </c>
      <c r="AG5535">
        <v>-1.0931269012810001</v>
      </c>
      <c r="AH5535">
        <v>13.336263864201699</v>
      </c>
      <c r="AI5535">
        <v>94.201678535396397</v>
      </c>
      <c r="AJ5535">
        <v>63.673202990656399</v>
      </c>
      <c r="AK5535">
        <v>14.9196871538973</v>
      </c>
    </row>
    <row r="5536" spans="1:37" x14ac:dyDescent="0.2">
      <c r="A5536" t="str">
        <f>"20200111154210820"</f>
        <v>20200111154210820</v>
      </c>
      <c r="B5536" t="str">
        <f>"1578728530811196"</f>
        <v>1578728530811196</v>
      </c>
      <c r="C5536" t="s">
        <v>37</v>
      </c>
      <c r="D5536">
        <v>5.6278559999999898</v>
      </c>
      <c r="E5536">
        <v>0.60490049999999995</v>
      </c>
      <c r="F5536" t="s">
        <v>46</v>
      </c>
      <c r="G5536">
        <v>-176.2543</v>
      </c>
      <c r="H5536" s="1">
        <v>-3.7512490000000001E-6</v>
      </c>
      <c r="I5536">
        <v>131.84450000000001</v>
      </c>
      <c r="J5536">
        <v>-187.00899999999999</v>
      </c>
      <c r="K5536">
        <v>1.0929139999999999</v>
      </c>
      <c r="L5536">
        <v>121.1264</v>
      </c>
      <c r="M5536">
        <v>0.32164169999999997</v>
      </c>
      <c r="N5536">
        <v>0</v>
      </c>
      <c r="O5536">
        <v>0.94662409999999997</v>
      </c>
      <c r="P5536">
        <v>0.49396440000000003</v>
      </c>
      <c r="Q5536">
        <v>3.0967910000000001E-2</v>
      </c>
      <c r="R5536">
        <v>0.86893050000000005</v>
      </c>
      <c r="S5536">
        <v>2.1829529999999999</v>
      </c>
      <c r="T5536">
        <v>-0.21900999999999901</v>
      </c>
      <c r="U5536">
        <v>2.2337950000000002</v>
      </c>
      <c r="V5536">
        <v>0.19017239999999999</v>
      </c>
      <c r="W5536">
        <v>4.379189E-2</v>
      </c>
      <c r="X5536">
        <v>0.98077349999999996</v>
      </c>
      <c r="Y5536">
        <v>0.42983270000000001</v>
      </c>
      <c r="Z5536">
        <v>-7.1331160000000005E-2</v>
      </c>
      <c r="AA5536">
        <v>0.90008650000000001</v>
      </c>
      <c r="AB5536">
        <v>46</v>
      </c>
      <c r="AC5536">
        <v>10.7547</v>
      </c>
      <c r="AD5536">
        <v>-1.092917751249</v>
      </c>
      <c r="AE5536">
        <v>10.7181</v>
      </c>
      <c r="AF5536">
        <v>6.7000698007279098</v>
      </c>
      <c r="AG5536">
        <v>-1.092917751249</v>
      </c>
      <c r="AH5536">
        <v>13.538087187254099</v>
      </c>
      <c r="AI5536">
        <v>94.138319424468605</v>
      </c>
      <c r="AJ5536">
        <v>63.668952653351703</v>
      </c>
      <c r="AK5536">
        <v>15.144807995987099</v>
      </c>
    </row>
    <row r="5537" spans="1:37" x14ac:dyDescent="0.2">
      <c r="A5537" t="str">
        <f>"20200111154210832"</f>
        <v>20200111154210832</v>
      </c>
      <c r="B5537" t="str">
        <f>"1578728530821934"</f>
        <v>1578728530821934</v>
      </c>
      <c r="C5537" t="s">
        <v>37</v>
      </c>
      <c r="D5537">
        <v>5.6024379999999896</v>
      </c>
      <c r="E5537">
        <v>0.60490969999999999</v>
      </c>
      <c r="F5537" t="s">
        <v>46</v>
      </c>
      <c r="G5537">
        <v>-175.84719999999999</v>
      </c>
      <c r="H5537" s="1">
        <v>-3.6055570000000001E-6</v>
      </c>
      <c r="I5537">
        <v>132.19239999999999</v>
      </c>
      <c r="J5537">
        <v>-186.9308</v>
      </c>
      <c r="K5537">
        <v>1.0928069999999901</v>
      </c>
      <c r="L5537">
        <v>121.35590000000001</v>
      </c>
      <c r="M5537">
        <v>0.32928390000000002</v>
      </c>
      <c r="N5537">
        <v>0</v>
      </c>
      <c r="O5537">
        <v>0.94399359999999999</v>
      </c>
      <c r="P5537">
        <v>0.50100800000000001</v>
      </c>
      <c r="Q5537">
        <v>3.186104E-2</v>
      </c>
      <c r="R5537">
        <v>0.86485590000000001</v>
      </c>
      <c r="S5537">
        <v>2.2182770000000001</v>
      </c>
      <c r="T5537">
        <v>-0.21720339999999999</v>
      </c>
      <c r="U5537">
        <v>2.1992189999999998</v>
      </c>
      <c r="V5537">
        <v>0.19027040000000001</v>
      </c>
      <c r="W5537">
        <v>4.4609349999999999E-2</v>
      </c>
      <c r="X5537">
        <v>0.98071769999999903</v>
      </c>
      <c r="Y5537">
        <v>0.43679839999999998</v>
      </c>
      <c r="Z5537">
        <v>-7.0768360000000002E-2</v>
      </c>
      <c r="AA5537">
        <v>0.8967714</v>
      </c>
      <c r="AB5537">
        <v>46</v>
      </c>
      <c r="AC5537">
        <v>11.083600000000001</v>
      </c>
      <c r="AD5537">
        <v>-1.0928106055569999</v>
      </c>
      <c r="AE5537">
        <v>10.8364999999999</v>
      </c>
      <c r="AF5537">
        <v>6.8620020917321201</v>
      </c>
      <c r="AG5537">
        <v>-1.0928106055569999</v>
      </c>
      <c r="AH5537">
        <v>13.813691330674899</v>
      </c>
      <c r="AI5537">
        <v>94.052663138720206</v>
      </c>
      <c r="AJ5537">
        <v>63.583942012147403</v>
      </c>
      <c r="AK5537">
        <v>15.4628385461957</v>
      </c>
    </row>
    <row r="5538" spans="1:37" x14ac:dyDescent="0.2">
      <c r="A5538" t="str">
        <f>"20200111154210845"</f>
        <v>20200111154210845</v>
      </c>
      <c r="B5538" t="str">
        <f>"1578728530841453"</f>
        <v>1578728530841453</v>
      </c>
      <c r="C5538" t="s">
        <v>37</v>
      </c>
      <c r="D5538">
        <v>5.6178460000000001</v>
      </c>
      <c r="E5538">
        <v>0.60494199999999998</v>
      </c>
      <c r="F5538" t="s">
        <v>46</v>
      </c>
      <c r="G5538">
        <v>-175.55449999999999</v>
      </c>
      <c r="H5538" s="1">
        <v>-3.5039629999999999E-6</v>
      </c>
      <c r="I5538">
        <v>132.45070000000001</v>
      </c>
      <c r="J5538">
        <v>-186.84979999999999</v>
      </c>
      <c r="K5538">
        <v>1.0926990000000001</v>
      </c>
      <c r="L5538">
        <v>121.5899</v>
      </c>
      <c r="M5538">
        <v>0.33709349999999999</v>
      </c>
      <c r="N5538">
        <v>0</v>
      </c>
      <c r="O5538">
        <v>0.94123369999999995</v>
      </c>
      <c r="P5538">
        <v>0.50831090000000001</v>
      </c>
      <c r="Q5538">
        <v>3.261112E-2</v>
      </c>
      <c r="R5538">
        <v>0.86055590000000004</v>
      </c>
      <c r="S5538">
        <v>2.23645</v>
      </c>
      <c r="T5538">
        <v>-0.21483539999999901</v>
      </c>
      <c r="U5538">
        <v>2.1811370000000001</v>
      </c>
      <c r="V5538">
        <v>0.190498</v>
      </c>
      <c r="W5538">
        <v>4.527482E-2</v>
      </c>
      <c r="X5538">
        <v>0.98064300000000004</v>
      </c>
      <c r="Y5538">
        <v>0.43675209999999998</v>
      </c>
      <c r="Z5538">
        <v>-6.9927660000000003E-2</v>
      </c>
      <c r="AA5538">
        <v>0.89685990000000004</v>
      </c>
      <c r="AB5538">
        <v>46</v>
      </c>
      <c r="AC5538">
        <v>11.2952999999999</v>
      </c>
      <c r="AD5538">
        <v>-1.0927025039630001</v>
      </c>
      <c r="AE5538">
        <v>10.860799999999999</v>
      </c>
      <c r="AF5538">
        <v>6.9382319094735898</v>
      </c>
      <c r="AG5538">
        <v>-1.0927025039630001</v>
      </c>
      <c r="AH5538">
        <v>13.965350880270099</v>
      </c>
      <c r="AI5538">
        <v>94.008299716062794</v>
      </c>
      <c r="AJ5538">
        <v>63.581005553068501</v>
      </c>
      <c r="AK5538">
        <v>15.632149116511901</v>
      </c>
    </row>
    <row r="5539" spans="1:37" x14ac:dyDescent="0.2">
      <c r="A5539" t="str">
        <f>"20200111154210858"</f>
        <v>20200111154210858</v>
      </c>
      <c r="B5539" t="str">
        <f>"1578728530851212"</f>
        <v>1578728530851212</v>
      </c>
      <c r="C5539" t="s">
        <v>37</v>
      </c>
      <c r="D5539">
        <v>5.5845370000000001</v>
      </c>
      <c r="E5539">
        <v>0.60496499999999997</v>
      </c>
      <c r="F5539" t="s">
        <v>46</v>
      </c>
      <c r="G5539">
        <v>-175.31880000000001</v>
      </c>
      <c r="H5539" s="1">
        <v>-3.4163359999999999E-6</v>
      </c>
      <c r="I5539">
        <v>132.64349999999999</v>
      </c>
      <c r="J5539">
        <v>-186.7569</v>
      </c>
      <c r="K5539">
        <v>1.092584</v>
      </c>
      <c r="L5539">
        <v>121.84899999999899</v>
      </c>
      <c r="M5539">
        <v>0.3458154</v>
      </c>
      <c r="N5539">
        <v>0</v>
      </c>
      <c r="O5539">
        <v>0.93806509999999999</v>
      </c>
      <c r="P5539">
        <v>0.51656930000000001</v>
      </c>
      <c r="Q5539">
        <v>3.3200750000000001E-2</v>
      </c>
      <c r="R5539">
        <v>0.85560149999999902</v>
      </c>
      <c r="S5539">
        <v>2.2553860000000001</v>
      </c>
      <c r="T5539">
        <v>-0.21372550000000001</v>
      </c>
      <c r="U5539">
        <v>2.1620180000000002</v>
      </c>
      <c r="V5539">
        <v>0.19087689999999999</v>
      </c>
      <c r="W5539">
        <v>4.5766880000000003E-2</v>
      </c>
      <c r="X5539">
        <v>0.98054649999999999</v>
      </c>
      <c r="Y5539">
        <v>0.43615399999999999</v>
      </c>
      <c r="Z5539">
        <v>-6.9473649999999998E-2</v>
      </c>
      <c r="AA5539">
        <v>0.89718619999999905</v>
      </c>
      <c r="AB5539">
        <v>46</v>
      </c>
      <c r="AC5539">
        <v>11.438099999999899</v>
      </c>
      <c r="AD5539">
        <v>-1.0925874163360001</v>
      </c>
      <c r="AE5539">
        <v>10.794499999999999</v>
      </c>
      <c r="AF5539">
        <v>6.9647248136968303</v>
      </c>
      <c r="AG5539">
        <v>-1.0925874163360001</v>
      </c>
      <c r="AH5539">
        <v>14.016905812511601</v>
      </c>
      <c r="AI5539">
        <v>93.993085986628699</v>
      </c>
      <c r="AJ5539">
        <v>63.578122234720198</v>
      </c>
      <c r="AK5539">
        <v>15.6899581755236</v>
      </c>
    </row>
    <row r="5540" spans="1:37" x14ac:dyDescent="0.2">
      <c r="A5540" t="str">
        <f>"20200111154210870"</f>
        <v>20200111154210870</v>
      </c>
      <c r="B5540" t="str">
        <f>"1578728530861949"</f>
        <v>1578728530861949</v>
      </c>
      <c r="C5540" t="s">
        <v>37</v>
      </c>
      <c r="D5540">
        <v>5.5957400000000002</v>
      </c>
      <c r="E5540">
        <v>0.6050103</v>
      </c>
      <c r="F5540" t="s">
        <v>46</v>
      </c>
      <c r="G5540">
        <v>-175.0609</v>
      </c>
      <c r="H5540" s="1">
        <v>-3.3168639999999998E-6</v>
      </c>
      <c r="I5540">
        <v>132.8449</v>
      </c>
      <c r="J5540">
        <v>-186.66319999999999</v>
      </c>
      <c r="K5540">
        <v>1.0924750000000001</v>
      </c>
      <c r="L5540">
        <v>122.1037</v>
      </c>
      <c r="M5540">
        <v>0.35443469999999999</v>
      </c>
      <c r="N5540">
        <v>0</v>
      </c>
      <c r="O5540">
        <v>0.93484310000000004</v>
      </c>
      <c r="P5540">
        <v>0.5247465</v>
      </c>
      <c r="Q5540">
        <v>3.409529E-2</v>
      </c>
      <c r="R5540">
        <v>0.85057539999999998</v>
      </c>
      <c r="S5540">
        <v>2.2764129999999998</v>
      </c>
      <c r="T5540">
        <v>-0.21265290000000001</v>
      </c>
      <c r="U5540">
        <v>2.1401669999999999</v>
      </c>
      <c r="V5540">
        <v>0.19131129999999999</v>
      </c>
      <c r="W5540">
        <v>4.6564260000000003E-2</v>
      </c>
      <c r="X5540">
        <v>0.98042430000000003</v>
      </c>
      <c r="Y5540">
        <v>0.43660529999999997</v>
      </c>
      <c r="Z5540">
        <v>-6.9044480000000005E-2</v>
      </c>
      <c r="AA5540">
        <v>0.89699980000000001</v>
      </c>
      <c r="AB5540">
        <v>46</v>
      </c>
      <c r="AC5540">
        <v>11.6022999999999</v>
      </c>
      <c r="AD5540">
        <v>-1.092478316864</v>
      </c>
      <c r="AE5540">
        <v>10.7411999999999</v>
      </c>
      <c r="AF5540">
        <v>7.00738554361073</v>
      </c>
      <c r="AG5540">
        <v>-1.092478316864</v>
      </c>
      <c r="AH5540">
        <v>14.089473344393101</v>
      </c>
      <c r="AI5540">
        <v>93.9714506617903</v>
      </c>
      <c r="AJ5540">
        <v>63.556590305675698</v>
      </c>
      <c r="AK5540">
        <v>15.7737192872191</v>
      </c>
    </row>
    <row r="5541" spans="1:37" x14ac:dyDescent="0.2">
      <c r="A5541" t="str">
        <f>"20200111154210883"</f>
        <v>20200111154210883</v>
      </c>
      <c r="B5541" t="str">
        <f>"1578728530881978"</f>
        <v>1578728530881978</v>
      </c>
      <c r="C5541" t="s">
        <v>37</v>
      </c>
      <c r="D5541">
        <v>5.5582029999999998</v>
      </c>
      <c r="E5541">
        <v>0.6050932</v>
      </c>
      <c r="F5541" t="s">
        <v>46</v>
      </c>
      <c r="G5541">
        <v>-174.81399999999999</v>
      </c>
      <c r="H5541" s="1">
        <v>-3.2534850000000001E-6</v>
      </c>
      <c r="I5541">
        <v>133.03139999999999</v>
      </c>
      <c r="J5541">
        <v>-186.56880000000001</v>
      </c>
      <c r="K5541">
        <v>1.0923620000000001</v>
      </c>
      <c r="L5541">
        <v>122.3553</v>
      </c>
      <c r="M5541">
        <v>0.36297229999999903</v>
      </c>
      <c r="N5541">
        <v>0</v>
      </c>
      <c r="O5541">
        <v>0.93156219999999901</v>
      </c>
      <c r="P5541">
        <v>0.53303780000000001</v>
      </c>
      <c r="Q5541">
        <v>3.4874820000000001E-2</v>
      </c>
      <c r="R5541">
        <v>0.84537240000000002</v>
      </c>
      <c r="S5541">
        <v>2.2970280000000001</v>
      </c>
      <c r="T5541">
        <v>-0.21178259999999999</v>
      </c>
      <c r="U5541">
        <v>2.1183930000000002</v>
      </c>
      <c r="V5541">
        <v>0.1919825</v>
      </c>
      <c r="W5541">
        <v>4.7235369999999999E-2</v>
      </c>
      <c r="X5541">
        <v>0.98026100000000005</v>
      </c>
      <c r="Y5541">
        <v>0.43700529999999999</v>
      </c>
      <c r="Z5541">
        <v>-6.8674830000000006E-2</v>
      </c>
      <c r="AA5541">
        <v>0.8968334</v>
      </c>
      <c r="AB5541">
        <v>46</v>
      </c>
      <c r="AC5541">
        <v>11.7547999999999</v>
      </c>
      <c r="AD5541">
        <v>-1.0923652534849999</v>
      </c>
      <c r="AE5541">
        <v>10.6760999999999</v>
      </c>
      <c r="AF5541">
        <v>7.0434349648343799</v>
      </c>
      <c r="AG5541">
        <v>-1.0923652534849999</v>
      </c>
      <c r="AH5541">
        <v>14.1483132807004</v>
      </c>
      <c r="AI5541">
        <v>93.953824761582794</v>
      </c>
      <c r="AJ5541">
        <v>63.534564980732</v>
      </c>
      <c r="AK5541">
        <v>15.8422853982535</v>
      </c>
    </row>
    <row r="5542" spans="1:37" x14ac:dyDescent="0.2">
      <c r="A5542" t="str">
        <f>"20200111154210901"</f>
        <v>20200111154210901</v>
      </c>
      <c r="B5542" t="str">
        <f>"1578728530891738"</f>
        <v>1578728530891738</v>
      </c>
      <c r="C5542" t="s">
        <v>37</v>
      </c>
      <c r="D5542">
        <v>5.569712</v>
      </c>
      <c r="E5542">
        <v>0.60511440000000005</v>
      </c>
      <c r="F5542" t="s">
        <v>46</v>
      </c>
      <c r="G5542">
        <v>-174.6534</v>
      </c>
      <c r="H5542" s="1">
        <v>-3.21900399999999E-6</v>
      </c>
      <c r="I5542">
        <v>133.12819999999999</v>
      </c>
      <c r="J5542">
        <v>-186.43979999999999</v>
      </c>
      <c r="K5542">
        <v>1.0922339999999999</v>
      </c>
      <c r="L5542">
        <v>122.6867</v>
      </c>
      <c r="M5542">
        <v>0.37430720000000001</v>
      </c>
      <c r="N5542">
        <v>0</v>
      </c>
      <c r="O5542">
        <v>0.92706690000000003</v>
      </c>
      <c r="P5542">
        <v>0.54425639999999997</v>
      </c>
      <c r="Q5542">
        <v>3.5287140000000002E-2</v>
      </c>
      <c r="R5542">
        <v>0.83817640000000004</v>
      </c>
      <c r="S5542">
        <v>2.3181150000000001</v>
      </c>
      <c r="T5542">
        <v>-0.2125174</v>
      </c>
      <c r="U5542">
        <v>2.0958399999999999</v>
      </c>
      <c r="V5542">
        <v>0.193126399999999</v>
      </c>
      <c r="W5542">
        <v>4.7494960000000003E-2</v>
      </c>
      <c r="X5542">
        <v>0.98002369999999905</v>
      </c>
      <c r="Y5542">
        <v>0.4348939</v>
      </c>
      <c r="Z5542">
        <v>-6.874545E-2</v>
      </c>
      <c r="AA5542">
        <v>0.89785369999999998</v>
      </c>
      <c r="AB5542">
        <v>46</v>
      </c>
      <c r="AC5542">
        <v>11.786399999999899</v>
      </c>
      <c r="AD5542">
        <v>-1.0922372190039999</v>
      </c>
      <c r="AE5542">
        <v>10.4414999999999</v>
      </c>
      <c r="AF5542">
        <v>6.9863860884572198</v>
      </c>
      <c r="AG5542">
        <v>-1.0922372190039999</v>
      </c>
      <c r="AH5542">
        <v>14.027319865909099</v>
      </c>
      <c r="AI5542">
        <v>93.986993155145399</v>
      </c>
      <c r="AJ5542">
        <v>63.524139985678303</v>
      </c>
      <c r="AK5542">
        <v>15.708859772118901</v>
      </c>
    </row>
    <row r="5543" spans="1:37" x14ac:dyDescent="0.2">
      <c r="A5543" t="str">
        <f>"20200111154210916"</f>
        <v>20200111154210916</v>
      </c>
      <c r="B5543" t="str">
        <f>"1578728530911259"</f>
        <v>1578728530911259</v>
      </c>
      <c r="C5543" t="s">
        <v>37</v>
      </c>
      <c r="D5543">
        <v>5.5566570000000004</v>
      </c>
      <c r="E5543">
        <v>0.6051919</v>
      </c>
      <c r="F5543" t="s">
        <v>46</v>
      </c>
      <c r="G5543">
        <v>-174.41390000000001</v>
      </c>
      <c r="H5543" s="1">
        <v>-3.1680680000000002E-6</v>
      </c>
      <c r="I5543">
        <v>133.2739</v>
      </c>
      <c r="J5543">
        <v>-186.33269999999999</v>
      </c>
      <c r="K5543">
        <v>1.0921319999999901</v>
      </c>
      <c r="L5543">
        <v>122.9524</v>
      </c>
      <c r="M5543">
        <v>0.3834593</v>
      </c>
      <c r="N5543">
        <v>0</v>
      </c>
      <c r="O5543">
        <v>0.92331980000000002</v>
      </c>
      <c r="P5543">
        <v>0.55286069999999998</v>
      </c>
      <c r="Q5543">
        <v>3.5000389999999999E-2</v>
      </c>
      <c r="R5543">
        <v>0.83253840000000001</v>
      </c>
      <c r="S5543">
        <v>2.3456419999999998</v>
      </c>
      <c r="T5543">
        <v>-0.21303949999999999</v>
      </c>
      <c r="U5543">
        <v>2.0650179999999998</v>
      </c>
      <c r="V5543">
        <v>0.19351789999999999</v>
      </c>
      <c r="W5543">
        <v>4.7112010000000003E-2</v>
      </c>
      <c r="X5543">
        <v>0.97996499999999997</v>
      </c>
      <c r="Y5543">
        <v>0.437855199999999</v>
      </c>
      <c r="Z5543">
        <v>-6.8846809999999994E-2</v>
      </c>
      <c r="AA5543">
        <v>0.89640560000000002</v>
      </c>
      <c r="AB5543">
        <v>46</v>
      </c>
      <c r="AC5543">
        <v>11.9187999999999</v>
      </c>
      <c r="AD5543">
        <v>-1.09213516806799</v>
      </c>
      <c r="AE5543">
        <v>10.3215</v>
      </c>
      <c r="AF5543">
        <v>7.0148800698580702</v>
      </c>
      <c r="AG5543">
        <v>-1.09213516806799</v>
      </c>
      <c r="AH5543">
        <v>14.036173072138199</v>
      </c>
      <c r="AI5543">
        <v>93.981394171249093</v>
      </c>
      <c r="AJ5543">
        <v>63.445420837887099</v>
      </c>
      <c r="AK5543">
        <v>15.7294455125043</v>
      </c>
    </row>
    <row r="5544" spans="1:37" x14ac:dyDescent="0.2">
      <c r="A5544" t="str">
        <f>"20200111154210929"</f>
        <v>20200111154210929</v>
      </c>
      <c r="B5544" t="str">
        <f>"1578728530921994"</f>
        <v>1578728530921994</v>
      </c>
      <c r="C5544" t="s">
        <v>37</v>
      </c>
      <c r="D5544">
        <v>5.5755929999999996</v>
      </c>
      <c r="E5544">
        <v>0.60521579999999997</v>
      </c>
      <c r="F5544" t="s">
        <v>46</v>
      </c>
      <c r="G5544">
        <v>-174.29660000000001</v>
      </c>
      <c r="H5544" s="1">
        <v>-3.1347889999999999E-6</v>
      </c>
      <c r="I5544">
        <v>133.32320000000001</v>
      </c>
      <c r="J5544">
        <v>-186.21520000000001</v>
      </c>
      <c r="K5544">
        <v>1.0920259999999999</v>
      </c>
      <c r="L5544">
        <v>123.2371</v>
      </c>
      <c r="M5544">
        <v>0.39329779999999998</v>
      </c>
      <c r="N5544">
        <v>0</v>
      </c>
      <c r="O5544">
        <v>0.91917309999999997</v>
      </c>
      <c r="P5544">
        <v>0.56216129999999997</v>
      </c>
      <c r="Q5544">
        <v>3.5244440000000002E-2</v>
      </c>
      <c r="R5544">
        <v>0.82627640000000002</v>
      </c>
      <c r="S5544">
        <v>2.3677220000000001</v>
      </c>
      <c r="T5544">
        <v>-0.2148429</v>
      </c>
      <c r="U5544">
        <v>2.0401310000000001</v>
      </c>
      <c r="V5544">
        <v>0.19406479999999901</v>
      </c>
      <c r="W5544">
        <v>4.724681E-2</v>
      </c>
      <c r="X5544">
        <v>0.97985029999999995</v>
      </c>
      <c r="Y5544">
        <v>0.43777450000000001</v>
      </c>
      <c r="Z5544">
        <v>-6.9291149999999996E-2</v>
      </c>
      <c r="AA5544">
        <v>0.8964107</v>
      </c>
      <c r="AB5544">
        <v>46</v>
      </c>
      <c r="AC5544">
        <v>11.9185999999999</v>
      </c>
      <c r="AD5544">
        <v>-1.0920291347890001</v>
      </c>
      <c r="AE5544">
        <v>10.0861</v>
      </c>
      <c r="AF5544">
        <v>6.9559185668567496</v>
      </c>
      <c r="AG5544">
        <v>-1.0920291347890001</v>
      </c>
      <c r="AH5544">
        <v>13.893522521648199</v>
      </c>
      <c r="AI5544">
        <v>94.020326852900894</v>
      </c>
      <c r="AJ5544">
        <v>63.404745588410002</v>
      </c>
      <c r="AK5544">
        <v>15.575856278211999</v>
      </c>
    </row>
    <row r="5545" spans="1:37" x14ac:dyDescent="0.2">
      <c r="A5545" t="str">
        <f>"20200111154210944"</f>
        <v>20200111154210944</v>
      </c>
      <c r="B5545" t="str">
        <f>"1578728530931754"</f>
        <v>1578728530931754</v>
      </c>
      <c r="C5545" t="s">
        <v>37</v>
      </c>
      <c r="D5545">
        <v>5.5674469999999996</v>
      </c>
      <c r="E5545">
        <v>0.6052341</v>
      </c>
      <c r="F5545" t="s">
        <v>46</v>
      </c>
      <c r="G5545">
        <v>-174.07859999999999</v>
      </c>
      <c r="H5545" s="1">
        <v>-3.0892439999999999E-6</v>
      </c>
      <c r="I5545">
        <v>133.458</v>
      </c>
      <c r="J5545">
        <v>-186.1018</v>
      </c>
      <c r="K5545">
        <v>1.091928</v>
      </c>
      <c r="L5545">
        <v>123.5056</v>
      </c>
      <c r="M5545">
        <v>0.40260609999999902</v>
      </c>
      <c r="N5545">
        <v>0</v>
      </c>
      <c r="O5545">
        <v>0.91513509999999998</v>
      </c>
      <c r="P5545">
        <v>0.57166280000000003</v>
      </c>
      <c r="Q5545">
        <v>3.5096479999999999E-2</v>
      </c>
      <c r="R5545">
        <v>0.81973770000000001</v>
      </c>
      <c r="S5545">
        <v>2.3907620000000001</v>
      </c>
      <c r="T5545">
        <v>-0.21511540000000001</v>
      </c>
      <c r="U5545">
        <v>2.013382</v>
      </c>
      <c r="V5545">
        <v>0.19543089999999999</v>
      </c>
      <c r="W5545">
        <v>4.6953880000000003E-2</v>
      </c>
      <c r="X5545">
        <v>0.97959280000000004</v>
      </c>
      <c r="Y5545">
        <v>0.43877959999999899</v>
      </c>
      <c r="Z5545">
        <v>-6.9261550000000005E-2</v>
      </c>
      <c r="AA5545">
        <v>0.89592150000000004</v>
      </c>
      <c r="AB5545">
        <v>45</v>
      </c>
      <c r="AC5545">
        <v>12.023199999999999</v>
      </c>
      <c r="AD5545">
        <v>-1.091931089244</v>
      </c>
      <c r="AE5545">
        <v>9.9523999999999901</v>
      </c>
      <c r="AF5545">
        <v>6.9633995955894497</v>
      </c>
      <c r="AG5545">
        <v>-1.091931089244</v>
      </c>
      <c r="AH5545">
        <v>13.8834951109447</v>
      </c>
      <c r="AI5545">
        <v>94.021415135946697</v>
      </c>
      <c r="AJ5545">
        <v>63.363508802802201</v>
      </c>
      <c r="AK5545">
        <v>15.5702499635407</v>
      </c>
    </row>
    <row r="5546" spans="1:37" x14ac:dyDescent="0.2">
      <c r="A5546" t="str">
        <f>"20200111154210958"</f>
        <v>20200111154210958</v>
      </c>
      <c r="B5546" t="str">
        <f>"1578728530951276"</f>
        <v>1578728530951276</v>
      </c>
      <c r="C5546" t="s">
        <v>37</v>
      </c>
      <c r="D5546">
        <v>5.5901370000000004</v>
      </c>
      <c r="E5546">
        <v>0.60526919999999995</v>
      </c>
      <c r="F5546" t="s">
        <v>46</v>
      </c>
      <c r="G5546">
        <v>-174.0196</v>
      </c>
      <c r="H5546" s="1">
        <v>-3.05877499999999E-6</v>
      </c>
      <c r="I5546">
        <v>133.44669999999999</v>
      </c>
      <c r="J5546">
        <v>-185.99019999999999</v>
      </c>
      <c r="K5546">
        <v>1.0918410000000001</v>
      </c>
      <c r="L5546">
        <v>123.7607</v>
      </c>
      <c r="M5546">
        <v>0.41150949999999997</v>
      </c>
      <c r="N5546">
        <v>0</v>
      </c>
      <c r="O5546">
        <v>0.91116710000000001</v>
      </c>
      <c r="P5546">
        <v>0.58052930000000003</v>
      </c>
      <c r="Q5546">
        <v>3.4987360000000002E-2</v>
      </c>
      <c r="R5546">
        <v>0.81348739999999997</v>
      </c>
      <c r="S5546">
        <v>2.413589</v>
      </c>
      <c r="T5546">
        <v>-0.21812860000000001</v>
      </c>
      <c r="U5546">
        <v>1.98587</v>
      </c>
      <c r="V5546">
        <v>0.19651569999999999</v>
      </c>
      <c r="W5546">
        <v>4.6720490000000003E-2</v>
      </c>
      <c r="X5546">
        <v>0.97938689999999995</v>
      </c>
      <c r="Y5546">
        <v>0.440218</v>
      </c>
      <c r="Z5546">
        <v>-7.0120970000000005E-2</v>
      </c>
      <c r="AA5546">
        <v>0.89514869999999902</v>
      </c>
      <c r="AB5546">
        <v>45</v>
      </c>
      <c r="AC5546">
        <v>11.9705999999999</v>
      </c>
      <c r="AD5546">
        <v>-1.091844058775</v>
      </c>
      <c r="AE5546">
        <v>9.6859999999999893</v>
      </c>
      <c r="AF5546">
        <v>6.8882083967669496</v>
      </c>
      <c r="AG5546">
        <v>-1.091844058775</v>
      </c>
      <c r="AH5546">
        <v>13.685761194455599</v>
      </c>
      <c r="AI5546">
        <v>94.076141330199903</v>
      </c>
      <c r="AJ5546">
        <v>63.283337266901498</v>
      </c>
      <c r="AK5546">
        <v>15.3603254469962</v>
      </c>
    </row>
    <row r="5547" spans="1:37" x14ac:dyDescent="0.2">
      <c r="A5547" t="str">
        <f>"20200111154210969"</f>
        <v>20200111154210969</v>
      </c>
      <c r="B5547" t="str">
        <f>"1578728530962010"</f>
        <v>1578728530962010</v>
      </c>
      <c r="C5547" t="s">
        <v>37</v>
      </c>
      <c r="D5547">
        <v>5.513611</v>
      </c>
      <c r="E5547">
        <v>0.60618439999999996</v>
      </c>
      <c r="F5547" t="s">
        <v>46</v>
      </c>
      <c r="G5547">
        <v>-173.90710000000001</v>
      </c>
      <c r="H5547" s="1">
        <v>-3.022888E-6</v>
      </c>
      <c r="I5547">
        <v>133.48349999999999</v>
      </c>
      <c r="J5547">
        <v>-185.89349999999999</v>
      </c>
      <c r="K5547">
        <v>1.091769</v>
      </c>
      <c r="L5547">
        <v>123.97709999999999</v>
      </c>
      <c r="M5547">
        <v>0.41907909999999998</v>
      </c>
      <c r="N5547">
        <v>0</v>
      </c>
      <c r="O5547">
        <v>0.90771119999999905</v>
      </c>
      <c r="P5547">
        <v>0.58768959999999903</v>
      </c>
      <c r="Q5547">
        <v>3.4689020000000001E-2</v>
      </c>
      <c r="R5547">
        <v>0.80834249999999996</v>
      </c>
      <c r="S5547">
        <v>2.435165</v>
      </c>
      <c r="T5547">
        <v>-0.22004589999999999</v>
      </c>
      <c r="U5547">
        <v>1.9594879999999999</v>
      </c>
      <c r="V5547">
        <v>0.19699849999999999</v>
      </c>
      <c r="W5547">
        <v>4.6338480000000001E-2</v>
      </c>
      <c r="X5547">
        <v>0.97930810000000001</v>
      </c>
      <c r="Y5547">
        <v>0.44247529999999902</v>
      </c>
      <c r="Z5547">
        <v>-7.0653270000000004E-2</v>
      </c>
      <c r="AA5547">
        <v>0.89399309999999998</v>
      </c>
      <c r="AB5547">
        <v>45</v>
      </c>
      <c r="AC5547">
        <v>11.9863999999999</v>
      </c>
      <c r="AD5547">
        <v>-1.0917720228879999</v>
      </c>
      <c r="AE5547">
        <v>9.5063999999999993</v>
      </c>
      <c r="AF5547">
        <v>6.8627983560136796</v>
      </c>
      <c r="AG5547">
        <v>-1.0917720228879999</v>
      </c>
      <c r="AH5547">
        <v>13.5860804169599</v>
      </c>
      <c r="AI5547">
        <v>94.102679286708394</v>
      </c>
      <c r="AJ5547">
        <v>63.200082958605101</v>
      </c>
      <c r="AK5547">
        <v>15.2601293743325</v>
      </c>
    </row>
    <row r="5548" spans="1:37" x14ac:dyDescent="0.2">
      <c r="A5548" t="str">
        <f>"20200111154210981"</f>
        <v>20200111154210981</v>
      </c>
      <c r="B5548" t="str">
        <f>"1578728530971772"</f>
        <v>1578728530971772</v>
      </c>
      <c r="C5548" t="s">
        <v>37</v>
      </c>
      <c r="D5548">
        <v>5.5845060000000002</v>
      </c>
      <c r="E5548">
        <v>0.60365819999999903</v>
      </c>
      <c r="F5548" t="s">
        <v>46</v>
      </c>
      <c r="G5548">
        <v>-177.6713</v>
      </c>
      <c r="H5548" s="1">
        <v>-4.1857329999999999E-6</v>
      </c>
      <c r="I5548">
        <v>130.44229999999999</v>
      </c>
      <c r="J5548">
        <v>-185.78799999999899</v>
      </c>
      <c r="K5548">
        <v>1.091691</v>
      </c>
      <c r="L5548">
        <v>124.2094</v>
      </c>
      <c r="M5548">
        <v>0.42721809999999899</v>
      </c>
      <c r="N5548">
        <v>0</v>
      </c>
      <c r="O5548">
        <v>0.90390990000000004</v>
      </c>
      <c r="P5548">
        <v>0.59540099999999996</v>
      </c>
      <c r="Q5548">
        <v>3.4371869999999999E-2</v>
      </c>
      <c r="R5548">
        <v>0.8026932</v>
      </c>
      <c r="S5548">
        <v>2.4616389999999999</v>
      </c>
      <c r="T5548">
        <v>-0.3268643</v>
      </c>
      <c r="U5548">
        <v>1.9356229999999901</v>
      </c>
      <c r="V5548">
        <v>0.19755980000000001</v>
      </c>
      <c r="W5548">
        <v>4.5929310000000001E-2</v>
      </c>
      <c r="X5548">
        <v>0.97921429999999998</v>
      </c>
      <c r="Y5548">
        <v>0.44196469999999999</v>
      </c>
      <c r="Z5548">
        <v>-0.104285899999999</v>
      </c>
      <c r="AA5548">
        <v>0.89094989999999996</v>
      </c>
      <c r="AB5548">
        <v>45</v>
      </c>
      <c r="AC5548">
        <v>8.1166999999999803</v>
      </c>
      <c r="AD5548">
        <v>-1.091695185733</v>
      </c>
      <c r="AE5548">
        <v>6.2328999999999803</v>
      </c>
      <c r="AF5548">
        <v>4.6223654205577596</v>
      </c>
      <c r="AG5548">
        <v>-1.091695185733</v>
      </c>
      <c r="AH5548">
        <v>9.0011155331188206</v>
      </c>
      <c r="AI5548">
        <v>96.157811053745505</v>
      </c>
      <c r="AJ5548">
        <v>62.818027784533299</v>
      </c>
      <c r="AK5548">
        <v>10.177334685479901</v>
      </c>
    </row>
    <row r="5549" spans="1:37" x14ac:dyDescent="0.2">
      <c r="A5549" t="str">
        <f>"20200111154210993"</f>
        <v>20200111154210993</v>
      </c>
      <c r="B5549" t="str">
        <f>"1578728530981062"</f>
        <v>1578728530981062</v>
      </c>
      <c r="C5549" t="s">
        <v>37</v>
      </c>
      <c r="D5549">
        <v>5.6848599999999996</v>
      </c>
      <c r="E5549">
        <v>0.60166929999999996</v>
      </c>
      <c r="F5549" t="s">
        <v>46</v>
      </c>
      <c r="G5549">
        <v>-177.84569999999999</v>
      </c>
      <c r="H5549" s="1">
        <v>-4.292086E-6</v>
      </c>
      <c r="I5549">
        <v>130.40899999999999</v>
      </c>
      <c r="J5549">
        <v>-185.68950000000001</v>
      </c>
      <c r="K5549">
        <v>1.0916239999999999</v>
      </c>
      <c r="L5549">
        <v>124.4191</v>
      </c>
      <c r="M5549">
        <v>0.43461159999999999</v>
      </c>
      <c r="N5549">
        <v>0</v>
      </c>
      <c r="O5549">
        <v>0.90037909999999899</v>
      </c>
      <c r="P5549">
        <v>0.60265669999999905</v>
      </c>
      <c r="Q5549">
        <v>3.3878899999999899E-2</v>
      </c>
      <c r="R5549">
        <v>0.79728109999999996</v>
      </c>
      <c r="S5549">
        <v>2.464569</v>
      </c>
      <c r="T5549">
        <v>-0.33876400000000001</v>
      </c>
      <c r="U5549">
        <v>1.923813</v>
      </c>
      <c r="V5549">
        <v>0.19838919999999999</v>
      </c>
      <c r="W5549">
        <v>4.5339119999999997E-2</v>
      </c>
      <c r="X5549">
        <v>0.97907409999999995</v>
      </c>
      <c r="Y5549">
        <v>0.43744269999999902</v>
      </c>
      <c r="Z5549">
        <v>-0.1078992</v>
      </c>
      <c r="AA5549">
        <v>0.89274949999999997</v>
      </c>
      <c r="AB5549">
        <v>45</v>
      </c>
      <c r="AC5549">
        <v>7.8438000000000097</v>
      </c>
      <c r="AD5549">
        <v>-1.0916282920860001</v>
      </c>
      <c r="AE5549">
        <v>5.9898999999999898</v>
      </c>
      <c r="AF5549">
        <v>4.4061675693498996</v>
      </c>
      <c r="AG5549">
        <v>-1.0916282920860001</v>
      </c>
      <c r="AH5549">
        <v>8.6976730723678397</v>
      </c>
      <c r="AI5549">
        <v>96.388293725361905</v>
      </c>
      <c r="AJ5549">
        <v>63.133612320141701</v>
      </c>
      <c r="AK5549">
        <v>9.8109878121963892</v>
      </c>
    </row>
    <row r="5550" spans="1:37" x14ac:dyDescent="0.2">
      <c r="A5550" t="str">
        <f>"20200111154211005"</f>
        <v>20200111154211005</v>
      </c>
      <c r="B5550" t="str">
        <f>"1578728531001558"</f>
        <v>1578728531001558</v>
      </c>
      <c r="C5550" t="s">
        <v>37</v>
      </c>
      <c r="D5550">
        <v>5.6254819999999999</v>
      </c>
      <c r="E5550">
        <v>0.60039569999999998</v>
      </c>
      <c r="F5550" t="s">
        <v>46</v>
      </c>
      <c r="G5550">
        <v>-177.87909999999999</v>
      </c>
      <c r="H5550" s="1">
        <v>-4.3350790000000003E-6</v>
      </c>
      <c r="I5550">
        <v>130.4624</v>
      </c>
      <c r="J5550">
        <v>-185.5806</v>
      </c>
      <c r="K5550">
        <v>1.091553</v>
      </c>
      <c r="L5550">
        <v>124.6485</v>
      </c>
      <c r="M5550">
        <v>0.4426948</v>
      </c>
      <c r="N5550">
        <v>0</v>
      </c>
      <c r="O5550">
        <v>0.89643320000000004</v>
      </c>
      <c r="P5550">
        <v>0.61036279999999998</v>
      </c>
      <c r="Q5550">
        <v>3.3261590000000001E-2</v>
      </c>
      <c r="R5550">
        <v>0.79142330000000005</v>
      </c>
      <c r="S5550">
        <v>2.4694820000000002</v>
      </c>
      <c r="T5550">
        <v>-0.34514640000000002</v>
      </c>
      <c r="U5550">
        <v>1.910736</v>
      </c>
      <c r="V5550">
        <v>0.19904379999999999</v>
      </c>
      <c r="W5550">
        <v>4.4627449999999999E-2</v>
      </c>
      <c r="X5550">
        <v>0.97897389999999995</v>
      </c>
      <c r="Y5550">
        <v>0.4329904</v>
      </c>
      <c r="Z5550">
        <v>-0.1097026</v>
      </c>
      <c r="AA5550">
        <v>0.89469809999999905</v>
      </c>
      <c r="AB5550">
        <v>45</v>
      </c>
      <c r="AC5550">
        <v>7.7015000000000002</v>
      </c>
      <c r="AD5550">
        <v>-1.091557335079</v>
      </c>
      <c r="AE5550">
        <v>5.8139000000000003</v>
      </c>
      <c r="AF5550">
        <v>4.2763059465255999</v>
      </c>
      <c r="AG5550">
        <v>-1.091557335079</v>
      </c>
      <c r="AH5550">
        <v>8.5140894607791697</v>
      </c>
      <c r="AI5550">
        <v>96.535713911041597</v>
      </c>
      <c r="AJ5550">
        <v>63.331347614351799</v>
      </c>
      <c r="AK5550">
        <v>9.5899952716466892</v>
      </c>
    </row>
    <row r="5551" spans="1:37" x14ac:dyDescent="0.2">
      <c r="A5551" t="str">
        <f>"20200111154211018"</f>
        <v>20200111154211018</v>
      </c>
      <c r="B5551" t="str">
        <f>"1578728531011318"</f>
        <v>1578728531011318</v>
      </c>
      <c r="C5551" t="s">
        <v>37</v>
      </c>
      <c r="D5551">
        <v>5.6309379999999898</v>
      </c>
      <c r="E5551">
        <v>0.60030850000000002</v>
      </c>
      <c r="F5551" t="s">
        <v>46</v>
      </c>
      <c r="G5551">
        <v>-177.8364</v>
      </c>
      <c r="H5551" s="1">
        <v>-4.3426079999999999E-6</v>
      </c>
      <c r="I5551">
        <v>130.55879999999999</v>
      </c>
      <c r="J5551">
        <v>-185.465</v>
      </c>
      <c r="K5551">
        <v>1.0914820000000001</v>
      </c>
      <c r="L5551">
        <v>124.8853</v>
      </c>
      <c r="M5551">
        <v>0.45107309999999901</v>
      </c>
      <c r="N5551">
        <v>0</v>
      </c>
      <c r="O5551">
        <v>0.89224760000000003</v>
      </c>
      <c r="P5551">
        <v>0.61838919999999997</v>
      </c>
      <c r="Q5551">
        <v>3.2337869999999998E-2</v>
      </c>
      <c r="R5551">
        <v>0.78520639999999997</v>
      </c>
      <c r="S5551">
        <v>2.479965</v>
      </c>
      <c r="T5551">
        <v>-0.34955599999999998</v>
      </c>
      <c r="U5551">
        <v>1.8927</v>
      </c>
      <c r="V5551">
        <v>0.19978560000000001</v>
      </c>
      <c r="W5551">
        <v>4.3605159999999997E-2</v>
      </c>
      <c r="X5551">
        <v>0.97886890000000004</v>
      </c>
      <c r="Y5551">
        <v>0.43036570000000002</v>
      </c>
      <c r="Z5551">
        <v>-0.1108563</v>
      </c>
      <c r="AA5551">
        <v>0.89582150000000005</v>
      </c>
      <c r="AB5551">
        <v>45</v>
      </c>
      <c r="AC5551">
        <v>7.6285999999999996</v>
      </c>
      <c r="AD5551">
        <v>-1.0914863426079999</v>
      </c>
      <c r="AE5551">
        <v>5.67349999999999</v>
      </c>
      <c r="AF5551">
        <v>4.1930760896260102</v>
      </c>
      <c r="AG5551">
        <v>-1.0914863426079999</v>
      </c>
      <c r="AH5551">
        <v>8.3943947119941704</v>
      </c>
      <c r="AI5551">
        <v>96.634900853919206</v>
      </c>
      <c r="AJ5551">
        <v>63.457456941374197</v>
      </c>
      <c r="AK5551">
        <v>9.4466444894601995</v>
      </c>
    </row>
    <row r="5552" spans="1:37" x14ac:dyDescent="0.2">
      <c r="A5552" t="str">
        <f>"20200111154211033"</f>
        <v>20200111154211033</v>
      </c>
      <c r="B5552" t="str">
        <f>"1578728531021078"</f>
        <v>1578728531021078</v>
      </c>
      <c r="C5552" t="s">
        <v>37</v>
      </c>
      <c r="D5552">
        <v>5.6441730000000003</v>
      </c>
      <c r="E5552">
        <v>0.59982990000000003</v>
      </c>
      <c r="F5552" t="s">
        <v>46</v>
      </c>
      <c r="G5552">
        <v>-177.7825</v>
      </c>
      <c r="H5552" s="1">
        <v>-4.3325749999999998E-6</v>
      </c>
      <c r="I5552">
        <v>130.6293</v>
      </c>
      <c r="J5552">
        <v>-185.3312</v>
      </c>
      <c r="K5552">
        <v>1.091404</v>
      </c>
      <c r="L5552">
        <v>125.1524</v>
      </c>
      <c r="M5552">
        <v>0.46055059999999898</v>
      </c>
      <c r="N5552">
        <v>0</v>
      </c>
      <c r="O5552">
        <v>0.88739369999999995</v>
      </c>
      <c r="P5552">
        <v>0.627969</v>
      </c>
      <c r="Q5552">
        <v>3.0738560000000002E-2</v>
      </c>
      <c r="R5552">
        <v>0.77763119999999997</v>
      </c>
      <c r="S5552">
        <v>2.4981689999999999</v>
      </c>
      <c r="T5552">
        <v>-0.35492620000000003</v>
      </c>
      <c r="U5552">
        <v>1.8678439999999901</v>
      </c>
      <c r="V5552">
        <v>0.2012621</v>
      </c>
      <c r="W5552">
        <v>4.1865340000000001E-2</v>
      </c>
      <c r="X5552">
        <v>0.97864229999999997</v>
      </c>
      <c r="Y5552">
        <v>0.4294655</v>
      </c>
      <c r="Z5552">
        <v>-0.1122277</v>
      </c>
      <c r="AA5552">
        <v>0.89608279999999996</v>
      </c>
      <c r="AB5552">
        <v>45</v>
      </c>
      <c r="AC5552">
        <v>7.5486999999999904</v>
      </c>
      <c r="AD5552">
        <v>-1.0914083325749999</v>
      </c>
      <c r="AE5552">
        <v>5.4768999999999997</v>
      </c>
      <c r="AF5552">
        <v>4.1207351463813904</v>
      </c>
      <c r="AG5552">
        <v>-1.0914083325749999</v>
      </c>
      <c r="AH5552">
        <v>8.2258472638979203</v>
      </c>
      <c r="AI5552">
        <v>96.765256908400403</v>
      </c>
      <c r="AJ5552">
        <v>63.391437509029203</v>
      </c>
      <c r="AK5552">
        <v>9.2647824315530496</v>
      </c>
    </row>
    <row r="5553" spans="1:37" x14ac:dyDescent="0.2">
      <c r="A5553" t="str">
        <f>"20200111154211046"</f>
        <v>20200111154211046</v>
      </c>
      <c r="B5553" t="str">
        <f>"1578728531041574"</f>
        <v>1578728531041574</v>
      </c>
      <c r="C5553" t="s">
        <v>37</v>
      </c>
      <c r="D5553">
        <v>5.6185330000000002</v>
      </c>
      <c r="E5553">
        <v>0.59943789999999997</v>
      </c>
      <c r="F5553" t="s">
        <v>46</v>
      </c>
      <c r="G5553">
        <v>-177.72499999999999</v>
      </c>
      <c r="H5553" s="1">
        <v>-4.3231789999999996E-6</v>
      </c>
      <c r="I5553">
        <v>130.708</v>
      </c>
      <c r="J5553">
        <v>-185.21379999999999</v>
      </c>
      <c r="K5553">
        <v>1.0913459999999999</v>
      </c>
      <c r="L5553">
        <v>125.38249999999999</v>
      </c>
      <c r="M5553">
        <v>0.46872140000000001</v>
      </c>
      <c r="N5553">
        <v>0</v>
      </c>
      <c r="O5553">
        <v>0.8831059</v>
      </c>
      <c r="P5553">
        <v>0.6356425</v>
      </c>
      <c r="Q5553">
        <v>2.9757490000000001E-2</v>
      </c>
      <c r="R5553">
        <v>0.77140980000000003</v>
      </c>
      <c r="S5553">
        <v>2.5177309999999999</v>
      </c>
      <c r="T5553">
        <v>-0.36126560000000002</v>
      </c>
      <c r="U5553">
        <v>1.838959</v>
      </c>
      <c r="V5553">
        <v>0.20186609999999999</v>
      </c>
      <c r="W5553">
        <v>4.0799090000000003E-2</v>
      </c>
      <c r="X5553">
        <v>0.97856299999999996</v>
      </c>
      <c r="Y5553">
        <v>0.43096570000000001</v>
      </c>
      <c r="Z5553">
        <v>-0.114032199999999</v>
      </c>
      <c r="AA5553">
        <v>0.89513419999999899</v>
      </c>
      <c r="AB5553">
        <v>45</v>
      </c>
      <c r="AC5553">
        <v>7.4887999999999897</v>
      </c>
      <c r="AD5553">
        <v>-1.0913503231789901</v>
      </c>
      <c r="AE5553">
        <v>5.3254999999999999</v>
      </c>
      <c r="AF5553">
        <v>4.0608244562021998</v>
      </c>
      <c r="AG5553">
        <v>-1.0913503231789901</v>
      </c>
      <c r="AH5553">
        <v>8.10062689397855</v>
      </c>
      <c r="AI5553">
        <v>96.867533780330604</v>
      </c>
      <c r="AJ5553">
        <v>63.375504155599998</v>
      </c>
      <c r="AK5553">
        <v>9.1269653701239299</v>
      </c>
    </row>
    <row r="5554" spans="1:37" x14ac:dyDescent="0.2">
      <c r="A5554" t="str">
        <f>"20200111154211059"</f>
        <v>20200111154211059</v>
      </c>
      <c r="B5554" t="str">
        <f>"1578728531051334"</f>
        <v>1578728531051334</v>
      </c>
      <c r="C5554" t="s">
        <v>37</v>
      </c>
      <c r="D5554">
        <v>5.6209800000000003</v>
      </c>
      <c r="E5554">
        <v>0.59943789999999997</v>
      </c>
      <c r="F5554" t="s">
        <v>46</v>
      </c>
      <c r="G5554">
        <v>-177.66120000000001</v>
      </c>
      <c r="H5554" s="1">
        <v>-4.3122379999999998E-6</v>
      </c>
      <c r="I5554">
        <v>130.7938</v>
      </c>
      <c r="J5554">
        <v>-185.09190000000001</v>
      </c>
      <c r="K5554">
        <v>1.091291</v>
      </c>
      <c r="L5554">
        <v>125.61499999999999</v>
      </c>
      <c r="M5554">
        <v>0.47700239999999999</v>
      </c>
      <c r="N5554">
        <v>0</v>
      </c>
      <c r="O5554">
        <v>0.87866149999999998</v>
      </c>
      <c r="P5554">
        <v>0.64295630000000004</v>
      </c>
      <c r="Q5554">
        <v>2.9146890000000002E-2</v>
      </c>
      <c r="R5554">
        <v>0.76534799999999903</v>
      </c>
      <c r="S5554">
        <v>2.5336910000000001</v>
      </c>
      <c r="T5554">
        <v>-0.36611959999999999</v>
      </c>
      <c r="U5554">
        <v>1.815353</v>
      </c>
      <c r="V5554">
        <v>0.20194570000000001</v>
      </c>
      <c r="W5554">
        <v>4.013158E-2</v>
      </c>
      <c r="X5554">
        <v>0.97857419999999995</v>
      </c>
      <c r="Y5554">
        <v>0.43053370000000002</v>
      </c>
      <c r="Z5554">
        <v>-0.1152705</v>
      </c>
      <c r="AA5554">
        <v>0.89518349999999902</v>
      </c>
      <c r="AB5554">
        <v>45</v>
      </c>
      <c r="AC5554">
        <v>7.4306999999999999</v>
      </c>
      <c r="AD5554">
        <v>-1.091295312238</v>
      </c>
      <c r="AE5554">
        <v>5.1788000000000096</v>
      </c>
      <c r="AF5554">
        <v>4.0015367725842701</v>
      </c>
      <c r="AG5554">
        <v>-1.091295312238</v>
      </c>
      <c r="AH5554">
        <v>7.9807271138723799</v>
      </c>
      <c r="AI5554">
        <v>96.969070740169599</v>
      </c>
      <c r="AJ5554">
        <v>63.370812358318602</v>
      </c>
      <c r="AK5554">
        <v>8.9941774091327904</v>
      </c>
    </row>
    <row r="5555" spans="1:37" x14ac:dyDescent="0.2">
      <c r="A5555" t="str">
        <f>"20200111154211071"</f>
        <v>20200111154211071</v>
      </c>
      <c r="B5555" t="str">
        <f>"1578728531061093"</f>
        <v>1578728531061093</v>
      </c>
      <c r="C5555" t="s">
        <v>37</v>
      </c>
      <c r="D5555">
        <v>5.5881069999999999</v>
      </c>
      <c r="E5555">
        <v>0.61335410000000001</v>
      </c>
      <c r="F5555" t="s">
        <v>46</v>
      </c>
      <c r="G5555">
        <v>-177.50890000000001</v>
      </c>
      <c r="H5555" s="1">
        <v>-4.2631209999999998E-6</v>
      </c>
      <c r="I5555">
        <v>130.93819999999999</v>
      </c>
      <c r="J5555">
        <v>-184.97399999999999</v>
      </c>
      <c r="K5555">
        <v>1.0912440000000001</v>
      </c>
      <c r="L5555">
        <v>125.8349</v>
      </c>
      <c r="M5555">
        <v>0.48485289999999998</v>
      </c>
      <c r="N5555">
        <v>0</v>
      </c>
      <c r="O5555">
        <v>0.87435459999999998</v>
      </c>
      <c r="P5555">
        <v>0.65004969999999995</v>
      </c>
      <c r="Q5555">
        <v>2.8764430000000001E-2</v>
      </c>
      <c r="R5555">
        <v>0.75934709999999905</v>
      </c>
      <c r="S5555">
        <v>2.5509949999999999</v>
      </c>
      <c r="T5555">
        <v>-0.36711749999999999</v>
      </c>
      <c r="U5555">
        <v>1.790756</v>
      </c>
      <c r="V5555">
        <v>0.20226449999999899</v>
      </c>
      <c r="W5555">
        <v>3.968704E-2</v>
      </c>
      <c r="X5555">
        <v>0.97852649999999997</v>
      </c>
      <c r="Y5555">
        <v>0.43108429999999998</v>
      </c>
      <c r="Z5555">
        <v>-0.11531130000000001</v>
      </c>
      <c r="AA5555">
        <v>0.89491319999999996</v>
      </c>
      <c r="AB5555">
        <v>45</v>
      </c>
      <c r="AC5555">
        <v>7.4650999999999996</v>
      </c>
      <c r="AD5555">
        <v>-1.0912482631210001</v>
      </c>
      <c r="AE5555">
        <v>5.1032999999999902</v>
      </c>
      <c r="AF5555">
        <v>3.9954642560056901</v>
      </c>
      <c r="AG5555">
        <v>-1.0912482631210001</v>
      </c>
      <c r="AH5555">
        <v>7.9672480741214198</v>
      </c>
      <c r="AI5555">
        <v>96.980208423504493</v>
      </c>
      <c r="AJ5555">
        <v>63.366870990246802</v>
      </c>
      <c r="AK5555">
        <v>8.9795099681093493</v>
      </c>
    </row>
    <row r="5556" spans="1:37" x14ac:dyDescent="0.2">
      <c r="A5556" t="str">
        <f>"20200111154211084"</f>
        <v>20200111154211084</v>
      </c>
      <c r="B5556" t="str">
        <f>"1578728531071831"</f>
        <v>1578728531071831</v>
      </c>
      <c r="C5556" t="s">
        <v>37</v>
      </c>
      <c r="D5556">
        <v>5.5664129999999998</v>
      </c>
      <c r="E5556">
        <v>0.61445669999999897</v>
      </c>
      <c r="F5556" t="s">
        <v>46</v>
      </c>
      <c r="G5556">
        <v>-175.39670000000001</v>
      </c>
      <c r="H5556" s="1">
        <v>-3.2089060000000001E-6</v>
      </c>
      <c r="I5556">
        <v>131.95679999999999</v>
      </c>
      <c r="J5556">
        <v>-184.85679999999999</v>
      </c>
      <c r="K5556">
        <v>1.091191</v>
      </c>
      <c r="L5556">
        <v>126.05070000000001</v>
      </c>
      <c r="M5556">
        <v>0.49254880000000001</v>
      </c>
      <c r="N5556">
        <v>0</v>
      </c>
      <c r="O5556">
        <v>0.87004319999999902</v>
      </c>
      <c r="P5556">
        <v>0.65716739999999996</v>
      </c>
      <c r="Q5556">
        <v>2.880858E-2</v>
      </c>
      <c r="R5556">
        <v>0.75319399999999903</v>
      </c>
      <c r="S5556">
        <v>2.6497959999999998</v>
      </c>
      <c r="T5556">
        <v>-0.30192039999999998</v>
      </c>
      <c r="U5556">
        <v>1.6937869999999999</v>
      </c>
      <c r="V5556">
        <v>0.20284489999999999</v>
      </c>
      <c r="W5556">
        <v>3.965846E-2</v>
      </c>
      <c r="X5556">
        <v>0.97840740000000004</v>
      </c>
      <c r="Y5556">
        <v>0.4636692</v>
      </c>
      <c r="Z5556">
        <v>-9.4827579999999995E-2</v>
      </c>
      <c r="AA5556">
        <v>0.88091919999999901</v>
      </c>
      <c r="AB5556">
        <v>45</v>
      </c>
      <c r="AC5556">
        <v>9.4600999999999793</v>
      </c>
      <c r="AD5556">
        <v>-1.0911942089060001</v>
      </c>
      <c r="AE5556">
        <v>5.9060999999999799</v>
      </c>
      <c r="AF5556">
        <v>5.2722982928006497</v>
      </c>
      <c r="AG5556">
        <v>-1.0911942089060001</v>
      </c>
      <c r="AH5556">
        <v>9.7072517476927604</v>
      </c>
      <c r="AI5556">
        <v>95.641421512099797</v>
      </c>
      <c r="AJ5556">
        <v>61.492293807850302</v>
      </c>
      <c r="AK5556">
        <v>11.100386055579399</v>
      </c>
    </row>
    <row r="5557" spans="1:37" x14ac:dyDescent="0.2">
      <c r="A5557" t="str">
        <f>"20200111154211095"</f>
        <v>20200111154211095</v>
      </c>
      <c r="B5557" t="str">
        <f>"1578728531091858"</f>
        <v>1578728531091858</v>
      </c>
      <c r="C5557" t="s">
        <v>37</v>
      </c>
      <c r="D5557">
        <v>5.5951000000000004</v>
      </c>
      <c r="E5557">
        <v>0.61553069999999999</v>
      </c>
      <c r="F5557" t="s">
        <v>46</v>
      </c>
      <c r="G5557">
        <v>-174.8434</v>
      </c>
      <c r="H5557" s="1">
        <v>-2.9826639999999899E-6</v>
      </c>
      <c r="I5557">
        <v>132.2834</v>
      </c>
      <c r="J5557">
        <v>-184.73429999999999</v>
      </c>
      <c r="K5557">
        <v>1.091154</v>
      </c>
      <c r="L5557">
        <v>126.26909999999999</v>
      </c>
      <c r="M5557">
        <v>0.50037770000000004</v>
      </c>
      <c r="N5557">
        <v>0</v>
      </c>
      <c r="O5557">
        <v>0.86556489999999997</v>
      </c>
      <c r="P5557">
        <v>0.66437209999999902</v>
      </c>
      <c r="Q5557">
        <v>2.8717019999999999E-2</v>
      </c>
      <c r="R5557">
        <v>0.74685000000000001</v>
      </c>
      <c r="S5557">
        <v>2.671799</v>
      </c>
      <c r="T5557">
        <v>-0.29115409999999903</v>
      </c>
      <c r="U5557">
        <v>1.663025</v>
      </c>
      <c r="V5557">
        <v>0.20341310000000001</v>
      </c>
      <c r="W5557">
        <v>3.949884E-2</v>
      </c>
      <c r="X5557">
        <v>0.9782959</v>
      </c>
      <c r="Y5557">
        <v>0.46656750000000002</v>
      </c>
      <c r="Z5557">
        <v>-9.1252840000000002E-2</v>
      </c>
      <c r="AA5557">
        <v>0.87976569999999898</v>
      </c>
      <c r="AB5557">
        <v>44</v>
      </c>
      <c r="AC5557">
        <v>9.8908999999999807</v>
      </c>
      <c r="AD5557">
        <v>-1.091156982664</v>
      </c>
      <c r="AE5557">
        <v>6.0143000000000004</v>
      </c>
      <c r="AF5557">
        <v>5.5040550095503598</v>
      </c>
      <c r="AG5557">
        <v>-1.091156982664</v>
      </c>
      <c r="AH5557">
        <v>10.0676314664817</v>
      </c>
      <c r="AI5557">
        <v>95.432407189963598</v>
      </c>
      <c r="AJ5557">
        <v>61.3342180737286</v>
      </c>
      <c r="AK5557">
        <v>11.525729844737199</v>
      </c>
    </row>
    <row r="5558" spans="1:37" x14ac:dyDescent="0.2">
      <c r="A5558" t="str">
        <f>"20200111154211108"</f>
        <v>20200111154211108</v>
      </c>
      <c r="B5558" t="str">
        <f>"1578728531101617"</f>
        <v>1578728531101617</v>
      </c>
      <c r="C5558" t="s">
        <v>37</v>
      </c>
      <c r="D5558">
        <v>5.5799159999999999</v>
      </c>
      <c r="E5558">
        <v>0.61557689999999998</v>
      </c>
      <c r="F5558" t="s">
        <v>46</v>
      </c>
      <c r="G5558">
        <v>-172.58070000000001</v>
      </c>
      <c r="H5558" s="1">
        <v>-2.4452520000000001E-6</v>
      </c>
      <c r="I5558">
        <v>133.63419999999999</v>
      </c>
      <c r="J5558">
        <v>-184.61439999999999</v>
      </c>
      <c r="K5558">
        <v>1.091119</v>
      </c>
      <c r="L5558">
        <v>126.4798</v>
      </c>
      <c r="M5558">
        <v>0.50792789999999999</v>
      </c>
      <c r="N5558">
        <v>0</v>
      </c>
      <c r="O5558">
        <v>0.86115649999999999</v>
      </c>
      <c r="P5558">
        <v>0.6713055</v>
      </c>
      <c r="Q5558">
        <v>2.9180910000000001E-2</v>
      </c>
      <c r="R5558">
        <v>0.74060609999999905</v>
      </c>
      <c r="S5558">
        <v>2.692062</v>
      </c>
      <c r="T5558">
        <v>-0.24169399999999999</v>
      </c>
      <c r="U5558">
        <v>1.6313930000000001</v>
      </c>
      <c r="V5558">
        <v>0.20400989999999999</v>
      </c>
      <c r="W5558">
        <v>3.9896689999999999E-2</v>
      </c>
      <c r="X5558">
        <v>0.97815549999999996</v>
      </c>
      <c r="Y5558">
        <v>0.470581999999999</v>
      </c>
      <c r="Z5558">
        <v>-7.5713429999999998E-2</v>
      </c>
      <c r="AA5558">
        <v>0.87910189999999999</v>
      </c>
      <c r="AB5558">
        <v>44</v>
      </c>
      <c r="AC5558">
        <v>12.0336999999999</v>
      </c>
      <c r="AD5558">
        <v>-1.0911214452519999</v>
      </c>
      <c r="AE5558">
        <v>7.1543999999999901</v>
      </c>
      <c r="AF5558">
        <v>6.6897529128872497</v>
      </c>
      <c r="AG5558">
        <v>-1.0911214452519999</v>
      </c>
      <c r="AH5558">
        <v>12.2017625782122</v>
      </c>
      <c r="AI5558">
        <v>94.483479477040007</v>
      </c>
      <c r="AJ5558">
        <v>61.265750919204002</v>
      </c>
      <c r="AK5558">
        <v>13.9580209936377</v>
      </c>
    </row>
    <row r="5559" spans="1:37" x14ac:dyDescent="0.2">
      <c r="A5559" t="str">
        <f>"20200111154211122"</f>
        <v>20200111154211122</v>
      </c>
      <c r="B5559" t="str">
        <f>"1578728531111378"</f>
        <v>1578728531111378</v>
      </c>
      <c r="C5559" t="s">
        <v>37</v>
      </c>
      <c r="D5559">
        <v>5.5867190000000004</v>
      </c>
      <c r="E5559">
        <v>0.61586269999999999</v>
      </c>
      <c r="F5559" t="s">
        <v>46</v>
      </c>
      <c r="G5559">
        <v>-171.22210000000001</v>
      </c>
      <c r="H5559" s="1">
        <v>-2.021512E-6</v>
      </c>
      <c r="I5559">
        <v>134.4263</v>
      </c>
      <c r="J5559">
        <v>-184.46899999999999</v>
      </c>
      <c r="K5559">
        <v>1.091083</v>
      </c>
      <c r="L5559">
        <v>126.7307</v>
      </c>
      <c r="M5559">
        <v>0.5169203</v>
      </c>
      <c r="N5559">
        <v>0</v>
      </c>
      <c r="O5559">
        <v>0.85578949999999998</v>
      </c>
      <c r="P5559">
        <v>0.67885980000000001</v>
      </c>
      <c r="Q5559">
        <v>2.9121899999999999E-2</v>
      </c>
      <c r="R5559">
        <v>0.73369030000000002</v>
      </c>
      <c r="S5559">
        <v>2.7066499999999998</v>
      </c>
      <c r="T5559">
        <v>-0.22052099999999999</v>
      </c>
      <c r="U5559">
        <v>1.606033</v>
      </c>
      <c r="V5559">
        <v>0.20378650000000001</v>
      </c>
      <c r="W5559">
        <v>3.9809020000000001E-2</v>
      </c>
      <c r="X5559">
        <v>0.97820560000000001</v>
      </c>
      <c r="Y5559">
        <v>0.46999030000000003</v>
      </c>
      <c r="Z5559">
        <v>-6.8888770000000002E-2</v>
      </c>
      <c r="AA5559">
        <v>0.87997930000000002</v>
      </c>
      <c r="AB5559">
        <v>44</v>
      </c>
      <c r="AC5559">
        <v>13.2469</v>
      </c>
      <c r="AD5559">
        <v>-1.091085021512</v>
      </c>
      <c r="AE5559">
        <v>7.69559999999999</v>
      </c>
      <c r="AF5559">
        <v>7.3229398482044399</v>
      </c>
      <c r="AG5559">
        <v>-1.091085021512</v>
      </c>
      <c r="AH5559">
        <v>13.3684042104979</v>
      </c>
      <c r="AI5559">
        <v>94.094297785801601</v>
      </c>
      <c r="AJ5559">
        <v>61.286968754232497</v>
      </c>
      <c r="AK5559">
        <v>15.281693154878001</v>
      </c>
    </row>
    <row r="5560" spans="1:37" x14ac:dyDescent="0.2">
      <c r="A5560" t="str">
        <f>"20200111154211136"</f>
        <v>20200111154211136</v>
      </c>
      <c r="B5560" t="str">
        <f>"1578728531131874"</f>
        <v>1578728531131874</v>
      </c>
      <c r="C5560" t="s">
        <v>37</v>
      </c>
      <c r="D5560">
        <v>5.601699</v>
      </c>
      <c r="E5560">
        <v>0.61563389999999996</v>
      </c>
      <c r="F5560" t="s">
        <v>46</v>
      </c>
      <c r="G5560">
        <v>-170.3938</v>
      </c>
      <c r="H5560" s="1">
        <v>-1.7478630000000001E-6</v>
      </c>
      <c r="I5560">
        <v>134.87479999999999</v>
      </c>
      <c r="J5560">
        <v>-184.32769999999999</v>
      </c>
      <c r="K5560">
        <v>1.091051</v>
      </c>
      <c r="L5560">
        <v>126.9667</v>
      </c>
      <c r="M5560">
        <v>0.52541899999999997</v>
      </c>
      <c r="N5560">
        <v>0</v>
      </c>
      <c r="O5560">
        <v>0.85059859999999898</v>
      </c>
      <c r="P5560">
        <v>0.68594940000000004</v>
      </c>
      <c r="Q5560">
        <v>2.9555080000000001E-2</v>
      </c>
      <c r="R5560">
        <v>0.72704880000000005</v>
      </c>
      <c r="S5560">
        <v>2.7244869999999999</v>
      </c>
      <c r="T5560">
        <v>-0.211196999999999</v>
      </c>
      <c r="U5560">
        <v>1.5764309999999999</v>
      </c>
      <c r="V5560">
        <v>0.2035691</v>
      </c>
      <c r="W5560">
        <v>4.0221149999999997E-2</v>
      </c>
      <c r="X5560">
        <v>0.9782341</v>
      </c>
      <c r="Y5560">
        <v>0.47106589999999998</v>
      </c>
      <c r="Z5560">
        <v>-6.5795560000000003E-2</v>
      </c>
      <c r="AA5560">
        <v>0.8796408</v>
      </c>
      <c r="AB5560">
        <v>44</v>
      </c>
      <c r="AC5560">
        <v>13.9338999999999</v>
      </c>
      <c r="AD5560">
        <v>-1.0910527478630001</v>
      </c>
      <c r="AE5560">
        <v>7.9080999999999904</v>
      </c>
      <c r="AF5560">
        <v>7.6631572285681901</v>
      </c>
      <c r="AG5560">
        <v>-1.0910527478630001</v>
      </c>
      <c r="AH5560">
        <v>13.9858250857679</v>
      </c>
      <c r="AI5560">
        <v>93.913773547451598</v>
      </c>
      <c r="AJ5560">
        <v>61.280645434429204</v>
      </c>
      <c r="AK5560">
        <v>15.9849203356811</v>
      </c>
    </row>
    <row r="5561" spans="1:37" x14ac:dyDescent="0.2">
      <c r="A5561" t="str">
        <f>"20200111154211149"</f>
        <v>20200111154211149</v>
      </c>
      <c r="B5561" t="str">
        <f>"1578728531141633"</f>
        <v>1578728531141633</v>
      </c>
      <c r="C5561" t="s">
        <v>37</v>
      </c>
      <c r="D5561">
        <v>5.6158159999999997</v>
      </c>
      <c r="E5561">
        <v>0.61544390000000004</v>
      </c>
      <c r="F5561" t="s">
        <v>39</v>
      </c>
      <c r="G5561">
        <v>-169.00030000000001</v>
      </c>
      <c r="H5561" s="1">
        <v>-1.423529E-6</v>
      </c>
      <c r="I5561">
        <v>135.6497</v>
      </c>
      <c r="J5561">
        <v>-184.19550000000001</v>
      </c>
      <c r="K5561">
        <v>1.0910249999999999</v>
      </c>
      <c r="L5561">
        <v>127.18389999999999</v>
      </c>
      <c r="M5561">
        <v>0.53324019999999905</v>
      </c>
      <c r="N5561">
        <v>0</v>
      </c>
      <c r="O5561">
        <v>0.84571790000000002</v>
      </c>
      <c r="P5561">
        <v>0.69234560000000001</v>
      </c>
      <c r="Q5561">
        <v>2.984904E-2</v>
      </c>
      <c r="R5561">
        <v>0.72094849999999999</v>
      </c>
      <c r="S5561">
        <v>2.73793</v>
      </c>
      <c r="T5561">
        <v>-0.19489419999999999</v>
      </c>
      <c r="U5561">
        <v>1.5510409999999999</v>
      </c>
      <c r="V5561">
        <v>0.20321239999999999</v>
      </c>
      <c r="W5561">
        <v>4.0503690000000002E-2</v>
      </c>
      <c r="X5561">
        <v>0.97829659999999996</v>
      </c>
      <c r="Y5561">
        <v>0.47128589999999998</v>
      </c>
      <c r="Z5561">
        <v>-6.0574580000000003E-2</v>
      </c>
      <c r="AA5561">
        <v>0.87989789999999901</v>
      </c>
      <c r="AB5561">
        <v>44</v>
      </c>
      <c r="AC5561">
        <v>15.1952</v>
      </c>
      <c r="AD5561">
        <v>-1.0910264235289999</v>
      </c>
      <c r="AE5561">
        <v>8.4657999999999998</v>
      </c>
      <c r="AF5561">
        <v>8.3056071076336497</v>
      </c>
      <c r="AG5561">
        <v>-1.0910264235289999</v>
      </c>
      <c r="AH5561">
        <v>15.2057246325459</v>
      </c>
      <c r="AI5561">
        <v>93.603143572886495</v>
      </c>
      <c r="AJ5561">
        <v>61.3559355121156</v>
      </c>
      <c r="AK5561">
        <v>17.360515824249799</v>
      </c>
    </row>
    <row r="5562" spans="1:37" x14ac:dyDescent="0.2">
      <c r="A5562" t="str">
        <f>"20200111154211160"</f>
        <v>20200111154211160</v>
      </c>
      <c r="B5562" t="str">
        <f>"1578728531151393"</f>
        <v>1578728531151393</v>
      </c>
      <c r="C5562" t="s">
        <v>37</v>
      </c>
      <c r="D5562">
        <v>5.5804199999999904</v>
      </c>
      <c r="E5562">
        <v>0.61518119999999998</v>
      </c>
      <c r="F5562" t="s">
        <v>39</v>
      </c>
      <c r="G5562">
        <v>-168.3913</v>
      </c>
      <c r="H5562" s="1">
        <v>-1.5744440000000001E-6</v>
      </c>
      <c r="I5562">
        <v>135.9615</v>
      </c>
      <c r="J5562">
        <v>-184.07230000000001</v>
      </c>
      <c r="K5562">
        <v>1.0910040000000001</v>
      </c>
      <c r="L5562">
        <v>127.383</v>
      </c>
      <c r="M5562">
        <v>0.54041019999999995</v>
      </c>
      <c r="N5562">
        <v>0</v>
      </c>
      <c r="O5562">
        <v>0.84115479999999998</v>
      </c>
      <c r="P5562">
        <v>0.69832139999999998</v>
      </c>
      <c r="Q5562">
        <v>3.0010820000000001E-2</v>
      </c>
      <c r="R5562">
        <v>0.71515499999999999</v>
      </c>
      <c r="S5562">
        <v>2.7505189999999899</v>
      </c>
      <c r="T5562">
        <v>-0.18987860000000001</v>
      </c>
      <c r="U5562">
        <v>1.5276179999999999</v>
      </c>
      <c r="V5562">
        <v>0.20305019999999999</v>
      </c>
      <c r="W5562">
        <v>4.0648530000000002E-2</v>
      </c>
      <c r="X5562">
        <v>0.97832419999999998</v>
      </c>
      <c r="Y5562">
        <v>0.47132579999999902</v>
      </c>
      <c r="Z5562">
        <v>-5.8863529999999997E-2</v>
      </c>
      <c r="AA5562">
        <v>0.87999269999999996</v>
      </c>
      <c r="AB5562">
        <v>44</v>
      </c>
      <c r="AC5562">
        <v>15.680999999999999</v>
      </c>
      <c r="AD5562">
        <v>-1.0910055744439999</v>
      </c>
      <c r="AE5562">
        <v>8.5785</v>
      </c>
      <c r="AF5562">
        <v>8.5242583015360207</v>
      </c>
      <c r="AG5562">
        <v>-1.0910055744439999</v>
      </c>
      <c r="AH5562">
        <v>15.635027837029</v>
      </c>
      <c r="AI5562">
        <v>93.505882027898807</v>
      </c>
      <c r="AJ5562">
        <v>61.400665554768402</v>
      </c>
      <c r="AK5562">
        <v>17.841170595548</v>
      </c>
    </row>
    <row r="5563" spans="1:37" x14ac:dyDescent="0.2">
      <c r="A5563" t="str">
        <f>"20200111154211171"</f>
        <v>20200111154211171</v>
      </c>
      <c r="B5563" t="str">
        <f>"1578728531161153"</f>
        <v>1578728531161153</v>
      </c>
      <c r="C5563" t="s">
        <v>37</v>
      </c>
      <c r="D5563">
        <v>5.6228239999999996</v>
      </c>
      <c r="E5563">
        <v>0.61483859999999901</v>
      </c>
      <c r="F5563" t="s">
        <v>39</v>
      </c>
      <c r="G5563">
        <v>-167.84030000000001</v>
      </c>
      <c r="H5563" s="1">
        <v>-1.7125139999999899E-6</v>
      </c>
      <c r="I5563">
        <v>136.23779999999999</v>
      </c>
      <c r="J5563">
        <v>-183.9546</v>
      </c>
      <c r="K5563">
        <v>1.090992</v>
      </c>
      <c r="L5563">
        <v>127.56829999999999</v>
      </c>
      <c r="M5563">
        <v>0.54711350000000003</v>
      </c>
      <c r="N5563">
        <v>0</v>
      </c>
      <c r="O5563">
        <v>0.83681049999999901</v>
      </c>
      <c r="P5563">
        <v>0.70383580000000001</v>
      </c>
      <c r="Q5563">
        <v>3.1006599999999999E-2</v>
      </c>
      <c r="R5563">
        <v>0.70968569999999997</v>
      </c>
      <c r="S5563">
        <v>2.7613219999999998</v>
      </c>
      <c r="T5563">
        <v>-0.18559719999999999</v>
      </c>
      <c r="U5563">
        <v>1.506348</v>
      </c>
      <c r="V5563">
        <v>0.20287649999999999</v>
      </c>
      <c r="W5563">
        <v>4.1630460000000001E-2</v>
      </c>
      <c r="X5563">
        <v>0.97831900000000005</v>
      </c>
      <c r="Y5563">
        <v>0.471035499999999</v>
      </c>
      <c r="Z5563">
        <v>-5.7391949999999997E-2</v>
      </c>
      <c r="AA5563">
        <v>0.88024530000000001</v>
      </c>
      <c r="AB5563">
        <v>44</v>
      </c>
      <c r="AC5563">
        <v>16.114299999999901</v>
      </c>
      <c r="AD5563">
        <v>-1.0909937125139999</v>
      </c>
      <c r="AE5563">
        <v>8.6694999999999993</v>
      </c>
      <c r="AF5563">
        <v>8.7122587745133799</v>
      </c>
      <c r="AG5563">
        <v>-1.0909937125139999</v>
      </c>
      <c r="AH5563">
        <v>16.017476109653099</v>
      </c>
      <c r="AI5563">
        <v>93.424173382171801</v>
      </c>
      <c r="AJ5563">
        <v>61.457254778967197</v>
      </c>
      <c r="AK5563">
        <v>18.266178066528798</v>
      </c>
    </row>
    <row r="5564" spans="1:37" x14ac:dyDescent="0.2">
      <c r="A5564" t="str">
        <f>"20200111154211184"</f>
        <v>20200111154211184</v>
      </c>
      <c r="B5564" t="str">
        <f>"1578728531181180"</f>
        <v>1578728531181180</v>
      </c>
      <c r="C5564" t="s">
        <v>37</v>
      </c>
      <c r="D5564">
        <v>5.5849640000000003</v>
      </c>
      <c r="E5564">
        <v>0.61415520000000001</v>
      </c>
      <c r="F5564" t="s">
        <v>39</v>
      </c>
      <c r="G5564">
        <v>-167.39840000000001</v>
      </c>
      <c r="H5564" s="1">
        <v>-1.8250980000000001E-6</v>
      </c>
      <c r="I5564">
        <v>136.45240000000001</v>
      </c>
      <c r="J5564">
        <v>-183.82660000000001</v>
      </c>
      <c r="K5564">
        <v>1.0909759999999999</v>
      </c>
      <c r="L5564">
        <v>127.7681</v>
      </c>
      <c r="M5564">
        <v>0.55432199999999998</v>
      </c>
      <c r="N5564">
        <v>0</v>
      </c>
      <c r="O5564">
        <v>0.83205339999999905</v>
      </c>
      <c r="P5564">
        <v>0.70968059999999999</v>
      </c>
      <c r="Q5564">
        <v>3.1814059999999998E-2</v>
      </c>
      <c r="R5564">
        <v>0.70380500000000001</v>
      </c>
      <c r="S5564">
        <v>2.7710720000000002</v>
      </c>
      <c r="T5564">
        <v>-0.18260409999999999</v>
      </c>
      <c r="U5564">
        <v>1.486969</v>
      </c>
      <c r="V5564">
        <v>0.20257410000000001</v>
      </c>
      <c r="W5564">
        <v>4.2428449999999999E-2</v>
      </c>
      <c r="X5564">
        <v>0.97834739999999998</v>
      </c>
      <c r="Y5564">
        <v>0.469547099999999</v>
      </c>
      <c r="Z5564">
        <v>-5.628064E-2</v>
      </c>
      <c r="AA5564">
        <v>0.8811118</v>
      </c>
      <c r="AB5564">
        <v>44</v>
      </c>
      <c r="AC5564">
        <v>16.4282</v>
      </c>
      <c r="AD5564">
        <v>-1.090977825098</v>
      </c>
      <c r="AE5564">
        <v>8.6843000000000004</v>
      </c>
      <c r="AF5564">
        <v>8.8266510805910006</v>
      </c>
      <c r="AG5564">
        <v>-1.090977825098</v>
      </c>
      <c r="AH5564">
        <v>16.2795834959914</v>
      </c>
      <c r="AI5564">
        <v>93.371562485389902</v>
      </c>
      <c r="AJ5564">
        <v>61.5338291093001</v>
      </c>
      <c r="AK5564">
        <v>18.550602165868099</v>
      </c>
    </row>
    <row r="5565" spans="1:37" x14ac:dyDescent="0.2">
      <c r="A5565" t="str">
        <f>"20200111154211195"</f>
        <v>20200111154211195</v>
      </c>
      <c r="B5565" t="str">
        <f>"1578728531191917"</f>
        <v>1578728531191917</v>
      </c>
      <c r="C5565" t="s">
        <v>37</v>
      </c>
      <c r="D5565">
        <v>5.6880179999999996</v>
      </c>
      <c r="E5565">
        <v>0.61330759999999995</v>
      </c>
      <c r="F5565" t="s">
        <v>39</v>
      </c>
      <c r="G5565">
        <v>-167.0359</v>
      </c>
      <c r="H5565" s="1">
        <v>-1.9156240000000002E-6</v>
      </c>
      <c r="I5565">
        <v>136.6353</v>
      </c>
      <c r="J5565">
        <v>-183.696</v>
      </c>
      <c r="K5565">
        <v>1.0909599999999999</v>
      </c>
      <c r="L5565">
        <v>127.9661</v>
      </c>
      <c r="M5565">
        <v>0.5615078</v>
      </c>
      <c r="N5565">
        <v>0</v>
      </c>
      <c r="O5565">
        <v>0.8272216</v>
      </c>
      <c r="P5565">
        <v>0.71567709999999995</v>
      </c>
      <c r="Q5565">
        <v>3.2577460000000003E-2</v>
      </c>
      <c r="R5565">
        <v>0.69767119999999905</v>
      </c>
      <c r="S5565">
        <v>2.7795719999999999</v>
      </c>
      <c r="T5565">
        <v>-0.18060309999999999</v>
      </c>
      <c r="U5565">
        <v>1.467911</v>
      </c>
      <c r="V5565">
        <v>0.2025284</v>
      </c>
      <c r="W5565">
        <v>4.317116E-2</v>
      </c>
      <c r="X5565">
        <v>0.97832439999999998</v>
      </c>
      <c r="Y5565">
        <v>0.46777809999999997</v>
      </c>
      <c r="Z5565">
        <v>-5.5482799999999999E-2</v>
      </c>
      <c r="AA5565">
        <v>0.88210270000000002</v>
      </c>
      <c r="AB5565">
        <v>44</v>
      </c>
      <c r="AC5565">
        <v>16.6601</v>
      </c>
      <c r="AD5565">
        <v>-1.090961915624</v>
      </c>
      <c r="AE5565">
        <v>8.6692</v>
      </c>
      <c r="AF5565">
        <v>8.88563060368989</v>
      </c>
      <c r="AG5565">
        <v>-1.090961915624</v>
      </c>
      <c r="AH5565">
        <v>16.473953024432902</v>
      </c>
      <c r="AI5565">
        <v>93.335744968276799</v>
      </c>
      <c r="AJ5565">
        <v>61.658707184752501</v>
      </c>
      <c r="AK5565">
        <v>18.7492868498456</v>
      </c>
    </row>
    <row r="5566" spans="1:37" x14ac:dyDescent="0.2">
      <c r="A5566" t="str">
        <f>"20200111154211207"</f>
        <v>20200111154211207</v>
      </c>
      <c r="B5566" t="str">
        <f>"1578728531201677"</f>
        <v>1578728531201677</v>
      </c>
      <c r="C5566" t="s">
        <v>37</v>
      </c>
      <c r="D5566">
        <v>5.6379529999999898</v>
      </c>
      <c r="E5566">
        <v>0.61246809999999996</v>
      </c>
      <c r="F5566" t="s">
        <v>39</v>
      </c>
      <c r="G5566">
        <v>-166.95650000000001</v>
      </c>
      <c r="H5566" s="1">
        <v>-1.9420900000000002E-6</v>
      </c>
      <c r="I5566">
        <v>136.66820000000001</v>
      </c>
      <c r="J5566">
        <v>-183.56799999999899</v>
      </c>
      <c r="K5566">
        <v>1.090951</v>
      </c>
      <c r="L5566">
        <v>128.15770000000001</v>
      </c>
      <c r="M5566">
        <v>0.56844969999999995</v>
      </c>
      <c r="N5566">
        <v>0</v>
      </c>
      <c r="O5566">
        <v>0.82246699999999995</v>
      </c>
      <c r="P5566">
        <v>0.72130699999999903</v>
      </c>
      <c r="Q5566">
        <v>3.3391110000000002E-2</v>
      </c>
      <c r="R5566">
        <v>0.69181019999999904</v>
      </c>
      <c r="S5566">
        <v>2.7874910000000002</v>
      </c>
      <c r="T5566">
        <v>-0.18166969999999999</v>
      </c>
      <c r="U5566">
        <v>1.4490969999999901</v>
      </c>
      <c r="V5566">
        <v>0.2022833</v>
      </c>
      <c r="W5566">
        <v>4.3975769999999997E-2</v>
      </c>
      <c r="X5566">
        <v>0.97833919999999996</v>
      </c>
      <c r="Y5566">
        <v>0.46603879999999998</v>
      </c>
      <c r="Z5566">
        <v>-5.5631100000000003E-2</v>
      </c>
      <c r="AA5566">
        <v>0.88301359999999995</v>
      </c>
      <c r="AB5566">
        <v>44</v>
      </c>
      <c r="AC5566">
        <v>16.6114999999999</v>
      </c>
      <c r="AD5566">
        <v>-1.0909529420899999</v>
      </c>
      <c r="AE5566">
        <v>8.5105000000000004</v>
      </c>
      <c r="AF5566">
        <v>8.7963900075706398</v>
      </c>
      <c r="AG5566">
        <v>-1.0909529420899999</v>
      </c>
      <c r="AH5566">
        <v>16.389809388451098</v>
      </c>
      <c r="AI5566">
        <v>93.356540703369305</v>
      </c>
      <c r="AJ5566">
        <v>61.777600824398199</v>
      </c>
      <c r="AK5566">
        <v>18.6331024597865</v>
      </c>
    </row>
    <row r="5567" spans="1:37" x14ac:dyDescent="0.2">
      <c r="A5567" t="str">
        <f>"20200111154211219"</f>
        <v>20200111154211219</v>
      </c>
      <c r="B5567" t="str">
        <f>"1578728531211437"</f>
        <v>1578728531211437</v>
      </c>
      <c r="C5567" t="s">
        <v>37</v>
      </c>
      <c r="D5567">
        <v>5.656517</v>
      </c>
      <c r="E5567">
        <v>0.61163990000000001</v>
      </c>
      <c r="F5567" t="s">
        <v>39</v>
      </c>
      <c r="G5567">
        <v>-166.7363</v>
      </c>
      <c r="H5567" s="1">
        <v>-2.0267029999999999E-6</v>
      </c>
      <c r="I5567">
        <v>136.77809999999999</v>
      </c>
      <c r="J5567">
        <v>-183.43029999999999</v>
      </c>
      <c r="K5567">
        <v>1.090937</v>
      </c>
      <c r="L5567">
        <v>128.35990000000001</v>
      </c>
      <c r="M5567">
        <v>0.57578909999999905</v>
      </c>
      <c r="N5567">
        <v>0</v>
      </c>
      <c r="O5567">
        <v>0.81734609999999996</v>
      </c>
      <c r="P5567">
        <v>0.72715189999999996</v>
      </c>
      <c r="Q5567">
        <v>3.3935670000000001E-2</v>
      </c>
      <c r="R5567">
        <v>0.68563730000000001</v>
      </c>
      <c r="S5567">
        <v>2.794708</v>
      </c>
      <c r="T5567">
        <v>-0.18113959999999901</v>
      </c>
      <c r="U5567">
        <v>1.4313199999999999</v>
      </c>
      <c r="V5567">
        <v>0.20186999999999999</v>
      </c>
      <c r="W5567">
        <v>4.4519309999999999E-2</v>
      </c>
      <c r="X5567">
        <v>0.97840000000000005</v>
      </c>
      <c r="Y5567">
        <v>0.463509</v>
      </c>
      <c r="Z5567">
        <v>-5.5259370000000002E-2</v>
      </c>
      <c r="AA5567">
        <v>0.88436749999999997</v>
      </c>
      <c r="AB5567">
        <v>44</v>
      </c>
      <c r="AC5567">
        <v>16.6939999999999</v>
      </c>
      <c r="AD5567">
        <v>-1.0909390267029999</v>
      </c>
      <c r="AE5567">
        <v>8.4181999999999793</v>
      </c>
      <c r="AF5567">
        <v>8.7696237099949794</v>
      </c>
      <c r="AG5567">
        <v>-1.0909390267029999</v>
      </c>
      <c r="AH5567">
        <v>16.440232139549199</v>
      </c>
      <c r="AI5567">
        <v>93.350777080363599</v>
      </c>
      <c r="AJ5567">
        <v>61.923443519083001</v>
      </c>
      <c r="AK5567">
        <v>18.664878268479399</v>
      </c>
    </row>
    <row r="5568" spans="1:37" x14ac:dyDescent="0.2">
      <c r="A5568" t="str">
        <f>"20200111154211233"</f>
        <v>20200111154211233</v>
      </c>
      <c r="B5568" t="str">
        <f>"1578728531221199"</f>
        <v>1578728531221199</v>
      </c>
      <c r="C5568" t="s">
        <v>37</v>
      </c>
      <c r="D5568">
        <v>5.6603579999999996</v>
      </c>
      <c r="E5568">
        <v>0.61091049999999902</v>
      </c>
      <c r="F5568" t="s">
        <v>39</v>
      </c>
      <c r="G5568">
        <v>-166.7064</v>
      </c>
      <c r="H5568" s="1">
        <v>-2.0388150000000001E-6</v>
      </c>
      <c r="I5568">
        <v>136.7894</v>
      </c>
      <c r="J5568">
        <v>-183.27260000000001</v>
      </c>
      <c r="K5568">
        <v>1.0909249999999999</v>
      </c>
      <c r="L5568">
        <v>128.58609999999999</v>
      </c>
      <c r="M5568">
        <v>0.58401800000000004</v>
      </c>
      <c r="N5568">
        <v>0</v>
      </c>
      <c r="O5568">
        <v>0.81148710000000002</v>
      </c>
      <c r="P5568">
        <v>0.73372999999999999</v>
      </c>
      <c r="Q5568">
        <v>3.458497E-2</v>
      </c>
      <c r="R5568">
        <v>0.67856039999999995</v>
      </c>
      <c r="S5568">
        <v>2.802368</v>
      </c>
      <c r="T5568">
        <v>-0.1828052</v>
      </c>
      <c r="U5568">
        <v>1.412506</v>
      </c>
      <c r="V5568">
        <v>0.20146989999999901</v>
      </c>
      <c r="W5568">
        <v>4.5166690000000002E-2</v>
      </c>
      <c r="X5568">
        <v>0.97845280000000001</v>
      </c>
      <c r="Y5568">
        <v>0.46023940000000002</v>
      </c>
      <c r="Z5568">
        <v>-5.5507059999999997E-2</v>
      </c>
      <c r="AA5568">
        <v>0.88605800000000001</v>
      </c>
      <c r="AB5568">
        <v>44</v>
      </c>
      <c r="AC5568">
        <v>16.566199999999998</v>
      </c>
      <c r="AD5568">
        <v>-1.0909270388150001</v>
      </c>
      <c r="AE5568">
        <v>8.2033000000000094</v>
      </c>
      <c r="AF5568">
        <v>8.6241297697500894</v>
      </c>
      <c r="AG5568">
        <v>-1.0909270388150001</v>
      </c>
      <c r="AH5568">
        <v>16.278502146239902</v>
      </c>
      <c r="AI5568">
        <v>93.389048227431203</v>
      </c>
      <c r="AJ5568">
        <v>62.085963664849103</v>
      </c>
      <c r="AK5568">
        <v>18.454142305039401</v>
      </c>
    </row>
    <row r="5569" spans="1:37" x14ac:dyDescent="0.2">
      <c r="A5569" t="str">
        <f>"20200111154211246"</f>
        <v>20200111154211246</v>
      </c>
      <c r="B5569" t="str">
        <f>"1578728531241693"</f>
        <v>1578728531241693</v>
      </c>
      <c r="C5569" t="s">
        <v>37</v>
      </c>
      <c r="D5569">
        <v>5.6849879999999997</v>
      </c>
      <c r="E5569">
        <v>0.60965400000000003</v>
      </c>
      <c r="F5569" t="s">
        <v>39</v>
      </c>
      <c r="G5569">
        <v>-166.75040000000001</v>
      </c>
      <c r="H5569" s="1">
        <v>-2.0243919999999998E-6</v>
      </c>
      <c r="I5569">
        <v>136.75360000000001</v>
      </c>
      <c r="J5569">
        <v>-183.1293</v>
      </c>
      <c r="K5569">
        <v>1.090913</v>
      </c>
      <c r="L5569">
        <v>128.78829999999999</v>
      </c>
      <c r="M5569">
        <v>0.59137249999999997</v>
      </c>
      <c r="N5569">
        <v>0</v>
      </c>
      <c r="O5569">
        <v>0.80614359999999996</v>
      </c>
      <c r="P5569">
        <v>0.73980859999999904</v>
      </c>
      <c r="Q5569">
        <v>3.454165E-2</v>
      </c>
      <c r="R5569">
        <v>0.67193029999999998</v>
      </c>
      <c r="S5569">
        <v>2.8119049999999999</v>
      </c>
      <c r="T5569">
        <v>-0.1856642</v>
      </c>
      <c r="U5569">
        <v>1.3900299999999901</v>
      </c>
      <c r="V5569">
        <v>0.20137839999999901</v>
      </c>
      <c r="W5569">
        <v>4.5109990000000003E-2</v>
      </c>
      <c r="X5569">
        <v>0.97847430000000002</v>
      </c>
      <c r="Y5569">
        <v>0.45900749999999901</v>
      </c>
      <c r="Z5569">
        <v>-5.6164829999999999E-2</v>
      </c>
      <c r="AA5569">
        <v>0.88665530000000004</v>
      </c>
      <c r="AB5569">
        <v>44</v>
      </c>
      <c r="AC5569">
        <v>16.378899999999899</v>
      </c>
      <c r="AD5569">
        <v>-1.0909150243920001</v>
      </c>
      <c r="AE5569">
        <v>7.9653000000000098</v>
      </c>
      <c r="AF5569">
        <v>8.4646634357700794</v>
      </c>
      <c r="AG5569">
        <v>-1.0909150243920001</v>
      </c>
      <c r="AH5569">
        <v>16.052924942143601</v>
      </c>
      <c r="AI5569">
        <v>93.440047643993296</v>
      </c>
      <c r="AJ5569">
        <v>62.197441109016196</v>
      </c>
      <c r="AK5569">
        <v>18.180677156514399</v>
      </c>
    </row>
    <row r="5570" spans="1:37" x14ac:dyDescent="0.2">
      <c r="A5570" t="str">
        <f>"20200111154211259"</f>
        <v>20200111154211259</v>
      </c>
      <c r="B5570" t="str">
        <f>"1578728531251453"</f>
        <v>1578728531251453</v>
      </c>
      <c r="C5570" t="s">
        <v>37</v>
      </c>
      <c r="D5570">
        <v>5.6501000000000001</v>
      </c>
      <c r="E5570">
        <v>0.609012199999999</v>
      </c>
      <c r="F5570" t="s">
        <v>39</v>
      </c>
      <c r="G5570">
        <v>-167.18819999999999</v>
      </c>
      <c r="H5570" s="1">
        <v>-1.8797569999999899E-6</v>
      </c>
      <c r="I5570">
        <v>136.5504</v>
      </c>
      <c r="J5570">
        <v>-182.9761</v>
      </c>
      <c r="K5570">
        <v>1.0909040000000001</v>
      </c>
      <c r="L5570">
        <v>128.99969999999999</v>
      </c>
      <c r="M5570">
        <v>0.59907829999999995</v>
      </c>
      <c r="N5570">
        <v>0</v>
      </c>
      <c r="O5570">
        <v>0.80043399999999998</v>
      </c>
      <c r="P5570">
        <v>0.74606949999999905</v>
      </c>
      <c r="Q5570">
        <v>3.433303E-2</v>
      </c>
      <c r="R5570">
        <v>0.66498250000000003</v>
      </c>
      <c r="S5570">
        <v>2.8179020000000001</v>
      </c>
      <c r="T5570">
        <v>-0.1928406</v>
      </c>
      <c r="U5570">
        <v>1.372101</v>
      </c>
      <c r="V5570">
        <v>0.20114119999999999</v>
      </c>
      <c r="W5570">
        <v>4.4895640000000001E-2</v>
      </c>
      <c r="X5570">
        <v>0.97853289999999904</v>
      </c>
      <c r="Y5570">
        <v>0.45566040000000002</v>
      </c>
      <c r="Z5570">
        <v>-5.8067929999999997E-2</v>
      </c>
      <c r="AA5570">
        <v>0.88825769999999904</v>
      </c>
      <c r="AB5570">
        <v>43</v>
      </c>
      <c r="AC5570">
        <v>15.7879</v>
      </c>
      <c r="AD5570">
        <v>-1.0909058797569999</v>
      </c>
      <c r="AE5570">
        <v>7.5507</v>
      </c>
      <c r="AF5570">
        <v>8.0839658565283194</v>
      </c>
      <c r="AG5570">
        <v>-1.0909058797569999</v>
      </c>
      <c r="AH5570">
        <v>15.4451935224398</v>
      </c>
      <c r="AI5570">
        <v>93.580761637234602</v>
      </c>
      <c r="AJ5570">
        <v>62.3725808996832</v>
      </c>
      <c r="AK5570">
        <v>17.4669568773047</v>
      </c>
    </row>
    <row r="5571" spans="1:37" x14ac:dyDescent="0.2">
      <c r="A5571" t="str">
        <f>"20200111154211272"</f>
        <v>20200111154211272</v>
      </c>
      <c r="B5571" t="str">
        <f>"1578728531261213"</f>
        <v>1578728531261213</v>
      </c>
      <c r="C5571" t="s">
        <v>37</v>
      </c>
      <c r="D5571">
        <v>5.6271529999999998</v>
      </c>
      <c r="E5571">
        <v>0.60853020000000002</v>
      </c>
      <c r="F5571" t="s">
        <v>39</v>
      </c>
      <c r="G5571">
        <v>-167.244</v>
      </c>
      <c r="H5571" s="1">
        <v>-1.868992E-6</v>
      </c>
      <c r="I5571">
        <v>136.5103</v>
      </c>
      <c r="J5571">
        <v>-182.82149999999999</v>
      </c>
      <c r="K5571">
        <v>1.0908929999999999</v>
      </c>
      <c r="L5571">
        <v>129.20820000000001</v>
      </c>
      <c r="M5571">
        <v>0.60669499999999998</v>
      </c>
      <c r="N5571">
        <v>0</v>
      </c>
      <c r="O5571">
        <v>0.79467670000000001</v>
      </c>
      <c r="P5571">
        <v>0.75219080000000005</v>
      </c>
      <c r="Q5571">
        <v>3.4150069999999998E-2</v>
      </c>
      <c r="R5571">
        <v>0.65805990000000003</v>
      </c>
      <c r="S5571">
        <v>2.827118</v>
      </c>
      <c r="T5571">
        <v>-0.19603999999999999</v>
      </c>
      <c r="U5571">
        <v>1.3496859999999999</v>
      </c>
      <c r="V5571">
        <v>0.200837299999999</v>
      </c>
      <c r="W5571">
        <v>4.4713669999999997E-2</v>
      </c>
      <c r="X5571">
        <v>0.97860360000000002</v>
      </c>
      <c r="Y5571">
        <v>0.45396909999999902</v>
      </c>
      <c r="Z5571">
        <v>-5.8772999999999999E-2</v>
      </c>
      <c r="AA5571">
        <v>0.88907689999999995</v>
      </c>
      <c r="AB5571">
        <v>43</v>
      </c>
      <c r="AC5571">
        <v>15.577499999999899</v>
      </c>
      <c r="AD5571">
        <v>-1.0908948689919999</v>
      </c>
      <c r="AE5571">
        <v>7.3020999999999896</v>
      </c>
      <c r="AF5571">
        <v>7.9187202246208797</v>
      </c>
      <c r="AG5571">
        <v>-1.0908948689919999</v>
      </c>
      <c r="AH5571">
        <v>15.195631460524201</v>
      </c>
      <c r="AI5571">
        <v>93.642771362758694</v>
      </c>
      <c r="AJ5571">
        <v>62.475159661486899</v>
      </c>
      <c r="AK5571">
        <v>17.169839751584298</v>
      </c>
    </row>
    <row r="5572" spans="1:37" x14ac:dyDescent="0.2">
      <c r="A5572" t="str">
        <f>"20200111154211287"</f>
        <v>20200111154211287</v>
      </c>
      <c r="B5572" t="str">
        <f>"1578728531281241"</f>
        <v>1578728531281241</v>
      </c>
      <c r="C5572" t="s">
        <v>37</v>
      </c>
      <c r="D5572">
        <v>5.6536839999999904</v>
      </c>
      <c r="E5572">
        <v>0.595472</v>
      </c>
      <c r="F5572" t="s">
        <v>39</v>
      </c>
      <c r="G5572">
        <v>-167.20769999999999</v>
      </c>
      <c r="H5572" s="1">
        <v>-1.883834E-6</v>
      </c>
      <c r="I5572">
        <v>136.5069</v>
      </c>
      <c r="J5572">
        <v>-182.66560000000001</v>
      </c>
      <c r="K5572">
        <v>1.0908869999999999</v>
      </c>
      <c r="L5572">
        <v>129.41540000000001</v>
      </c>
      <c r="M5572">
        <v>0.61426059999999905</v>
      </c>
      <c r="N5572">
        <v>0</v>
      </c>
      <c r="O5572">
        <v>0.78884359999999998</v>
      </c>
      <c r="P5572">
        <v>0.75828680000000004</v>
      </c>
      <c r="Q5572">
        <v>3.3748489999999999E-2</v>
      </c>
      <c r="R5572">
        <v>0.65104689999999998</v>
      </c>
      <c r="S5572">
        <v>2.8371119999999999</v>
      </c>
      <c r="T5572">
        <v>-0.19822129999999999</v>
      </c>
      <c r="U5572">
        <v>1.3262179999999999</v>
      </c>
      <c r="V5572">
        <v>0.20056979999999999</v>
      </c>
      <c r="W5572">
        <v>4.4311610000000001E-2</v>
      </c>
      <c r="X5572">
        <v>0.97867680000000001</v>
      </c>
      <c r="Y5572">
        <v>0.45266129999999999</v>
      </c>
      <c r="Z5572">
        <v>-5.9160369999999997E-2</v>
      </c>
      <c r="AA5572">
        <v>0.8897178</v>
      </c>
      <c r="AB5572">
        <v>43</v>
      </c>
      <c r="AC5572">
        <v>15.4579</v>
      </c>
      <c r="AD5572">
        <v>-1.0908888838339901</v>
      </c>
      <c r="AE5572">
        <v>7.0914999999999901</v>
      </c>
      <c r="AF5572">
        <v>7.8073198819504999</v>
      </c>
      <c r="AG5572">
        <v>-1.0908888838339901</v>
      </c>
      <c r="AH5572">
        <v>15.030513384202999</v>
      </c>
      <c r="AI5572">
        <v>93.685196821297396</v>
      </c>
      <c r="AJ5572">
        <v>62.551220718026698</v>
      </c>
      <c r="AK5572">
        <v>16.972348537803398</v>
      </c>
    </row>
    <row r="5573" spans="1:37" x14ac:dyDescent="0.2">
      <c r="A5573" t="str">
        <f>"20200111154211300"</f>
        <v>20200111154211300</v>
      </c>
      <c r="B5573" t="str">
        <f>"1578728531291001"</f>
        <v>1578728531291001</v>
      </c>
      <c r="C5573" t="s">
        <v>37</v>
      </c>
      <c r="D5573">
        <v>5.6374550000000001</v>
      </c>
      <c r="E5573">
        <v>0.59514959999999995</v>
      </c>
      <c r="F5573" t="s">
        <v>46</v>
      </c>
      <c r="G5573">
        <v>-170</v>
      </c>
      <c r="H5573" s="1">
        <v>-1.884978E-6</v>
      </c>
      <c r="I5573">
        <v>135.69139999999999</v>
      </c>
      <c r="J5573">
        <v>-182.4802</v>
      </c>
      <c r="K5573">
        <v>1.090881</v>
      </c>
      <c r="L5573">
        <v>129.6559</v>
      </c>
      <c r="M5573">
        <v>0.6230639</v>
      </c>
      <c r="N5573">
        <v>0</v>
      </c>
      <c r="O5573">
        <v>0.78190930000000003</v>
      </c>
      <c r="P5573">
        <v>0.76526910000000004</v>
      </c>
      <c r="Q5573">
        <v>3.4285709999999997E-2</v>
      </c>
      <c r="R5573">
        <v>0.6427969</v>
      </c>
      <c r="S5573">
        <v>2.7829739999999998</v>
      </c>
      <c r="T5573">
        <v>-0.23969879999999999</v>
      </c>
      <c r="U5573">
        <v>1.3790129999999901</v>
      </c>
      <c r="V5573">
        <v>0.2002051</v>
      </c>
      <c r="W5573">
        <v>4.4855159999999998E-2</v>
      </c>
      <c r="X5573">
        <v>0.97872669999999995</v>
      </c>
      <c r="Y5573">
        <v>0.42128679999999902</v>
      </c>
      <c r="Z5573">
        <v>-7.0831710000000006E-2</v>
      </c>
      <c r="AA5573">
        <v>0.90415719999999999</v>
      </c>
      <c r="AB5573">
        <v>43</v>
      </c>
      <c r="AC5573">
        <v>12.4801999999999</v>
      </c>
      <c r="AD5573">
        <v>-1.0908828849779999</v>
      </c>
      <c r="AE5573">
        <v>6.0354999999999803</v>
      </c>
      <c r="AF5573">
        <v>5.9621910573548202</v>
      </c>
      <c r="AG5573">
        <v>-1.0908828849779999</v>
      </c>
      <c r="AH5573">
        <v>12.4208214106017</v>
      </c>
      <c r="AI5573">
        <v>94.527093988322306</v>
      </c>
      <c r="AJ5573">
        <v>64.358256433112402</v>
      </c>
      <c r="AK5573">
        <v>13.8208014307131</v>
      </c>
    </row>
    <row r="5574" spans="1:37" x14ac:dyDescent="0.2">
      <c r="A5574" t="str">
        <f>"20200111154211315"</f>
        <v>20200111154211315</v>
      </c>
      <c r="B5574" t="str">
        <f>"1578728531301737"</f>
        <v>1578728531301737</v>
      </c>
      <c r="C5574" t="s">
        <v>37</v>
      </c>
      <c r="D5574">
        <v>5.6419969999999999</v>
      </c>
      <c r="E5574">
        <v>0.59469539999999999</v>
      </c>
      <c r="F5574" t="s">
        <v>39</v>
      </c>
      <c r="G5574">
        <v>-169.5317</v>
      </c>
      <c r="H5574" s="1">
        <v>-1.1500870000000001E-6</v>
      </c>
      <c r="I5574">
        <v>135.91050000000001</v>
      </c>
      <c r="J5574">
        <v>-182.32130000000001</v>
      </c>
      <c r="K5574">
        <v>1.090881</v>
      </c>
      <c r="L5574">
        <v>129.85659999999999</v>
      </c>
      <c r="M5574">
        <v>0.63044089999999997</v>
      </c>
      <c r="N5574">
        <v>0</v>
      </c>
      <c r="O5574">
        <v>0.77597389999999999</v>
      </c>
      <c r="P5574">
        <v>0.77117880000000005</v>
      </c>
      <c r="Q5574">
        <v>3.4809159999999999E-2</v>
      </c>
      <c r="R5574">
        <v>0.63566619999999996</v>
      </c>
      <c r="S5574">
        <v>2.7962340000000001</v>
      </c>
      <c r="T5574">
        <v>-0.23557620000000001</v>
      </c>
      <c r="U5574">
        <v>1.3506769999999999</v>
      </c>
      <c r="V5574">
        <v>0.2000265</v>
      </c>
      <c r="W5574">
        <v>4.5378179999999997E-2</v>
      </c>
      <c r="X5574">
        <v>0.97873909999999997</v>
      </c>
      <c r="Y5574">
        <v>0.42191699999999999</v>
      </c>
      <c r="Z5574">
        <v>-6.9323060000000006E-2</v>
      </c>
      <c r="AA5574">
        <v>0.90398029999999996</v>
      </c>
      <c r="AB5574">
        <v>43</v>
      </c>
      <c r="AC5574">
        <v>12.7896</v>
      </c>
      <c r="AD5574">
        <v>-1.0908821500870001</v>
      </c>
      <c r="AE5574">
        <v>6.05390000000002</v>
      </c>
      <c r="AF5574">
        <v>6.0729240966531401</v>
      </c>
      <c r="AG5574">
        <v>-1.0908821500870001</v>
      </c>
      <c r="AH5574">
        <v>12.6879537467014</v>
      </c>
      <c r="AI5574">
        <v>94.434534507164003</v>
      </c>
      <c r="AJ5574">
        <v>64.422498529233707</v>
      </c>
      <c r="AK5574">
        <v>14.1086711361319</v>
      </c>
    </row>
    <row r="5575" spans="1:37" x14ac:dyDescent="0.2">
      <c r="A5575" t="str">
        <f>"20200111154211329"</f>
        <v>20200111154211329</v>
      </c>
      <c r="B5575" t="str">
        <f>"1578728531321257"</f>
        <v>1578728531321257</v>
      </c>
      <c r="C5575" t="s">
        <v>37</v>
      </c>
      <c r="D5575">
        <v>5.9615309999999999</v>
      </c>
      <c r="E5575">
        <v>0.59411480000000005</v>
      </c>
      <c r="F5575" t="s">
        <v>39</v>
      </c>
      <c r="G5575">
        <v>-169.49850000000001</v>
      </c>
      <c r="H5575" s="1">
        <v>-1.1596460000000001E-6</v>
      </c>
      <c r="I5575">
        <v>135.92240000000001</v>
      </c>
      <c r="J5575">
        <v>-182.1491</v>
      </c>
      <c r="K5575">
        <v>1.090886</v>
      </c>
      <c r="L5575">
        <v>130.07069999999999</v>
      </c>
      <c r="M5575">
        <v>0.63830830000000005</v>
      </c>
      <c r="N5575">
        <v>0</v>
      </c>
      <c r="O5575">
        <v>0.76951550000000002</v>
      </c>
      <c r="P5575">
        <v>0.77750180000000002</v>
      </c>
      <c r="Q5575">
        <v>3.5365349999999997E-2</v>
      </c>
      <c r="R5575">
        <v>0.62788559999999904</v>
      </c>
      <c r="S5575">
        <v>2.8065639999999998</v>
      </c>
      <c r="T5575">
        <v>-0.2387657</v>
      </c>
      <c r="U5575">
        <v>1.327637</v>
      </c>
      <c r="V5575">
        <v>0.19990250000000001</v>
      </c>
      <c r="W5575">
        <v>4.5930260000000001E-2</v>
      </c>
      <c r="X5575">
        <v>0.97873869999999896</v>
      </c>
      <c r="Y5575">
        <v>0.419985</v>
      </c>
      <c r="Z5575">
        <v>-6.9855940000000005E-2</v>
      </c>
      <c r="AA5575">
        <v>0.90483849999999999</v>
      </c>
      <c r="AB5575">
        <v>43</v>
      </c>
      <c r="AC5575">
        <v>12.650599999999899</v>
      </c>
      <c r="AD5575">
        <v>-1.0908871596459999</v>
      </c>
      <c r="AE5575">
        <v>5.8517000000000197</v>
      </c>
      <c r="AF5575">
        <v>5.9643359495447701</v>
      </c>
      <c r="AG5575">
        <v>-1.0908871596459999</v>
      </c>
      <c r="AH5575">
        <v>12.5039350310843</v>
      </c>
      <c r="AI5575">
        <v>94.502411630354999</v>
      </c>
      <c r="AJ5575">
        <v>64.499011233968503</v>
      </c>
      <c r="AK5575">
        <v>13.896464635859401</v>
      </c>
    </row>
    <row r="5576" spans="1:37" x14ac:dyDescent="0.2">
      <c r="A5576" t="str">
        <f>"20200111154211340"</f>
        <v>20200111154211340</v>
      </c>
      <c r="B5576" t="str">
        <f>"1578728531331018"</f>
        <v>1578728531331018</v>
      </c>
      <c r="C5576" t="s">
        <v>37</v>
      </c>
      <c r="D5576">
        <v>5.8482539999999998</v>
      </c>
      <c r="E5576">
        <v>0.59159700000000004</v>
      </c>
      <c r="F5576" t="s">
        <v>39</v>
      </c>
      <c r="G5576">
        <v>-169.1773</v>
      </c>
      <c r="H5576" s="1">
        <v>-1.243469E-6</v>
      </c>
      <c r="I5576">
        <v>136.071</v>
      </c>
      <c r="J5576">
        <v>-181.99170000000001</v>
      </c>
      <c r="K5576">
        <v>1.0908899999999999</v>
      </c>
      <c r="L5576">
        <v>130.2628</v>
      </c>
      <c r="M5576">
        <v>0.64537290000000003</v>
      </c>
      <c r="N5576">
        <v>0</v>
      </c>
      <c r="O5576">
        <v>0.76360050000000002</v>
      </c>
      <c r="P5576">
        <v>0.78313730000000004</v>
      </c>
      <c r="Q5576">
        <v>3.5904819999999997E-2</v>
      </c>
      <c r="R5576">
        <v>0.62081149999999996</v>
      </c>
      <c r="S5576">
        <v>2.8170009999999999</v>
      </c>
      <c r="T5576">
        <v>-0.23690129999999901</v>
      </c>
      <c r="U5576">
        <v>1.30304</v>
      </c>
      <c r="V5576">
        <v>0.19976140000000001</v>
      </c>
      <c r="W5576">
        <v>4.6467559999999998E-2</v>
      </c>
      <c r="X5576">
        <v>0.97874209999999995</v>
      </c>
      <c r="Y5576">
        <v>0.41946650000000002</v>
      </c>
      <c r="Z5576">
        <v>-6.8988419999999995E-2</v>
      </c>
      <c r="AA5576">
        <v>0.90514550000000005</v>
      </c>
      <c r="AB5576">
        <v>43</v>
      </c>
      <c r="AC5576">
        <v>12.814399999999999</v>
      </c>
      <c r="AD5576">
        <v>-1.0908912434689999</v>
      </c>
      <c r="AE5576">
        <v>5.8081999999999896</v>
      </c>
      <c r="AF5576">
        <v>6.0017767014033003</v>
      </c>
      <c r="AG5576">
        <v>-1.0908912434689999</v>
      </c>
      <c r="AH5576">
        <v>12.6318611672971</v>
      </c>
      <c r="AI5576">
        <v>94.460232907500099</v>
      </c>
      <c r="AJ5576">
        <v>64.586203060784797</v>
      </c>
      <c r="AK5576">
        <v>14.0276613813014</v>
      </c>
    </row>
    <row r="5577" spans="1:37" x14ac:dyDescent="0.2">
      <c r="A5577" t="str">
        <f>"20200111154211354"</f>
        <v>20200111154211354</v>
      </c>
      <c r="B5577" t="str">
        <f>"1578728531351514"</f>
        <v>1578728531351514</v>
      </c>
      <c r="C5577" t="s">
        <v>37</v>
      </c>
      <c r="D5577">
        <v>5.8919239999999897</v>
      </c>
      <c r="E5577">
        <v>0.60827019999999998</v>
      </c>
      <c r="F5577" t="s">
        <v>46</v>
      </c>
      <c r="G5577">
        <v>-176.05680000000001</v>
      </c>
      <c r="H5577" s="1">
        <v>-4.0487529999999999E-6</v>
      </c>
      <c r="I5577">
        <v>132.98339999999999</v>
      </c>
      <c r="J5577">
        <v>-181.83690000000001</v>
      </c>
      <c r="K5577">
        <v>1.0908949999999999</v>
      </c>
      <c r="L5577">
        <v>130.447</v>
      </c>
      <c r="M5577">
        <v>0.65218319999999996</v>
      </c>
      <c r="N5577">
        <v>0</v>
      </c>
      <c r="O5577">
        <v>0.75779240000000003</v>
      </c>
      <c r="P5577">
        <v>0.7883656</v>
      </c>
      <c r="Q5577">
        <v>3.6507089999999999E-2</v>
      </c>
      <c r="R5577">
        <v>0.61412299999999997</v>
      </c>
      <c r="S5577">
        <v>2.8272089999999999</v>
      </c>
      <c r="T5577">
        <v>-0.51966970000000001</v>
      </c>
      <c r="U5577">
        <v>1.29599</v>
      </c>
      <c r="V5577">
        <v>0.19933670000000001</v>
      </c>
      <c r="W5577">
        <v>4.7081999999999999E-2</v>
      </c>
      <c r="X5577">
        <v>0.97879930000000004</v>
      </c>
      <c r="Y5577">
        <v>0.40439700000000001</v>
      </c>
      <c r="Z5577">
        <v>-0.14824100000000001</v>
      </c>
      <c r="AA5577">
        <v>0.90248969999999995</v>
      </c>
      <c r="AB5577">
        <v>43</v>
      </c>
      <c r="AC5577">
        <v>5.7801</v>
      </c>
      <c r="AD5577">
        <v>-1.0908990487529999</v>
      </c>
      <c r="AE5577">
        <v>2.53639999999998</v>
      </c>
      <c r="AF5577">
        <v>2.6473995424568102</v>
      </c>
      <c r="AG5577">
        <v>-1.0908990487529999</v>
      </c>
      <c r="AH5577">
        <v>5.5278005211602697</v>
      </c>
      <c r="AI5577">
        <v>100.09228232487401</v>
      </c>
      <c r="AJ5577">
        <v>64.409094043981398</v>
      </c>
      <c r="AK5577">
        <v>6.2253806047269498</v>
      </c>
    </row>
    <row r="5578" spans="1:37" x14ac:dyDescent="0.2">
      <c r="A5578" t="str">
        <f>"20200111154211369"</f>
        <v>20200111154211369</v>
      </c>
      <c r="B5578" t="str">
        <f>"1578728531361274"</f>
        <v>1578728531361274</v>
      </c>
      <c r="C5578" t="s">
        <v>37</v>
      </c>
      <c r="D5578">
        <v>5.8656689999999996</v>
      </c>
      <c r="E5578">
        <v>0.61310849999999995</v>
      </c>
      <c r="F5578" t="s">
        <v>46</v>
      </c>
      <c r="G5578">
        <v>-175.4785</v>
      </c>
      <c r="H5578" s="1">
        <v>-3.6558330000000001E-6</v>
      </c>
      <c r="I5578">
        <v>132.98750000000001</v>
      </c>
      <c r="J5578">
        <v>-181.65119999999999</v>
      </c>
      <c r="K5578">
        <v>1.0908990000000001</v>
      </c>
      <c r="L5578">
        <v>130.6644</v>
      </c>
      <c r="M5578">
        <v>0.66022259999999999</v>
      </c>
      <c r="N5578">
        <v>0</v>
      </c>
      <c r="O5578">
        <v>0.75079879999999999</v>
      </c>
      <c r="P5578">
        <v>0.79416809999999904</v>
      </c>
      <c r="Q5578">
        <v>3.7603789999999998E-2</v>
      </c>
      <c r="R5578">
        <v>0.60653380000000001</v>
      </c>
      <c r="S5578">
        <v>2.9197389999999999</v>
      </c>
      <c r="T5578">
        <v>-0.50093589999999999</v>
      </c>
      <c r="U5578">
        <v>1.1666259999999999</v>
      </c>
      <c r="V5578">
        <v>0.19830420000000001</v>
      </c>
      <c r="W5578">
        <v>4.8220829999999999E-2</v>
      </c>
      <c r="X5578">
        <v>0.97895359999999998</v>
      </c>
      <c r="Y5578">
        <v>0.44016430000000001</v>
      </c>
      <c r="Z5578">
        <v>-0.14282929999999999</v>
      </c>
      <c r="AA5578">
        <v>0.88648470000000001</v>
      </c>
      <c r="AB5578">
        <v>43</v>
      </c>
      <c r="AC5578">
        <v>6.1726999999999901</v>
      </c>
      <c r="AD5578">
        <v>-1.0909026558329999</v>
      </c>
      <c r="AE5578">
        <v>2.3231000000000099</v>
      </c>
      <c r="AF5578">
        <v>3.0187361091211899</v>
      </c>
      <c r="AG5578">
        <v>-1.0909026558329999</v>
      </c>
      <c r="AH5578">
        <v>5.6657165909545402</v>
      </c>
      <c r="AI5578">
        <v>99.644108783909203</v>
      </c>
      <c r="AJ5578">
        <v>61.950975709307599</v>
      </c>
      <c r="AK5578">
        <v>6.5117724768324896</v>
      </c>
    </row>
    <row r="5579" spans="1:37" x14ac:dyDescent="0.2">
      <c r="A5579" t="str">
        <f>"20200111154211380"</f>
        <v>20200111154211380</v>
      </c>
      <c r="B5579" t="str">
        <f>"1578728531371033"</f>
        <v>1578728531371033</v>
      </c>
      <c r="C5579" t="s">
        <v>37</v>
      </c>
      <c r="D5579">
        <v>5.8869680000000004</v>
      </c>
      <c r="E5579">
        <v>0.61620750000000002</v>
      </c>
      <c r="F5579" t="s">
        <v>46</v>
      </c>
      <c r="G5579">
        <v>-175.08969999999999</v>
      </c>
      <c r="H5579" s="1">
        <v>-3.4420420000000001E-6</v>
      </c>
      <c r="I5579">
        <v>133.12309999999999</v>
      </c>
      <c r="J5579">
        <v>-181.49719999999999</v>
      </c>
      <c r="K5579">
        <v>1.090903</v>
      </c>
      <c r="L5579">
        <v>130.8415</v>
      </c>
      <c r="M5579">
        <v>0.66677500000000001</v>
      </c>
      <c r="N5579">
        <v>0</v>
      </c>
      <c r="O5579">
        <v>0.74498609999999998</v>
      </c>
      <c r="P5579">
        <v>0.79915930000000002</v>
      </c>
      <c r="Q5579">
        <v>3.7655830000000001E-2</v>
      </c>
      <c r="R5579">
        <v>0.59993879999999999</v>
      </c>
      <c r="S5579">
        <v>2.9551240000000001</v>
      </c>
      <c r="T5579">
        <v>-0.49131249999999999</v>
      </c>
      <c r="U5579">
        <v>1.1073</v>
      </c>
      <c r="V5579">
        <v>0.1978317</v>
      </c>
      <c r="W5579">
        <v>4.8288940000000002E-2</v>
      </c>
      <c r="X5579">
        <v>0.97904590000000002</v>
      </c>
      <c r="Y5579">
        <v>0.45196449999999999</v>
      </c>
      <c r="Z5579">
        <v>-0.13969500000000001</v>
      </c>
      <c r="AA5579">
        <v>0.88102969999999903</v>
      </c>
      <c r="AB5579">
        <v>43</v>
      </c>
      <c r="AC5579">
        <v>6.40749999999999</v>
      </c>
      <c r="AD5579">
        <v>-1.090906442042</v>
      </c>
      <c r="AE5579">
        <v>2.2815999999999899</v>
      </c>
      <c r="AF5579">
        <v>3.1712659564055201</v>
      </c>
      <c r="AG5579">
        <v>-1.090906442042</v>
      </c>
      <c r="AH5579">
        <v>5.8235268536703302</v>
      </c>
      <c r="AI5579">
        <v>99.342369741846497</v>
      </c>
      <c r="AJ5579">
        <v>61.4290095881938</v>
      </c>
      <c r="AK5579">
        <v>6.7201539898252998</v>
      </c>
    </row>
    <row r="5580" spans="1:37" x14ac:dyDescent="0.2">
      <c r="A5580" t="str">
        <f>"20200111154211392"</f>
        <v>20200111154211392</v>
      </c>
      <c r="B5580" t="str">
        <f>"1578728531381301"</f>
        <v>1578728531381301</v>
      </c>
      <c r="C5580" t="s">
        <v>37</v>
      </c>
      <c r="D5580">
        <v>5.8539099999999999</v>
      </c>
      <c r="E5580">
        <v>0.61762050000000002</v>
      </c>
      <c r="F5580" t="s">
        <v>46</v>
      </c>
      <c r="G5580">
        <v>-174.8246</v>
      </c>
      <c r="H5580" s="1">
        <v>-3.3304950000000002E-6</v>
      </c>
      <c r="I5580">
        <v>133.22200000000001</v>
      </c>
      <c r="J5580">
        <v>-181.3535</v>
      </c>
      <c r="K5580">
        <v>1.0909089999999999</v>
      </c>
      <c r="L5580">
        <v>131.0027</v>
      </c>
      <c r="M5580">
        <v>0.67277619999999905</v>
      </c>
      <c r="N5580">
        <v>0</v>
      </c>
      <c r="O5580">
        <v>0.73957130000000004</v>
      </c>
      <c r="P5580">
        <v>0.80390479999999997</v>
      </c>
      <c r="Q5580">
        <v>3.7874150000000002E-2</v>
      </c>
      <c r="R5580">
        <v>0.59355100000000005</v>
      </c>
      <c r="S5580">
        <v>2.97905</v>
      </c>
      <c r="T5580">
        <v>-0.4870447</v>
      </c>
      <c r="U5580">
        <v>1.0627899999999999</v>
      </c>
      <c r="V5580">
        <v>0.1977206</v>
      </c>
      <c r="W5580">
        <v>4.8506599999999997E-2</v>
      </c>
      <c r="X5580">
        <v>0.97905759999999897</v>
      </c>
      <c r="Y5580">
        <v>0.45896509999999902</v>
      </c>
      <c r="Z5580">
        <v>-0.13802320000000001</v>
      </c>
      <c r="AA5580">
        <v>0.87766769999999905</v>
      </c>
      <c r="AB5580">
        <v>43</v>
      </c>
      <c r="AC5580">
        <v>6.5288999999999904</v>
      </c>
      <c r="AD5580">
        <v>-1.0909123304949999</v>
      </c>
      <c r="AE5580">
        <v>2.2193000000000001</v>
      </c>
      <c r="AF5580">
        <v>3.2547164657684999</v>
      </c>
      <c r="AG5580">
        <v>-1.0909123304949999</v>
      </c>
      <c r="AH5580">
        <v>5.8876932444099097</v>
      </c>
      <c r="AI5580">
        <v>99.210862123880005</v>
      </c>
      <c r="AJ5580">
        <v>61.066185153808902</v>
      </c>
      <c r="AK5580">
        <v>6.8152916830933004</v>
      </c>
    </row>
    <row r="5581" spans="1:37" x14ac:dyDescent="0.2">
      <c r="A5581" t="str">
        <f>"20200111154211405"</f>
        <v>20200111154211405</v>
      </c>
      <c r="B5581" t="str">
        <f>"1578728531401796"</f>
        <v>1578728531401796</v>
      </c>
      <c r="C5581" t="s">
        <v>37</v>
      </c>
      <c r="D5581">
        <v>5.8462730000000001</v>
      </c>
      <c r="E5581">
        <v>0.61959469999999905</v>
      </c>
      <c r="F5581" t="s">
        <v>46</v>
      </c>
      <c r="G5581">
        <v>-174.5993</v>
      </c>
      <c r="H5581" s="1">
        <v>-3.2704460000000001E-6</v>
      </c>
      <c r="I5581">
        <v>133.327</v>
      </c>
      <c r="J5581">
        <v>-181.1814</v>
      </c>
      <c r="K5581">
        <v>1.0909180000000001</v>
      </c>
      <c r="L5581">
        <v>131.19380000000001</v>
      </c>
      <c r="M5581">
        <v>0.67987200000000003</v>
      </c>
      <c r="N5581">
        <v>0</v>
      </c>
      <c r="O5581">
        <v>0.73305390000000004</v>
      </c>
      <c r="P5581">
        <v>0.80910959999999998</v>
      </c>
      <c r="Q5581">
        <v>3.7855159999999999E-2</v>
      </c>
      <c r="R5581">
        <v>0.58643719999999999</v>
      </c>
      <c r="S5581">
        <v>2.9938959999999999</v>
      </c>
      <c r="T5581">
        <v>-0.48355900000000002</v>
      </c>
      <c r="U5581">
        <v>1.0302579999999999</v>
      </c>
      <c r="V5581">
        <v>0.1969204</v>
      </c>
      <c r="W5581">
        <v>4.8520880000000002E-2</v>
      </c>
      <c r="X5581">
        <v>0.97921809999999998</v>
      </c>
      <c r="Y5581">
        <v>0.46054820000000002</v>
      </c>
      <c r="Z5581">
        <v>-0.13629249999999901</v>
      </c>
      <c r="AA5581">
        <v>0.87710869999999996</v>
      </c>
      <c r="AB5581">
        <v>43</v>
      </c>
      <c r="AC5581">
        <v>6.5820999999999898</v>
      </c>
      <c r="AD5581">
        <v>-1.0909212704459901</v>
      </c>
      <c r="AE5581">
        <v>2.13319999999998</v>
      </c>
      <c r="AF5581">
        <v>3.2935426465214399</v>
      </c>
      <c r="AG5581">
        <v>-1.0909212704459901</v>
      </c>
      <c r="AH5581">
        <v>5.8934575954134498</v>
      </c>
      <c r="AI5581">
        <v>99.178883848952395</v>
      </c>
      <c r="AJ5581">
        <v>60.801477731420597</v>
      </c>
      <c r="AK5581">
        <v>6.83888695707887</v>
      </c>
    </row>
    <row r="5582" spans="1:37" x14ac:dyDescent="0.2">
      <c r="A5582" t="str">
        <f>"20200111154211419"</f>
        <v>20200111154211419</v>
      </c>
      <c r="B5582" t="str">
        <f>"1578728531411557"</f>
        <v>1578728531411557</v>
      </c>
      <c r="C5582" t="s">
        <v>37</v>
      </c>
      <c r="D5582">
        <v>5.8572300000000004</v>
      </c>
      <c r="E5582">
        <v>0.62034180000000005</v>
      </c>
      <c r="F5582" t="s">
        <v>46</v>
      </c>
      <c r="G5582">
        <v>-174.28059999999999</v>
      </c>
      <c r="H5582" s="1">
        <v>-3.1811579999999998E-6</v>
      </c>
      <c r="I5582">
        <v>133.4641</v>
      </c>
      <c r="J5582">
        <v>-181.00120000000001</v>
      </c>
      <c r="K5582">
        <v>1.0909249999999999</v>
      </c>
      <c r="L5582">
        <v>131.3888</v>
      </c>
      <c r="M5582">
        <v>0.68714980000000003</v>
      </c>
      <c r="N5582">
        <v>0</v>
      </c>
      <c r="O5582">
        <v>0.72623649999999995</v>
      </c>
      <c r="P5582">
        <v>0.81454110000000002</v>
      </c>
      <c r="Q5582">
        <v>3.7603869999999998E-2</v>
      </c>
      <c r="R5582">
        <v>0.57888569999999995</v>
      </c>
      <c r="S5582">
        <v>3.0118559999999999</v>
      </c>
      <c r="T5582">
        <v>-0.47613539999999999</v>
      </c>
      <c r="U5582">
        <v>0.99089050000000001</v>
      </c>
      <c r="V5582">
        <v>0.19625789999999901</v>
      </c>
      <c r="W5582">
        <v>4.8295610000000003E-2</v>
      </c>
      <c r="X5582">
        <v>0.97936219999999996</v>
      </c>
      <c r="Y5582">
        <v>0.46405410000000002</v>
      </c>
      <c r="Z5582">
        <v>-0.13351859999999999</v>
      </c>
      <c r="AA5582">
        <v>0.87568630000000003</v>
      </c>
      <c r="AB5582">
        <v>42</v>
      </c>
      <c r="AC5582">
        <v>6.7206000000000099</v>
      </c>
      <c r="AD5582">
        <v>-1.0909281811579901</v>
      </c>
      <c r="AE5582">
        <v>2.0752999999999902</v>
      </c>
      <c r="AF5582">
        <v>3.37423389389529</v>
      </c>
      <c r="AG5582">
        <v>-1.0909281811579901</v>
      </c>
      <c r="AH5582">
        <v>5.9825450779054199</v>
      </c>
      <c r="AI5582">
        <v>99.024936714360393</v>
      </c>
      <c r="AJ5582">
        <v>60.576431566543398</v>
      </c>
      <c r="AK5582">
        <v>6.9545973482529497</v>
      </c>
    </row>
    <row r="5583" spans="1:37" x14ac:dyDescent="0.2">
      <c r="A5583" t="str">
        <f>"20200111154211432"</f>
        <v>20200111154211432</v>
      </c>
      <c r="B5583" t="str">
        <f>"1578728531421317"</f>
        <v>1578728531421317</v>
      </c>
      <c r="C5583" t="s">
        <v>37</v>
      </c>
      <c r="D5583">
        <v>5.8110739999999996</v>
      </c>
      <c r="E5583">
        <v>0.62049929999999998</v>
      </c>
      <c r="F5583" t="s">
        <v>46</v>
      </c>
      <c r="G5583">
        <v>-174.02719999999999</v>
      </c>
      <c r="H5583" s="1">
        <v>-3.1188929999999999E-6</v>
      </c>
      <c r="I5583">
        <v>133.59620000000001</v>
      </c>
      <c r="J5583">
        <v>-180.82900000000001</v>
      </c>
      <c r="K5583">
        <v>1.0909329999999999</v>
      </c>
      <c r="L5583">
        <v>131.57130000000001</v>
      </c>
      <c r="M5583">
        <v>0.69398380000000004</v>
      </c>
      <c r="N5583">
        <v>0</v>
      </c>
      <c r="O5583">
        <v>0.71970909999999999</v>
      </c>
      <c r="P5583">
        <v>0.81973759999999996</v>
      </c>
      <c r="Q5583">
        <v>3.7641260000000003E-2</v>
      </c>
      <c r="R5583">
        <v>0.57150109999999998</v>
      </c>
      <c r="S5583">
        <v>3.02455099999999</v>
      </c>
      <c r="T5583">
        <v>-0.47312159999999898</v>
      </c>
      <c r="U5583">
        <v>0.95732119999999998</v>
      </c>
      <c r="V5583">
        <v>0.19585050000000001</v>
      </c>
      <c r="W5583">
        <v>4.8346569999999998E-2</v>
      </c>
      <c r="X5583">
        <v>0.97944129999999996</v>
      </c>
      <c r="Y5583">
        <v>0.465806099999999</v>
      </c>
      <c r="Z5583">
        <v>-0.13201199999999999</v>
      </c>
      <c r="AA5583">
        <v>0.87498430000000005</v>
      </c>
      <c r="AB5583">
        <v>42</v>
      </c>
      <c r="AC5583">
        <v>6.8018000000000098</v>
      </c>
      <c r="AD5583">
        <v>-1.090936118893</v>
      </c>
      <c r="AE5583">
        <v>2.0249000000000001</v>
      </c>
      <c r="AF5583">
        <v>3.4101925778511899</v>
      </c>
      <c r="AG5583">
        <v>-1.090936118893</v>
      </c>
      <c r="AH5583">
        <v>6.0362898767935498</v>
      </c>
      <c r="AI5583">
        <v>98.942428159149003</v>
      </c>
      <c r="AJ5583">
        <v>60.535790891391798</v>
      </c>
      <c r="AK5583">
        <v>7.0182868643435299</v>
      </c>
    </row>
    <row r="5584" spans="1:37" x14ac:dyDescent="0.2">
      <c r="A5584" t="str">
        <f>"20200111154211446"</f>
        <v>20200111154211446</v>
      </c>
      <c r="B5584" t="str">
        <f>"1578728531441813"</f>
        <v>1578728531441813</v>
      </c>
      <c r="C5584" t="s">
        <v>37</v>
      </c>
      <c r="D5584">
        <v>5.8498330000000003</v>
      </c>
      <c r="E5584">
        <v>0.62059770000000003</v>
      </c>
      <c r="F5584" t="s">
        <v>46</v>
      </c>
      <c r="G5584">
        <v>-173.8048</v>
      </c>
      <c r="H5584" s="1">
        <v>-3.0677279999999998E-6</v>
      </c>
      <c r="I5584">
        <v>133.72130000000001</v>
      </c>
      <c r="J5584">
        <v>-180.6439</v>
      </c>
      <c r="K5584">
        <v>1.09094</v>
      </c>
      <c r="L5584">
        <v>131.7645</v>
      </c>
      <c r="M5584">
        <v>0.70121699999999998</v>
      </c>
      <c r="N5584">
        <v>0</v>
      </c>
      <c r="O5584">
        <v>0.71266390000000002</v>
      </c>
      <c r="P5584">
        <v>0.82485849999999905</v>
      </c>
      <c r="Q5584">
        <v>3.7962309999999999E-2</v>
      </c>
      <c r="R5584">
        <v>0.56406339999999999</v>
      </c>
      <c r="S5584">
        <v>3.0339360000000002</v>
      </c>
      <c r="T5584">
        <v>-0.47119899999999998</v>
      </c>
      <c r="U5584">
        <v>0.92861939999999998</v>
      </c>
      <c r="V5584">
        <v>0.19482089999999999</v>
      </c>
      <c r="W5584">
        <v>4.871139E-2</v>
      </c>
      <c r="X5584">
        <v>0.97962850000000001</v>
      </c>
      <c r="Y5584">
        <v>0.46538839999999998</v>
      </c>
      <c r="Z5584">
        <v>-0.13067219999999999</v>
      </c>
      <c r="AA5584">
        <v>0.87540759999999995</v>
      </c>
      <c r="AB5584">
        <v>42</v>
      </c>
      <c r="AC5584">
        <v>6.8391000000000002</v>
      </c>
      <c r="AD5584">
        <v>-1.0909430677280001</v>
      </c>
      <c r="AE5584">
        <v>1.9568000000000101</v>
      </c>
      <c r="AF5584">
        <v>3.4220612260684802</v>
      </c>
      <c r="AG5584">
        <v>-1.0909430677280001</v>
      </c>
      <c r="AH5584">
        <v>6.0492112696648999</v>
      </c>
      <c r="AI5584">
        <v>98.920849921678098</v>
      </c>
      <c r="AJ5584">
        <v>60.502998058537102</v>
      </c>
      <c r="AK5584">
        <v>7.0351699906275202</v>
      </c>
    </row>
    <row r="5585" spans="1:37" x14ac:dyDescent="0.2">
      <c r="A5585" t="str">
        <f>"20200111154211459"</f>
        <v>20200111154211459</v>
      </c>
      <c r="B5585" t="str">
        <f>"1578728531451572"</f>
        <v>1578728531451572</v>
      </c>
      <c r="C5585" t="s">
        <v>37</v>
      </c>
      <c r="D5585">
        <v>5.8500870000000003</v>
      </c>
      <c r="E5585">
        <v>0.62051919999999905</v>
      </c>
      <c r="F5585" t="s">
        <v>46</v>
      </c>
      <c r="G5585">
        <v>-173.5712</v>
      </c>
      <c r="H5585" s="1">
        <v>-3.0160469999999998E-6</v>
      </c>
      <c r="I5585">
        <v>133.858</v>
      </c>
      <c r="J5585">
        <v>-180.477</v>
      </c>
      <c r="K5585">
        <v>1.0909469999999999</v>
      </c>
      <c r="L5585">
        <v>131.93469999999999</v>
      </c>
      <c r="M5585">
        <v>0.70762029999999998</v>
      </c>
      <c r="N5585">
        <v>0</v>
      </c>
      <c r="O5585">
        <v>0.70630669999999995</v>
      </c>
      <c r="P5585">
        <v>0.82994760000000001</v>
      </c>
      <c r="Q5585">
        <v>3.8252000000000001E-2</v>
      </c>
      <c r="R5585">
        <v>0.55652840000000003</v>
      </c>
      <c r="S5585">
        <v>3.0427089999999999</v>
      </c>
      <c r="T5585">
        <v>-0.46932950000000001</v>
      </c>
      <c r="U5585">
        <v>0.90063479999999996</v>
      </c>
      <c r="V5585">
        <v>0.19490350000000001</v>
      </c>
      <c r="W5585">
        <v>4.8989060000000001E-2</v>
      </c>
      <c r="X5585">
        <v>0.97959819999999997</v>
      </c>
      <c r="Y5585">
        <v>0.46566380000000002</v>
      </c>
      <c r="Z5585">
        <v>-0.12947039999999899</v>
      </c>
      <c r="AA5585">
        <v>0.87543969999999904</v>
      </c>
      <c r="AB5585">
        <v>42</v>
      </c>
      <c r="AC5585">
        <v>6.9057999999999904</v>
      </c>
      <c r="AD5585">
        <v>-1.09095001604699</v>
      </c>
      <c r="AE5585">
        <v>1.92330000000001</v>
      </c>
      <c r="AF5585">
        <v>3.4377398971884601</v>
      </c>
      <c r="AG5585">
        <v>-1.09095001604699</v>
      </c>
      <c r="AH5585">
        <v>6.1049953727008797</v>
      </c>
      <c r="AI5585">
        <v>98.850377073310497</v>
      </c>
      <c r="AJ5585">
        <v>60.616017362303602</v>
      </c>
      <c r="AK5585">
        <v>7.0907824701462596</v>
      </c>
    </row>
    <row r="5586" spans="1:37" x14ac:dyDescent="0.2">
      <c r="A5586" t="str">
        <f>"20200111154211471"</f>
        <v>20200111154211471</v>
      </c>
      <c r="B5586" t="str">
        <f>"1578728531461333"</f>
        <v>1578728531461333</v>
      </c>
      <c r="C5586" t="s">
        <v>37</v>
      </c>
      <c r="D5586">
        <v>5.8363550000000002</v>
      </c>
      <c r="E5586">
        <v>0.62047940000000001</v>
      </c>
      <c r="F5586" t="s">
        <v>46</v>
      </c>
      <c r="G5586">
        <v>-173.39619999999999</v>
      </c>
      <c r="H5586" s="1">
        <v>-2.9779829999999999E-6</v>
      </c>
      <c r="I5586">
        <v>133.9622</v>
      </c>
      <c r="J5586">
        <v>-180.30950000000001</v>
      </c>
      <c r="K5586">
        <v>1.0909500000000001</v>
      </c>
      <c r="L5586">
        <v>132.10220000000001</v>
      </c>
      <c r="M5586">
        <v>0.71394049999999998</v>
      </c>
      <c r="N5586">
        <v>0</v>
      </c>
      <c r="O5586">
        <v>0.69991789999999998</v>
      </c>
      <c r="P5586">
        <v>0.8349472</v>
      </c>
      <c r="Q5586">
        <v>3.790367E-2</v>
      </c>
      <c r="R5586">
        <v>0.54902329999999999</v>
      </c>
      <c r="S5586">
        <v>3.0506129999999998</v>
      </c>
      <c r="T5586">
        <v>-0.47001660000000001</v>
      </c>
      <c r="U5586">
        <v>0.87350459999999996</v>
      </c>
      <c r="V5586">
        <v>0.19492370000000001</v>
      </c>
      <c r="W5586">
        <v>4.8632330000000001E-2</v>
      </c>
      <c r="X5586">
        <v>0.97961200000000004</v>
      </c>
      <c r="Y5586">
        <v>0.46556120000000001</v>
      </c>
      <c r="Z5586">
        <v>-0.1289478</v>
      </c>
      <c r="AA5586">
        <v>0.8755714</v>
      </c>
      <c r="AB5586">
        <v>42</v>
      </c>
      <c r="AC5586">
        <v>6.91330000000002</v>
      </c>
      <c r="AD5586">
        <v>-1.0909529779830001</v>
      </c>
      <c r="AE5586">
        <v>1.8599999999999799</v>
      </c>
      <c r="AF5586">
        <v>3.4318300948989799</v>
      </c>
      <c r="AG5586">
        <v>-1.0909529779830001</v>
      </c>
      <c r="AH5586">
        <v>6.0972059811739401</v>
      </c>
      <c r="AI5586">
        <v>98.862459699939393</v>
      </c>
      <c r="AJ5586">
        <v>60.626888826929402</v>
      </c>
      <c r="AK5586">
        <v>7.0812115472768902</v>
      </c>
    </row>
    <row r="5587" spans="1:37" x14ac:dyDescent="0.2">
      <c r="A5587" t="str">
        <f>"20200111154211483"</f>
        <v>20200111154211483</v>
      </c>
      <c r="B5587" t="str">
        <f>"1578728531481348"</f>
        <v>1578728531481348</v>
      </c>
      <c r="C5587" t="s">
        <v>37</v>
      </c>
      <c r="D5587">
        <v>5.8757169999999999</v>
      </c>
      <c r="E5587">
        <v>0.62055039999999995</v>
      </c>
      <c r="F5587" t="s">
        <v>46</v>
      </c>
      <c r="G5587">
        <v>-173.2244</v>
      </c>
      <c r="H5587" s="1">
        <v>-2.93993E-6</v>
      </c>
      <c r="I5587">
        <v>134.06270000000001</v>
      </c>
      <c r="J5587">
        <v>-180.13640000000001</v>
      </c>
      <c r="K5587">
        <v>1.0909580000000001</v>
      </c>
      <c r="L5587">
        <v>132.2731</v>
      </c>
      <c r="M5587">
        <v>0.72038119999999894</v>
      </c>
      <c r="N5587">
        <v>0</v>
      </c>
      <c r="O5587">
        <v>0.6932874</v>
      </c>
      <c r="P5587">
        <v>0.84011369999999896</v>
      </c>
      <c r="Q5587">
        <v>3.7773149999999998E-2</v>
      </c>
      <c r="R5587">
        <v>0.54109350000000001</v>
      </c>
      <c r="S5587">
        <v>3.0579990000000001</v>
      </c>
      <c r="T5587">
        <v>-0.47086610000000001</v>
      </c>
      <c r="U5587">
        <v>0.84619140000000004</v>
      </c>
      <c r="V5587">
        <v>0.19513800000000001</v>
      </c>
      <c r="W5587">
        <v>4.848421E-2</v>
      </c>
      <c r="X5587">
        <v>0.97957659999999902</v>
      </c>
      <c r="Y5587">
        <v>0.46523789999999998</v>
      </c>
      <c r="Z5587">
        <v>-0.128433399999999</v>
      </c>
      <c r="AA5587">
        <v>0.87581880000000001</v>
      </c>
      <c r="AB5587">
        <v>42</v>
      </c>
      <c r="AC5587">
        <v>6.9119999999999999</v>
      </c>
      <c r="AD5587">
        <v>-1.09096093992999</v>
      </c>
      <c r="AE5587">
        <v>1.7896000000000001</v>
      </c>
      <c r="AF5587">
        <v>3.42358461530082</v>
      </c>
      <c r="AG5587">
        <v>-1.09096093992999</v>
      </c>
      <c r="AH5587">
        <v>6.0793034412038898</v>
      </c>
      <c r="AI5587">
        <v>98.887079831036004</v>
      </c>
      <c r="AJ5587">
        <v>60.613785416608202</v>
      </c>
      <c r="AK5587">
        <v>7.0618027245747097</v>
      </c>
    </row>
    <row r="5588" spans="1:37" x14ac:dyDescent="0.2">
      <c r="A5588" t="str">
        <f>"20200111154211496"</f>
        <v>20200111154211496</v>
      </c>
      <c r="B5588" t="str">
        <f>"1578728531491107"</f>
        <v>1578728531491107</v>
      </c>
      <c r="C5588" t="s">
        <v>37</v>
      </c>
      <c r="D5588">
        <v>5.8627070000000003</v>
      </c>
      <c r="E5588">
        <v>0.62022860000000002</v>
      </c>
      <c r="F5588" t="s">
        <v>46</v>
      </c>
      <c r="G5588">
        <v>-173.03909999999999</v>
      </c>
      <c r="H5588" s="1">
        <v>-2.8958330000000001E-6</v>
      </c>
      <c r="I5588">
        <v>134.16309999999999</v>
      </c>
      <c r="J5588">
        <v>-179.953</v>
      </c>
      <c r="K5588">
        <v>1.0909709999999999</v>
      </c>
      <c r="L5588">
        <v>132.44919999999999</v>
      </c>
      <c r="M5588">
        <v>0.72706870000000001</v>
      </c>
      <c r="N5588">
        <v>0</v>
      </c>
      <c r="O5588">
        <v>0.68627119999999997</v>
      </c>
      <c r="P5588">
        <v>0.84546109999999897</v>
      </c>
      <c r="Q5588">
        <v>3.7151530000000002E-2</v>
      </c>
      <c r="R5588">
        <v>0.53274330000000003</v>
      </c>
      <c r="S5588">
        <v>3.0662379999999998</v>
      </c>
      <c r="T5588">
        <v>-0.47132590000000002</v>
      </c>
      <c r="U5588">
        <v>0.81651309999999999</v>
      </c>
      <c r="V5588">
        <v>0.19533510000000001</v>
      </c>
      <c r="W5588">
        <v>4.7845520000000002E-2</v>
      </c>
      <c r="X5588">
        <v>0.97956880000000002</v>
      </c>
      <c r="Y5588">
        <v>0.46523419999999999</v>
      </c>
      <c r="Z5588">
        <v>-0.12776589999999999</v>
      </c>
      <c r="AA5588">
        <v>0.87591839999999999</v>
      </c>
      <c r="AB5588">
        <v>42</v>
      </c>
      <c r="AC5588">
        <v>6.9139000000000097</v>
      </c>
      <c r="AD5588">
        <v>-1.090973895833</v>
      </c>
      <c r="AE5588">
        <v>1.71389999999999</v>
      </c>
      <c r="AF5588">
        <v>3.41918673260282</v>
      </c>
      <c r="AG5588">
        <v>-1.090973895833</v>
      </c>
      <c r="AH5588">
        <v>6.0621278996353603</v>
      </c>
      <c r="AI5588">
        <v>98.908696839387602</v>
      </c>
      <c r="AJ5588">
        <v>60.5759505514959</v>
      </c>
      <c r="AK5588">
        <v>7.0448886879306798</v>
      </c>
    </row>
    <row r="5589" spans="1:37" x14ac:dyDescent="0.2">
      <c r="A5589" t="str">
        <f>"20200111154211509"</f>
        <v>20200111154211509</v>
      </c>
      <c r="B5589" t="str">
        <f>"1578728531501844"</f>
        <v>1578728531501844</v>
      </c>
      <c r="C5589" t="s">
        <v>37</v>
      </c>
      <c r="D5589">
        <v>5.8462519999999998</v>
      </c>
      <c r="E5589">
        <v>0.61993779999999998</v>
      </c>
      <c r="F5589" t="s">
        <v>46</v>
      </c>
      <c r="G5589">
        <v>-172.86250000000001</v>
      </c>
      <c r="H5589" s="1">
        <v>-2.8568419999999998E-6</v>
      </c>
      <c r="I5589">
        <v>134.26660000000001</v>
      </c>
      <c r="J5589">
        <v>-179.77430000000001</v>
      </c>
      <c r="K5589">
        <v>1.0909879999999901</v>
      </c>
      <c r="L5589">
        <v>132.61789999999999</v>
      </c>
      <c r="M5589">
        <v>0.73348579999999997</v>
      </c>
      <c r="N5589">
        <v>0</v>
      </c>
      <c r="O5589">
        <v>0.67940859999999903</v>
      </c>
      <c r="P5589">
        <v>0.85065949999999901</v>
      </c>
      <c r="Q5589">
        <v>3.7138730000000002E-2</v>
      </c>
      <c r="R5589">
        <v>0.52440350000000002</v>
      </c>
      <c r="S5589">
        <v>3.072845</v>
      </c>
      <c r="T5589">
        <v>-0.47280070000000002</v>
      </c>
      <c r="U5589">
        <v>0.78764339999999999</v>
      </c>
      <c r="V5589">
        <v>0.19576070000000001</v>
      </c>
      <c r="W5589">
        <v>4.7806929999999997E-2</v>
      </c>
      <c r="X5589">
        <v>0.97948570000000001</v>
      </c>
      <c r="Y5589">
        <v>0.46510980000000002</v>
      </c>
      <c r="Z5589">
        <v>-0.12741440000000001</v>
      </c>
      <c r="AA5589">
        <v>0.87603560000000003</v>
      </c>
      <c r="AB5589">
        <v>42</v>
      </c>
      <c r="AC5589">
        <v>6.9118000000000004</v>
      </c>
      <c r="AD5589">
        <v>-1.0909908568419999</v>
      </c>
      <c r="AE5589">
        <v>1.64870000000001</v>
      </c>
      <c r="AF5589">
        <v>3.40702432510929</v>
      </c>
      <c r="AG5589">
        <v>-1.0909908568419999</v>
      </c>
      <c r="AH5589">
        <v>6.0485089447213696</v>
      </c>
      <c r="AI5589">
        <v>98.9313539037244</v>
      </c>
      <c r="AJ5589">
        <v>60.608163439718197</v>
      </c>
      <c r="AK5589">
        <v>7.0272708967261002</v>
      </c>
    </row>
    <row r="5590" spans="1:37" x14ac:dyDescent="0.2">
      <c r="A5590" t="str">
        <f>"20200111154211521"</f>
        <v>20200111154211521</v>
      </c>
      <c r="B5590" t="str">
        <f>"1578728531511606"</f>
        <v>1578728531511606</v>
      </c>
      <c r="C5590" t="s">
        <v>37</v>
      </c>
      <c r="D5590">
        <v>5.842568</v>
      </c>
      <c r="E5590">
        <v>0.61990069999999997</v>
      </c>
      <c r="F5590" t="s">
        <v>46</v>
      </c>
      <c r="G5590">
        <v>-172.6439</v>
      </c>
      <c r="H5590" s="1">
        <v>-2.801048E-6</v>
      </c>
      <c r="I5590">
        <v>134.3751</v>
      </c>
      <c r="J5590">
        <v>-179.6129</v>
      </c>
      <c r="K5590">
        <v>1.0909990000000001</v>
      </c>
      <c r="L5590">
        <v>132.76830000000001</v>
      </c>
      <c r="M5590">
        <v>0.7391991</v>
      </c>
      <c r="N5590">
        <v>0</v>
      </c>
      <c r="O5590">
        <v>0.67318829999999996</v>
      </c>
      <c r="P5590">
        <v>0.85525529999999905</v>
      </c>
      <c r="Q5590">
        <v>3.7045969999999998E-2</v>
      </c>
      <c r="R5590">
        <v>0.51688109999999998</v>
      </c>
      <c r="S5590">
        <v>3.0794069999999998</v>
      </c>
      <c r="T5590">
        <v>-0.47116729999999901</v>
      </c>
      <c r="U5590">
        <v>0.75888059999999902</v>
      </c>
      <c r="V5590">
        <v>0.1961215</v>
      </c>
      <c r="W5590">
        <v>4.7692150000000003E-2</v>
      </c>
      <c r="X5590">
        <v>0.97941909999999899</v>
      </c>
      <c r="Y5590">
        <v>0.46592739999999999</v>
      </c>
      <c r="Z5590">
        <v>-0.1263563</v>
      </c>
      <c r="AA5590">
        <v>0.87575439999999904</v>
      </c>
      <c r="AB5590">
        <v>42</v>
      </c>
      <c r="AC5590">
        <v>6.9689999999999896</v>
      </c>
      <c r="AD5590">
        <v>-1.091001801048</v>
      </c>
      <c r="AE5590">
        <v>1.60679999999999</v>
      </c>
      <c r="AF5590">
        <v>3.4247123493121601</v>
      </c>
      <c r="AG5590">
        <v>-1.091001801048</v>
      </c>
      <c r="AH5590">
        <v>6.0926295482781603</v>
      </c>
      <c r="AI5590">
        <v>98.872182192270898</v>
      </c>
      <c r="AJ5590">
        <v>60.659335607600497</v>
      </c>
      <c r="AK5590">
        <v>7.0738302508593902</v>
      </c>
    </row>
    <row r="5591" spans="1:37" x14ac:dyDescent="0.2">
      <c r="A5591" t="str">
        <f>"20200111154211535"</f>
        <v>20200111154211535</v>
      </c>
      <c r="B5591" t="str">
        <f>"1578728531531123"</f>
        <v>1578728531531123</v>
      </c>
      <c r="C5591" t="s">
        <v>37</v>
      </c>
      <c r="D5591">
        <v>5.9066229999999997</v>
      </c>
      <c r="E5591">
        <v>0.61972050000000001</v>
      </c>
      <c r="F5591" t="s">
        <v>46</v>
      </c>
      <c r="G5591">
        <v>-172.41409999999999</v>
      </c>
      <c r="H5591" s="1">
        <v>-2.7225109999999999E-6</v>
      </c>
      <c r="I5591">
        <v>134.47489999999999</v>
      </c>
      <c r="J5591">
        <v>-179.42580000000001</v>
      </c>
      <c r="K5591">
        <v>1.091005</v>
      </c>
      <c r="L5591">
        <v>132.93780000000001</v>
      </c>
      <c r="M5591">
        <v>0.74569649999999998</v>
      </c>
      <c r="N5591">
        <v>0</v>
      </c>
      <c r="O5591">
        <v>0.66598409999999997</v>
      </c>
      <c r="P5591">
        <v>0.86061909999999897</v>
      </c>
      <c r="Q5591">
        <v>3.6640199999999998E-2</v>
      </c>
      <c r="R5591">
        <v>0.50792939999999998</v>
      </c>
      <c r="S5591">
        <v>3.0858460000000001</v>
      </c>
      <c r="T5591">
        <v>-0.46767059999999999</v>
      </c>
      <c r="U5591">
        <v>0.73156739999999998</v>
      </c>
      <c r="V5591">
        <v>0.196827799999999</v>
      </c>
      <c r="W5591">
        <v>4.7248239999999997E-2</v>
      </c>
      <c r="X5591">
        <v>0.97929889999999997</v>
      </c>
      <c r="Y5591">
        <v>0.46535399999999999</v>
      </c>
      <c r="Z5591">
        <v>-0.124585899999999</v>
      </c>
      <c r="AA5591">
        <v>0.87631269999999994</v>
      </c>
      <c r="AB5591">
        <v>42</v>
      </c>
      <c r="AC5591">
        <v>7.01170000000001</v>
      </c>
      <c r="AD5591">
        <v>-1.091007722511</v>
      </c>
      <c r="AE5591">
        <v>1.5370999999999799</v>
      </c>
      <c r="AF5591">
        <v>3.4446062769509398</v>
      </c>
      <c r="AG5591">
        <v>-1.091007722511</v>
      </c>
      <c r="AH5591">
        <v>6.1123420842558698</v>
      </c>
      <c r="AI5591">
        <v>98.838706424386004</v>
      </c>
      <c r="AJ5591">
        <v>60.5965955538393</v>
      </c>
      <c r="AK5591">
        <v>7.1004461837798498</v>
      </c>
    </row>
    <row r="5592" spans="1:37" x14ac:dyDescent="0.2">
      <c r="A5592" t="str">
        <f>"20200111154211547"</f>
        <v>20200111154211547</v>
      </c>
      <c r="B5592" t="str">
        <f>"1578728531541860"</f>
        <v>1578728531541860</v>
      </c>
      <c r="C5592" t="s">
        <v>37</v>
      </c>
      <c r="D5592">
        <v>5.8803190000000001</v>
      </c>
      <c r="E5592">
        <v>0.61950369999999999</v>
      </c>
      <c r="F5592" t="s">
        <v>46</v>
      </c>
      <c r="G5592">
        <v>-172.15809999999999</v>
      </c>
      <c r="H5592" s="1">
        <v>-2.624553E-6</v>
      </c>
      <c r="I5592">
        <v>134.58320000000001</v>
      </c>
      <c r="J5592">
        <v>-179.25219999999999</v>
      </c>
      <c r="K5592">
        <v>1.091016</v>
      </c>
      <c r="L5592">
        <v>133.09299999999999</v>
      </c>
      <c r="M5592">
        <v>0.75164010000000003</v>
      </c>
      <c r="N5592">
        <v>0</v>
      </c>
      <c r="O5592">
        <v>0.65926890000000005</v>
      </c>
      <c r="P5592">
        <v>0.86541919999999894</v>
      </c>
      <c r="Q5592">
        <v>3.59926E-2</v>
      </c>
      <c r="R5592">
        <v>0.49975419999999998</v>
      </c>
      <c r="S5592">
        <v>3.0924070000000001</v>
      </c>
      <c r="T5592">
        <v>-0.46422170000000001</v>
      </c>
      <c r="U5592">
        <v>0.70013429999999999</v>
      </c>
      <c r="V5592">
        <v>0.1973068</v>
      </c>
      <c r="W5592">
        <v>4.6574730000000002E-2</v>
      </c>
      <c r="X5592">
        <v>0.97923479999999996</v>
      </c>
      <c r="Y5592">
        <v>0.46651949999999998</v>
      </c>
      <c r="Z5592">
        <v>-0.12302589999999999</v>
      </c>
      <c r="AA5592">
        <v>0.87591339999999995</v>
      </c>
      <c r="AB5592">
        <v>42</v>
      </c>
      <c r="AC5592">
        <v>7.0940999999999903</v>
      </c>
      <c r="AD5592">
        <v>-1.091018624553</v>
      </c>
      <c r="AE5592">
        <v>1.49020000000001</v>
      </c>
      <c r="AF5592">
        <v>3.4787377616073898</v>
      </c>
      <c r="AG5592">
        <v>-1.091018624553</v>
      </c>
      <c r="AH5592">
        <v>6.1760186787183198</v>
      </c>
      <c r="AI5592">
        <v>98.750125837420697</v>
      </c>
      <c r="AJ5592">
        <v>60.608942867902002</v>
      </c>
      <c r="AK5592">
        <v>7.1718299459086703</v>
      </c>
    </row>
    <row r="5593" spans="1:37" x14ac:dyDescent="0.2">
      <c r="A5593" t="str">
        <f>"20200111154211559"</f>
        <v>20200111154211559</v>
      </c>
      <c r="B5593" t="str">
        <f>"1578728531551620"</f>
        <v>1578728531551620</v>
      </c>
      <c r="C5593" t="s">
        <v>37</v>
      </c>
      <c r="D5593">
        <v>5.8575299999999997</v>
      </c>
      <c r="E5593">
        <v>0.61934519999999904</v>
      </c>
      <c r="F5593" t="s">
        <v>46</v>
      </c>
      <c r="G5593">
        <v>-171.9727</v>
      </c>
      <c r="H5593" s="1">
        <v>-2.55816399999999E-6</v>
      </c>
      <c r="I5593">
        <v>134.67189999999999</v>
      </c>
      <c r="J5593">
        <v>-179.0872</v>
      </c>
      <c r="K5593">
        <v>1.0910280000000001</v>
      </c>
      <c r="L5593">
        <v>133.23759999999999</v>
      </c>
      <c r="M5593">
        <v>0.75719950000000003</v>
      </c>
      <c r="N5593">
        <v>0</v>
      </c>
      <c r="O5593">
        <v>0.65287640000000002</v>
      </c>
      <c r="P5593">
        <v>0.86962729999999999</v>
      </c>
      <c r="Q5593">
        <v>3.5361759999999999E-2</v>
      </c>
      <c r="R5593">
        <v>0.49244079999999901</v>
      </c>
      <c r="S5593">
        <v>3.0978240000000001</v>
      </c>
      <c r="T5593">
        <v>-0.46429160000000003</v>
      </c>
      <c r="U5593">
        <v>0.67192079999999998</v>
      </c>
      <c r="V5593">
        <v>0.197250799999999</v>
      </c>
      <c r="W5593">
        <v>4.594645E-2</v>
      </c>
      <c r="X5593">
        <v>0.97927580000000003</v>
      </c>
      <c r="Y5593">
        <v>0.4670319</v>
      </c>
      <c r="Z5593">
        <v>-0.122385799999999</v>
      </c>
      <c r="AA5593">
        <v>0.87572999999999901</v>
      </c>
      <c r="AB5593">
        <v>42</v>
      </c>
      <c r="AC5593">
        <v>7.1144999999999898</v>
      </c>
      <c r="AD5593">
        <v>-1.0910305581640001</v>
      </c>
      <c r="AE5593">
        <v>1.4342999999999999</v>
      </c>
      <c r="AF5593">
        <v>3.48088875012956</v>
      </c>
      <c r="AG5593">
        <v>-1.0910305581640001</v>
      </c>
      <c r="AH5593">
        <v>6.1850126097735103</v>
      </c>
      <c r="AI5593">
        <v>98.739425945309804</v>
      </c>
      <c r="AJ5593">
        <v>60.629446523057503</v>
      </c>
      <c r="AK5593">
        <v>7.18062080552117</v>
      </c>
    </row>
    <row r="5594" spans="1:37" x14ac:dyDescent="0.2">
      <c r="A5594" t="str">
        <f>"20200111154211571"</f>
        <v>20200111154211571</v>
      </c>
      <c r="B5594" t="str">
        <f>"1578728531561380"</f>
        <v>1578728531561380</v>
      </c>
      <c r="C5594" t="s">
        <v>37</v>
      </c>
      <c r="D5594">
        <v>5.8233600000000001</v>
      </c>
      <c r="E5594">
        <v>0.6191953</v>
      </c>
      <c r="F5594" t="s">
        <v>46</v>
      </c>
      <c r="G5594">
        <v>-171.79230000000001</v>
      </c>
      <c r="H5594" s="1">
        <v>-2.493074E-6</v>
      </c>
      <c r="I5594">
        <v>134.75720000000001</v>
      </c>
      <c r="J5594">
        <v>-178.91470000000001</v>
      </c>
      <c r="K5594">
        <v>1.09104</v>
      </c>
      <c r="L5594">
        <v>133.38579999999999</v>
      </c>
      <c r="M5594">
        <v>0.76292280000000001</v>
      </c>
      <c r="N5594">
        <v>0</v>
      </c>
      <c r="O5594">
        <v>0.64617930000000001</v>
      </c>
      <c r="P5594">
        <v>0.87385590000000002</v>
      </c>
      <c r="Q5594">
        <v>3.4720109999999998E-2</v>
      </c>
      <c r="R5594">
        <v>0.48494399999999999</v>
      </c>
      <c r="S5594">
        <v>3.1026310000000001</v>
      </c>
      <c r="T5594">
        <v>-0.46403260000000002</v>
      </c>
      <c r="U5594">
        <v>0.64631649999999996</v>
      </c>
      <c r="V5594">
        <v>0.19702939999999999</v>
      </c>
      <c r="W5594">
        <v>4.5316259999999997E-2</v>
      </c>
      <c r="X5594">
        <v>0.97934969999999999</v>
      </c>
      <c r="Y5594">
        <v>0.46653889999999998</v>
      </c>
      <c r="Z5594">
        <v>-0.12154710000000001</v>
      </c>
      <c r="AA5594">
        <v>0.87610940000000004</v>
      </c>
      <c r="AB5594">
        <v>42</v>
      </c>
      <c r="AC5594">
        <v>7.1223999999999901</v>
      </c>
      <c r="AD5594">
        <v>-1.0910424930739999</v>
      </c>
      <c r="AE5594">
        <v>1.3714000000000199</v>
      </c>
      <c r="AF5594">
        <v>3.4780909122174801</v>
      </c>
      <c r="AG5594">
        <v>-1.0910424930739999</v>
      </c>
      <c r="AH5594">
        <v>6.1814147136501099</v>
      </c>
      <c r="AI5594">
        <v>98.744988438984294</v>
      </c>
      <c r="AJ5594">
        <v>60.634888010354501</v>
      </c>
      <c r="AK5594">
        <v>7.17616735991247</v>
      </c>
    </row>
    <row r="5595" spans="1:37" x14ac:dyDescent="0.2">
      <c r="A5595" t="str">
        <f>"20200111154211584"</f>
        <v>20200111154211584</v>
      </c>
      <c r="B5595" t="str">
        <f>"1578728531581408"</f>
        <v>1578728531581408</v>
      </c>
      <c r="C5595" t="s">
        <v>37</v>
      </c>
      <c r="D5595">
        <v>5.8432839999999997</v>
      </c>
      <c r="E5595">
        <v>0.61892469999999999</v>
      </c>
      <c r="F5595" t="s">
        <v>46</v>
      </c>
      <c r="G5595">
        <v>-171.5882</v>
      </c>
      <c r="H5595" s="1">
        <v>-2.417149E-6</v>
      </c>
      <c r="I5595">
        <v>134.8485</v>
      </c>
      <c r="J5595">
        <v>-178.73419999999999</v>
      </c>
      <c r="K5595">
        <v>1.091056</v>
      </c>
      <c r="L5595">
        <v>133.53890000000001</v>
      </c>
      <c r="M5595">
        <v>0.76882810000000001</v>
      </c>
      <c r="N5595">
        <v>0</v>
      </c>
      <c r="O5595">
        <v>0.63914190000000004</v>
      </c>
      <c r="P5595">
        <v>0.87804680000000002</v>
      </c>
      <c r="Q5595">
        <v>3.4052760000000001E-2</v>
      </c>
      <c r="R5595">
        <v>0.47736190000000001</v>
      </c>
      <c r="S5595">
        <v>3.10716199999999</v>
      </c>
      <c r="T5595">
        <v>-0.46271409999999902</v>
      </c>
      <c r="U5595">
        <v>0.62034609999999901</v>
      </c>
      <c r="V5595">
        <v>0.1964921</v>
      </c>
      <c r="W5595">
        <v>4.4677950000000001E-2</v>
      </c>
      <c r="X5595">
        <v>0.979487</v>
      </c>
      <c r="Y5595">
        <v>0.46585299999999902</v>
      </c>
      <c r="Z5595">
        <v>-0.120384899999999</v>
      </c>
      <c r="AA5595">
        <v>0.87663480000000005</v>
      </c>
      <c r="AB5595">
        <v>41</v>
      </c>
      <c r="AC5595">
        <v>7.1459999999999804</v>
      </c>
      <c r="AD5595">
        <v>-1.0910584171490001</v>
      </c>
      <c r="AE5595">
        <v>1.3095999999999799</v>
      </c>
      <c r="AF5595">
        <v>3.4826178292745</v>
      </c>
      <c r="AG5595">
        <v>-1.0910584171490001</v>
      </c>
      <c r="AH5595">
        <v>6.1926661480335596</v>
      </c>
      <c r="AI5595">
        <v>98.730540021557204</v>
      </c>
      <c r="AJ5595">
        <v>60.647566365704897</v>
      </c>
      <c r="AK5595">
        <v>7.18805602617378</v>
      </c>
    </row>
    <row r="5596" spans="1:37" x14ac:dyDescent="0.2">
      <c r="A5596" t="str">
        <f>"20200111154211597"</f>
        <v>20200111154211597</v>
      </c>
      <c r="B5596" t="str">
        <f>"1578728531591167"</f>
        <v>1578728531591167</v>
      </c>
      <c r="C5596" t="s">
        <v>37</v>
      </c>
      <c r="D5596">
        <v>5.8318669999999999</v>
      </c>
      <c r="E5596">
        <v>0.61864730000000001</v>
      </c>
      <c r="F5596" t="s">
        <v>46</v>
      </c>
      <c r="G5596">
        <v>-171.3698</v>
      </c>
      <c r="H5596" s="1">
        <v>-2.3361930000000002E-6</v>
      </c>
      <c r="I5596">
        <v>134.9469</v>
      </c>
      <c r="J5596">
        <v>-178.5351</v>
      </c>
      <c r="K5596">
        <v>1.0910709999999999</v>
      </c>
      <c r="L5596">
        <v>133.70310000000001</v>
      </c>
      <c r="M5596">
        <v>0.77521909999999905</v>
      </c>
      <c r="N5596">
        <v>0</v>
      </c>
      <c r="O5596">
        <v>0.63137500000000002</v>
      </c>
      <c r="P5596">
        <v>0.88248150000000003</v>
      </c>
      <c r="Q5596">
        <v>3.4216459999999997E-2</v>
      </c>
      <c r="R5596">
        <v>0.46910109999999899</v>
      </c>
      <c r="S5596">
        <v>3.111145</v>
      </c>
      <c r="T5596">
        <v>-0.46092619999999901</v>
      </c>
      <c r="U5596">
        <v>0.59481809999999902</v>
      </c>
      <c r="V5596">
        <v>0.1958319</v>
      </c>
      <c r="W5596">
        <v>4.4878479999999998E-2</v>
      </c>
      <c r="X5596">
        <v>0.97960999999999998</v>
      </c>
      <c r="Y5596">
        <v>0.4642869</v>
      </c>
      <c r="Z5596">
        <v>-0.1189677</v>
      </c>
      <c r="AA5596">
        <v>0.87765849999999901</v>
      </c>
      <c r="AB5596">
        <v>41</v>
      </c>
      <c r="AC5596">
        <v>7.1653000000000002</v>
      </c>
      <c r="AD5596">
        <v>-1.0910733361929901</v>
      </c>
      <c r="AE5596">
        <v>1.24379999999999</v>
      </c>
      <c r="AF5596">
        <v>3.4821106333965202</v>
      </c>
      <c r="AG5596">
        <v>-1.0910733361929901</v>
      </c>
      <c r="AH5596">
        <v>6.20166305856067</v>
      </c>
      <c r="AI5596">
        <v>98.721477955834999</v>
      </c>
      <c r="AJ5596">
        <v>60.686654648436203</v>
      </c>
      <c r="AK5596">
        <v>7.1955653134469202</v>
      </c>
    </row>
    <row r="5597" spans="1:37" x14ac:dyDescent="0.2">
      <c r="A5597" t="str">
        <f>"20200111154211610"</f>
        <v>20200111154211610</v>
      </c>
      <c r="B5597" t="str">
        <f>"1578728531601903"</f>
        <v>1578728531601903</v>
      </c>
      <c r="C5597" t="s">
        <v>37</v>
      </c>
      <c r="D5597">
        <v>5.9213199999999997</v>
      </c>
      <c r="E5597">
        <v>0.61841999999999997</v>
      </c>
      <c r="F5597" t="s">
        <v>46</v>
      </c>
      <c r="G5597">
        <v>-171.12</v>
      </c>
      <c r="H5597" s="1">
        <v>-2.2412389999999998E-6</v>
      </c>
      <c r="I5597">
        <v>135.054</v>
      </c>
      <c r="J5597">
        <v>-178.33869999999999</v>
      </c>
      <c r="K5597">
        <v>1.0910930000000001</v>
      </c>
      <c r="L5597">
        <v>133.86199999999999</v>
      </c>
      <c r="M5597">
        <v>0.78141899999999997</v>
      </c>
      <c r="N5597">
        <v>0</v>
      </c>
      <c r="O5597">
        <v>0.6236853</v>
      </c>
      <c r="P5597">
        <v>0.88666780000000001</v>
      </c>
      <c r="Q5597">
        <v>3.4071789999999998E-2</v>
      </c>
      <c r="R5597">
        <v>0.46115</v>
      </c>
      <c r="S5597">
        <v>3.1155550000000001</v>
      </c>
      <c r="T5597">
        <v>-0.4584318</v>
      </c>
      <c r="U5597">
        <v>0.56762699999999999</v>
      </c>
      <c r="V5597">
        <v>0.19495419999999999</v>
      </c>
      <c r="W5597">
        <v>4.4782269999999999E-2</v>
      </c>
      <c r="X5597">
        <v>0.97978949999999998</v>
      </c>
      <c r="Y5597">
        <v>0.463385099999999</v>
      </c>
      <c r="Z5597">
        <v>-0.1174137</v>
      </c>
      <c r="AA5597">
        <v>0.87834409999999896</v>
      </c>
      <c r="AB5597">
        <v>41</v>
      </c>
      <c r="AC5597">
        <v>7.2186999999999797</v>
      </c>
      <c r="AD5597">
        <v>-1.091095241239</v>
      </c>
      <c r="AE5597">
        <v>1.1919999999999999</v>
      </c>
      <c r="AF5597">
        <v>3.4937624044765401</v>
      </c>
      <c r="AG5597">
        <v>-1.091095241239</v>
      </c>
      <c r="AH5597">
        <v>6.2466211903767199</v>
      </c>
      <c r="AI5597">
        <v>98.667751076336003</v>
      </c>
      <c r="AJ5597">
        <v>60.7815250870675</v>
      </c>
      <c r="AK5597">
        <v>7.2399682913982204</v>
      </c>
    </row>
    <row r="5598" spans="1:37" x14ac:dyDescent="0.2">
      <c r="A5598" t="str">
        <f>"20200111154211624"</f>
        <v>20200111154211624</v>
      </c>
      <c r="B5598" t="str">
        <f>"1578728531621423"</f>
        <v>1578728531621423</v>
      </c>
      <c r="C5598" t="s">
        <v>37</v>
      </c>
      <c r="D5598">
        <v>5.9516720000000003</v>
      </c>
      <c r="E5598">
        <v>0.61780959999999996</v>
      </c>
      <c r="F5598" t="s">
        <v>46</v>
      </c>
      <c r="G5598">
        <v>-170.91900000000001</v>
      </c>
      <c r="H5598" s="1">
        <v>-2.1687410000000002E-6</v>
      </c>
      <c r="I5598">
        <v>135.1491</v>
      </c>
      <c r="J5598">
        <v>-178.1482</v>
      </c>
      <c r="K5598">
        <v>1.091113</v>
      </c>
      <c r="L5598">
        <v>134.01390000000001</v>
      </c>
      <c r="M5598">
        <v>0.78734059999999995</v>
      </c>
      <c r="N5598">
        <v>0</v>
      </c>
      <c r="O5598">
        <v>0.61619309999999905</v>
      </c>
      <c r="P5598">
        <v>0.89071939999999905</v>
      </c>
      <c r="Q5598">
        <v>3.4092829999999998E-2</v>
      </c>
      <c r="R5598">
        <v>0.4532737</v>
      </c>
      <c r="S5598">
        <v>3.1196440000000001</v>
      </c>
      <c r="T5598">
        <v>-0.45875759999999999</v>
      </c>
      <c r="U5598">
        <v>0.541153</v>
      </c>
      <c r="V5598">
        <v>0.19427829999999999</v>
      </c>
      <c r="W5598">
        <v>4.4842769999999997E-2</v>
      </c>
      <c r="X5598">
        <v>0.97992099999999904</v>
      </c>
      <c r="Y5598">
        <v>0.46243859999999998</v>
      </c>
      <c r="Z5598">
        <v>-0.1165902</v>
      </c>
      <c r="AA5598">
        <v>0.87895230000000002</v>
      </c>
      <c r="AB5598">
        <v>41</v>
      </c>
      <c r="AC5598">
        <v>7.2291999999999899</v>
      </c>
      <c r="AD5598">
        <v>-1.0911151687409999</v>
      </c>
      <c r="AE5598">
        <v>1.13519999999999</v>
      </c>
      <c r="AF5598">
        <v>3.4840500336673599</v>
      </c>
      <c r="AG5598">
        <v>-1.0911151687409999</v>
      </c>
      <c r="AH5598">
        <v>6.2535954990285196</v>
      </c>
      <c r="AI5598">
        <v>98.666290278684997</v>
      </c>
      <c r="AJ5598">
        <v>60.876617928462103</v>
      </c>
      <c r="AK5598">
        <v>7.2413115948717497</v>
      </c>
    </row>
    <row r="5599" spans="1:37" x14ac:dyDescent="0.2">
      <c r="A5599" t="str">
        <f>"20200111154211637"</f>
        <v>20200111154211637</v>
      </c>
      <c r="B5599" t="str">
        <f>"1578728531631183"</f>
        <v>1578728531631183</v>
      </c>
      <c r="C5599" t="s">
        <v>37</v>
      </c>
      <c r="D5599">
        <v>5.9039900000000003</v>
      </c>
      <c r="E5599">
        <v>0.61748760000000003</v>
      </c>
      <c r="F5599" t="s">
        <v>46</v>
      </c>
      <c r="G5599">
        <v>-170.72559999999999</v>
      </c>
      <c r="H5599" s="1">
        <v>-2.1013039999999998E-6</v>
      </c>
      <c r="I5599">
        <v>135.2458</v>
      </c>
      <c r="J5599">
        <v>-177.95500000000001</v>
      </c>
      <c r="K5599">
        <v>1.0911409999999999</v>
      </c>
      <c r="L5599">
        <v>134.1635</v>
      </c>
      <c r="M5599">
        <v>0.7932321</v>
      </c>
      <c r="N5599">
        <v>0</v>
      </c>
      <c r="O5599">
        <v>0.60859019999999897</v>
      </c>
      <c r="P5599">
        <v>0.8942814</v>
      </c>
      <c r="Q5599">
        <v>3.3730019999999999E-2</v>
      </c>
      <c r="R5599">
        <v>0.44623209999999902</v>
      </c>
      <c r="S5599">
        <v>3.1219480000000002</v>
      </c>
      <c r="T5599">
        <v>-0.458926099999999</v>
      </c>
      <c r="U5599">
        <v>0.51812740000000002</v>
      </c>
      <c r="V5599">
        <v>0.19257270000000001</v>
      </c>
      <c r="W5599">
        <v>4.4571720000000002E-2</v>
      </c>
      <c r="X5599">
        <v>0.98026990000000003</v>
      </c>
      <c r="Y5599">
        <v>0.46041989999999999</v>
      </c>
      <c r="Z5599">
        <v>-0.11566889999999901</v>
      </c>
      <c r="AA5599">
        <v>0.8801331</v>
      </c>
      <c r="AB5599">
        <v>41</v>
      </c>
      <c r="AC5599">
        <v>7.2294000000000196</v>
      </c>
      <c r="AD5599">
        <v>-1.0911431013039901</v>
      </c>
      <c r="AE5599">
        <v>1.0823</v>
      </c>
      <c r="AF5599">
        <v>3.46473925954156</v>
      </c>
      <c r="AG5599">
        <v>-1.0911431013039901</v>
      </c>
      <c r="AH5599">
        <v>6.2551798819681199</v>
      </c>
      <c r="AI5599">
        <v>98.676048354392094</v>
      </c>
      <c r="AJ5599">
        <v>61.017965593411198</v>
      </c>
      <c r="AK5599">
        <v>7.23341459892288</v>
      </c>
    </row>
    <row r="5600" spans="1:37" x14ac:dyDescent="0.2">
      <c r="A5600" t="str">
        <f>"20200111154211649"</f>
        <v>20200111154211649</v>
      </c>
      <c r="B5600" t="str">
        <f>"1578728531640943"</f>
        <v>1578728531640943</v>
      </c>
      <c r="C5600" t="s">
        <v>37</v>
      </c>
      <c r="D5600">
        <v>5.893669</v>
      </c>
      <c r="E5600">
        <v>0.61711700000000003</v>
      </c>
      <c r="F5600" t="s">
        <v>46</v>
      </c>
      <c r="G5600">
        <v>-170.55430000000001</v>
      </c>
      <c r="H5600" s="1">
        <v>-2.044583E-6</v>
      </c>
      <c r="I5600">
        <v>135.3383</v>
      </c>
      <c r="J5600">
        <v>-177.77</v>
      </c>
      <c r="K5600">
        <v>1.091159</v>
      </c>
      <c r="L5600">
        <v>134.30449999999999</v>
      </c>
      <c r="M5600">
        <v>0.79879049999999996</v>
      </c>
      <c r="N5600">
        <v>0</v>
      </c>
      <c r="O5600">
        <v>0.60127609999999998</v>
      </c>
      <c r="P5600">
        <v>0.89794019999999997</v>
      </c>
      <c r="Q5600">
        <v>3.3821579999999997E-2</v>
      </c>
      <c r="R5600">
        <v>0.43881619999999999</v>
      </c>
      <c r="S5600">
        <v>3.1245419999999999</v>
      </c>
      <c r="T5600">
        <v>-0.46067010000000003</v>
      </c>
      <c r="U5600">
        <v>0.49598690000000001</v>
      </c>
      <c r="V5600">
        <v>0.19167889999999899</v>
      </c>
      <c r="W5600">
        <v>4.4715100000000001E-2</v>
      </c>
      <c r="X5600">
        <v>0.98043849999999999</v>
      </c>
      <c r="Y5600">
        <v>0.45848899999999998</v>
      </c>
      <c r="Z5600">
        <v>-0.115148</v>
      </c>
      <c r="AA5600">
        <v>0.88120869999999996</v>
      </c>
      <c r="AB5600">
        <v>41</v>
      </c>
      <c r="AC5600">
        <v>7.2156999999999902</v>
      </c>
      <c r="AD5600">
        <v>-1.091161044583</v>
      </c>
      <c r="AE5600">
        <v>1.03380000000001</v>
      </c>
      <c r="AF5600">
        <v>3.4365377398393302</v>
      </c>
      <c r="AG5600">
        <v>-1.091161044583</v>
      </c>
      <c r="AH5600">
        <v>6.2467370871224199</v>
      </c>
      <c r="AI5600">
        <v>98.7013781431924</v>
      </c>
      <c r="AJ5600">
        <v>61.183345293677803</v>
      </c>
      <c r="AK5600">
        <v>7.2126380956059499</v>
      </c>
    </row>
    <row r="5601" spans="1:37" x14ac:dyDescent="0.2">
      <c r="A5601" t="str">
        <f>"20200111154211661"</f>
        <v>20200111154211661</v>
      </c>
      <c r="B5601" t="str">
        <f>"1578728531651679"</f>
        <v>1578728531651679</v>
      </c>
      <c r="C5601" t="s">
        <v>37</v>
      </c>
      <c r="D5601">
        <v>5.9640209999999998</v>
      </c>
      <c r="E5601">
        <v>0.61679910000000004</v>
      </c>
      <c r="F5601" t="s">
        <v>46</v>
      </c>
      <c r="G5601">
        <v>-170.36439999999999</v>
      </c>
      <c r="H5601" s="1">
        <v>-1.9745549999999999E-6</v>
      </c>
      <c r="I5601">
        <v>135.4246</v>
      </c>
      <c r="J5601">
        <v>-177.57929999999999</v>
      </c>
      <c r="K5601">
        <v>1.0911789999999999</v>
      </c>
      <c r="L5601">
        <v>134.44759999999999</v>
      </c>
      <c r="M5601">
        <v>0.80443050000000005</v>
      </c>
      <c r="N5601">
        <v>0</v>
      </c>
      <c r="O5601">
        <v>0.59370919999999905</v>
      </c>
      <c r="P5601">
        <v>0.90151789999999998</v>
      </c>
      <c r="Q5601">
        <v>3.3681120000000002E-2</v>
      </c>
      <c r="R5601">
        <v>0.43142939999999902</v>
      </c>
      <c r="S5601">
        <v>3.1271969999999998</v>
      </c>
      <c r="T5601">
        <v>-0.46077129999999999</v>
      </c>
      <c r="U5601">
        <v>0.47297669999999897</v>
      </c>
      <c r="V5601">
        <v>0.190469</v>
      </c>
      <c r="W5601">
        <v>4.4642699999999903E-2</v>
      </c>
      <c r="X5601">
        <v>0.98067760000000004</v>
      </c>
      <c r="Y5601">
        <v>0.45665519999999998</v>
      </c>
      <c r="Z5601">
        <v>-0.11418499999999999</v>
      </c>
      <c r="AA5601">
        <v>0.88228549999999994</v>
      </c>
      <c r="AB5601">
        <v>41</v>
      </c>
      <c r="AC5601">
        <v>7.2149000000000001</v>
      </c>
      <c r="AD5601">
        <v>-1.0911809745550001</v>
      </c>
      <c r="AE5601">
        <v>0.97700000000000398</v>
      </c>
      <c r="AF5601">
        <v>3.42147342189166</v>
      </c>
      <c r="AG5601">
        <v>-1.0911809745550001</v>
      </c>
      <c r="AH5601">
        <v>6.2449479723602996</v>
      </c>
      <c r="AI5601">
        <v>98.712144905300093</v>
      </c>
      <c r="AJ5601">
        <v>61.282607790111697</v>
      </c>
      <c r="AK5601">
        <v>7.2039247270795901</v>
      </c>
    </row>
    <row r="5602" spans="1:37" x14ac:dyDescent="0.2">
      <c r="A5602" t="str">
        <f>"20200111154211678"</f>
        <v>20200111154211678</v>
      </c>
      <c r="B5602" t="str">
        <f>"1578728531671200"</f>
        <v>1578728531671200</v>
      </c>
      <c r="C5602" t="s">
        <v>37</v>
      </c>
      <c r="D5602">
        <v>5.976108</v>
      </c>
      <c r="E5602">
        <v>0.61604159999999997</v>
      </c>
      <c r="F5602" t="s">
        <v>46</v>
      </c>
      <c r="G5602">
        <v>-170.1739</v>
      </c>
      <c r="H5602" s="1">
        <v>-1.9042609999999999E-6</v>
      </c>
      <c r="I5602">
        <v>135.511</v>
      </c>
      <c r="J5602">
        <v>-177.3338</v>
      </c>
      <c r="K5602">
        <v>1.0912010000000001</v>
      </c>
      <c r="L5602">
        <v>134.62620000000001</v>
      </c>
      <c r="M5602">
        <v>0.81154749999999998</v>
      </c>
      <c r="N5602">
        <v>0</v>
      </c>
      <c r="O5602">
        <v>0.5839432</v>
      </c>
      <c r="P5602">
        <v>0.90624369999999999</v>
      </c>
      <c r="Q5602">
        <v>3.3425969999999999E-2</v>
      </c>
      <c r="R5602">
        <v>0.42143199999999997</v>
      </c>
      <c r="S5602">
        <v>3.1298219999999999</v>
      </c>
      <c r="T5602">
        <v>-0.46117809999999998</v>
      </c>
      <c r="U5602">
        <v>0.44947809999999999</v>
      </c>
      <c r="V5602">
        <v>0.18945509999999999</v>
      </c>
      <c r="W5602">
        <v>4.4448330000000001E-2</v>
      </c>
      <c r="X5602">
        <v>0.98088280000000005</v>
      </c>
      <c r="Y5602">
        <v>0.4526365</v>
      </c>
      <c r="Z5602">
        <v>-0.1128712</v>
      </c>
      <c r="AA5602">
        <v>0.88452260000000005</v>
      </c>
      <c r="AB5602">
        <v>41</v>
      </c>
      <c r="AC5602">
        <v>7.1598999999999897</v>
      </c>
      <c r="AD5602">
        <v>-1.0912029042610001</v>
      </c>
      <c r="AE5602">
        <v>0.88479999999998404</v>
      </c>
      <c r="AF5602">
        <v>3.3861445344996501</v>
      </c>
      <c r="AG5602">
        <v>-1.0912029042610001</v>
      </c>
      <c r="AH5602">
        <v>6.1869957775085904</v>
      </c>
      <c r="AI5602">
        <v>98.794763130548006</v>
      </c>
      <c r="AJ5602">
        <v>61.308099736339997</v>
      </c>
      <c r="AK5602">
        <v>7.1369191769067104</v>
      </c>
    </row>
    <row r="5603" spans="1:37" x14ac:dyDescent="0.2">
      <c r="A5603" t="str">
        <f>"20200111154211691"</f>
        <v>20200111154211691</v>
      </c>
      <c r="B5603" t="str">
        <f>"1578728531681468"</f>
        <v>1578728531681468</v>
      </c>
      <c r="C5603" t="s">
        <v>37</v>
      </c>
      <c r="D5603">
        <v>6.0028030000000001</v>
      </c>
      <c r="E5603">
        <v>0.61604159999999997</v>
      </c>
      <c r="F5603" t="s">
        <v>39</v>
      </c>
      <c r="G5603">
        <v>-169.93209999999999</v>
      </c>
      <c r="H5603" s="1">
        <v>-1.073762E-6</v>
      </c>
      <c r="I5603">
        <v>135.61940000000001</v>
      </c>
      <c r="J5603">
        <v>-177.14699999999999</v>
      </c>
      <c r="K5603">
        <v>1.0912230000000001</v>
      </c>
      <c r="L5603">
        <v>134.75909999999999</v>
      </c>
      <c r="M5603">
        <v>0.81686359999999902</v>
      </c>
      <c r="N5603">
        <v>0</v>
      </c>
      <c r="O5603">
        <v>0.57648299999999997</v>
      </c>
      <c r="P5603">
        <v>0.90960839999999998</v>
      </c>
      <c r="Q5603">
        <v>3.4570490000000002E-2</v>
      </c>
      <c r="R5603">
        <v>0.4140259</v>
      </c>
      <c r="S5603">
        <v>3.131958</v>
      </c>
      <c r="T5603">
        <v>-0.46173159999999902</v>
      </c>
      <c r="U5603">
        <v>0.42025760000000001</v>
      </c>
      <c r="V5603">
        <v>0.1884953</v>
      </c>
      <c r="W5603">
        <v>4.5649699999999897E-2</v>
      </c>
      <c r="X5603">
        <v>0.98101249999999995</v>
      </c>
      <c r="Y5603">
        <v>0.45271</v>
      </c>
      <c r="Z5603">
        <v>-0.11218399999999901</v>
      </c>
      <c r="AA5603">
        <v>0.88457240000000004</v>
      </c>
      <c r="AB5603">
        <v>41</v>
      </c>
      <c r="AC5603">
        <v>7.2149000000000196</v>
      </c>
      <c r="AD5603">
        <v>-1.091224073762</v>
      </c>
      <c r="AE5603">
        <v>0.86030000000002305</v>
      </c>
      <c r="AF5603">
        <v>3.3809567781671301</v>
      </c>
      <c r="AG5603">
        <v>-1.091224073762</v>
      </c>
      <c r="AH5603">
        <v>6.2498564024424104</v>
      </c>
      <c r="AI5603">
        <v>98.730667409860203</v>
      </c>
      <c r="AJ5603">
        <v>61.5881405156574</v>
      </c>
      <c r="AK5603">
        <v>7.1890433136921903</v>
      </c>
    </row>
    <row r="5604" spans="1:37" x14ac:dyDescent="0.2">
      <c r="A5604" t="str">
        <f>"20200111154211713"</f>
        <v>20200111154211713</v>
      </c>
      <c r="B5604" t="str">
        <f>"1578728531700986"</f>
        <v>1578728531700986</v>
      </c>
      <c r="C5604" t="s">
        <v>37</v>
      </c>
      <c r="D5604">
        <v>6.037903</v>
      </c>
      <c r="E5604">
        <v>0.59945150000000003</v>
      </c>
      <c r="F5604" t="s">
        <v>39</v>
      </c>
      <c r="G5604">
        <v>-169.70060000000001</v>
      </c>
      <c r="H5604" s="1">
        <v>-1.1414790000000001E-6</v>
      </c>
      <c r="I5604">
        <v>135.69899999999899</v>
      </c>
      <c r="J5604">
        <v>-176.80500000000001</v>
      </c>
      <c r="K5604">
        <v>1.091267</v>
      </c>
      <c r="L5604">
        <v>134.99610000000001</v>
      </c>
      <c r="M5604">
        <v>0.82638140000000004</v>
      </c>
      <c r="N5604">
        <v>0</v>
      </c>
      <c r="O5604">
        <v>0.56275430000000004</v>
      </c>
      <c r="P5604">
        <v>0.91627219999999998</v>
      </c>
      <c r="Q5604">
        <v>3.5571230000000002E-2</v>
      </c>
      <c r="R5604">
        <v>0.39897369999999999</v>
      </c>
      <c r="S5604">
        <v>3.1354519999999999</v>
      </c>
      <c r="T5604">
        <v>-0.45947890000000002</v>
      </c>
      <c r="U5604">
        <v>0.39576719999999999</v>
      </c>
      <c r="V5604">
        <v>0.18829969999999999</v>
      </c>
      <c r="W5604">
        <v>4.6676660000000002E-2</v>
      </c>
      <c r="X5604">
        <v>0.98100180000000003</v>
      </c>
      <c r="Y5604">
        <v>0.44507550000000001</v>
      </c>
      <c r="Z5604">
        <v>-0.109441899999999</v>
      </c>
      <c r="AA5604">
        <v>0.88878020000000002</v>
      </c>
      <c r="AB5604">
        <v>41</v>
      </c>
      <c r="AC5604">
        <v>7.1043999999999903</v>
      </c>
      <c r="AD5604">
        <v>-1.091268141479</v>
      </c>
      <c r="AE5604">
        <v>0.70289999999997099</v>
      </c>
      <c r="AF5604">
        <v>3.3398172142527902</v>
      </c>
      <c r="AG5604">
        <v>-1.091268141479</v>
      </c>
      <c r="AH5604">
        <v>6.1246555589668796</v>
      </c>
      <c r="AI5604">
        <v>98.890717581565099</v>
      </c>
      <c r="AJ5604">
        <v>61.396058447664899</v>
      </c>
      <c r="AK5604">
        <v>7.0609242240099297</v>
      </c>
    </row>
    <row r="5605" spans="1:37" x14ac:dyDescent="0.2">
      <c r="A5605" t="str">
        <f>"20200111154211728"</f>
        <v>20200111154211728</v>
      </c>
      <c r="B5605" t="str">
        <f>"1578728531721484"</f>
        <v>1578728531721484</v>
      </c>
      <c r="C5605" t="s">
        <v>37</v>
      </c>
      <c r="D5605">
        <v>6.0105000000000004</v>
      </c>
      <c r="E5605">
        <v>0.59854629999999998</v>
      </c>
      <c r="F5605" t="s">
        <v>39</v>
      </c>
      <c r="G5605">
        <v>-169.4846</v>
      </c>
      <c r="H5605" s="1">
        <v>-1.117319E-6</v>
      </c>
      <c r="I5605">
        <v>136.10149999999999</v>
      </c>
      <c r="J5605">
        <v>-176.58930000000001</v>
      </c>
      <c r="K5605">
        <v>1.0912869999999999</v>
      </c>
      <c r="L5605">
        <v>135.1414</v>
      </c>
      <c r="M5605">
        <v>0.83224109999999996</v>
      </c>
      <c r="N5605">
        <v>0</v>
      </c>
      <c r="O5605">
        <v>0.55405170000000004</v>
      </c>
      <c r="P5605">
        <v>0.9202437</v>
      </c>
      <c r="Q5605">
        <v>3.643706E-2</v>
      </c>
      <c r="R5605">
        <v>0.38964569999999998</v>
      </c>
      <c r="S5605">
        <v>3.0888979999999999</v>
      </c>
      <c r="T5605">
        <v>-0.4604722</v>
      </c>
      <c r="U5605">
        <v>0.46644589999999903</v>
      </c>
      <c r="V5605">
        <v>0.1879902</v>
      </c>
      <c r="W5605">
        <v>4.7568310000000003E-2</v>
      </c>
      <c r="X5605">
        <v>0.98101830000000001</v>
      </c>
      <c r="Y5605">
        <v>0.41395789999999999</v>
      </c>
      <c r="Z5605">
        <v>-0.10764360000000001</v>
      </c>
      <c r="AA5605">
        <v>0.90390910000000002</v>
      </c>
      <c r="AB5605">
        <v>41</v>
      </c>
      <c r="AC5605">
        <v>7.1047000000000002</v>
      </c>
      <c r="AD5605">
        <v>-1.0912881173190001</v>
      </c>
      <c r="AE5605">
        <v>0.96009999999998197</v>
      </c>
      <c r="AF5605">
        <v>3.0669058657019299</v>
      </c>
      <c r="AG5605">
        <v>-1.0912881173190001</v>
      </c>
      <c r="AH5605">
        <v>6.3000887445822</v>
      </c>
      <c r="AI5605">
        <v>98.852366110826907</v>
      </c>
      <c r="AJ5605">
        <v>64.043014356963397</v>
      </c>
      <c r="AK5605">
        <v>7.0913989828305297</v>
      </c>
    </row>
    <row r="5606" spans="1:37" x14ac:dyDescent="0.2">
      <c r="A5606" t="str">
        <f>"20200111154211742"</f>
        <v>20200111154211742</v>
      </c>
      <c r="B5606" t="str">
        <f>"1578728531731243"</f>
        <v>1578728531731243</v>
      </c>
      <c r="C5606" t="s">
        <v>37</v>
      </c>
      <c r="D5606">
        <v>5.956448</v>
      </c>
      <c r="E5606">
        <v>0.59821999999999997</v>
      </c>
      <c r="F5606" t="s">
        <v>39</v>
      </c>
      <c r="G5606">
        <v>-169.51060000000001</v>
      </c>
      <c r="H5606" s="1">
        <v>-1.093547E-6</v>
      </c>
      <c r="I5606">
        <v>136.1534</v>
      </c>
      <c r="J5606">
        <v>-176.35299999999901</v>
      </c>
      <c r="K5606">
        <v>1.0913090000000001</v>
      </c>
      <c r="L5606">
        <v>135.297</v>
      </c>
      <c r="M5606">
        <v>0.83853770000000005</v>
      </c>
      <c r="N5606">
        <v>0</v>
      </c>
      <c r="O5606">
        <v>0.54447480000000004</v>
      </c>
      <c r="P5606">
        <v>0.92439740000000004</v>
      </c>
      <c r="Q5606">
        <v>3.6088830000000002E-2</v>
      </c>
      <c r="R5606">
        <v>0.37971969999999999</v>
      </c>
      <c r="S5606">
        <v>3.0917209999999899</v>
      </c>
      <c r="T5606">
        <v>-0.47663440000000001</v>
      </c>
      <c r="U5606">
        <v>0.44203189999999998</v>
      </c>
      <c r="V5606">
        <v>0.18729189999999901</v>
      </c>
      <c r="W5606">
        <v>4.726586E-2</v>
      </c>
      <c r="X5606">
        <v>0.98116650000000005</v>
      </c>
      <c r="Y5606">
        <v>0.410105</v>
      </c>
      <c r="Z5606">
        <v>-0.10987999999999901</v>
      </c>
      <c r="AA5606">
        <v>0.90539509999999901</v>
      </c>
      <c r="AB5606">
        <v>41</v>
      </c>
      <c r="AC5606">
        <v>6.8423999999999596</v>
      </c>
      <c r="AD5606">
        <v>-1.0913100935469999</v>
      </c>
      <c r="AE5606">
        <v>0.85640000000000704</v>
      </c>
      <c r="AF5606">
        <v>2.93449907737795</v>
      </c>
      <c r="AG5606">
        <v>-1.0913100935469999</v>
      </c>
      <c r="AH5606">
        <v>6.0535316346791896</v>
      </c>
      <c r="AI5606">
        <v>99.214321122724002</v>
      </c>
      <c r="AJ5606">
        <v>64.137831870365503</v>
      </c>
      <c r="AK5606">
        <v>6.8152393800563802</v>
      </c>
    </row>
    <row r="5607" spans="1:37" x14ac:dyDescent="0.2">
      <c r="A5607" t="str">
        <f>"20200111154211757"</f>
        <v>20200111154211757</v>
      </c>
      <c r="B5607" t="str">
        <f>"1578728531751740"</f>
        <v>1578728531751740</v>
      </c>
      <c r="C5607" t="s">
        <v>37</v>
      </c>
      <c r="D5607">
        <v>6.0711339999999998</v>
      </c>
      <c r="E5607">
        <v>0.59687819999999903</v>
      </c>
      <c r="F5607" t="s">
        <v>39</v>
      </c>
      <c r="G5607">
        <v>-169.17830000000001</v>
      </c>
      <c r="H5607" s="1">
        <v>-1.1955259999999999E-6</v>
      </c>
      <c r="I5607">
        <v>136.24979999999999</v>
      </c>
      <c r="J5607">
        <v>-176.12950000000001</v>
      </c>
      <c r="K5607">
        <v>1.091329</v>
      </c>
      <c r="L5607">
        <v>135.4393</v>
      </c>
      <c r="M5607">
        <v>0.84436669999999903</v>
      </c>
      <c r="N5607">
        <v>0</v>
      </c>
      <c r="O5607">
        <v>0.53539049999999999</v>
      </c>
      <c r="P5607">
        <v>0.92823310000000003</v>
      </c>
      <c r="Q5607">
        <v>3.5998160000000001E-2</v>
      </c>
      <c r="R5607">
        <v>0.37025330000000001</v>
      </c>
      <c r="S5607">
        <v>3.0949249999999999</v>
      </c>
      <c r="T5607">
        <v>-0.47075519999999998</v>
      </c>
      <c r="U5607">
        <v>0.41101070000000001</v>
      </c>
      <c r="V5607">
        <v>0.1867229</v>
      </c>
      <c r="W5607">
        <v>4.721347E-2</v>
      </c>
      <c r="X5607">
        <v>0.98127749999999903</v>
      </c>
      <c r="Y5607">
        <v>0.40966930000000001</v>
      </c>
      <c r="Z5607">
        <v>-0.107377399999999</v>
      </c>
      <c r="AA5607">
        <v>0.90589249999999899</v>
      </c>
      <c r="AB5607">
        <v>40</v>
      </c>
      <c r="AC5607">
        <v>6.9512</v>
      </c>
      <c r="AD5607">
        <v>-1.091330195526</v>
      </c>
      <c r="AE5607">
        <v>0.81049999999999001</v>
      </c>
      <c r="AF5607">
        <v>2.9657368845594401</v>
      </c>
      <c r="AG5607">
        <v>-1.091330195526</v>
      </c>
      <c r="AH5607">
        <v>6.1548881037365799</v>
      </c>
      <c r="AI5607">
        <v>99.075448001736603</v>
      </c>
      <c r="AJ5607">
        <v>64.272877196600007</v>
      </c>
      <c r="AK5607">
        <v>6.9187603249152403</v>
      </c>
    </row>
    <row r="5608" spans="1:37" x14ac:dyDescent="0.2">
      <c r="A5608" t="str">
        <f>"20200111154211770"</f>
        <v>20200111154211770</v>
      </c>
      <c r="B5608" t="str">
        <f>"1578728531761499"</f>
        <v>1578728531761499</v>
      </c>
      <c r="C5608" t="s">
        <v>37</v>
      </c>
      <c r="D5608">
        <v>6.0943879999999897</v>
      </c>
      <c r="E5608">
        <v>0.59631190000000001</v>
      </c>
      <c r="F5608" t="s">
        <v>39</v>
      </c>
      <c r="G5608">
        <v>-168.96029999999999</v>
      </c>
      <c r="H5608" s="1">
        <v>-1.2550179999999999E-6</v>
      </c>
      <c r="I5608">
        <v>136.3407</v>
      </c>
      <c r="J5608">
        <v>-175.93870000000001</v>
      </c>
      <c r="K5608">
        <v>1.091348</v>
      </c>
      <c r="L5608">
        <v>135.55850000000001</v>
      </c>
      <c r="M5608">
        <v>0.84925839999999997</v>
      </c>
      <c r="N5608">
        <v>0</v>
      </c>
      <c r="O5608">
        <v>0.52759659999999997</v>
      </c>
      <c r="P5608">
        <v>0.931284</v>
      </c>
      <c r="Q5608">
        <v>3.6289589999999997E-2</v>
      </c>
      <c r="R5608">
        <v>0.36248219999999998</v>
      </c>
      <c r="S5608">
        <v>3.0949709999999899</v>
      </c>
      <c r="T5608">
        <v>-0.4711304</v>
      </c>
      <c r="U5608">
        <v>0.38916020000000001</v>
      </c>
      <c r="V5608">
        <v>0.1858995</v>
      </c>
      <c r="W5608">
        <v>4.7554020000000002E-2</v>
      </c>
      <c r="X5608">
        <v>0.9814174</v>
      </c>
      <c r="Y5608">
        <v>0.40765829999999997</v>
      </c>
      <c r="Z5608">
        <v>-0.1063998</v>
      </c>
      <c r="AA5608">
        <v>0.90691440000000001</v>
      </c>
      <c r="AB5608">
        <v>40</v>
      </c>
      <c r="AC5608">
        <v>6.9784000000000201</v>
      </c>
      <c r="AD5608">
        <v>-1.091349255018</v>
      </c>
      <c r="AE5608">
        <v>0.78219999999998802</v>
      </c>
      <c r="AF5608">
        <v>2.94691636545766</v>
      </c>
      <c r="AG5608">
        <v>-1.091349255018</v>
      </c>
      <c r="AH5608">
        <v>6.1908892072789303</v>
      </c>
      <c r="AI5608">
        <v>99.043919483195907</v>
      </c>
      <c r="AJ5608">
        <v>64.545151124328001</v>
      </c>
      <c r="AK5608">
        <v>6.9427997550147804</v>
      </c>
    </row>
    <row r="5609" spans="1:37" x14ac:dyDescent="0.2">
      <c r="A5609" t="str">
        <f>"20200111154211786"</f>
        <v>20200111154211786</v>
      </c>
      <c r="B5609" t="str">
        <f>"1578728531781020"</f>
        <v>1578728531781020</v>
      </c>
      <c r="C5609" t="s">
        <v>37</v>
      </c>
      <c r="D5609">
        <v>6.1030809999999898</v>
      </c>
      <c r="E5609">
        <v>0.59534109999999996</v>
      </c>
      <c r="F5609" t="s">
        <v>39</v>
      </c>
      <c r="G5609">
        <v>-168.68860000000001</v>
      </c>
      <c r="H5609" s="1">
        <v>-1.3386749999999999E-6</v>
      </c>
      <c r="I5609">
        <v>136.41849999999999</v>
      </c>
      <c r="J5609">
        <v>-175.67400000000001</v>
      </c>
      <c r="K5609">
        <v>1.09137</v>
      </c>
      <c r="L5609">
        <v>135.7201</v>
      </c>
      <c r="M5609">
        <v>0.85590730000000004</v>
      </c>
      <c r="N5609">
        <v>0</v>
      </c>
      <c r="O5609">
        <v>0.51674019999999998</v>
      </c>
      <c r="P5609">
        <v>0.93571510000000002</v>
      </c>
      <c r="Q5609">
        <v>3.6746510000000003E-2</v>
      </c>
      <c r="R5609">
        <v>0.35083759999999897</v>
      </c>
      <c r="S5609">
        <v>3.0965579999999999</v>
      </c>
      <c r="T5609">
        <v>-0.46612229999999999</v>
      </c>
      <c r="U5609">
        <v>0.36729429999999902</v>
      </c>
      <c r="V5609">
        <v>0.1856553</v>
      </c>
      <c r="W5609">
        <v>4.803412E-2</v>
      </c>
      <c r="X5609">
        <v>0.98144019999999998</v>
      </c>
      <c r="Y5609">
        <v>0.40279149999999903</v>
      </c>
      <c r="Z5609">
        <v>-0.1035648</v>
      </c>
      <c r="AA5609">
        <v>0.90941380000000005</v>
      </c>
      <c r="AB5609">
        <v>40</v>
      </c>
      <c r="AC5609">
        <v>6.9853999999999896</v>
      </c>
      <c r="AD5609">
        <v>-1.0913713386749999</v>
      </c>
      <c r="AE5609">
        <v>0.69839999999999203</v>
      </c>
      <c r="AF5609">
        <v>2.9413894399710898</v>
      </c>
      <c r="AG5609">
        <v>-1.0913713386749999</v>
      </c>
      <c r="AH5609">
        <v>6.1913875059438297</v>
      </c>
      <c r="AI5609">
        <v>99.046595507015198</v>
      </c>
      <c r="AJ5609">
        <v>64.588654920290395</v>
      </c>
      <c r="AK5609">
        <v>6.94090357844079</v>
      </c>
    </row>
    <row r="5610" spans="1:37" x14ac:dyDescent="0.2">
      <c r="A5610" t="str">
        <f>"20200111154211799"</f>
        <v>20200111154211799</v>
      </c>
      <c r="B5610" t="str">
        <f>"1578728531791755"</f>
        <v>1578728531791755</v>
      </c>
      <c r="C5610" t="s">
        <v>37</v>
      </c>
      <c r="D5610">
        <v>6.1238460000000003</v>
      </c>
      <c r="E5610">
        <v>0.59487179999999995</v>
      </c>
      <c r="F5610" t="s">
        <v>39</v>
      </c>
      <c r="G5610">
        <v>-168.3639</v>
      </c>
      <c r="H5610" s="1">
        <v>-1.438281E-6</v>
      </c>
      <c r="I5610">
        <v>136.5128</v>
      </c>
      <c r="J5610">
        <v>-175.46940000000001</v>
      </c>
      <c r="K5610">
        <v>1.091386</v>
      </c>
      <c r="L5610">
        <v>135.8417</v>
      </c>
      <c r="M5610">
        <v>0.86094040000000005</v>
      </c>
      <c r="N5610">
        <v>0</v>
      </c>
      <c r="O5610">
        <v>0.50831009999999999</v>
      </c>
      <c r="P5610">
        <v>0.93906590000000001</v>
      </c>
      <c r="Q5610">
        <v>3.7301290000000001E-2</v>
      </c>
      <c r="R5610">
        <v>0.34170729999999999</v>
      </c>
      <c r="S5610">
        <v>3.098312</v>
      </c>
      <c r="T5610">
        <v>-0.46256359999999902</v>
      </c>
      <c r="U5610">
        <v>0.33598329999999998</v>
      </c>
      <c r="V5610">
        <v>0.18558939999999999</v>
      </c>
      <c r="W5610">
        <v>4.8598519999999999E-2</v>
      </c>
      <c r="X5610">
        <v>0.98142489999999905</v>
      </c>
      <c r="Y5610">
        <v>0.40317829999999999</v>
      </c>
      <c r="Z5610">
        <v>-0.1017865</v>
      </c>
      <c r="AA5610">
        <v>0.90944309999999995</v>
      </c>
      <c r="AB5610">
        <v>40</v>
      </c>
      <c r="AC5610">
        <v>7.1055000000000001</v>
      </c>
      <c r="AD5610">
        <v>-1.091387438281</v>
      </c>
      <c r="AE5610">
        <v>0.67109999999999503</v>
      </c>
      <c r="AF5610">
        <v>2.9652917984404001</v>
      </c>
      <c r="AG5610">
        <v>-1.091387438281</v>
      </c>
      <c r="AH5610">
        <v>6.3122360808033902</v>
      </c>
      <c r="AI5610">
        <v>98.894237534307194</v>
      </c>
      <c r="AJ5610">
        <v>64.837324750717599</v>
      </c>
      <c r="AK5610">
        <v>7.0589238790435802</v>
      </c>
    </row>
    <row r="5611" spans="1:37" x14ac:dyDescent="0.2">
      <c r="A5611" t="str">
        <f>"20200111154211812"</f>
        <v>20200111154211812</v>
      </c>
      <c r="B5611" t="str">
        <f>"1578728531801517"</f>
        <v>1578728531801517</v>
      </c>
      <c r="C5611" t="s">
        <v>37</v>
      </c>
      <c r="D5611">
        <v>6.1199909999999997</v>
      </c>
      <c r="E5611">
        <v>0.59441140000000003</v>
      </c>
      <c r="F5611" t="s">
        <v>39</v>
      </c>
      <c r="G5611">
        <v>-168.17519999999999</v>
      </c>
      <c r="H5611" s="1">
        <v>-1.4955089999999999E-6</v>
      </c>
      <c r="I5611">
        <v>136.57</v>
      </c>
      <c r="J5611">
        <v>-175.27180000000001</v>
      </c>
      <c r="K5611">
        <v>1.091399</v>
      </c>
      <c r="L5611">
        <v>135.95599999999999</v>
      </c>
      <c r="M5611">
        <v>0.86571500000000001</v>
      </c>
      <c r="N5611">
        <v>0</v>
      </c>
      <c r="O5611">
        <v>0.50013509999999906</v>
      </c>
      <c r="P5611">
        <v>0.94216219999999995</v>
      </c>
      <c r="Q5611">
        <v>3.7512089999999998E-2</v>
      </c>
      <c r="R5611">
        <v>0.333051599999999</v>
      </c>
      <c r="S5611">
        <v>3.1004330000000002</v>
      </c>
      <c r="T5611">
        <v>-0.46389780000000003</v>
      </c>
      <c r="U5611">
        <v>0.30960079999999901</v>
      </c>
      <c r="V5611">
        <v>0.18533169999999999</v>
      </c>
      <c r="W5611">
        <v>4.882475E-2</v>
      </c>
      <c r="X5611">
        <v>0.98146239999999996</v>
      </c>
      <c r="Y5611">
        <v>0.40229399999999998</v>
      </c>
      <c r="Z5611">
        <v>-0.1009748</v>
      </c>
      <c r="AA5611">
        <v>0.90992510000000004</v>
      </c>
      <c r="AB5611">
        <v>40</v>
      </c>
      <c r="AC5611">
        <v>7.09660000000002</v>
      </c>
      <c r="AD5611">
        <v>-1.091400495509</v>
      </c>
      <c r="AE5611">
        <v>0.61399999999997501</v>
      </c>
      <c r="AF5611">
        <v>2.9490836927616999</v>
      </c>
      <c r="AG5611">
        <v>-1.091400495509</v>
      </c>
      <c r="AH5611">
        <v>6.3040196232515902</v>
      </c>
      <c r="AI5611">
        <v>98.9123484595994</v>
      </c>
      <c r="AJ5611">
        <v>64.929334852904205</v>
      </c>
      <c r="AK5611">
        <v>7.0447791362718704</v>
      </c>
    </row>
    <row r="5612" spans="1:37" x14ac:dyDescent="0.2">
      <c r="A5612" t="str">
        <f>"20200111154211825"</f>
        <v>20200111154211825</v>
      </c>
      <c r="B5612" t="str">
        <f>"1578728531821035"</f>
        <v>1578728531821035</v>
      </c>
      <c r="C5612" t="s">
        <v>37</v>
      </c>
      <c r="D5612">
        <v>6.0678609999999997</v>
      </c>
      <c r="E5612">
        <v>0.59325909999999904</v>
      </c>
      <c r="F5612" t="s">
        <v>39</v>
      </c>
      <c r="G5612">
        <v>-168.03030000000001</v>
      </c>
      <c r="H5612" s="1">
        <v>-1.5378440000000001E-6</v>
      </c>
      <c r="I5612">
        <v>136.62010000000001</v>
      </c>
      <c r="J5612">
        <v>-175.06950000000001</v>
      </c>
      <c r="K5612">
        <v>1.09141</v>
      </c>
      <c r="L5612">
        <v>136.0712</v>
      </c>
      <c r="M5612">
        <v>0.87051420000000002</v>
      </c>
      <c r="N5612">
        <v>0</v>
      </c>
      <c r="O5612">
        <v>0.49173459999999902</v>
      </c>
      <c r="P5612">
        <v>0.94512750000000001</v>
      </c>
      <c r="Q5612">
        <v>3.7973010000000001E-2</v>
      </c>
      <c r="R5612">
        <v>0.32448749999999998</v>
      </c>
      <c r="S5612">
        <v>3.1022189999999998</v>
      </c>
      <c r="T5612">
        <v>-0.46755159999999901</v>
      </c>
      <c r="U5612">
        <v>0.28446959999999999</v>
      </c>
      <c r="V5612">
        <v>0.18475249999999999</v>
      </c>
      <c r="W5612">
        <v>4.9315779999999997E-2</v>
      </c>
      <c r="X5612">
        <v>0.98154699999999995</v>
      </c>
      <c r="Y5612">
        <v>0.40076669999999998</v>
      </c>
      <c r="Z5612">
        <v>-0.1005684</v>
      </c>
      <c r="AA5612">
        <v>0.9106438</v>
      </c>
      <c r="AB5612">
        <v>40</v>
      </c>
      <c r="AC5612">
        <v>7.0391999999999904</v>
      </c>
      <c r="AD5612">
        <v>-1.0914115378439999</v>
      </c>
      <c r="AE5612">
        <v>0.54890000000000305</v>
      </c>
      <c r="AF5612">
        <v>2.9145512882868498</v>
      </c>
      <c r="AG5612">
        <v>-1.0914115378439999</v>
      </c>
      <c r="AH5612">
        <v>6.2495925295112302</v>
      </c>
      <c r="AI5612">
        <v>98.993714851149207</v>
      </c>
      <c r="AJ5612">
        <v>64.997602106994606</v>
      </c>
      <c r="AK5612">
        <v>6.9816326988689497</v>
      </c>
    </row>
    <row r="5613" spans="1:37" x14ac:dyDescent="0.2">
      <c r="A5613" t="str">
        <f>"20200111154211839"</f>
        <v>20200111154211839</v>
      </c>
      <c r="B5613" t="str">
        <f>"1578728531831771"</f>
        <v>1578728531831771</v>
      </c>
      <c r="C5613" t="s">
        <v>37</v>
      </c>
      <c r="D5613">
        <v>6.039574</v>
      </c>
      <c r="E5613">
        <v>0.59260109999999999</v>
      </c>
      <c r="F5613" t="s">
        <v>39</v>
      </c>
      <c r="G5613">
        <v>-167.8364</v>
      </c>
      <c r="H5613" s="1">
        <v>-1.594296E-6</v>
      </c>
      <c r="I5613">
        <v>136.68770000000001</v>
      </c>
      <c r="J5613">
        <v>-174.8501</v>
      </c>
      <c r="K5613">
        <v>1.091413</v>
      </c>
      <c r="L5613">
        <v>136.1926</v>
      </c>
      <c r="M5613">
        <v>0.8756195</v>
      </c>
      <c r="N5613">
        <v>0</v>
      </c>
      <c r="O5613">
        <v>0.48258509999999999</v>
      </c>
      <c r="P5613">
        <v>0.94838359999999899</v>
      </c>
      <c r="Q5613">
        <v>3.8032570000000002E-2</v>
      </c>
      <c r="R5613">
        <v>0.31483699999999998</v>
      </c>
      <c r="S5613">
        <v>3.1022029999999998</v>
      </c>
      <c r="T5613">
        <v>-0.46809139999999999</v>
      </c>
      <c r="U5613">
        <v>0.26441959999999998</v>
      </c>
      <c r="V5613">
        <v>0.18447169999999999</v>
      </c>
      <c r="W5613">
        <v>4.938816E-2</v>
      </c>
      <c r="X5613">
        <v>0.98159619999999903</v>
      </c>
      <c r="Y5613">
        <v>0.39713120000000002</v>
      </c>
      <c r="Z5613">
        <v>-9.9264030000000003E-2</v>
      </c>
      <c r="AA5613">
        <v>0.91237789999999996</v>
      </c>
      <c r="AB5613">
        <v>40</v>
      </c>
      <c r="AC5613">
        <v>7.0137</v>
      </c>
      <c r="AD5613">
        <v>-1.0914145942960001</v>
      </c>
      <c r="AE5613">
        <v>0.49510000000000698</v>
      </c>
      <c r="AF5613">
        <v>2.8823317330851599</v>
      </c>
      <c r="AG5613">
        <v>-1.0914145942960001</v>
      </c>
      <c r="AH5613">
        <v>6.2313981842394099</v>
      </c>
      <c r="AI5613">
        <v>99.032486194144596</v>
      </c>
      <c r="AJ5613">
        <v>65.177110072803799</v>
      </c>
      <c r="AK5613">
        <v>6.9519310530768603</v>
      </c>
    </row>
    <row r="5614" spans="1:37" x14ac:dyDescent="0.2">
      <c r="A5614" t="str">
        <f>"20200111154211855"</f>
        <v>20200111154211855</v>
      </c>
      <c r="B5614" t="str">
        <f>"1578728531851291"</f>
        <v>1578728531851291</v>
      </c>
      <c r="C5614" t="s">
        <v>37</v>
      </c>
      <c r="D5614">
        <v>6.1007319999999998</v>
      </c>
      <c r="E5614">
        <v>0.59145649999999905</v>
      </c>
      <c r="F5614" t="s">
        <v>39</v>
      </c>
      <c r="G5614">
        <v>-167.6114</v>
      </c>
      <c r="H5614" s="1">
        <v>-1.6647749999999899E-6</v>
      </c>
      <c r="I5614">
        <v>136.74760000000001</v>
      </c>
      <c r="J5614">
        <v>-174.59989999999999</v>
      </c>
      <c r="K5614">
        <v>1.0914219999999999</v>
      </c>
      <c r="L5614">
        <v>136.3271</v>
      </c>
      <c r="M5614">
        <v>0.88131519999999997</v>
      </c>
      <c r="N5614">
        <v>0</v>
      </c>
      <c r="O5614">
        <v>0.47210360000000001</v>
      </c>
      <c r="P5614">
        <v>0.95200779999999996</v>
      </c>
      <c r="Q5614">
        <v>3.815731E-2</v>
      </c>
      <c r="R5614">
        <v>0.30368600000000001</v>
      </c>
      <c r="S5614">
        <v>3.103043</v>
      </c>
      <c r="T5614">
        <v>-0.46786090000000002</v>
      </c>
      <c r="U5614">
        <v>0.23791499999999999</v>
      </c>
      <c r="V5614">
        <v>0.18428139999999901</v>
      </c>
      <c r="W5614">
        <v>4.9518180000000002E-2</v>
      </c>
      <c r="X5614">
        <v>0.98162530000000003</v>
      </c>
      <c r="Y5614">
        <v>0.39411679999999999</v>
      </c>
      <c r="Z5614">
        <v>-9.7644389999999998E-2</v>
      </c>
      <c r="AA5614">
        <v>0.91385859999999997</v>
      </c>
      <c r="AB5614">
        <v>40</v>
      </c>
      <c r="AC5614">
        <v>6.9884999999999797</v>
      </c>
      <c r="AD5614">
        <v>-1.091423664775</v>
      </c>
      <c r="AE5614">
        <v>0.42050000000000398</v>
      </c>
      <c r="AF5614">
        <v>2.8597915696149601</v>
      </c>
      <c r="AG5614">
        <v>-1.091423664775</v>
      </c>
      <c r="AH5614">
        <v>6.2079988613722703</v>
      </c>
      <c r="AI5614">
        <v>99.072446527659096</v>
      </c>
      <c r="AJ5614">
        <v>65.266253831647504</v>
      </c>
      <c r="AK5614">
        <v>6.9216228805440601</v>
      </c>
    </row>
    <row r="5615" spans="1:37" x14ac:dyDescent="0.2">
      <c r="A5615" t="str">
        <f>"20200111154211870"</f>
        <v>20200111154211870</v>
      </c>
      <c r="B5615" t="str">
        <f>"1578728531862027"</f>
        <v>1578728531862027</v>
      </c>
      <c r="C5615" t="s">
        <v>37</v>
      </c>
      <c r="D5615">
        <v>5.8626050000000003</v>
      </c>
      <c r="E5615">
        <v>0.59145649999999905</v>
      </c>
      <c r="F5615" t="s">
        <v>39</v>
      </c>
      <c r="G5615">
        <v>-167.38120000000001</v>
      </c>
      <c r="H5615" s="1">
        <v>-1.73488E-6</v>
      </c>
      <c r="I5615">
        <v>136.81639999999999</v>
      </c>
      <c r="J5615">
        <v>-174.34630000000001</v>
      </c>
      <c r="K5615">
        <v>1.0914299999999999</v>
      </c>
      <c r="L5615">
        <v>136.4597</v>
      </c>
      <c r="M5615">
        <v>0.88694839999999997</v>
      </c>
      <c r="N5615">
        <v>0</v>
      </c>
      <c r="O5615">
        <v>0.46143390000000001</v>
      </c>
      <c r="P5615">
        <v>0.955594099999999</v>
      </c>
      <c r="Q5615">
        <v>3.7998270000000001E-2</v>
      </c>
      <c r="R5615">
        <v>0.29222680000000001</v>
      </c>
      <c r="S5615">
        <v>3.1029360000000001</v>
      </c>
      <c r="T5615">
        <v>-0.4691459</v>
      </c>
      <c r="U5615">
        <v>0.2103119</v>
      </c>
      <c r="V5615">
        <v>0.18422289999999999</v>
      </c>
      <c r="W5615">
        <v>4.9356740000000003E-2</v>
      </c>
      <c r="X5615">
        <v>0.98164449999999903</v>
      </c>
      <c r="Y5615">
        <v>0.39122040000000002</v>
      </c>
      <c r="Z5615">
        <v>-9.6333100000000005E-2</v>
      </c>
      <c r="AA5615">
        <v>0.91524119999999998</v>
      </c>
      <c r="AB5615">
        <v>40</v>
      </c>
      <c r="AC5615">
        <v>6.9650999999999996</v>
      </c>
      <c r="AD5615">
        <v>-1.09143173488</v>
      </c>
      <c r="AE5615">
        <v>0.35669999999998903</v>
      </c>
      <c r="AF5615">
        <v>2.8288596158608001</v>
      </c>
      <c r="AG5615">
        <v>-1.09143173488</v>
      </c>
      <c r="AH5615">
        <v>6.1919066822877697</v>
      </c>
      <c r="AI5615">
        <v>99.108581122964296</v>
      </c>
      <c r="AJ5615">
        <v>65.446042862279896</v>
      </c>
      <c r="AK5615">
        <v>6.8944454686589003</v>
      </c>
    </row>
    <row r="5616" spans="1:37" x14ac:dyDescent="0.2">
      <c r="A5616" t="str">
        <f>"20200111154211886"</f>
        <v>20200111154211886</v>
      </c>
      <c r="B5616" t="str">
        <f>"1578728531881548"</f>
        <v>1578728531881548</v>
      </c>
      <c r="C5616" t="s">
        <v>37</v>
      </c>
      <c r="D5616">
        <v>6.0061710000000001</v>
      </c>
      <c r="E5616">
        <v>0.59799360000000001</v>
      </c>
      <c r="F5616" t="s">
        <v>39</v>
      </c>
      <c r="G5616">
        <v>-167.13159999999999</v>
      </c>
      <c r="H5616" s="1">
        <v>-1.8249939999999999E-6</v>
      </c>
      <c r="I5616">
        <v>136.86179999999999</v>
      </c>
      <c r="J5616">
        <v>-174.10659999999999</v>
      </c>
      <c r="K5616">
        <v>1.091439</v>
      </c>
      <c r="L5616">
        <v>136.58179999999999</v>
      </c>
      <c r="M5616">
        <v>0.89214609999999905</v>
      </c>
      <c r="N5616">
        <v>0</v>
      </c>
      <c r="O5616">
        <v>0.45130290000000001</v>
      </c>
      <c r="P5616">
        <v>0.95868439999999999</v>
      </c>
      <c r="Q5616">
        <v>3.7633300000000001E-2</v>
      </c>
      <c r="R5616">
        <v>0.28197119999999998</v>
      </c>
      <c r="S5616">
        <v>3.1051639999999998</v>
      </c>
      <c r="T5616">
        <v>-0.46974640000000001</v>
      </c>
      <c r="U5616">
        <v>0.17304990000000001</v>
      </c>
      <c r="V5616">
        <v>0.18354999999999999</v>
      </c>
      <c r="W5616">
        <v>4.9018109999999997E-2</v>
      </c>
      <c r="X5616">
        <v>0.98178739999999998</v>
      </c>
      <c r="Y5616">
        <v>0.39182979999999901</v>
      </c>
      <c r="Z5616">
        <v>-9.5145779999999999E-2</v>
      </c>
      <c r="AA5616">
        <v>0.91510469999999899</v>
      </c>
      <c r="AB5616">
        <v>40</v>
      </c>
      <c r="AC5616">
        <v>6.9749999999999899</v>
      </c>
      <c r="AD5616">
        <v>-1.091440824994</v>
      </c>
      <c r="AE5616">
        <v>0.28000000000000103</v>
      </c>
      <c r="AF5616">
        <v>2.8294486174464502</v>
      </c>
      <c r="AG5616">
        <v>-1.091440824994</v>
      </c>
      <c r="AH5616">
        <v>6.1988192929216401</v>
      </c>
      <c r="AI5616">
        <v>99.100069369135895</v>
      </c>
      <c r="AJ5616">
        <v>65.465691794039003</v>
      </c>
      <c r="AK5616">
        <v>6.9008972735094902</v>
      </c>
    </row>
    <row r="5617" spans="1:37" x14ac:dyDescent="0.2">
      <c r="A5617" t="str">
        <f>"20200111154211903"</f>
        <v>20200111154211903</v>
      </c>
      <c r="B5617" t="str">
        <f>"1578728531891307"</f>
        <v>1578728531891307</v>
      </c>
      <c r="C5617" t="s">
        <v>37</v>
      </c>
      <c r="D5617">
        <v>5.9849930000000002</v>
      </c>
      <c r="E5617">
        <v>0.56747499999999995</v>
      </c>
      <c r="F5617" t="s">
        <v>39</v>
      </c>
      <c r="G5617">
        <v>-157.19479999999999</v>
      </c>
      <c r="H5617" s="1">
        <v>-1.6347589999999999E-6</v>
      </c>
      <c r="I5617">
        <v>137.0847</v>
      </c>
      <c r="J5617">
        <v>-173.81710000000001</v>
      </c>
      <c r="K5617">
        <v>1.0914489999999999</v>
      </c>
      <c r="L5617">
        <v>136.7244</v>
      </c>
      <c r="M5617">
        <v>0.89825889999999997</v>
      </c>
      <c r="N5617">
        <v>0</v>
      </c>
      <c r="O5617">
        <v>0.43901079999999998</v>
      </c>
      <c r="P5617">
        <v>0.96200259999999904</v>
      </c>
      <c r="Q5617">
        <v>3.7702099999999898E-2</v>
      </c>
      <c r="R5617">
        <v>0.27042480000000002</v>
      </c>
      <c r="S5617">
        <v>3.1099700000000001</v>
      </c>
      <c r="T5617">
        <v>-0.200709</v>
      </c>
      <c r="U5617">
        <v>9.248352E-2</v>
      </c>
      <c r="V5617">
        <v>0.181873799999999</v>
      </c>
      <c r="W5617">
        <v>4.9160509999999998E-2</v>
      </c>
      <c r="X5617">
        <v>0.98209230000000003</v>
      </c>
      <c r="Y5617">
        <v>0.41048770000000001</v>
      </c>
      <c r="Z5617">
        <v>-4.0728109999999998E-2</v>
      </c>
      <c r="AA5617">
        <v>0.91095609999999905</v>
      </c>
      <c r="AB5617">
        <v>40</v>
      </c>
      <c r="AC5617">
        <v>16.622299999999999</v>
      </c>
      <c r="AD5617">
        <v>-1.0914506347589901</v>
      </c>
      <c r="AE5617">
        <v>0.36029999999999501</v>
      </c>
      <c r="AF5617">
        <v>6.9451933574616902</v>
      </c>
      <c r="AG5617">
        <v>-1.0914506347589901</v>
      </c>
      <c r="AH5617">
        <v>15.027566226779699</v>
      </c>
      <c r="AI5617">
        <v>93.772012303141693</v>
      </c>
      <c r="AJ5617">
        <v>65.195340967961997</v>
      </c>
      <c r="AK5617">
        <v>16.590802330233899</v>
      </c>
    </row>
    <row r="5618" spans="1:37" x14ac:dyDescent="0.2">
      <c r="A5618" t="str">
        <f>"20200111154211919"</f>
        <v>20200111154211919</v>
      </c>
      <c r="B5618" t="str">
        <f>"1578728531911804"</f>
        <v>1578728531911804</v>
      </c>
      <c r="C5618" t="s">
        <v>37</v>
      </c>
      <c r="D5618">
        <v>5.9695729999999996</v>
      </c>
      <c r="E5618">
        <v>0.56387140000000002</v>
      </c>
      <c r="F5618" t="s">
        <v>39</v>
      </c>
      <c r="G5618">
        <v>-162.27539999999999</v>
      </c>
      <c r="H5618" s="1">
        <v>-3.95150699999999E-6</v>
      </c>
      <c r="I5618">
        <v>137.81479999999999</v>
      </c>
      <c r="J5618">
        <v>-173.55279999999999</v>
      </c>
      <c r="K5618">
        <v>1.0914569999999999</v>
      </c>
      <c r="L5618">
        <v>136.84970000000001</v>
      </c>
      <c r="M5618">
        <v>0.9036824</v>
      </c>
      <c r="N5618">
        <v>0</v>
      </c>
      <c r="O5618">
        <v>0.42773620000000001</v>
      </c>
      <c r="P5618">
        <v>0.96500869999999905</v>
      </c>
      <c r="Q5618">
        <v>3.7831770000000001E-2</v>
      </c>
      <c r="R5618">
        <v>0.2594745</v>
      </c>
      <c r="S5618">
        <v>3.0488279999999999</v>
      </c>
      <c r="T5618">
        <v>-0.28831430000000002</v>
      </c>
      <c r="U5618">
        <v>0.28804020000000002</v>
      </c>
      <c r="V5618">
        <v>0.18074799999999999</v>
      </c>
      <c r="W5618">
        <v>4.9335770000000001E-2</v>
      </c>
      <c r="X5618">
        <v>0.98229129999999998</v>
      </c>
      <c r="Y5618">
        <v>0.33765489999999998</v>
      </c>
      <c r="Z5618">
        <v>-5.4953719999999998E-2</v>
      </c>
      <c r="AA5618">
        <v>0.93966439999999996</v>
      </c>
      <c r="AB5618">
        <v>40</v>
      </c>
      <c r="AC5618">
        <v>11.2774</v>
      </c>
      <c r="AD5618">
        <v>-1.091460951507</v>
      </c>
      <c r="AE5618">
        <v>0.96509999999997798</v>
      </c>
      <c r="AF5618">
        <v>3.9159844595469702</v>
      </c>
      <c r="AG5618">
        <v>-1.091460951507</v>
      </c>
      <c r="AH5618">
        <v>10.5084007335221</v>
      </c>
      <c r="AI5618">
        <v>95.558932702597502</v>
      </c>
      <c r="AJ5618">
        <v>69.561952403411496</v>
      </c>
      <c r="AK5618">
        <v>11.267329198721701</v>
      </c>
    </row>
    <row r="5619" spans="1:37" x14ac:dyDescent="0.2">
      <c r="A5619" t="str">
        <f>"20200111154211935"</f>
        <v>20200111154211935</v>
      </c>
      <c r="B5619" t="str">
        <f>"1578728531931323"</f>
        <v>1578728531931323</v>
      </c>
      <c r="C5619" t="s">
        <v>37</v>
      </c>
      <c r="D5619">
        <v>5.8708179999999999</v>
      </c>
      <c r="E5619">
        <v>0.56607969999999996</v>
      </c>
      <c r="F5619" t="s">
        <v>39</v>
      </c>
      <c r="G5619">
        <v>-161.7998</v>
      </c>
      <c r="H5619" s="1">
        <v>-4.1552149999999998E-6</v>
      </c>
      <c r="I5619">
        <v>137.93389999999999</v>
      </c>
      <c r="J5619">
        <v>-173.30599999999899</v>
      </c>
      <c r="K5619">
        <v>1.0914649999999999</v>
      </c>
      <c r="L5619">
        <v>136.96289999999999</v>
      </c>
      <c r="M5619">
        <v>0.908612999999999</v>
      </c>
      <c r="N5619">
        <v>0</v>
      </c>
      <c r="O5619">
        <v>0.4171607</v>
      </c>
      <c r="P5619">
        <v>0.96763330000000003</v>
      </c>
      <c r="Q5619">
        <v>3.7857710000000003E-2</v>
      </c>
      <c r="R5619">
        <v>0.249505</v>
      </c>
      <c r="S5619">
        <v>3.0443419999999999</v>
      </c>
      <c r="T5619">
        <v>-0.28271629999999998</v>
      </c>
      <c r="U5619">
        <v>0.28085329999999997</v>
      </c>
      <c r="V5619">
        <v>0.17941770000000001</v>
      </c>
      <c r="W5619">
        <v>4.9416740000000001E-2</v>
      </c>
      <c r="X5619">
        <v>0.98253109999999999</v>
      </c>
      <c r="Y5619">
        <v>0.32892579999999999</v>
      </c>
      <c r="Z5619">
        <v>-5.2685210000000003E-2</v>
      </c>
      <c r="AA5619">
        <v>0.94288499999999997</v>
      </c>
      <c r="AB5619">
        <v>40</v>
      </c>
      <c r="AC5619">
        <v>11.5061999999999</v>
      </c>
      <c r="AD5619">
        <v>-1.091469155215</v>
      </c>
      <c r="AE5619">
        <v>0.97100000000000297</v>
      </c>
      <c r="AF5619">
        <v>3.8837537973312899</v>
      </c>
      <c r="AG5619">
        <v>-1.091469155215</v>
      </c>
      <c r="AH5619">
        <v>10.765727170371299</v>
      </c>
      <c r="AI5619">
        <v>95.447695102825406</v>
      </c>
      <c r="AJ5619">
        <v>70.163007653557301</v>
      </c>
      <c r="AK5619">
        <v>11.4967704152923</v>
      </c>
    </row>
    <row r="5620" spans="1:37" x14ac:dyDescent="0.2">
      <c r="A5620" t="str">
        <f>"20200111154211949"</f>
        <v>20200111154211949</v>
      </c>
      <c r="B5620" t="str">
        <f>"1578728531942059"</f>
        <v>1578728531942059</v>
      </c>
      <c r="C5620" t="s">
        <v>37</v>
      </c>
      <c r="D5620">
        <v>5.891775</v>
      </c>
      <c r="E5620">
        <v>0.56649830000000001</v>
      </c>
      <c r="F5620" t="s">
        <v>39</v>
      </c>
      <c r="G5620">
        <v>-161.1994</v>
      </c>
      <c r="H5620" s="1">
        <v>-4.4479570000000003E-6</v>
      </c>
      <c r="I5620">
        <v>137.88329999999999</v>
      </c>
      <c r="J5620">
        <v>-173.0624</v>
      </c>
      <c r="K5620">
        <v>1.0914729999999999</v>
      </c>
      <c r="L5620">
        <v>137.07149999999999</v>
      </c>
      <c r="M5620">
        <v>0.91335279999999996</v>
      </c>
      <c r="N5620">
        <v>0</v>
      </c>
      <c r="O5620">
        <v>0.40667890000000001</v>
      </c>
      <c r="P5620">
        <v>0.96971200000000002</v>
      </c>
      <c r="Q5620">
        <v>3.7889779999999998E-2</v>
      </c>
      <c r="R5620">
        <v>0.24129439999999999</v>
      </c>
      <c r="S5620">
        <v>3.0512999999999999</v>
      </c>
      <c r="T5620">
        <v>-0.27509129999999998</v>
      </c>
      <c r="U5620">
        <v>0.2319946</v>
      </c>
      <c r="V5620">
        <v>0.176440299999999</v>
      </c>
      <c r="W5620">
        <v>4.95839E-2</v>
      </c>
      <c r="X5620">
        <v>0.98306170000000004</v>
      </c>
      <c r="Y5620">
        <v>0.33344409999999902</v>
      </c>
      <c r="Z5620">
        <v>-5.0557400000000002E-2</v>
      </c>
      <c r="AA5620">
        <v>0.94141330000000001</v>
      </c>
      <c r="AB5620">
        <v>39</v>
      </c>
      <c r="AC5620">
        <v>11.863</v>
      </c>
      <c r="AD5620">
        <v>-1.091477447957</v>
      </c>
      <c r="AE5620">
        <v>0.81180000000000496</v>
      </c>
      <c r="AF5620">
        <v>4.0496649577153701</v>
      </c>
      <c r="AG5620">
        <v>-1.091477447957</v>
      </c>
      <c r="AH5620">
        <v>11.0741651930534</v>
      </c>
      <c r="AI5620">
        <v>95.288548699669093</v>
      </c>
      <c r="AJ5620">
        <v>69.913251514924198</v>
      </c>
      <c r="AK5620">
        <v>11.841800708177001</v>
      </c>
    </row>
    <row r="5621" spans="1:37" x14ac:dyDescent="0.2">
      <c r="A5621" t="str">
        <f>"20200111154211964"</f>
        <v>20200111154211964</v>
      </c>
      <c r="B5621" t="str">
        <f>"1578728531951819"</f>
        <v>1578728531951819</v>
      </c>
      <c r="C5621" t="s">
        <v>37</v>
      </c>
      <c r="D5621">
        <v>5.8849650000000002</v>
      </c>
      <c r="E5621">
        <v>0.56686700000000001</v>
      </c>
      <c r="F5621" t="s">
        <v>39</v>
      </c>
      <c r="G5621">
        <v>-160.905</v>
      </c>
      <c r="H5621" s="1">
        <v>-4.5885950000000001E-6</v>
      </c>
      <c r="I5621">
        <v>137.8751</v>
      </c>
      <c r="J5621">
        <v>-172.833</v>
      </c>
      <c r="K5621">
        <v>1.091485</v>
      </c>
      <c r="L5621">
        <v>137.1711</v>
      </c>
      <c r="M5621">
        <v>0.91770110000000005</v>
      </c>
      <c r="N5621">
        <v>0</v>
      </c>
      <c r="O5621">
        <v>0.3967696</v>
      </c>
      <c r="P5621">
        <v>0.97182999999999997</v>
      </c>
      <c r="Q5621">
        <v>3.8194039999999999E-2</v>
      </c>
      <c r="R5621">
        <v>0.23256750000000001</v>
      </c>
      <c r="S5621">
        <v>3.0541839999999998</v>
      </c>
      <c r="T5621">
        <v>-0.27420309999999998</v>
      </c>
      <c r="U5621">
        <v>0.20187379999999999</v>
      </c>
      <c r="V5621">
        <v>0.17464540000000001</v>
      </c>
      <c r="W5621">
        <v>4.9965370000000002E-2</v>
      </c>
      <c r="X5621">
        <v>0.98336279999999998</v>
      </c>
      <c r="Y5621">
        <v>0.33261279999999999</v>
      </c>
      <c r="Z5621">
        <v>-4.9526729999999998E-2</v>
      </c>
      <c r="AA5621">
        <v>0.94176209999999905</v>
      </c>
      <c r="AB5621">
        <v>39</v>
      </c>
      <c r="AC5621">
        <v>11.9279999999999</v>
      </c>
      <c r="AD5621">
        <v>-1.091489588595</v>
      </c>
      <c r="AE5621">
        <v>0.70400000000000695</v>
      </c>
      <c r="AF5621">
        <v>4.0535961496826003</v>
      </c>
      <c r="AG5621">
        <v>-1.091489588595</v>
      </c>
      <c r="AH5621">
        <v>11.134987832278499</v>
      </c>
      <c r="AI5621">
        <v>95.262651936551094</v>
      </c>
      <c r="AJ5621">
        <v>69.996401424341499</v>
      </c>
      <c r="AK5621">
        <v>11.9000397180733</v>
      </c>
    </row>
    <row r="5622" spans="1:37" x14ac:dyDescent="0.2">
      <c r="A5622" t="str">
        <f>"20200111154211978"</f>
        <v>20200111154211978</v>
      </c>
      <c r="B5622" t="str">
        <f>"1578728531971341"</f>
        <v>1578728531971341</v>
      </c>
      <c r="C5622" t="s">
        <v>37</v>
      </c>
      <c r="D5622">
        <v>5.8751169999999897</v>
      </c>
      <c r="E5622">
        <v>0.56560549999999998</v>
      </c>
      <c r="F5622" t="s">
        <v>39</v>
      </c>
      <c r="G5622">
        <v>-160.7191</v>
      </c>
      <c r="H5622" s="1">
        <v>-4.6810349999999996E-6</v>
      </c>
      <c r="I5622">
        <v>137.8494</v>
      </c>
      <c r="J5622">
        <v>-172.59020000000001</v>
      </c>
      <c r="K5622">
        <v>1.0915010000000001</v>
      </c>
      <c r="L5622">
        <v>137.2723</v>
      </c>
      <c r="M5622">
        <v>0.92217959999999999</v>
      </c>
      <c r="N5622">
        <v>0</v>
      </c>
      <c r="O5622">
        <v>0.38624720000000001</v>
      </c>
      <c r="P5622">
        <v>0.97396349999999998</v>
      </c>
      <c r="Q5622">
        <v>3.888776E-2</v>
      </c>
      <c r="R5622">
        <v>0.22334490000000001</v>
      </c>
      <c r="S5622">
        <v>3.0568080000000002</v>
      </c>
      <c r="T5622">
        <v>-0.27542640000000002</v>
      </c>
      <c r="U5622">
        <v>0.1711578</v>
      </c>
      <c r="V5622">
        <v>0.1727387</v>
      </c>
      <c r="W5622">
        <v>5.0739729999999997E-2</v>
      </c>
      <c r="X5622">
        <v>0.98365990000000003</v>
      </c>
      <c r="Y5622">
        <v>0.33133579999999901</v>
      </c>
      <c r="Z5622">
        <v>-4.8801579999999997E-2</v>
      </c>
      <c r="AA5622">
        <v>0.94225000000000003</v>
      </c>
      <c r="AB5622">
        <v>39</v>
      </c>
      <c r="AC5622">
        <v>11.8711</v>
      </c>
      <c r="AD5622">
        <v>-1.0915056810349999</v>
      </c>
      <c r="AE5622">
        <v>0.57710000000000095</v>
      </c>
      <c r="AF5622">
        <v>4.0198911971330196</v>
      </c>
      <c r="AG5622">
        <v>-1.0915056810349999</v>
      </c>
      <c r="AH5622">
        <v>11.078969934802901</v>
      </c>
      <c r="AI5622">
        <v>95.291217247485605</v>
      </c>
      <c r="AJ5622">
        <v>70.057213507658801</v>
      </c>
      <c r="AK5622">
        <v>11.8361516002789</v>
      </c>
    </row>
    <row r="5623" spans="1:37" x14ac:dyDescent="0.2">
      <c r="A5623" t="str">
        <f>"20200111154211993"</f>
        <v>20200111154211993</v>
      </c>
      <c r="B5623" t="str">
        <f>"1578728531982075"</f>
        <v>1578728531982075</v>
      </c>
      <c r="C5623" t="s">
        <v>37</v>
      </c>
      <c r="D5623">
        <v>5.8766530000000001</v>
      </c>
      <c r="E5623">
        <v>0.56543959999999904</v>
      </c>
      <c r="F5623" t="s">
        <v>39</v>
      </c>
      <c r="G5623">
        <v>-160.6902</v>
      </c>
      <c r="H5623" s="1">
        <v>-4.6924579999999997E-6</v>
      </c>
      <c r="I5623">
        <v>137.8621</v>
      </c>
      <c r="J5623">
        <v>-172.3519</v>
      </c>
      <c r="K5623">
        <v>1.0915139999999901</v>
      </c>
      <c r="L5623">
        <v>137.36859999999999</v>
      </c>
      <c r="M5623">
        <v>0.92645449999999996</v>
      </c>
      <c r="N5623">
        <v>0</v>
      </c>
      <c r="O5623">
        <v>0.37587859999999901</v>
      </c>
      <c r="P5623">
        <v>0.975985399999999</v>
      </c>
      <c r="Q5623">
        <v>4.0000599999999997E-2</v>
      </c>
      <c r="R5623">
        <v>0.21413209999999999</v>
      </c>
      <c r="S5623">
        <v>3.0566409999999999</v>
      </c>
      <c r="T5623">
        <v>-0.28036430000000001</v>
      </c>
      <c r="U5623">
        <v>0.15148929999999999</v>
      </c>
      <c r="V5623">
        <v>0.17103119999999999</v>
      </c>
      <c r="W5623">
        <v>5.1923110000000001E-2</v>
      </c>
      <c r="X5623">
        <v>0.98389649999999995</v>
      </c>
      <c r="Y5623">
        <v>0.32675490000000001</v>
      </c>
      <c r="Z5623">
        <v>-4.8599919999999998E-2</v>
      </c>
      <c r="AA5623">
        <v>0.94385869999999905</v>
      </c>
      <c r="AB5623">
        <v>39</v>
      </c>
      <c r="AC5623">
        <v>11.6616999999999</v>
      </c>
      <c r="AD5623">
        <v>-1.09151869245799</v>
      </c>
      <c r="AE5623">
        <v>0.49350000000001099</v>
      </c>
      <c r="AF5623">
        <v>3.8929147374661301</v>
      </c>
      <c r="AG5623">
        <v>-1.09151869245799</v>
      </c>
      <c r="AH5623">
        <v>10.896424836144</v>
      </c>
      <c r="AI5623">
        <v>95.388917822571798</v>
      </c>
      <c r="AJ5623">
        <v>70.339953165058702</v>
      </c>
      <c r="AK5623">
        <v>11.622317859140701</v>
      </c>
    </row>
    <row r="5624" spans="1:37" x14ac:dyDescent="0.2">
      <c r="A5624" t="str">
        <f>"20200111154212008"</f>
        <v>20200111154212008</v>
      </c>
      <c r="B5624" t="str">
        <f>"1578728532001595"</f>
        <v>1578728532001595</v>
      </c>
      <c r="C5624" t="s">
        <v>37</v>
      </c>
      <c r="D5624">
        <v>5.9263949999999896</v>
      </c>
      <c r="E5624">
        <v>0.56483459999999996</v>
      </c>
      <c r="F5624" t="s">
        <v>39</v>
      </c>
      <c r="G5624">
        <v>-160.21539999999999</v>
      </c>
      <c r="H5624" s="1">
        <v>-4.9170399999999999E-6</v>
      </c>
      <c r="I5624">
        <v>137.8613</v>
      </c>
      <c r="J5624">
        <v>-172.1241</v>
      </c>
      <c r="K5624">
        <v>1.0915330000000001</v>
      </c>
      <c r="L5624">
        <v>137.4581</v>
      </c>
      <c r="M5624">
        <v>0.93042939999999996</v>
      </c>
      <c r="N5624">
        <v>0</v>
      </c>
      <c r="O5624">
        <v>0.36592999999999998</v>
      </c>
      <c r="P5624">
        <v>0.97744759999999997</v>
      </c>
      <c r="Q5624">
        <v>4.2221880000000003E-2</v>
      </c>
      <c r="R5624">
        <v>0.2069154</v>
      </c>
      <c r="S5624">
        <v>3.0578609999999999</v>
      </c>
      <c r="T5624">
        <v>-0.27501389999999998</v>
      </c>
      <c r="U5624">
        <v>0.12414549999999901</v>
      </c>
      <c r="V5624">
        <v>0.16782249999999899</v>
      </c>
      <c r="W5624">
        <v>5.4288219999999998E-2</v>
      </c>
      <c r="X5624">
        <v>0.98432129999999995</v>
      </c>
      <c r="Y5624">
        <v>0.32522859999999998</v>
      </c>
      <c r="Z5624">
        <v>-4.677514E-2</v>
      </c>
      <c r="AA5624">
        <v>0.94447789999999998</v>
      </c>
      <c r="AB5624">
        <v>39</v>
      </c>
      <c r="AC5624">
        <v>11.9087</v>
      </c>
      <c r="AD5624">
        <v>-1.0915379170399999</v>
      </c>
      <c r="AE5624">
        <v>0.403199999999998</v>
      </c>
      <c r="AF5624">
        <v>3.9502416250829699</v>
      </c>
      <c r="AG5624">
        <v>-1.0915379170399999</v>
      </c>
      <c r="AH5624">
        <v>11.136518753817199</v>
      </c>
      <c r="AI5624">
        <v>95.277726000156207</v>
      </c>
      <c r="AJ5624">
        <v>70.469862902724998</v>
      </c>
      <c r="AK5624">
        <v>11.8666724010987</v>
      </c>
    </row>
    <row r="5625" spans="1:37" x14ac:dyDescent="0.2">
      <c r="A5625" t="str">
        <f>"20200111154212022"</f>
        <v>20200111154212022</v>
      </c>
      <c r="B5625" t="str">
        <f>"1578728532011355"</f>
        <v>1578728532011355</v>
      </c>
      <c r="C5625" t="s">
        <v>37</v>
      </c>
      <c r="D5625">
        <v>5.8878879999999896</v>
      </c>
      <c r="E5625">
        <v>0.56451770000000001</v>
      </c>
      <c r="F5625" t="s">
        <v>39</v>
      </c>
      <c r="G5625">
        <v>-159.8776</v>
      </c>
      <c r="H5625" s="1">
        <v>-4.879551E-7</v>
      </c>
      <c r="I5625">
        <v>137.88650000000001</v>
      </c>
      <c r="J5625">
        <v>-171.86760000000001</v>
      </c>
      <c r="K5625">
        <v>1.0915459999999999</v>
      </c>
      <c r="L5625">
        <v>137.5556</v>
      </c>
      <c r="M5625">
        <v>0.93477399999999999</v>
      </c>
      <c r="N5625">
        <v>0</v>
      </c>
      <c r="O5625">
        <v>0.35468519999999998</v>
      </c>
      <c r="P5625">
        <v>0.97942530000000005</v>
      </c>
      <c r="Q5625">
        <v>4.3046920000000002E-2</v>
      </c>
      <c r="R5625">
        <v>0.1971619</v>
      </c>
      <c r="S5625">
        <v>3.0583649999999998</v>
      </c>
      <c r="T5625">
        <v>-0.27259070000000002</v>
      </c>
      <c r="U5625">
        <v>0.106979399999999</v>
      </c>
      <c r="V5625">
        <v>0.16578909999999999</v>
      </c>
      <c r="W5625">
        <v>5.51957E-2</v>
      </c>
      <c r="X5625">
        <v>0.98461540000000003</v>
      </c>
      <c r="Y5625">
        <v>0.31924130000000001</v>
      </c>
      <c r="Z5625">
        <v>-4.5161689999999997E-2</v>
      </c>
      <c r="AA5625">
        <v>0.94659669999999896</v>
      </c>
      <c r="AB5625">
        <v>39</v>
      </c>
      <c r="AC5625">
        <v>11.99</v>
      </c>
      <c r="AD5625">
        <v>-1.0915464879551</v>
      </c>
      <c r="AE5625">
        <v>0.33090000000001302</v>
      </c>
      <c r="AF5625">
        <v>3.9117442140889702</v>
      </c>
      <c r="AG5625">
        <v>-1.0915464879551</v>
      </c>
      <c r="AH5625">
        <v>11.2345085798918</v>
      </c>
      <c r="AI5625">
        <v>95.242613084741905</v>
      </c>
      <c r="AJ5625">
        <v>70.802390664858194</v>
      </c>
      <c r="AK5625">
        <v>11.9460202395395</v>
      </c>
    </row>
    <row r="5626" spans="1:37" x14ac:dyDescent="0.2">
      <c r="A5626" t="str">
        <f>"20200111154212036"</f>
        <v>20200111154212036</v>
      </c>
      <c r="B5626" t="str">
        <f>"1578728532031851"</f>
        <v>1578728532031851</v>
      </c>
      <c r="C5626" t="s">
        <v>37</v>
      </c>
      <c r="D5626">
        <v>5.9176000000000002</v>
      </c>
      <c r="E5626">
        <v>0.56397299999999995</v>
      </c>
      <c r="F5626" t="s">
        <v>39</v>
      </c>
      <c r="G5626">
        <v>-159.4879</v>
      </c>
      <c r="H5626" s="1">
        <v>-6.2354559999999997E-7</v>
      </c>
      <c r="I5626">
        <v>137.87520000000001</v>
      </c>
      <c r="J5626">
        <v>-171.63130000000001</v>
      </c>
      <c r="K5626">
        <v>1.0915569999999899</v>
      </c>
      <c r="L5626">
        <v>137.6413</v>
      </c>
      <c r="M5626">
        <v>0.93865229999999999</v>
      </c>
      <c r="N5626">
        <v>0</v>
      </c>
      <c r="O5626">
        <v>0.34429189999999998</v>
      </c>
      <c r="P5626">
        <v>0.98108390000000001</v>
      </c>
      <c r="Q5626">
        <v>4.3255139999999997E-2</v>
      </c>
      <c r="R5626">
        <v>0.1886892</v>
      </c>
      <c r="S5626">
        <v>3.0589750000000002</v>
      </c>
      <c r="T5626">
        <v>-0.26971659999999997</v>
      </c>
      <c r="U5626">
        <v>7.8979489999999999E-2</v>
      </c>
      <c r="V5626">
        <v>0.16337879999999999</v>
      </c>
      <c r="W5626">
        <v>5.550517E-2</v>
      </c>
      <c r="X5626">
        <v>0.98500080000000001</v>
      </c>
      <c r="Y5626">
        <v>0.31749529999999998</v>
      </c>
      <c r="Z5626">
        <v>-4.3754599999999998E-2</v>
      </c>
      <c r="AA5626">
        <v>0.94724979999999903</v>
      </c>
      <c r="AB5626">
        <v>39</v>
      </c>
      <c r="AC5626">
        <v>12.1434</v>
      </c>
      <c r="AD5626">
        <v>-1.0915576235455999</v>
      </c>
      <c r="AE5626">
        <v>0.23390000000000499</v>
      </c>
      <c r="AF5626">
        <v>3.93036034020498</v>
      </c>
      <c r="AG5626">
        <v>-1.0915576235455999</v>
      </c>
      <c r="AH5626">
        <v>11.389236486742</v>
      </c>
      <c r="AI5626">
        <v>95.176761301781795</v>
      </c>
      <c r="AJ5626">
        <v>70.960738618399404</v>
      </c>
      <c r="AK5626">
        <v>12.097683174902199</v>
      </c>
    </row>
    <row r="5627" spans="1:37" x14ac:dyDescent="0.2">
      <c r="A5627" t="str">
        <f>"20200111154212051"</f>
        <v>20200111154212051</v>
      </c>
      <c r="B5627" t="str">
        <f>"1578728532041611"</f>
        <v>1578728532041611</v>
      </c>
      <c r="C5627" t="s">
        <v>37</v>
      </c>
      <c r="D5627">
        <v>5.9430259999999997</v>
      </c>
      <c r="E5627">
        <v>0.56359289999999995</v>
      </c>
      <c r="F5627" t="s">
        <v>39</v>
      </c>
      <c r="G5627">
        <v>-159.14959999999999</v>
      </c>
      <c r="H5627" s="1">
        <v>-7.3951870000000004E-7</v>
      </c>
      <c r="I5627">
        <v>137.87200000000001</v>
      </c>
      <c r="J5627">
        <v>-171.3819</v>
      </c>
      <c r="K5627">
        <v>1.091569</v>
      </c>
      <c r="L5627">
        <v>137.72899999999899</v>
      </c>
      <c r="M5627">
        <v>0.942617499999999</v>
      </c>
      <c r="N5627">
        <v>0</v>
      </c>
      <c r="O5627">
        <v>0.33328350000000001</v>
      </c>
      <c r="P5627">
        <v>0.98204290000000005</v>
      </c>
      <c r="Q5627">
        <v>4.323026E-2</v>
      </c>
      <c r="R5627">
        <v>0.18363840000000001</v>
      </c>
      <c r="S5627">
        <v>3.05876199999999</v>
      </c>
      <c r="T5627">
        <v>-0.26749679999999998</v>
      </c>
      <c r="U5627">
        <v>5.654907E-2</v>
      </c>
      <c r="V5627">
        <v>0.15691429999999901</v>
      </c>
      <c r="W5627">
        <v>5.5777029999999998E-2</v>
      </c>
      <c r="X5627">
        <v>0.98603589999999997</v>
      </c>
      <c r="Y5627">
        <v>0.31343870000000001</v>
      </c>
      <c r="Z5627">
        <v>-4.2321159999999997E-2</v>
      </c>
      <c r="AA5627">
        <v>0.94866489999999903</v>
      </c>
      <c r="AB5627">
        <v>39</v>
      </c>
      <c r="AC5627">
        <v>12.2323</v>
      </c>
      <c r="AD5627">
        <v>-1.0915697395186901</v>
      </c>
      <c r="AE5627">
        <v>0.14300000000002899</v>
      </c>
      <c r="AF5627">
        <v>3.9116619428753698</v>
      </c>
      <c r="AG5627">
        <v>-1.0915697395186901</v>
      </c>
      <c r="AH5627">
        <v>11.488847900009601</v>
      </c>
      <c r="AI5627">
        <v>95.139413351279202</v>
      </c>
      <c r="AJ5627">
        <v>71.1975907683412</v>
      </c>
      <c r="AK5627">
        <v>12.185493413117401</v>
      </c>
    </row>
    <row r="5628" spans="1:37" x14ac:dyDescent="0.2">
      <c r="A5628" t="str">
        <f>"20200111154212066"</f>
        <v>20200111154212066</v>
      </c>
      <c r="B5628" t="str">
        <f>"1578728532062108"</f>
        <v>1578728532062108</v>
      </c>
      <c r="C5628" t="s">
        <v>37</v>
      </c>
      <c r="D5628">
        <v>5.9043789999999996</v>
      </c>
      <c r="E5628">
        <v>0.56327709999999998</v>
      </c>
      <c r="F5628" t="s">
        <v>39</v>
      </c>
      <c r="G5628">
        <v>-158.79220000000001</v>
      </c>
      <c r="H5628" s="1">
        <v>-8.5250179999999996E-7</v>
      </c>
      <c r="I5628">
        <v>137.90450000000001</v>
      </c>
      <c r="J5628">
        <v>-171.13849999999999</v>
      </c>
      <c r="K5628">
        <v>1.0915779999999999</v>
      </c>
      <c r="L5628">
        <v>137.8116</v>
      </c>
      <c r="M5628">
        <v>0.94635930000000001</v>
      </c>
      <c r="N5628">
        <v>0</v>
      </c>
      <c r="O5628">
        <v>0.32250649999999997</v>
      </c>
      <c r="P5628">
        <v>0.98346669999999903</v>
      </c>
      <c r="Q5628">
        <v>4.3647970000000001E-2</v>
      </c>
      <c r="R5628">
        <v>0.1757502</v>
      </c>
      <c r="S5628">
        <v>3.0585330000000002</v>
      </c>
      <c r="T5628">
        <v>-0.2651848</v>
      </c>
      <c r="U5628">
        <v>4.2663569999999998E-2</v>
      </c>
      <c r="V5628">
        <v>0.15358840000000001</v>
      </c>
      <c r="W5628">
        <v>5.6338810000000003E-2</v>
      </c>
      <c r="X5628">
        <v>0.9865275</v>
      </c>
      <c r="Y5628">
        <v>0.30701089999999998</v>
      </c>
      <c r="Z5628">
        <v>-4.0798420000000002E-2</v>
      </c>
      <c r="AA5628">
        <v>0.95083109999999904</v>
      </c>
      <c r="AB5628">
        <v>39</v>
      </c>
      <c r="AC5628">
        <v>12.3462999999999</v>
      </c>
      <c r="AD5628">
        <v>-1.0915788525018</v>
      </c>
      <c r="AE5628">
        <v>9.2900000000014402E-2</v>
      </c>
      <c r="AF5628">
        <v>3.86440571753745</v>
      </c>
      <c r="AG5628">
        <v>-1.0915788525018</v>
      </c>
      <c r="AH5628">
        <v>11.625432743889199</v>
      </c>
      <c r="AI5628">
        <v>95.091722312167704</v>
      </c>
      <c r="AJ5628">
        <v>71.612696593940697</v>
      </c>
      <c r="AK5628">
        <v>12.2994252883481</v>
      </c>
    </row>
    <row r="5629" spans="1:37" x14ac:dyDescent="0.2">
      <c r="A5629" t="str">
        <f>"20200111154212080"</f>
        <v>20200111154212080</v>
      </c>
      <c r="B5629" t="str">
        <f>"1578728532071867"</f>
        <v>1578728532071867</v>
      </c>
      <c r="C5629" t="s">
        <v>37</v>
      </c>
      <c r="D5629">
        <v>5.9684569999999999</v>
      </c>
      <c r="E5629">
        <v>0.56310490000000002</v>
      </c>
      <c r="F5629" t="s">
        <v>39</v>
      </c>
      <c r="G5629">
        <v>-158.34219999999999</v>
      </c>
      <c r="H5629" s="1">
        <v>-1.0077539999999999E-6</v>
      </c>
      <c r="I5629">
        <v>137.8965</v>
      </c>
      <c r="J5629">
        <v>-170.88310000000001</v>
      </c>
      <c r="K5629">
        <v>1.091588</v>
      </c>
      <c r="L5629">
        <v>137.89490000000001</v>
      </c>
      <c r="M5629">
        <v>0.95015139999999998</v>
      </c>
      <c r="N5629">
        <v>0</v>
      </c>
      <c r="O5629">
        <v>0.3111585</v>
      </c>
      <c r="P5629">
        <v>0.98495869999999996</v>
      </c>
      <c r="Q5629">
        <v>4.3972810000000001E-2</v>
      </c>
      <c r="R5629">
        <v>0.1671009</v>
      </c>
      <c r="S5629">
        <v>3.0583800000000001</v>
      </c>
      <c r="T5629">
        <v>-0.26089229999999902</v>
      </c>
      <c r="U5629">
        <v>2.029419E-2</v>
      </c>
      <c r="V5629">
        <v>0.15045939999999999</v>
      </c>
      <c r="W5629">
        <v>5.679584E-2</v>
      </c>
      <c r="X5629">
        <v>0.98698339999999996</v>
      </c>
      <c r="Y5629">
        <v>0.30270730000000001</v>
      </c>
      <c r="Z5629">
        <v>-3.904262E-2</v>
      </c>
      <c r="AA5629">
        <v>0.95228359999999901</v>
      </c>
      <c r="AB5629">
        <v>39</v>
      </c>
      <c r="AC5629">
        <v>12.540900000000001</v>
      </c>
      <c r="AD5629">
        <v>-1.091589007754</v>
      </c>
      <c r="AE5629">
        <v>1.59999999999627E-3</v>
      </c>
      <c r="AF5629">
        <v>3.8721169542301799</v>
      </c>
      <c r="AG5629">
        <v>-1.091589007754</v>
      </c>
      <c r="AH5629">
        <v>11.8289714154064</v>
      </c>
      <c r="AI5629">
        <v>95.012117799606898</v>
      </c>
      <c r="AJ5629">
        <v>71.874564430736896</v>
      </c>
      <c r="AK5629">
        <v>12.494375575257299</v>
      </c>
    </row>
    <row r="5630" spans="1:37" x14ac:dyDescent="0.2">
      <c r="A5630" t="str">
        <f>"20200111154212095"</f>
        <v>20200111154212095</v>
      </c>
      <c r="B5630" t="str">
        <f>"1578728532081628"</f>
        <v>1578728532081628</v>
      </c>
      <c r="C5630" t="s">
        <v>37</v>
      </c>
      <c r="D5630">
        <v>5.9384779999999999</v>
      </c>
      <c r="E5630">
        <v>0.56292880000000001</v>
      </c>
      <c r="F5630" t="s">
        <v>39</v>
      </c>
      <c r="G5630">
        <v>-157.98500000000001</v>
      </c>
      <c r="H5630" s="1">
        <v>-1.155931E-6</v>
      </c>
      <c r="I5630">
        <v>137.87309999999999</v>
      </c>
      <c r="J5630">
        <v>-170.6643</v>
      </c>
      <c r="K5630">
        <v>1.0915979999999901</v>
      </c>
      <c r="L5630">
        <v>137.96289999999999</v>
      </c>
      <c r="M5630">
        <v>0.95328969999999902</v>
      </c>
      <c r="N5630">
        <v>0</v>
      </c>
      <c r="O5630">
        <v>0.30140809999999901</v>
      </c>
      <c r="P5630">
        <v>0.98558279999999998</v>
      </c>
      <c r="Q5630">
        <v>4.5073130000000003E-2</v>
      </c>
      <c r="R5630">
        <v>0.16308</v>
      </c>
      <c r="S5630">
        <v>3.058243</v>
      </c>
      <c r="T5630">
        <v>-0.2588239</v>
      </c>
      <c r="U5630">
        <v>-5.172729E-3</v>
      </c>
      <c r="V5630">
        <v>0.1444058</v>
      </c>
      <c r="W5630">
        <v>5.8170670000000001E-2</v>
      </c>
      <c r="X5630">
        <v>0.98780730000000005</v>
      </c>
      <c r="Y5630">
        <v>0.30095139999999998</v>
      </c>
      <c r="Z5630">
        <v>-3.7878189999999999E-2</v>
      </c>
      <c r="AA5630">
        <v>0.95288689999999998</v>
      </c>
      <c r="AB5630">
        <v>39</v>
      </c>
      <c r="AC5630">
        <v>12.6792999999999</v>
      </c>
      <c r="AD5630">
        <v>-1.0915991559309901</v>
      </c>
      <c r="AE5630">
        <v>-8.9799999999996702E-2</v>
      </c>
      <c r="AF5630">
        <v>3.8792633129457799</v>
      </c>
      <c r="AG5630">
        <v>-1.0915991559309901</v>
      </c>
      <c r="AH5630">
        <v>11.973599570922699</v>
      </c>
      <c r="AI5630">
        <v>94.956798241022994</v>
      </c>
      <c r="AJ5630">
        <v>72.048467963442405</v>
      </c>
      <c r="AK5630">
        <v>12.633580618858501</v>
      </c>
    </row>
    <row r="5631" spans="1:37" x14ac:dyDescent="0.2">
      <c r="A5631" t="str">
        <f>"20200111154212115"</f>
        <v>20200111154212115</v>
      </c>
      <c r="B5631" t="str">
        <f>"1578728532111883"</f>
        <v>1578728532111883</v>
      </c>
      <c r="C5631" t="s">
        <v>37</v>
      </c>
      <c r="D5631">
        <v>5.9804170000000001</v>
      </c>
      <c r="E5631">
        <v>0.56192209999999998</v>
      </c>
      <c r="F5631" t="s">
        <v>39</v>
      </c>
      <c r="G5631">
        <v>-157.6156</v>
      </c>
      <c r="H5631" s="1">
        <v>-1.310377E-6</v>
      </c>
      <c r="I5631">
        <v>137.89590000000001</v>
      </c>
      <c r="J5631">
        <v>-170.31030000000001</v>
      </c>
      <c r="K5631">
        <v>1.0916139999999901</v>
      </c>
      <c r="L5631">
        <v>138.06829999999999</v>
      </c>
      <c r="M5631">
        <v>0.95814940000000004</v>
      </c>
      <c r="N5631">
        <v>0</v>
      </c>
      <c r="O5631">
        <v>0.2855857</v>
      </c>
      <c r="P5631">
        <v>0.98710789999999904</v>
      </c>
      <c r="Q5631">
        <v>4.4492230000000001E-2</v>
      </c>
      <c r="R5631">
        <v>0.15374889999999999</v>
      </c>
      <c r="S5631">
        <v>3.0581969999999998</v>
      </c>
      <c r="T5631">
        <v>-0.25583519999999998</v>
      </c>
      <c r="U5631">
        <v>-1.5686039999999998E-2</v>
      </c>
      <c r="V5631">
        <v>0.13737149999999901</v>
      </c>
      <c r="W5631">
        <v>5.7898850000000002E-2</v>
      </c>
      <c r="X5631">
        <v>0.98882599999999998</v>
      </c>
      <c r="Y5631">
        <v>0.28856799999999999</v>
      </c>
      <c r="Z5631">
        <v>-3.5652910000000003E-2</v>
      </c>
      <c r="AA5631">
        <v>0.95679539999999996</v>
      </c>
      <c r="AB5631">
        <v>39</v>
      </c>
      <c r="AC5631">
        <v>12.694699999999999</v>
      </c>
      <c r="AD5631">
        <v>-1.0916153103769899</v>
      </c>
      <c r="AE5631">
        <v>-0.17239999999998101</v>
      </c>
      <c r="AF5631">
        <v>3.7635268017015902</v>
      </c>
      <c r="AG5631">
        <v>-1.0916153103769899</v>
      </c>
      <c r="AH5631">
        <v>12.0276314543509</v>
      </c>
      <c r="AI5631">
        <v>94.950465601652496</v>
      </c>
      <c r="AJ5631">
        <v>72.624747326456202</v>
      </c>
      <c r="AK5631">
        <v>12.649888393763201</v>
      </c>
    </row>
    <row r="5632" spans="1:37" x14ac:dyDescent="0.2">
      <c r="A5632" t="str">
        <f>"20200111154212134"</f>
        <v>20200111154212134</v>
      </c>
      <c r="B5632" t="str">
        <f>"1578728532121643"</f>
        <v>1578728532121643</v>
      </c>
      <c r="C5632" t="s">
        <v>37</v>
      </c>
      <c r="D5632">
        <v>5.9068969999999998</v>
      </c>
      <c r="E5632">
        <v>0.56161110000000003</v>
      </c>
      <c r="F5632" t="s">
        <v>39</v>
      </c>
      <c r="G5632">
        <v>-157.5042</v>
      </c>
      <c r="H5632" s="1">
        <v>-1.3559969999999999E-6</v>
      </c>
      <c r="I5632">
        <v>137.90809999999999</v>
      </c>
      <c r="J5632">
        <v>-170.0102</v>
      </c>
      <c r="K5632">
        <v>1.0916299999999901</v>
      </c>
      <c r="L5632">
        <v>138.1525</v>
      </c>
      <c r="M5632">
        <v>0.96205969999999996</v>
      </c>
      <c r="N5632">
        <v>0</v>
      </c>
      <c r="O5632">
        <v>0.2721249</v>
      </c>
      <c r="P5632">
        <v>0.98853369999999996</v>
      </c>
      <c r="Q5632">
        <v>4.4304110000000001E-2</v>
      </c>
      <c r="R5632">
        <v>0.14435519999999999</v>
      </c>
      <c r="S5632">
        <v>3.0569000000000002</v>
      </c>
      <c r="T5632">
        <v>-0.26057419999999998</v>
      </c>
      <c r="U5632">
        <v>-3.8223269999999997E-2</v>
      </c>
      <c r="V5632">
        <v>0.1329004</v>
      </c>
      <c r="W5632">
        <v>5.7899329999999999E-2</v>
      </c>
      <c r="X5632">
        <v>0.98943680000000001</v>
      </c>
      <c r="Y5632">
        <v>0.28219470000000002</v>
      </c>
      <c r="Z5632">
        <v>-3.4949670000000002E-2</v>
      </c>
      <c r="AA5632">
        <v>0.95872029999999997</v>
      </c>
      <c r="AB5632">
        <v>38</v>
      </c>
      <c r="AC5632">
        <v>12.505999999999901</v>
      </c>
      <c r="AD5632">
        <v>-1.0916313559969999</v>
      </c>
      <c r="AE5632">
        <v>-0.244400000000013</v>
      </c>
      <c r="AF5632">
        <v>3.61152278847511</v>
      </c>
      <c r="AG5632">
        <v>-1.0916313559969999</v>
      </c>
      <c r="AH5632">
        <v>11.8768811984105</v>
      </c>
      <c r="AI5632">
        <v>95.025471411628999</v>
      </c>
      <c r="AJ5632">
        <v>73.086529060258599</v>
      </c>
      <c r="AK5632">
        <v>12.4617439738677</v>
      </c>
    </row>
    <row r="5633" spans="1:37" x14ac:dyDescent="0.2">
      <c r="A5633" t="str">
        <f>"20200111154212149"</f>
        <v>20200111154212149</v>
      </c>
      <c r="B5633" t="str">
        <f>"1578728532142140"</f>
        <v>1578728532142140</v>
      </c>
      <c r="C5633" t="s">
        <v>37</v>
      </c>
      <c r="D5633">
        <v>5.9572649999999996</v>
      </c>
      <c r="E5633">
        <v>0.56128230000000001</v>
      </c>
      <c r="F5633" t="s">
        <v>39</v>
      </c>
      <c r="G5633">
        <v>-157.24719999999999</v>
      </c>
      <c r="H5633" s="1">
        <v>-1.4716279999999999E-6</v>
      </c>
      <c r="I5633">
        <v>137.8777</v>
      </c>
      <c r="J5633">
        <v>-169.7379</v>
      </c>
      <c r="K5633">
        <v>1.0916520000000001</v>
      </c>
      <c r="L5633">
        <v>138.22499999999999</v>
      </c>
      <c r="M5633">
        <v>0.96543959999999995</v>
      </c>
      <c r="N5633">
        <v>0</v>
      </c>
      <c r="O5633">
        <v>0.25988149999999999</v>
      </c>
      <c r="P5633">
        <v>0.98926229999999904</v>
      </c>
      <c r="Q5633">
        <v>4.422558E-2</v>
      </c>
      <c r="R5633">
        <v>0.13929910000000001</v>
      </c>
      <c r="S5633">
        <v>3.0561069999999999</v>
      </c>
      <c r="T5633">
        <v>-0.26139119999999999</v>
      </c>
      <c r="U5633">
        <v>-6.5780640000000001E-2</v>
      </c>
      <c r="V5633">
        <v>0.12537989999999999</v>
      </c>
      <c r="W5633">
        <v>5.8154959999999999E-2</v>
      </c>
      <c r="X5633">
        <v>0.99040289999999997</v>
      </c>
      <c r="Y5633">
        <v>0.27869949999999999</v>
      </c>
      <c r="Z5633">
        <v>-3.3905869999999998E-2</v>
      </c>
      <c r="AA5633">
        <v>0.95977959999999995</v>
      </c>
      <c r="AB5633">
        <v>38</v>
      </c>
      <c r="AC5633">
        <v>12.4907</v>
      </c>
      <c r="AD5633">
        <v>-1.091653471628</v>
      </c>
      <c r="AE5633">
        <v>-0.34729999999998901</v>
      </c>
      <c r="AF5633">
        <v>3.55496114973</v>
      </c>
      <c r="AG5633">
        <v>-1.091653471628</v>
      </c>
      <c r="AH5633">
        <v>11.880406224431299</v>
      </c>
      <c r="AI5633">
        <v>95.030797994674799</v>
      </c>
      <c r="AJ5633">
        <v>73.341296017983694</v>
      </c>
      <c r="AK5633">
        <v>12.448835613651299</v>
      </c>
    </row>
    <row r="5634" spans="1:37" x14ac:dyDescent="0.2">
      <c r="A5634" t="str">
        <f>"20200111154212168"</f>
        <v>20200111154212168</v>
      </c>
      <c r="B5634" t="str">
        <f>"1578728532161660"</f>
        <v>1578728532161660</v>
      </c>
      <c r="C5634" t="s">
        <v>37</v>
      </c>
      <c r="D5634">
        <v>5.9560919999999999</v>
      </c>
      <c r="E5634">
        <v>0.55074400000000001</v>
      </c>
      <c r="F5634" t="s">
        <v>39</v>
      </c>
      <c r="G5634">
        <v>-157.01560000000001</v>
      </c>
      <c r="H5634" s="1">
        <v>-1.56809E-6</v>
      </c>
      <c r="I5634">
        <v>137.8939</v>
      </c>
      <c r="J5634">
        <v>-169.43440000000001</v>
      </c>
      <c r="K5634">
        <v>1.0916760000000001</v>
      </c>
      <c r="L5634">
        <v>138.3013</v>
      </c>
      <c r="M5634">
        <v>0.96901890000000002</v>
      </c>
      <c r="N5634">
        <v>0</v>
      </c>
      <c r="O5634">
        <v>0.246202799999999</v>
      </c>
      <c r="P5634">
        <v>0.99073670000000003</v>
      </c>
      <c r="Q5634">
        <v>4.4932449999999999E-2</v>
      </c>
      <c r="R5634">
        <v>0.1281486</v>
      </c>
      <c r="S5634">
        <v>3.055466</v>
      </c>
      <c r="T5634">
        <v>-0.26217760000000001</v>
      </c>
      <c r="U5634">
        <v>-7.9498289999999999E-2</v>
      </c>
      <c r="V5634">
        <v>0.12254710000000001</v>
      </c>
      <c r="W5634">
        <v>5.896991E-2</v>
      </c>
      <c r="X5634">
        <v>0.99070919999999896</v>
      </c>
      <c r="Y5634">
        <v>0.26949299999999998</v>
      </c>
      <c r="Z5634">
        <v>-3.2478109999999998E-2</v>
      </c>
      <c r="AA5634">
        <v>0.96245449999999999</v>
      </c>
      <c r="AB5634">
        <v>38</v>
      </c>
      <c r="AC5634">
        <v>12.418799999999999</v>
      </c>
      <c r="AD5634">
        <v>-1.0916775680899999</v>
      </c>
      <c r="AE5634">
        <v>-0.40739999999999499</v>
      </c>
      <c r="AF5634">
        <v>3.4265395378212702</v>
      </c>
      <c r="AG5634">
        <v>-1.0916775680899999</v>
      </c>
      <c r="AH5634">
        <v>11.8446271160912</v>
      </c>
      <c r="AI5634">
        <v>95.059555400675507</v>
      </c>
      <c r="AJ5634">
        <v>73.865339473580903</v>
      </c>
      <c r="AK5634">
        <v>12.3785348339844</v>
      </c>
    </row>
    <row r="5635" spans="1:37" x14ac:dyDescent="0.2">
      <c r="A5635" t="str">
        <f>"20200111154212182"</f>
        <v>20200111154212182</v>
      </c>
      <c r="B5635" t="str">
        <f>"1578728532171419"</f>
        <v>1578728532171419</v>
      </c>
      <c r="C5635" t="s">
        <v>37</v>
      </c>
      <c r="D5635">
        <v>5.9522469999999998</v>
      </c>
      <c r="E5635">
        <v>0.55068490000000003</v>
      </c>
      <c r="F5635" t="s">
        <v>39</v>
      </c>
      <c r="G5635">
        <v>-158.61279999999999</v>
      </c>
      <c r="H5635" s="1">
        <v>-8.3778210000000002E-7</v>
      </c>
      <c r="I5635">
        <v>138.18940000000001</v>
      </c>
      <c r="J5635">
        <v>-169.1831</v>
      </c>
      <c r="K5635">
        <v>1.0916969999999999</v>
      </c>
      <c r="L5635">
        <v>138.36150000000001</v>
      </c>
      <c r="M5635">
        <v>0.97183109999999995</v>
      </c>
      <c r="N5635">
        <v>0</v>
      </c>
      <c r="O5635">
        <v>0.23485829999999999</v>
      </c>
      <c r="P5635">
        <v>0.99146650000000003</v>
      </c>
      <c r="Q5635">
        <v>4.5987430000000003E-2</v>
      </c>
      <c r="R5635">
        <v>0.121981399999999</v>
      </c>
      <c r="S5635">
        <v>3.046036</v>
      </c>
      <c r="T5635">
        <v>-0.30727989999999999</v>
      </c>
      <c r="U5635">
        <v>-3.15094E-2</v>
      </c>
      <c r="V5635">
        <v>0.117159999999999</v>
      </c>
      <c r="W5635">
        <v>6.0259840000000002E-2</v>
      </c>
      <c r="X5635">
        <v>0.99128309999999997</v>
      </c>
      <c r="Y5635">
        <v>0.242538</v>
      </c>
      <c r="Z5635">
        <v>-3.5677359999999998E-2</v>
      </c>
      <c r="AA5635">
        <v>0.96948559999999995</v>
      </c>
      <c r="AB5635">
        <v>38</v>
      </c>
      <c r="AC5635">
        <v>10.5703</v>
      </c>
      <c r="AD5635">
        <v>-1.0916978377820901</v>
      </c>
      <c r="AE5635">
        <v>-0.1721</v>
      </c>
      <c r="AF5635">
        <v>2.6223221095029698</v>
      </c>
      <c r="AG5635">
        <v>-1.0916978377820901</v>
      </c>
      <c r="AH5635">
        <v>10.1261182934849</v>
      </c>
      <c r="AI5635">
        <v>95.958233194616298</v>
      </c>
      <c r="AJ5635">
        <v>75.481280972381398</v>
      </c>
      <c r="AK5635">
        <v>10.516969578193899</v>
      </c>
    </row>
    <row r="5636" spans="1:37" x14ac:dyDescent="0.2">
      <c r="A5636" t="str">
        <f>"20200111154212205"</f>
        <v>20200111154212205</v>
      </c>
      <c r="B5636" t="str">
        <f>"1578728532201756"</f>
        <v>1578728532201756</v>
      </c>
      <c r="C5636" t="s">
        <v>37</v>
      </c>
      <c r="D5636">
        <v>5.9986660000000001</v>
      </c>
      <c r="E5636">
        <v>0.55074069999999997</v>
      </c>
      <c r="F5636" t="s">
        <v>39</v>
      </c>
      <c r="G5636">
        <v>-158.23650000000001</v>
      </c>
      <c r="H5636" s="1">
        <v>-9.9283149999999997E-7</v>
      </c>
      <c r="I5636">
        <v>138.1842</v>
      </c>
      <c r="J5636">
        <v>-168.80240000000001</v>
      </c>
      <c r="K5636">
        <v>1.091742</v>
      </c>
      <c r="L5636">
        <v>138.44550000000001</v>
      </c>
      <c r="M5636">
        <v>0.97582639999999998</v>
      </c>
      <c r="N5636">
        <v>0</v>
      </c>
      <c r="O5636">
        <v>0.21766669999999999</v>
      </c>
      <c r="P5636">
        <v>0.99272890000000003</v>
      </c>
      <c r="Q5636">
        <v>4.4606460000000001E-2</v>
      </c>
      <c r="R5636">
        <v>0.1118016</v>
      </c>
      <c r="S5636">
        <v>3.0460050000000001</v>
      </c>
      <c r="T5636">
        <v>-0.30377759999999998</v>
      </c>
      <c r="U5636">
        <v>-4.9301150000000002E-2</v>
      </c>
      <c r="V5636">
        <v>0.109772699999999</v>
      </c>
      <c r="W5636">
        <v>5.9201240000000002E-2</v>
      </c>
      <c r="X5636">
        <v>0.99219210000000002</v>
      </c>
      <c r="Y5636">
        <v>0.23125979999999999</v>
      </c>
      <c r="Z5636">
        <v>-3.303714E-2</v>
      </c>
      <c r="AA5636">
        <v>0.9723309</v>
      </c>
      <c r="AB5636">
        <v>38</v>
      </c>
      <c r="AC5636">
        <v>10.565899999999999</v>
      </c>
      <c r="AD5636">
        <v>-1.0917429928314999</v>
      </c>
      <c r="AE5636">
        <v>-0.26130000000000497</v>
      </c>
      <c r="AF5636">
        <v>2.5283414773449802</v>
      </c>
      <c r="AG5636">
        <v>-1.0917429928314999</v>
      </c>
      <c r="AH5636">
        <v>10.1473061122809</v>
      </c>
      <c r="AI5636">
        <v>95.959952060434006</v>
      </c>
      <c r="AJ5636">
        <v>76.008857175827899</v>
      </c>
      <c r="AK5636">
        <v>10.5143822797535</v>
      </c>
    </row>
    <row r="5637" spans="1:37" x14ac:dyDescent="0.2">
      <c r="A5637" t="str">
        <f>"20200111154212224"</f>
        <v>20200111154212224</v>
      </c>
      <c r="B5637" t="str">
        <f>"1578728532211515"</f>
        <v>1578728532211515</v>
      </c>
      <c r="C5637" t="s">
        <v>37</v>
      </c>
      <c r="D5637">
        <v>6.0513469999999998</v>
      </c>
      <c r="E5637">
        <v>0.55049009999999998</v>
      </c>
      <c r="F5637" t="s">
        <v>39</v>
      </c>
      <c r="G5637">
        <v>-157.81799999999899</v>
      </c>
      <c r="H5637" s="1">
        <v>-1.1784199999999999E-6</v>
      </c>
      <c r="I5637">
        <v>138.15010000000001</v>
      </c>
      <c r="J5637">
        <v>-168.48920000000001</v>
      </c>
      <c r="K5637">
        <v>1.0917939999999999</v>
      </c>
      <c r="L5637">
        <v>138.50970000000001</v>
      </c>
      <c r="M5637">
        <v>0.97887479999999905</v>
      </c>
      <c r="N5637">
        <v>0</v>
      </c>
      <c r="O5637">
        <v>0.2035216</v>
      </c>
      <c r="P5637">
        <v>0.99384869999999903</v>
      </c>
      <c r="Q5637">
        <v>4.384996E-2</v>
      </c>
      <c r="R5637">
        <v>0.10169539999999901</v>
      </c>
      <c r="S5637">
        <v>3.0448</v>
      </c>
      <c r="T5637">
        <v>-0.30262489999999997</v>
      </c>
      <c r="U5637">
        <v>-8.1878660000000006E-2</v>
      </c>
      <c r="V5637">
        <v>0.105471699999999</v>
      </c>
      <c r="W5637">
        <v>5.8626699999999997E-2</v>
      </c>
      <c r="X5637">
        <v>0.99269259999999904</v>
      </c>
      <c r="Y5637">
        <v>0.22769020000000001</v>
      </c>
      <c r="Z5637">
        <v>-3.1370799999999997E-2</v>
      </c>
      <c r="AA5637">
        <v>0.97322819999999899</v>
      </c>
      <c r="AB5637">
        <v>38</v>
      </c>
      <c r="AC5637">
        <v>10.671200000000001</v>
      </c>
      <c r="AD5637">
        <v>-1.09179517842</v>
      </c>
      <c r="AE5637">
        <v>-0.35959999999999998</v>
      </c>
      <c r="AF5637">
        <v>2.4981857618619299</v>
      </c>
      <c r="AG5637">
        <v>-1.09179517842</v>
      </c>
      <c r="AH5637">
        <v>10.2672163939841</v>
      </c>
      <c r="AI5637">
        <v>95.899064052260698</v>
      </c>
      <c r="AJ5637">
        <v>76.3247163815211</v>
      </c>
      <c r="AK5637">
        <v>10.6230259951337</v>
      </c>
    </row>
    <row r="5638" spans="1:37" x14ac:dyDescent="0.2">
      <c r="A5638" t="str">
        <f>"20200111154212238"</f>
        <v>20200111154212238</v>
      </c>
      <c r="B5638" t="str">
        <f>"1578728532232011"</f>
        <v>1578728532232011</v>
      </c>
      <c r="C5638" t="s">
        <v>37</v>
      </c>
      <c r="D5638">
        <v>6.0075349999999998</v>
      </c>
      <c r="E5638">
        <v>0.54994019999999899</v>
      </c>
      <c r="F5638" t="s">
        <v>39</v>
      </c>
      <c r="G5638">
        <v>-157.71950000000001</v>
      </c>
      <c r="H5638" s="1">
        <v>-1.2271719999999999E-6</v>
      </c>
      <c r="I5638">
        <v>138.11359999999999</v>
      </c>
      <c r="J5638">
        <v>-168.226</v>
      </c>
      <c r="K5638">
        <v>1.091847</v>
      </c>
      <c r="L5638">
        <v>138.55940000000001</v>
      </c>
      <c r="M5638">
        <v>0.98127019999999998</v>
      </c>
      <c r="N5638">
        <v>0</v>
      </c>
      <c r="O5638">
        <v>0.19164300000000001</v>
      </c>
      <c r="P5638">
        <v>0.99426009999999998</v>
      </c>
      <c r="Q5638">
        <v>4.3073670000000001E-2</v>
      </c>
      <c r="R5638">
        <v>9.7937200000000002E-2</v>
      </c>
      <c r="S5638">
        <v>3.0436399999999999</v>
      </c>
      <c r="T5638">
        <v>-0.30855399999999999</v>
      </c>
      <c r="U5638">
        <v>-0.1119232</v>
      </c>
      <c r="V5638">
        <v>9.7154039999999997E-2</v>
      </c>
      <c r="W5638">
        <v>5.8220649999999999E-2</v>
      </c>
      <c r="X5638">
        <v>0.99356499999999903</v>
      </c>
      <c r="Y5638">
        <v>0.22548679999999999</v>
      </c>
      <c r="Z5638">
        <v>-3.0698340000000001E-2</v>
      </c>
      <c r="AA5638">
        <v>0.97376249999999998</v>
      </c>
      <c r="AB5638">
        <v>38</v>
      </c>
      <c r="AC5638">
        <v>10.5064999999999</v>
      </c>
      <c r="AD5638">
        <v>-1.091848227172</v>
      </c>
      <c r="AE5638">
        <v>-0.44580000000001901</v>
      </c>
      <c r="AF5638">
        <v>2.4252704742823998</v>
      </c>
      <c r="AG5638">
        <v>-1.091848227172</v>
      </c>
      <c r="AH5638">
        <v>10.117167856647001</v>
      </c>
      <c r="AI5638">
        <v>95.991093677152094</v>
      </c>
      <c r="AJ5638">
        <v>76.519527828134002</v>
      </c>
      <c r="AK5638">
        <v>10.460934703179101</v>
      </c>
    </row>
    <row r="5639" spans="1:37" x14ac:dyDescent="0.2">
      <c r="A5639" t="str">
        <f>"20200111154212261"</f>
        <v>20200111154212261</v>
      </c>
      <c r="B5639" t="str">
        <f>"1578728532251531"</f>
        <v>1578728532251531</v>
      </c>
      <c r="C5639" t="s">
        <v>37</v>
      </c>
      <c r="D5639">
        <v>6.0315120000000002</v>
      </c>
      <c r="E5639">
        <v>0.54965759999999997</v>
      </c>
      <c r="F5639" t="s">
        <v>39</v>
      </c>
      <c r="G5639">
        <v>-157.5009</v>
      </c>
      <c r="H5639" s="1">
        <v>-1.317521E-6</v>
      </c>
      <c r="I5639">
        <v>138.13290000000001</v>
      </c>
      <c r="J5639">
        <v>-167.85839999999999</v>
      </c>
      <c r="K5639">
        <v>1.0919289999999999</v>
      </c>
      <c r="L5639">
        <v>138.62379999999999</v>
      </c>
      <c r="M5639">
        <v>0.98436279999999998</v>
      </c>
      <c r="N5639">
        <v>0</v>
      </c>
      <c r="O5639">
        <v>0.17507120000000001</v>
      </c>
      <c r="P5639">
        <v>0.99520299999999995</v>
      </c>
      <c r="Q5639">
        <v>4.4277379999999998E-2</v>
      </c>
      <c r="R5639">
        <v>8.7239159999999996E-2</v>
      </c>
      <c r="S5639">
        <v>3.0426639999999998</v>
      </c>
      <c r="T5639">
        <v>-0.30975229999999998</v>
      </c>
      <c r="U5639">
        <v>-0.12098689999999999</v>
      </c>
      <c r="V5639">
        <v>9.1116000000000003E-2</v>
      </c>
      <c r="W5639">
        <v>5.9674850000000002E-2</v>
      </c>
      <c r="X5639">
        <v>0.99405069999999995</v>
      </c>
      <c r="Y5639">
        <v>0.212089799999999</v>
      </c>
      <c r="Z5639">
        <v>-2.848297E-2</v>
      </c>
      <c r="AA5639">
        <v>0.97683500000000001</v>
      </c>
      <c r="AB5639">
        <v>38</v>
      </c>
      <c r="AC5639">
        <v>10.3574999999999</v>
      </c>
      <c r="AD5639">
        <v>-1.091930317521</v>
      </c>
      <c r="AE5639">
        <v>-0.49089999999998202</v>
      </c>
      <c r="AF5639">
        <v>2.2717676706679399</v>
      </c>
      <c r="AG5639">
        <v>-1.091930317521</v>
      </c>
      <c r="AH5639">
        <v>10.000616203030701</v>
      </c>
      <c r="AI5639">
        <v>96.077595096558397</v>
      </c>
      <c r="AJ5639">
        <v>77.201724772199299</v>
      </c>
      <c r="AK5639">
        <v>10.3133682474803</v>
      </c>
    </row>
    <row r="5640" spans="1:37" x14ac:dyDescent="0.2">
      <c r="A5640" t="str">
        <f>"20200111154212283"</f>
        <v>20200111154212283</v>
      </c>
      <c r="B5640" t="str">
        <f>"1578728532272028"</f>
        <v>1578728532272028</v>
      </c>
      <c r="C5640" t="s">
        <v>37</v>
      </c>
      <c r="D5640">
        <v>6.0332369999999997</v>
      </c>
      <c r="E5640">
        <v>0.54933460000000001</v>
      </c>
      <c r="F5640" t="s">
        <v>39</v>
      </c>
      <c r="G5640">
        <v>-156.98150000000001</v>
      </c>
      <c r="H5640" s="1">
        <v>-1.549186E-6</v>
      </c>
      <c r="I5640">
        <v>138.083</v>
      </c>
      <c r="J5640">
        <v>-167.48560000000001</v>
      </c>
      <c r="K5640">
        <v>1.092025</v>
      </c>
      <c r="L5640">
        <v>138.6825</v>
      </c>
      <c r="M5640">
        <v>0.98719269999999903</v>
      </c>
      <c r="N5640">
        <v>0</v>
      </c>
      <c r="O5640">
        <v>0.15834379999999901</v>
      </c>
      <c r="P5640">
        <v>0.99613850000000004</v>
      </c>
      <c r="Q5640">
        <v>4.5001670000000001E-2</v>
      </c>
      <c r="R5640">
        <v>7.5386990000000001E-2</v>
      </c>
      <c r="S5640">
        <v>3.04129</v>
      </c>
      <c r="T5640">
        <v>-0.30531419999999998</v>
      </c>
      <c r="U5640">
        <v>-0.1512146</v>
      </c>
      <c r="V5640">
        <v>8.6089449999999998E-2</v>
      </c>
      <c r="W5640">
        <v>6.0599210000000001E-2</v>
      </c>
      <c r="X5640">
        <v>0.99444270000000001</v>
      </c>
      <c r="Y5640">
        <v>0.205388299999999</v>
      </c>
      <c r="Z5640">
        <v>-2.6091940000000001E-2</v>
      </c>
      <c r="AA5640">
        <v>0.97833269999999894</v>
      </c>
      <c r="AB5640">
        <v>38</v>
      </c>
      <c r="AC5640">
        <v>10.5040999999999</v>
      </c>
      <c r="AD5640">
        <v>-1.092026549186</v>
      </c>
      <c r="AE5640">
        <v>-0.59950000000000603</v>
      </c>
      <c r="AF5640">
        <v>2.2314676700128202</v>
      </c>
      <c r="AG5640">
        <v>-1.092026549186</v>
      </c>
      <c r="AH5640">
        <v>10.1670556198354</v>
      </c>
      <c r="AI5640">
        <v>95.989059903666003</v>
      </c>
      <c r="AJ5640">
        <v>77.620990548809004</v>
      </c>
      <c r="AK5640">
        <v>10.466183159264199</v>
      </c>
    </row>
    <row r="5641" spans="1:37" x14ac:dyDescent="0.2">
      <c r="A5641" t="str">
        <f>"20200111154212305"</f>
        <v>20200111154212305</v>
      </c>
      <c r="B5641" t="str">
        <f>"1578728532301299"</f>
        <v>1578728532301299</v>
      </c>
      <c r="C5641" t="s">
        <v>37</v>
      </c>
      <c r="D5641">
        <v>6.0442169999999997</v>
      </c>
      <c r="E5641">
        <v>0.54889889999999997</v>
      </c>
      <c r="F5641" t="s">
        <v>39</v>
      </c>
      <c r="G5641">
        <v>-156.7234</v>
      </c>
      <c r="H5641" s="1">
        <v>-1.669611E-6</v>
      </c>
      <c r="I5641">
        <v>138.0284</v>
      </c>
      <c r="J5641">
        <v>-167.10910000000001</v>
      </c>
      <c r="K5641">
        <v>1.092168</v>
      </c>
      <c r="L5641">
        <v>138.73480000000001</v>
      </c>
      <c r="M5641">
        <v>0.9897338</v>
      </c>
      <c r="N5641">
        <v>0</v>
      </c>
      <c r="O5641">
        <v>0.1416047</v>
      </c>
      <c r="P5641">
        <v>0.99691869999999905</v>
      </c>
      <c r="Q5641">
        <v>4.4256990000000003E-2</v>
      </c>
      <c r="R5641">
        <v>6.4766519999999994E-2</v>
      </c>
      <c r="S5641">
        <v>3.03952</v>
      </c>
      <c r="T5641">
        <v>-0.30841370000000001</v>
      </c>
      <c r="U5641">
        <v>-0.1847229</v>
      </c>
      <c r="V5641">
        <v>7.9793639999999999E-2</v>
      </c>
      <c r="W5641">
        <v>6.0103230000000001E-2</v>
      </c>
      <c r="X5641">
        <v>0.99499780000000004</v>
      </c>
      <c r="Y5641">
        <v>0.19967460000000001</v>
      </c>
      <c r="Z5641">
        <v>-2.4395239999999999E-2</v>
      </c>
      <c r="AA5641">
        <v>0.979558499999999</v>
      </c>
      <c r="AB5641">
        <v>38</v>
      </c>
      <c r="AC5641">
        <v>10.3857</v>
      </c>
      <c r="AD5641">
        <v>-1.0921696696109999</v>
      </c>
      <c r="AE5641">
        <v>-0.70640000000000203</v>
      </c>
      <c r="AF5641">
        <v>2.1465895417566401</v>
      </c>
      <c r="AG5641">
        <v>-1.0921696696109999</v>
      </c>
      <c r="AH5641">
        <v>10.0701077992221</v>
      </c>
      <c r="AI5641">
        <v>96.054918599877695</v>
      </c>
      <c r="AJ5641">
        <v>77.966677268294106</v>
      </c>
      <c r="AK5641">
        <v>10.3541176512511</v>
      </c>
    </row>
    <row r="5642" spans="1:37" x14ac:dyDescent="0.2">
      <c r="A5642" t="str">
        <f>"20200111154212328"</f>
        <v>20200111154212328</v>
      </c>
      <c r="B5642" t="str">
        <f>"1578728532321791"</f>
        <v>1578728532321791</v>
      </c>
      <c r="C5642" t="s">
        <v>37</v>
      </c>
      <c r="D5642">
        <v>6.0506820000000001</v>
      </c>
      <c r="E5642">
        <v>0.54891499999999904</v>
      </c>
      <c r="F5642" t="s">
        <v>39</v>
      </c>
      <c r="G5642">
        <v>-156.3845</v>
      </c>
      <c r="H5642" s="1">
        <v>-1.8242949999999999E-6</v>
      </c>
      <c r="I5642">
        <v>137.9759</v>
      </c>
      <c r="J5642">
        <v>-166.71789999999999</v>
      </c>
      <c r="K5642">
        <v>1.0923369999999999</v>
      </c>
      <c r="L5642">
        <v>138.78210000000001</v>
      </c>
      <c r="M5642">
        <v>0.99204579999999998</v>
      </c>
      <c r="N5642">
        <v>0</v>
      </c>
      <c r="O5642">
        <v>0.124392899999999</v>
      </c>
      <c r="P5642">
        <v>0.99762519999999999</v>
      </c>
      <c r="Q5642">
        <v>4.3119409999999997E-2</v>
      </c>
      <c r="R5642">
        <v>5.3710939999999999E-2</v>
      </c>
      <c r="S5642">
        <v>3.0369570000000001</v>
      </c>
      <c r="T5642">
        <v>-0.30927719999999997</v>
      </c>
      <c r="U5642">
        <v>-0.21487429999999999</v>
      </c>
      <c r="V5642">
        <v>7.346606E-2</v>
      </c>
      <c r="W5642">
        <v>5.9196489999999997E-2</v>
      </c>
      <c r="X5642">
        <v>0.99553930000000002</v>
      </c>
      <c r="Y5642">
        <v>0.19250200000000001</v>
      </c>
      <c r="Z5642">
        <v>-2.237571E-2</v>
      </c>
      <c r="AA5642">
        <v>0.98104139999999995</v>
      </c>
      <c r="AB5642">
        <v>37</v>
      </c>
      <c r="AC5642">
        <v>10.3333999999999</v>
      </c>
      <c r="AD5642">
        <v>-1.0923388242950001</v>
      </c>
      <c r="AE5642">
        <v>-0.80620000000001801</v>
      </c>
      <c r="AF5642">
        <v>2.0626665622370699</v>
      </c>
      <c r="AG5642">
        <v>-1.0923388242950001</v>
      </c>
      <c r="AH5642">
        <v>10.0412793060251</v>
      </c>
      <c r="AI5642">
        <v>96.082474639392302</v>
      </c>
      <c r="AJ5642">
        <v>78.391853324903096</v>
      </c>
      <c r="AK5642">
        <v>10.308980917415701</v>
      </c>
    </row>
    <row r="5643" spans="1:37" x14ac:dyDescent="0.2">
      <c r="A5643" t="str">
        <f>"20200111154212351"</f>
        <v>20200111154212351</v>
      </c>
      <c r="B5643" t="str">
        <f>"1578728532341312"</f>
        <v>1578728532341312</v>
      </c>
      <c r="C5643" t="s">
        <v>37</v>
      </c>
      <c r="D5643">
        <v>6.0390769999999998</v>
      </c>
      <c r="E5643">
        <v>0.54889449999999995</v>
      </c>
      <c r="F5643" t="s">
        <v>38</v>
      </c>
      <c r="G5643">
        <v>-165.7414</v>
      </c>
      <c r="H5643">
        <v>0.99196859999999998</v>
      </c>
      <c r="I5643">
        <v>138.70160000000001</v>
      </c>
      <c r="J5643">
        <v>-166.34690000000001</v>
      </c>
      <c r="K5643">
        <v>1.0925370000000001</v>
      </c>
      <c r="L5643">
        <v>138.82069999999999</v>
      </c>
      <c r="M5643">
        <v>0.99393240000000005</v>
      </c>
      <c r="N5643">
        <v>0</v>
      </c>
      <c r="O5643">
        <v>0.10830719999999899</v>
      </c>
      <c r="P5643">
        <v>0.99820249999999999</v>
      </c>
      <c r="Q5643">
        <v>4.3579689999999997E-2</v>
      </c>
      <c r="R5643">
        <v>4.1149150000000002E-2</v>
      </c>
      <c r="S5643">
        <v>3.0340880000000001</v>
      </c>
      <c r="T5643">
        <v>-0.31176379999999998</v>
      </c>
      <c r="U5643">
        <v>-0.24986269999999999</v>
      </c>
      <c r="V5643">
        <v>6.9853479999999996E-2</v>
      </c>
      <c r="W5643">
        <v>5.9758150000000003E-2</v>
      </c>
      <c r="X5643">
        <v>0.99576569999999998</v>
      </c>
      <c r="Y5643">
        <v>0.1880011</v>
      </c>
      <c r="Z5643">
        <v>-2.06965E-2</v>
      </c>
      <c r="AA5643">
        <v>0.98195080000000001</v>
      </c>
      <c r="AB5643">
        <v>37</v>
      </c>
      <c r="AC5643">
        <v>0.60550000000000603</v>
      </c>
      <c r="AD5643">
        <v>-0.1005684</v>
      </c>
      <c r="AE5643">
        <v>-0.119099999999974</v>
      </c>
      <c r="AF5643">
        <v>0.179231042827797</v>
      </c>
      <c r="AG5643">
        <v>-0.1005684</v>
      </c>
      <c r="AH5643">
        <v>0.57379571017178399</v>
      </c>
      <c r="AI5643">
        <v>99.497461688895001</v>
      </c>
      <c r="AJ5643">
        <v>72.653263873799602</v>
      </c>
      <c r="AK5643">
        <v>0.60949100633499198</v>
      </c>
    </row>
    <row r="5644" spans="1:37" x14ac:dyDescent="0.2">
      <c r="A5644" t="str">
        <f>"20200111154212372"</f>
        <v>20200111154212372</v>
      </c>
      <c r="B5644" t="str">
        <f>"1578728532361808"</f>
        <v>1578728532361808</v>
      </c>
      <c r="C5644" t="s">
        <v>37</v>
      </c>
      <c r="D5644">
        <v>6.242839</v>
      </c>
      <c r="E5644">
        <v>0.54844309999999996</v>
      </c>
      <c r="F5644" t="s">
        <v>38</v>
      </c>
      <c r="G5644">
        <v>-165.4059</v>
      </c>
      <c r="H5644">
        <v>0.99566469999999896</v>
      </c>
      <c r="I5644">
        <v>138.73159999999999</v>
      </c>
      <c r="J5644">
        <v>-165.97380000000001</v>
      </c>
      <c r="K5644">
        <v>1.0927899999999999</v>
      </c>
      <c r="L5644">
        <v>138.8535</v>
      </c>
      <c r="M5644">
        <v>0.99553320000000001</v>
      </c>
      <c r="N5644">
        <v>0</v>
      </c>
      <c r="O5644">
        <v>9.2463989999999996E-2</v>
      </c>
      <c r="P5644">
        <v>0.9986971</v>
      </c>
      <c r="Q5644">
        <v>4.2987360000000002E-2</v>
      </c>
      <c r="R5644">
        <v>2.7504839999999999E-2</v>
      </c>
      <c r="S5644">
        <v>3.030853</v>
      </c>
      <c r="T5644">
        <v>-0.31190400000000001</v>
      </c>
      <c r="U5644">
        <v>-0.28688049999999998</v>
      </c>
      <c r="V5644">
        <v>6.7535079999999997E-2</v>
      </c>
      <c r="W5644">
        <v>5.9206010000000003E-2</v>
      </c>
      <c r="X5644">
        <v>0.99595869999999997</v>
      </c>
      <c r="Y5644">
        <v>0.184446</v>
      </c>
      <c r="Z5644">
        <v>-1.8915939999999999E-2</v>
      </c>
      <c r="AA5644">
        <v>0.9826606</v>
      </c>
      <c r="AB5644">
        <v>37</v>
      </c>
      <c r="AC5644">
        <v>0.56790000000000795</v>
      </c>
      <c r="AD5644">
        <v>-9.7125299999999998E-2</v>
      </c>
      <c r="AE5644">
        <v>-0.12190000000001</v>
      </c>
      <c r="AF5644">
        <v>0.16916730666435201</v>
      </c>
      <c r="AG5644">
        <v>-9.7125299999999998E-2</v>
      </c>
      <c r="AH5644">
        <v>0.53911835111114703</v>
      </c>
      <c r="AI5644">
        <v>99.753376625363998</v>
      </c>
      <c r="AJ5644">
        <v>72.578919812990407</v>
      </c>
      <c r="AK5644">
        <v>0.57332320557340399</v>
      </c>
    </row>
    <row r="5645" spans="1:37" x14ac:dyDescent="0.2">
      <c r="A5645" t="str">
        <f>"20200111154212395"</f>
        <v>20200111154212395</v>
      </c>
      <c r="B5645" t="str">
        <f>"1578728532391599"</f>
        <v>1578728532391599</v>
      </c>
      <c r="C5645" t="s">
        <v>37</v>
      </c>
      <c r="D5645">
        <v>6.1130300000000002</v>
      </c>
      <c r="E5645">
        <v>0.55486009999999997</v>
      </c>
      <c r="F5645" t="s">
        <v>38</v>
      </c>
      <c r="G5645">
        <v>-165.0703</v>
      </c>
      <c r="H5645">
        <v>0.99943159999999898</v>
      </c>
      <c r="I5645">
        <v>138.7568</v>
      </c>
      <c r="J5645">
        <v>-165.60050000000001</v>
      </c>
      <c r="K5645">
        <v>1.093118</v>
      </c>
      <c r="L5645">
        <v>138.88040000000001</v>
      </c>
      <c r="M5645">
        <v>0.99684680000000003</v>
      </c>
      <c r="N5645">
        <v>0</v>
      </c>
      <c r="O5645">
        <v>7.7051579999999995E-2</v>
      </c>
      <c r="P5645">
        <v>0.99907109999999899</v>
      </c>
      <c r="Q5645">
        <v>4.0041970000000003E-2</v>
      </c>
      <c r="R5645">
        <v>1.592443E-2</v>
      </c>
      <c r="S5645">
        <v>3.02627599999999</v>
      </c>
      <c r="T5645">
        <v>-0.31261709999999998</v>
      </c>
      <c r="U5645">
        <v>-0.32371519999999998</v>
      </c>
      <c r="V5645">
        <v>6.3505660000000005E-2</v>
      </c>
      <c r="W5645">
        <v>5.6366430000000002E-2</v>
      </c>
      <c r="X5645">
        <v>0.99638839999999995</v>
      </c>
      <c r="Y5645">
        <v>0.1813118</v>
      </c>
      <c r="Z5645">
        <v>-1.7233249999999999E-2</v>
      </c>
      <c r="AA5645">
        <v>0.983274599999999</v>
      </c>
      <c r="AB5645">
        <v>37</v>
      </c>
      <c r="AC5645">
        <v>0.530200000000007</v>
      </c>
      <c r="AD5645">
        <v>-9.36864000000001E-2</v>
      </c>
      <c r="AE5645">
        <v>-0.12360000000000999</v>
      </c>
      <c r="AF5645">
        <v>0.15937290787694</v>
      </c>
      <c r="AG5645">
        <v>-9.36864000000001E-2</v>
      </c>
      <c r="AH5645">
        <v>0.504167702939747</v>
      </c>
      <c r="AI5645">
        <v>100.04750882565</v>
      </c>
      <c r="AJ5645">
        <v>72.457686639250497</v>
      </c>
      <c r="AK5645">
        <v>0.53699342453856302</v>
      </c>
    </row>
    <row r="5646" spans="1:37" x14ac:dyDescent="0.2">
      <c r="A5646" t="str">
        <f>"20200111154212417"</f>
        <v>20200111154212417</v>
      </c>
      <c r="B5646" t="str">
        <f>"1578728532412104"</f>
        <v>1578728532412104</v>
      </c>
      <c r="C5646" t="s">
        <v>37</v>
      </c>
      <c r="D5646">
        <v>6.1137329999999999</v>
      </c>
      <c r="E5646">
        <v>0.55129090000000003</v>
      </c>
      <c r="F5646" t="s">
        <v>38</v>
      </c>
      <c r="G5646">
        <v>-164.77599999999899</v>
      </c>
      <c r="H5646">
        <v>0.91480949999999905</v>
      </c>
      <c r="I5646">
        <v>138.76429999999999</v>
      </c>
      <c r="J5646">
        <v>-165.21530000000001</v>
      </c>
      <c r="K5646">
        <v>1.0935549999999901</v>
      </c>
      <c r="L5646">
        <v>138.9023</v>
      </c>
      <c r="M5646">
        <v>0.99791430000000003</v>
      </c>
      <c r="N5646">
        <v>0</v>
      </c>
      <c r="O5646">
        <v>6.1747139999999999E-2</v>
      </c>
      <c r="P5646">
        <v>0.99930629999999998</v>
      </c>
      <c r="Q5646">
        <v>3.6799390000000001E-2</v>
      </c>
      <c r="R5646">
        <v>5.7581589999999997E-3</v>
      </c>
      <c r="S5646">
        <v>3.0358890000000001</v>
      </c>
      <c r="T5646">
        <v>-0.65615389999999996</v>
      </c>
      <c r="U5646">
        <v>-0.42674259999999897</v>
      </c>
      <c r="V5646">
        <v>5.816267E-2</v>
      </c>
      <c r="W5646">
        <v>5.3275450000000002E-2</v>
      </c>
      <c r="X5646">
        <v>0.99688460000000001</v>
      </c>
      <c r="Y5646">
        <v>0.1942786</v>
      </c>
      <c r="Z5646">
        <v>-3.3798080000000001E-2</v>
      </c>
      <c r="AA5646">
        <v>0.98036399999999901</v>
      </c>
      <c r="AB5646">
        <v>37</v>
      </c>
      <c r="AC5646">
        <v>0.439300000000031</v>
      </c>
      <c r="AD5646">
        <v>-0.178745499999999</v>
      </c>
      <c r="AE5646">
        <v>-0.13800000000000501</v>
      </c>
      <c r="AF5646">
        <v>0.14327692310943599</v>
      </c>
      <c r="AG5646">
        <v>-0.178745499999999</v>
      </c>
      <c r="AH5646">
        <v>0.37363661567046802</v>
      </c>
      <c r="AI5646">
        <v>114.06929806668801</v>
      </c>
      <c r="AJ5646">
        <v>69.019881542393904</v>
      </c>
      <c r="AK5646">
        <v>0.43827223393187797</v>
      </c>
    </row>
    <row r="5647" spans="1:37" x14ac:dyDescent="0.2">
      <c r="A5647" t="str">
        <f>"20200111154212440"</f>
        <v>20200111154212440</v>
      </c>
      <c r="B5647" t="str">
        <f>"1578728532431613"</f>
        <v>1578728532431613</v>
      </c>
      <c r="C5647" t="s">
        <v>37</v>
      </c>
      <c r="D5647">
        <v>5.9704839999999999</v>
      </c>
      <c r="E5647">
        <v>0.54760790000000004</v>
      </c>
      <c r="F5647" t="s">
        <v>38</v>
      </c>
      <c r="G5647">
        <v>-164.43219999999999</v>
      </c>
      <c r="H5647">
        <v>0.93891780000000002</v>
      </c>
      <c r="I5647">
        <v>138.79130000000001</v>
      </c>
      <c r="J5647">
        <v>-164.83969999999999</v>
      </c>
      <c r="K5647">
        <v>1.094095</v>
      </c>
      <c r="L5647">
        <v>138.91820000000001</v>
      </c>
      <c r="M5647">
        <v>0.99869390000000002</v>
      </c>
      <c r="N5647">
        <v>0</v>
      </c>
      <c r="O5647">
        <v>4.7554899999999997E-2</v>
      </c>
      <c r="P5647">
        <v>0.99945969999999995</v>
      </c>
      <c r="Q5647">
        <v>3.2568609999999998E-2</v>
      </c>
      <c r="R5647">
        <v>-4.4697679999999998E-3</v>
      </c>
      <c r="S5647">
        <v>3.026535</v>
      </c>
      <c r="T5647">
        <v>-0.59744679999999994</v>
      </c>
      <c r="U5647">
        <v>-0.42829899999999999</v>
      </c>
      <c r="V5647">
        <v>5.3957970000000001E-2</v>
      </c>
      <c r="W5647">
        <v>4.9144800000000002E-2</v>
      </c>
      <c r="X5647">
        <v>0.99733309999999997</v>
      </c>
      <c r="Y5647">
        <v>0.18269009999999999</v>
      </c>
      <c r="Z5647">
        <v>-2.7033020000000001E-2</v>
      </c>
      <c r="AA5647">
        <v>0.98279879999999997</v>
      </c>
      <c r="AB5647">
        <v>37</v>
      </c>
      <c r="AC5647">
        <v>0.40749999999999797</v>
      </c>
      <c r="AD5647">
        <v>-0.15517719999999999</v>
      </c>
      <c r="AE5647">
        <v>-0.12690000000000601</v>
      </c>
      <c r="AF5647">
        <v>0.12907568931862001</v>
      </c>
      <c r="AG5647">
        <v>-0.15517719999999999</v>
      </c>
      <c r="AH5647">
        <v>0.35418308295421602</v>
      </c>
      <c r="AI5647">
        <v>112.374204007717</v>
      </c>
      <c r="AJ5647">
        <v>69.976635431383201</v>
      </c>
      <c r="AK5647">
        <v>0.40765935929875302</v>
      </c>
    </row>
    <row r="5648" spans="1:37" x14ac:dyDescent="0.2">
      <c r="A5648" t="str">
        <f>"20200111154212464"</f>
        <v>20200111154212464</v>
      </c>
      <c r="B5648" t="str">
        <f>"1578728532451133"</f>
        <v>1578728532451133</v>
      </c>
      <c r="C5648" t="s">
        <v>37</v>
      </c>
      <c r="D5648">
        <v>6.0239669999999998</v>
      </c>
      <c r="E5648">
        <v>0.54530419999999902</v>
      </c>
      <c r="F5648" t="s">
        <v>39</v>
      </c>
      <c r="G5648">
        <v>-143.40899999999999</v>
      </c>
      <c r="H5648" s="1">
        <v>-3.4489429999999998E-6</v>
      </c>
      <c r="I5648">
        <v>136.01320000000001</v>
      </c>
      <c r="J5648">
        <v>-164.4487</v>
      </c>
      <c r="K5648">
        <v>1.094787</v>
      </c>
      <c r="L5648">
        <v>138.92949999999999</v>
      </c>
      <c r="M5648">
        <v>0.99926019999999904</v>
      </c>
      <c r="N5648">
        <v>0</v>
      </c>
      <c r="O5648">
        <v>3.370679E-2</v>
      </c>
      <c r="P5648">
        <v>0.99954399999999999</v>
      </c>
      <c r="Q5648">
        <v>2.8147370000000001E-2</v>
      </c>
      <c r="R5648">
        <v>-1.093644E-2</v>
      </c>
      <c r="S5648">
        <v>3.004807</v>
      </c>
      <c r="T5648">
        <v>-0.1534034</v>
      </c>
      <c r="U5648">
        <v>-0.40730290000000002</v>
      </c>
      <c r="V5648">
        <v>4.6333890000000003E-2</v>
      </c>
      <c r="W5648">
        <v>4.494422E-2</v>
      </c>
      <c r="X5648">
        <v>0.99791439999999998</v>
      </c>
      <c r="Y5648">
        <v>0.1673953</v>
      </c>
      <c r="Z5648">
        <v>-5.9637219999999899E-3</v>
      </c>
      <c r="AA5648">
        <v>0.98587190000000002</v>
      </c>
      <c r="AB5648">
        <v>37</v>
      </c>
      <c r="AC5648">
        <v>21.0397</v>
      </c>
      <c r="AD5648">
        <v>-1.094790448943</v>
      </c>
      <c r="AE5648">
        <v>-2.9162999999999699</v>
      </c>
      <c r="AF5648">
        <v>3.6143429723107801</v>
      </c>
      <c r="AG5648">
        <v>-1.094790448943</v>
      </c>
      <c r="AH5648">
        <v>20.873971659408301</v>
      </c>
      <c r="AI5648">
        <v>92.958337552342897</v>
      </c>
      <c r="AJ5648">
        <v>80.176594801659803</v>
      </c>
      <c r="AK5648">
        <v>21.2128436115098</v>
      </c>
    </row>
    <row r="5649" spans="1:37" x14ac:dyDescent="0.2">
      <c r="A5649" t="str">
        <f>"20200111154212485"</f>
        <v>20200111154212485</v>
      </c>
      <c r="B5649" t="str">
        <f>"1578728532481389"</f>
        <v>1578728532481389</v>
      </c>
      <c r="C5649" t="s">
        <v>37</v>
      </c>
      <c r="D5649">
        <v>6.066433</v>
      </c>
      <c r="E5649">
        <v>0.54305619999999999</v>
      </c>
      <c r="F5649" t="s">
        <v>38</v>
      </c>
      <c r="G5649">
        <v>-163.39850000000001</v>
      </c>
      <c r="H5649">
        <v>1.0080169999999999</v>
      </c>
      <c r="I5649">
        <v>138.7842</v>
      </c>
      <c r="J5649">
        <v>-164.10069999999999</v>
      </c>
      <c r="K5649">
        <v>1.0955429999999999</v>
      </c>
      <c r="L5649">
        <v>138.93510000000001</v>
      </c>
      <c r="M5649">
        <v>0.99958150000000001</v>
      </c>
      <c r="N5649">
        <v>0</v>
      </c>
      <c r="O5649">
        <v>2.2345710000000001E-2</v>
      </c>
      <c r="P5649">
        <v>0.99942359999999897</v>
      </c>
      <c r="Q5649">
        <v>2.8453289999999999E-2</v>
      </c>
      <c r="R5649">
        <v>-1.852113E-2</v>
      </c>
      <c r="S5649">
        <v>3.0038149999999999</v>
      </c>
      <c r="T5649">
        <v>-0.24806210000000001</v>
      </c>
      <c r="U5649">
        <v>-0.4151917</v>
      </c>
      <c r="V5649">
        <v>4.2487009999999999E-2</v>
      </c>
      <c r="W5649">
        <v>4.531959E-2</v>
      </c>
      <c r="X5649">
        <v>0.99806859999999997</v>
      </c>
      <c r="Y5649">
        <v>0.15842020000000001</v>
      </c>
      <c r="Z5649">
        <v>-8.3339509999999992E-3</v>
      </c>
      <c r="AA5649">
        <v>0.98733660000000001</v>
      </c>
      <c r="AB5649">
        <v>37</v>
      </c>
      <c r="AC5649">
        <v>0.70219999999997595</v>
      </c>
      <c r="AD5649">
        <v>-8.7525999999999896E-2</v>
      </c>
      <c r="AE5649">
        <v>-0.150900000000007</v>
      </c>
      <c r="AF5649">
        <v>0.16411883983516901</v>
      </c>
      <c r="AG5649">
        <v>-8.7525999999999896E-2</v>
      </c>
      <c r="AH5649">
        <v>0.68842844522866198</v>
      </c>
      <c r="AI5649">
        <v>97.050146097383205</v>
      </c>
      <c r="AJ5649">
        <v>76.591175586736796</v>
      </c>
      <c r="AK5649">
        <v>0.71311255665904205</v>
      </c>
    </row>
    <row r="5650" spans="1:37" x14ac:dyDescent="0.2">
      <c r="A5650" t="str">
        <f>"20200111154212507"</f>
        <v>20200111154212507</v>
      </c>
      <c r="B5650" t="str">
        <f>"1578728532501884"</f>
        <v>1578728532501884</v>
      </c>
      <c r="C5650" t="s">
        <v>37</v>
      </c>
      <c r="D5650">
        <v>6.1007790000000002</v>
      </c>
      <c r="E5650">
        <v>0.54194319999999996</v>
      </c>
      <c r="F5650" t="s">
        <v>38</v>
      </c>
      <c r="G5650">
        <v>-163.07769999999999</v>
      </c>
      <c r="H5650">
        <v>0.99170590000000003</v>
      </c>
      <c r="I5650">
        <v>138.79060000000001</v>
      </c>
      <c r="J5650">
        <v>-163.72149999999999</v>
      </c>
      <c r="K5650">
        <v>1.096395</v>
      </c>
      <c r="L5650">
        <v>138.93700000000001</v>
      </c>
      <c r="M5650">
        <v>0.99977469999999902</v>
      </c>
      <c r="N5650">
        <v>0</v>
      </c>
      <c r="O5650">
        <v>1.091699E-2</v>
      </c>
      <c r="P5650">
        <v>0.99925370000000002</v>
      </c>
      <c r="Q5650">
        <v>2.842687E-2</v>
      </c>
      <c r="R5650">
        <v>-2.615526E-2</v>
      </c>
      <c r="S5650">
        <v>3.002548</v>
      </c>
      <c r="T5650">
        <v>-0.30473600000000001</v>
      </c>
      <c r="U5650">
        <v>-0.42411799999999999</v>
      </c>
      <c r="V5650">
        <v>3.8603320000000003E-2</v>
      </c>
      <c r="W5650">
        <v>4.5346259999999999E-2</v>
      </c>
      <c r="X5650">
        <v>0.99822520000000003</v>
      </c>
      <c r="Y5650">
        <v>0.1498573</v>
      </c>
      <c r="Z5650">
        <v>-8.6481470000000001E-3</v>
      </c>
      <c r="AA5650">
        <v>0.98866980000000004</v>
      </c>
      <c r="AB5650">
        <v>37</v>
      </c>
      <c r="AC5650">
        <v>0.64379999999999804</v>
      </c>
      <c r="AD5650">
        <v>-0.10468909999999899</v>
      </c>
      <c r="AE5650">
        <v>-0.146399999999999</v>
      </c>
      <c r="AF5650">
        <v>0.149658050740201</v>
      </c>
      <c r="AG5650">
        <v>-0.10468909999999899</v>
      </c>
      <c r="AH5650">
        <v>0.62641364081909801</v>
      </c>
      <c r="AI5650">
        <v>99.232667397709207</v>
      </c>
      <c r="AJ5650">
        <v>76.563196708148993</v>
      </c>
      <c r="AK5650">
        <v>0.65249627524944898</v>
      </c>
    </row>
    <row r="5651" spans="1:37" x14ac:dyDescent="0.2">
      <c r="A5651" t="str">
        <f>"20200111154212531"</f>
        <v>20200111154212531</v>
      </c>
      <c r="B5651" t="str">
        <f>"1578728532521405"</f>
        <v>1578728532521405</v>
      </c>
      <c r="C5651" t="s">
        <v>37</v>
      </c>
      <c r="D5651">
        <v>6.1240949999999996</v>
      </c>
      <c r="E5651">
        <v>0.54113140000000004</v>
      </c>
      <c r="F5651" t="s">
        <v>38</v>
      </c>
      <c r="G5651">
        <v>-162.74770000000001</v>
      </c>
      <c r="H5651">
        <v>0.99219669999999904</v>
      </c>
      <c r="I5651">
        <v>138.79419999999999</v>
      </c>
      <c r="J5651">
        <v>-163.3306</v>
      </c>
      <c r="K5651">
        <v>1.097299</v>
      </c>
      <c r="L5651">
        <v>138.9348</v>
      </c>
      <c r="M5651">
        <v>0.99983690000000003</v>
      </c>
      <c r="N5651">
        <v>0</v>
      </c>
      <c r="O5651">
        <v>2.2542379999999999E-4</v>
      </c>
      <c r="P5651">
        <v>0.99904989999999905</v>
      </c>
      <c r="Q5651">
        <v>2.7049520000000001E-2</v>
      </c>
      <c r="R5651">
        <v>-3.4172809999999998E-2</v>
      </c>
      <c r="S5651">
        <v>2.9998779999999998</v>
      </c>
      <c r="T5651">
        <v>-0.32092799999999999</v>
      </c>
      <c r="U5651">
        <v>-0.43936160000000002</v>
      </c>
      <c r="V5651">
        <v>3.5793930000000002E-2</v>
      </c>
      <c r="W5651">
        <v>4.3983870000000001E-2</v>
      </c>
      <c r="X5651">
        <v>0.99839080000000002</v>
      </c>
      <c r="Y5651">
        <v>0.14432929999999999</v>
      </c>
      <c r="Z5651">
        <v>-7.6816609999999898E-3</v>
      </c>
      <c r="AA5651">
        <v>0.98949989999999999</v>
      </c>
      <c r="AB5651">
        <v>37</v>
      </c>
      <c r="AC5651">
        <v>0.58289999999999498</v>
      </c>
      <c r="AD5651">
        <v>-0.1051023</v>
      </c>
      <c r="AE5651">
        <v>-0.140600000000006</v>
      </c>
      <c r="AF5651">
        <v>0.13653648454829601</v>
      </c>
      <c r="AG5651">
        <v>-0.1051023</v>
      </c>
      <c r="AH5651">
        <v>0.56549410304116099</v>
      </c>
      <c r="AI5651">
        <v>100.241024659579</v>
      </c>
      <c r="AJ5651">
        <v>76.4259363035127</v>
      </c>
      <c r="AK5651">
        <v>0.59116181004224599</v>
      </c>
    </row>
    <row r="5652" spans="1:37" x14ac:dyDescent="0.2">
      <c r="A5652" t="str">
        <f>"20200111154212552"</f>
        <v>20200111154212552</v>
      </c>
      <c r="B5652" t="str">
        <f>"1578728532541901"</f>
        <v>1578728532541901</v>
      </c>
      <c r="C5652" t="s">
        <v>37</v>
      </c>
      <c r="D5652">
        <v>6.1170400000000003</v>
      </c>
      <c r="E5652">
        <v>0.540987</v>
      </c>
      <c r="F5652" t="s">
        <v>38</v>
      </c>
      <c r="G5652">
        <v>-162.41739999999999</v>
      </c>
      <c r="H5652">
        <v>0.994766699999999</v>
      </c>
      <c r="I5652">
        <v>138.7955</v>
      </c>
      <c r="J5652">
        <v>-162.98269999999999</v>
      </c>
      <c r="K5652">
        <v>1.098125</v>
      </c>
      <c r="L5652">
        <v>138.9297</v>
      </c>
      <c r="M5652">
        <v>0.99980499999999894</v>
      </c>
      <c r="N5652">
        <v>0</v>
      </c>
      <c r="O5652">
        <v>-8.3087300000000003E-3</v>
      </c>
      <c r="P5652">
        <v>0.99891819999999898</v>
      </c>
      <c r="Q5652">
        <v>2.4981610000000001E-2</v>
      </c>
      <c r="R5652">
        <v>-3.9223630000000002E-2</v>
      </c>
      <c r="S5652">
        <v>2.9963229999999998</v>
      </c>
      <c r="T5652">
        <v>-0.33635229999999999</v>
      </c>
      <c r="U5652">
        <v>-0.45715329999999899</v>
      </c>
      <c r="V5652">
        <v>3.2167790000000002E-2</v>
      </c>
      <c r="W5652">
        <v>4.1962520000000003E-2</v>
      </c>
      <c r="X5652">
        <v>0.99860119999999897</v>
      </c>
      <c r="Y5652">
        <v>0.14178679999999999</v>
      </c>
      <c r="Z5652">
        <v>-6.9635410000000002E-3</v>
      </c>
      <c r="AA5652">
        <v>0.98987269999999905</v>
      </c>
      <c r="AB5652">
        <v>37</v>
      </c>
      <c r="AC5652">
        <v>0.56530000000000702</v>
      </c>
      <c r="AD5652">
        <v>-0.1033583</v>
      </c>
      <c r="AE5652">
        <v>-0.13419999999999199</v>
      </c>
      <c r="AF5652">
        <v>0.125525284382145</v>
      </c>
      <c r="AG5652">
        <v>-0.1033583</v>
      </c>
      <c r="AH5652">
        <v>0.54902123520078305</v>
      </c>
      <c r="AI5652">
        <v>100.39940244711499</v>
      </c>
      <c r="AJ5652">
        <v>77.1215553804618</v>
      </c>
      <c r="AK5652">
        <v>0.57259396774634497</v>
      </c>
    </row>
    <row r="5653" spans="1:37" x14ac:dyDescent="0.2">
      <c r="A5653" t="str">
        <f>"20200111154212574"</f>
        <v>20200111154212574</v>
      </c>
      <c r="B5653" t="str">
        <f>"1578728532561421"</f>
        <v>1578728532561421</v>
      </c>
      <c r="C5653" t="s">
        <v>37</v>
      </c>
      <c r="D5653">
        <v>6.1556139999999999</v>
      </c>
      <c r="E5653">
        <v>0.54086000000000001</v>
      </c>
      <c r="F5653" t="s">
        <v>38</v>
      </c>
      <c r="G5653">
        <v>-162.08920000000001</v>
      </c>
      <c r="H5653">
        <v>0.99451409999999996</v>
      </c>
      <c r="I5653">
        <v>138.78870000000001</v>
      </c>
      <c r="J5653">
        <v>-162.6258</v>
      </c>
      <c r="K5653">
        <v>1.09904</v>
      </c>
      <c r="L5653">
        <v>138.92169999999999</v>
      </c>
      <c r="M5653">
        <v>0.99971319999999997</v>
      </c>
      <c r="N5653">
        <v>0</v>
      </c>
      <c r="O5653">
        <v>-1.6032660000000001E-2</v>
      </c>
      <c r="P5653">
        <v>0.99885990000000002</v>
      </c>
      <c r="Q5653">
        <v>2.3967349999999998E-2</v>
      </c>
      <c r="R5653">
        <v>-4.128515E-2</v>
      </c>
      <c r="S5653">
        <v>2.9934080000000001</v>
      </c>
      <c r="T5653">
        <v>-0.3470743</v>
      </c>
      <c r="U5653">
        <v>-0.47200009999999998</v>
      </c>
      <c r="V5653">
        <v>2.6390810000000001E-2</v>
      </c>
      <c r="W5653">
        <v>4.1042540000000002E-2</v>
      </c>
      <c r="X5653">
        <v>0.99880879999999905</v>
      </c>
      <c r="Y5653">
        <v>0.13909199999999999</v>
      </c>
      <c r="Z5653">
        <v>-6.1467029999999999E-3</v>
      </c>
      <c r="AA5653">
        <v>0.99026039999999904</v>
      </c>
      <c r="AB5653">
        <v>37</v>
      </c>
      <c r="AC5653">
        <v>0.53659999999999197</v>
      </c>
      <c r="AD5653">
        <v>-0.1045259</v>
      </c>
      <c r="AE5653">
        <v>-0.13299999999998099</v>
      </c>
      <c r="AF5653">
        <v>0.120085572645122</v>
      </c>
      <c r="AG5653">
        <v>-0.1045259</v>
      </c>
      <c r="AH5653">
        <v>0.52007206155465002</v>
      </c>
      <c r="AI5653">
        <v>101.08006260626</v>
      </c>
      <c r="AJ5653">
        <v>76.998172071487801</v>
      </c>
      <c r="AK5653">
        <v>0.54389443620800204</v>
      </c>
    </row>
    <row r="5654" spans="1:37" x14ac:dyDescent="0.2">
      <c r="A5654" t="str">
        <f>"20200111154212597"</f>
        <v>20200111154212597</v>
      </c>
      <c r="B5654" t="str">
        <f>"1578728532591207"</f>
        <v>1578728532591207</v>
      </c>
      <c r="C5654" t="s">
        <v>37</v>
      </c>
      <c r="D5654">
        <v>6.1732180000000003</v>
      </c>
      <c r="E5654">
        <v>0.54036740000000005</v>
      </c>
      <c r="F5654" t="s">
        <v>38</v>
      </c>
      <c r="G5654">
        <v>-161.76050000000001</v>
      </c>
      <c r="H5654">
        <v>0.99720189999999997</v>
      </c>
      <c r="I5654">
        <v>138.78309999999999</v>
      </c>
      <c r="J5654">
        <v>-162.25299999999999</v>
      </c>
      <c r="K5654">
        <v>1.1000760000000001</v>
      </c>
      <c r="L5654">
        <v>138.91069999999999</v>
      </c>
      <c r="M5654">
        <v>0.99957999999999902</v>
      </c>
      <c r="N5654">
        <v>0</v>
      </c>
      <c r="O5654">
        <v>-2.2978330000000002E-2</v>
      </c>
      <c r="P5654">
        <v>0.99889139999999998</v>
      </c>
      <c r="Q5654">
        <v>2.4512340000000001E-2</v>
      </c>
      <c r="R5654">
        <v>-4.0189530000000001E-2</v>
      </c>
      <c r="S5654">
        <v>2.9920960000000001</v>
      </c>
      <c r="T5654">
        <v>-0.35213179999999999</v>
      </c>
      <c r="U5654">
        <v>-0.47886659999999998</v>
      </c>
      <c r="V5654">
        <v>1.8264639999999999E-2</v>
      </c>
      <c r="W5654">
        <v>4.1719550000000001E-2</v>
      </c>
      <c r="X5654">
        <v>0.99896240000000003</v>
      </c>
      <c r="Y5654">
        <v>0.1345478</v>
      </c>
      <c r="Z5654">
        <v>-5.163562E-3</v>
      </c>
      <c r="AA5654">
        <v>0.99089369999999999</v>
      </c>
      <c r="AB5654">
        <v>37</v>
      </c>
      <c r="AC5654">
        <v>0.49249999999997801</v>
      </c>
      <c r="AD5654">
        <v>-0.1028741</v>
      </c>
      <c r="AE5654">
        <v>-0.12760000000000099</v>
      </c>
      <c r="AF5654">
        <v>0.111681401239221</v>
      </c>
      <c r="AG5654">
        <v>-0.1028741</v>
      </c>
      <c r="AH5654">
        <v>0.47584653023307599</v>
      </c>
      <c r="AI5654">
        <v>101.88571077878601</v>
      </c>
      <c r="AJ5654">
        <v>76.791713885908294</v>
      </c>
      <c r="AK5654">
        <v>0.49948547142877298</v>
      </c>
    </row>
    <row r="5655" spans="1:37" x14ac:dyDescent="0.2">
      <c r="A5655" t="str">
        <f>"20200111154212618"</f>
        <v>20200111154212618</v>
      </c>
      <c r="B5655" t="str">
        <f>"1578728532611703"</f>
        <v>1578728532611703</v>
      </c>
      <c r="C5655" t="s">
        <v>37</v>
      </c>
      <c r="D5655">
        <v>6.1502980000000003</v>
      </c>
      <c r="E5655">
        <v>0.54012289999999996</v>
      </c>
      <c r="F5655" t="s">
        <v>38</v>
      </c>
      <c r="G5655">
        <v>-161.43109999999999</v>
      </c>
      <c r="H5655">
        <v>1.002926</v>
      </c>
      <c r="I5655">
        <v>138.78049999999999</v>
      </c>
      <c r="J5655">
        <v>-161.88730000000001</v>
      </c>
      <c r="K5655">
        <v>1.101172</v>
      </c>
      <c r="L5655">
        <v>138.89779999999999</v>
      </c>
      <c r="M5655">
        <v>0.999434499999999</v>
      </c>
      <c r="N5655">
        <v>0</v>
      </c>
      <c r="O5655">
        <v>-2.8695809999999999E-2</v>
      </c>
      <c r="P5655">
        <v>0.99891790000000003</v>
      </c>
      <c r="Q5655">
        <v>2.6951389999999999E-2</v>
      </c>
      <c r="R5655">
        <v>-3.790338E-2</v>
      </c>
      <c r="S5655">
        <v>2.992966</v>
      </c>
      <c r="T5655">
        <v>-0.35376020000000002</v>
      </c>
      <c r="U5655">
        <v>-0.47343439999999998</v>
      </c>
      <c r="V5655">
        <v>1.0209630000000001E-2</v>
      </c>
      <c r="W5655">
        <v>4.4260170000000001E-2</v>
      </c>
      <c r="X5655">
        <v>0.99896790000000002</v>
      </c>
      <c r="Y5655">
        <v>0.12715969999999999</v>
      </c>
      <c r="Z5655">
        <v>-4.0854840000000003E-3</v>
      </c>
      <c r="AA5655">
        <v>0.99187389999999998</v>
      </c>
      <c r="AB5655">
        <v>36</v>
      </c>
      <c r="AC5655">
        <v>0.45620000000002298</v>
      </c>
      <c r="AD5655">
        <v>-9.8246E-2</v>
      </c>
      <c r="AE5655">
        <v>-0.1173</v>
      </c>
      <c r="AF5655">
        <v>9.9816360452611705E-2</v>
      </c>
      <c r="AG5655">
        <v>-9.8246E-2</v>
      </c>
      <c r="AH5655">
        <v>0.440227531751266</v>
      </c>
      <c r="AI5655">
        <v>102.278732137129</v>
      </c>
      <c r="AJ5655">
        <v>77.224863886911194</v>
      </c>
      <c r="AK5655">
        <v>0.46196954666061901</v>
      </c>
    </row>
    <row r="5656" spans="1:37" x14ac:dyDescent="0.2">
      <c r="A5656" t="str">
        <f>"20200111154212640"</f>
        <v>20200111154212640</v>
      </c>
      <c r="B5656" t="str">
        <f>"1578728532631223"</f>
        <v>1578728532631223</v>
      </c>
      <c r="C5656" t="s">
        <v>37</v>
      </c>
      <c r="D5656">
        <v>6.1771659999999997</v>
      </c>
      <c r="E5656">
        <v>0.53998199999999996</v>
      </c>
      <c r="F5656" t="s">
        <v>38</v>
      </c>
      <c r="G5656">
        <v>-161.1019</v>
      </c>
      <c r="H5656">
        <v>1.009933</v>
      </c>
      <c r="I5656">
        <v>138.77590000000001</v>
      </c>
      <c r="J5656">
        <v>-161.52619999999999</v>
      </c>
      <c r="K5656">
        <v>1.102284</v>
      </c>
      <c r="L5656">
        <v>138.88329999999999</v>
      </c>
      <c r="M5656">
        <v>0.99929269999999903</v>
      </c>
      <c r="N5656">
        <v>0</v>
      </c>
      <c r="O5656">
        <v>-3.3323909999999998E-2</v>
      </c>
      <c r="P5656">
        <v>0.99892739999999902</v>
      </c>
      <c r="Q5656">
        <v>2.8677950000000001E-2</v>
      </c>
      <c r="R5656">
        <v>-3.6356630000000001E-2</v>
      </c>
      <c r="S5656">
        <v>2.99500999999999</v>
      </c>
      <c r="T5656">
        <v>-0.34792410000000001</v>
      </c>
      <c r="U5656">
        <v>-0.46502690000000002</v>
      </c>
      <c r="V5656">
        <v>3.951764E-3</v>
      </c>
      <c r="W5656">
        <v>4.6023149999999999E-2</v>
      </c>
      <c r="X5656">
        <v>0.9989325</v>
      </c>
      <c r="Y5656">
        <v>0.1198418</v>
      </c>
      <c r="Z5656">
        <v>-3.0636119999999998E-3</v>
      </c>
      <c r="AA5656">
        <v>0.99278829999999996</v>
      </c>
      <c r="AB5656">
        <v>36</v>
      </c>
      <c r="AC5656">
        <v>0.42429999999998802</v>
      </c>
      <c r="AD5656">
        <v>-9.2351000000000003E-2</v>
      </c>
      <c r="AE5656">
        <v>-0.10739999999998399</v>
      </c>
      <c r="AF5656">
        <v>8.9226388081302302E-2</v>
      </c>
      <c r="AG5656">
        <v>-9.2351000000000003E-2</v>
      </c>
      <c r="AH5656">
        <v>0.409416124480602</v>
      </c>
      <c r="AI5656">
        <v>102.428968873025</v>
      </c>
      <c r="AJ5656">
        <v>77.705445842486796</v>
      </c>
      <c r="AK5656">
        <v>0.42908229806850701</v>
      </c>
    </row>
    <row r="5657" spans="1:37" x14ac:dyDescent="0.2">
      <c r="A5657" t="str">
        <f>"20200111154212662"</f>
        <v>20200111154212662</v>
      </c>
      <c r="B5657" t="str">
        <f>"1578728532651719"</f>
        <v>1578728532651719</v>
      </c>
      <c r="C5657" t="s">
        <v>37</v>
      </c>
      <c r="D5657">
        <v>6.1764409999999996</v>
      </c>
      <c r="E5657">
        <v>0.5398944</v>
      </c>
      <c r="F5657" t="s">
        <v>38</v>
      </c>
      <c r="G5657">
        <v>-160.77430000000001</v>
      </c>
      <c r="H5657">
        <v>1.0153000000000001</v>
      </c>
      <c r="I5657">
        <v>138.76840000000001</v>
      </c>
      <c r="J5657">
        <v>-161.17080000000001</v>
      </c>
      <c r="K5657">
        <v>1.1033949999999999</v>
      </c>
      <c r="L5657">
        <v>138.86799999999999</v>
      </c>
      <c r="M5657">
        <v>0.99916659999999902</v>
      </c>
      <c r="N5657">
        <v>0</v>
      </c>
      <c r="O5657">
        <v>-3.6959270000000002E-2</v>
      </c>
      <c r="P5657">
        <v>0.99901629999999997</v>
      </c>
      <c r="Q5657">
        <v>2.7960530000000001E-2</v>
      </c>
      <c r="R5657">
        <v>-3.4420300000000001E-2</v>
      </c>
      <c r="S5657">
        <v>2.9964900000000001</v>
      </c>
      <c r="T5657">
        <v>-0.34665899999999999</v>
      </c>
      <c r="U5657">
        <v>-0.45794679999999999</v>
      </c>
      <c r="V5657">
        <v>-1.756594E-3</v>
      </c>
      <c r="W5657">
        <v>4.5312449999999997E-2</v>
      </c>
      <c r="X5657">
        <v>0.99897130000000001</v>
      </c>
      <c r="Y5657">
        <v>0.1139288</v>
      </c>
      <c r="Z5657">
        <v>-2.2965379999999999E-3</v>
      </c>
      <c r="AA5657">
        <v>0.99348630000000004</v>
      </c>
      <c r="AB5657">
        <v>36</v>
      </c>
      <c r="AC5657">
        <v>0.39650000000000302</v>
      </c>
      <c r="AD5657">
        <v>-8.8095000000000007E-2</v>
      </c>
      <c r="AE5657">
        <v>-9.9599999999980995E-2</v>
      </c>
      <c r="AF5657">
        <v>8.1109109821952505E-2</v>
      </c>
      <c r="AG5657">
        <v>-8.8095000000000007E-2</v>
      </c>
      <c r="AH5657">
        <v>0.38216502906687899</v>
      </c>
      <c r="AI5657">
        <v>102.707265093616</v>
      </c>
      <c r="AJ5657">
        <v>78.017583681072495</v>
      </c>
      <c r="AK5657">
        <v>0.40048661171479599</v>
      </c>
    </row>
    <row r="5658" spans="1:37" x14ac:dyDescent="0.2">
      <c r="A5658" t="str">
        <f>"20200111154212685"</f>
        <v>20200111154212685</v>
      </c>
      <c r="B5658" t="str">
        <f>"1578728532681975"</f>
        <v>1578728532681975</v>
      </c>
      <c r="C5658" t="s">
        <v>37</v>
      </c>
      <c r="D5658">
        <v>6.1816769999999996</v>
      </c>
      <c r="E5658">
        <v>0.53972569999999997</v>
      </c>
      <c r="F5658" t="s">
        <v>38</v>
      </c>
      <c r="G5658">
        <v>-160.44880000000001</v>
      </c>
      <c r="H5658">
        <v>1.018494</v>
      </c>
      <c r="I5658">
        <v>138.7595</v>
      </c>
      <c r="J5658">
        <v>-160.80410000000001</v>
      </c>
      <c r="K5658">
        <v>1.1045129999999901</v>
      </c>
      <c r="L5658">
        <v>138.85120000000001</v>
      </c>
      <c r="M5658">
        <v>0.99905869999999997</v>
      </c>
      <c r="N5658">
        <v>0</v>
      </c>
      <c r="O5658">
        <v>-3.9806910000000001E-2</v>
      </c>
      <c r="P5658">
        <v>0.99913669999999999</v>
      </c>
      <c r="Q5658">
        <v>2.7401229999999999E-2</v>
      </c>
      <c r="R5658">
        <v>-3.122525E-2</v>
      </c>
      <c r="S5658">
        <v>2.9972989999999999</v>
      </c>
      <c r="T5658">
        <v>-0.35244309999999901</v>
      </c>
      <c r="U5658">
        <v>-0.45031739999999998</v>
      </c>
      <c r="V5658">
        <v>-7.9292249999999998E-3</v>
      </c>
      <c r="W5658">
        <v>4.4744150000000003E-2</v>
      </c>
      <c r="X5658">
        <v>0.99896700000000005</v>
      </c>
      <c r="Y5658">
        <v>0.1086218</v>
      </c>
      <c r="Z5658">
        <v>-1.693902E-3</v>
      </c>
      <c r="AA5658">
        <v>0.99408169999999996</v>
      </c>
      <c r="AB5658">
        <v>36</v>
      </c>
      <c r="AC5658">
        <v>0.35529999999999901</v>
      </c>
      <c r="AD5658">
        <v>-8.6018999999999804E-2</v>
      </c>
      <c r="AE5658">
        <v>-9.1700000000003001E-2</v>
      </c>
      <c r="AF5658">
        <v>7.3445729192256906E-2</v>
      </c>
      <c r="AG5658">
        <v>-8.6018999999999804E-2</v>
      </c>
      <c r="AH5658">
        <v>0.33998586268993802</v>
      </c>
      <c r="AI5658">
        <v>103.890709814207</v>
      </c>
      <c r="AJ5658">
        <v>77.809952662591797</v>
      </c>
      <c r="AK5658">
        <v>0.35830703359912403</v>
      </c>
    </row>
    <row r="5659" spans="1:37" x14ac:dyDescent="0.2">
      <c r="A5659" t="str">
        <f>"20200111154212708"</f>
        <v>20200111154212708</v>
      </c>
      <c r="B5659" t="str">
        <f>"1578728532701494"</f>
        <v>1578728532701494</v>
      </c>
      <c r="C5659" t="s">
        <v>37</v>
      </c>
      <c r="D5659">
        <v>6.2004989999999998</v>
      </c>
      <c r="E5659">
        <v>0.53978190000000004</v>
      </c>
      <c r="F5659" t="s">
        <v>38</v>
      </c>
      <c r="G5659">
        <v>-159.82040000000001</v>
      </c>
      <c r="H5659">
        <v>0.986895999999999</v>
      </c>
      <c r="I5659">
        <v>138.70679999999999</v>
      </c>
      <c r="J5659">
        <v>-160.4443</v>
      </c>
      <c r="K5659">
        <v>1.1055330000000001</v>
      </c>
      <c r="L5659">
        <v>138.83420000000001</v>
      </c>
      <c r="M5659">
        <v>0.99897440000000004</v>
      </c>
      <c r="N5659">
        <v>0</v>
      </c>
      <c r="O5659">
        <v>-4.1905530000000003E-2</v>
      </c>
      <c r="P5659">
        <v>0.99920769999999903</v>
      </c>
      <c r="Q5659">
        <v>2.824664E-2</v>
      </c>
      <c r="R5659">
        <v>-2.804394E-2</v>
      </c>
      <c r="S5659">
        <v>2.9987029999999999</v>
      </c>
      <c r="T5659">
        <v>-0.35858990000000002</v>
      </c>
      <c r="U5659">
        <v>-0.4395752</v>
      </c>
      <c r="V5659">
        <v>-1.330748E-2</v>
      </c>
      <c r="W5659">
        <v>4.555062E-2</v>
      </c>
      <c r="X5659">
        <v>0.99887340000000002</v>
      </c>
      <c r="Y5659">
        <v>0.10301680000000001</v>
      </c>
      <c r="Z5659">
        <v>-1.1423729999999999E-3</v>
      </c>
      <c r="AA5659">
        <v>0.99467899999999998</v>
      </c>
      <c r="AB5659">
        <v>36</v>
      </c>
      <c r="AC5659">
        <v>0.62389999999999102</v>
      </c>
      <c r="AD5659">
        <v>-0.11863700000000001</v>
      </c>
      <c r="AE5659">
        <v>-0.127400000000022</v>
      </c>
      <c r="AF5659">
        <v>9.7746460553908496E-2</v>
      </c>
      <c r="AG5659">
        <v>-0.11863700000000001</v>
      </c>
      <c r="AH5659">
        <v>0.60760082864377996</v>
      </c>
      <c r="AI5659">
        <v>100.911413146046</v>
      </c>
      <c r="AJ5659">
        <v>80.860968932513401</v>
      </c>
      <c r="AK5659">
        <v>0.62674386737201104</v>
      </c>
    </row>
    <row r="5660" spans="1:37" x14ac:dyDescent="0.2">
      <c r="A5660" t="str">
        <f>"20200111154212730"</f>
        <v>20200111154212730</v>
      </c>
      <c r="B5660" t="str">
        <f>"1578728532721991"</f>
        <v>1578728532721991</v>
      </c>
      <c r="C5660" t="s">
        <v>37</v>
      </c>
      <c r="D5660">
        <v>6.1808740000000002</v>
      </c>
      <c r="E5660">
        <v>0.53984270000000001</v>
      </c>
      <c r="F5660" t="s">
        <v>38</v>
      </c>
      <c r="G5660">
        <v>-159.49619999999999</v>
      </c>
      <c r="H5660">
        <v>0.99220629999999999</v>
      </c>
      <c r="I5660">
        <v>138.69810000000001</v>
      </c>
      <c r="J5660">
        <v>-160.08240000000001</v>
      </c>
      <c r="K5660">
        <v>1.10643</v>
      </c>
      <c r="L5660">
        <v>138.8168</v>
      </c>
      <c r="M5660">
        <v>0.99890849999999898</v>
      </c>
      <c r="N5660">
        <v>0</v>
      </c>
      <c r="O5660">
        <v>-4.3481289999999999E-2</v>
      </c>
      <c r="P5660">
        <v>0.9992683</v>
      </c>
      <c r="Q5660">
        <v>2.932309E-2</v>
      </c>
      <c r="R5660">
        <v>-2.4569210000000001E-2</v>
      </c>
      <c r="S5660">
        <v>3.0004270000000002</v>
      </c>
      <c r="T5660">
        <v>-0.35867659999999901</v>
      </c>
      <c r="U5660">
        <v>-0.43060299999999901</v>
      </c>
      <c r="V5660">
        <v>-1.8444260000000001E-2</v>
      </c>
      <c r="W5660">
        <v>4.6568070000000003E-2</v>
      </c>
      <c r="X5660">
        <v>0.99874479999999999</v>
      </c>
      <c r="Y5660">
        <v>9.8494159999999997E-2</v>
      </c>
      <c r="Z5660">
        <v>-6.8779659999999995E-4</v>
      </c>
      <c r="AA5660">
        <v>0.99513739999999995</v>
      </c>
      <c r="AB5660">
        <v>36</v>
      </c>
      <c r="AC5660">
        <v>0.58620000000001904</v>
      </c>
      <c r="AD5660">
        <v>-0.1142237</v>
      </c>
      <c r="AE5660">
        <v>-0.11869999999998899</v>
      </c>
      <c r="AF5660">
        <v>8.9819300650862105E-2</v>
      </c>
      <c r="AG5660">
        <v>-0.1142237</v>
      </c>
      <c r="AH5660">
        <v>0.57001729066290097</v>
      </c>
      <c r="AI5660">
        <v>101.196620984384</v>
      </c>
      <c r="AJ5660">
        <v>81.045363364648097</v>
      </c>
      <c r="AK5660">
        <v>0.58824677820263005</v>
      </c>
    </row>
    <row r="5661" spans="1:37" x14ac:dyDescent="0.2">
      <c r="A5661" t="str">
        <f>"20200111154212752"</f>
        <v>20200111154212752</v>
      </c>
      <c r="B5661" t="str">
        <f>"1578728532741511"</f>
        <v>1578728532741511</v>
      </c>
      <c r="C5661" t="s">
        <v>37</v>
      </c>
      <c r="D5661">
        <v>6.218585</v>
      </c>
      <c r="E5661">
        <v>0.53982569999999996</v>
      </c>
      <c r="F5661" t="s">
        <v>38</v>
      </c>
      <c r="G5661">
        <v>-159.17230000000001</v>
      </c>
      <c r="H5661">
        <v>0.99832419999999999</v>
      </c>
      <c r="I5661">
        <v>138.68899999999999</v>
      </c>
      <c r="J5661">
        <v>-159.72839999999999</v>
      </c>
      <c r="K5661">
        <v>1.107189</v>
      </c>
      <c r="L5661">
        <v>138.79949999999999</v>
      </c>
      <c r="M5661">
        <v>0.99886039999999998</v>
      </c>
      <c r="N5661">
        <v>0</v>
      </c>
      <c r="O5661">
        <v>-4.4602639999999999E-2</v>
      </c>
      <c r="P5661">
        <v>0.99937289999999901</v>
      </c>
      <c r="Q5661">
        <v>2.8462990000000001E-2</v>
      </c>
      <c r="R5661">
        <v>-2.1073919999999999E-2</v>
      </c>
      <c r="S5661">
        <v>3.0023040000000001</v>
      </c>
      <c r="T5661">
        <v>-0.35664439999999997</v>
      </c>
      <c r="U5661">
        <v>-0.42131039999999997</v>
      </c>
      <c r="V5661">
        <v>-2.3154089999999999E-2</v>
      </c>
      <c r="W5661">
        <v>4.5637789999999998E-2</v>
      </c>
      <c r="X5661">
        <v>0.99868969999999901</v>
      </c>
      <c r="Y5661">
        <v>9.4310500000000005E-2</v>
      </c>
      <c r="Z5661">
        <v>-3.0533079999999998E-4</v>
      </c>
      <c r="AA5661">
        <v>0.99554279999999995</v>
      </c>
      <c r="AB5661">
        <v>36</v>
      </c>
      <c r="AC5661">
        <v>0.55609999999998605</v>
      </c>
      <c r="AD5661">
        <v>-0.108864799999999</v>
      </c>
      <c r="AE5661">
        <v>-0.110500000000001</v>
      </c>
      <c r="AF5661">
        <v>8.2539802039762494E-2</v>
      </c>
      <c r="AG5661">
        <v>-0.108864799999999</v>
      </c>
      <c r="AH5661">
        <v>0.54054675273208896</v>
      </c>
      <c r="AI5661">
        <v>101.25978525548901</v>
      </c>
      <c r="AJ5661">
        <v>81.318174915989303</v>
      </c>
      <c r="AK5661">
        <v>0.55754385969985298</v>
      </c>
    </row>
    <row r="5662" spans="1:37" x14ac:dyDescent="0.2">
      <c r="A5662" t="str">
        <f>"20200111154212775"</f>
        <v>20200111154212775</v>
      </c>
      <c r="B5662" t="str">
        <f>"1578728532771769"</f>
        <v>1578728532771769</v>
      </c>
      <c r="C5662" t="s">
        <v>37</v>
      </c>
      <c r="D5662">
        <v>6.2292110000000003</v>
      </c>
      <c r="E5662">
        <v>0.53994549999999997</v>
      </c>
      <c r="F5662" t="s">
        <v>38</v>
      </c>
      <c r="G5662">
        <v>-158.8503</v>
      </c>
      <c r="H5662">
        <v>1.0021469999999999</v>
      </c>
      <c r="I5662">
        <v>138.679</v>
      </c>
      <c r="J5662">
        <v>-159.36189999999999</v>
      </c>
      <c r="K5662">
        <v>1.1078779999999999</v>
      </c>
      <c r="L5662">
        <v>138.78149999999999</v>
      </c>
      <c r="M5662">
        <v>0.99882479999999996</v>
      </c>
      <c r="N5662">
        <v>0</v>
      </c>
      <c r="O5662">
        <v>-4.5418130000000001E-2</v>
      </c>
      <c r="P5662">
        <v>0.99950419999999995</v>
      </c>
      <c r="Q5662">
        <v>2.6059079999999998E-2</v>
      </c>
      <c r="R5662">
        <v>-1.767821E-2</v>
      </c>
      <c r="S5662">
        <v>3.0034179999999999</v>
      </c>
      <c r="T5662">
        <v>-0.3593228</v>
      </c>
      <c r="U5662">
        <v>-0.41175839999999903</v>
      </c>
      <c r="V5662">
        <v>-2.745852E-2</v>
      </c>
      <c r="W5662">
        <v>4.3151160000000001E-2</v>
      </c>
      <c r="X5662">
        <v>0.99869110000000005</v>
      </c>
      <c r="Y5662">
        <v>9.0367950000000002E-2</v>
      </c>
      <c r="Z5662" s="1">
        <v>2.30050599999999E-5</v>
      </c>
      <c r="AA5662">
        <v>0.99590840000000003</v>
      </c>
      <c r="AB5662">
        <v>36</v>
      </c>
      <c r="AC5662">
        <v>0.51159999999998695</v>
      </c>
      <c r="AD5662">
        <v>-0.10573100000000001</v>
      </c>
      <c r="AE5662">
        <v>-0.102499999999992</v>
      </c>
      <c r="AF5662">
        <v>7.6032814043198907E-2</v>
      </c>
      <c r="AG5662">
        <v>-0.10573100000000001</v>
      </c>
      <c r="AH5662">
        <v>0.49538586885496</v>
      </c>
      <c r="AI5662">
        <v>101.912520306318</v>
      </c>
      <c r="AJ5662">
        <v>81.274220901398095</v>
      </c>
      <c r="AK5662">
        <v>0.51221791479165601</v>
      </c>
    </row>
    <row r="5663" spans="1:37" x14ac:dyDescent="0.2">
      <c r="A5663" t="str">
        <f>"20200111154212797"</f>
        <v>20200111154212797</v>
      </c>
      <c r="B5663" t="str">
        <f>"1578728532791287"</f>
        <v>1578728532791287</v>
      </c>
      <c r="C5663" t="s">
        <v>37</v>
      </c>
      <c r="D5663">
        <v>6.2116899999999999</v>
      </c>
      <c r="E5663">
        <v>0.54003900000000005</v>
      </c>
      <c r="F5663" t="s">
        <v>38</v>
      </c>
      <c r="G5663">
        <v>-158.52889999999999</v>
      </c>
      <c r="H5663">
        <v>1.0058149999999999</v>
      </c>
      <c r="I5663">
        <v>138.66970000000001</v>
      </c>
      <c r="J5663">
        <v>-159.01050000000001</v>
      </c>
      <c r="K5663">
        <v>1.1084459999999901</v>
      </c>
      <c r="L5663">
        <v>138.76429999999999</v>
      </c>
      <c r="M5663">
        <v>0.99880119999999895</v>
      </c>
      <c r="N5663">
        <v>0</v>
      </c>
      <c r="O5663">
        <v>-4.595643E-2</v>
      </c>
      <c r="P5663">
        <v>0.9996003</v>
      </c>
      <c r="Q5663">
        <v>2.44015E-2</v>
      </c>
      <c r="R5663">
        <v>-1.428158E-2</v>
      </c>
      <c r="S5663">
        <v>3.003952</v>
      </c>
      <c r="T5663">
        <v>-0.368077299999999</v>
      </c>
      <c r="U5663">
        <v>-0.4030762</v>
      </c>
      <c r="V5663">
        <v>-3.1461749999999997E-2</v>
      </c>
      <c r="W5663">
        <v>4.1410830000000003E-2</v>
      </c>
      <c r="X5663">
        <v>0.998646699999999</v>
      </c>
      <c r="Y5663">
        <v>8.699366E-2</v>
      </c>
      <c r="Z5663">
        <v>2.9397709999999999E-4</v>
      </c>
      <c r="AA5663">
        <v>0.99620880000000001</v>
      </c>
      <c r="AB5663">
        <v>36</v>
      </c>
      <c r="AC5663">
        <v>0.48160000000001402</v>
      </c>
      <c r="AD5663">
        <v>-0.102630999999999</v>
      </c>
      <c r="AE5663">
        <v>-9.4599999999985501E-2</v>
      </c>
      <c r="AF5663">
        <v>6.9332603099679493E-2</v>
      </c>
      <c r="AG5663">
        <v>-0.102630999999999</v>
      </c>
      <c r="AH5663">
        <v>0.46510194025130602</v>
      </c>
      <c r="AI5663">
        <v>102.31184354222501</v>
      </c>
      <c r="AJ5663">
        <v>81.5213712783886</v>
      </c>
      <c r="AK5663">
        <v>0.48131065523122102</v>
      </c>
    </row>
    <row r="5664" spans="1:37" x14ac:dyDescent="0.2">
      <c r="A5664" t="str">
        <f>"20200111154212819"</f>
        <v>20200111154212819</v>
      </c>
      <c r="B5664" t="str">
        <f>"1578728532811783"</f>
        <v>1578728532811783</v>
      </c>
      <c r="C5664" t="s">
        <v>37</v>
      </c>
      <c r="D5664">
        <v>6.2303550000000003</v>
      </c>
      <c r="E5664">
        <v>0.54017169999999903</v>
      </c>
      <c r="F5664" t="s">
        <v>38</v>
      </c>
      <c r="G5664">
        <v>-158.20859999999999</v>
      </c>
      <c r="H5664">
        <v>1.008518</v>
      </c>
      <c r="I5664">
        <v>138.65899999999999</v>
      </c>
      <c r="J5664">
        <v>-158.654</v>
      </c>
      <c r="K5664">
        <v>1.1089500000000001</v>
      </c>
      <c r="L5664">
        <v>138.74680000000001</v>
      </c>
      <c r="M5664">
        <v>0.99878500000000003</v>
      </c>
      <c r="N5664">
        <v>0</v>
      </c>
      <c r="O5664">
        <v>-4.6328179999999997E-2</v>
      </c>
      <c r="P5664">
        <v>0.99966759999999999</v>
      </c>
      <c r="Q5664">
        <v>2.267504E-2</v>
      </c>
      <c r="R5664">
        <v>-1.2269850000000001E-2</v>
      </c>
      <c r="S5664">
        <v>3.004715</v>
      </c>
      <c r="T5664">
        <v>-0.37451269999999998</v>
      </c>
      <c r="U5664">
        <v>-0.39389039999999997</v>
      </c>
      <c r="V5664">
        <v>-3.3902729999999999E-2</v>
      </c>
      <c r="W5664">
        <v>3.9595569999999997E-2</v>
      </c>
      <c r="X5664">
        <v>0.99864050000000004</v>
      </c>
      <c r="Y5664">
        <v>8.3614090000000002E-2</v>
      </c>
      <c r="Z5664">
        <v>5.5394180000000002E-4</v>
      </c>
      <c r="AA5664">
        <v>0.99649799999999999</v>
      </c>
      <c r="AB5664">
        <v>36</v>
      </c>
      <c r="AC5664">
        <v>0.44540000000000601</v>
      </c>
      <c r="AD5664">
        <v>-0.10043199999999999</v>
      </c>
      <c r="AE5664">
        <v>-8.7800000000015602E-2</v>
      </c>
      <c r="AF5664">
        <v>6.3938879486109601E-2</v>
      </c>
      <c r="AG5664">
        <v>-0.10043199999999999</v>
      </c>
      <c r="AH5664">
        <v>0.42804039282988898</v>
      </c>
      <c r="AI5664">
        <v>103.06467084686</v>
      </c>
      <c r="AJ5664">
        <v>81.504214189078297</v>
      </c>
      <c r="AK5664">
        <v>0.44428970821740199</v>
      </c>
    </row>
    <row r="5665" spans="1:37" x14ac:dyDescent="0.2">
      <c r="A5665" t="str">
        <f>"20200111154212842"</f>
        <v>20200111154212842</v>
      </c>
      <c r="B5665" t="str">
        <f>"1578728532831304"</f>
        <v>1578728532831304</v>
      </c>
      <c r="C5665" t="s">
        <v>37</v>
      </c>
      <c r="D5665">
        <v>6.278842</v>
      </c>
      <c r="E5665">
        <v>0.5402998</v>
      </c>
      <c r="F5665" t="s">
        <v>38</v>
      </c>
      <c r="G5665">
        <v>-157.8888</v>
      </c>
      <c r="H5665">
        <v>1.0118100000000001</v>
      </c>
      <c r="I5665">
        <v>138.64779999999999</v>
      </c>
      <c r="J5665">
        <v>-158.29900000000001</v>
      </c>
      <c r="K5665">
        <v>1.1093679999999999</v>
      </c>
      <c r="L5665">
        <v>138.7296</v>
      </c>
      <c r="M5665">
        <v>0.99877499999999997</v>
      </c>
      <c r="N5665">
        <v>0</v>
      </c>
      <c r="O5665">
        <v>-4.6564590000000003E-2</v>
      </c>
      <c r="P5665">
        <v>0.99974640000000004</v>
      </c>
      <c r="Q5665">
        <v>2.0172039999999999E-2</v>
      </c>
      <c r="R5665">
        <v>-1.0032839999999999E-2</v>
      </c>
      <c r="S5665">
        <v>3.004883</v>
      </c>
      <c r="T5665">
        <v>-0.38144840000000002</v>
      </c>
      <c r="U5665">
        <v>-0.3887177</v>
      </c>
      <c r="V5665">
        <v>-3.6424320000000003E-2</v>
      </c>
      <c r="W5665">
        <v>3.7011570000000001E-2</v>
      </c>
      <c r="X5665">
        <v>0.99865079999999995</v>
      </c>
      <c r="Y5665">
        <v>8.1690529999999997E-2</v>
      </c>
      <c r="Z5665">
        <v>7.1501170000000001E-4</v>
      </c>
      <c r="AA5665">
        <v>0.99665749999999997</v>
      </c>
      <c r="AB5665">
        <v>36</v>
      </c>
      <c r="AC5665">
        <v>0.41020000000000301</v>
      </c>
      <c r="AD5665">
        <v>-9.7558000000000006E-2</v>
      </c>
      <c r="AE5665">
        <v>-8.1800000000015402E-2</v>
      </c>
      <c r="AF5665">
        <v>5.93776315046236E-2</v>
      </c>
      <c r="AG5665">
        <v>-9.7558000000000006E-2</v>
      </c>
      <c r="AH5665">
        <v>0.39222728518468902</v>
      </c>
      <c r="AI5665">
        <v>103.816350802687</v>
      </c>
      <c r="AJ5665">
        <v>81.391598334677994</v>
      </c>
      <c r="AK5665">
        <v>0.40851622945784</v>
      </c>
    </row>
    <row r="5666" spans="1:37" x14ac:dyDescent="0.2">
      <c r="A5666" t="str">
        <f>"20200111154212869"</f>
        <v>20200111154212869</v>
      </c>
      <c r="B5666" t="str">
        <f>"1578728532861559"</f>
        <v>1578728532861559</v>
      </c>
      <c r="C5666" t="s">
        <v>37</v>
      </c>
      <c r="D5666">
        <v>6.2221219999999997</v>
      </c>
      <c r="E5666">
        <v>0.54062639999999995</v>
      </c>
      <c r="F5666" t="s">
        <v>38</v>
      </c>
      <c r="G5666">
        <v>-157.56979999999999</v>
      </c>
      <c r="H5666">
        <v>1.0146629999999901</v>
      </c>
      <c r="I5666">
        <v>138.63640000000001</v>
      </c>
      <c r="J5666">
        <v>-157.88910000000001</v>
      </c>
      <c r="K5666">
        <v>1.1097680000000001</v>
      </c>
      <c r="L5666">
        <v>138.7099</v>
      </c>
      <c r="M5666">
        <v>0.99876960000000004</v>
      </c>
      <c r="N5666">
        <v>0</v>
      </c>
      <c r="O5666">
        <v>-4.6702999999999897E-2</v>
      </c>
      <c r="P5666">
        <v>0.999768199999999</v>
      </c>
      <c r="Q5666">
        <v>2.0192229999999999E-2</v>
      </c>
      <c r="R5666">
        <v>-7.5087030000000003E-3</v>
      </c>
      <c r="S5666">
        <v>3.0047759999999899</v>
      </c>
      <c r="T5666">
        <v>-0.39029779999999997</v>
      </c>
      <c r="U5666">
        <v>-0.38333129999999999</v>
      </c>
      <c r="V5666">
        <v>-3.9117150000000003E-2</v>
      </c>
      <c r="W5666">
        <v>3.6947250000000001E-2</v>
      </c>
      <c r="X5666">
        <v>0.99855130000000003</v>
      </c>
      <c r="Y5666">
        <v>7.9802899999999996E-2</v>
      </c>
      <c r="Z5666">
        <v>8.7101619999999905E-4</v>
      </c>
      <c r="AA5666">
        <v>0.99681030000000004</v>
      </c>
      <c r="AB5666">
        <v>36</v>
      </c>
      <c r="AC5666">
        <v>0.31930000000002601</v>
      </c>
      <c r="AD5666">
        <v>-9.5105000000000203E-2</v>
      </c>
      <c r="AE5666">
        <v>-7.3499999999995597E-2</v>
      </c>
      <c r="AF5666">
        <v>5.3959207720150199E-2</v>
      </c>
      <c r="AG5666">
        <v>-9.5105000000000203E-2</v>
      </c>
      <c r="AH5666">
        <v>0.29733340021688798</v>
      </c>
      <c r="AI5666">
        <v>107.46979505052499</v>
      </c>
      <c r="AJ5666">
        <v>79.714071010898493</v>
      </c>
      <c r="AK5666">
        <v>0.31680231692227701</v>
      </c>
    </row>
    <row r="5667" spans="1:37" x14ac:dyDescent="0.2">
      <c r="A5667" t="str">
        <f>"20200111154212888"</f>
        <v>20200111154212888</v>
      </c>
      <c r="B5667" t="str">
        <f>"1578728532882055"</f>
        <v>1578728532882055</v>
      </c>
      <c r="C5667" t="s">
        <v>37</v>
      </c>
      <c r="D5667">
        <v>6.2075569999999898</v>
      </c>
      <c r="E5667">
        <v>0.54090890000000003</v>
      </c>
      <c r="F5667" t="s">
        <v>38</v>
      </c>
      <c r="G5667">
        <v>-156.9512</v>
      </c>
      <c r="H5667">
        <v>0.98732009999999903</v>
      </c>
      <c r="I5667">
        <v>138.5915</v>
      </c>
      <c r="J5667">
        <v>-157.56720000000001</v>
      </c>
      <c r="K5667">
        <v>1.110017</v>
      </c>
      <c r="L5667">
        <v>138.69450000000001</v>
      </c>
      <c r="M5667">
        <v>0.99876799999999999</v>
      </c>
      <c r="N5667">
        <v>0</v>
      </c>
      <c r="O5667">
        <v>-4.6745979999999999E-2</v>
      </c>
      <c r="P5667">
        <v>0.99976239999999905</v>
      </c>
      <c r="Q5667">
        <v>2.1252440000000001E-2</v>
      </c>
      <c r="R5667">
        <v>-4.8539819999999997E-3</v>
      </c>
      <c r="S5667">
        <v>3.0057680000000002</v>
      </c>
      <c r="T5667">
        <v>-0.39249000000000001</v>
      </c>
      <c r="U5667">
        <v>-0.37846370000000001</v>
      </c>
      <c r="V5667">
        <v>-4.1829459999999999E-2</v>
      </c>
      <c r="W5667">
        <v>3.7951239999999997E-2</v>
      </c>
      <c r="X5667">
        <v>0.99840370000000001</v>
      </c>
      <c r="Y5667">
        <v>7.8141119999999994E-2</v>
      </c>
      <c r="Z5667">
        <v>9.8889880000000005E-4</v>
      </c>
      <c r="AA5667">
        <v>0.99694179999999999</v>
      </c>
      <c r="AB5667">
        <v>35</v>
      </c>
      <c r="AC5667">
        <v>0.61600000000001298</v>
      </c>
      <c r="AD5667">
        <v>-0.1226969</v>
      </c>
      <c r="AE5667">
        <v>-0.103000000000008</v>
      </c>
      <c r="AF5667">
        <v>7.1334695935455605E-2</v>
      </c>
      <c r="AG5667">
        <v>-0.1226969</v>
      </c>
      <c r="AH5667">
        <v>0.59709699758230705</v>
      </c>
      <c r="AI5667">
        <v>101.532226738445</v>
      </c>
      <c r="AJ5667">
        <v>83.187209785993801</v>
      </c>
      <c r="AK5667">
        <v>0.61373283490100095</v>
      </c>
    </row>
    <row r="5668" spans="1:37" x14ac:dyDescent="0.2">
      <c r="A5668" t="str">
        <f>"20200111154212912"</f>
        <v>20200111154212912</v>
      </c>
      <c r="B5668" t="str">
        <f>"1578728532901576"</f>
        <v>1578728532901576</v>
      </c>
      <c r="C5668" t="s">
        <v>37</v>
      </c>
      <c r="D5668">
        <v>5.860144</v>
      </c>
      <c r="E5668">
        <v>0.54105190000000003</v>
      </c>
      <c r="F5668" t="s">
        <v>38</v>
      </c>
      <c r="G5668">
        <v>-156.63460000000001</v>
      </c>
      <c r="H5668">
        <v>0.98916859999999995</v>
      </c>
      <c r="I5668">
        <v>138.5789</v>
      </c>
      <c r="J5668">
        <v>-157.20339999999999</v>
      </c>
      <c r="K5668">
        <v>1.110239</v>
      </c>
      <c r="L5668">
        <v>138.6772</v>
      </c>
      <c r="M5668">
        <v>0.99876889999999996</v>
      </c>
      <c r="N5668">
        <v>0</v>
      </c>
      <c r="O5668">
        <v>-4.6737260000000003E-2</v>
      </c>
      <c r="P5668">
        <v>0.99979050000000003</v>
      </c>
      <c r="Q5668">
        <v>2.025768E-2</v>
      </c>
      <c r="R5668">
        <v>-2.8679389999999999E-3</v>
      </c>
      <c r="S5668">
        <v>3.0071870000000001</v>
      </c>
      <c r="T5668">
        <v>-0.38970479999999902</v>
      </c>
      <c r="U5668">
        <v>-0.37242129999999901</v>
      </c>
      <c r="V5668">
        <v>-4.3824889999999998E-2</v>
      </c>
      <c r="W5668">
        <v>3.6911510000000002E-2</v>
      </c>
      <c r="X5668">
        <v>0.9983571</v>
      </c>
      <c r="Y5668">
        <v>7.6139170000000006E-2</v>
      </c>
      <c r="Z5668">
        <v>1.109245E-3</v>
      </c>
      <c r="AA5668">
        <v>0.9970966</v>
      </c>
      <c r="AB5668">
        <v>35</v>
      </c>
      <c r="AC5668">
        <v>0.56879999999998099</v>
      </c>
      <c r="AD5668">
        <v>-0.12107039999999999</v>
      </c>
      <c r="AE5668">
        <v>-9.8299999999994697E-2</v>
      </c>
      <c r="AF5668">
        <v>6.8587411164857795E-2</v>
      </c>
      <c r="AG5668">
        <v>-0.12107039999999999</v>
      </c>
      <c r="AH5668">
        <v>0.54863739134107403</v>
      </c>
      <c r="AI5668">
        <v>102.351130253804</v>
      </c>
      <c r="AJ5668">
        <v>82.874188060637906</v>
      </c>
      <c r="AK5668">
        <v>0.56600818183485302</v>
      </c>
    </row>
    <row r="5669" spans="1:37" x14ac:dyDescent="0.2">
      <c r="A5669" t="str">
        <f>"20200111154213000"</f>
        <v>20200111154213000</v>
      </c>
      <c r="B5669" t="str">
        <f>"1578728532991367"</f>
        <v>1578728532991367</v>
      </c>
      <c r="C5669" t="s">
        <v>37</v>
      </c>
      <c r="D5669">
        <v>5.8913869999999999</v>
      </c>
      <c r="E5669">
        <v>0.57622399999999996</v>
      </c>
      <c r="F5669" t="s">
        <v>38</v>
      </c>
      <c r="G5669">
        <v>-155.37200000000001</v>
      </c>
      <c r="H5669">
        <v>1.0029030000000001</v>
      </c>
      <c r="I5669">
        <v>138.53399999999999</v>
      </c>
      <c r="J5669">
        <v>-155.82399999999899</v>
      </c>
      <c r="K5669">
        <v>1.1109370000000001</v>
      </c>
      <c r="L5669">
        <v>138.6129</v>
      </c>
      <c r="M5669">
        <v>0.99880029999999997</v>
      </c>
      <c r="N5669">
        <v>0</v>
      </c>
      <c r="O5669">
        <v>-4.5986880000000001E-2</v>
      </c>
      <c r="P5669">
        <v>0.99990249999999903</v>
      </c>
      <c r="Q5669">
        <v>1.3633370000000001E-2</v>
      </c>
      <c r="R5669">
        <v>3.0656139999999999E-3</v>
      </c>
      <c r="S5669">
        <v>3.009109</v>
      </c>
      <c r="T5669">
        <v>-0.395009</v>
      </c>
      <c r="U5669">
        <v>-0.35070800000000002</v>
      </c>
      <c r="V5669">
        <v>-4.9057299999999998E-2</v>
      </c>
      <c r="W5669">
        <v>3.0427360000000001E-2</v>
      </c>
      <c r="X5669">
        <v>0.99833240000000001</v>
      </c>
      <c r="Y5669">
        <v>6.9757420000000001E-2</v>
      </c>
      <c r="Z5669">
        <v>1.4423939999999901E-3</v>
      </c>
      <c r="AA5669">
        <v>0.99756290000000003</v>
      </c>
      <c r="AB5669">
        <v>35</v>
      </c>
      <c r="AC5669">
        <v>0.45199999999996898</v>
      </c>
      <c r="AD5669">
        <v>-0.10803399999999901</v>
      </c>
      <c r="AE5669">
        <v>-7.8900000000004397E-2</v>
      </c>
      <c r="AF5669">
        <v>5.4979528159852298E-2</v>
      </c>
      <c r="AG5669">
        <v>-0.10803399999999901</v>
      </c>
      <c r="AH5669">
        <v>0.43124322983886798</v>
      </c>
      <c r="AI5669">
        <v>103.95565601360001</v>
      </c>
      <c r="AJ5669">
        <v>82.734512361670497</v>
      </c>
      <c r="AK5669">
        <v>0.44795626678788503</v>
      </c>
    </row>
    <row r="5670" spans="1:37" x14ac:dyDescent="0.2">
      <c r="A5670" t="str">
        <f>"20200111154213020"</f>
        <v>20200111154213020</v>
      </c>
      <c r="B5670" t="str">
        <f>"1578728533011863"</f>
        <v>1578728533011863</v>
      </c>
      <c r="C5670" t="s">
        <v>37</v>
      </c>
      <c r="D5670">
        <v>5.8621220000000003</v>
      </c>
      <c r="E5670">
        <v>0.58096719999999902</v>
      </c>
      <c r="F5670" t="s">
        <v>38</v>
      </c>
      <c r="G5670">
        <v>-155.15950000000001</v>
      </c>
      <c r="H5670">
        <v>0.78702749999999999</v>
      </c>
      <c r="I5670">
        <v>138.45769999999999</v>
      </c>
      <c r="J5670">
        <v>-155.49709999999999</v>
      </c>
      <c r="K5670">
        <v>1.1111</v>
      </c>
      <c r="L5670">
        <v>138.59819999999999</v>
      </c>
      <c r="M5670">
        <v>0.99881629999999999</v>
      </c>
      <c r="N5670">
        <v>0</v>
      </c>
      <c r="O5670">
        <v>-4.5578140000000003E-2</v>
      </c>
      <c r="P5670">
        <v>0.99994309999999997</v>
      </c>
      <c r="Q5670">
        <v>1.0603899999999999E-2</v>
      </c>
      <c r="R5670">
        <v>1.4076779999999899E-3</v>
      </c>
      <c r="S5670">
        <v>3.0225219999999999</v>
      </c>
      <c r="T5670">
        <v>-1.4732179999999999</v>
      </c>
      <c r="U5670">
        <v>-0.7050476</v>
      </c>
      <c r="V5670">
        <v>-4.7002229999999999E-2</v>
      </c>
      <c r="W5670">
        <v>2.756134E-2</v>
      </c>
      <c r="X5670">
        <v>0.99851449999999997</v>
      </c>
      <c r="Y5670">
        <v>0.169337299999999</v>
      </c>
      <c r="Z5670">
        <v>-1.7863150000000001E-2</v>
      </c>
      <c r="AA5670">
        <v>0.9853963</v>
      </c>
      <c r="AB5670">
        <v>35</v>
      </c>
      <c r="AC5670">
        <v>0.33759999999998003</v>
      </c>
      <c r="AD5670">
        <v>-0.32407249999999999</v>
      </c>
      <c r="AE5670">
        <v>-0.14050000000000201</v>
      </c>
      <c r="AF5670">
        <v>6.9991291064842295E-2</v>
      </c>
      <c r="AG5670">
        <v>-0.32407249999999999</v>
      </c>
      <c r="AH5670">
        <v>0.19247672756940101</v>
      </c>
      <c r="AI5670">
        <v>147.70792447413501</v>
      </c>
      <c r="AJ5670">
        <v>70.016958215590293</v>
      </c>
      <c r="AK5670">
        <v>0.38336543497947101</v>
      </c>
    </row>
    <row r="5671" spans="1:37" x14ac:dyDescent="0.2">
      <c r="A5671" t="str">
        <f>"20200111154213043"</f>
        <v>20200111154213043</v>
      </c>
      <c r="B5671" t="str">
        <f>"1578728533031383"</f>
        <v>1578728533031383</v>
      </c>
      <c r="C5671" t="s">
        <v>37</v>
      </c>
      <c r="D5671">
        <v>5.9335610000000001</v>
      </c>
      <c r="E5671">
        <v>0.57846299999999995</v>
      </c>
      <c r="F5671" t="s">
        <v>38</v>
      </c>
      <c r="G5671">
        <v>-154.8383</v>
      </c>
      <c r="H5671">
        <v>0.8132895</v>
      </c>
      <c r="I5671">
        <v>138.43690000000001</v>
      </c>
      <c r="J5671">
        <v>-155.15260000000001</v>
      </c>
      <c r="K5671">
        <v>1.111259</v>
      </c>
      <c r="L5671">
        <v>138.583</v>
      </c>
      <c r="M5671">
        <v>0.99883639999999996</v>
      </c>
      <c r="N5671">
        <v>0</v>
      </c>
      <c r="O5671">
        <v>-4.5045450000000001E-2</v>
      </c>
      <c r="P5671">
        <v>0.99997689999999995</v>
      </c>
      <c r="Q5671">
        <v>6.7968219999999897E-3</v>
      </c>
      <c r="R5671">
        <v>-5.1840730000000002E-4</v>
      </c>
      <c r="S5671">
        <v>3.0156559999999999</v>
      </c>
      <c r="T5671">
        <v>-1.3632649999999999</v>
      </c>
      <c r="U5671">
        <v>-0.73759459999999999</v>
      </c>
      <c r="V5671">
        <v>-4.4551760000000003E-2</v>
      </c>
      <c r="W5671">
        <v>2.397958E-2</v>
      </c>
      <c r="X5671">
        <v>0.99871919999999903</v>
      </c>
      <c r="Y5671">
        <v>0.1810784</v>
      </c>
      <c r="Z5671">
        <v>-1.9389150000000001E-2</v>
      </c>
      <c r="AA5671">
        <v>0.98327749999999903</v>
      </c>
      <c r="AB5671">
        <v>35</v>
      </c>
      <c r="AC5671">
        <v>0.31430000000000202</v>
      </c>
      <c r="AD5671">
        <v>-0.2979695</v>
      </c>
      <c r="AE5671">
        <v>-0.14609999999998899</v>
      </c>
      <c r="AF5671">
        <v>7.5782332959416901E-2</v>
      </c>
      <c r="AG5671">
        <v>-0.2979695</v>
      </c>
      <c r="AH5671">
        <v>0.18432874247690101</v>
      </c>
      <c r="AI5671">
        <v>146.22315066785399</v>
      </c>
      <c r="AJ5671">
        <v>67.651163414177304</v>
      </c>
      <c r="AK5671">
        <v>0.358477154393606</v>
      </c>
    </row>
    <row r="5672" spans="1:37" x14ac:dyDescent="0.2">
      <c r="A5672" t="str">
        <f>"20200111154213065"</f>
        <v>20200111154213065</v>
      </c>
      <c r="B5672" t="str">
        <f>"1578728533061639"</f>
        <v>1578728533061639</v>
      </c>
      <c r="C5672" t="s">
        <v>37</v>
      </c>
      <c r="D5672">
        <v>6.0997180000000002</v>
      </c>
      <c r="E5672">
        <v>0.5776829</v>
      </c>
      <c r="F5672" t="s">
        <v>38</v>
      </c>
      <c r="G5672">
        <v>-154.51599999999999</v>
      </c>
      <c r="H5672">
        <v>0.844114899999999</v>
      </c>
      <c r="I5672">
        <v>138.43170000000001</v>
      </c>
      <c r="J5672">
        <v>-154.809</v>
      </c>
      <c r="K5672">
        <v>1.11138</v>
      </c>
      <c r="L5672">
        <v>138.56809999999999</v>
      </c>
      <c r="M5672">
        <v>0.99885959999999996</v>
      </c>
      <c r="N5672">
        <v>0</v>
      </c>
      <c r="O5672">
        <v>-4.4420929999999997E-2</v>
      </c>
      <c r="P5672">
        <v>0.99999450000000001</v>
      </c>
      <c r="Q5672">
        <v>-8.1004199999999997E-4</v>
      </c>
      <c r="R5672">
        <v>-3.2037599999999999E-3</v>
      </c>
      <c r="S5672">
        <v>3.008286</v>
      </c>
      <c r="T5672">
        <v>-1.262346</v>
      </c>
      <c r="U5672">
        <v>-0.71400450000000004</v>
      </c>
      <c r="V5672">
        <v>-4.124361E-2</v>
      </c>
      <c r="W5672">
        <v>1.6633999999999999E-2</v>
      </c>
      <c r="X5672">
        <v>0.99901059999999997</v>
      </c>
      <c r="Y5672">
        <v>0.17688799999999999</v>
      </c>
      <c r="Z5672">
        <v>-1.753269E-2</v>
      </c>
      <c r="AA5672">
        <v>0.98407479999999903</v>
      </c>
      <c r="AB5672">
        <v>35</v>
      </c>
      <c r="AC5672">
        <v>0.29300000000000598</v>
      </c>
      <c r="AD5672">
        <v>-0.26726509999999998</v>
      </c>
      <c r="AE5672">
        <v>-0.13639999999998001</v>
      </c>
      <c r="AF5672">
        <v>7.3194249832675501E-2</v>
      </c>
      <c r="AG5672">
        <v>-0.26726509999999998</v>
      </c>
      <c r="AH5672">
        <v>0.17743325495849699</v>
      </c>
      <c r="AI5672">
        <v>144.315848216994</v>
      </c>
      <c r="AJ5672">
        <v>67.583015774775703</v>
      </c>
      <c r="AK5672">
        <v>0.32904496934574901</v>
      </c>
    </row>
    <row r="5673" spans="1:37" x14ac:dyDescent="0.2">
      <c r="A5673" t="str">
        <f>"20200111154213087"</f>
        <v>20200111154213087</v>
      </c>
      <c r="B5673" t="str">
        <f>"1578728533082134"</f>
        <v>1578728533082134</v>
      </c>
      <c r="C5673" t="s">
        <v>37</v>
      </c>
      <c r="D5673">
        <v>6.0678429999999999</v>
      </c>
      <c r="E5673">
        <v>0.57024049999999904</v>
      </c>
      <c r="F5673" t="s">
        <v>38</v>
      </c>
      <c r="G5673">
        <v>-153.93379999999999</v>
      </c>
      <c r="H5673">
        <v>0.76146169999999902</v>
      </c>
      <c r="I5673">
        <v>138.36109999999999</v>
      </c>
      <c r="J5673">
        <v>-154.45689999999999</v>
      </c>
      <c r="K5673">
        <v>1.1114679999999999</v>
      </c>
      <c r="L5673">
        <v>138.5531</v>
      </c>
      <c r="M5673">
        <v>0.99888559999999904</v>
      </c>
      <c r="N5673">
        <v>0</v>
      </c>
      <c r="O5673">
        <v>-4.3719399999999999E-2</v>
      </c>
      <c r="P5673">
        <v>0.9999325</v>
      </c>
      <c r="Q5673">
        <v>-1.029036E-2</v>
      </c>
      <c r="R5673">
        <v>-5.4237859999999999E-3</v>
      </c>
      <c r="S5673">
        <v>2.99677999999999</v>
      </c>
      <c r="T5673">
        <v>-1.1981619999999999</v>
      </c>
      <c r="U5673">
        <v>-0.70800779999999996</v>
      </c>
      <c r="V5673">
        <v>-3.8313739999999999E-2</v>
      </c>
      <c r="W5673">
        <v>7.4388930000000002E-3</v>
      </c>
      <c r="X5673">
        <v>0.99923809999999902</v>
      </c>
      <c r="Y5673">
        <v>0.1774124</v>
      </c>
      <c r="Z5673">
        <v>-1.713085E-2</v>
      </c>
      <c r="AA5673">
        <v>0.98398750000000001</v>
      </c>
      <c r="AB5673">
        <v>35</v>
      </c>
      <c r="AC5673">
        <v>0.52309999999999901</v>
      </c>
      <c r="AD5673">
        <v>-0.35000629999999999</v>
      </c>
      <c r="AE5673">
        <v>-0.192000000000007</v>
      </c>
      <c r="AF5673">
        <v>0.12114594077552</v>
      </c>
      <c r="AG5673">
        <v>-0.35000629999999999</v>
      </c>
      <c r="AH5673">
        <v>0.38076662855196802</v>
      </c>
      <c r="AI5673">
        <v>131.21667831654801</v>
      </c>
      <c r="AJ5673">
        <v>72.350842850238905</v>
      </c>
      <c r="AK5673">
        <v>0.53119109031017098</v>
      </c>
    </row>
    <row r="5674" spans="1:37" x14ac:dyDescent="0.2">
      <c r="A5674" t="str">
        <f>"20200111154213110"</f>
        <v>20200111154213110</v>
      </c>
      <c r="B5674" t="str">
        <f>"1578728533101655"</f>
        <v>1578728533101655</v>
      </c>
      <c r="C5674" t="s">
        <v>37</v>
      </c>
      <c r="D5674">
        <v>6.0713739999999996</v>
      </c>
      <c r="E5674">
        <v>0.56900909999999905</v>
      </c>
      <c r="F5674" t="s">
        <v>38</v>
      </c>
      <c r="G5674">
        <v>-153.59</v>
      </c>
      <c r="H5674">
        <v>0.85620300000000005</v>
      </c>
      <c r="I5674">
        <v>138.3699</v>
      </c>
      <c r="J5674">
        <v>-154.11799999999999</v>
      </c>
      <c r="K5674">
        <v>1.111518</v>
      </c>
      <c r="L5674">
        <v>138.53890000000001</v>
      </c>
      <c r="M5674">
        <v>0.99891129999999995</v>
      </c>
      <c r="N5674">
        <v>0</v>
      </c>
      <c r="O5674">
        <v>-4.3009220000000001E-2</v>
      </c>
      <c r="P5674">
        <v>0.99979899999999999</v>
      </c>
      <c r="Q5674">
        <v>-1.8276810000000001E-2</v>
      </c>
      <c r="R5674">
        <v>-8.2341859999999992E-3</v>
      </c>
      <c r="S5674">
        <v>2.9877319999999998</v>
      </c>
      <c r="T5674">
        <v>-0.87973080000000003</v>
      </c>
      <c r="U5674">
        <v>-0.63122559999999905</v>
      </c>
      <c r="V5674">
        <v>-3.4780940000000003E-2</v>
      </c>
      <c r="W5674">
        <v>-2.6454730000000001E-4</v>
      </c>
      <c r="X5674">
        <v>0.99939500000000003</v>
      </c>
      <c r="Y5674">
        <v>0.1596957</v>
      </c>
      <c r="Z5674">
        <v>-1.052691E-2</v>
      </c>
      <c r="AA5674">
        <v>0.98711009999999999</v>
      </c>
      <c r="AB5674">
        <v>34</v>
      </c>
      <c r="AC5674">
        <v>0.52799999999999103</v>
      </c>
      <c r="AD5674">
        <v>-0.25531500000000001</v>
      </c>
      <c r="AE5674">
        <v>-0.169000000000011</v>
      </c>
      <c r="AF5674">
        <v>0.120560867357941</v>
      </c>
      <c r="AG5674">
        <v>-0.25531500000000001</v>
      </c>
      <c r="AH5674">
        <v>0.44120457444278199</v>
      </c>
      <c r="AI5674">
        <v>119.17078239497</v>
      </c>
      <c r="AJ5674">
        <v>74.716800868546102</v>
      </c>
      <c r="AK5674">
        <v>0.52381499450887803</v>
      </c>
    </row>
    <row r="5675" spans="1:37" x14ac:dyDescent="0.2">
      <c r="A5675" t="str">
        <f>"20200111154213133"</f>
        <v>20200111154213133</v>
      </c>
      <c r="B5675" t="str">
        <f>"1578728533122151"</f>
        <v>1578728533122151</v>
      </c>
      <c r="C5675" t="s">
        <v>37</v>
      </c>
      <c r="D5675">
        <v>6.0694720000000002</v>
      </c>
      <c r="E5675">
        <v>0.56865469999999996</v>
      </c>
      <c r="F5675" t="s">
        <v>38</v>
      </c>
      <c r="G5675">
        <v>-153.28710000000001</v>
      </c>
      <c r="H5675">
        <v>0.85247469999999903</v>
      </c>
      <c r="I5675">
        <v>138.36279999999999</v>
      </c>
      <c r="J5675">
        <v>-153.7646</v>
      </c>
      <c r="K5675">
        <v>1.1115629999999901</v>
      </c>
      <c r="L5675">
        <v>138.52449999999999</v>
      </c>
      <c r="M5675">
        <v>0.99893829999999995</v>
      </c>
      <c r="N5675">
        <v>0</v>
      </c>
      <c r="O5675">
        <v>-4.2254010000000002E-2</v>
      </c>
      <c r="P5675">
        <v>0.99960550000000004</v>
      </c>
      <c r="Q5675">
        <v>-2.5309789999999999E-2</v>
      </c>
      <c r="R5675">
        <v>-1.218517E-2</v>
      </c>
      <c r="S5675">
        <v>2.9784090000000001</v>
      </c>
      <c r="T5675">
        <v>-0.92862960000000006</v>
      </c>
      <c r="U5675">
        <v>-0.63096619999999903</v>
      </c>
      <c r="V5675">
        <v>-3.0060090000000001E-2</v>
      </c>
      <c r="W5675">
        <v>-7.0040709999999997E-3</v>
      </c>
      <c r="X5675">
        <v>0.99952359999999896</v>
      </c>
      <c r="Y5675">
        <v>0.16035839999999901</v>
      </c>
      <c r="Z5675">
        <v>-1.14465E-2</v>
      </c>
      <c r="AA5675">
        <v>0.98699249999999905</v>
      </c>
      <c r="AB5675">
        <v>34</v>
      </c>
      <c r="AC5675">
        <v>0.47749999999999199</v>
      </c>
      <c r="AD5675">
        <v>-0.25908829999999899</v>
      </c>
      <c r="AE5675">
        <v>-0.16169999999999601</v>
      </c>
      <c r="AF5675">
        <v>0.111837426313696</v>
      </c>
      <c r="AG5675">
        <v>-0.25908829999999899</v>
      </c>
      <c r="AH5675">
        <v>0.38280170955522502</v>
      </c>
      <c r="AI5675">
        <v>123.010290935591</v>
      </c>
      <c r="AJ5675">
        <v>73.714013811589297</v>
      </c>
      <c r="AK5675">
        <v>0.475574921500035</v>
      </c>
    </row>
    <row r="5676" spans="1:37" x14ac:dyDescent="0.2">
      <c r="A5676" t="str">
        <f>"20200111154213155"</f>
        <v>20200111154213155</v>
      </c>
      <c r="B5676" t="str">
        <f>"1578728533151431"</f>
        <v>1578728533151431</v>
      </c>
      <c r="C5676" t="s">
        <v>37</v>
      </c>
      <c r="D5676">
        <v>6.1189980000000004</v>
      </c>
      <c r="E5676">
        <v>0.56784730000000005</v>
      </c>
      <c r="F5676" t="s">
        <v>38</v>
      </c>
      <c r="G5676">
        <v>-152.98220000000001</v>
      </c>
      <c r="H5676">
        <v>0.8564311</v>
      </c>
      <c r="I5676">
        <v>138.35560000000001</v>
      </c>
      <c r="J5676">
        <v>-153.4342</v>
      </c>
      <c r="K5676">
        <v>1.1115820000000001</v>
      </c>
      <c r="L5676">
        <v>138.5112</v>
      </c>
      <c r="M5676">
        <v>0.99896260000000003</v>
      </c>
      <c r="N5676">
        <v>0</v>
      </c>
      <c r="O5676">
        <v>-4.1556299999999997E-2</v>
      </c>
      <c r="P5676">
        <v>0.99935249999999998</v>
      </c>
      <c r="Q5676">
        <v>-3.252915E-2</v>
      </c>
      <c r="R5676">
        <v>-1.5392970000000001E-2</v>
      </c>
      <c r="S5676">
        <v>2.9688720000000002</v>
      </c>
      <c r="T5676">
        <v>-0.96813229999999995</v>
      </c>
      <c r="U5676">
        <v>-0.64050289999999999</v>
      </c>
      <c r="V5676">
        <v>-2.6137380000000002E-2</v>
      </c>
      <c r="W5676">
        <v>-1.3944979999999999E-2</v>
      </c>
      <c r="X5676">
        <v>0.99956109999999898</v>
      </c>
      <c r="Y5676">
        <v>0.16401879999999999</v>
      </c>
      <c r="Z5676">
        <v>-1.273728E-2</v>
      </c>
      <c r="AA5676">
        <v>0.986375</v>
      </c>
      <c r="AB5676">
        <v>34</v>
      </c>
      <c r="AC5676">
        <v>0.45199999999999801</v>
      </c>
      <c r="AD5676">
        <v>-0.25515090000000001</v>
      </c>
      <c r="AE5676">
        <v>-0.15559999999999199</v>
      </c>
      <c r="AF5676">
        <v>0.106373870797959</v>
      </c>
      <c r="AG5676">
        <v>-0.25515090000000001</v>
      </c>
      <c r="AH5676">
        <v>0.35651014217308902</v>
      </c>
      <c r="AI5676">
        <v>124.442836046354</v>
      </c>
      <c r="AJ5676">
        <v>73.386188754689897</v>
      </c>
      <c r="AK5676">
        <v>0.45112843363240501</v>
      </c>
    </row>
    <row r="5677" spans="1:37" x14ac:dyDescent="0.2">
      <c r="A5677" t="str">
        <f>"20200111154213177"</f>
        <v>20200111154213177</v>
      </c>
      <c r="B5677" t="str">
        <f>"1578728533171926"</f>
        <v>1578728533171926</v>
      </c>
      <c r="C5677" t="s">
        <v>37</v>
      </c>
      <c r="D5677">
        <v>6.1454559999999896</v>
      </c>
      <c r="E5677">
        <v>0.5670096</v>
      </c>
      <c r="F5677" t="s">
        <v>38</v>
      </c>
      <c r="G5677">
        <v>-152.67949999999999</v>
      </c>
      <c r="H5677">
        <v>0.85801090000000002</v>
      </c>
      <c r="I5677">
        <v>138.34690000000001</v>
      </c>
      <c r="J5677">
        <v>-153.10159999999999</v>
      </c>
      <c r="K5677">
        <v>1.1116059999999901</v>
      </c>
      <c r="L5677">
        <v>138.4982</v>
      </c>
      <c r="M5677">
        <v>0.99898509999999996</v>
      </c>
      <c r="N5677">
        <v>0</v>
      </c>
      <c r="O5677">
        <v>-4.0875870000000002E-2</v>
      </c>
      <c r="P5677">
        <v>0.99923289999999998</v>
      </c>
      <c r="Q5677">
        <v>-3.5263929999999999E-2</v>
      </c>
      <c r="R5677">
        <v>-1.703849E-2</v>
      </c>
      <c r="S5677">
        <v>2.9596709999999899</v>
      </c>
      <c r="T5677">
        <v>-0.99438210000000005</v>
      </c>
      <c r="U5677">
        <v>-0.64413450000000005</v>
      </c>
      <c r="V5677">
        <v>-2.3804289999999999E-2</v>
      </c>
      <c r="W5677">
        <v>-1.6390620000000002E-2</v>
      </c>
      <c r="X5677">
        <v>0.99958230000000003</v>
      </c>
      <c r="Y5677">
        <v>0.1659786</v>
      </c>
      <c r="Z5677">
        <v>-1.3638239999999999E-2</v>
      </c>
      <c r="AA5677">
        <v>0.98603499999999999</v>
      </c>
      <c r="AB5677">
        <v>34</v>
      </c>
      <c r="AC5677">
        <v>0.42209999999999998</v>
      </c>
      <c r="AD5677">
        <v>-0.25359509999999902</v>
      </c>
      <c r="AE5677">
        <v>-0.151299999999992</v>
      </c>
      <c r="AF5677">
        <v>0.101463046773482</v>
      </c>
      <c r="AG5677">
        <v>-0.25359509999999902</v>
      </c>
      <c r="AH5677">
        <v>0.32422658780158398</v>
      </c>
      <c r="AI5677">
        <v>126.73975636479</v>
      </c>
      <c r="AJ5677">
        <v>72.623078853821696</v>
      </c>
      <c r="AK5677">
        <v>0.423943516098579</v>
      </c>
    </row>
    <row r="5678" spans="1:37" x14ac:dyDescent="0.2">
      <c r="A5678" t="str">
        <f>"20200111154213200"</f>
        <v>20200111154213200</v>
      </c>
      <c r="B5678" t="str">
        <f>"1578728533191447"</f>
        <v>1578728533191447</v>
      </c>
      <c r="C5678" t="s">
        <v>37</v>
      </c>
      <c r="D5678">
        <v>6.1034470000000001</v>
      </c>
      <c r="E5678">
        <v>0.56762550000000001</v>
      </c>
      <c r="F5678" t="s">
        <v>38</v>
      </c>
      <c r="G5678">
        <v>-152.37549999999999</v>
      </c>
      <c r="H5678">
        <v>0.86600049999999995</v>
      </c>
      <c r="I5678">
        <v>138.34</v>
      </c>
      <c r="J5678">
        <v>-152.77099999999999</v>
      </c>
      <c r="K5678">
        <v>1.111639</v>
      </c>
      <c r="L5678">
        <v>138.4853</v>
      </c>
      <c r="M5678">
        <v>0.99900610000000001</v>
      </c>
      <c r="N5678">
        <v>0</v>
      </c>
      <c r="O5678">
        <v>-4.0229809999999998E-2</v>
      </c>
      <c r="P5678">
        <v>0.99930379999999996</v>
      </c>
      <c r="Q5678">
        <v>-3.2218579999999997E-2</v>
      </c>
      <c r="R5678">
        <v>-1.8825649999999999E-2</v>
      </c>
      <c r="S5678">
        <v>2.9560390000000001</v>
      </c>
      <c r="T5678">
        <v>-0.99987709999999996</v>
      </c>
      <c r="U5678">
        <v>-0.64355469999999904</v>
      </c>
      <c r="V5678">
        <v>-2.1380610000000001E-2</v>
      </c>
      <c r="W5678">
        <v>-1.306061E-2</v>
      </c>
      <c r="X5678">
        <v>0.99968609999999902</v>
      </c>
      <c r="Y5678">
        <v>0.16653199999999899</v>
      </c>
      <c r="Z5678">
        <v>-1.402547E-2</v>
      </c>
      <c r="AA5678">
        <v>0.98593629999999999</v>
      </c>
      <c r="AB5678">
        <v>34</v>
      </c>
      <c r="AC5678">
        <v>0.395500000000026</v>
      </c>
      <c r="AD5678">
        <v>-0.24563850000000001</v>
      </c>
      <c r="AE5678">
        <v>-0.14529999999999099</v>
      </c>
      <c r="AF5678">
        <v>9.6478251369120804E-2</v>
      </c>
      <c r="AG5678">
        <v>-0.24563850000000001</v>
      </c>
      <c r="AH5678">
        <v>0.29930185316601099</v>
      </c>
      <c r="AI5678">
        <v>127.994315055035</v>
      </c>
      <c r="AJ5678">
        <v>72.133568656930393</v>
      </c>
      <c r="AK5678">
        <v>0.399033739147584</v>
      </c>
    </row>
    <row r="5679" spans="1:37" x14ac:dyDescent="0.2">
      <c r="A5679" t="str">
        <f>"20200111154213221"</f>
        <v>20200111154213221</v>
      </c>
      <c r="B5679" t="str">
        <f>"1578728533211943"</f>
        <v>1578728533211943</v>
      </c>
      <c r="C5679" t="s">
        <v>37</v>
      </c>
      <c r="D5679">
        <v>6.1028900000000004</v>
      </c>
      <c r="E5679">
        <v>0.56862049999999997</v>
      </c>
      <c r="F5679" t="s">
        <v>38</v>
      </c>
      <c r="G5679">
        <v>-152.0703</v>
      </c>
      <c r="H5679">
        <v>0.87943069999999901</v>
      </c>
      <c r="I5679">
        <v>138.33019999999999</v>
      </c>
      <c r="J5679">
        <v>-152.44450000000001</v>
      </c>
      <c r="K5679">
        <v>1.1116680000000001</v>
      </c>
      <c r="L5679">
        <v>138.47280000000001</v>
      </c>
      <c r="M5679">
        <v>0.99902500000000005</v>
      </c>
      <c r="N5679">
        <v>0</v>
      </c>
      <c r="O5679">
        <v>-3.9628480000000001E-2</v>
      </c>
      <c r="P5679">
        <v>0.99939480000000003</v>
      </c>
      <c r="Q5679">
        <v>-2.876397E-2</v>
      </c>
      <c r="R5679">
        <v>-1.9560899999999999E-2</v>
      </c>
      <c r="S5679">
        <v>2.958145</v>
      </c>
      <c r="T5679">
        <v>-0.98034299999999996</v>
      </c>
      <c r="U5679">
        <v>-0.65423580000000003</v>
      </c>
      <c r="V5679">
        <v>-2.0053379999999999E-2</v>
      </c>
      <c r="W5679">
        <v>-9.3352720000000004E-3</v>
      </c>
      <c r="X5679">
        <v>0.99975530000000001</v>
      </c>
      <c r="Y5679">
        <v>0.17041329999999999</v>
      </c>
      <c r="Z5679">
        <v>-1.4562179999999999E-2</v>
      </c>
      <c r="AA5679">
        <v>0.9852651</v>
      </c>
      <c r="AB5679">
        <v>34</v>
      </c>
      <c r="AC5679">
        <v>0.37420000000000098</v>
      </c>
      <c r="AD5679">
        <v>-0.23223730000000001</v>
      </c>
      <c r="AE5679">
        <v>-0.14260000000001499</v>
      </c>
      <c r="AF5679">
        <v>9.55273532909411E-2</v>
      </c>
      <c r="AG5679">
        <v>-0.23223730000000001</v>
      </c>
      <c r="AH5679">
        <v>0.28402997286869203</v>
      </c>
      <c r="AI5679">
        <v>127.77541144377101</v>
      </c>
      <c r="AJ5679">
        <v>71.410744723303296</v>
      </c>
      <c r="AK5679">
        <v>0.37912090977134499</v>
      </c>
    </row>
    <row r="5680" spans="1:37" x14ac:dyDescent="0.2">
      <c r="A5680" t="str">
        <f>"20200111154213244"</f>
        <v>20200111154213244</v>
      </c>
      <c r="B5680" t="str">
        <f>"1578728533231462"</f>
        <v>1578728533231462</v>
      </c>
      <c r="C5680" t="s">
        <v>37</v>
      </c>
      <c r="D5680">
        <v>6.0666529999999996</v>
      </c>
      <c r="E5680">
        <v>0.56865919999999903</v>
      </c>
      <c r="F5680" t="s">
        <v>38</v>
      </c>
      <c r="G5680">
        <v>-151.76689999999999</v>
      </c>
      <c r="H5680">
        <v>0.89221740000000005</v>
      </c>
      <c r="I5680">
        <v>138.32069999999999</v>
      </c>
      <c r="J5680">
        <v>-152.11590000000001</v>
      </c>
      <c r="K5680">
        <v>1.1116950000000001</v>
      </c>
      <c r="L5680">
        <v>138.46039999999999</v>
      </c>
      <c r="M5680">
        <v>0.99904169999999903</v>
      </c>
      <c r="N5680">
        <v>0</v>
      </c>
      <c r="O5680">
        <v>-3.9068390000000001E-2</v>
      </c>
      <c r="P5680">
        <v>0.99952830000000004</v>
      </c>
      <c r="Q5680">
        <v>-2.4895400000000002E-2</v>
      </c>
      <c r="R5680">
        <v>-1.7983840000000001E-2</v>
      </c>
      <c r="S5680">
        <v>2.9612270000000001</v>
      </c>
      <c r="T5680">
        <v>-0.95906420000000003</v>
      </c>
      <c r="U5680">
        <v>-0.66456599999999999</v>
      </c>
      <c r="V5680">
        <v>-2.108086E-2</v>
      </c>
      <c r="W5680">
        <v>-5.200166E-3</v>
      </c>
      <c r="X5680">
        <v>0.99976430000000005</v>
      </c>
      <c r="Y5680">
        <v>0.17411270000000001</v>
      </c>
      <c r="Z5680">
        <v>-1.499438E-2</v>
      </c>
      <c r="AA5680">
        <v>0.98461160000000003</v>
      </c>
      <c r="AB5680">
        <v>33</v>
      </c>
      <c r="AC5680">
        <v>0.34900000000001802</v>
      </c>
      <c r="AD5680">
        <v>-0.21947759999999999</v>
      </c>
      <c r="AE5680">
        <v>-0.13970000000000399</v>
      </c>
      <c r="AF5680">
        <v>9.39360306788012E-2</v>
      </c>
      <c r="AG5680">
        <v>-0.21947759999999999</v>
      </c>
      <c r="AH5680">
        <v>0.26415163282007198</v>
      </c>
      <c r="AI5680">
        <v>128.05562852439701</v>
      </c>
      <c r="AJ5680">
        <v>70.423899128768397</v>
      </c>
      <c r="AK5680">
        <v>0.356048423508599</v>
      </c>
    </row>
    <row r="5681" spans="1:37" x14ac:dyDescent="0.2">
      <c r="A5681" t="str">
        <f>"20200111154213267"</f>
        <v>20200111154213267</v>
      </c>
      <c r="B5681" t="str">
        <f>"1578728533261719"</f>
        <v>1578728533261719</v>
      </c>
      <c r="C5681" t="s">
        <v>37</v>
      </c>
      <c r="D5681">
        <v>6.4330220000000002</v>
      </c>
      <c r="E5681">
        <v>0.56841660000000005</v>
      </c>
      <c r="F5681" t="s">
        <v>38</v>
      </c>
      <c r="G5681">
        <v>-151.2055</v>
      </c>
      <c r="H5681">
        <v>0.82308859999999995</v>
      </c>
      <c r="I5681">
        <v>138.25749999999999</v>
      </c>
      <c r="J5681">
        <v>-151.77180000000001</v>
      </c>
      <c r="K5681">
        <v>1.1117139999999901</v>
      </c>
      <c r="L5681">
        <v>138.44759999999999</v>
      </c>
      <c r="M5681">
        <v>0.99905699999999997</v>
      </c>
      <c r="N5681">
        <v>0</v>
      </c>
      <c r="O5681">
        <v>-3.8535489999999999E-2</v>
      </c>
      <c r="P5681">
        <v>0.99967850000000003</v>
      </c>
      <c r="Q5681">
        <v>-1.9938150000000002E-2</v>
      </c>
      <c r="R5681">
        <v>-1.567526E-2</v>
      </c>
      <c r="S5681">
        <v>2.9661249999999999</v>
      </c>
      <c r="T5681">
        <v>-0.94030630000000004</v>
      </c>
      <c r="U5681">
        <v>-0.66093440000000003</v>
      </c>
      <c r="V5681">
        <v>-2.286695E-2</v>
      </c>
      <c r="W5681" s="1">
        <v>3.4607599999999997E-5</v>
      </c>
      <c r="X5681">
        <v>0.99973849999999997</v>
      </c>
      <c r="Y5681">
        <v>0.173415299999999</v>
      </c>
      <c r="Z5681">
        <v>-1.474951E-2</v>
      </c>
      <c r="AA5681">
        <v>0.98473829999999996</v>
      </c>
      <c r="AB5681">
        <v>33</v>
      </c>
      <c r="AC5681">
        <v>0.56630000000001202</v>
      </c>
      <c r="AD5681">
        <v>-0.28862539999999898</v>
      </c>
      <c r="AE5681">
        <v>-0.19010000000000099</v>
      </c>
      <c r="AF5681">
        <v>0.13630957288703699</v>
      </c>
      <c r="AG5681">
        <v>-0.28862539999999898</v>
      </c>
      <c r="AH5681">
        <v>0.46471598206923198</v>
      </c>
      <c r="AI5681">
        <v>120.79370492765599</v>
      </c>
      <c r="AJ5681">
        <v>73.652636199950294</v>
      </c>
      <c r="AK5681">
        <v>0.56377820565926196</v>
      </c>
    </row>
    <row r="5682" spans="1:37" x14ac:dyDescent="0.2">
      <c r="A5682" t="str">
        <f>"20200111154213289"</f>
        <v>20200111154213289</v>
      </c>
      <c r="B5682" t="str">
        <f>"1578728533281239"</f>
        <v>1578728533281239</v>
      </c>
      <c r="C5682" t="s">
        <v>37</v>
      </c>
      <c r="D5682">
        <v>6.1290550000000001</v>
      </c>
      <c r="E5682">
        <v>0.56825979999999998</v>
      </c>
      <c r="F5682" t="s">
        <v>38</v>
      </c>
      <c r="G5682">
        <v>-150.90280000000001</v>
      </c>
      <c r="H5682">
        <v>0.84460900000000005</v>
      </c>
      <c r="I5682">
        <v>138.25720000000001</v>
      </c>
      <c r="J5682">
        <v>-151.4487</v>
      </c>
      <c r="K5682">
        <v>1.111742</v>
      </c>
      <c r="L5682">
        <v>138.4357</v>
      </c>
      <c r="M5682">
        <v>0.9990696</v>
      </c>
      <c r="N5682">
        <v>0</v>
      </c>
      <c r="O5682">
        <v>-3.8074759999999999E-2</v>
      </c>
      <c r="P5682">
        <v>0.9998049</v>
      </c>
      <c r="Q5682">
        <v>-1.5020250000000001E-2</v>
      </c>
      <c r="R5682">
        <v>-1.2844950000000001E-2</v>
      </c>
      <c r="S5682">
        <v>2.9725489999999999</v>
      </c>
      <c r="T5682">
        <v>-0.91365859999999999</v>
      </c>
      <c r="U5682">
        <v>-0.65126039999999996</v>
      </c>
      <c r="V5682">
        <v>-2.524533E-2</v>
      </c>
      <c r="W5682">
        <v>5.2073400000000004E-3</v>
      </c>
      <c r="X5682">
        <v>0.99966769999999905</v>
      </c>
      <c r="Y5682">
        <v>0.17081789999999999</v>
      </c>
      <c r="Z5682">
        <v>-1.407576E-2</v>
      </c>
      <c r="AA5682">
        <v>0.98520209999999997</v>
      </c>
      <c r="AB5682">
        <v>33</v>
      </c>
      <c r="AC5682">
        <v>0.54589999999998895</v>
      </c>
      <c r="AD5682">
        <v>-0.26713299999999901</v>
      </c>
      <c r="AE5682">
        <v>-0.178499999999985</v>
      </c>
      <c r="AF5682">
        <v>0.129554848435909</v>
      </c>
      <c r="AG5682">
        <v>-0.26713299999999901</v>
      </c>
      <c r="AH5682">
        <v>0.45407288822727798</v>
      </c>
      <c r="AI5682">
        <v>119.49805173697</v>
      </c>
      <c r="AJ5682">
        <v>74.075635497598896</v>
      </c>
      <c r="AK5682">
        <v>0.54251883494060704</v>
      </c>
    </row>
    <row r="5683" spans="1:37" x14ac:dyDescent="0.2">
      <c r="A5683" t="str">
        <f>"20200111154213312"</f>
        <v>20200111154213312</v>
      </c>
      <c r="B5683" t="str">
        <f>"1578728533301735"</f>
        <v>1578728533301735</v>
      </c>
      <c r="C5683" t="s">
        <v>37</v>
      </c>
      <c r="D5683">
        <v>6.1245539999999998</v>
      </c>
      <c r="E5683">
        <v>0.56775819999999999</v>
      </c>
      <c r="F5683" t="s">
        <v>38</v>
      </c>
      <c r="G5683">
        <v>-150.6052</v>
      </c>
      <c r="H5683">
        <v>0.85772179999999998</v>
      </c>
      <c r="I5683">
        <v>138.2544</v>
      </c>
      <c r="J5683">
        <v>-151.1155</v>
      </c>
      <c r="K5683">
        <v>1.111756</v>
      </c>
      <c r="L5683">
        <v>138.42359999999999</v>
      </c>
      <c r="M5683">
        <v>0.99908090000000005</v>
      </c>
      <c r="N5683">
        <v>0</v>
      </c>
      <c r="O5683">
        <v>-3.7641979999999998E-2</v>
      </c>
      <c r="P5683">
        <v>0.99989550000000005</v>
      </c>
      <c r="Q5683">
        <v>-1.081815E-2</v>
      </c>
      <c r="R5683">
        <v>-9.6086339999999996E-3</v>
      </c>
      <c r="S5683">
        <v>2.9788669999999899</v>
      </c>
      <c r="T5683">
        <v>-0.89717789999999997</v>
      </c>
      <c r="U5683">
        <v>-0.64006039999999997</v>
      </c>
      <c r="V5683">
        <v>-2.8054320000000001E-2</v>
      </c>
      <c r="W5683">
        <v>9.6599189999999995E-3</v>
      </c>
      <c r="X5683">
        <v>0.99955969999999905</v>
      </c>
      <c r="Y5683">
        <v>0.1676076</v>
      </c>
      <c r="Z5683">
        <v>-1.3467710000000001E-2</v>
      </c>
      <c r="AA5683">
        <v>0.98576180000000002</v>
      </c>
      <c r="AB5683">
        <v>33</v>
      </c>
      <c r="AC5683">
        <v>0.51029999999999998</v>
      </c>
      <c r="AD5683">
        <v>-0.25403419999999899</v>
      </c>
      <c r="AE5683">
        <v>-0.169199999999989</v>
      </c>
      <c r="AF5683">
        <v>0.12251346285476</v>
      </c>
      <c r="AG5683">
        <v>-0.25403419999999899</v>
      </c>
      <c r="AH5683">
        <v>0.42207173621305399</v>
      </c>
      <c r="AI5683">
        <v>120.02862021929801</v>
      </c>
      <c r="AJ5683">
        <v>73.8137350045765</v>
      </c>
      <c r="AK5683">
        <v>0.50762926812803699</v>
      </c>
    </row>
    <row r="5684" spans="1:37" x14ac:dyDescent="0.2">
      <c r="A5684" t="str">
        <f>"20200111154213333"</f>
        <v>20200111154213333</v>
      </c>
      <c r="B5684" t="str">
        <f>"1578728533321255"</f>
        <v>1578728533321255</v>
      </c>
      <c r="C5684" t="s">
        <v>37</v>
      </c>
      <c r="D5684">
        <v>6.2974639999999997</v>
      </c>
      <c r="E5684">
        <v>0.56742060000000005</v>
      </c>
      <c r="F5684" t="s">
        <v>38</v>
      </c>
      <c r="G5684">
        <v>-150.3083</v>
      </c>
      <c r="H5684">
        <v>0.87293159999999903</v>
      </c>
      <c r="I5684">
        <v>138.25470000000001</v>
      </c>
      <c r="J5684">
        <v>-150.80840000000001</v>
      </c>
      <c r="K5684">
        <v>1.1117600000000001</v>
      </c>
      <c r="L5684">
        <v>138.41239999999999</v>
      </c>
      <c r="M5684">
        <v>0.99908949999999996</v>
      </c>
      <c r="N5684">
        <v>0</v>
      </c>
      <c r="O5684">
        <v>-3.7283610000000002E-2</v>
      </c>
      <c r="P5684">
        <v>0.99994550000000004</v>
      </c>
      <c r="Q5684">
        <v>-8.3494169999999996E-3</v>
      </c>
      <c r="R5684">
        <v>-6.2855580000000001E-3</v>
      </c>
      <c r="S5684">
        <v>2.984756</v>
      </c>
      <c r="T5684">
        <v>-0.88313339999999996</v>
      </c>
      <c r="U5684">
        <v>-0.62442019999999998</v>
      </c>
      <c r="V5684">
        <v>-3.10197999999999E-2</v>
      </c>
      <c r="W5684">
        <v>1.2354840000000001E-2</v>
      </c>
      <c r="X5684">
        <v>0.99944239999999995</v>
      </c>
      <c r="Y5684">
        <v>0.16297139999999999</v>
      </c>
      <c r="Z5684">
        <v>-1.268497E-2</v>
      </c>
      <c r="AA5684">
        <v>0.98654929999999996</v>
      </c>
      <c r="AB5684">
        <v>33</v>
      </c>
      <c r="AC5684">
        <v>0.50010000000000299</v>
      </c>
      <c r="AD5684">
        <v>-0.2388284</v>
      </c>
      <c r="AE5684">
        <v>-0.157699999999977</v>
      </c>
      <c r="AF5684">
        <v>0.11507074953511399</v>
      </c>
      <c r="AG5684">
        <v>-0.2388284</v>
      </c>
      <c r="AH5684">
        <v>0.41876531173158499</v>
      </c>
      <c r="AI5684">
        <v>118.80778081225699</v>
      </c>
      <c r="AJ5684">
        <v>74.635160742925194</v>
      </c>
      <c r="AK5684">
        <v>0.49562553238789597</v>
      </c>
    </row>
    <row r="5685" spans="1:37" x14ac:dyDescent="0.2">
      <c r="A5685" t="str">
        <f>"20200111154213356"</f>
        <v>20200111154213356</v>
      </c>
      <c r="B5685" t="str">
        <f>"1578728533351510"</f>
        <v>1578728533351510</v>
      </c>
      <c r="C5685" t="s">
        <v>37</v>
      </c>
      <c r="D5685">
        <v>6.2862830000000001</v>
      </c>
      <c r="E5685">
        <v>0.56754320000000003</v>
      </c>
      <c r="F5685" t="s">
        <v>38</v>
      </c>
      <c r="G5685">
        <v>-150.01669999999999</v>
      </c>
      <c r="H5685">
        <v>0.8797083</v>
      </c>
      <c r="I5685">
        <v>138.2508</v>
      </c>
      <c r="J5685">
        <v>-150.4836</v>
      </c>
      <c r="K5685">
        <v>1.11175</v>
      </c>
      <c r="L5685">
        <v>138.4008</v>
      </c>
      <c r="M5685">
        <v>0.99909720000000002</v>
      </c>
      <c r="N5685">
        <v>0</v>
      </c>
      <c r="O5685">
        <v>-3.6948380000000003E-2</v>
      </c>
      <c r="P5685">
        <v>0.99996609999999997</v>
      </c>
      <c r="Q5685">
        <v>-7.3398949999999999E-3</v>
      </c>
      <c r="R5685">
        <v>-3.7814229999999999E-3</v>
      </c>
      <c r="S5685">
        <v>2.9889830000000002</v>
      </c>
      <c r="T5685">
        <v>-0.87604059999999995</v>
      </c>
      <c r="U5685">
        <v>-0.60995480000000002</v>
      </c>
      <c r="V5685">
        <v>-3.3187590000000003E-2</v>
      </c>
      <c r="W5685">
        <v>1.3598799999999999E-2</v>
      </c>
      <c r="X5685">
        <v>0.99935659999999904</v>
      </c>
      <c r="Y5685">
        <v>0.15868889999999999</v>
      </c>
      <c r="Z5685">
        <v>-1.2062170000000001E-2</v>
      </c>
      <c r="AA5685">
        <v>0.98725499999999899</v>
      </c>
      <c r="AB5685">
        <v>32</v>
      </c>
      <c r="AC5685">
        <v>0.46690000000000897</v>
      </c>
      <c r="AD5685">
        <v>-0.23204169999999999</v>
      </c>
      <c r="AE5685">
        <v>-0.15000000000000499</v>
      </c>
      <c r="AF5685">
        <v>0.108378273825046</v>
      </c>
      <c r="AG5685">
        <v>-0.23204169999999999</v>
      </c>
      <c r="AH5685">
        <v>0.38575890641323801</v>
      </c>
      <c r="AI5685">
        <v>120.075103322315</v>
      </c>
      <c r="AJ5685">
        <v>74.307387276046896</v>
      </c>
      <c r="AK5685">
        <v>0.46303254167857799</v>
      </c>
    </row>
    <row r="5686" spans="1:37" x14ac:dyDescent="0.2">
      <c r="A5686" t="str">
        <f>"20200111154213378"</f>
        <v>20200111154213378</v>
      </c>
      <c r="B5686" t="str">
        <f>"1578728533372007"</f>
        <v>1578728533372007</v>
      </c>
      <c r="C5686" t="s">
        <v>37</v>
      </c>
      <c r="D5686">
        <v>6.1628160000000003</v>
      </c>
      <c r="E5686">
        <v>0.5675829</v>
      </c>
      <c r="F5686" t="s">
        <v>38</v>
      </c>
      <c r="G5686">
        <v>-149.72499999999999</v>
      </c>
      <c r="H5686">
        <v>0.89024479999999995</v>
      </c>
      <c r="I5686">
        <v>138.24789999999999</v>
      </c>
      <c r="J5686">
        <v>-150.15880000000001</v>
      </c>
      <c r="K5686">
        <v>1.111715</v>
      </c>
      <c r="L5686">
        <v>138.38910000000001</v>
      </c>
      <c r="M5686">
        <v>0.99910319999999997</v>
      </c>
      <c r="N5686">
        <v>0</v>
      </c>
      <c r="O5686">
        <v>-3.6659009999999999E-2</v>
      </c>
      <c r="P5686">
        <v>0.99997610000000003</v>
      </c>
      <c r="Q5686">
        <v>-6.6327340000000004E-3</v>
      </c>
      <c r="R5686">
        <v>-2.0010729999999999E-3</v>
      </c>
      <c r="S5686">
        <v>2.991425</v>
      </c>
      <c r="T5686">
        <v>-0.87351290000000004</v>
      </c>
      <c r="U5686">
        <v>-0.60194399999999904</v>
      </c>
      <c r="V5686">
        <v>-3.4676730000000003E-2</v>
      </c>
      <c r="W5686">
        <v>1.4524250000000001E-2</v>
      </c>
      <c r="X5686">
        <v>0.99929299999999999</v>
      </c>
      <c r="Y5686">
        <v>0.15638920000000001</v>
      </c>
      <c r="Z5686">
        <v>-1.177829E-2</v>
      </c>
      <c r="AA5686">
        <v>0.98762530000000004</v>
      </c>
      <c r="AB5686">
        <v>32</v>
      </c>
      <c r="AC5686">
        <v>0.433800000000019</v>
      </c>
      <c r="AD5686">
        <v>-0.22147019999999901</v>
      </c>
      <c r="AE5686">
        <v>-0.141200000000026</v>
      </c>
      <c r="AF5686">
        <v>0.10132001129991</v>
      </c>
      <c r="AG5686">
        <v>-0.22147019999999901</v>
      </c>
      <c r="AH5686">
        <v>0.35501650547596802</v>
      </c>
      <c r="AI5686">
        <v>120.95864615661699</v>
      </c>
      <c r="AJ5686">
        <v>74.071507290697596</v>
      </c>
      <c r="AK5686">
        <v>0.43052469538717703</v>
      </c>
    </row>
    <row r="5687" spans="1:37" x14ac:dyDescent="0.2">
      <c r="A5687" t="str">
        <f>"20200111154213400"</f>
        <v>20200111154213400</v>
      </c>
      <c r="B5687" t="str">
        <f>"1578728533391527"</f>
        <v>1578728533391527</v>
      </c>
      <c r="C5687" t="s">
        <v>37</v>
      </c>
      <c r="D5687">
        <v>6.1970640000000001</v>
      </c>
      <c r="E5687">
        <v>0.56768980000000002</v>
      </c>
      <c r="F5687" t="s">
        <v>38</v>
      </c>
      <c r="G5687">
        <v>-149.43440000000001</v>
      </c>
      <c r="H5687">
        <v>0.90173910000000002</v>
      </c>
      <c r="I5687">
        <v>138.2448</v>
      </c>
      <c r="J5687">
        <v>-149.84620000000001</v>
      </c>
      <c r="K5687">
        <v>1.1116870000000001</v>
      </c>
      <c r="L5687">
        <v>138.37790000000001</v>
      </c>
      <c r="M5687">
        <v>0.99910739999999998</v>
      </c>
      <c r="N5687">
        <v>0</v>
      </c>
      <c r="O5687">
        <v>-3.6426849999999997E-2</v>
      </c>
      <c r="P5687">
        <v>0.99997999999999998</v>
      </c>
      <c r="Q5687">
        <v>-6.2816699999999996E-3</v>
      </c>
      <c r="R5687">
        <v>-7.3993179999999896E-4</v>
      </c>
      <c r="S5687">
        <v>2.9930880000000002</v>
      </c>
      <c r="T5687">
        <v>-0.86757569999999995</v>
      </c>
      <c r="U5687">
        <v>-0.59605410000000003</v>
      </c>
      <c r="V5687">
        <v>-3.5704230000000003E-2</v>
      </c>
      <c r="W5687">
        <v>1.5076849999999999E-2</v>
      </c>
      <c r="X5687">
        <v>0.99924869999999899</v>
      </c>
      <c r="Y5687">
        <v>0.15476489999999901</v>
      </c>
      <c r="Z5687">
        <v>-1.153382E-2</v>
      </c>
      <c r="AA5687">
        <v>0.98788399999999998</v>
      </c>
      <c r="AB5687">
        <v>32</v>
      </c>
      <c r="AC5687">
        <v>0.411799999999999</v>
      </c>
      <c r="AD5687">
        <v>-0.20994789999999999</v>
      </c>
      <c r="AE5687">
        <v>-0.13310000000001301</v>
      </c>
      <c r="AF5687">
        <v>9.5526363474152803E-2</v>
      </c>
      <c r="AG5687">
        <v>-0.20994789999999999</v>
      </c>
      <c r="AH5687">
        <v>0.33705362428992802</v>
      </c>
      <c r="AI5687">
        <v>120.93374075056801</v>
      </c>
      <c r="AJ5687">
        <v>74.1764258433832</v>
      </c>
      <c r="AK5687">
        <v>0.40842202741769701</v>
      </c>
    </row>
    <row r="5688" spans="1:37" x14ac:dyDescent="0.2">
      <c r="A5688" t="str">
        <f>"20200111154213422"</f>
        <v>20200111154213422</v>
      </c>
      <c r="B5688" t="str">
        <f>"1578728533412023"</f>
        <v>1578728533412023</v>
      </c>
      <c r="C5688" t="s">
        <v>37</v>
      </c>
      <c r="D5688">
        <v>6.1956720000000001</v>
      </c>
      <c r="E5688">
        <v>0.56782109999999997</v>
      </c>
      <c r="F5688" t="s">
        <v>38</v>
      </c>
      <c r="G5688">
        <v>-149.14699999999999</v>
      </c>
      <c r="H5688">
        <v>0.90969439999999901</v>
      </c>
      <c r="I5688">
        <v>138.23939999999999</v>
      </c>
      <c r="J5688">
        <v>-149.536</v>
      </c>
      <c r="K5688">
        <v>1.1116629999999901</v>
      </c>
      <c r="L5688">
        <v>138.36689999999999</v>
      </c>
      <c r="M5688">
        <v>0.99911019999999995</v>
      </c>
      <c r="N5688">
        <v>0</v>
      </c>
      <c r="O5688">
        <v>-3.6241179999999998E-2</v>
      </c>
      <c r="P5688">
        <v>0.99998199999999904</v>
      </c>
      <c r="Q5688">
        <v>-6.0245860000000002E-3</v>
      </c>
      <c r="R5688">
        <v>-1.0586699999999999E-4</v>
      </c>
      <c r="S5688">
        <v>2.9941709999999899</v>
      </c>
      <c r="T5688">
        <v>-0.86504499999999995</v>
      </c>
      <c r="U5688">
        <v>-0.59240719999999902</v>
      </c>
      <c r="V5688">
        <v>-3.6150439999999999E-2</v>
      </c>
      <c r="W5688">
        <v>1.552359E-2</v>
      </c>
      <c r="X5688">
        <v>0.99922579999999905</v>
      </c>
      <c r="Y5688">
        <v>0.1537819</v>
      </c>
      <c r="Z5688">
        <v>-1.14127999999999E-2</v>
      </c>
      <c r="AA5688">
        <v>0.98803890000000005</v>
      </c>
      <c r="AB5688">
        <v>32</v>
      </c>
      <c r="AC5688">
        <v>0.38899999999998103</v>
      </c>
      <c r="AD5688">
        <v>-0.201968599999999</v>
      </c>
      <c r="AE5688">
        <v>-0.127499999999997</v>
      </c>
      <c r="AF5688">
        <v>9.1131947677738703E-2</v>
      </c>
      <c r="AG5688">
        <v>-0.201968599999999</v>
      </c>
      <c r="AH5688">
        <v>0.31635875400076802</v>
      </c>
      <c r="AI5688">
        <v>121.527875006348</v>
      </c>
      <c r="AJ5688">
        <v>73.930149971357196</v>
      </c>
      <c r="AK5688">
        <v>0.38623724381060998</v>
      </c>
    </row>
    <row r="5689" spans="1:37" x14ac:dyDescent="0.2">
      <c r="A5689" t="str">
        <f>"20200111154213445"</f>
        <v>20200111154213445</v>
      </c>
      <c r="B5689" t="str">
        <f>"1578728533441303"</f>
        <v>1578728533441303</v>
      </c>
      <c r="C5689" t="s">
        <v>37</v>
      </c>
      <c r="D5689">
        <v>6.190029</v>
      </c>
      <c r="E5689">
        <v>0.56802940000000002</v>
      </c>
      <c r="F5689" t="s">
        <v>38</v>
      </c>
      <c r="G5689">
        <v>-148.8612</v>
      </c>
      <c r="H5689">
        <v>0.91717929999999903</v>
      </c>
      <c r="I5689">
        <v>138.2336</v>
      </c>
      <c r="J5689">
        <v>-149.21870000000001</v>
      </c>
      <c r="K5689">
        <v>1.1116469999999901</v>
      </c>
      <c r="L5689">
        <v>138.35550000000001</v>
      </c>
      <c r="M5689">
        <v>0.99911170000000005</v>
      </c>
      <c r="N5689">
        <v>0</v>
      </c>
      <c r="O5689">
        <v>-3.6093699999999902E-2</v>
      </c>
      <c r="P5689">
        <v>0.99999059999999995</v>
      </c>
      <c r="Q5689">
        <v>-4.3245219999999999E-3</v>
      </c>
      <c r="R5689">
        <v>1.85453E-4</v>
      </c>
      <c r="S5689">
        <v>2.9947970000000002</v>
      </c>
      <c r="T5689">
        <v>-0.8631183</v>
      </c>
      <c r="U5689">
        <v>-0.59132390000000001</v>
      </c>
      <c r="V5689">
        <v>-3.6294170000000001E-2</v>
      </c>
      <c r="W5689">
        <v>1.740017E-2</v>
      </c>
      <c r="X5689">
        <v>0.99918969999999896</v>
      </c>
      <c r="Y5689">
        <v>0.15356839999999999</v>
      </c>
      <c r="Z5689">
        <v>-1.139775E-2</v>
      </c>
      <c r="AA5689">
        <v>0.98807230000000001</v>
      </c>
      <c r="AB5689">
        <v>32</v>
      </c>
      <c r="AC5689">
        <v>0.35750000000001497</v>
      </c>
      <c r="AD5689">
        <v>-0.19446769999999899</v>
      </c>
      <c r="AE5689">
        <v>-0.12190000000001</v>
      </c>
      <c r="AF5689">
        <v>8.60926512448002E-2</v>
      </c>
      <c r="AG5689">
        <v>-0.19446769999999899</v>
      </c>
      <c r="AH5689">
        <v>0.285885611791869</v>
      </c>
      <c r="AI5689">
        <v>123.07764176897101</v>
      </c>
      <c r="AJ5689">
        <v>73.240656128453097</v>
      </c>
      <c r="AK5689">
        <v>0.35631476810716101</v>
      </c>
    </row>
    <row r="5690" spans="1:37" x14ac:dyDescent="0.2">
      <c r="A5690" t="str">
        <f>"20200111154213468"</f>
        <v>20200111154213468</v>
      </c>
      <c r="B5690" t="str">
        <f>"1578728533461798"</f>
        <v>1578728533461798</v>
      </c>
      <c r="C5690" t="s">
        <v>37</v>
      </c>
      <c r="D5690">
        <v>6.1814369999999998</v>
      </c>
      <c r="E5690">
        <v>0.56813349999999996</v>
      </c>
      <c r="F5690" t="s">
        <v>38</v>
      </c>
      <c r="G5690">
        <v>-148.32769999999999</v>
      </c>
      <c r="H5690">
        <v>0.85679419999999995</v>
      </c>
      <c r="I5690">
        <v>138.1798</v>
      </c>
      <c r="J5690">
        <v>-148.89670000000001</v>
      </c>
      <c r="K5690">
        <v>1.1116440000000001</v>
      </c>
      <c r="L5690">
        <v>138.3441</v>
      </c>
      <c r="M5690">
        <v>0.99911219999999901</v>
      </c>
      <c r="N5690">
        <v>0</v>
      </c>
      <c r="O5690">
        <v>-3.597504E-2</v>
      </c>
      <c r="P5690">
        <v>0.99999579999999999</v>
      </c>
      <c r="Q5690">
        <v>-2.9774379999999998E-3</v>
      </c>
      <c r="R5690" s="1">
        <v>6.2108330000000005E-5</v>
      </c>
      <c r="S5690">
        <v>2.996429</v>
      </c>
      <c r="T5690">
        <v>-0.857101</v>
      </c>
      <c r="U5690">
        <v>-0.59109500000000004</v>
      </c>
      <c r="V5690">
        <v>-3.6051130000000001E-2</v>
      </c>
      <c r="W5690">
        <v>1.8925790000000001E-2</v>
      </c>
      <c r="X5690">
        <v>0.99917069999999997</v>
      </c>
      <c r="Y5690">
        <v>0.15357309999999999</v>
      </c>
      <c r="Z5690">
        <v>-1.1349049999999999E-2</v>
      </c>
      <c r="AA5690">
        <v>0.98807210000000001</v>
      </c>
      <c r="AB5690">
        <v>31</v>
      </c>
      <c r="AC5690">
        <v>0.56900000000001605</v>
      </c>
      <c r="AD5690">
        <v>-0.25484980000000002</v>
      </c>
      <c r="AE5690">
        <v>-0.164299999999997</v>
      </c>
      <c r="AF5690">
        <v>0.121264640232434</v>
      </c>
      <c r="AG5690">
        <v>-0.25484980000000002</v>
      </c>
      <c r="AH5690">
        <v>0.48477852813418998</v>
      </c>
      <c r="AI5690">
        <v>117.021128535332</v>
      </c>
      <c r="AJ5690">
        <v>75.9559692758762</v>
      </c>
      <c r="AK5690">
        <v>0.56094897706537805</v>
      </c>
    </row>
    <row r="5691" spans="1:37" x14ac:dyDescent="0.2">
      <c r="A5691" t="str">
        <f>"20200111154213490"</f>
        <v>20200111154213490</v>
      </c>
      <c r="B5691" t="str">
        <f>"1578728533481319"</f>
        <v>1578728533481319</v>
      </c>
      <c r="C5691" t="s">
        <v>37</v>
      </c>
      <c r="D5691">
        <v>6.2335649999999996</v>
      </c>
      <c r="E5691">
        <v>0.56810629999999995</v>
      </c>
      <c r="F5691" t="s">
        <v>38</v>
      </c>
      <c r="G5691">
        <v>-148.04499999999999</v>
      </c>
      <c r="H5691">
        <v>0.86916179999999998</v>
      </c>
      <c r="I5691">
        <v>138.17599999999999</v>
      </c>
      <c r="J5691">
        <v>-148.595</v>
      </c>
      <c r="K5691">
        <v>1.1116509999999999</v>
      </c>
      <c r="L5691">
        <v>138.33330000000001</v>
      </c>
      <c r="M5691">
        <v>0.99911170000000005</v>
      </c>
      <c r="N5691">
        <v>0</v>
      </c>
      <c r="O5691">
        <v>-3.5881660000000003E-2</v>
      </c>
      <c r="P5691">
        <v>0.99999889999999902</v>
      </c>
      <c r="Q5691">
        <v>-1.5430800000000001E-3</v>
      </c>
      <c r="R5691">
        <v>-2.175472E-4</v>
      </c>
      <c r="S5691">
        <v>2.9975130000000001</v>
      </c>
      <c r="T5691">
        <v>-0.8534043</v>
      </c>
      <c r="U5691">
        <v>-0.59114069999999996</v>
      </c>
      <c r="V5691">
        <v>-3.5677889999999997E-2</v>
      </c>
      <c r="W5691">
        <v>2.053814E-2</v>
      </c>
      <c r="X5691">
        <v>0.99915229999999999</v>
      </c>
      <c r="Y5691">
        <v>0.15364710000000001</v>
      </c>
      <c r="Z5691">
        <v>-1.133402E-2</v>
      </c>
      <c r="AA5691">
        <v>0.98806079999999996</v>
      </c>
      <c r="AB5691">
        <v>31</v>
      </c>
      <c r="AC5691">
        <v>0.55000000000001104</v>
      </c>
      <c r="AD5691">
        <v>-0.24248919999999999</v>
      </c>
      <c r="AE5691">
        <v>-0.157299999999992</v>
      </c>
      <c r="AF5691">
        <v>0.11652162732089601</v>
      </c>
      <c r="AG5691">
        <v>-0.24248919999999999</v>
      </c>
      <c r="AH5691">
        <v>0.47071106447629202</v>
      </c>
      <c r="AI5691">
        <v>116.567870210685</v>
      </c>
      <c r="AJ5691">
        <v>76.096282061342393</v>
      </c>
      <c r="AK5691">
        <v>0.54216898469993102</v>
      </c>
    </row>
    <row r="5692" spans="1:37" x14ac:dyDescent="0.2">
      <c r="A5692" t="str">
        <f>"20200111154213514"</f>
        <v>20200111154213514</v>
      </c>
      <c r="B5692" t="str">
        <f>"1578728533501815"</f>
        <v>1578728533501815</v>
      </c>
      <c r="C5692" t="s">
        <v>37</v>
      </c>
      <c r="D5692">
        <v>6.2313580000000002</v>
      </c>
      <c r="E5692">
        <v>0.53946499999999997</v>
      </c>
      <c r="F5692" t="s">
        <v>38</v>
      </c>
      <c r="G5692">
        <v>-147.76609999999999</v>
      </c>
      <c r="H5692">
        <v>0.87675199999999998</v>
      </c>
      <c r="I5692">
        <v>138.16999999999999</v>
      </c>
      <c r="J5692">
        <v>-148.2593</v>
      </c>
      <c r="K5692">
        <v>1.1116680000000001</v>
      </c>
      <c r="L5692">
        <v>138.32140000000001</v>
      </c>
      <c r="M5692">
        <v>0.99911079999999997</v>
      </c>
      <c r="N5692">
        <v>0</v>
      </c>
      <c r="O5692">
        <v>-3.5788269999999997E-2</v>
      </c>
      <c r="P5692">
        <v>0.99999979999999999</v>
      </c>
      <c r="Q5692">
        <v>-1.01205E-4</v>
      </c>
      <c r="R5692">
        <v>-6.6432999999999998E-4</v>
      </c>
      <c r="S5692">
        <v>2.9985499999999998</v>
      </c>
      <c r="T5692">
        <v>-0.84970049999999997</v>
      </c>
      <c r="U5692">
        <v>-0.59068299999999996</v>
      </c>
      <c r="V5692">
        <v>-3.5137340000000003E-2</v>
      </c>
      <c r="W5692">
        <v>2.216951E-2</v>
      </c>
      <c r="X5692">
        <v>0.99913660000000004</v>
      </c>
      <c r="Y5692">
        <v>0.1535696</v>
      </c>
      <c r="Z5692">
        <v>-1.129806E-2</v>
      </c>
      <c r="AA5692">
        <v>0.98807319999999998</v>
      </c>
      <c r="AB5692">
        <v>31</v>
      </c>
      <c r="AC5692">
        <v>0.49320000000000103</v>
      </c>
      <c r="AD5692">
        <v>-0.23491600000000001</v>
      </c>
      <c r="AE5692">
        <v>-0.15140000000002299</v>
      </c>
      <c r="AF5692">
        <v>0.110696694068299</v>
      </c>
      <c r="AG5692">
        <v>-0.23491600000000001</v>
      </c>
      <c r="AH5692">
        <v>0.41273076241909501</v>
      </c>
      <c r="AI5692">
        <v>118.799597542871</v>
      </c>
      <c r="AJ5692">
        <v>74.986294920312304</v>
      </c>
      <c r="AK5692">
        <v>0.48763302531791097</v>
      </c>
    </row>
    <row r="5693" spans="1:37" x14ac:dyDescent="0.2">
      <c r="A5693" t="str">
        <f>"20200111154213537"</f>
        <v>20200111154213537</v>
      </c>
      <c r="B5693" t="str">
        <f>"1578728533531095"</f>
        <v>1578728533531095</v>
      </c>
      <c r="C5693" t="s">
        <v>37</v>
      </c>
      <c r="D5693">
        <v>6.4580380000000002</v>
      </c>
      <c r="E5693">
        <v>0.5311688</v>
      </c>
      <c r="F5693" t="s">
        <v>38</v>
      </c>
      <c r="G5693">
        <v>-147.47839999999999</v>
      </c>
      <c r="H5693">
        <v>0.90813679999999997</v>
      </c>
      <c r="I5693">
        <v>138.22799999999901</v>
      </c>
      <c r="J5693">
        <v>-147.94409999999999</v>
      </c>
      <c r="K5693">
        <v>1.1116900000000001</v>
      </c>
      <c r="L5693">
        <v>138.31020000000001</v>
      </c>
      <c r="M5693">
        <v>0.99911000000000005</v>
      </c>
      <c r="N5693">
        <v>0</v>
      </c>
      <c r="O5693">
        <v>-3.5704039999999999E-2</v>
      </c>
      <c r="P5693">
        <v>0.99999869999999902</v>
      </c>
      <c r="Q5693">
        <v>1.481226E-3</v>
      </c>
      <c r="R5693">
        <v>-7.9967220000000004E-4</v>
      </c>
      <c r="S5693">
        <v>2.9996640000000001</v>
      </c>
      <c r="T5693">
        <v>-0.78186</v>
      </c>
      <c r="U5693">
        <v>-0.3585663</v>
      </c>
      <c r="V5693">
        <v>-3.4918199999999899E-2</v>
      </c>
      <c r="W5693">
        <v>2.3921899999999999E-2</v>
      </c>
      <c r="X5693">
        <v>0.99910379999999999</v>
      </c>
      <c r="Y5693">
        <v>8.1642190000000003E-2</v>
      </c>
      <c r="Z5693">
        <v>-1.311352E-3</v>
      </c>
      <c r="AA5693">
        <v>0.99666080000000001</v>
      </c>
      <c r="AB5693">
        <v>31</v>
      </c>
      <c r="AC5693">
        <v>0.465699999999998</v>
      </c>
      <c r="AD5693">
        <v>-0.20355319999999999</v>
      </c>
      <c r="AE5693">
        <v>-8.2200000000028695E-2</v>
      </c>
      <c r="AF5693">
        <v>5.5274883407618602E-2</v>
      </c>
      <c r="AG5693">
        <v>-0.20355319999999999</v>
      </c>
      <c r="AH5693">
        <v>0.395130338346736</v>
      </c>
      <c r="AI5693">
        <v>117.03007291457</v>
      </c>
      <c r="AJ5693">
        <v>82.036556804028294</v>
      </c>
      <c r="AK5693">
        <v>0.44790311703310598</v>
      </c>
    </row>
    <row r="5694" spans="1:37" x14ac:dyDescent="0.2">
      <c r="A5694" t="str">
        <f>"20200111154213560"</f>
        <v>20200111154213560</v>
      </c>
      <c r="B5694" t="str">
        <f>"1578728533551591"</f>
        <v>1578728533551591</v>
      </c>
      <c r="C5694" t="s">
        <v>37</v>
      </c>
      <c r="D5694">
        <v>6.3054410000000001</v>
      </c>
      <c r="E5694">
        <v>0.52981659999999997</v>
      </c>
      <c r="F5694" t="s">
        <v>38</v>
      </c>
      <c r="G5694">
        <v>-147.18090000000001</v>
      </c>
      <c r="H5694">
        <v>0.95693139999999999</v>
      </c>
      <c r="I5694">
        <v>138.23820000000001</v>
      </c>
      <c r="J5694">
        <v>-147.63460000000001</v>
      </c>
      <c r="K5694">
        <v>1.111715</v>
      </c>
      <c r="L5694">
        <v>138.29929999999999</v>
      </c>
      <c r="M5694">
        <v>0.99910909999999997</v>
      </c>
      <c r="N5694">
        <v>0</v>
      </c>
      <c r="O5694">
        <v>-3.5619860000000003E-2</v>
      </c>
      <c r="P5694">
        <v>0.99999629999999995</v>
      </c>
      <c r="Q5694">
        <v>2.6201999999999901E-3</v>
      </c>
      <c r="R5694">
        <v>-7.6867549999999998E-4</v>
      </c>
      <c r="S5694">
        <v>3.0006870000000001</v>
      </c>
      <c r="T5694">
        <v>-0.60850159999999998</v>
      </c>
      <c r="U5694">
        <v>-0.28277590000000002</v>
      </c>
      <c r="V5694">
        <v>-3.4865149999999998E-2</v>
      </c>
      <c r="W5694">
        <v>2.5232330000000001E-2</v>
      </c>
      <c r="X5694">
        <v>0.9990734</v>
      </c>
      <c r="Y5694">
        <v>5.7841950000000003E-2</v>
      </c>
      <c r="Z5694">
        <v>1.3396079999999999E-3</v>
      </c>
      <c r="AA5694">
        <v>0.99832489999999996</v>
      </c>
      <c r="AB5694">
        <v>31</v>
      </c>
      <c r="AC5694">
        <v>0.45369999999999699</v>
      </c>
      <c r="AD5694">
        <v>-0.15478359999999999</v>
      </c>
      <c r="AE5694">
        <v>-6.1099999999981898E-2</v>
      </c>
      <c r="AF5694">
        <v>4.0290493404921801E-2</v>
      </c>
      <c r="AG5694">
        <v>-0.15478359999999999</v>
      </c>
      <c r="AH5694">
        <v>0.40885074727130299</v>
      </c>
      <c r="AI5694">
        <v>110.644261152132</v>
      </c>
      <c r="AJ5694">
        <v>84.371917503780395</v>
      </c>
      <c r="AK5694">
        <v>0.43902189037914202</v>
      </c>
    </row>
    <row r="5695" spans="1:37" x14ac:dyDescent="0.2">
      <c r="A5695" t="str">
        <f>"20200111154213580"</f>
        <v>20200111154213580</v>
      </c>
      <c r="B5695" t="str">
        <f>"1578728533571111"</f>
        <v>1578728533571111</v>
      </c>
      <c r="C5695" t="s">
        <v>37</v>
      </c>
      <c r="D5695">
        <v>6.29366</v>
      </c>
      <c r="E5695">
        <v>0.529269199999999</v>
      </c>
      <c r="F5695" t="s">
        <v>38</v>
      </c>
      <c r="G5695">
        <v>-146.89930000000001</v>
      </c>
      <c r="H5695">
        <v>0.97865489999999999</v>
      </c>
      <c r="I5695">
        <v>138.23330000000001</v>
      </c>
      <c r="J5695">
        <v>-147.3595</v>
      </c>
      <c r="K5695">
        <v>1.1117539999999999</v>
      </c>
      <c r="L5695">
        <v>138.28960000000001</v>
      </c>
      <c r="M5695">
        <v>0.99910829999999995</v>
      </c>
      <c r="N5695">
        <v>0</v>
      </c>
      <c r="O5695">
        <v>-3.5542400000000002E-2</v>
      </c>
      <c r="P5695">
        <v>0.99998920000000002</v>
      </c>
      <c r="Q5695">
        <v>4.6341309999999997E-3</v>
      </c>
      <c r="R5695">
        <v>-5.6055220000000004E-4</v>
      </c>
      <c r="S5695">
        <v>3.0012209999999899</v>
      </c>
      <c r="T5695">
        <v>-0.54314359999999995</v>
      </c>
      <c r="U5695">
        <v>-0.26860050000000002</v>
      </c>
      <c r="V5695">
        <v>-3.4995579999999998E-2</v>
      </c>
      <c r="W5695">
        <v>2.7404999999999999E-2</v>
      </c>
      <c r="X5695">
        <v>0.9990116</v>
      </c>
      <c r="Y5695">
        <v>5.3386950000000002E-2</v>
      </c>
      <c r="Z5695">
        <v>1.5835650000000001E-3</v>
      </c>
      <c r="AA5695">
        <v>0.99857260000000003</v>
      </c>
      <c r="AB5695">
        <v>30</v>
      </c>
      <c r="AC5695">
        <v>0.46019999999998601</v>
      </c>
      <c r="AD5695">
        <v>-0.1330991</v>
      </c>
      <c r="AE5695">
        <v>-5.6299999999993099E-2</v>
      </c>
      <c r="AF5695">
        <v>3.6865301234391197E-2</v>
      </c>
      <c r="AG5695">
        <v>-0.1330991</v>
      </c>
      <c r="AH5695">
        <v>0.42674087034692898</v>
      </c>
      <c r="AI5695">
        <v>107.262079374558</v>
      </c>
      <c r="AJ5695">
        <v>85.062588837795303</v>
      </c>
      <c r="AK5695">
        <v>0.44853337811178201</v>
      </c>
    </row>
    <row r="5696" spans="1:37" x14ac:dyDescent="0.2">
      <c r="A5696" t="str">
        <f>"20200111154213602"</f>
        <v>20200111154213602</v>
      </c>
      <c r="B5696" t="str">
        <f>"1578728533591609"</f>
        <v>1578728533591609</v>
      </c>
      <c r="C5696" t="s">
        <v>37</v>
      </c>
      <c r="D5696">
        <v>6.2836569999999998</v>
      </c>
      <c r="E5696">
        <v>0.52884969999999998</v>
      </c>
      <c r="F5696" t="s">
        <v>38</v>
      </c>
      <c r="G5696">
        <v>-146.6258</v>
      </c>
      <c r="H5696">
        <v>0.98838590000000004</v>
      </c>
      <c r="I5696">
        <v>138.22550000000001</v>
      </c>
      <c r="J5696">
        <v>-147.072</v>
      </c>
      <c r="K5696">
        <v>1.1117969999999999</v>
      </c>
      <c r="L5696">
        <v>138.27940000000001</v>
      </c>
      <c r="M5696">
        <v>0.99910739999999998</v>
      </c>
      <c r="N5696">
        <v>0</v>
      </c>
      <c r="O5696">
        <v>-3.5458740000000002E-2</v>
      </c>
      <c r="P5696">
        <v>0.99997409999999998</v>
      </c>
      <c r="Q5696">
        <v>7.2087679999999999E-3</v>
      </c>
      <c r="R5696">
        <v>-3.1157139999999999E-4</v>
      </c>
      <c r="S5696">
        <v>3.0022279999999899</v>
      </c>
      <c r="T5696">
        <v>-0.50483259999999996</v>
      </c>
      <c r="U5696">
        <v>-0.26199339999999999</v>
      </c>
      <c r="V5696">
        <v>-3.5160490000000003E-2</v>
      </c>
      <c r="W5696">
        <v>3.0150440000000001E-2</v>
      </c>
      <c r="X5696">
        <v>0.9989268</v>
      </c>
      <c r="Y5696">
        <v>5.1326480000000001E-2</v>
      </c>
      <c r="Z5696">
        <v>1.6309759999999999E-3</v>
      </c>
      <c r="AA5696">
        <v>0.99868060000000003</v>
      </c>
      <c r="AB5696">
        <v>30</v>
      </c>
      <c r="AC5696">
        <v>0.44620000000000398</v>
      </c>
      <c r="AD5696">
        <v>-0.123411099999999</v>
      </c>
      <c r="AE5696">
        <v>-5.3899999999998699E-2</v>
      </c>
      <c r="AF5696">
        <v>3.5373171414877697E-2</v>
      </c>
      <c r="AG5696">
        <v>-0.123411099999999</v>
      </c>
      <c r="AH5696">
        <v>0.41643292014010103</v>
      </c>
      <c r="AI5696">
        <v>106.45131703878</v>
      </c>
      <c r="AJ5696">
        <v>85.144764519728497</v>
      </c>
      <c r="AK5696">
        <v>0.43577280529602602</v>
      </c>
    </row>
    <row r="5697" spans="1:37" x14ac:dyDescent="0.2">
      <c r="A5697" t="str">
        <f>"20200111154213623"</f>
        <v>20200111154213623</v>
      </c>
      <c r="B5697" t="str">
        <f>"1578728533621863"</f>
        <v>1578728533621863</v>
      </c>
      <c r="C5697" t="s">
        <v>37</v>
      </c>
      <c r="D5697">
        <v>6.4490569999999998</v>
      </c>
      <c r="E5697">
        <v>0.52888169999999901</v>
      </c>
      <c r="F5697" t="s">
        <v>38</v>
      </c>
      <c r="G5697">
        <v>-146.3544</v>
      </c>
      <c r="H5697">
        <v>0.99747980000000003</v>
      </c>
      <c r="I5697">
        <v>138.21789999999999</v>
      </c>
      <c r="J5697">
        <v>-146.7893</v>
      </c>
      <c r="K5697">
        <v>1.1118349999999999</v>
      </c>
      <c r="L5697">
        <v>138.26949999999999</v>
      </c>
      <c r="M5697">
        <v>0.99910619999999895</v>
      </c>
      <c r="N5697">
        <v>0</v>
      </c>
      <c r="O5697">
        <v>-3.5374040000000002E-2</v>
      </c>
      <c r="P5697">
        <v>0.99995089999999998</v>
      </c>
      <c r="Q5697">
        <v>9.9086950000000003E-3</v>
      </c>
      <c r="R5697" s="1">
        <v>-5.5113630000000002E-5</v>
      </c>
      <c r="S5697">
        <v>3.0034480000000001</v>
      </c>
      <c r="T5697">
        <v>-0.47862199999999999</v>
      </c>
      <c r="U5697">
        <v>-0.256546</v>
      </c>
      <c r="V5697">
        <v>-3.5331609999999999E-2</v>
      </c>
      <c r="W5697">
        <v>3.3025279999999997E-2</v>
      </c>
      <c r="X5697">
        <v>0.99882979999999999</v>
      </c>
      <c r="Y5697">
        <v>4.9620459999999998E-2</v>
      </c>
      <c r="Z5697">
        <v>1.6684060000000001E-3</v>
      </c>
      <c r="AA5697">
        <v>0.99876679999999995</v>
      </c>
      <c r="AB5697">
        <v>30</v>
      </c>
      <c r="AC5697">
        <v>0.43489999999999801</v>
      </c>
      <c r="AD5697">
        <v>-0.1143552</v>
      </c>
      <c r="AE5697">
        <v>-5.1600000000007598E-2</v>
      </c>
      <c r="AF5697">
        <v>3.3870107631069298E-2</v>
      </c>
      <c r="AG5697">
        <v>-0.1143552</v>
      </c>
      <c r="AH5697">
        <v>0.40859512533636</v>
      </c>
      <c r="AI5697">
        <v>105.584715499255</v>
      </c>
      <c r="AJ5697">
        <v>85.261354316231106</v>
      </c>
      <c r="AK5697">
        <v>0.42564571230850601</v>
      </c>
    </row>
    <row r="5698" spans="1:37" x14ac:dyDescent="0.2">
      <c r="A5698" t="str">
        <f>"20200111154213646"</f>
        <v>20200111154213646</v>
      </c>
      <c r="B5698" t="str">
        <f>"1578728533641383"</f>
        <v>1578728533641383</v>
      </c>
      <c r="C5698" t="s">
        <v>37</v>
      </c>
      <c r="D5698">
        <v>6.453163</v>
      </c>
      <c r="E5698">
        <v>0.52867589999999998</v>
      </c>
      <c r="F5698" t="s">
        <v>38</v>
      </c>
      <c r="G5698">
        <v>-145.8409</v>
      </c>
      <c r="H5698">
        <v>0.97034299999999996</v>
      </c>
      <c r="I5698">
        <v>138.18889999999999</v>
      </c>
      <c r="J5698">
        <v>-146.49520000000001</v>
      </c>
      <c r="K5698">
        <v>1.1118779999999999</v>
      </c>
      <c r="L5698">
        <v>138.25919999999999</v>
      </c>
      <c r="M5698">
        <v>0.99910529999999997</v>
      </c>
      <c r="N5698">
        <v>0</v>
      </c>
      <c r="O5698">
        <v>-3.5284589999999998E-2</v>
      </c>
      <c r="P5698">
        <v>0.99991849999999904</v>
      </c>
      <c r="Q5698">
        <v>1.275124E-2</v>
      </c>
      <c r="R5698">
        <v>6.6667020000000003E-4</v>
      </c>
      <c r="S5698">
        <v>3.004578</v>
      </c>
      <c r="T5698">
        <v>-0.4483106</v>
      </c>
      <c r="U5698">
        <v>-0.2547913</v>
      </c>
      <c r="V5698">
        <v>-3.5963199999999897E-2</v>
      </c>
      <c r="W5698">
        <v>3.6043289999999999E-2</v>
      </c>
      <c r="X5698">
        <v>0.99870289999999995</v>
      </c>
      <c r="Y5698">
        <v>4.9125099999999998E-2</v>
      </c>
      <c r="Z5698">
        <v>1.5868799999999999E-3</v>
      </c>
      <c r="AA5698">
        <v>0.9987914</v>
      </c>
      <c r="AB5698">
        <v>30</v>
      </c>
      <c r="AC5698">
        <v>0.65430000000000599</v>
      </c>
      <c r="AD5698">
        <v>-0.14153499999999999</v>
      </c>
      <c r="AE5698">
        <v>-7.0300000000003096E-2</v>
      </c>
      <c r="AF5698">
        <v>4.5077987764928898E-2</v>
      </c>
      <c r="AG5698">
        <v>-0.14153499999999999</v>
      </c>
      <c r="AH5698">
        <v>0.62735327390390805</v>
      </c>
      <c r="AI5698">
        <v>102.6818219235</v>
      </c>
      <c r="AJ5698">
        <v>85.890119194087404</v>
      </c>
      <c r="AK5698">
        <v>0.64469862066231098</v>
      </c>
    </row>
    <row r="5699" spans="1:37" x14ac:dyDescent="0.2">
      <c r="A5699" t="str">
        <f>"20200111154213691"</f>
        <v>20200111154213691</v>
      </c>
      <c r="B5699" t="str">
        <f>"1578728533681399"</f>
        <v>1578728533681399</v>
      </c>
      <c r="C5699" t="s">
        <v>37</v>
      </c>
      <c r="D5699">
        <v>6.4521059999999997</v>
      </c>
      <c r="E5699">
        <v>0.52836780000000005</v>
      </c>
      <c r="F5699" t="s">
        <v>38</v>
      </c>
      <c r="G5699">
        <v>-145.57490000000001</v>
      </c>
      <c r="H5699">
        <v>0.98006309999999996</v>
      </c>
      <c r="I5699">
        <v>138.18260000000001</v>
      </c>
      <c r="J5699">
        <v>-145.91390000000001</v>
      </c>
      <c r="K5699">
        <v>1.1119569999999901</v>
      </c>
      <c r="L5699">
        <v>138.2389</v>
      </c>
      <c r="M5699">
        <v>0.9991042</v>
      </c>
      <c r="N5699">
        <v>0</v>
      </c>
      <c r="O5699">
        <v>-3.5103969999999998E-2</v>
      </c>
      <c r="P5699">
        <v>0.99981659999999895</v>
      </c>
      <c r="Q5699">
        <v>1.9053629999999998E-2</v>
      </c>
      <c r="R5699">
        <v>1.906331E-3</v>
      </c>
      <c r="S5699">
        <v>3.00589</v>
      </c>
      <c r="T5699">
        <v>-0.43049969999999999</v>
      </c>
      <c r="U5699">
        <v>-0.25022889999999998</v>
      </c>
      <c r="V5699">
        <v>-3.7018839999999997E-2</v>
      </c>
      <c r="W5699">
        <v>4.2652839999999997E-2</v>
      </c>
      <c r="X5699">
        <v>0.99840390000000001</v>
      </c>
      <c r="Y5699">
        <v>4.7786889999999999E-2</v>
      </c>
      <c r="Z5699">
        <v>1.5935000000000001E-3</v>
      </c>
      <c r="AA5699">
        <v>0.99885630000000003</v>
      </c>
      <c r="AB5699">
        <v>29</v>
      </c>
      <c r="AC5699">
        <v>0.33899999999999803</v>
      </c>
      <c r="AD5699">
        <v>-0.13189389999999901</v>
      </c>
      <c r="AE5699">
        <v>-5.6299999999993099E-2</v>
      </c>
      <c r="AF5699">
        <v>3.86658274470668E-2</v>
      </c>
      <c r="AG5699">
        <v>-0.13189389999999901</v>
      </c>
      <c r="AH5699">
        <v>0.29701449243686801</v>
      </c>
      <c r="AI5699">
        <v>113.76628613791</v>
      </c>
      <c r="AJ5699">
        <v>82.582855054295806</v>
      </c>
      <c r="AK5699">
        <v>0.32727458774996099</v>
      </c>
    </row>
    <row r="5700" spans="1:37" x14ac:dyDescent="0.2">
      <c r="A5700" t="str">
        <f>"20200111154213713"</f>
        <v>20200111154213713</v>
      </c>
      <c r="B5700" t="str">
        <f>"1578728533701895"</f>
        <v>1578728533701895</v>
      </c>
      <c r="C5700" t="s">
        <v>37</v>
      </c>
      <c r="D5700">
        <v>6.2833639999999997</v>
      </c>
      <c r="E5700">
        <v>0.52855549999999996</v>
      </c>
      <c r="F5700" t="s">
        <v>38</v>
      </c>
      <c r="G5700">
        <v>-145.0489</v>
      </c>
      <c r="H5700">
        <v>0.99871559999999904</v>
      </c>
      <c r="I5700">
        <v>138.16919999999999</v>
      </c>
      <c r="J5700">
        <v>-145.62029999999999</v>
      </c>
      <c r="K5700">
        <v>1.1119790000000001</v>
      </c>
      <c r="L5700">
        <v>138.2287</v>
      </c>
      <c r="M5700">
        <v>0.99910429999999995</v>
      </c>
      <c r="N5700">
        <v>0</v>
      </c>
      <c r="O5700">
        <v>-3.5012219999999997E-2</v>
      </c>
      <c r="P5700">
        <v>0.99976309999999902</v>
      </c>
      <c r="Q5700">
        <v>2.1503640000000001E-2</v>
      </c>
      <c r="R5700">
        <v>3.4081070000000001E-3</v>
      </c>
      <c r="S5700">
        <v>3.0085139999999999</v>
      </c>
      <c r="T5700">
        <v>-0.3938797</v>
      </c>
      <c r="U5700">
        <v>-0.2421875</v>
      </c>
      <c r="V5700">
        <v>-3.8426469999999997E-2</v>
      </c>
      <c r="W5700">
        <v>4.5236709999999999E-2</v>
      </c>
      <c r="X5700">
        <v>0.99823700000000004</v>
      </c>
      <c r="Y5700">
        <v>4.5196430000000003E-2</v>
      </c>
      <c r="Z5700">
        <v>1.614765E-3</v>
      </c>
      <c r="AA5700">
        <v>0.9989768</v>
      </c>
      <c r="AB5700">
        <v>29</v>
      </c>
      <c r="AC5700">
        <v>0.57139999999998203</v>
      </c>
      <c r="AD5700">
        <v>-0.1132634</v>
      </c>
      <c r="AE5700">
        <v>-5.9500000000014097E-2</v>
      </c>
      <c r="AF5700">
        <v>3.7975746278540001E-2</v>
      </c>
      <c r="AG5700">
        <v>-0.1132634</v>
      </c>
      <c r="AH5700">
        <v>0.55168910666695203</v>
      </c>
      <c r="AI5700">
        <v>101.575133705222</v>
      </c>
      <c r="AJ5700">
        <v>86.062233100665793</v>
      </c>
      <c r="AK5700">
        <v>0.56447464557759497</v>
      </c>
    </row>
    <row r="5701" spans="1:37" x14ac:dyDescent="0.2">
      <c r="A5701" t="str">
        <f>"20200111154213736"</f>
        <v>20200111154213736</v>
      </c>
      <c r="B5701" t="str">
        <f>"1578728533731175"</f>
        <v>1578728533731175</v>
      </c>
      <c r="C5701" t="s">
        <v>37</v>
      </c>
      <c r="D5701">
        <v>6.3584259999999997</v>
      </c>
      <c r="E5701">
        <v>0.52774949999999998</v>
      </c>
      <c r="F5701" t="s">
        <v>38</v>
      </c>
      <c r="G5701">
        <v>-144.78909999999999</v>
      </c>
      <c r="H5701">
        <v>1.007344</v>
      </c>
      <c r="I5701">
        <v>138.1627</v>
      </c>
      <c r="J5701">
        <v>-145.33750000000001</v>
      </c>
      <c r="K5701">
        <v>1.112007</v>
      </c>
      <c r="L5701">
        <v>138.21889999999999</v>
      </c>
      <c r="M5701">
        <v>0.99910449999999995</v>
      </c>
      <c r="N5701">
        <v>0</v>
      </c>
      <c r="O5701">
        <v>-3.4923240000000001E-2</v>
      </c>
      <c r="P5701">
        <v>0.99972499999999997</v>
      </c>
      <c r="Q5701">
        <v>2.2918009999999999E-2</v>
      </c>
      <c r="R5701">
        <v>4.9557489999999997E-3</v>
      </c>
      <c r="S5701">
        <v>3.009674</v>
      </c>
      <c r="T5701">
        <v>-0.37890869999999999</v>
      </c>
      <c r="U5701">
        <v>-0.23872379999999899</v>
      </c>
      <c r="V5701">
        <v>-3.9883019999999998E-2</v>
      </c>
      <c r="W5701">
        <v>4.6765729999999998E-2</v>
      </c>
      <c r="X5701">
        <v>0.99810929999999998</v>
      </c>
      <c r="Y5701">
        <v>4.4126220000000001E-2</v>
      </c>
      <c r="Z5701">
        <v>1.609259E-3</v>
      </c>
      <c r="AA5701">
        <v>0.99902469999999999</v>
      </c>
      <c r="AB5701">
        <v>29</v>
      </c>
      <c r="AC5701">
        <v>0.54840000000001499</v>
      </c>
      <c r="AD5701">
        <v>-0.10466299999999901</v>
      </c>
      <c r="AE5701">
        <v>-5.61999999999898E-2</v>
      </c>
      <c r="AF5701">
        <v>3.5720745868639103E-2</v>
      </c>
      <c r="AG5701">
        <v>-0.10466299999999901</v>
      </c>
      <c r="AH5701">
        <v>0.53089211816961701</v>
      </c>
      <c r="AI5701">
        <v>101.128056034165</v>
      </c>
      <c r="AJ5701">
        <v>86.150690974632596</v>
      </c>
      <c r="AK5701">
        <v>0.54228844390143005</v>
      </c>
    </row>
    <row r="5702" spans="1:37" x14ac:dyDescent="0.2">
      <c r="A5702" t="str">
        <f>"20200111154213760"</f>
        <v>20200111154213760</v>
      </c>
      <c r="B5702" t="str">
        <f>"1578728533751670"</f>
        <v>1578728533751670</v>
      </c>
      <c r="C5702" t="s">
        <v>37</v>
      </c>
      <c r="D5702">
        <v>6.2292389999999997</v>
      </c>
      <c r="E5702">
        <v>0.52741419999999894</v>
      </c>
      <c r="F5702" t="s">
        <v>38</v>
      </c>
      <c r="G5702">
        <v>-144.53299999999999</v>
      </c>
      <c r="H5702">
        <v>1.012067</v>
      </c>
      <c r="I5702">
        <v>138.15790000000001</v>
      </c>
      <c r="J5702">
        <v>-145.02670000000001</v>
      </c>
      <c r="K5702">
        <v>1.1120239999999999</v>
      </c>
      <c r="L5702">
        <v>138.2081</v>
      </c>
      <c r="M5702">
        <v>0.99910529999999997</v>
      </c>
      <c r="N5702">
        <v>0</v>
      </c>
      <c r="O5702">
        <v>-3.4825999999999899E-2</v>
      </c>
      <c r="P5702">
        <v>0.99967919999999999</v>
      </c>
      <c r="Q5702">
        <v>2.434528E-2</v>
      </c>
      <c r="R5702">
        <v>6.9968829999999997E-3</v>
      </c>
      <c r="S5702">
        <v>3.010529</v>
      </c>
      <c r="T5702">
        <v>-0.37401000000000001</v>
      </c>
      <c r="U5702">
        <v>-0.22785949999999999</v>
      </c>
      <c r="V5702">
        <v>-4.1824559999999997E-2</v>
      </c>
      <c r="W5702">
        <v>4.8302749999999998E-2</v>
      </c>
      <c r="X5702">
        <v>0.99795669999999903</v>
      </c>
      <c r="Y5702">
        <v>4.0644729999999997E-2</v>
      </c>
      <c r="Z5702">
        <v>1.791586E-3</v>
      </c>
      <c r="AA5702">
        <v>0.99917199999999995</v>
      </c>
      <c r="AB5702">
        <v>29</v>
      </c>
      <c r="AC5702">
        <v>0.49370000000001801</v>
      </c>
      <c r="AD5702">
        <v>-9.9956999999999796E-2</v>
      </c>
      <c r="AE5702">
        <v>-5.0199999999989503E-2</v>
      </c>
      <c r="AF5702">
        <v>3.1685422217349497E-2</v>
      </c>
      <c r="AG5702">
        <v>-9.9956999999999796E-2</v>
      </c>
      <c r="AH5702">
        <v>0.475842920361852</v>
      </c>
      <c r="AI5702">
        <v>101.83776424218701</v>
      </c>
      <c r="AJ5702">
        <v>86.1904132523442</v>
      </c>
      <c r="AK5702">
        <v>0.48725953319415699</v>
      </c>
    </row>
    <row r="5703" spans="1:37" x14ac:dyDescent="0.2">
      <c r="A5703" t="str">
        <f>"20200111154213784"</f>
        <v>20200111154213784</v>
      </c>
      <c r="B5703" t="str">
        <f>"1578728533772167"</f>
        <v>1578728533772167</v>
      </c>
      <c r="C5703" t="s">
        <v>37</v>
      </c>
      <c r="D5703">
        <v>6.2026479999999999</v>
      </c>
      <c r="E5703">
        <v>0.52697369999999899</v>
      </c>
      <c r="F5703" t="s">
        <v>38</v>
      </c>
      <c r="G5703">
        <v>-144.2774</v>
      </c>
      <c r="H5703">
        <v>1.019784</v>
      </c>
      <c r="I5703">
        <v>138.15350000000001</v>
      </c>
      <c r="J5703">
        <v>-144.7354</v>
      </c>
      <c r="K5703">
        <v>1.112042</v>
      </c>
      <c r="L5703">
        <v>138.19810000000001</v>
      </c>
      <c r="M5703">
        <v>0.99910619999999895</v>
      </c>
      <c r="N5703">
        <v>0</v>
      </c>
      <c r="O5703">
        <v>-3.473449E-2</v>
      </c>
      <c r="P5703">
        <v>0.99961359999999999</v>
      </c>
      <c r="Q5703">
        <v>2.6435230000000001E-2</v>
      </c>
      <c r="R5703">
        <v>8.5970760000000004E-3</v>
      </c>
      <c r="S5703">
        <v>3.011536</v>
      </c>
      <c r="T5703">
        <v>-0.37077719999999997</v>
      </c>
      <c r="U5703">
        <v>-0.21940609999999999</v>
      </c>
      <c r="V5703">
        <v>-4.3330229999999997E-2</v>
      </c>
      <c r="W5703">
        <v>5.0480659999999997E-2</v>
      </c>
      <c r="X5703">
        <v>0.99778459999999902</v>
      </c>
      <c r="Y5703">
        <v>3.794198E-2</v>
      </c>
      <c r="Z5703">
        <v>1.9302079999999899E-3</v>
      </c>
      <c r="AA5703">
        <v>0.99927809999999995</v>
      </c>
      <c r="AB5703">
        <v>28</v>
      </c>
      <c r="AC5703">
        <v>0.45799999999999802</v>
      </c>
      <c r="AD5703">
        <v>-9.2257999999999896E-2</v>
      </c>
      <c r="AE5703">
        <v>-4.4600000000002603E-2</v>
      </c>
      <c r="AF5703">
        <v>2.7552566205055098E-2</v>
      </c>
      <c r="AG5703">
        <v>-9.2257999999999896E-2</v>
      </c>
      <c r="AH5703">
        <v>0.441525702578418</v>
      </c>
      <c r="AI5703">
        <v>101.78002502128</v>
      </c>
      <c r="AJ5703">
        <v>86.429196839256306</v>
      </c>
      <c r="AK5703">
        <v>0.45190223334904001</v>
      </c>
    </row>
    <row r="5704" spans="1:37" x14ac:dyDescent="0.2">
      <c r="A5704" t="str">
        <f>"20200111154213805"</f>
        <v>20200111154213805</v>
      </c>
      <c r="B5704" t="str">
        <f>"1578728533801954"</f>
        <v>1578728533801954</v>
      </c>
      <c r="C5704" t="s">
        <v>37</v>
      </c>
      <c r="D5704">
        <v>6.2657360000000004</v>
      </c>
      <c r="E5704">
        <v>0.52664100000000003</v>
      </c>
      <c r="F5704" t="s">
        <v>38</v>
      </c>
      <c r="G5704">
        <v>-143.79179999999999</v>
      </c>
      <c r="H5704">
        <v>0.99667790000000001</v>
      </c>
      <c r="I5704">
        <v>138.1318</v>
      </c>
      <c r="J5704">
        <v>-144.4674</v>
      </c>
      <c r="K5704">
        <v>1.1120620000000001</v>
      </c>
      <c r="L5704">
        <v>138.18889999999999</v>
      </c>
      <c r="M5704">
        <v>0.99910739999999998</v>
      </c>
      <c r="N5704">
        <v>0</v>
      </c>
      <c r="O5704">
        <v>-3.4650130000000001E-2</v>
      </c>
      <c r="P5704">
        <v>0.99953840000000005</v>
      </c>
      <c r="Q5704">
        <v>2.8721859999999998E-2</v>
      </c>
      <c r="R5704">
        <v>9.8980579999999995E-3</v>
      </c>
      <c r="S5704">
        <v>3.0127410000000001</v>
      </c>
      <c r="T5704">
        <v>-0.36835559999999901</v>
      </c>
      <c r="U5704">
        <v>-0.2116547</v>
      </c>
      <c r="V5704">
        <v>-4.454371E-2</v>
      </c>
      <c r="W5704">
        <v>5.2835E-2</v>
      </c>
      <c r="X5704">
        <v>0.99760930000000003</v>
      </c>
      <c r="Y5704">
        <v>3.5457339999999997E-2</v>
      </c>
      <c r="Z5704">
        <v>2.0580529999999998E-3</v>
      </c>
      <c r="AA5704">
        <v>0.99936909999999901</v>
      </c>
      <c r="AB5704">
        <v>28</v>
      </c>
      <c r="AC5704">
        <v>0.67560000000000198</v>
      </c>
      <c r="AD5704">
        <v>-0.1153841</v>
      </c>
      <c r="AE5704">
        <v>-5.7099999999991199E-2</v>
      </c>
      <c r="AF5704">
        <v>3.2702124484609497E-2</v>
      </c>
      <c r="AG5704">
        <v>-0.1153841</v>
      </c>
      <c r="AH5704">
        <v>0.658113205939725</v>
      </c>
      <c r="AI5704">
        <v>99.932336014933796</v>
      </c>
      <c r="AJ5704">
        <v>87.155270821623304</v>
      </c>
      <c r="AK5704">
        <v>0.66895135197626998</v>
      </c>
    </row>
    <row r="5705" spans="1:37" x14ac:dyDescent="0.2">
      <c r="A5705" t="str">
        <f>"20200111154213826"</f>
        <v>20200111154213826</v>
      </c>
      <c r="B5705" t="str">
        <f>"1578728533821474"</f>
        <v>1578728533821474</v>
      </c>
      <c r="C5705" t="s">
        <v>37</v>
      </c>
      <c r="D5705">
        <v>6.2233010000000002</v>
      </c>
      <c r="E5705">
        <v>0.52651169999999903</v>
      </c>
      <c r="F5705" t="s">
        <v>38</v>
      </c>
      <c r="G5705">
        <v>-143.54390000000001</v>
      </c>
      <c r="H5705">
        <v>1.000308</v>
      </c>
      <c r="I5705">
        <v>138.1259</v>
      </c>
      <c r="J5705">
        <v>-144.2158</v>
      </c>
      <c r="K5705">
        <v>1.1120729999999901</v>
      </c>
      <c r="L5705">
        <v>138.18029999999999</v>
      </c>
      <c r="M5705">
        <v>0.99910909999999997</v>
      </c>
      <c r="N5705">
        <v>0</v>
      </c>
      <c r="O5705">
        <v>-3.4571329999999997E-2</v>
      </c>
      <c r="P5705">
        <v>0.99944330000000003</v>
      </c>
      <c r="Q5705">
        <v>3.1238169999999999E-2</v>
      </c>
      <c r="R5705">
        <v>1.1717989999999999E-2</v>
      </c>
      <c r="S5705">
        <v>3.0139309999999999</v>
      </c>
      <c r="T5705">
        <v>-0.36477039999999999</v>
      </c>
      <c r="U5705">
        <v>-0.2052765</v>
      </c>
      <c r="V5705">
        <v>-4.628065E-2</v>
      </c>
      <c r="W5705">
        <v>5.5393289999999998E-2</v>
      </c>
      <c r="X5705">
        <v>0.99739149999999999</v>
      </c>
      <c r="Y5705">
        <v>3.341798E-2</v>
      </c>
      <c r="Z5705">
        <v>2.1508959999999998E-3</v>
      </c>
      <c r="AA5705">
        <v>0.99943909999999903</v>
      </c>
      <c r="AB5705">
        <v>28</v>
      </c>
      <c r="AC5705">
        <v>0.67189999999999295</v>
      </c>
      <c r="AD5705">
        <v>-0.111764999999999</v>
      </c>
      <c r="AE5705">
        <v>-5.4399999999986903E-2</v>
      </c>
      <c r="AF5705">
        <v>3.0299271022680999E-2</v>
      </c>
      <c r="AG5705">
        <v>-0.111764999999999</v>
      </c>
      <c r="AH5705">
        <v>0.65536381931121102</v>
      </c>
      <c r="AI5705">
        <v>99.667918252885897</v>
      </c>
      <c r="AJ5705">
        <v>87.352943526595297</v>
      </c>
      <c r="AK5705">
        <v>0.66551573738844305</v>
      </c>
    </row>
    <row r="5706" spans="1:37" x14ac:dyDescent="0.2">
      <c r="A5706" t="str">
        <f>"20200111154213849"</f>
        <v>20200111154213849</v>
      </c>
      <c r="B5706" t="str">
        <f>"1578728533841971"</f>
        <v>1578728533841971</v>
      </c>
      <c r="C5706" t="s">
        <v>37</v>
      </c>
      <c r="D5706">
        <v>6.2691970000000001</v>
      </c>
      <c r="E5706">
        <v>0.52639040000000004</v>
      </c>
      <c r="F5706" t="s">
        <v>38</v>
      </c>
      <c r="G5706">
        <v>-143.29839999999999</v>
      </c>
      <c r="H5706">
        <v>1.0029749999999999</v>
      </c>
      <c r="I5706">
        <v>138.11940000000001</v>
      </c>
      <c r="J5706">
        <v>-143.92599999999999</v>
      </c>
      <c r="K5706">
        <v>1.112087</v>
      </c>
      <c r="L5706">
        <v>138.1704</v>
      </c>
      <c r="M5706">
        <v>0.99911139999999998</v>
      </c>
      <c r="N5706">
        <v>0</v>
      </c>
      <c r="O5706">
        <v>-3.4480219999999999E-2</v>
      </c>
      <c r="P5706">
        <v>0.99933229999999995</v>
      </c>
      <c r="Q5706">
        <v>3.3863999999999998E-2</v>
      </c>
      <c r="R5706">
        <v>1.3737950000000001E-2</v>
      </c>
      <c r="S5706">
        <v>3.0152130000000001</v>
      </c>
      <c r="T5706">
        <v>-0.35865590000000003</v>
      </c>
      <c r="U5706">
        <v>-0.19943239999999901</v>
      </c>
      <c r="V5706">
        <v>-4.8204660000000003E-2</v>
      </c>
      <c r="W5706">
        <v>5.804786E-2</v>
      </c>
      <c r="X5706">
        <v>0.99714930000000002</v>
      </c>
      <c r="Y5706">
        <v>3.1563870000000001E-2</v>
      </c>
      <c r="Z5706">
        <v>2.2133639999999898E-3</v>
      </c>
      <c r="AA5706">
        <v>0.99949929999999998</v>
      </c>
      <c r="AB5706">
        <v>28</v>
      </c>
      <c r="AC5706">
        <v>0.62760000000002902</v>
      </c>
      <c r="AD5706">
        <v>-0.109112</v>
      </c>
      <c r="AE5706">
        <v>-5.0999999999987701E-2</v>
      </c>
      <c r="AF5706">
        <v>2.8468664855494399E-2</v>
      </c>
      <c r="AG5706">
        <v>-0.109112</v>
      </c>
      <c r="AH5706">
        <v>0.61064926900161598</v>
      </c>
      <c r="AI5706">
        <v>100.120043859188</v>
      </c>
      <c r="AJ5706">
        <v>87.330785061057099</v>
      </c>
      <c r="AK5706">
        <v>0.62097377010213795</v>
      </c>
    </row>
    <row r="5707" spans="1:37" x14ac:dyDescent="0.2">
      <c r="A5707" t="str">
        <f>"20200111154213870"</f>
        <v>20200111154213870</v>
      </c>
      <c r="B5707" t="str">
        <f>"1578728533861490"</f>
        <v>1578728533861490</v>
      </c>
      <c r="C5707" t="s">
        <v>37</v>
      </c>
      <c r="D5707">
        <v>6.2021030000000001</v>
      </c>
      <c r="E5707">
        <v>0.5263755</v>
      </c>
      <c r="F5707" t="s">
        <v>38</v>
      </c>
      <c r="G5707">
        <v>-143.0522</v>
      </c>
      <c r="H5707">
        <v>1.0104</v>
      </c>
      <c r="I5707">
        <v>138.11449999999999</v>
      </c>
      <c r="J5707">
        <v>-143.68610000000001</v>
      </c>
      <c r="K5707">
        <v>1.112098</v>
      </c>
      <c r="L5707">
        <v>138.16220000000001</v>
      </c>
      <c r="M5707">
        <v>0.99911380000000005</v>
      </c>
      <c r="N5707">
        <v>0</v>
      </c>
      <c r="O5707">
        <v>-3.4405779999999997E-2</v>
      </c>
      <c r="P5707">
        <v>0.9992259</v>
      </c>
      <c r="Q5707">
        <v>3.6240080000000001E-2</v>
      </c>
      <c r="R5707">
        <v>1.531479E-2</v>
      </c>
      <c r="S5707">
        <v>3.016556</v>
      </c>
      <c r="T5707">
        <v>-0.35108230000000001</v>
      </c>
      <c r="U5707">
        <v>-0.192688</v>
      </c>
      <c r="V5707">
        <v>-4.9702929999999999E-2</v>
      </c>
      <c r="W5707">
        <v>6.043022E-2</v>
      </c>
      <c r="X5707">
        <v>0.99693419999999899</v>
      </c>
      <c r="Y5707">
        <v>2.93969E-2</v>
      </c>
      <c r="Z5707">
        <v>2.2831119999999999E-3</v>
      </c>
      <c r="AA5707">
        <v>0.99956520000000004</v>
      </c>
      <c r="AB5707">
        <v>27</v>
      </c>
      <c r="AC5707">
        <v>0.63390000000001101</v>
      </c>
      <c r="AD5707">
        <v>-0.101698</v>
      </c>
      <c r="AE5707">
        <v>-4.7700000000020198E-2</v>
      </c>
      <c r="AF5707">
        <v>2.5210283548703801E-2</v>
      </c>
      <c r="AG5707">
        <v>-0.101698</v>
      </c>
      <c r="AH5707">
        <v>0.61931560723144496</v>
      </c>
      <c r="AI5707">
        <v>99.317750861742098</v>
      </c>
      <c r="AJ5707">
        <v>87.6689658829753</v>
      </c>
      <c r="AK5707">
        <v>0.62811612219482105</v>
      </c>
    </row>
    <row r="5708" spans="1:37" x14ac:dyDescent="0.2">
      <c r="A5708" t="str">
        <f>"20200111154213897"</f>
        <v>20200111154213897</v>
      </c>
      <c r="B5708" t="str">
        <f>"1578728533891279"</f>
        <v>1578728533891279</v>
      </c>
      <c r="C5708" t="s">
        <v>37</v>
      </c>
      <c r="D5708">
        <v>6.3285210000000003</v>
      </c>
      <c r="E5708">
        <v>0.52634179999999997</v>
      </c>
      <c r="F5708" t="s">
        <v>38</v>
      </c>
      <c r="G5708">
        <v>-142.8109</v>
      </c>
      <c r="H5708">
        <v>1.0118910000000001</v>
      </c>
      <c r="I5708">
        <v>138.10749999999999</v>
      </c>
      <c r="J5708">
        <v>-143.3621</v>
      </c>
      <c r="K5708">
        <v>1.112104</v>
      </c>
      <c r="L5708">
        <v>138.15119999999999</v>
      </c>
      <c r="M5708">
        <v>0.99911709999999998</v>
      </c>
      <c r="N5708">
        <v>0</v>
      </c>
      <c r="O5708">
        <v>-3.4307049999999999E-2</v>
      </c>
      <c r="P5708">
        <v>0.9991679</v>
      </c>
      <c r="Q5708">
        <v>3.7281300000000003E-2</v>
      </c>
      <c r="R5708">
        <v>1.655334E-2</v>
      </c>
      <c r="S5708">
        <v>3.0177309999999999</v>
      </c>
      <c r="T5708">
        <v>-0.34557259999999901</v>
      </c>
      <c r="U5708">
        <v>-0.18858339999999901</v>
      </c>
      <c r="V5708">
        <v>-5.083961E-2</v>
      </c>
      <c r="W5708">
        <v>6.1469219999999998E-2</v>
      </c>
      <c r="X5708">
        <v>0.99681339999999996</v>
      </c>
      <c r="Y5708">
        <v>2.8123289999999999E-2</v>
      </c>
      <c r="Z5708">
        <v>2.3081310000000002E-3</v>
      </c>
      <c r="AA5708">
        <v>0.99960179999999998</v>
      </c>
      <c r="AB5708">
        <v>27</v>
      </c>
      <c r="AC5708">
        <v>0.55119999999999403</v>
      </c>
      <c r="AD5708">
        <v>-0.100212999999999</v>
      </c>
      <c r="AE5708">
        <v>-4.3700000000001099E-2</v>
      </c>
      <c r="AF5708">
        <v>2.3971245381304299E-2</v>
      </c>
      <c r="AG5708">
        <v>-0.100212999999999</v>
      </c>
      <c r="AH5708">
        <v>0.53480765566575394</v>
      </c>
      <c r="AI5708">
        <v>100.60268640487701</v>
      </c>
      <c r="AJ5708">
        <v>87.433595956696706</v>
      </c>
      <c r="AK5708">
        <v>0.54464345633894395</v>
      </c>
    </row>
    <row r="5709" spans="1:37" x14ac:dyDescent="0.2">
      <c r="A5709" t="str">
        <f>"20200111154213920"</f>
        <v>20200111154213920</v>
      </c>
      <c r="B5709" t="str">
        <f>"1578728533911774"</f>
        <v>1578728533911774</v>
      </c>
      <c r="C5709" t="s">
        <v>37</v>
      </c>
      <c r="D5709">
        <v>6.1898309999999999</v>
      </c>
      <c r="E5709">
        <v>0.52634809999999999</v>
      </c>
      <c r="F5709" t="s">
        <v>38</v>
      </c>
      <c r="G5709">
        <v>-142.56700000000001</v>
      </c>
      <c r="H5709">
        <v>1.021946</v>
      </c>
      <c r="I5709">
        <v>138.10249999999999</v>
      </c>
      <c r="J5709">
        <v>-143.0926</v>
      </c>
      <c r="K5709">
        <v>1.1121080000000001</v>
      </c>
      <c r="L5709">
        <v>138.142</v>
      </c>
      <c r="M5709">
        <v>0.99912029999999996</v>
      </c>
      <c r="N5709">
        <v>0</v>
      </c>
      <c r="O5709">
        <v>-3.4226479999999997E-2</v>
      </c>
      <c r="P5709">
        <v>0.99908430000000004</v>
      </c>
      <c r="Q5709">
        <v>3.8556390000000003E-2</v>
      </c>
      <c r="R5709">
        <v>1.855532E-2</v>
      </c>
      <c r="S5709">
        <v>3.0183409999999999</v>
      </c>
      <c r="T5709">
        <v>-0.3422654</v>
      </c>
      <c r="U5709">
        <v>-0.1849365</v>
      </c>
      <c r="V5709">
        <v>-5.2757100000000001E-2</v>
      </c>
      <c r="W5709">
        <v>6.2724699999999994E-2</v>
      </c>
      <c r="X5709">
        <v>0.99663550000000001</v>
      </c>
      <c r="Y5709">
        <v>2.699408E-2</v>
      </c>
      <c r="Z5709">
        <v>2.3404950000000002E-3</v>
      </c>
      <c r="AA5709">
        <v>0.99963279999999999</v>
      </c>
      <c r="AB5709">
        <v>27</v>
      </c>
      <c r="AC5709">
        <v>0.52559999999999696</v>
      </c>
      <c r="AD5709">
        <v>-9.0162000000000006E-2</v>
      </c>
      <c r="AE5709">
        <v>-3.9500000000003803E-2</v>
      </c>
      <c r="AF5709">
        <v>2.0871401892105301E-2</v>
      </c>
      <c r="AG5709">
        <v>-9.0162000000000006E-2</v>
      </c>
      <c r="AH5709">
        <v>0.51167213241034204</v>
      </c>
      <c r="AI5709">
        <v>99.985390585311393</v>
      </c>
      <c r="AJ5709">
        <v>87.664166985999302</v>
      </c>
      <c r="AK5709">
        <v>0.51997420392389504</v>
      </c>
    </row>
    <row r="5710" spans="1:37" x14ac:dyDescent="0.2">
      <c r="A5710" t="str">
        <f>"20200111154213943"</f>
        <v>20200111154213943</v>
      </c>
      <c r="B5710" t="str">
        <f>"1578728533931294"</f>
        <v>1578728533931294</v>
      </c>
      <c r="C5710" t="s">
        <v>37</v>
      </c>
      <c r="D5710">
        <v>6.1886929999999998</v>
      </c>
      <c r="E5710">
        <v>0.52637929999999999</v>
      </c>
      <c r="F5710" t="s">
        <v>38</v>
      </c>
      <c r="G5710">
        <v>-142.32769999999999</v>
      </c>
      <c r="H5710">
        <v>1.0263819999999999</v>
      </c>
      <c r="I5710">
        <v>138.09639999999999</v>
      </c>
      <c r="J5710">
        <v>-142.81120000000001</v>
      </c>
      <c r="K5710">
        <v>1.1121099999999999</v>
      </c>
      <c r="L5710">
        <v>138.13249999999999</v>
      </c>
      <c r="M5710">
        <v>0.99912389999999995</v>
      </c>
      <c r="N5710">
        <v>0</v>
      </c>
      <c r="O5710">
        <v>-3.4144290000000001E-2</v>
      </c>
      <c r="P5710">
        <v>0.99897369999999996</v>
      </c>
      <c r="Q5710">
        <v>4.0352480000000003E-2</v>
      </c>
      <c r="R5710">
        <v>2.0580580000000001E-2</v>
      </c>
      <c r="S5710">
        <v>3.0191349999999999</v>
      </c>
      <c r="T5710">
        <v>-0.33849059999999997</v>
      </c>
      <c r="U5710">
        <v>-0.17973329999999901</v>
      </c>
      <c r="V5710">
        <v>-5.4694550000000001E-2</v>
      </c>
      <c r="W5710">
        <v>6.4483520000000003E-2</v>
      </c>
      <c r="X5710">
        <v>0.99641880000000005</v>
      </c>
      <c r="Y5710">
        <v>2.535244E-2</v>
      </c>
      <c r="Z5710">
        <v>2.3968710000000001E-3</v>
      </c>
      <c r="AA5710">
        <v>0.99967569999999994</v>
      </c>
      <c r="AB5710">
        <v>27</v>
      </c>
      <c r="AC5710">
        <v>0.48350000000002002</v>
      </c>
      <c r="AD5710">
        <v>-8.5727999999999999E-2</v>
      </c>
      <c r="AE5710">
        <v>-3.6100000000004601E-2</v>
      </c>
      <c r="AF5710">
        <v>1.8972200093319701E-2</v>
      </c>
      <c r="AG5710">
        <v>-8.5727999999999999E-2</v>
      </c>
      <c r="AH5710">
        <v>0.46976438691087102</v>
      </c>
      <c r="AI5710">
        <v>100.33394234374499</v>
      </c>
      <c r="AJ5710">
        <v>87.687273466974801</v>
      </c>
      <c r="AK5710">
        <v>0.47789937598842702</v>
      </c>
    </row>
    <row r="5711" spans="1:37" x14ac:dyDescent="0.2">
      <c r="A5711" t="str">
        <f>"20200111154213984"</f>
        <v>20200111154213984</v>
      </c>
      <c r="B5711" t="str">
        <f>"1578728533971310"</f>
        <v>1578728533971310</v>
      </c>
      <c r="C5711" t="s">
        <v>37</v>
      </c>
      <c r="D5711">
        <v>6.1404699999999997</v>
      </c>
      <c r="E5711">
        <v>0.52645989999999998</v>
      </c>
      <c r="F5711" t="s">
        <v>38</v>
      </c>
      <c r="G5711">
        <v>-141.86869999999999</v>
      </c>
      <c r="H5711">
        <v>1.0079069999999899</v>
      </c>
      <c r="I5711">
        <v>138.078</v>
      </c>
      <c r="J5711">
        <v>-142.33840000000001</v>
      </c>
      <c r="K5711">
        <v>1.1121099999999999</v>
      </c>
      <c r="L5711">
        <v>138.11660000000001</v>
      </c>
      <c r="M5711">
        <v>0.99913090000000004</v>
      </c>
      <c r="N5711">
        <v>0</v>
      </c>
      <c r="O5711">
        <v>-3.4008379999999998E-2</v>
      </c>
      <c r="P5711">
        <v>0.99875609999999904</v>
      </c>
      <c r="Q5711">
        <v>4.3621260000000002E-2</v>
      </c>
      <c r="R5711">
        <v>2.415463E-2</v>
      </c>
      <c r="S5711">
        <v>3.0201720000000001</v>
      </c>
      <c r="T5711">
        <v>-0.33399849999999998</v>
      </c>
      <c r="U5711">
        <v>-0.17445369999999999</v>
      </c>
      <c r="V5711">
        <v>-5.812341E-2</v>
      </c>
      <c r="W5711">
        <v>6.7640420000000007E-2</v>
      </c>
      <c r="X5711">
        <v>0.99601530000000005</v>
      </c>
      <c r="Y5711">
        <v>2.3734089999999999E-2</v>
      </c>
      <c r="Z5711">
        <v>2.4387660000000002E-3</v>
      </c>
      <c r="AA5711">
        <v>0.99971529999999997</v>
      </c>
      <c r="AB5711">
        <v>26</v>
      </c>
      <c r="AC5711">
        <v>0.46970000000001699</v>
      </c>
      <c r="AD5711">
        <v>-0.104203</v>
      </c>
      <c r="AE5711">
        <v>-3.8600000000002403E-2</v>
      </c>
      <c r="AF5711">
        <v>2.1545957374835101E-2</v>
      </c>
      <c r="AG5711">
        <v>-0.104203</v>
      </c>
      <c r="AH5711">
        <v>0.44880059391608101</v>
      </c>
      <c r="AI5711">
        <v>103.05687341463501</v>
      </c>
      <c r="AJ5711">
        <v>87.251462345655298</v>
      </c>
      <c r="AK5711">
        <v>0.46124230788992598</v>
      </c>
    </row>
    <row r="5712" spans="1:37" x14ac:dyDescent="0.2">
      <c r="A5712" t="str">
        <f>"20200111154214005"</f>
        <v>20200111154214005</v>
      </c>
      <c r="B5712" t="str">
        <f>"1578728534001862"</f>
        <v>1578728534001862</v>
      </c>
      <c r="C5712" t="s">
        <v>37</v>
      </c>
      <c r="D5712">
        <v>6.1540339999999896</v>
      </c>
      <c r="E5712">
        <v>0.52654749999999995</v>
      </c>
      <c r="F5712" t="s">
        <v>38</v>
      </c>
      <c r="G5712">
        <v>-141.40530000000001</v>
      </c>
      <c r="H5712">
        <v>1.0109649999999999</v>
      </c>
      <c r="I5712">
        <v>138.06540000000001</v>
      </c>
      <c r="J5712">
        <v>-142.09219999999999</v>
      </c>
      <c r="K5712">
        <v>1.112096</v>
      </c>
      <c r="L5712">
        <v>138.10830000000001</v>
      </c>
      <c r="M5712">
        <v>0.999135</v>
      </c>
      <c r="N5712">
        <v>0</v>
      </c>
      <c r="O5712">
        <v>-3.3938589999999998E-2</v>
      </c>
      <c r="P5712">
        <v>0.99865349999999997</v>
      </c>
      <c r="Q5712">
        <v>4.4447710000000001E-2</v>
      </c>
      <c r="R5712">
        <v>2.674994E-2</v>
      </c>
      <c r="S5712">
        <v>3.022049</v>
      </c>
      <c r="T5712">
        <v>-0.32764559999999998</v>
      </c>
      <c r="U5712">
        <v>-0.1654205</v>
      </c>
      <c r="V5712">
        <v>-6.064344E-2</v>
      </c>
      <c r="W5712">
        <v>6.8392090000000003E-2</v>
      </c>
      <c r="X5712">
        <v>0.99581369999999902</v>
      </c>
      <c r="Y5712">
        <v>2.080361E-2</v>
      </c>
      <c r="Z5712">
        <v>2.5421580000000001E-3</v>
      </c>
      <c r="AA5712">
        <v>0.99978040000000001</v>
      </c>
      <c r="AB5712">
        <v>26</v>
      </c>
      <c r="AC5712">
        <v>0.68689999999997997</v>
      </c>
      <c r="AD5712">
        <v>-0.101131</v>
      </c>
      <c r="AE5712">
        <v>-4.2900000000002998E-2</v>
      </c>
      <c r="AF5712">
        <v>1.9142791675352901E-2</v>
      </c>
      <c r="AG5712">
        <v>-0.101131</v>
      </c>
      <c r="AH5712">
        <v>0.67342002976070403</v>
      </c>
      <c r="AI5712">
        <v>98.537186019580702</v>
      </c>
      <c r="AJ5712">
        <v>88.371735555495505</v>
      </c>
      <c r="AK5712">
        <v>0.68124038497217199</v>
      </c>
    </row>
    <row r="5713" spans="1:37" x14ac:dyDescent="0.2">
      <c r="A5713" t="str">
        <f>"20200111154214031"</f>
        <v>20200111154214031</v>
      </c>
      <c r="B5713" t="str">
        <f>"1578728534021382"</f>
        <v>1578728534021382</v>
      </c>
      <c r="C5713" t="s">
        <v>37</v>
      </c>
      <c r="D5713">
        <v>6.1502540000000003</v>
      </c>
      <c r="E5713">
        <v>0.52663329999999997</v>
      </c>
      <c r="F5713" t="s">
        <v>38</v>
      </c>
      <c r="G5713">
        <v>-141.1763</v>
      </c>
      <c r="H5713">
        <v>1.0120959999999899</v>
      </c>
      <c r="I5713">
        <v>138.06</v>
      </c>
      <c r="J5713">
        <v>-141.80449999999999</v>
      </c>
      <c r="K5713">
        <v>1.1120920000000001</v>
      </c>
      <c r="L5713">
        <v>138.0986</v>
      </c>
      <c r="M5713">
        <v>0.99913980000000002</v>
      </c>
      <c r="N5713">
        <v>0</v>
      </c>
      <c r="O5713">
        <v>-3.3856940000000002E-2</v>
      </c>
      <c r="P5713">
        <v>0.99851190000000001</v>
      </c>
      <c r="Q5713">
        <v>4.5978690000000003E-2</v>
      </c>
      <c r="R5713">
        <v>2.9324900000000001E-2</v>
      </c>
      <c r="S5713">
        <v>3.02302599999999</v>
      </c>
      <c r="T5713">
        <v>-0.33008179999999998</v>
      </c>
      <c r="U5713">
        <v>-0.15925599999999901</v>
      </c>
      <c r="V5713">
        <v>-6.3131279999999998E-2</v>
      </c>
      <c r="W5713">
        <v>6.9831550000000006E-2</v>
      </c>
      <c r="X5713">
        <v>0.99555919999999898</v>
      </c>
      <c r="Y5713">
        <v>1.8847050000000001E-2</v>
      </c>
      <c r="Z5713">
        <v>2.6578409999999898E-3</v>
      </c>
      <c r="AA5713">
        <v>0.99981889999999995</v>
      </c>
      <c r="AB5713">
        <v>26</v>
      </c>
      <c r="AC5713">
        <v>0.62819999999999199</v>
      </c>
      <c r="AD5713">
        <v>-9.9996000000000196E-2</v>
      </c>
      <c r="AE5713">
        <v>-3.8600000000002403E-2</v>
      </c>
      <c r="AF5713">
        <v>1.6876814327247799E-2</v>
      </c>
      <c r="AG5713">
        <v>-9.9996000000000196E-2</v>
      </c>
      <c r="AH5713">
        <v>0.61365664941927101</v>
      </c>
      <c r="AI5713">
        <v>99.251625651667794</v>
      </c>
      <c r="AJ5713">
        <v>88.4246458492849</v>
      </c>
      <c r="AK5713">
        <v>0.621979509513233</v>
      </c>
    </row>
    <row r="5714" spans="1:37" x14ac:dyDescent="0.2">
      <c r="A5714" t="str">
        <f>"20200111154214049"</f>
        <v>20200111154214049</v>
      </c>
      <c r="B5714" t="str">
        <f>"1578728534041878"</f>
        <v>1578728534041878</v>
      </c>
      <c r="C5714" t="s">
        <v>37</v>
      </c>
      <c r="D5714">
        <v>6.2820429999999998</v>
      </c>
      <c r="E5714">
        <v>0.52640690000000001</v>
      </c>
      <c r="F5714" t="s">
        <v>38</v>
      </c>
      <c r="G5714">
        <v>-140.94630000000001</v>
      </c>
      <c r="H5714">
        <v>1.0185949999999999</v>
      </c>
      <c r="I5714">
        <v>138.05510000000001</v>
      </c>
      <c r="J5714">
        <v>-141.59520000000001</v>
      </c>
      <c r="K5714">
        <v>1.1120989999999999</v>
      </c>
      <c r="L5714">
        <v>138.0916</v>
      </c>
      <c r="M5714">
        <v>0.99914369999999997</v>
      </c>
      <c r="N5714">
        <v>0</v>
      </c>
      <c r="O5714">
        <v>-3.3797099999999997E-2</v>
      </c>
      <c r="P5714">
        <v>0.99833959999999999</v>
      </c>
      <c r="Q5714">
        <v>4.7797979999999997E-2</v>
      </c>
      <c r="R5714">
        <v>3.2149749999999998E-2</v>
      </c>
      <c r="S5714">
        <v>3.024124</v>
      </c>
      <c r="T5714">
        <v>-0.3294977</v>
      </c>
      <c r="U5714">
        <v>-0.15316769999999999</v>
      </c>
      <c r="V5714">
        <v>-6.588861E-2</v>
      </c>
      <c r="W5714">
        <v>7.1570010000000003E-2</v>
      </c>
      <c r="X5714">
        <v>0.99525699999999995</v>
      </c>
      <c r="Y5714">
        <v>1.689117E-2</v>
      </c>
      <c r="Z5714">
        <v>2.7520489999999999E-3</v>
      </c>
      <c r="AA5714">
        <v>0.99985360000000001</v>
      </c>
      <c r="AB5714">
        <v>26</v>
      </c>
      <c r="AC5714">
        <v>0.64889999999999703</v>
      </c>
      <c r="AD5714">
        <v>-9.3503999999999796E-2</v>
      </c>
      <c r="AE5714">
        <v>-3.6499999999989499E-2</v>
      </c>
      <c r="AF5714">
        <v>1.4247060429876E-2</v>
      </c>
      <c r="AG5714">
        <v>-9.3503999999999796E-2</v>
      </c>
      <c r="AH5714">
        <v>0.63658681599019196</v>
      </c>
      <c r="AI5714">
        <v>98.353982063842906</v>
      </c>
      <c r="AJ5714">
        <v>88.717912208986306</v>
      </c>
      <c r="AK5714">
        <v>0.64357497701466304</v>
      </c>
    </row>
    <row r="5715" spans="1:37" x14ac:dyDescent="0.2">
      <c r="A5715" t="str">
        <f>"20200111154214072"</f>
        <v>20200111154214072</v>
      </c>
      <c r="B5715" t="str">
        <f>"1578728534062374"</f>
        <v>1578728534062374</v>
      </c>
      <c r="C5715" t="s">
        <v>37</v>
      </c>
      <c r="D5715">
        <v>6.3957489999999897</v>
      </c>
      <c r="E5715">
        <v>0.50420189999999998</v>
      </c>
      <c r="F5715" t="s">
        <v>38</v>
      </c>
      <c r="G5715">
        <v>-140.72139999999999</v>
      </c>
      <c r="H5715">
        <v>1.0178860000000001</v>
      </c>
      <c r="I5715">
        <v>138.0504</v>
      </c>
      <c r="J5715">
        <v>-141.33860000000001</v>
      </c>
      <c r="K5715">
        <v>1.112093</v>
      </c>
      <c r="L5715">
        <v>138.0831</v>
      </c>
      <c r="M5715">
        <v>0.99914859999999905</v>
      </c>
      <c r="N5715">
        <v>0</v>
      </c>
      <c r="O5715">
        <v>-3.3723089999999997E-2</v>
      </c>
      <c r="P5715">
        <v>0.99812440000000002</v>
      </c>
      <c r="Q5715">
        <v>4.9824470000000003E-2</v>
      </c>
      <c r="R5715">
        <v>3.5567099999999997E-2</v>
      </c>
      <c r="S5715">
        <v>3.0252080000000001</v>
      </c>
      <c r="T5715">
        <v>-0.3261616</v>
      </c>
      <c r="U5715">
        <v>-0.1429291</v>
      </c>
      <c r="V5715">
        <v>-6.9222899999999907E-2</v>
      </c>
      <c r="W5715">
        <v>7.3483279999999998E-2</v>
      </c>
      <c r="X5715">
        <v>0.99489119999999998</v>
      </c>
      <c r="Y5715">
        <v>1.358789E-2</v>
      </c>
      <c r="Z5715">
        <v>2.8931550000000001E-3</v>
      </c>
      <c r="AA5715">
        <v>0.99990349999999995</v>
      </c>
      <c r="AB5715">
        <v>25</v>
      </c>
      <c r="AC5715">
        <v>0.61720000000002495</v>
      </c>
      <c r="AD5715">
        <v>-9.4206999999999902E-2</v>
      </c>
      <c r="AE5715">
        <v>-3.2700000000005502E-2</v>
      </c>
      <c r="AF5715">
        <v>1.15922995855244E-2</v>
      </c>
      <c r="AG5715">
        <v>-9.4206999999999902E-2</v>
      </c>
      <c r="AH5715">
        <v>0.60392116645727401</v>
      </c>
      <c r="AI5715">
        <v>98.8646335564206</v>
      </c>
      <c r="AJ5715">
        <v>88.900339444269306</v>
      </c>
      <c r="AK5715">
        <v>0.61133470010608404</v>
      </c>
    </row>
    <row r="5716" spans="1:37" x14ac:dyDescent="0.2">
      <c r="A5716" t="str">
        <f>"20200111154214095"</f>
        <v>20200111154214095</v>
      </c>
      <c r="B5716" t="str">
        <f>"1578728534092161"</f>
        <v>1578728534092161</v>
      </c>
      <c r="C5716" t="s">
        <v>37</v>
      </c>
      <c r="D5716">
        <v>6.3891109999999998</v>
      </c>
      <c r="E5716">
        <v>0.49840699999999999</v>
      </c>
      <c r="F5716" t="s">
        <v>39</v>
      </c>
      <c r="G5716">
        <v>-131.05969999999999</v>
      </c>
      <c r="H5716" s="1">
        <v>-4.0629840000000003E-6</v>
      </c>
      <c r="I5716">
        <v>138.23330000000001</v>
      </c>
      <c r="J5716">
        <v>-141.0899</v>
      </c>
      <c r="K5716">
        <v>1.1120909999999999</v>
      </c>
      <c r="L5716">
        <v>138.07480000000001</v>
      </c>
      <c r="M5716">
        <v>0.99915359999999998</v>
      </c>
      <c r="N5716">
        <v>0</v>
      </c>
      <c r="O5716">
        <v>-3.3651309999999997E-2</v>
      </c>
      <c r="P5716">
        <v>0.99787739999999903</v>
      </c>
      <c r="Q5716">
        <v>5.2308809999999997E-2</v>
      </c>
      <c r="R5716">
        <v>3.878976E-2</v>
      </c>
      <c r="S5716">
        <v>3.0203859999999998</v>
      </c>
      <c r="T5716">
        <v>-0.32678000000000001</v>
      </c>
      <c r="U5716">
        <v>4.4158940000000001E-2</v>
      </c>
      <c r="V5716">
        <v>-7.2363979999999994E-2</v>
      </c>
      <c r="W5716">
        <v>7.5850819999999999E-2</v>
      </c>
      <c r="X5716">
        <v>0.99448979999999998</v>
      </c>
      <c r="Y5716">
        <v>-4.7792349999999997E-2</v>
      </c>
      <c r="Z5716">
        <v>6.2084269999999999E-3</v>
      </c>
      <c r="AA5716">
        <v>0.998837999999999</v>
      </c>
      <c r="AB5716">
        <v>25</v>
      </c>
      <c r="AC5716">
        <v>10.030200000000001</v>
      </c>
      <c r="AD5716">
        <v>-1.1120950629839901</v>
      </c>
      <c r="AE5716">
        <v>0.158500000000003</v>
      </c>
      <c r="AF5716">
        <v>-0.490011738804006</v>
      </c>
      <c r="AG5716">
        <v>-1.1120950629839901</v>
      </c>
      <c r="AH5716">
        <v>9.8975388674827496</v>
      </c>
      <c r="AI5716">
        <v>96.403131617310706</v>
      </c>
      <c r="AJ5716">
        <v>92.834310632527803</v>
      </c>
      <c r="AK5716">
        <v>9.9718675566119899</v>
      </c>
    </row>
    <row r="5717" spans="1:37" x14ac:dyDescent="0.2">
      <c r="A5717" t="str">
        <f>"20200111154214117"</f>
        <v>20200111154214117</v>
      </c>
      <c r="B5717" t="str">
        <f>"1578728534111680"</f>
        <v>1578728534111680</v>
      </c>
      <c r="C5717" t="s">
        <v>37</v>
      </c>
      <c r="D5717">
        <v>6.1048519999999904</v>
      </c>
      <c r="E5717">
        <v>0.4980678</v>
      </c>
      <c r="F5717" t="s">
        <v>39</v>
      </c>
      <c r="G5717">
        <v>-128.501</v>
      </c>
      <c r="H5717" s="1">
        <v>-8.2234699999999997E-7</v>
      </c>
      <c r="I5717">
        <v>138.50579999999999</v>
      </c>
      <c r="J5717">
        <v>-140.83959999999999</v>
      </c>
      <c r="K5717">
        <v>1.1120939999999999</v>
      </c>
      <c r="L5717">
        <v>138.06639999999999</v>
      </c>
      <c r="M5717">
        <v>0.99915919999999903</v>
      </c>
      <c r="N5717">
        <v>0</v>
      </c>
      <c r="O5717">
        <v>-3.3577360000000001E-2</v>
      </c>
      <c r="P5717">
        <v>0.99760450000000001</v>
      </c>
      <c r="Q5717">
        <v>5.5080070000000002E-2</v>
      </c>
      <c r="R5717">
        <v>4.1850400000000003E-2</v>
      </c>
      <c r="S5717">
        <v>3.0163570000000002</v>
      </c>
      <c r="T5717">
        <v>-0.26646189999999997</v>
      </c>
      <c r="U5717">
        <v>0.103271499999999</v>
      </c>
      <c r="V5717">
        <v>-7.5339569999999995E-2</v>
      </c>
      <c r="W5717">
        <v>7.8483200000000003E-2</v>
      </c>
      <c r="X5717">
        <v>0.99406459999999996</v>
      </c>
      <c r="Y5717">
        <v>-6.7372009999999996E-2</v>
      </c>
      <c r="Z5717">
        <v>5.9295290000000002E-3</v>
      </c>
      <c r="AA5717">
        <v>0.99771030000000005</v>
      </c>
      <c r="AB5717">
        <v>25</v>
      </c>
      <c r="AC5717">
        <v>12.3385999999999</v>
      </c>
      <c r="AD5717">
        <v>-1.112094822347</v>
      </c>
      <c r="AE5717">
        <v>0.43940000000000601</v>
      </c>
      <c r="AF5717">
        <v>-0.84669485239932696</v>
      </c>
      <c r="AG5717">
        <v>-1.112094822347</v>
      </c>
      <c r="AH5717">
        <v>12.2177535064616</v>
      </c>
      <c r="AI5717">
        <v>95.188517743313199</v>
      </c>
      <c r="AJ5717">
        <v>93.964280684208006</v>
      </c>
      <c r="AK5717">
        <v>12.2974447675777</v>
      </c>
    </row>
    <row r="5718" spans="1:37" x14ac:dyDescent="0.2">
      <c r="A5718" t="str">
        <f>"20200111154214146"</f>
        <v>20200111154214146</v>
      </c>
      <c r="B5718" t="str">
        <f>"1578728534141936"</f>
        <v>1578728534141936</v>
      </c>
      <c r="C5718" t="s">
        <v>37</v>
      </c>
      <c r="D5718">
        <v>6.3531889999999898</v>
      </c>
      <c r="E5718">
        <v>0.49930550000000001</v>
      </c>
      <c r="F5718" t="s">
        <v>39</v>
      </c>
      <c r="G5718">
        <v>-127.7843</v>
      </c>
      <c r="H5718" s="1">
        <v>-1.11916E-6</v>
      </c>
      <c r="I5718">
        <v>138.566</v>
      </c>
      <c r="J5718">
        <v>-140.529</v>
      </c>
      <c r="K5718">
        <v>1.112088</v>
      </c>
      <c r="L5718">
        <v>138.05609999999999</v>
      </c>
      <c r="M5718">
        <v>0.99916759999999905</v>
      </c>
      <c r="N5718">
        <v>0</v>
      </c>
      <c r="O5718">
        <v>-3.347257E-2</v>
      </c>
      <c r="P5718">
        <v>0.99732199999999904</v>
      </c>
      <c r="Q5718">
        <v>5.848304E-2</v>
      </c>
      <c r="R5718">
        <v>4.3921410000000001E-2</v>
      </c>
      <c r="S5718">
        <v>3.016556</v>
      </c>
      <c r="T5718">
        <v>-0.25695839999999998</v>
      </c>
      <c r="U5718">
        <v>0.1154327</v>
      </c>
      <c r="V5718">
        <v>-7.7297080000000004E-2</v>
      </c>
      <c r="W5718">
        <v>8.1674880000000005E-2</v>
      </c>
      <c r="X5718">
        <v>0.99365709999999996</v>
      </c>
      <c r="Y5718">
        <v>-7.1295170000000005E-2</v>
      </c>
      <c r="Z5718">
        <v>5.8758889999999996E-3</v>
      </c>
      <c r="AA5718">
        <v>0.99743799999999905</v>
      </c>
      <c r="AB5718">
        <v>25</v>
      </c>
      <c r="AC5718">
        <v>12.7446999999999</v>
      </c>
      <c r="AD5718">
        <v>-1.11208911916</v>
      </c>
      <c r="AE5718">
        <v>0.50990000000001601</v>
      </c>
      <c r="AF5718">
        <v>-0.92926377282419403</v>
      </c>
      <c r="AG5718">
        <v>-1.11208911916</v>
      </c>
      <c r="AH5718">
        <v>12.6245111710797</v>
      </c>
      <c r="AI5718">
        <v>95.020659010482802</v>
      </c>
      <c r="AJ5718">
        <v>94.209829914501597</v>
      </c>
      <c r="AK5718">
        <v>12.7074212835317</v>
      </c>
    </row>
    <row r="5719" spans="1:37" x14ac:dyDescent="0.2">
      <c r="A5719" t="str">
        <f>"20200111154214183"</f>
        <v>20200111154214183</v>
      </c>
      <c r="B5719" t="str">
        <f>"1578728534172192"</f>
        <v>1578728534172192</v>
      </c>
      <c r="C5719" t="s">
        <v>37</v>
      </c>
      <c r="D5719">
        <v>6.0613939999999999</v>
      </c>
      <c r="E5719">
        <v>0.50167470000000003</v>
      </c>
      <c r="F5719" t="s">
        <v>39</v>
      </c>
      <c r="G5719">
        <v>-126.71899999999999</v>
      </c>
      <c r="H5719" s="1">
        <v>-1.575331E-6</v>
      </c>
      <c r="I5719">
        <v>138.57060000000001</v>
      </c>
      <c r="J5719">
        <v>-140.1232</v>
      </c>
      <c r="K5719">
        <v>1.1121049999999999</v>
      </c>
      <c r="L5719">
        <v>138.0428</v>
      </c>
      <c r="M5719">
        <v>0.999181599999999</v>
      </c>
      <c r="N5719">
        <v>0</v>
      </c>
      <c r="O5719">
        <v>-3.3281369999999998E-2</v>
      </c>
      <c r="P5719">
        <v>0.99681070000000005</v>
      </c>
      <c r="Q5719">
        <v>6.5557749999999998E-2</v>
      </c>
      <c r="R5719">
        <v>4.5510330000000002E-2</v>
      </c>
      <c r="S5719">
        <v>3.0173649999999999</v>
      </c>
      <c r="T5719">
        <v>-0.24298159999999999</v>
      </c>
      <c r="U5719">
        <v>0.1124115</v>
      </c>
      <c r="V5719">
        <v>-7.8683030000000001E-2</v>
      </c>
      <c r="W5719">
        <v>8.8405269999999994E-2</v>
      </c>
      <c r="X5719">
        <v>0.99297209999999902</v>
      </c>
      <c r="Y5719">
        <v>-7.0141060000000005E-2</v>
      </c>
      <c r="Z5719">
        <v>5.4941829999999997E-3</v>
      </c>
      <c r="AA5719">
        <v>0.99752189999999996</v>
      </c>
      <c r="AB5719">
        <v>25</v>
      </c>
      <c r="AC5719">
        <v>13.404199999999999</v>
      </c>
      <c r="AD5719">
        <v>-1.112106575331</v>
      </c>
      <c r="AE5719">
        <v>0.52780000000001304</v>
      </c>
      <c r="AF5719">
        <v>-0.96708884558513497</v>
      </c>
      <c r="AG5719">
        <v>-1.112106575331</v>
      </c>
      <c r="AH5719">
        <v>13.2878740433285</v>
      </c>
      <c r="AI5719">
        <v>94.771563698449</v>
      </c>
      <c r="AJ5719">
        <v>94.162636168529801</v>
      </c>
      <c r="AK5719">
        <v>13.369354451936401</v>
      </c>
    </row>
    <row r="5720" spans="1:37" x14ac:dyDescent="0.2">
      <c r="A5720" t="str">
        <f>"20200111154214207"</f>
        <v>20200111154214207</v>
      </c>
      <c r="B5720" t="str">
        <f>"1578728534201979"</f>
        <v>1578728534201979</v>
      </c>
      <c r="C5720" t="s">
        <v>37</v>
      </c>
      <c r="D5720">
        <v>6.3544140000000002</v>
      </c>
      <c r="E5720">
        <v>0.50265340000000003</v>
      </c>
      <c r="F5720" t="s">
        <v>39</v>
      </c>
      <c r="G5720">
        <v>-124.9693</v>
      </c>
      <c r="H5720" s="1">
        <v>-2.3311509999999999E-6</v>
      </c>
      <c r="I5720">
        <v>138.5412</v>
      </c>
      <c r="J5720">
        <v>-139.85980000000001</v>
      </c>
      <c r="K5720">
        <v>1.1121209999999999</v>
      </c>
      <c r="L5720">
        <v>138.0342</v>
      </c>
      <c r="M5720">
        <v>0.99919249999999904</v>
      </c>
      <c r="N5720">
        <v>0</v>
      </c>
      <c r="O5720">
        <v>-3.3098280000000001E-2</v>
      </c>
      <c r="P5720">
        <v>0.99662260000000003</v>
      </c>
      <c r="Q5720">
        <v>6.7714120000000003E-2</v>
      </c>
      <c r="R5720">
        <v>4.6456160000000003E-2</v>
      </c>
      <c r="S5720">
        <v>3.019638</v>
      </c>
      <c r="T5720">
        <v>-0.22160389999999899</v>
      </c>
      <c r="U5720">
        <v>9.9334720000000001E-2</v>
      </c>
      <c r="V5720">
        <v>-7.9446199999999995E-2</v>
      </c>
      <c r="W5720">
        <v>9.0329190000000004E-2</v>
      </c>
      <c r="X5720">
        <v>0.99273809999999996</v>
      </c>
      <c r="Y5720">
        <v>-6.5683969999999994E-2</v>
      </c>
      <c r="Z5720">
        <v>4.8320209999999997E-3</v>
      </c>
      <c r="AA5720">
        <v>0.99782879999999996</v>
      </c>
      <c r="AB5720">
        <v>24</v>
      </c>
      <c r="AC5720">
        <v>14.890499999999999</v>
      </c>
      <c r="AD5720">
        <v>-1.1121233311509999</v>
      </c>
      <c r="AE5720">
        <v>0.507000000000005</v>
      </c>
      <c r="AF5720">
        <v>-0.99416079736482099</v>
      </c>
      <c r="AG5720">
        <v>-1.1121233311509999</v>
      </c>
      <c r="AH5720">
        <v>14.7831853064875</v>
      </c>
      <c r="AI5720">
        <v>94.292537756740401</v>
      </c>
      <c r="AJ5720">
        <v>93.847315727451601</v>
      </c>
      <c r="AK5720">
        <v>14.858255005237201</v>
      </c>
    </row>
    <row r="5721" spans="1:37" x14ac:dyDescent="0.2">
      <c r="A5721" t="str">
        <f>"20200111154214273"</f>
        <v>20200111154214273</v>
      </c>
      <c r="B5721" t="str">
        <f>"1578728534261516"</f>
        <v>1578728534261516</v>
      </c>
      <c r="C5721" t="s">
        <v>37</v>
      </c>
      <c r="D5721">
        <v>6.2286440000000001</v>
      </c>
      <c r="E5721">
        <v>0.50439259999999997</v>
      </c>
      <c r="F5721" t="s">
        <v>39</v>
      </c>
      <c r="G5721">
        <v>-124.63030000000001</v>
      </c>
      <c r="H5721" s="1">
        <v>-2.4828370000000001E-6</v>
      </c>
      <c r="I5721">
        <v>138.506</v>
      </c>
      <c r="J5721">
        <v>-139.1662</v>
      </c>
      <c r="K5721">
        <v>1.1122369999999999</v>
      </c>
      <c r="L5721">
        <v>138.01230000000001</v>
      </c>
      <c r="M5721">
        <v>0.99923430000000002</v>
      </c>
      <c r="N5721">
        <v>0</v>
      </c>
      <c r="O5721">
        <v>-3.223529E-2</v>
      </c>
      <c r="P5721">
        <v>0.99586819999999898</v>
      </c>
      <c r="Q5721">
        <v>7.6920799999999998E-2</v>
      </c>
      <c r="R5721">
        <v>4.8267230000000001E-2</v>
      </c>
      <c r="S5721">
        <v>3.0207980000000001</v>
      </c>
      <c r="T5721">
        <v>-0.2205908</v>
      </c>
      <c r="U5721">
        <v>9.3597410000000006E-2</v>
      </c>
      <c r="V5721">
        <v>-8.0406630000000007E-2</v>
      </c>
      <c r="W5721">
        <v>9.8899849999999997E-2</v>
      </c>
      <c r="X5721">
        <v>0.99184349999999999</v>
      </c>
      <c r="Y5721">
        <v>-6.2927919999999998E-2</v>
      </c>
      <c r="Z5721">
        <v>4.6448469999999997E-3</v>
      </c>
      <c r="AA5721">
        <v>0.99800719999999998</v>
      </c>
      <c r="AB5721">
        <v>24</v>
      </c>
      <c r="AC5721">
        <v>14.5358999999999</v>
      </c>
      <c r="AD5721">
        <v>-1.1122394828369999</v>
      </c>
      <c r="AE5721">
        <v>0.49369999999998898</v>
      </c>
      <c r="AF5721">
        <v>-0.95653362466998804</v>
      </c>
      <c r="AG5721">
        <v>-1.1122394828369999</v>
      </c>
      <c r="AH5721">
        <v>14.4280474803624</v>
      </c>
      <c r="AI5721">
        <v>94.398521425851897</v>
      </c>
      <c r="AJ5721">
        <v>93.792977261841003</v>
      </c>
      <c r="AK5721">
        <v>14.502433841872801</v>
      </c>
    </row>
    <row r="5722" spans="1:37" x14ac:dyDescent="0.2">
      <c r="A5722" t="str">
        <f>"20200111154214297"</f>
        <v>20200111154214297</v>
      </c>
      <c r="B5722" t="str">
        <f>"1578728534292278"</f>
        <v>1578728534292278</v>
      </c>
      <c r="C5722" t="s">
        <v>37</v>
      </c>
      <c r="D5722">
        <v>6.1448210000000003</v>
      </c>
      <c r="E5722">
        <v>0.50506499999999999</v>
      </c>
      <c r="F5722" t="s">
        <v>39</v>
      </c>
      <c r="G5722">
        <v>-122.26139999999999</v>
      </c>
      <c r="H5722" s="1">
        <v>-3.502532E-6</v>
      </c>
      <c r="I5722">
        <v>138.48650000000001</v>
      </c>
      <c r="J5722">
        <v>-138.91810000000001</v>
      </c>
      <c r="K5722">
        <v>1.112306</v>
      </c>
      <c r="L5722">
        <v>138.00479999999999</v>
      </c>
      <c r="M5722">
        <v>0.99925549999999996</v>
      </c>
      <c r="N5722">
        <v>0</v>
      </c>
      <c r="O5722">
        <v>-3.1718639999999999E-2</v>
      </c>
      <c r="P5722">
        <v>0.99571869999999996</v>
      </c>
      <c r="Q5722">
        <v>7.8369499999999995E-2</v>
      </c>
      <c r="R5722">
        <v>4.9019260000000002E-2</v>
      </c>
      <c r="S5722">
        <v>3.0236969999999999</v>
      </c>
      <c r="T5722">
        <v>-0.19894149999999999</v>
      </c>
      <c r="U5722">
        <v>8.4838869999999997E-2</v>
      </c>
      <c r="V5722">
        <v>-8.0658779999999999E-2</v>
      </c>
      <c r="W5722">
        <v>0.10011589999999999</v>
      </c>
      <c r="X5722">
        <v>0.9917011</v>
      </c>
      <c r="Y5722">
        <v>-5.9549440000000002E-2</v>
      </c>
      <c r="Z5722">
        <v>4.0412119999999998E-3</v>
      </c>
      <c r="AA5722">
        <v>0.99821719999999903</v>
      </c>
      <c r="AB5722">
        <v>24</v>
      </c>
      <c r="AC5722">
        <v>16.656700000000001</v>
      </c>
      <c r="AD5722">
        <v>-1.112309502532</v>
      </c>
      <c r="AE5722">
        <v>0.481700000000017</v>
      </c>
      <c r="AF5722">
        <v>-1.0054330025621601</v>
      </c>
      <c r="AG5722">
        <v>-1.112309502532</v>
      </c>
      <c r="AH5722">
        <v>16.559250275540499</v>
      </c>
      <c r="AI5722">
        <v>93.835827178201399</v>
      </c>
      <c r="AJ5722">
        <v>93.474579562494696</v>
      </c>
      <c r="AK5722">
        <v>16.626993042641601</v>
      </c>
    </row>
    <row r="5723" spans="1:37" x14ac:dyDescent="0.2">
      <c r="A5723" t="str">
        <f>"20200111154214318"</f>
        <v>20200111154214318</v>
      </c>
      <c r="B5723" t="str">
        <f>"1578728534311797"</f>
        <v>1578728534311797</v>
      </c>
      <c r="C5723" t="s">
        <v>37</v>
      </c>
      <c r="D5723">
        <v>6.32491</v>
      </c>
      <c r="E5723">
        <v>0.50525730000000002</v>
      </c>
      <c r="F5723" t="s">
        <v>39</v>
      </c>
      <c r="G5723">
        <v>-121.9456</v>
      </c>
      <c r="H5723" s="1">
        <v>-3.6425779999999999E-6</v>
      </c>
      <c r="I5723">
        <v>138.46090000000001</v>
      </c>
      <c r="J5723">
        <v>-138.69299999999899</v>
      </c>
      <c r="K5723">
        <v>1.1123780000000001</v>
      </c>
      <c r="L5723">
        <v>137.9983</v>
      </c>
      <c r="M5723">
        <v>0.99927809999999995</v>
      </c>
      <c r="N5723">
        <v>0</v>
      </c>
      <c r="O5723">
        <v>-3.1135320000000001E-2</v>
      </c>
      <c r="P5723">
        <v>0.99554359999999997</v>
      </c>
      <c r="Q5723">
        <v>7.9659939999999999E-2</v>
      </c>
      <c r="R5723">
        <v>5.0472910000000003E-2</v>
      </c>
      <c r="S5723">
        <v>3.0245060000000001</v>
      </c>
      <c r="T5723">
        <v>-0.19821340000000001</v>
      </c>
      <c r="U5723">
        <v>8.1283569999999999E-2</v>
      </c>
      <c r="V5723">
        <v>-8.1545430000000002E-2</v>
      </c>
      <c r="W5723">
        <v>0.1011966</v>
      </c>
      <c r="X5723">
        <v>0.99151889999999998</v>
      </c>
      <c r="Y5723">
        <v>-5.779306E-2</v>
      </c>
      <c r="Z5723">
        <v>3.9297630000000002E-3</v>
      </c>
      <c r="AA5723">
        <v>0.99832089999999996</v>
      </c>
      <c r="AB5723">
        <v>23</v>
      </c>
      <c r="AC5723">
        <v>16.747399999999899</v>
      </c>
      <c r="AD5723">
        <v>-1.112381642578</v>
      </c>
      <c r="AE5723">
        <v>0.462600000000009</v>
      </c>
      <c r="AF5723">
        <v>-0.97961631715127095</v>
      </c>
      <c r="AG5723">
        <v>-1.112381642578</v>
      </c>
      <c r="AH5723">
        <v>16.651463619833301</v>
      </c>
      <c r="AI5723">
        <v>93.815321941399006</v>
      </c>
      <c r="AJ5723">
        <v>93.366866855278104</v>
      </c>
      <c r="AK5723">
        <v>16.717304858445502</v>
      </c>
    </row>
    <row r="5724" spans="1:37" x14ac:dyDescent="0.2">
      <c r="A5724" t="str">
        <f>"20200111154214344"</f>
        <v>20200111154214344</v>
      </c>
      <c r="B5724" t="str">
        <f>"1578728534331317"</f>
        <v>1578728534331317</v>
      </c>
      <c r="C5724" t="s">
        <v>37</v>
      </c>
      <c r="D5724">
        <v>6.0953039999999996</v>
      </c>
      <c r="E5724">
        <v>0.50543729999999998</v>
      </c>
      <c r="F5724" t="s">
        <v>39</v>
      </c>
      <c r="G5724">
        <v>-121.84950000000001</v>
      </c>
      <c r="H5724" s="1">
        <v>-3.6832580000000001E-6</v>
      </c>
      <c r="I5724">
        <v>138.464</v>
      </c>
      <c r="J5724">
        <v>-138.43520000000001</v>
      </c>
      <c r="K5724">
        <v>1.112452</v>
      </c>
      <c r="L5724">
        <v>137.99109999999999</v>
      </c>
      <c r="M5724">
        <v>0.99930779999999997</v>
      </c>
      <c r="N5724">
        <v>0</v>
      </c>
      <c r="O5724">
        <v>-3.032375E-2</v>
      </c>
      <c r="P5724">
        <v>0.99541550000000001</v>
      </c>
      <c r="Q5724">
        <v>8.0795439999999996E-2</v>
      </c>
      <c r="R5724">
        <v>5.1188959999999999E-2</v>
      </c>
      <c r="S5724">
        <v>3.0251769999999998</v>
      </c>
      <c r="T5724">
        <v>-0.199788299999999</v>
      </c>
      <c r="U5724">
        <v>8.3648680000000003E-2</v>
      </c>
      <c r="V5724">
        <v>-8.147356E-2</v>
      </c>
      <c r="W5724">
        <v>0.10210130000000001</v>
      </c>
      <c r="X5724">
        <v>0.99143199999999998</v>
      </c>
      <c r="Y5724">
        <v>-5.7754999999999897E-2</v>
      </c>
      <c r="Z5724">
        <v>3.9052059999999901E-3</v>
      </c>
      <c r="AA5724">
        <v>0.99832310000000002</v>
      </c>
      <c r="AB5724">
        <v>23</v>
      </c>
      <c r="AC5724">
        <v>16.585699999999999</v>
      </c>
      <c r="AD5724">
        <v>-1.1124556832579999</v>
      </c>
      <c r="AE5724">
        <v>0.47290000000000898</v>
      </c>
      <c r="AF5724">
        <v>-0.97137339143052703</v>
      </c>
      <c r="AG5724">
        <v>-1.1124556832579999</v>
      </c>
      <c r="AH5724">
        <v>16.489602388225801</v>
      </c>
      <c r="AI5724">
        <v>93.852898914475105</v>
      </c>
      <c r="AJ5724">
        <v>93.371297242090193</v>
      </c>
      <c r="AK5724">
        <v>16.555606628407599</v>
      </c>
    </row>
    <row r="5725" spans="1:37" x14ac:dyDescent="0.2">
      <c r="A5725" t="str">
        <f>"20200111154214385"</f>
        <v>20200111154214385</v>
      </c>
      <c r="B5725" t="str">
        <f>"1578728534382069"</f>
        <v>1578728534382069</v>
      </c>
      <c r="C5725" t="s">
        <v>37</v>
      </c>
      <c r="D5725">
        <v>6.3184879999999897</v>
      </c>
      <c r="E5725">
        <v>0.50626879999999996</v>
      </c>
      <c r="F5725" t="s">
        <v>39</v>
      </c>
      <c r="G5725">
        <v>-121.5651</v>
      </c>
      <c r="H5725" s="1">
        <v>-3.8054719999999999E-6</v>
      </c>
      <c r="I5725">
        <v>138.46279999999999</v>
      </c>
      <c r="J5725">
        <v>-138.0027</v>
      </c>
      <c r="K5725">
        <v>1.1125780000000001</v>
      </c>
      <c r="L5725">
        <v>137.97999999999999</v>
      </c>
      <c r="M5725">
        <v>0.99936589999999903</v>
      </c>
      <c r="N5725">
        <v>0</v>
      </c>
      <c r="O5725">
        <v>-2.859942E-2</v>
      </c>
      <c r="P5725">
        <v>0.99523969999999995</v>
      </c>
      <c r="Q5725">
        <v>8.23435E-2</v>
      </c>
      <c r="R5725">
        <v>5.213098E-2</v>
      </c>
      <c r="S5725">
        <v>3.0256810000000001</v>
      </c>
      <c r="T5725">
        <v>-0.199520899999999</v>
      </c>
      <c r="U5725">
        <v>8.4594730000000007E-2</v>
      </c>
      <c r="V5725">
        <v>-8.0731849999999994E-2</v>
      </c>
      <c r="W5725">
        <v>0.1032771</v>
      </c>
      <c r="X5725">
        <v>0.99137090000000005</v>
      </c>
      <c r="Y5725">
        <v>-5.6346840000000002E-2</v>
      </c>
      <c r="Z5725">
        <v>3.7393729999999998E-3</v>
      </c>
      <c r="AA5725">
        <v>0.99840429999999902</v>
      </c>
      <c r="AB5725">
        <v>23</v>
      </c>
      <c r="AC5725">
        <v>16.4376</v>
      </c>
      <c r="AD5725">
        <v>-1.112581805472</v>
      </c>
      <c r="AE5725">
        <v>0.48279999999999701</v>
      </c>
      <c r="AF5725">
        <v>-0.94847255304808897</v>
      </c>
      <c r="AG5725">
        <v>-1.112581805472</v>
      </c>
      <c r="AH5725">
        <v>16.3422583419521</v>
      </c>
      <c r="AI5725">
        <v>93.888167084806994</v>
      </c>
      <c r="AJ5725">
        <v>93.321608254128606</v>
      </c>
      <c r="AK5725">
        <v>16.407524071987702</v>
      </c>
    </row>
    <row r="5726" spans="1:37" x14ac:dyDescent="0.2">
      <c r="A5726" t="str">
        <f>"20200111154214433"</f>
        <v>20200111154214433</v>
      </c>
      <c r="B5726" t="str">
        <f>"1578728534421410"</f>
        <v>1578728534421410</v>
      </c>
      <c r="C5726" t="s">
        <v>37</v>
      </c>
      <c r="D5726">
        <v>6.3072599999999897</v>
      </c>
      <c r="E5726">
        <v>0.50696269999999999</v>
      </c>
      <c r="F5726" t="s">
        <v>39</v>
      </c>
      <c r="G5726">
        <v>-121.4873</v>
      </c>
      <c r="H5726" s="1">
        <v>-3.846141E-6</v>
      </c>
      <c r="I5726">
        <v>138.42169999999999</v>
      </c>
      <c r="J5726">
        <v>-137.55019999999999</v>
      </c>
      <c r="K5726">
        <v>1.112663</v>
      </c>
      <c r="L5726">
        <v>137.96969999999999</v>
      </c>
      <c r="M5726">
        <v>0.99943249999999995</v>
      </c>
      <c r="N5726">
        <v>0</v>
      </c>
      <c r="O5726">
        <v>-2.643181E-2</v>
      </c>
      <c r="P5726">
        <v>0.99515399999999998</v>
      </c>
      <c r="Q5726">
        <v>8.3008990000000005E-2</v>
      </c>
      <c r="R5726">
        <v>5.270797E-2</v>
      </c>
      <c r="S5726">
        <v>3.0269619999999899</v>
      </c>
      <c r="T5726">
        <v>-0.2039146</v>
      </c>
      <c r="U5726">
        <v>8.0963129999999994E-2</v>
      </c>
      <c r="V5726">
        <v>-7.9177609999999995E-2</v>
      </c>
      <c r="W5726">
        <v>0.103601</v>
      </c>
      <c r="X5726">
        <v>0.99146239999999997</v>
      </c>
      <c r="Y5726">
        <v>-5.2976660000000002E-2</v>
      </c>
      <c r="Z5726">
        <v>3.5607429999999999E-3</v>
      </c>
      <c r="AA5726">
        <v>0.99858939999999996</v>
      </c>
      <c r="AB5726">
        <v>23</v>
      </c>
      <c r="AC5726">
        <v>16.0628999999999</v>
      </c>
      <c r="AD5726">
        <v>-1.1126668461409901</v>
      </c>
      <c r="AE5726">
        <v>0.45199999999999801</v>
      </c>
      <c r="AF5726">
        <v>-0.87232381500907796</v>
      </c>
      <c r="AG5726">
        <v>-1.1126668461409901</v>
      </c>
      <c r="AH5726">
        <v>15.968774228872901</v>
      </c>
      <c r="AI5726">
        <v>93.979879321139805</v>
      </c>
      <c r="AJ5726">
        <v>93.126780153808198</v>
      </c>
      <c r="AK5726">
        <v>16.031242207684599</v>
      </c>
    </row>
    <row r="5727" spans="1:37" x14ac:dyDescent="0.2">
      <c r="A5727" t="str">
        <f>"20200111154214476"</f>
        <v>20200111154214476</v>
      </c>
      <c r="B5727" t="str">
        <f>"1578728534461426"</f>
        <v>1578728534461426</v>
      </c>
      <c r="C5727" t="s">
        <v>37</v>
      </c>
      <c r="D5727">
        <v>6.2406670000000002</v>
      </c>
      <c r="E5727">
        <v>0.50723050000000003</v>
      </c>
      <c r="F5727" t="s">
        <v>39</v>
      </c>
      <c r="G5727">
        <v>-121.24209999999999</v>
      </c>
      <c r="H5727" s="1">
        <v>-3.9584390000000001E-6</v>
      </c>
      <c r="I5727">
        <v>138.38149999999999</v>
      </c>
      <c r="J5727">
        <v>-137.1147</v>
      </c>
      <c r="K5727">
        <v>1.1126969999999901</v>
      </c>
      <c r="L5727">
        <v>137.96109999999999</v>
      </c>
      <c r="M5727">
        <v>0.99949809999999994</v>
      </c>
      <c r="N5727">
        <v>0</v>
      </c>
      <c r="O5727">
        <v>-2.4086130000000001E-2</v>
      </c>
      <c r="P5727">
        <v>0.99514899999999995</v>
      </c>
      <c r="Q5727">
        <v>8.3163929999999997E-2</v>
      </c>
      <c r="R5727">
        <v>5.2557239999999998E-2</v>
      </c>
      <c r="S5727">
        <v>3.0278019999999999</v>
      </c>
      <c r="T5727">
        <v>-0.20658029999999999</v>
      </c>
      <c r="U5727">
        <v>7.6446529999999999E-2</v>
      </c>
      <c r="V5727">
        <v>-7.6710760000000003E-2</v>
      </c>
      <c r="W5727">
        <v>0.10344739999999999</v>
      </c>
      <c r="X5727">
        <v>0.99167240000000001</v>
      </c>
      <c r="Y5727">
        <v>-4.9146219999999997E-2</v>
      </c>
      <c r="Z5727">
        <v>3.3158859999999901E-3</v>
      </c>
      <c r="AA5727">
        <v>0.99878609999999901</v>
      </c>
      <c r="AB5727">
        <v>22</v>
      </c>
      <c r="AC5727">
        <v>15.8726</v>
      </c>
      <c r="AD5727">
        <v>-1.11270095843899</v>
      </c>
      <c r="AE5727">
        <v>0.4204</v>
      </c>
      <c r="AF5727">
        <v>-0.79874593626062096</v>
      </c>
      <c r="AG5727">
        <v>-1.11270095843899</v>
      </c>
      <c r="AH5727">
        <v>15.7803702966707</v>
      </c>
      <c r="AI5727">
        <v>94.028208122272503</v>
      </c>
      <c r="AJ5727">
        <v>92.897634637410206</v>
      </c>
      <c r="AK5727">
        <v>15.8397028126683</v>
      </c>
    </row>
    <row r="5728" spans="1:37" x14ac:dyDescent="0.2">
      <c r="A5728" t="str">
        <f>"20200111154214499"</f>
        <v>20200111154214499</v>
      </c>
      <c r="B5728" t="str">
        <f>"1578728534492191"</f>
        <v>1578728534492191</v>
      </c>
      <c r="C5728" t="s">
        <v>37</v>
      </c>
      <c r="D5728">
        <v>6.0623339999999999</v>
      </c>
      <c r="E5728">
        <v>0.50753149999999903</v>
      </c>
      <c r="F5728" t="s">
        <v>39</v>
      </c>
      <c r="G5728">
        <v>-121.1888</v>
      </c>
      <c r="H5728" s="1">
        <v>-3.9871950000000002E-6</v>
      </c>
      <c r="I5728">
        <v>138.34829999999999</v>
      </c>
      <c r="J5728">
        <v>-136.88229999999999</v>
      </c>
      <c r="K5728">
        <v>1.1126909999999901</v>
      </c>
      <c r="L5728">
        <v>137.95699999999999</v>
      </c>
      <c r="M5728">
        <v>0.99953189999999903</v>
      </c>
      <c r="N5728">
        <v>0</v>
      </c>
      <c r="O5728">
        <v>-2.2778400000000001E-2</v>
      </c>
      <c r="P5728">
        <v>0.99518680000000004</v>
      </c>
      <c r="Q5728">
        <v>8.2884509999999995E-2</v>
      </c>
      <c r="R5728">
        <v>5.228236E-2</v>
      </c>
      <c r="S5728">
        <v>3.0284270000000002</v>
      </c>
      <c r="T5728">
        <v>-0.211588099999999</v>
      </c>
      <c r="U5728">
        <v>7.3623659999999994E-2</v>
      </c>
      <c r="V5728">
        <v>-7.5139839999999999E-2</v>
      </c>
      <c r="W5728">
        <v>0.103021</v>
      </c>
      <c r="X5728">
        <v>0.99183699999999997</v>
      </c>
      <c r="Y5728">
        <v>-4.6904000000000001E-2</v>
      </c>
      <c r="Z5728">
        <v>3.2259250000000001E-3</v>
      </c>
      <c r="AA5728">
        <v>0.99889419999999995</v>
      </c>
      <c r="AB5728">
        <v>22</v>
      </c>
      <c r="AC5728">
        <v>15.693499999999901</v>
      </c>
      <c r="AD5728">
        <v>-1.11269498719499</v>
      </c>
      <c r="AE5728">
        <v>0.39130000000000098</v>
      </c>
      <c r="AF5728">
        <v>-0.74500299409052395</v>
      </c>
      <c r="AG5728">
        <v>-1.11269498719499</v>
      </c>
      <c r="AH5728">
        <v>15.6021275533578</v>
      </c>
      <c r="AI5728">
        <v>94.074622600106295</v>
      </c>
      <c r="AJ5728">
        <v>92.733802132932396</v>
      </c>
      <c r="AK5728">
        <v>15.659486063947901</v>
      </c>
    </row>
    <row r="5729" spans="1:37" x14ac:dyDescent="0.2">
      <c r="A5729" t="str">
        <f>"20200111154214520"</f>
        <v>20200111154214520</v>
      </c>
      <c r="B5729" t="str">
        <f>"1578728534511710"</f>
        <v>1578728534511710</v>
      </c>
      <c r="C5729" t="s">
        <v>37</v>
      </c>
      <c r="D5729">
        <v>6.104724</v>
      </c>
      <c r="E5729">
        <v>0.54487339999999995</v>
      </c>
      <c r="F5729" t="s">
        <v>39</v>
      </c>
      <c r="G5729">
        <v>-121.1759</v>
      </c>
      <c r="H5729" s="1">
        <v>-3.9975549999999999E-6</v>
      </c>
      <c r="I5729">
        <v>138.321</v>
      </c>
      <c r="J5729">
        <v>-136.67140000000001</v>
      </c>
      <c r="K5729">
        <v>1.1126639999999901</v>
      </c>
      <c r="L5729">
        <v>137.9537</v>
      </c>
      <c r="M5729">
        <v>0.99956139999999905</v>
      </c>
      <c r="N5729">
        <v>0</v>
      </c>
      <c r="O5729">
        <v>-2.1576310000000001E-2</v>
      </c>
      <c r="P5729">
        <v>0.99541360000000001</v>
      </c>
      <c r="Q5729">
        <v>8.0667520000000006E-2</v>
      </c>
      <c r="R5729">
        <v>5.1425829999999999E-2</v>
      </c>
      <c r="S5729">
        <v>3.0286869999999899</v>
      </c>
      <c r="T5729">
        <v>-0.21456329999999901</v>
      </c>
      <c r="U5729">
        <v>7.0190429999999998E-2</v>
      </c>
      <c r="V5729">
        <v>-7.3088120000000006E-2</v>
      </c>
      <c r="W5729">
        <v>0.10068139999999901</v>
      </c>
      <c r="X5729">
        <v>0.99223050000000002</v>
      </c>
      <c r="Y5729">
        <v>-4.4572830000000001E-2</v>
      </c>
      <c r="Z5729">
        <v>3.1034129999999902E-3</v>
      </c>
      <c r="AA5729">
        <v>0.99900129999999998</v>
      </c>
      <c r="AB5729">
        <v>22</v>
      </c>
      <c r="AC5729">
        <v>15.4955</v>
      </c>
      <c r="AD5729">
        <v>-1.11266799755499</v>
      </c>
      <c r="AE5729">
        <v>0.36730000000000002</v>
      </c>
      <c r="AF5729">
        <v>-0.69802193754686903</v>
      </c>
      <c r="AG5729">
        <v>-1.11266799755499</v>
      </c>
      <c r="AH5729">
        <v>15.404581900008401</v>
      </c>
      <c r="AI5729">
        <v>94.127061145420598</v>
      </c>
      <c r="AJ5729">
        <v>92.594447081994403</v>
      </c>
      <c r="AK5729">
        <v>15.460478912768099</v>
      </c>
    </row>
    <row r="5730" spans="1:37" x14ac:dyDescent="0.2">
      <c r="A5730" t="str">
        <f>"20200111154214543"</f>
        <v>20200111154214543</v>
      </c>
      <c r="B5730" t="str">
        <f>"1578728534532206"</f>
        <v>1578728534532206</v>
      </c>
      <c r="C5730" t="s">
        <v>37</v>
      </c>
      <c r="D5730">
        <v>6.0429690000000003</v>
      </c>
      <c r="E5730">
        <v>0.55302839999999998</v>
      </c>
      <c r="F5730" t="s">
        <v>38</v>
      </c>
      <c r="G5730">
        <v>-135.93279999999999</v>
      </c>
      <c r="H5730">
        <v>1.000821</v>
      </c>
      <c r="I5730">
        <v>137.8947</v>
      </c>
      <c r="J5730">
        <v>-136.44759999999999</v>
      </c>
      <c r="K5730">
        <v>1.112625</v>
      </c>
      <c r="L5730">
        <v>137.9504</v>
      </c>
      <c r="M5730">
        <v>0.99959109999999995</v>
      </c>
      <c r="N5730">
        <v>0</v>
      </c>
      <c r="O5730">
        <v>-2.0296229999999998E-2</v>
      </c>
      <c r="P5730">
        <v>0.99561029999999995</v>
      </c>
      <c r="Q5730">
        <v>7.8786320000000007E-2</v>
      </c>
      <c r="R5730">
        <v>5.0529709999999999E-2</v>
      </c>
      <c r="S5730">
        <v>3.0640259999999899</v>
      </c>
      <c r="T5730">
        <v>-0.4640667</v>
      </c>
      <c r="U5730">
        <v>-0.24391170000000001</v>
      </c>
      <c r="V5730">
        <v>-7.0915969999999995E-2</v>
      </c>
      <c r="W5730">
        <v>9.8671620000000002E-2</v>
      </c>
      <c r="X5730">
        <v>0.99258999999999997</v>
      </c>
      <c r="Y5730">
        <v>5.8666610000000001E-2</v>
      </c>
      <c r="Z5730">
        <v>-1.359E-3</v>
      </c>
      <c r="AA5730">
        <v>0.99827670000000002</v>
      </c>
      <c r="AB5730">
        <v>22</v>
      </c>
      <c r="AC5730">
        <v>0.51480000000000803</v>
      </c>
      <c r="AD5730">
        <v>-0.111804</v>
      </c>
      <c r="AE5730">
        <v>-5.5700000000001602E-2</v>
      </c>
      <c r="AF5730">
        <v>4.3222805458747203E-2</v>
      </c>
      <c r="AG5730">
        <v>-0.111804</v>
      </c>
      <c r="AH5730">
        <v>0.49284752388640202</v>
      </c>
      <c r="AI5730">
        <v>102.73412852446999</v>
      </c>
      <c r="AJ5730">
        <v>84.987974557632299</v>
      </c>
      <c r="AK5730">
        <v>0.50721497131756899</v>
      </c>
    </row>
    <row r="5731" spans="1:37" x14ac:dyDescent="0.2">
      <c r="A5731" t="str">
        <f>"20200111154214566"</f>
        <v>20200111154214566</v>
      </c>
      <c r="B5731" t="str">
        <f>"1578728534561489"</f>
        <v>1578728534561489</v>
      </c>
      <c r="C5731" t="s">
        <v>37</v>
      </c>
      <c r="D5731">
        <v>6.0432879999999898</v>
      </c>
      <c r="E5731">
        <v>0.55550279999999996</v>
      </c>
      <c r="F5731" t="s">
        <v>38</v>
      </c>
      <c r="G5731">
        <v>-135.5779</v>
      </c>
      <c r="H5731">
        <v>0.93682659999999995</v>
      </c>
      <c r="I5731">
        <v>137.86000000000001</v>
      </c>
      <c r="J5731">
        <v>-136.2244</v>
      </c>
      <c r="K5731">
        <v>1.1125890000000001</v>
      </c>
      <c r="L5731">
        <v>137.94739999999999</v>
      </c>
      <c r="M5731">
        <v>0.99961900000000004</v>
      </c>
      <c r="N5731">
        <v>0</v>
      </c>
      <c r="O5731">
        <v>-1.9026310000000001E-2</v>
      </c>
      <c r="P5731">
        <v>0.99571279999999995</v>
      </c>
      <c r="Q5731">
        <v>7.7772720000000004E-2</v>
      </c>
      <c r="R5731">
        <v>5.0073800000000002E-2</v>
      </c>
      <c r="S5731">
        <v>3.0786899999999999</v>
      </c>
      <c r="T5731">
        <v>-0.62231950000000003</v>
      </c>
      <c r="U5731">
        <v>-0.31945800000000002</v>
      </c>
      <c r="V5731">
        <v>-6.9191420000000003E-2</v>
      </c>
      <c r="W5731">
        <v>9.7525130000000002E-2</v>
      </c>
      <c r="X5731">
        <v>0.99282499999999996</v>
      </c>
      <c r="Y5731">
        <v>8.2983730000000006E-2</v>
      </c>
      <c r="Z5731">
        <v>-4.4843319999999997E-3</v>
      </c>
      <c r="AA5731">
        <v>0.9965408</v>
      </c>
      <c r="AB5731">
        <v>22</v>
      </c>
      <c r="AC5731">
        <v>0.64650000000000296</v>
      </c>
      <c r="AD5731">
        <v>-0.17576240000000001</v>
      </c>
      <c r="AE5731">
        <v>-8.7399999999973901E-2</v>
      </c>
      <c r="AF5731">
        <v>7.0000209940691394E-2</v>
      </c>
      <c r="AG5731">
        <v>-0.17576240000000001</v>
      </c>
      <c r="AH5731">
        <v>0.60419072977708499</v>
      </c>
      <c r="AI5731">
        <v>106.117840276744</v>
      </c>
      <c r="AJ5731">
        <v>83.391301403070301</v>
      </c>
      <c r="AK5731">
        <v>0.63311838434377199</v>
      </c>
    </row>
    <row r="5732" spans="1:37" x14ac:dyDescent="0.2">
      <c r="A5732" t="str">
        <f>"20200111154214589"</f>
        <v>20200111154214589</v>
      </c>
      <c r="B5732" t="str">
        <f>"1578728534581982"</f>
        <v>1578728534581982</v>
      </c>
      <c r="C5732" t="s">
        <v>37</v>
      </c>
      <c r="D5732">
        <v>6.0574719999999997</v>
      </c>
      <c r="E5732">
        <v>0.5557396</v>
      </c>
      <c r="F5732" t="s">
        <v>38</v>
      </c>
      <c r="G5732">
        <v>-135.39449999999999</v>
      </c>
      <c r="H5732">
        <v>0.91837880000000005</v>
      </c>
      <c r="I5732">
        <v>137.85429999999999</v>
      </c>
      <c r="J5732">
        <v>-136.0051</v>
      </c>
      <c r="K5732">
        <v>1.1125579999999999</v>
      </c>
      <c r="L5732">
        <v>137.94470000000001</v>
      </c>
      <c r="M5732">
        <v>0.99964459999999999</v>
      </c>
      <c r="N5732">
        <v>0</v>
      </c>
      <c r="O5732">
        <v>-1.7793690000000001E-2</v>
      </c>
      <c r="P5732">
        <v>0.99557119999999999</v>
      </c>
      <c r="Q5732">
        <v>7.909128E-2</v>
      </c>
      <c r="R5732">
        <v>5.0817719999999997E-2</v>
      </c>
      <c r="S5732">
        <v>3.0867309999999999</v>
      </c>
      <c r="T5732">
        <v>-0.72239719999999996</v>
      </c>
      <c r="U5732">
        <v>-0.34588619999999998</v>
      </c>
      <c r="V5732">
        <v>-6.8702429999999995E-2</v>
      </c>
      <c r="W5732">
        <v>9.8697709999999994E-2</v>
      </c>
      <c r="X5732">
        <v>0.99274300000000004</v>
      </c>
      <c r="Y5732">
        <v>9.168366E-2</v>
      </c>
      <c r="Z5732">
        <v>-6.4576340000000003E-3</v>
      </c>
      <c r="AA5732">
        <v>0.99576719999999896</v>
      </c>
      <c r="AB5732">
        <v>22</v>
      </c>
      <c r="AC5732">
        <v>0.61060000000000503</v>
      </c>
      <c r="AD5732">
        <v>-0.194179199999999</v>
      </c>
      <c r="AE5732">
        <v>-9.0400000000016606E-2</v>
      </c>
      <c r="AF5732">
        <v>7.2357917078342798E-2</v>
      </c>
      <c r="AG5732">
        <v>-0.194179199999999</v>
      </c>
      <c r="AH5732">
        <v>0.55699040741901096</v>
      </c>
      <c r="AI5732">
        <v>109.07114578844801</v>
      </c>
      <c r="AJ5732">
        <v>82.598230345848705</v>
      </c>
      <c r="AK5732">
        <v>0.59428910795449696</v>
      </c>
    </row>
    <row r="5733" spans="1:37" x14ac:dyDescent="0.2">
      <c r="A5733" t="str">
        <f>"20200111154214610"</f>
        <v>20200111154214610</v>
      </c>
      <c r="B5733" t="str">
        <f>"1578728534602010"</f>
        <v>1578728534602010</v>
      </c>
      <c r="C5733" t="s">
        <v>37</v>
      </c>
      <c r="D5733">
        <v>6.0460219999999998</v>
      </c>
      <c r="E5733">
        <v>0.5559018</v>
      </c>
      <c r="F5733" t="s">
        <v>38</v>
      </c>
      <c r="G5733">
        <v>-135.2013</v>
      </c>
      <c r="H5733">
        <v>0.92202700000000004</v>
      </c>
      <c r="I5733">
        <v>137.85470000000001</v>
      </c>
      <c r="J5733">
        <v>-135.8021</v>
      </c>
      <c r="K5733">
        <v>1.1125309999999999</v>
      </c>
      <c r="L5733">
        <v>137.94239999999999</v>
      </c>
      <c r="M5733">
        <v>0.99966669999999902</v>
      </c>
      <c r="N5733">
        <v>0</v>
      </c>
      <c r="O5733">
        <v>-1.6674319999999999E-2</v>
      </c>
      <c r="P5733">
        <v>0.99535629999999997</v>
      </c>
      <c r="Q5733">
        <v>8.1067959999999994E-2</v>
      </c>
      <c r="R5733">
        <v>5.1902129999999998E-2</v>
      </c>
      <c r="S5733">
        <v>3.0891419999999998</v>
      </c>
      <c r="T5733">
        <v>-0.73226279999999999</v>
      </c>
      <c r="U5733">
        <v>-0.3454895</v>
      </c>
      <c r="V5733">
        <v>-6.8666989999999997E-2</v>
      </c>
      <c r="W5733">
        <v>0.10053910000000001</v>
      </c>
      <c r="X5733">
        <v>0.99256069999999996</v>
      </c>
      <c r="Y5733">
        <v>9.2483220000000005E-2</v>
      </c>
      <c r="Z5733">
        <v>-6.892619E-3</v>
      </c>
      <c r="AA5733">
        <v>0.99569039999999998</v>
      </c>
      <c r="AB5733">
        <v>22</v>
      </c>
      <c r="AC5733">
        <v>0.60079999999999201</v>
      </c>
      <c r="AD5733">
        <v>-0.19050399999999901</v>
      </c>
      <c r="AE5733">
        <v>-8.7699999999983902E-2</v>
      </c>
      <c r="AF5733">
        <v>7.0707187501522994E-2</v>
      </c>
      <c r="AG5733">
        <v>-0.19050399999999901</v>
      </c>
      <c r="AH5733">
        <v>0.54821070542563299</v>
      </c>
      <c r="AI5733">
        <v>109.016337103626</v>
      </c>
      <c r="AJ5733">
        <v>82.650671606214502</v>
      </c>
      <c r="AK5733">
        <v>0.58465909547671102</v>
      </c>
    </row>
    <row r="5734" spans="1:37" x14ac:dyDescent="0.2">
      <c r="A5734" t="str">
        <f>"20200111154214633"</f>
        <v>20200111154214633</v>
      </c>
      <c r="B5734" t="str">
        <f>"1578728534621530"</f>
        <v>1578728534621530</v>
      </c>
      <c r="C5734" t="s">
        <v>37</v>
      </c>
      <c r="D5734">
        <v>6.0477319999999999</v>
      </c>
      <c r="E5734">
        <v>0.55603789999999997</v>
      </c>
      <c r="F5734" t="s">
        <v>38</v>
      </c>
      <c r="G5734">
        <v>-135.01070000000001</v>
      </c>
      <c r="H5734">
        <v>0.92213849999999997</v>
      </c>
      <c r="I5734">
        <v>137.8546</v>
      </c>
      <c r="J5734">
        <v>-135.58519999999999</v>
      </c>
      <c r="K5734">
        <v>1.1124810000000001</v>
      </c>
      <c r="L5734">
        <v>137.9402</v>
      </c>
      <c r="M5734">
        <v>0.99968919999999994</v>
      </c>
      <c r="N5734">
        <v>0</v>
      </c>
      <c r="O5734">
        <v>-1.5502520000000001E-2</v>
      </c>
      <c r="P5734">
        <v>0.99528119999999998</v>
      </c>
      <c r="Q5734">
        <v>8.1448690000000004E-2</v>
      </c>
      <c r="R5734">
        <v>5.2738649999999998E-2</v>
      </c>
      <c r="S5734">
        <v>3.0924529999999999</v>
      </c>
      <c r="T5734">
        <v>-0.74406779999999995</v>
      </c>
      <c r="U5734">
        <v>-0.34284969999999998</v>
      </c>
      <c r="V5734">
        <v>-6.8330499999999905E-2</v>
      </c>
      <c r="W5734">
        <v>0.100741199999999</v>
      </c>
      <c r="X5734">
        <v>0.99256339999999998</v>
      </c>
      <c r="Y5734">
        <v>9.2594399999999993E-2</v>
      </c>
      <c r="Z5734">
        <v>-7.2839899999999997E-3</v>
      </c>
      <c r="AA5734">
        <v>0.99567729999999999</v>
      </c>
      <c r="AB5734">
        <v>21</v>
      </c>
      <c r="AC5734">
        <v>0.57449999999997203</v>
      </c>
      <c r="AD5734">
        <v>-0.1903425</v>
      </c>
      <c r="AE5734">
        <v>-8.5599999999999399E-2</v>
      </c>
      <c r="AF5734">
        <v>6.9245668077639197E-2</v>
      </c>
      <c r="AG5734">
        <v>-0.1903425</v>
      </c>
      <c r="AH5734">
        <v>0.51992460167837196</v>
      </c>
      <c r="AI5734">
        <v>109.945430084763</v>
      </c>
      <c r="AJ5734">
        <v>82.413760272251295</v>
      </c>
      <c r="AK5734">
        <v>0.55798460667314298</v>
      </c>
    </row>
    <row r="5735" spans="1:37" x14ac:dyDescent="0.2">
      <c r="A5735" t="str">
        <f>"20200111154214655"</f>
        <v>20200111154214655</v>
      </c>
      <c r="B5735" t="str">
        <f>"1578728534651786"</f>
        <v>1578728534651786</v>
      </c>
      <c r="C5735" t="s">
        <v>37</v>
      </c>
      <c r="D5735">
        <v>6.0832199999999998</v>
      </c>
      <c r="E5735">
        <v>0.55643860000000001</v>
      </c>
      <c r="F5735" t="s">
        <v>38</v>
      </c>
      <c r="G5735">
        <v>-134.8192</v>
      </c>
      <c r="H5735">
        <v>0.92556240000000001</v>
      </c>
      <c r="I5735">
        <v>137.85589999999999</v>
      </c>
      <c r="J5735">
        <v>-135.37639999999999</v>
      </c>
      <c r="K5735">
        <v>1.1124019999999999</v>
      </c>
      <c r="L5735">
        <v>137.9384</v>
      </c>
      <c r="M5735">
        <v>0.99971089999999996</v>
      </c>
      <c r="N5735">
        <v>0</v>
      </c>
      <c r="O5735">
        <v>-1.4396580000000001E-2</v>
      </c>
      <c r="P5735">
        <v>0.99525490000000005</v>
      </c>
      <c r="Q5735">
        <v>8.1176499999999999E-2</v>
      </c>
      <c r="R5735">
        <v>5.3648500000000002E-2</v>
      </c>
      <c r="S5735">
        <v>3.0940699999999999</v>
      </c>
      <c r="T5735">
        <v>-0.75508439999999999</v>
      </c>
      <c r="U5735">
        <v>-0.34065250000000002</v>
      </c>
      <c r="V5735">
        <v>-6.8132579999999998E-2</v>
      </c>
      <c r="W5735">
        <v>0.10020469999999999</v>
      </c>
      <c r="X5735">
        <v>0.99263129999999999</v>
      </c>
      <c r="Y5735">
        <v>9.2839140000000001E-2</v>
      </c>
      <c r="Z5735">
        <v>-7.6798550000000002E-3</v>
      </c>
      <c r="AA5735">
        <v>0.99565149999999902</v>
      </c>
      <c r="AB5735">
        <v>21</v>
      </c>
      <c r="AC5735">
        <v>0.55719999999999403</v>
      </c>
      <c r="AD5735">
        <v>-0.18683959999999999</v>
      </c>
      <c r="AE5735">
        <v>-8.2500000000010204E-2</v>
      </c>
      <c r="AF5735">
        <v>6.7086845664938999E-2</v>
      </c>
      <c r="AG5735">
        <v>-0.18683959999999999</v>
      </c>
      <c r="AH5735">
        <v>0.502988090699378</v>
      </c>
      <c r="AI5735">
        <v>110.213642653785</v>
      </c>
      <c r="AJ5735">
        <v>82.402920469290294</v>
      </c>
      <c r="AK5735">
        <v>0.54074642890622604</v>
      </c>
    </row>
    <row r="5736" spans="1:37" x14ac:dyDescent="0.2">
      <c r="A5736" t="str">
        <f>"20200111154214675"</f>
        <v>20200111154214675</v>
      </c>
      <c r="B5736" t="str">
        <f>"1578728534661546"</f>
        <v>1578728534661546</v>
      </c>
      <c r="C5736" t="s">
        <v>37</v>
      </c>
      <c r="D5736">
        <v>6.3948410000000004</v>
      </c>
      <c r="E5736">
        <v>0.55632630000000005</v>
      </c>
      <c r="F5736" t="s">
        <v>38</v>
      </c>
      <c r="G5736">
        <v>-134.62860000000001</v>
      </c>
      <c r="H5736">
        <v>0.92822559999999998</v>
      </c>
      <c r="I5736">
        <v>137.85579999999999</v>
      </c>
      <c r="J5736">
        <v>-135.1961</v>
      </c>
      <c r="K5736">
        <v>1.1123259999999999</v>
      </c>
      <c r="L5736">
        <v>137.93690000000001</v>
      </c>
      <c r="M5736">
        <v>0.99972919999999998</v>
      </c>
      <c r="N5736">
        <v>0</v>
      </c>
      <c r="O5736">
        <v>-1.3463940000000001E-2</v>
      </c>
      <c r="P5736">
        <v>0.99525110000000006</v>
      </c>
      <c r="Q5736">
        <v>8.0732819999999997E-2</v>
      </c>
      <c r="R5736">
        <v>5.4383529999999999E-2</v>
      </c>
      <c r="S5736">
        <v>3.0948790000000002</v>
      </c>
      <c r="T5736">
        <v>-0.76226749999999999</v>
      </c>
      <c r="U5736">
        <v>-0.34149170000000001</v>
      </c>
      <c r="V5736">
        <v>-6.7932469999999995E-2</v>
      </c>
      <c r="W5736">
        <v>9.9498180000000006E-2</v>
      </c>
      <c r="X5736">
        <v>0.99271609999999999</v>
      </c>
      <c r="Y5736">
        <v>9.390561E-2</v>
      </c>
      <c r="Z5736">
        <v>-8.1034130000000003E-3</v>
      </c>
      <c r="AA5736">
        <v>0.99554809999999905</v>
      </c>
      <c r="AB5736">
        <v>21</v>
      </c>
      <c r="AC5736">
        <v>0.56749999999999501</v>
      </c>
      <c r="AD5736">
        <v>-0.184100399999999</v>
      </c>
      <c r="AE5736">
        <v>-8.11000000000206E-2</v>
      </c>
      <c r="AF5736">
        <v>6.6583524430898405E-2</v>
      </c>
      <c r="AG5736">
        <v>-0.184100399999999</v>
      </c>
      <c r="AH5736">
        <v>0.51538722864966202</v>
      </c>
      <c r="AI5736">
        <v>109.50739114408</v>
      </c>
      <c r="AJ5736">
        <v>82.638659987083798</v>
      </c>
      <c r="AK5736">
        <v>0.55131689477194501</v>
      </c>
    </row>
    <row r="5737" spans="1:37" x14ac:dyDescent="0.2">
      <c r="A5737" t="str">
        <f>"20200111154214697"</f>
        <v>20200111154214697</v>
      </c>
      <c r="B5737" t="str">
        <f>"1578728534691332"</f>
        <v>1578728534691332</v>
      </c>
      <c r="C5737" t="s">
        <v>37</v>
      </c>
      <c r="D5737">
        <v>6.2655120000000002</v>
      </c>
      <c r="E5737">
        <v>0.58352769999999898</v>
      </c>
      <c r="F5737" t="s">
        <v>38</v>
      </c>
      <c r="G5737">
        <v>-134.44149999999999</v>
      </c>
      <c r="H5737">
        <v>0.92520519999999995</v>
      </c>
      <c r="I5737">
        <v>137.85399999999899</v>
      </c>
      <c r="J5737">
        <v>-134.98830000000001</v>
      </c>
      <c r="K5737">
        <v>1.1122479999999999</v>
      </c>
      <c r="L5737">
        <v>137.93539999999999</v>
      </c>
      <c r="M5737">
        <v>0.99974830000000003</v>
      </c>
      <c r="N5737">
        <v>0</v>
      </c>
      <c r="O5737">
        <v>-1.241693E-2</v>
      </c>
      <c r="P5737">
        <v>0.995195099999999</v>
      </c>
      <c r="Q5737">
        <v>8.1039150000000004E-2</v>
      </c>
      <c r="R5737">
        <v>5.4951710000000001E-2</v>
      </c>
      <c r="S5737">
        <v>3.0951230000000001</v>
      </c>
      <c r="T5737">
        <v>-0.76765550000000005</v>
      </c>
      <c r="U5737">
        <v>-0.3392944</v>
      </c>
      <c r="V5737">
        <v>-6.7451399999999995E-2</v>
      </c>
      <c r="W5737">
        <v>9.9517159999999993E-2</v>
      </c>
      <c r="X5737">
        <v>0.99274699999999905</v>
      </c>
      <c r="Y5737">
        <v>9.4168879999999996E-2</v>
      </c>
      <c r="Z5737">
        <v>-8.4458009999999993E-3</v>
      </c>
      <c r="AA5737">
        <v>0.99552039999999997</v>
      </c>
      <c r="AB5737">
        <v>21</v>
      </c>
      <c r="AC5737">
        <v>0.54680000000001805</v>
      </c>
      <c r="AD5737">
        <v>-0.18704279999999901</v>
      </c>
      <c r="AE5737">
        <v>-8.1400000000002096E-2</v>
      </c>
      <c r="AF5737">
        <v>6.6940082367857298E-2</v>
      </c>
      <c r="AG5737">
        <v>-0.18704279999999901</v>
      </c>
      <c r="AH5737">
        <v>0.491504428077077</v>
      </c>
      <c r="AI5737">
        <v>110.659982431705</v>
      </c>
      <c r="AJ5737">
        <v>82.244361528997004</v>
      </c>
      <c r="AK5737">
        <v>0.53013449847998995</v>
      </c>
    </row>
    <row r="5738" spans="1:37" x14ac:dyDescent="0.2">
      <c r="A5738" t="str">
        <f>"20200111154214720"</f>
        <v>20200111154214720</v>
      </c>
      <c r="B5738" t="str">
        <f>"1578728534711829"</f>
        <v>1578728534711829</v>
      </c>
      <c r="C5738" t="s">
        <v>37</v>
      </c>
      <c r="D5738">
        <v>6.084409</v>
      </c>
      <c r="E5738">
        <v>0.57967000000000002</v>
      </c>
      <c r="F5738" t="s">
        <v>38</v>
      </c>
      <c r="G5738">
        <v>-134.26929999999999</v>
      </c>
      <c r="H5738">
        <v>0.88817440000000003</v>
      </c>
      <c r="I5738">
        <v>137.80520000000001</v>
      </c>
      <c r="J5738">
        <v>-134.76439999999999</v>
      </c>
      <c r="K5738">
        <v>1.1121840000000001</v>
      </c>
      <c r="L5738">
        <v>137.93389999999999</v>
      </c>
      <c r="M5738">
        <v>0.99976659999999995</v>
      </c>
      <c r="N5738">
        <v>0</v>
      </c>
      <c r="O5738">
        <v>-1.131833E-2</v>
      </c>
      <c r="P5738">
        <v>0.99516519999999997</v>
      </c>
      <c r="Q5738">
        <v>8.1562640000000006E-2</v>
      </c>
      <c r="R5738">
        <v>5.4720360000000003E-2</v>
      </c>
      <c r="S5738">
        <v>3.125</v>
      </c>
      <c r="T5738">
        <v>-0.97388940000000002</v>
      </c>
      <c r="U5738">
        <v>-0.56529240000000003</v>
      </c>
      <c r="V5738">
        <v>-6.6118570000000002E-2</v>
      </c>
      <c r="W5738">
        <v>9.9762450000000003E-2</v>
      </c>
      <c r="X5738">
        <v>0.99281200000000003</v>
      </c>
      <c r="Y5738">
        <v>0.1600221</v>
      </c>
      <c r="Z5738">
        <v>-2.075488E-2</v>
      </c>
      <c r="AA5738">
        <v>0.98689519999999997</v>
      </c>
      <c r="AB5738">
        <v>21</v>
      </c>
      <c r="AC5738">
        <v>0.49510000000000698</v>
      </c>
      <c r="AD5738">
        <v>-0.2240096</v>
      </c>
      <c r="AE5738">
        <v>-0.12869999999998</v>
      </c>
      <c r="AF5738">
        <v>0.103282093027925</v>
      </c>
      <c r="AG5738">
        <v>-0.2240096</v>
      </c>
      <c r="AH5738">
        <v>0.41663311094177502</v>
      </c>
      <c r="AI5738">
        <v>117.558713256389</v>
      </c>
      <c r="AJ5738">
        <v>76.077218409911197</v>
      </c>
      <c r="AK5738">
        <v>0.48418038040115802</v>
      </c>
    </row>
    <row r="5739" spans="1:37" x14ac:dyDescent="0.2">
      <c r="A5739" t="str">
        <f>"20200111154214742"</f>
        <v>20200111154214742</v>
      </c>
      <c r="B5739" t="str">
        <f>"1578728534732324"</f>
        <v>1578728534732324</v>
      </c>
      <c r="C5739" t="s">
        <v>37</v>
      </c>
      <c r="D5739">
        <v>6.252345</v>
      </c>
      <c r="E5739">
        <v>0.57953920000000003</v>
      </c>
      <c r="F5739" t="s">
        <v>38</v>
      </c>
      <c r="G5739">
        <v>-134.078</v>
      </c>
      <c r="H5739">
        <v>0.89833259999999904</v>
      </c>
      <c r="I5739">
        <v>137.81610000000001</v>
      </c>
      <c r="J5739">
        <v>-134.56319999999999</v>
      </c>
      <c r="K5739">
        <v>1.112128</v>
      </c>
      <c r="L5739">
        <v>137.93279999999999</v>
      </c>
      <c r="M5739">
        <v>0.99978149999999999</v>
      </c>
      <c r="N5739">
        <v>0</v>
      </c>
      <c r="O5739">
        <v>-1.035929E-2</v>
      </c>
      <c r="P5739">
        <v>0.99517060000000002</v>
      </c>
      <c r="Q5739">
        <v>8.1218250000000006E-2</v>
      </c>
      <c r="R5739">
        <v>5.512972E-2</v>
      </c>
      <c r="S5739">
        <v>3.1237949999999999</v>
      </c>
      <c r="T5739">
        <v>-0.9732828</v>
      </c>
      <c r="U5739">
        <v>-0.53544619999999998</v>
      </c>
      <c r="V5739">
        <v>-6.5566620000000006E-2</v>
      </c>
      <c r="W5739">
        <v>9.9178859999999994E-2</v>
      </c>
      <c r="X5739">
        <v>0.99290710000000004</v>
      </c>
      <c r="Y5739">
        <v>0.15218979999999999</v>
      </c>
      <c r="Z5739">
        <v>-1.9871960000000001E-2</v>
      </c>
      <c r="AA5739">
        <v>0.98815149999999996</v>
      </c>
      <c r="AB5739">
        <v>21</v>
      </c>
      <c r="AC5739">
        <v>0.48519999999999103</v>
      </c>
      <c r="AD5739">
        <v>-0.2137954</v>
      </c>
      <c r="AE5739">
        <v>-0.11669999999998</v>
      </c>
      <c r="AF5739">
        <v>9.4349629356562603E-2</v>
      </c>
      <c r="AG5739">
        <v>-0.2137954</v>
      </c>
      <c r="AH5739">
        <v>0.41095611451212799</v>
      </c>
      <c r="AI5739">
        <v>116.887172150659</v>
      </c>
      <c r="AJ5739">
        <v>77.069784902174504</v>
      </c>
      <c r="AK5739">
        <v>0.472752846290518</v>
      </c>
    </row>
    <row r="5740" spans="1:37" x14ac:dyDescent="0.2">
      <c r="A5740" t="str">
        <f>"20200111154214764"</f>
        <v>20200111154214764</v>
      </c>
      <c r="B5740" t="str">
        <f>"1578728534751845"</f>
        <v>1578728534751845</v>
      </c>
      <c r="C5740" t="s">
        <v>37</v>
      </c>
      <c r="D5740">
        <v>6.0660999999999996</v>
      </c>
      <c r="E5740">
        <v>0.57738100000000003</v>
      </c>
      <c r="F5740" t="s">
        <v>38</v>
      </c>
      <c r="G5740">
        <v>-133.88939999999999</v>
      </c>
      <c r="H5740">
        <v>0.90302519999999997</v>
      </c>
      <c r="I5740">
        <v>137.8176</v>
      </c>
      <c r="J5740">
        <v>-134.3569</v>
      </c>
      <c r="K5740">
        <v>1.112074</v>
      </c>
      <c r="L5740">
        <v>137.93180000000001</v>
      </c>
      <c r="M5740">
        <v>0.99979549999999995</v>
      </c>
      <c r="N5740">
        <v>0</v>
      </c>
      <c r="O5740">
        <v>-9.4093130000000007E-3</v>
      </c>
      <c r="P5740">
        <v>0.99514769999999897</v>
      </c>
      <c r="Q5740">
        <v>8.1337610000000005E-2</v>
      </c>
      <c r="R5740">
        <v>5.536688E-2</v>
      </c>
      <c r="S5740">
        <v>3.1231840000000002</v>
      </c>
      <c r="T5740">
        <v>-0.96927750000000001</v>
      </c>
      <c r="U5740">
        <v>-0.53344729999999996</v>
      </c>
      <c r="V5740">
        <v>-6.4852960000000001E-2</v>
      </c>
      <c r="W5740">
        <v>9.9053589999999997E-2</v>
      </c>
      <c r="X5740">
        <v>0.99296649999999997</v>
      </c>
      <c r="Y5740">
        <v>0.15253539999999999</v>
      </c>
      <c r="Z5740">
        <v>-2.013651E-2</v>
      </c>
      <c r="AA5740">
        <v>0.98809279999999999</v>
      </c>
      <c r="AB5740">
        <v>21</v>
      </c>
      <c r="AC5740">
        <v>0.46750000000000103</v>
      </c>
      <c r="AD5740">
        <v>-0.20904879999999901</v>
      </c>
      <c r="AE5740">
        <v>-0.11420000000001</v>
      </c>
      <c r="AF5740">
        <v>9.2366308799017596E-2</v>
      </c>
      <c r="AG5740">
        <v>-0.20904879999999901</v>
      </c>
      <c r="AH5740">
        <v>0.39417508334916701</v>
      </c>
      <c r="AI5740">
        <v>117.30992858898</v>
      </c>
      <c r="AJ5740">
        <v>76.811935121933303</v>
      </c>
      <c r="AK5740">
        <v>0.45563903708518899</v>
      </c>
    </row>
    <row r="5741" spans="1:37" x14ac:dyDescent="0.2">
      <c r="A5741" t="str">
        <f>"20200111154214786"</f>
        <v>20200111154214786</v>
      </c>
      <c r="B5741" t="str">
        <f>"1578728534782101"</f>
        <v>1578728534782101</v>
      </c>
      <c r="C5741" t="s">
        <v>37</v>
      </c>
      <c r="D5741">
        <v>6.0871699999999898</v>
      </c>
      <c r="E5741">
        <v>0.57598359999999904</v>
      </c>
      <c r="F5741" t="s">
        <v>38</v>
      </c>
      <c r="G5741">
        <v>-133.5367</v>
      </c>
      <c r="H5741">
        <v>0.85854069999999905</v>
      </c>
      <c r="I5741">
        <v>137.7963</v>
      </c>
      <c r="J5741">
        <v>-134.16130000000001</v>
      </c>
      <c r="K5741">
        <v>1.112039</v>
      </c>
      <c r="L5741">
        <v>137.93100000000001</v>
      </c>
      <c r="M5741">
        <v>0.99980740000000001</v>
      </c>
      <c r="N5741">
        <v>0</v>
      </c>
      <c r="O5741">
        <v>-8.5402900000000007E-3</v>
      </c>
      <c r="P5741">
        <v>0.99508649999999998</v>
      </c>
      <c r="Q5741">
        <v>8.2049849999999994E-2</v>
      </c>
      <c r="R5741">
        <v>5.5416460000000001E-2</v>
      </c>
      <c r="S5741">
        <v>3.122223</v>
      </c>
      <c r="T5741">
        <v>-0.96506059999999905</v>
      </c>
      <c r="U5741">
        <v>-0.51577759999999995</v>
      </c>
      <c r="V5741">
        <v>-6.4033519999999997E-2</v>
      </c>
      <c r="W5741">
        <v>9.9542790000000006E-2</v>
      </c>
      <c r="X5741">
        <v>0.99297080000000004</v>
      </c>
      <c r="Y5741">
        <v>0.14820549999999999</v>
      </c>
      <c r="Z5741">
        <v>-1.9678270000000001E-2</v>
      </c>
      <c r="AA5741">
        <v>0.9887608</v>
      </c>
      <c r="AB5741">
        <v>21</v>
      </c>
      <c r="AC5741">
        <v>0.62460000000001503</v>
      </c>
      <c r="AD5741">
        <v>-0.25349830000000001</v>
      </c>
      <c r="AE5741">
        <v>-0.13470000000000901</v>
      </c>
      <c r="AF5741">
        <v>0.111767790341483</v>
      </c>
      <c r="AG5741">
        <v>-0.25349830000000001</v>
      </c>
      <c r="AH5741">
        <v>0.54063247375479195</v>
      </c>
      <c r="AI5741">
        <v>114.663743637191</v>
      </c>
      <c r="AJ5741">
        <v>78.319493571433</v>
      </c>
      <c r="AK5741">
        <v>0.60748407282737404</v>
      </c>
    </row>
    <row r="5742" spans="1:37" x14ac:dyDescent="0.2">
      <c r="A5742" t="str">
        <f>"20200111154214808"</f>
        <v>20200111154214808</v>
      </c>
      <c r="B5742" t="str">
        <f>"1578728534802128"</f>
        <v>1578728534802128</v>
      </c>
      <c r="C5742" t="s">
        <v>37</v>
      </c>
      <c r="D5742">
        <v>6.0927910000000001</v>
      </c>
      <c r="E5742">
        <v>0.5748896</v>
      </c>
      <c r="F5742" t="s">
        <v>38</v>
      </c>
      <c r="G5742">
        <v>-133.3503</v>
      </c>
      <c r="H5742">
        <v>0.862498599999999</v>
      </c>
      <c r="I5742">
        <v>137.80009999999999</v>
      </c>
      <c r="J5742">
        <v>-133.94759999999999</v>
      </c>
      <c r="K5742">
        <v>1.1120019999999999</v>
      </c>
      <c r="L5742">
        <v>137.93029999999999</v>
      </c>
      <c r="M5742">
        <v>0.9998186</v>
      </c>
      <c r="N5742">
        <v>0</v>
      </c>
      <c r="O5742">
        <v>-7.6173050000000004E-3</v>
      </c>
      <c r="P5742">
        <v>0.99497239999999998</v>
      </c>
      <c r="Q5742">
        <v>8.3142110000000005E-2</v>
      </c>
      <c r="R5742">
        <v>5.5833399999999998E-2</v>
      </c>
      <c r="S5742">
        <v>3.1221009999999998</v>
      </c>
      <c r="T5742">
        <v>-0.96076130000000004</v>
      </c>
      <c r="U5742">
        <v>-0.50386049999999905</v>
      </c>
      <c r="V5742">
        <v>-6.3527920000000002E-2</v>
      </c>
      <c r="W5742">
        <v>0.1004148</v>
      </c>
      <c r="X5742">
        <v>0.99291549999999995</v>
      </c>
      <c r="Y5742">
        <v>0.14557410000000001</v>
      </c>
      <c r="Z5742">
        <v>-1.9483279999999999E-2</v>
      </c>
      <c r="AA5742">
        <v>0.98915549999999997</v>
      </c>
      <c r="AB5742">
        <v>21</v>
      </c>
      <c r="AC5742">
        <v>0.59729999999998995</v>
      </c>
      <c r="AD5742">
        <v>-0.24950339999999999</v>
      </c>
      <c r="AE5742">
        <v>-0.13020000000000201</v>
      </c>
      <c r="AF5742">
        <v>0.107704873557433</v>
      </c>
      <c r="AG5742">
        <v>-0.24950339999999999</v>
      </c>
      <c r="AH5742">
        <v>0.51284749924650197</v>
      </c>
      <c r="AI5742">
        <v>115.460031776471</v>
      </c>
      <c r="AJ5742">
        <v>78.139482703996606</v>
      </c>
      <c r="AK5742">
        <v>0.58040058914768</v>
      </c>
    </row>
    <row r="5743" spans="1:37" x14ac:dyDescent="0.2">
      <c r="A5743" t="str">
        <f>"20200111154214830"</f>
        <v>20200111154214830</v>
      </c>
      <c r="B5743" t="str">
        <f>"1578728534821648"</f>
        <v>1578728534821648</v>
      </c>
      <c r="C5743" t="s">
        <v>37</v>
      </c>
      <c r="D5743">
        <v>6.2654139999999998</v>
      </c>
      <c r="E5743">
        <v>0.57499040000000001</v>
      </c>
      <c r="F5743" t="s">
        <v>38</v>
      </c>
      <c r="G5743">
        <v>-133.16249999999999</v>
      </c>
      <c r="H5743">
        <v>0.87158619999999898</v>
      </c>
      <c r="I5743">
        <v>137.80600000000001</v>
      </c>
      <c r="J5743">
        <v>-133.74590000000001</v>
      </c>
      <c r="K5743">
        <v>1.111974</v>
      </c>
      <c r="L5743">
        <v>137.9298</v>
      </c>
      <c r="M5743">
        <v>0.99982800000000005</v>
      </c>
      <c r="N5743">
        <v>0</v>
      </c>
      <c r="O5743">
        <v>-6.7649169999999996E-3</v>
      </c>
      <c r="P5743">
        <v>0.99496260000000003</v>
      </c>
      <c r="Q5743">
        <v>8.2727339999999996E-2</v>
      </c>
      <c r="R5743">
        <v>5.6620299999999998E-2</v>
      </c>
      <c r="S5743">
        <v>3.1227719999999999</v>
      </c>
      <c r="T5743">
        <v>-0.95619560000000003</v>
      </c>
      <c r="U5743">
        <v>-0.49404910000000002</v>
      </c>
      <c r="V5743">
        <v>-6.346214E-2</v>
      </c>
      <c r="W5743">
        <v>9.9818920000000005E-2</v>
      </c>
      <c r="X5743">
        <v>0.99297969999999902</v>
      </c>
      <c r="Y5743">
        <v>0.14346510000000001</v>
      </c>
      <c r="Z5743">
        <v>-1.933503E-2</v>
      </c>
      <c r="AA5743">
        <v>0.98946650000000003</v>
      </c>
      <c r="AB5743">
        <v>21</v>
      </c>
      <c r="AC5743">
        <v>0.58340000000001102</v>
      </c>
      <c r="AD5743">
        <v>-0.24038780000000001</v>
      </c>
      <c r="AE5743">
        <v>-0.123799999999988</v>
      </c>
      <c r="AF5743">
        <v>0.103099709598391</v>
      </c>
      <c r="AG5743">
        <v>-0.24038780000000001</v>
      </c>
      <c r="AH5743">
        <v>0.50257313304854501</v>
      </c>
      <c r="AI5743">
        <v>115.105736443171</v>
      </c>
      <c r="AJ5743">
        <v>78.406972915728304</v>
      </c>
      <c r="AK5743">
        <v>0.56656473466881396</v>
      </c>
    </row>
    <row r="5744" spans="1:37" x14ac:dyDescent="0.2">
      <c r="A5744" t="str">
        <f>"20200111154214852"</f>
        <v>20200111154214852</v>
      </c>
      <c r="B5744" t="str">
        <f>"1578728534842145"</f>
        <v>1578728534842145</v>
      </c>
      <c r="C5744" t="s">
        <v>37</v>
      </c>
      <c r="D5744">
        <v>6.2915369999999999</v>
      </c>
      <c r="E5744">
        <v>0.57499999999999996</v>
      </c>
      <c r="F5744" t="s">
        <v>38</v>
      </c>
      <c r="G5744">
        <v>-132.97710000000001</v>
      </c>
      <c r="H5744">
        <v>0.87610789999999905</v>
      </c>
      <c r="I5744">
        <v>137.80840000000001</v>
      </c>
      <c r="J5744">
        <v>-133.5428</v>
      </c>
      <c r="K5744">
        <v>1.111942</v>
      </c>
      <c r="L5744">
        <v>137.92949999999999</v>
      </c>
      <c r="M5744">
        <v>0.99983639999999996</v>
      </c>
      <c r="N5744">
        <v>0</v>
      </c>
      <c r="O5744">
        <v>-5.9269919999999999E-3</v>
      </c>
      <c r="P5744">
        <v>0.99498129999999996</v>
      </c>
      <c r="Q5744">
        <v>8.1915210000000002E-2</v>
      </c>
      <c r="R5744">
        <v>5.7464729999999999E-2</v>
      </c>
      <c r="S5744">
        <v>3.1228940000000001</v>
      </c>
      <c r="T5744">
        <v>-0.95811059999999904</v>
      </c>
      <c r="U5744">
        <v>-0.49276729999999902</v>
      </c>
      <c r="V5744">
        <v>-6.3468339999999998E-2</v>
      </c>
      <c r="W5744">
        <v>9.884387E-2</v>
      </c>
      <c r="X5744">
        <v>0.99307690000000004</v>
      </c>
      <c r="Y5744">
        <v>0.143814</v>
      </c>
      <c r="Z5744">
        <v>-1.967379E-2</v>
      </c>
      <c r="AA5744">
        <v>0.98940910000000004</v>
      </c>
      <c r="AB5744">
        <v>21</v>
      </c>
      <c r="AC5744">
        <v>0.56569999999999199</v>
      </c>
      <c r="AD5744">
        <v>-0.23583409999999999</v>
      </c>
      <c r="AE5744">
        <v>-0.121099999999984</v>
      </c>
      <c r="AF5744">
        <v>0.100965877761512</v>
      </c>
      <c r="AG5744">
        <v>-0.23583409999999999</v>
      </c>
      <c r="AH5744">
        <v>0.48569471526580499</v>
      </c>
      <c r="AI5744">
        <v>115.426280638717</v>
      </c>
      <c r="AJ5744">
        <v>78.256645361133707</v>
      </c>
      <c r="AK5744">
        <v>0.54928242975002795</v>
      </c>
    </row>
    <row r="5745" spans="1:37" x14ac:dyDescent="0.2">
      <c r="A5745" t="str">
        <f>"20200111154214875"</f>
        <v>20200111154214875</v>
      </c>
      <c r="B5745" t="str">
        <f>"1578728534871426"</f>
        <v>1578728534871426</v>
      </c>
      <c r="C5745" t="s">
        <v>37</v>
      </c>
      <c r="D5745">
        <v>6.201028</v>
      </c>
      <c r="E5745">
        <v>0.57554890000000003</v>
      </c>
      <c r="F5745" t="s">
        <v>38</v>
      </c>
      <c r="G5745">
        <v>-132.79140000000001</v>
      </c>
      <c r="H5745">
        <v>0.88260629999999995</v>
      </c>
      <c r="I5745">
        <v>137.8115</v>
      </c>
      <c r="J5745">
        <v>-133.3407</v>
      </c>
      <c r="K5745">
        <v>1.1119110000000001</v>
      </c>
      <c r="L5745">
        <v>137.92930000000001</v>
      </c>
      <c r="M5745">
        <v>0.99984329999999999</v>
      </c>
      <c r="N5745">
        <v>0</v>
      </c>
      <c r="O5745">
        <v>-5.1148469999999996E-3</v>
      </c>
      <c r="P5745">
        <v>0.99496600000000002</v>
      </c>
      <c r="Q5745">
        <v>8.1309790000000007E-2</v>
      </c>
      <c r="R5745">
        <v>5.8579630000000001E-2</v>
      </c>
      <c r="S5745">
        <v>3.1218870000000001</v>
      </c>
      <c r="T5745">
        <v>-0.95285819999999999</v>
      </c>
      <c r="U5745">
        <v>-0.4897919</v>
      </c>
      <c r="V5745">
        <v>-6.3769999999999993E-2</v>
      </c>
      <c r="W5745">
        <v>9.8093650000000004E-2</v>
      </c>
      <c r="X5745">
        <v>0.99313189999999996</v>
      </c>
      <c r="Y5745">
        <v>0.14377290000000001</v>
      </c>
      <c r="Z5745">
        <v>-1.9812759999999999E-2</v>
      </c>
      <c r="AA5745">
        <v>0.98941239999999997</v>
      </c>
      <c r="AB5745">
        <v>21</v>
      </c>
      <c r="AC5745">
        <v>0.54929999999998802</v>
      </c>
      <c r="AD5745">
        <v>-0.2293047</v>
      </c>
      <c r="AE5745">
        <v>-0.117800000000016</v>
      </c>
      <c r="AF5745">
        <v>9.8567053498780893E-2</v>
      </c>
      <c r="AG5745">
        <v>-0.2293047</v>
      </c>
      <c r="AH5745">
        <v>0.47136527920837201</v>
      </c>
      <c r="AI5745">
        <v>115.462383866691</v>
      </c>
      <c r="AJ5745">
        <v>78.189085345143297</v>
      </c>
      <c r="AK5745">
        <v>0.53336791797098904</v>
      </c>
    </row>
    <row r="5746" spans="1:37" x14ac:dyDescent="0.2">
      <c r="A5746" t="str">
        <f>"20200111154214900"</f>
        <v>20200111154214900</v>
      </c>
      <c r="B5746" t="str">
        <f>"1578728534891450"</f>
        <v>1578728534891450</v>
      </c>
      <c r="C5746" t="s">
        <v>37</v>
      </c>
      <c r="D5746">
        <v>6.1094970000000002</v>
      </c>
      <c r="E5746">
        <v>0.57575240000000005</v>
      </c>
      <c r="F5746" t="s">
        <v>38</v>
      </c>
      <c r="G5746">
        <v>-132.60659999999999</v>
      </c>
      <c r="H5746">
        <v>0.88841309999999996</v>
      </c>
      <c r="I5746">
        <v>137.81389999999999</v>
      </c>
      <c r="J5746">
        <v>-133.11240000000001</v>
      </c>
      <c r="K5746">
        <v>1.111885</v>
      </c>
      <c r="L5746">
        <v>137.92920000000001</v>
      </c>
      <c r="M5746">
        <v>0.99984989999999996</v>
      </c>
      <c r="N5746">
        <v>0</v>
      </c>
      <c r="O5746">
        <v>-4.2224059999999997E-3</v>
      </c>
      <c r="P5746">
        <v>0.99494319999999903</v>
      </c>
      <c r="Q5746">
        <v>8.0969280000000005E-2</v>
      </c>
      <c r="R5746">
        <v>5.9430410000000003E-2</v>
      </c>
      <c r="S5746">
        <v>3.1217039999999998</v>
      </c>
      <c r="T5746">
        <v>-0.95036699999999996</v>
      </c>
      <c r="U5746">
        <v>-0.490097</v>
      </c>
      <c r="V5746">
        <v>-6.3727599999999995E-2</v>
      </c>
      <c r="W5746">
        <v>9.7608189999999997E-2</v>
      </c>
      <c r="X5746">
        <v>0.99318249999999997</v>
      </c>
      <c r="Y5746">
        <v>0.14470849999999999</v>
      </c>
      <c r="Z5746">
        <v>-2.0166739999999999E-2</v>
      </c>
      <c r="AA5746">
        <v>0.98926879999999995</v>
      </c>
      <c r="AB5746">
        <v>20</v>
      </c>
      <c r="AC5746">
        <v>0.50580000000002201</v>
      </c>
      <c r="AD5746">
        <v>-0.2234719</v>
      </c>
      <c r="AE5746">
        <v>-0.115300000000019</v>
      </c>
      <c r="AF5746">
        <v>9.5450971482241798E-2</v>
      </c>
      <c r="AG5746">
        <v>-0.2234719</v>
      </c>
      <c r="AH5746">
        <v>0.42704025859457401</v>
      </c>
      <c r="AI5746">
        <v>117.053499998948</v>
      </c>
      <c r="AJ5746">
        <v>77.400490129555195</v>
      </c>
      <c r="AK5746">
        <v>0.49133894666211297</v>
      </c>
    </row>
    <row r="5747" spans="1:37" x14ac:dyDescent="0.2">
      <c r="A5747" t="str">
        <f>"20200111154214942"</f>
        <v>20200111154214942</v>
      </c>
      <c r="B5747" t="str">
        <f>"1578728534931466"</f>
        <v>1578728534931466</v>
      </c>
      <c r="C5747" t="s">
        <v>37</v>
      </c>
      <c r="D5747">
        <v>6.1955439999999999</v>
      </c>
      <c r="E5747">
        <v>0.57641439999999999</v>
      </c>
      <c r="F5747" t="s">
        <v>38</v>
      </c>
      <c r="G5747">
        <v>-132.4196</v>
      </c>
      <c r="H5747">
        <v>0.90124669999999896</v>
      </c>
      <c r="I5747">
        <v>137.82069999999999</v>
      </c>
      <c r="J5747">
        <v>-132.73390000000001</v>
      </c>
      <c r="K5747">
        <v>1.111842</v>
      </c>
      <c r="L5747">
        <v>137.92939999999999</v>
      </c>
      <c r="M5747">
        <v>0.99985829999999998</v>
      </c>
      <c r="N5747">
        <v>0</v>
      </c>
      <c r="O5747">
        <v>-2.8004039999999998E-3</v>
      </c>
      <c r="P5747">
        <v>0.99488569999999998</v>
      </c>
      <c r="Q5747">
        <v>8.1306229999999993E-2</v>
      </c>
      <c r="R5747">
        <v>5.993354E-2</v>
      </c>
      <c r="S5747">
        <v>3.1216740000000001</v>
      </c>
      <c r="T5747">
        <v>-0.94903989999999905</v>
      </c>
      <c r="U5747">
        <v>-0.488830599999999</v>
      </c>
      <c r="V5747">
        <v>-6.2809799999999999E-2</v>
      </c>
      <c r="W5747">
        <v>9.7756250000000003E-2</v>
      </c>
      <c r="X5747">
        <v>0.99322639999999995</v>
      </c>
      <c r="Y5747">
        <v>0.1456364</v>
      </c>
      <c r="Z5747">
        <v>-2.0698080000000001E-2</v>
      </c>
      <c r="AA5747">
        <v>0.98912160000000005</v>
      </c>
      <c r="AB5747">
        <v>20</v>
      </c>
      <c r="AC5747">
        <v>0.31430000000000202</v>
      </c>
      <c r="AD5747">
        <v>-0.21059530000000001</v>
      </c>
      <c r="AE5747">
        <v>-0.10869999999999801</v>
      </c>
      <c r="AF5747">
        <v>7.6958949632183998E-2</v>
      </c>
      <c r="AG5747">
        <v>-0.21059530000000001</v>
      </c>
      <c r="AH5747">
        <v>0.22455660639389199</v>
      </c>
      <c r="AI5747">
        <v>131.57855694851</v>
      </c>
      <c r="AJ5747">
        <v>71.0826360623021</v>
      </c>
      <c r="AK5747">
        <v>0.31733063165367498</v>
      </c>
    </row>
    <row r="5748" spans="1:37" x14ac:dyDescent="0.2">
      <c r="A5748" t="str">
        <f>"20200111154214966"</f>
        <v>20200111154214966</v>
      </c>
      <c r="B5748" t="str">
        <f>"1578728534961722"</f>
        <v>1578728534961722</v>
      </c>
      <c r="C5748" t="s">
        <v>37</v>
      </c>
      <c r="D5748">
        <v>6.0385749999999998</v>
      </c>
      <c r="E5748">
        <v>0.57695419999999997</v>
      </c>
      <c r="F5748" t="s">
        <v>38</v>
      </c>
      <c r="G5748">
        <v>-132.05629999999999</v>
      </c>
      <c r="H5748">
        <v>0.90533149999999996</v>
      </c>
      <c r="I5748">
        <v>137.8228</v>
      </c>
      <c r="J5748">
        <v>-132.52019999999999</v>
      </c>
      <c r="K5748">
        <v>1.1120889999999899</v>
      </c>
      <c r="L5748">
        <v>137.9297</v>
      </c>
      <c r="M5748">
        <v>0.99984269999999997</v>
      </c>
      <c r="N5748">
        <v>0</v>
      </c>
      <c r="O5748">
        <v>-2.0890940000000001E-3</v>
      </c>
      <c r="P5748">
        <v>0.99501580000000001</v>
      </c>
      <c r="Q5748">
        <v>7.9806070000000007E-2</v>
      </c>
      <c r="R5748">
        <v>5.9790599999999902E-2</v>
      </c>
      <c r="S5748">
        <v>3.12280299999999</v>
      </c>
      <c r="T5748">
        <v>-0.95186289999999996</v>
      </c>
      <c r="U5748">
        <v>-0.491058299999999</v>
      </c>
      <c r="V5748">
        <v>-6.1949339999999999E-2</v>
      </c>
      <c r="W5748">
        <v>9.7272200000000003E-2</v>
      </c>
      <c r="X5748">
        <v>0.99332790000000004</v>
      </c>
      <c r="Y5748">
        <v>0.14685609999999999</v>
      </c>
      <c r="Z5748">
        <v>-2.1140349999999999E-2</v>
      </c>
      <c r="AA5748">
        <v>0.98893199999999903</v>
      </c>
      <c r="AB5748">
        <v>20</v>
      </c>
      <c r="AC5748">
        <v>0.46389999999999498</v>
      </c>
      <c r="AD5748">
        <v>-0.20675749999999901</v>
      </c>
      <c r="AE5748">
        <v>-0.106899999999996</v>
      </c>
      <c r="AF5748">
        <v>8.9120049063666495E-2</v>
      </c>
      <c r="AG5748">
        <v>-0.20675749999999901</v>
      </c>
      <c r="AH5748">
        <v>0.39046933496323</v>
      </c>
      <c r="AI5748">
        <v>117.304360305857</v>
      </c>
      <c r="AJ5748">
        <v>77.143140070723803</v>
      </c>
      <c r="AK5748">
        <v>0.45072979544066899</v>
      </c>
    </row>
    <row r="5749" spans="1:37" x14ac:dyDescent="0.2">
      <c r="A5749" t="str">
        <f>"20200111154214987"</f>
        <v>20200111154214987</v>
      </c>
      <c r="B5749" t="str">
        <f>"1578728534982218"</f>
        <v>1578728534982218</v>
      </c>
      <c r="C5749" t="s">
        <v>37</v>
      </c>
      <c r="D5749">
        <v>6.1332899999999997</v>
      </c>
      <c r="E5749">
        <v>0.57729540000000001</v>
      </c>
      <c r="F5749" t="s">
        <v>38</v>
      </c>
      <c r="G5749">
        <v>-131.7227</v>
      </c>
      <c r="H5749">
        <v>0.86722529999999998</v>
      </c>
      <c r="I5749">
        <v>137.80289999999999</v>
      </c>
      <c r="J5749">
        <v>-132.34280000000001</v>
      </c>
      <c r="K5749">
        <v>1.112385</v>
      </c>
      <c r="L5749">
        <v>137.93010000000001</v>
      </c>
      <c r="M5749">
        <v>0.99981889999999995</v>
      </c>
      <c r="N5749">
        <v>0</v>
      </c>
      <c r="O5749">
        <v>-1.547271E-3</v>
      </c>
      <c r="P5749">
        <v>0.99517919999999904</v>
      </c>
      <c r="Q5749">
        <v>7.786208E-2</v>
      </c>
      <c r="R5749">
        <v>5.9630219999999998E-2</v>
      </c>
      <c r="S5749">
        <v>3.1217189999999899</v>
      </c>
      <c r="T5749">
        <v>-0.95855009999999996</v>
      </c>
      <c r="U5749">
        <v>-0.49606319999999998</v>
      </c>
      <c r="V5749">
        <v>-6.1239040000000002E-2</v>
      </c>
      <c r="W5749">
        <v>9.6684649999999997E-2</v>
      </c>
      <c r="X5749">
        <v>0.99342940000000002</v>
      </c>
      <c r="Y5749">
        <v>0.14878839999999999</v>
      </c>
      <c r="Z5749">
        <v>-2.1736930000000002E-2</v>
      </c>
      <c r="AA5749">
        <v>0.98863009999999996</v>
      </c>
      <c r="AB5749">
        <v>20</v>
      </c>
      <c r="AC5749">
        <v>0.62010000000000698</v>
      </c>
      <c r="AD5749">
        <v>-0.24515969999999901</v>
      </c>
      <c r="AE5749">
        <v>-0.12720000000001599</v>
      </c>
      <c r="AF5749">
        <v>0.109774645318218</v>
      </c>
      <c r="AG5749">
        <v>-0.24515969999999901</v>
      </c>
      <c r="AH5749">
        <v>0.53939060907759295</v>
      </c>
      <c r="AI5749">
        <v>114.007347122582</v>
      </c>
      <c r="AJ5749">
        <v>78.496492674789494</v>
      </c>
      <c r="AK5749">
        <v>0.60257446047764696</v>
      </c>
    </row>
    <row r="5750" spans="1:37" x14ac:dyDescent="0.2">
      <c r="A5750" t="str">
        <f>"20200111154215010"</f>
        <v>20200111154215010</v>
      </c>
      <c r="B5750" t="str">
        <f>"1578728535001739"</f>
        <v>1578728535001739</v>
      </c>
      <c r="C5750" t="s">
        <v>37</v>
      </c>
      <c r="D5750">
        <v>6.0569829999999998</v>
      </c>
      <c r="E5750">
        <v>0.57829819999999998</v>
      </c>
      <c r="F5750" t="s">
        <v>38</v>
      </c>
      <c r="G5750">
        <v>-131.55289999999999</v>
      </c>
      <c r="H5750">
        <v>0.86837219999999904</v>
      </c>
      <c r="I5750">
        <v>137.80359999999999</v>
      </c>
      <c r="J5750">
        <v>-132.1438</v>
      </c>
      <c r="K5750">
        <v>1.1127100000000001</v>
      </c>
      <c r="L5750">
        <v>137.9306</v>
      </c>
      <c r="M5750">
        <v>0.99978549999999999</v>
      </c>
      <c r="N5750">
        <v>0</v>
      </c>
      <c r="O5750">
        <v>-9.9005420000000005E-4</v>
      </c>
      <c r="P5750">
        <v>0.99542369999999902</v>
      </c>
      <c r="Q5750">
        <v>7.5244140000000001E-2</v>
      </c>
      <c r="R5750">
        <v>5.8909450000000002E-2</v>
      </c>
      <c r="S5750">
        <v>3.1198579999999998</v>
      </c>
      <c r="T5750">
        <v>-0.96389349999999996</v>
      </c>
      <c r="U5750">
        <v>-0.49925229999999998</v>
      </c>
      <c r="V5750">
        <v>-5.995433E-2</v>
      </c>
      <c r="W5750">
        <v>9.5785709999999996E-2</v>
      </c>
      <c r="X5750">
        <v>0.9935948</v>
      </c>
      <c r="Y5750">
        <v>0.15024499999999999</v>
      </c>
      <c r="Z5750">
        <v>-2.2249339999999999E-2</v>
      </c>
      <c r="AA5750">
        <v>0.98839840000000001</v>
      </c>
      <c r="AB5750">
        <v>19</v>
      </c>
      <c r="AC5750">
        <v>0.59090000000000398</v>
      </c>
      <c r="AD5750">
        <v>-0.24433779999999999</v>
      </c>
      <c r="AE5750">
        <v>-0.12700000000000899</v>
      </c>
      <c r="AF5750">
        <v>0.108656641860396</v>
      </c>
      <c r="AG5750">
        <v>-0.24433779999999999</v>
      </c>
      <c r="AH5750">
        <v>0.50800103004409802</v>
      </c>
      <c r="AI5750">
        <v>115.18949784708001</v>
      </c>
      <c r="AJ5750">
        <v>77.926889526289003</v>
      </c>
      <c r="AK5750">
        <v>0.57408385524684702</v>
      </c>
    </row>
    <row r="5751" spans="1:37" x14ac:dyDescent="0.2">
      <c r="A5751" t="str">
        <f>"20200111154215032"</f>
        <v>20200111154215032</v>
      </c>
      <c r="B5751" t="str">
        <f>"1578728535022235"</f>
        <v>1578728535022235</v>
      </c>
      <c r="C5751" t="s">
        <v>37</v>
      </c>
      <c r="D5751">
        <v>6.566103</v>
      </c>
      <c r="E5751">
        <v>0.57881959999999999</v>
      </c>
      <c r="F5751" t="s">
        <v>38</v>
      </c>
      <c r="G5751">
        <v>-131.38399999999999</v>
      </c>
      <c r="H5751">
        <v>0.87541659999999899</v>
      </c>
      <c r="I5751">
        <v>137.8064</v>
      </c>
      <c r="J5751">
        <v>-131.958</v>
      </c>
      <c r="K5751">
        <v>1.112887</v>
      </c>
      <c r="L5751">
        <v>137.93109999999999</v>
      </c>
      <c r="M5751">
        <v>0.9997587</v>
      </c>
      <c r="N5751">
        <v>0</v>
      </c>
      <c r="O5751">
        <v>-4.2880659999999999E-4</v>
      </c>
      <c r="P5751">
        <v>0.99560859999999995</v>
      </c>
      <c r="Q5751">
        <v>7.3172340000000002E-2</v>
      </c>
      <c r="R5751">
        <v>5.8393970000000003E-2</v>
      </c>
      <c r="S5751">
        <v>3.1175229999999998</v>
      </c>
      <c r="T5751">
        <v>-0.97357870000000002</v>
      </c>
      <c r="U5751">
        <v>-0.50929259999999998</v>
      </c>
      <c r="V5751">
        <v>-5.8878090000000001E-2</v>
      </c>
      <c r="W5751">
        <v>9.4992560000000004E-2</v>
      </c>
      <c r="X5751">
        <v>0.99373529999999999</v>
      </c>
      <c r="Y5751">
        <v>0.15368999999999999</v>
      </c>
      <c r="Z5751">
        <v>-2.3165829999999998E-2</v>
      </c>
      <c r="AA5751">
        <v>0.98784749999999999</v>
      </c>
      <c r="AB5751">
        <v>19</v>
      </c>
      <c r="AC5751">
        <v>0.57400000000001195</v>
      </c>
      <c r="AD5751">
        <v>-0.2374704</v>
      </c>
      <c r="AE5751">
        <v>-0.12469999999999</v>
      </c>
      <c r="AF5751">
        <v>0.10697023037930301</v>
      </c>
      <c r="AG5751">
        <v>-0.2374704</v>
      </c>
      <c r="AH5751">
        <v>0.49340904644543299</v>
      </c>
      <c r="AI5751">
        <v>115.190332522302</v>
      </c>
      <c r="AJ5751">
        <v>77.767675008415395</v>
      </c>
      <c r="AK5751">
        <v>0.55793127549703903</v>
      </c>
    </row>
    <row r="5752" spans="1:37" x14ac:dyDescent="0.2">
      <c r="A5752" t="str">
        <f>"20200111154215057"</f>
        <v>20200111154215057</v>
      </c>
      <c r="B5752" t="str">
        <f>"1578728535051514"</f>
        <v>1578728535051514</v>
      </c>
      <c r="C5752" t="s">
        <v>37</v>
      </c>
      <c r="D5752">
        <v>6.0125999999999999</v>
      </c>
      <c r="E5752">
        <v>0.57897339999999997</v>
      </c>
      <c r="F5752" t="s">
        <v>38</v>
      </c>
      <c r="G5752">
        <v>-131.21700000000001</v>
      </c>
      <c r="H5752">
        <v>0.88015580000000004</v>
      </c>
      <c r="I5752">
        <v>137.8083</v>
      </c>
      <c r="J5752">
        <v>-131.75409999999999</v>
      </c>
      <c r="K5752">
        <v>1.1126860000000001</v>
      </c>
      <c r="L5752">
        <v>137.93180000000001</v>
      </c>
      <c r="M5752">
        <v>0.99976149999999997</v>
      </c>
      <c r="N5752">
        <v>0</v>
      </c>
      <c r="O5752">
        <v>3.1110270000000003E-4</v>
      </c>
      <c r="P5752">
        <v>0.9956779</v>
      </c>
      <c r="Q5752">
        <v>7.2341660000000002E-2</v>
      </c>
      <c r="R5752">
        <v>5.8245030000000003E-2</v>
      </c>
      <c r="S5752">
        <v>3.1153869999999899</v>
      </c>
      <c r="T5752">
        <v>-0.97843060000000004</v>
      </c>
      <c r="U5752">
        <v>-0.51551819999999904</v>
      </c>
      <c r="V5752">
        <v>-5.8001089999999998E-2</v>
      </c>
      <c r="W5752">
        <v>9.4028909999999993E-2</v>
      </c>
      <c r="X5752">
        <v>0.9938785</v>
      </c>
      <c r="Y5752">
        <v>0.15621989999999999</v>
      </c>
      <c r="Z5752">
        <v>-2.3898659999999999E-2</v>
      </c>
      <c r="AA5752">
        <v>0.98743309999999995</v>
      </c>
      <c r="AB5752">
        <v>18</v>
      </c>
      <c r="AC5752">
        <v>0.53709999999998104</v>
      </c>
      <c r="AD5752">
        <v>-0.23253019999999999</v>
      </c>
      <c r="AE5752">
        <v>-0.12350000000000699</v>
      </c>
      <c r="AF5752">
        <v>0.10497864904238299</v>
      </c>
      <c r="AG5752">
        <v>-0.23253019999999999</v>
      </c>
      <c r="AH5752">
        <v>0.45590122946550599</v>
      </c>
      <c r="AI5752">
        <v>116.42913163214401</v>
      </c>
      <c r="AJ5752">
        <v>77.032749853971396</v>
      </c>
      <c r="AK5752">
        <v>0.52243348064128103</v>
      </c>
    </row>
    <row r="5753" spans="1:37" x14ac:dyDescent="0.2">
      <c r="A5753" t="str">
        <f>"20200111154215078"</f>
        <v>20200111154215078</v>
      </c>
      <c r="B5753" t="str">
        <f>"1578728535072011"</f>
        <v>1578728535072011</v>
      </c>
      <c r="C5753" t="s">
        <v>37</v>
      </c>
      <c r="D5753">
        <v>6.0827929999999997</v>
      </c>
      <c r="E5753">
        <v>0.57901139999999995</v>
      </c>
      <c r="F5753" t="s">
        <v>38</v>
      </c>
      <c r="G5753">
        <v>-131.0453</v>
      </c>
      <c r="H5753">
        <v>0.89024530000000002</v>
      </c>
      <c r="I5753">
        <v>137.81389999999999</v>
      </c>
      <c r="J5753">
        <v>-131.58160000000001</v>
      </c>
      <c r="K5753">
        <v>1.1123749999999999</v>
      </c>
      <c r="L5753">
        <v>137.93260000000001</v>
      </c>
      <c r="M5753">
        <v>0.999781699999999</v>
      </c>
      <c r="N5753">
        <v>0</v>
      </c>
      <c r="O5753">
        <v>9.2662449999999998E-4</v>
      </c>
      <c r="P5753">
        <v>0.99558649999999904</v>
      </c>
      <c r="Q5753">
        <v>7.3466110000000001E-2</v>
      </c>
      <c r="R5753">
        <v>5.8399920000000001E-2</v>
      </c>
      <c r="S5753">
        <v>3.1143190000000001</v>
      </c>
      <c r="T5753">
        <v>-0.97732619999999903</v>
      </c>
      <c r="U5753">
        <v>-0.5178528</v>
      </c>
      <c r="V5753">
        <v>-5.7557110000000002E-2</v>
      </c>
      <c r="W5753">
        <v>9.4186049999999993E-2</v>
      </c>
      <c r="X5753">
        <v>0.99388940000000003</v>
      </c>
      <c r="Y5753">
        <v>0.15752430000000001</v>
      </c>
      <c r="Z5753">
        <v>-2.426534E-2</v>
      </c>
      <c r="AA5753">
        <v>0.98721689999999995</v>
      </c>
      <c r="AB5753">
        <v>18</v>
      </c>
      <c r="AC5753">
        <v>0.53630000000001099</v>
      </c>
      <c r="AD5753">
        <v>-0.22212969999999899</v>
      </c>
      <c r="AE5753">
        <v>-0.118700000000018</v>
      </c>
      <c r="AF5753">
        <v>0.10244330014151901</v>
      </c>
      <c r="AG5753">
        <v>-0.22212969999999899</v>
      </c>
      <c r="AH5753">
        <v>0.46082573606508898</v>
      </c>
      <c r="AI5753">
        <v>115.198805165538</v>
      </c>
      <c r="AJ5753">
        <v>77.466739697680794</v>
      </c>
      <c r="AK5753">
        <v>0.52172463271912595</v>
      </c>
    </row>
    <row r="5754" spans="1:37" x14ac:dyDescent="0.2">
      <c r="A5754" t="str">
        <f>"20200111154215098"</f>
        <v>20200111154215098</v>
      </c>
      <c r="B5754" t="str">
        <f>"1578728535091530"</f>
        <v>1578728535091530</v>
      </c>
      <c r="C5754" t="s">
        <v>37</v>
      </c>
      <c r="D5754">
        <v>6.4122949999999896</v>
      </c>
      <c r="E5754">
        <v>0.57876459999999996</v>
      </c>
      <c r="F5754" t="s">
        <v>38</v>
      </c>
      <c r="G5754">
        <v>-130.8766</v>
      </c>
      <c r="H5754">
        <v>0.89168819999999904</v>
      </c>
      <c r="I5754">
        <v>137.81530000000001</v>
      </c>
      <c r="J5754">
        <v>-131.4093</v>
      </c>
      <c r="K5754">
        <v>1.1122080000000001</v>
      </c>
      <c r="L5754">
        <v>137.93360000000001</v>
      </c>
      <c r="M5754">
        <v>0.99979300000000004</v>
      </c>
      <c r="N5754">
        <v>0</v>
      </c>
      <c r="O5754">
        <v>1.507029E-3</v>
      </c>
      <c r="P5754">
        <v>0.9955233</v>
      </c>
      <c r="Q5754">
        <v>7.4251609999999996E-2</v>
      </c>
      <c r="R5754">
        <v>5.8484429999999997E-2</v>
      </c>
      <c r="S5754">
        <v>3.1156619999999999</v>
      </c>
      <c r="T5754">
        <v>-0.97534179999999904</v>
      </c>
      <c r="U5754">
        <v>-0.51805109999999999</v>
      </c>
      <c r="V5754">
        <v>-5.7071169999999997E-2</v>
      </c>
      <c r="W5754">
        <v>9.4391600000000006E-2</v>
      </c>
      <c r="X5754">
        <v>0.993897899999999</v>
      </c>
      <c r="Y5754">
        <v>0.15807209999999999</v>
      </c>
      <c r="Z5754">
        <v>-2.4467880000000001E-2</v>
      </c>
      <c r="AA5754">
        <v>0.98712440000000001</v>
      </c>
      <c r="AB5754">
        <v>19</v>
      </c>
      <c r="AC5754">
        <v>0.53270000000000495</v>
      </c>
      <c r="AD5754">
        <v>-0.22051979999999999</v>
      </c>
      <c r="AE5754">
        <v>-0.118300000000004</v>
      </c>
      <c r="AF5754">
        <v>0.102382376353962</v>
      </c>
      <c r="AG5754">
        <v>-0.22051979999999999</v>
      </c>
      <c r="AH5754">
        <v>0.45776221649725501</v>
      </c>
      <c r="AI5754">
        <v>115.179130069983</v>
      </c>
      <c r="AJ5754">
        <v>77.392800218794406</v>
      </c>
      <c r="AK5754">
        <v>0.51832169550618301</v>
      </c>
    </row>
    <row r="5755" spans="1:37" x14ac:dyDescent="0.2">
      <c r="A5755" t="str">
        <f>"20200111154215122"</f>
        <v>20200111154215122</v>
      </c>
      <c r="B5755" t="str">
        <f>"1578728535112027"</f>
        <v>1578728535112027</v>
      </c>
      <c r="C5755" t="s">
        <v>37</v>
      </c>
      <c r="D5755">
        <v>6.4817669999999996</v>
      </c>
      <c r="E5755">
        <v>0.59775249999999902</v>
      </c>
      <c r="F5755" t="s">
        <v>38</v>
      </c>
      <c r="G5755">
        <v>-130.7098</v>
      </c>
      <c r="H5755">
        <v>0.89353059999999995</v>
      </c>
      <c r="I5755">
        <v>137.8177</v>
      </c>
      <c r="J5755">
        <v>-131.2148</v>
      </c>
      <c r="K5755">
        <v>1.1121909999999999</v>
      </c>
      <c r="L5755">
        <v>137.9349</v>
      </c>
      <c r="M5755">
        <v>0.999791599999999</v>
      </c>
      <c r="N5755">
        <v>0</v>
      </c>
      <c r="O5755">
        <v>2.1758939999999998E-3</v>
      </c>
      <c r="P5755">
        <v>0.995556</v>
      </c>
      <c r="Q5755">
        <v>7.3549080000000003E-2</v>
      </c>
      <c r="R5755">
        <v>5.8812339999999998E-2</v>
      </c>
      <c r="S5755">
        <v>3.1164860000000001</v>
      </c>
      <c r="T5755">
        <v>-0.97425890000000004</v>
      </c>
      <c r="U5755">
        <v>-0.51597599999999999</v>
      </c>
      <c r="V5755">
        <v>-5.6729410000000001E-2</v>
      </c>
      <c r="W5755">
        <v>9.3696589999999996E-2</v>
      </c>
      <c r="X5755">
        <v>0.99398330000000001</v>
      </c>
      <c r="Y5755">
        <v>0.15803909999999999</v>
      </c>
      <c r="Z5755">
        <v>-2.463506E-2</v>
      </c>
      <c r="AA5755">
        <v>0.98712549999999899</v>
      </c>
      <c r="AB5755">
        <v>19</v>
      </c>
      <c r="AC5755">
        <v>0.50499999999999501</v>
      </c>
      <c r="AD5755">
        <v>-0.21866039999999901</v>
      </c>
      <c r="AE5755">
        <v>-0.117199999999996</v>
      </c>
      <c r="AF5755">
        <v>0.10043199227699701</v>
      </c>
      <c r="AG5755">
        <v>-0.21866039999999901</v>
      </c>
      <c r="AH5755">
        <v>0.42851178227343401</v>
      </c>
      <c r="AI5755">
        <v>116.41890792194</v>
      </c>
      <c r="AJ5755">
        <v>76.809447172031796</v>
      </c>
      <c r="AK5755">
        <v>0.49144816934041102</v>
      </c>
    </row>
    <row r="5756" spans="1:37" x14ac:dyDescent="0.2">
      <c r="A5756" t="str">
        <f>"20200111154215147"</f>
        <v>20200111154215147</v>
      </c>
      <c r="B5756" t="str">
        <f>"1578728535141307"</f>
        <v>1578728535141307</v>
      </c>
      <c r="C5756" t="s">
        <v>37</v>
      </c>
      <c r="D5756">
        <v>6.3916300000000001</v>
      </c>
      <c r="E5756">
        <v>0.59057329999999997</v>
      </c>
      <c r="F5756" t="s">
        <v>38</v>
      </c>
      <c r="G5756">
        <v>-130.51159999999999</v>
      </c>
      <c r="H5756">
        <v>0.96460630000000003</v>
      </c>
      <c r="I5756">
        <v>137.78749999999999</v>
      </c>
      <c r="J5756">
        <v>-131.0181</v>
      </c>
      <c r="K5756">
        <v>1.1121509999999999</v>
      </c>
      <c r="L5756">
        <v>137.93629999999999</v>
      </c>
      <c r="M5756">
        <v>0.99978940000000005</v>
      </c>
      <c r="N5756">
        <v>0</v>
      </c>
      <c r="O5756">
        <v>2.9608389999999998E-3</v>
      </c>
      <c r="P5756">
        <v>0.99562050000000002</v>
      </c>
      <c r="Q5756">
        <v>7.1970969999999995E-2</v>
      </c>
      <c r="R5756">
        <v>5.9668119999999998E-2</v>
      </c>
      <c r="S5756">
        <v>3.0998079999999999</v>
      </c>
      <c r="T5756">
        <v>-0.65078930000000001</v>
      </c>
      <c r="U5756">
        <v>-0.64888000000000001</v>
      </c>
      <c r="V5756">
        <v>-5.679174E-2</v>
      </c>
      <c r="W5756">
        <v>9.2137910000000003E-2</v>
      </c>
      <c r="X5756">
        <v>0.99412540000000005</v>
      </c>
      <c r="Y5756">
        <v>0.20347190000000001</v>
      </c>
      <c r="Z5756">
        <v>-2.151788E-2</v>
      </c>
      <c r="AA5756">
        <v>0.9788443</v>
      </c>
      <c r="AB5756">
        <v>19</v>
      </c>
      <c r="AC5756">
        <v>0.50650000000001605</v>
      </c>
      <c r="AD5756">
        <v>-0.1475447</v>
      </c>
      <c r="AE5756">
        <v>-0.14879999999999399</v>
      </c>
      <c r="AF5756">
        <v>0.139409330847685</v>
      </c>
      <c r="AG5756">
        <v>-0.1475447</v>
      </c>
      <c r="AH5756">
        <v>0.469390566602846</v>
      </c>
      <c r="AI5756">
        <v>106.768789011642</v>
      </c>
      <c r="AJ5756">
        <v>73.458543183225601</v>
      </c>
      <c r="AK5756">
        <v>0.51140190070162095</v>
      </c>
    </row>
    <row r="5757" spans="1:37" x14ac:dyDescent="0.2">
      <c r="A5757" t="str">
        <f>"20200111154215166"</f>
        <v>20200111154215166</v>
      </c>
      <c r="B5757" t="str">
        <f>"1578728535161803"</f>
        <v>1578728535161803</v>
      </c>
      <c r="C5757" t="s">
        <v>37</v>
      </c>
      <c r="D5757">
        <v>5.907807</v>
      </c>
      <c r="E5757">
        <v>0.58860639999999997</v>
      </c>
      <c r="F5757" t="s">
        <v>38</v>
      </c>
      <c r="G5757">
        <v>-130.21190000000001</v>
      </c>
      <c r="H5757">
        <v>0.90947819999999902</v>
      </c>
      <c r="I5757">
        <v>137.78149999999999</v>
      </c>
      <c r="J5757">
        <v>-130.85159999999999</v>
      </c>
      <c r="K5757">
        <v>1.1120379999999901</v>
      </c>
      <c r="L5757">
        <v>137.9375</v>
      </c>
      <c r="M5757">
        <v>0.99979359999999995</v>
      </c>
      <c r="N5757">
        <v>0</v>
      </c>
      <c r="O5757">
        <v>3.6731529999999902E-3</v>
      </c>
      <c r="P5757">
        <v>0.99563250000000003</v>
      </c>
      <c r="Q5757">
        <v>7.1040240000000004E-2</v>
      </c>
      <c r="R5757">
        <v>6.0578819999999999E-2</v>
      </c>
      <c r="S5757">
        <v>3.1053009999999999</v>
      </c>
      <c r="T5757">
        <v>-0.78066400000000002</v>
      </c>
      <c r="U5757">
        <v>-0.59561160000000002</v>
      </c>
      <c r="V5757">
        <v>-5.6985069999999999E-2</v>
      </c>
      <c r="W5757">
        <v>9.0889090000000006E-2</v>
      </c>
      <c r="X5757">
        <v>0.99422929999999998</v>
      </c>
      <c r="Y5757">
        <v>0.1862732</v>
      </c>
      <c r="Z5757">
        <v>-2.3758209999999998E-2</v>
      </c>
      <c r="AA5757">
        <v>0.98221069999999999</v>
      </c>
      <c r="AB5757">
        <v>18</v>
      </c>
      <c r="AC5757">
        <v>0.63969999999997595</v>
      </c>
      <c r="AD5757">
        <v>-0.20255979999999901</v>
      </c>
      <c r="AE5757">
        <v>-0.156000000000005</v>
      </c>
      <c r="AF5757">
        <v>0.144658912297606</v>
      </c>
      <c r="AG5757">
        <v>-0.20255979999999901</v>
      </c>
      <c r="AH5757">
        <v>0.58386662722619997</v>
      </c>
      <c r="AI5757">
        <v>108.61077306684599</v>
      </c>
      <c r="AJ5757">
        <v>76.084602243014203</v>
      </c>
      <c r="AK5757">
        <v>0.63471010065357003</v>
      </c>
    </row>
    <row r="5758" spans="1:37" x14ac:dyDescent="0.2">
      <c r="A5758" t="str">
        <f>"20200111154215188"</f>
        <v>20200111154215188</v>
      </c>
      <c r="B5758" t="str">
        <f>"1578728535181323"</f>
        <v>1578728535181323</v>
      </c>
      <c r="C5758" t="s">
        <v>37</v>
      </c>
      <c r="D5758">
        <v>6.0670000000000002</v>
      </c>
      <c r="E5758">
        <v>0.58575369999999904</v>
      </c>
      <c r="F5758" t="s">
        <v>38</v>
      </c>
      <c r="G5758">
        <v>-130.05029999999999</v>
      </c>
      <c r="H5758">
        <v>0.90890360000000003</v>
      </c>
      <c r="I5758">
        <v>137.7884</v>
      </c>
      <c r="J5758">
        <v>-130.68340000000001</v>
      </c>
      <c r="K5758">
        <v>1.111934</v>
      </c>
      <c r="L5758">
        <v>137.93879999999999</v>
      </c>
      <c r="M5758">
        <v>0.99979969999999996</v>
      </c>
      <c r="N5758">
        <v>0</v>
      </c>
      <c r="O5758">
        <v>4.3581940000000001E-3</v>
      </c>
      <c r="P5758">
        <v>0.99562819999999996</v>
      </c>
      <c r="Q5758">
        <v>7.0504529999999996E-2</v>
      </c>
      <c r="R5758">
        <v>6.1267969999999998E-2</v>
      </c>
      <c r="S5758">
        <v>3.1044619999999998</v>
      </c>
      <c r="T5758">
        <v>-0.78706009999999904</v>
      </c>
      <c r="U5758">
        <v>-0.57725519999999997</v>
      </c>
      <c r="V5758">
        <v>-5.6990649999999997E-2</v>
      </c>
      <c r="W5758">
        <v>8.9906550000000002E-2</v>
      </c>
      <c r="X5758">
        <v>0.99431829999999999</v>
      </c>
      <c r="Y5758">
        <v>0.1814093</v>
      </c>
      <c r="Z5758">
        <v>-2.35333E-2</v>
      </c>
      <c r="AA5758">
        <v>0.98312600000000006</v>
      </c>
      <c r="AB5758">
        <v>18</v>
      </c>
      <c r="AC5758">
        <v>0.63310000000001299</v>
      </c>
      <c r="AD5758">
        <v>-0.203030399999999</v>
      </c>
      <c r="AE5758">
        <v>-0.15039999999998999</v>
      </c>
      <c r="AF5758">
        <v>0.13957106918310699</v>
      </c>
      <c r="AG5758">
        <v>-0.203030399999999</v>
      </c>
      <c r="AH5758">
        <v>0.57633258589263403</v>
      </c>
      <c r="AI5758">
        <v>108.90033823495401</v>
      </c>
      <c r="AJ5758">
        <v>76.3867073935847</v>
      </c>
      <c r="AK5758">
        <v>0.62678598918511796</v>
      </c>
    </row>
    <row r="5759" spans="1:37" x14ac:dyDescent="0.2">
      <c r="A5759" t="str">
        <f>"20200111154215210"</f>
        <v>20200111154215210</v>
      </c>
      <c r="B5759" t="str">
        <f>"1578728535201818"</f>
        <v>1578728535201818</v>
      </c>
      <c r="C5759" t="s">
        <v>37</v>
      </c>
      <c r="D5759">
        <v>6.8259460000000001</v>
      </c>
      <c r="E5759">
        <v>0.58384259999999999</v>
      </c>
      <c r="F5759" t="s">
        <v>38</v>
      </c>
      <c r="G5759">
        <v>-129.89109999999999</v>
      </c>
      <c r="H5759">
        <v>0.90511609999999998</v>
      </c>
      <c r="I5759">
        <v>137.79740000000001</v>
      </c>
      <c r="J5759">
        <v>-130.5034</v>
      </c>
      <c r="K5759">
        <v>1.111888</v>
      </c>
      <c r="L5759">
        <v>137.94040000000001</v>
      </c>
      <c r="M5759">
        <v>0.999803199999999</v>
      </c>
      <c r="N5759">
        <v>0</v>
      </c>
      <c r="O5759">
        <v>5.0230739999999998E-3</v>
      </c>
      <c r="P5759">
        <v>0.9956334</v>
      </c>
      <c r="Q5759">
        <v>6.9618159999999998E-2</v>
      </c>
      <c r="R5759">
        <v>6.2188519999999997E-2</v>
      </c>
      <c r="S5759">
        <v>3.10461399999999</v>
      </c>
      <c r="T5759">
        <v>-0.81047659999999999</v>
      </c>
      <c r="U5759">
        <v>-0.55345149999999999</v>
      </c>
      <c r="V5759">
        <v>-5.7250620000000002E-2</v>
      </c>
      <c r="W5759">
        <v>8.8680739999999994E-2</v>
      </c>
      <c r="X5759">
        <v>0.9944134</v>
      </c>
      <c r="Y5759">
        <v>0.1746056</v>
      </c>
      <c r="Z5759">
        <v>-2.3528739999999999E-2</v>
      </c>
      <c r="AA5759">
        <v>0.98435729999999999</v>
      </c>
      <c r="AB5759">
        <v>18</v>
      </c>
      <c r="AC5759">
        <v>0.61230000000000395</v>
      </c>
      <c r="AD5759">
        <v>-0.20677190000000001</v>
      </c>
      <c r="AE5759">
        <v>-0.14299999999999999</v>
      </c>
      <c r="AF5759">
        <v>0.131819328868161</v>
      </c>
      <c r="AG5759">
        <v>-0.20677190000000001</v>
      </c>
      <c r="AH5759">
        <v>0.55189176682169105</v>
      </c>
      <c r="AI5759">
        <v>110.02223314760499</v>
      </c>
      <c r="AJ5759">
        <v>76.566586461935501</v>
      </c>
      <c r="AK5759">
        <v>0.60391677934830601</v>
      </c>
    </row>
    <row r="5760" spans="1:37" x14ac:dyDescent="0.2">
      <c r="A5760" t="str">
        <f>"20200111154215232"</f>
        <v>20200111154215232</v>
      </c>
      <c r="B5760" t="str">
        <f>"1578728535222314"</f>
        <v>1578728535222314</v>
      </c>
      <c r="C5760" t="s">
        <v>37</v>
      </c>
      <c r="D5760">
        <v>6.0094110000000001</v>
      </c>
      <c r="E5760">
        <v>0.58398739999999905</v>
      </c>
      <c r="F5760" t="s">
        <v>38</v>
      </c>
      <c r="G5760">
        <v>-129.73230000000001</v>
      </c>
      <c r="H5760">
        <v>0.90314749999999999</v>
      </c>
      <c r="I5760">
        <v>137.80690000000001</v>
      </c>
      <c r="J5760">
        <v>-130.3279</v>
      </c>
      <c r="K5760">
        <v>1.111891</v>
      </c>
      <c r="L5760">
        <v>137.94210000000001</v>
      </c>
      <c r="M5760">
        <v>0.99980349999999996</v>
      </c>
      <c r="N5760">
        <v>0</v>
      </c>
      <c r="O5760">
        <v>5.638054E-3</v>
      </c>
      <c r="P5760">
        <v>0.99566139999999903</v>
      </c>
      <c r="Q5760">
        <v>6.8417800000000001E-2</v>
      </c>
      <c r="R5760">
        <v>6.3065960000000004E-2</v>
      </c>
      <c r="S5760">
        <v>3.105499</v>
      </c>
      <c r="T5760">
        <v>-0.8406633</v>
      </c>
      <c r="U5760">
        <v>-0.53726200000000002</v>
      </c>
      <c r="V5760">
        <v>-5.751564E-2</v>
      </c>
      <c r="W5760">
        <v>8.7295209999999998E-2</v>
      </c>
      <c r="X5760">
        <v>0.99452070000000004</v>
      </c>
      <c r="Y5760">
        <v>0.16988639999999999</v>
      </c>
      <c r="Z5760">
        <v>-2.391892E-2</v>
      </c>
      <c r="AA5760">
        <v>0.98517330000000003</v>
      </c>
      <c r="AB5760">
        <v>18</v>
      </c>
      <c r="AC5760">
        <v>0.59559999999999003</v>
      </c>
      <c r="AD5760">
        <v>-0.2087435</v>
      </c>
      <c r="AE5760">
        <v>-0.13519999999999699</v>
      </c>
      <c r="AF5760">
        <v>0.12406403945096101</v>
      </c>
      <c r="AG5760">
        <v>-0.2087435</v>
      </c>
      <c r="AH5760">
        <v>0.53261153335503697</v>
      </c>
      <c r="AI5760">
        <v>110.89214576185</v>
      </c>
      <c r="AJ5760">
        <v>76.887606458626294</v>
      </c>
      <c r="AK5760">
        <v>0.58535525976960601</v>
      </c>
    </row>
    <row r="5761" spans="1:37" x14ac:dyDescent="0.2">
      <c r="A5761" t="str">
        <f>"20200111154215255"</f>
        <v>20200111154215255</v>
      </c>
      <c r="B5761" t="str">
        <f>"1578728535251595"</f>
        <v>1578728535251595</v>
      </c>
      <c r="C5761" t="s">
        <v>37</v>
      </c>
      <c r="D5761">
        <v>5.8643109999999998</v>
      </c>
      <c r="E5761">
        <v>0.58527220000000002</v>
      </c>
      <c r="F5761" t="s">
        <v>38</v>
      </c>
      <c r="G5761">
        <v>-129.57169999999999</v>
      </c>
      <c r="H5761">
        <v>0.90641159999999998</v>
      </c>
      <c r="I5761">
        <v>137.81100000000001</v>
      </c>
      <c r="J5761">
        <v>-130.14699999999999</v>
      </c>
      <c r="K5761">
        <v>1.1118870000000001</v>
      </c>
      <c r="L5761">
        <v>137.94390000000001</v>
      </c>
      <c r="M5761">
        <v>0.99980290000000005</v>
      </c>
      <c r="N5761">
        <v>0</v>
      </c>
      <c r="O5761">
        <v>6.2785840000000002E-3</v>
      </c>
      <c r="P5761">
        <v>0.99561739999999999</v>
      </c>
      <c r="Q5761">
        <v>6.7996360000000006E-2</v>
      </c>
      <c r="R5761">
        <v>6.4208829999999995E-2</v>
      </c>
      <c r="S5761">
        <v>3.1050869999999899</v>
      </c>
      <c r="T5761">
        <v>-0.84383649999999999</v>
      </c>
      <c r="U5761">
        <v>-0.53750609999999999</v>
      </c>
      <c r="V5761">
        <v>-5.8020380000000003E-2</v>
      </c>
      <c r="W5761">
        <v>8.6701429999999996E-2</v>
      </c>
      <c r="X5761">
        <v>0.99454339999999997</v>
      </c>
      <c r="Y5761">
        <v>0.1705219</v>
      </c>
      <c r="Z5761">
        <v>-2.4263059999999999E-2</v>
      </c>
      <c r="AA5761">
        <v>0.98505509999999996</v>
      </c>
      <c r="AB5761">
        <v>18</v>
      </c>
      <c r="AC5761">
        <v>0.57530000000002701</v>
      </c>
      <c r="AD5761">
        <v>-0.2054754</v>
      </c>
      <c r="AE5761">
        <v>-0.13290000000000601</v>
      </c>
      <c r="AF5761">
        <v>0.121764186802024</v>
      </c>
      <c r="AG5761">
        <v>-0.2054754</v>
      </c>
      <c r="AH5761">
        <v>0.51240120489054097</v>
      </c>
      <c r="AI5761">
        <v>111.312772487324</v>
      </c>
      <c r="AJ5761">
        <v>76.632488799687707</v>
      </c>
      <c r="AK5761">
        <v>0.56533322206111003</v>
      </c>
    </row>
    <row r="5762" spans="1:37" x14ac:dyDescent="0.2">
      <c r="A5762" t="str">
        <f>"20200111154215277"</f>
        <v>20200111154215277</v>
      </c>
      <c r="B5762" t="str">
        <f>"1578728535272090"</f>
        <v>1578728535272090</v>
      </c>
      <c r="C5762" t="s">
        <v>37</v>
      </c>
      <c r="D5762">
        <v>5.9819139999999997</v>
      </c>
      <c r="E5762">
        <v>0.57464399999999904</v>
      </c>
      <c r="F5762" t="s">
        <v>38</v>
      </c>
      <c r="G5762">
        <v>-129.41560000000001</v>
      </c>
      <c r="H5762">
        <v>0.90129789999999999</v>
      </c>
      <c r="I5762">
        <v>137.8152</v>
      </c>
      <c r="J5762">
        <v>-129.9657</v>
      </c>
      <c r="K5762">
        <v>1.111858</v>
      </c>
      <c r="L5762">
        <v>137.94589999999999</v>
      </c>
      <c r="M5762">
        <v>0.99980249999999904</v>
      </c>
      <c r="N5762">
        <v>0</v>
      </c>
      <c r="O5762">
        <v>6.9419569999999899E-3</v>
      </c>
      <c r="P5762">
        <v>0.99574050000000003</v>
      </c>
      <c r="Q5762">
        <v>6.6337770000000004E-2</v>
      </c>
      <c r="R5762">
        <v>6.4034569999999999E-2</v>
      </c>
      <c r="S5762">
        <v>3.1096339999999998</v>
      </c>
      <c r="T5762">
        <v>-0.89534319999999901</v>
      </c>
      <c r="U5762">
        <v>-0.54708859999999904</v>
      </c>
      <c r="V5762">
        <v>-5.7181639999999999E-2</v>
      </c>
      <c r="W5762">
        <v>8.4838640000000007E-2</v>
      </c>
      <c r="X5762">
        <v>0.99475259999999999</v>
      </c>
      <c r="Y5762">
        <v>0.17300869999999999</v>
      </c>
      <c r="Z5762">
        <v>-2.6181099999999999E-2</v>
      </c>
      <c r="AA5762">
        <v>0.98457220000000001</v>
      </c>
      <c r="AB5762">
        <v>18</v>
      </c>
      <c r="AC5762">
        <v>0.55009999999998604</v>
      </c>
      <c r="AD5762">
        <v>-0.2105601</v>
      </c>
      <c r="AE5762">
        <v>-0.13069999999998999</v>
      </c>
      <c r="AF5762">
        <v>0.118133330518918</v>
      </c>
      <c r="AG5762">
        <v>-0.2105601</v>
      </c>
      <c r="AH5762">
        <v>0.48229385283751203</v>
      </c>
      <c r="AI5762">
        <v>112.97914486711301</v>
      </c>
      <c r="AJ5762">
        <v>76.236911708972698</v>
      </c>
      <c r="AK5762">
        <v>0.539349979119637</v>
      </c>
    </row>
    <row r="5763" spans="1:37" x14ac:dyDescent="0.2">
      <c r="A5763" t="str">
        <f>"20200111154215299"</f>
        <v>20200111154215299</v>
      </c>
      <c r="B5763" t="str">
        <f>"1578728535291611"</f>
        <v>1578728535291611</v>
      </c>
      <c r="C5763" t="s">
        <v>37</v>
      </c>
      <c r="D5763">
        <v>6.0971609999999998</v>
      </c>
      <c r="E5763">
        <v>0.57715019999999995</v>
      </c>
      <c r="F5763" t="s">
        <v>38</v>
      </c>
      <c r="G5763">
        <v>-129.29320000000001</v>
      </c>
      <c r="H5763">
        <v>0.82148279999999996</v>
      </c>
      <c r="I5763">
        <v>137.84119999999999</v>
      </c>
      <c r="J5763">
        <v>-129.79329999999999</v>
      </c>
      <c r="K5763">
        <v>1.111823</v>
      </c>
      <c r="L5763">
        <v>137.9478</v>
      </c>
      <c r="M5763">
        <v>0.99980149999999901</v>
      </c>
      <c r="N5763">
        <v>0</v>
      </c>
      <c r="O5763">
        <v>7.5805719999999998E-3</v>
      </c>
      <c r="P5763">
        <v>0.99603249999999999</v>
      </c>
      <c r="Q5763">
        <v>6.2563419999999995E-2</v>
      </c>
      <c r="R5763">
        <v>6.328773E-2</v>
      </c>
      <c r="S5763">
        <v>3.1343380000000001</v>
      </c>
      <c r="T5763">
        <v>-1.3533919999999999</v>
      </c>
      <c r="U5763">
        <v>-0.48721309999999901</v>
      </c>
      <c r="V5763">
        <v>-5.5791689999999998E-2</v>
      </c>
      <c r="W5763">
        <v>8.0880720000000003E-2</v>
      </c>
      <c r="X5763">
        <v>0.99516109999999902</v>
      </c>
      <c r="Y5763">
        <v>0.1475516</v>
      </c>
      <c r="Z5763">
        <v>-3.3452999999999997E-2</v>
      </c>
      <c r="AA5763">
        <v>0.98848840000000004</v>
      </c>
      <c r="AB5763">
        <v>18</v>
      </c>
      <c r="AC5763">
        <v>0.50009999999997401</v>
      </c>
      <c r="AD5763">
        <v>-0.29034019999999899</v>
      </c>
      <c r="AE5763">
        <v>-0.106600000000014</v>
      </c>
      <c r="AF5763">
        <v>8.3475590113760198E-2</v>
      </c>
      <c r="AG5763">
        <v>-0.29034019999999899</v>
      </c>
      <c r="AH5763">
        <v>0.37755227067797498</v>
      </c>
      <c r="AI5763">
        <v>126.90189090603199</v>
      </c>
      <c r="AJ5763">
        <v>77.532655682599597</v>
      </c>
      <c r="AK5763">
        <v>0.48354040469745202</v>
      </c>
    </row>
    <row r="5764" spans="1:37" x14ac:dyDescent="0.2">
      <c r="A5764" t="str">
        <f>"20200111154215326"</f>
        <v>20200111154215326</v>
      </c>
      <c r="B5764" t="str">
        <f>"1578728535321868"</f>
        <v>1578728535321868</v>
      </c>
      <c r="C5764" t="s">
        <v>37</v>
      </c>
      <c r="D5764">
        <v>6.3832649999999997</v>
      </c>
      <c r="E5764">
        <v>0.57713239999999999</v>
      </c>
      <c r="F5764" t="s">
        <v>38</v>
      </c>
      <c r="G5764">
        <v>-129.1275</v>
      </c>
      <c r="H5764">
        <v>0.84224249999999901</v>
      </c>
      <c r="I5764">
        <v>137.83969999999999</v>
      </c>
      <c r="J5764">
        <v>-129.5916</v>
      </c>
      <c r="K5764">
        <v>1.1117900000000001</v>
      </c>
      <c r="L5764">
        <v>137.9503</v>
      </c>
      <c r="M5764">
        <v>0.99979879999999999</v>
      </c>
      <c r="N5764">
        <v>0</v>
      </c>
      <c r="O5764">
        <v>8.3185150000000003E-3</v>
      </c>
      <c r="P5764">
        <v>0.99631939999999997</v>
      </c>
      <c r="Q5764">
        <v>5.7000199999999897E-2</v>
      </c>
      <c r="R5764">
        <v>6.4023029999999995E-2</v>
      </c>
      <c r="S5764">
        <v>3.123596</v>
      </c>
      <c r="T5764">
        <v>-1.2647029999999999</v>
      </c>
      <c r="U5764">
        <v>-0.50703429999999905</v>
      </c>
      <c r="V5764">
        <v>-5.5783550000000001E-2</v>
      </c>
      <c r="W5764">
        <v>7.5153780000000003E-2</v>
      </c>
      <c r="X5764">
        <v>0.99561039999999901</v>
      </c>
      <c r="Y5764">
        <v>0.1558069</v>
      </c>
      <c r="Z5764">
        <v>-3.3391879999999999E-2</v>
      </c>
      <c r="AA5764">
        <v>0.98722299999999996</v>
      </c>
      <c r="AB5764">
        <v>18</v>
      </c>
      <c r="AC5764">
        <v>0.46410000000000201</v>
      </c>
      <c r="AD5764">
        <v>-0.2695475</v>
      </c>
      <c r="AE5764">
        <v>-0.110600000000005</v>
      </c>
      <c r="AF5764">
        <v>8.6763001590532601E-2</v>
      </c>
      <c r="AG5764">
        <v>-0.2695475</v>
      </c>
      <c r="AH5764">
        <v>0.35109537975998201</v>
      </c>
      <c r="AI5764">
        <v>126.69762511735701</v>
      </c>
      <c r="AJ5764">
        <v>76.119118845848107</v>
      </c>
      <c r="AK5764">
        <v>0.45105613718256299</v>
      </c>
    </row>
    <row r="5765" spans="1:37" x14ac:dyDescent="0.2">
      <c r="A5765" t="str">
        <f>"20200111154215346"</f>
        <v>20200111154215346</v>
      </c>
      <c r="B5765" t="str">
        <f>"1578728535341387"</f>
        <v>1578728535341387</v>
      </c>
      <c r="C5765" t="s">
        <v>37</v>
      </c>
      <c r="D5765">
        <v>6.1414929999999996</v>
      </c>
      <c r="E5765">
        <v>0.58256569999999996</v>
      </c>
      <c r="F5765" t="s">
        <v>38</v>
      </c>
      <c r="G5765">
        <v>-128.83349999999999</v>
      </c>
      <c r="H5765">
        <v>0.79876669999999905</v>
      </c>
      <c r="I5765">
        <v>137.82689999999999</v>
      </c>
      <c r="J5765">
        <v>-129.43360000000001</v>
      </c>
      <c r="K5765">
        <v>1.1117669999999999</v>
      </c>
      <c r="L5765">
        <v>137.95230000000001</v>
      </c>
      <c r="M5765">
        <v>0.99979589999999996</v>
      </c>
      <c r="N5765">
        <v>0</v>
      </c>
      <c r="O5765">
        <v>8.8849610000000002E-3</v>
      </c>
      <c r="P5765">
        <v>0.99656029999999995</v>
      </c>
      <c r="Q5765">
        <v>5.2022449999999998E-2</v>
      </c>
      <c r="R5765">
        <v>6.4508889999999999E-2</v>
      </c>
      <c r="S5765">
        <v>3.1172789999999999</v>
      </c>
      <c r="T5765">
        <v>-1.2870469999999901</v>
      </c>
      <c r="U5765">
        <v>-0.50711059999999997</v>
      </c>
      <c r="V5765">
        <v>-5.5697860000000002E-2</v>
      </c>
      <c r="W5765">
        <v>7.0073179999999999E-2</v>
      </c>
      <c r="X5765">
        <v>0.99598569999999997</v>
      </c>
      <c r="Y5765">
        <v>0.15614879999999901</v>
      </c>
      <c r="Z5765">
        <v>-3.4292089999999997E-2</v>
      </c>
      <c r="AA5765">
        <v>0.98713809999999902</v>
      </c>
      <c r="AB5765">
        <v>17</v>
      </c>
      <c r="AC5765">
        <v>0.60010000000002595</v>
      </c>
      <c r="AD5765">
        <v>-0.31300029999999901</v>
      </c>
      <c r="AE5765">
        <v>-0.125400000000013</v>
      </c>
      <c r="AF5765">
        <v>0.103697594283579</v>
      </c>
      <c r="AG5765">
        <v>-0.31300029999999901</v>
      </c>
      <c r="AH5765">
        <v>0.47511636417052999</v>
      </c>
      <c r="AI5765">
        <v>122.76674202020099</v>
      </c>
      <c r="AJ5765">
        <v>77.687858342234094</v>
      </c>
      <c r="AK5765">
        <v>0.57832338562686103</v>
      </c>
    </row>
    <row r="5766" spans="1:37" x14ac:dyDescent="0.2">
      <c r="A5766" t="str">
        <f>"20200111154215367"</f>
        <v>20200111154215367</v>
      </c>
      <c r="B5766" t="str">
        <f>"1578728535361883"</f>
        <v>1578728535361883</v>
      </c>
      <c r="C5766" t="s">
        <v>37</v>
      </c>
      <c r="D5766">
        <v>5.8183999999999996</v>
      </c>
      <c r="E5766">
        <v>0.58741390000000004</v>
      </c>
      <c r="F5766" t="s">
        <v>38</v>
      </c>
      <c r="G5766">
        <v>-128.68180000000001</v>
      </c>
      <c r="H5766">
        <v>0.79079739999999998</v>
      </c>
      <c r="I5766">
        <v>137.81909999999999</v>
      </c>
      <c r="J5766">
        <v>-129.26429999999999</v>
      </c>
      <c r="K5766">
        <v>1.111742</v>
      </c>
      <c r="L5766">
        <v>137.9546</v>
      </c>
      <c r="M5766">
        <v>0.99979240000000003</v>
      </c>
      <c r="N5766">
        <v>0</v>
      </c>
      <c r="O5766">
        <v>9.4863599999999992E-3</v>
      </c>
      <c r="P5766">
        <v>0.99669189999999996</v>
      </c>
      <c r="Q5766">
        <v>4.8507160000000001E-2</v>
      </c>
      <c r="R5766">
        <v>6.5209470000000005E-2</v>
      </c>
      <c r="S5766">
        <v>3.1154790000000001</v>
      </c>
      <c r="T5766">
        <v>-1.330058</v>
      </c>
      <c r="U5766">
        <v>-0.55123900000000003</v>
      </c>
      <c r="V5766">
        <v>-5.5793889999999999E-2</v>
      </c>
      <c r="W5766">
        <v>6.6448640000000003E-2</v>
      </c>
      <c r="X5766">
        <v>0.99622869999999997</v>
      </c>
      <c r="Y5766">
        <v>0.16847200000000001</v>
      </c>
      <c r="Z5766">
        <v>-3.8078540000000001E-2</v>
      </c>
      <c r="AA5766">
        <v>0.98497069999999998</v>
      </c>
      <c r="AB5766">
        <v>17</v>
      </c>
      <c r="AC5766">
        <v>0.58249999999998103</v>
      </c>
      <c r="AD5766">
        <v>-0.32094460000000002</v>
      </c>
      <c r="AE5766">
        <v>-0.135500000000007</v>
      </c>
      <c r="AF5766">
        <v>0.10948864473777201</v>
      </c>
      <c r="AG5766">
        <v>-0.32094460000000002</v>
      </c>
      <c r="AH5766">
        <v>0.451235515569264</v>
      </c>
      <c r="AI5766">
        <v>124.6522715488</v>
      </c>
      <c r="AJ5766">
        <v>76.361226864526799</v>
      </c>
      <c r="AK5766">
        <v>0.564452557888378</v>
      </c>
    </row>
    <row r="5767" spans="1:37" x14ac:dyDescent="0.2">
      <c r="A5767" t="str">
        <f>"20200111154215391"</f>
        <v>20200111154215391</v>
      </c>
      <c r="B5767" t="str">
        <f>"1578728535381402"</f>
        <v>1578728535381402</v>
      </c>
      <c r="C5767" t="s">
        <v>37</v>
      </c>
      <c r="D5767">
        <v>6.0557309999999998</v>
      </c>
      <c r="E5767">
        <v>0.58754479999999998</v>
      </c>
      <c r="F5767" t="s">
        <v>38</v>
      </c>
      <c r="G5767">
        <v>-128.53</v>
      </c>
      <c r="H5767">
        <v>0.78516660000000005</v>
      </c>
      <c r="I5767">
        <v>137.81559999999999</v>
      </c>
      <c r="J5767">
        <v>-129.08869999999999</v>
      </c>
      <c r="K5767">
        <v>1.111715</v>
      </c>
      <c r="L5767">
        <v>137.95699999999999</v>
      </c>
      <c r="M5767">
        <v>0.99978829999999996</v>
      </c>
      <c r="N5767">
        <v>0</v>
      </c>
      <c r="O5767">
        <v>1.010545E-2</v>
      </c>
      <c r="P5767">
        <v>0.99683980000000005</v>
      </c>
      <c r="Q5767">
        <v>4.4937779999999997E-2</v>
      </c>
      <c r="R5767">
        <v>6.5505569999999999E-2</v>
      </c>
      <c r="S5767">
        <v>3.1159819999999998</v>
      </c>
      <c r="T5767">
        <v>-1.385945</v>
      </c>
      <c r="U5767">
        <v>-0.58952329999999997</v>
      </c>
      <c r="V5767">
        <v>-5.5467460000000003E-2</v>
      </c>
      <c r="W5767">
        <v>6.2772300000000003E-2</v>
      </c>
      <c r="X5767">
        <v>0.99648539999999997</v>
      </c>
      <c r="Y5767">
        <v>0.17857629999999999</v>
      </c>
      <c r="Z5767">
        <v>-4.189209E-2</v>
      </c>
      <c r="AA5767">
        <v>0.98303379999999996</v>
      </c>
      <c r="AB5767">
        <v>17</v>
      </c>
      <c r="AC5767">
        <v>0.55869999999998698</v>
      </c>
      <c r="AD5767">
        <v>-0.32654840000000002</v>
      </c>
      <c r="AE5767">
        <v>-0.14140000000000399</v>
      </c>
      <c r="AF5767">
        <v>0.11130499061049599</v>
      </c>
      <c r="AG5767">
        <v>-0.32654840000000002</v>
      </c>
      <c r="AH5767">
        <v>0.42181733133468302</v>
      </c>
      <c r="AI5767">
        <v>126.81580771959401</v>
      </c>
      <c r="AJ5767">
        <v>75.218279230888299</v>
      </c>
      <c r="AK5767">
        <v>0.544933500063702</v>
      </c>
    </row>
    <row r="5768" spans="1:37" x14ac:dyDescent="0.2">
      <c r="A5768" t="str">
        <f>"20200111154215414"</f>
        <v>20200111154215414</v>
      </c>
      <c r="B5768" t="str">
        <f>"1578728535411326"</f>
        <v>1578728535411326</v>
      </c>
      <c r="C5768" t="s">
        <v>37</v>
      </c>
      <c r="D5768">
        <v>6.2186339999999998</v>
      </c>
      <c r="E5768">
        <v>0.591252</v>
      </c>
      <c r="F5768" t="s">
        <v>38</v>
      </c>
      <c r="G5768">
        <v>-128.376</v>
      </c>
      <c r="H5768">
        <v>0.78788150000000001</v>
      </c>
      <c r="I5768">
        <v>137.8218</v>
      </c>
      <c r="J5768">
        <v>-128.90719999999999</v>
      </c>
      <c r="K5768">
        <v>1.1116779999999999</v>
      </c>
      <c r="L5768">
        <v>137.95959999999999</v>
      </c>
      <c r="M5768">
        <v>0.99978369999999905</v>
      </c>
      <c r="N5768">
        <v>0</v>
      </c>
      <c r="O5768">
        <v>1.0734570000000001E-2</v>
      </c>
      <c r="P5768">
        <v>0.99707420000000002</v>
      </c>
      <c r="Q5768">
        <v>3.9887260000000001E-2</v>
      </c>
      <c r="R5768">
        <v>6.5210859999999995E-2</v>
      </c>
      <c r="S5768">
        <v>3.1120000000000001</v>
      </c>
      <c r="T5768">
        <v>-1.414075</v>
      </c>
      <c r="U5768">
        <v>-0.58973690000000001</v>
      </c>
      <c r="V5768">
        <v>-5.4537389999999998E-2</v>
      </c>
      <c r="W5768">
        <v>5.762656E-2</v>
      </c>
      <c r="X5768">
        <v>0.9968475</v>
      </c>
      <c r="Y5768">
        <v>0.1786973</v>
      </c>
      <c r="Z5768">
        <v>-4.3013910000000002E-2</v>
      </c>
      <c r="AA5768">
        <v>0.98296340000000004</v>
      </c>
      <c r="AB5768">
        <v>17</v>
      </c>
      <c r="AC5768">
        <v>0.53119999999998402</v>
      </c>
      <c r="AD5768">
        <v>-0.32379649999999999</v>
      </c>
      <c r="AE5768">
        <v>-0.13779999999999801</v>
      </c>
      <c r="AF5768">
        <v>0.106440011247629</v>
      </c>
      <c r="AG5768">
        <v>-0.32379649999999999</v>
      </c>
      <c r="AH5768">
        <v>0.39290662582369901</v>
      </c>
      <c r="AI5768">
        <v>128.49993734397501</v>
      </c>
      <c r="AJ5768">
        <v>74.842155097053507</v>
      </c>
      <c r="AK5768">
        <v>0.52014350522025099</v>
      </c>
    </row>
    <row r="5769" spans="1:37" x14ac:dyDescent="0.2">
      <c r="A5769" t="str">
        <f>"20200111154215435"</f>
        <v>20200111154215435</v>
      </c>
      <c r="B5769" t="str">
        <f>"1578728535431822"</f>
        <v>1578728535431822</v>
      </c>
      <c r="C5769" t="s">
        <v>37</v>
      </c>
      <c r="D5769">
        <v>6.2220069999999996</v>
      </c>
      <c r="E5769">
        <v>0.59314069999999997</v>
      </c>
      <c r="F5769" t="s">
        <v>38</v>
      </c>
      <c r="G5769">
        <v>-128.22069999999999</v>
      </c>
      <c r="H5769">
        <v>0.79494819999999999</v>
      </c>
      <c r="I5769">
        <v>137.82220000000001</v>
      </c>
      <c r="J5769">
        <v>-128.74969999999999</v>
      </c>
      <c r="K5769">
        <v>1.111645</v>
      </c>
      <c r="L5769">
        <v>137.96190000000001</v>
      </c>
      <c r="M5769">
        <v>0.99977929999999904</v>
      </c>
      <c r="N5769">
        <v>0</v>
      </c>
      <c r="O5769">
        <v>1.126547E-2</v>
      </c>
      <c r="P5769">
        <v>0.9972548</v>
      </c>
      <c r="Q5769">
        <v>3.5837210000000001E-2</v>
      </c>
      <c r="R5769">
        <v>6.4794710000000005E-2</v>
      </c>
      <c r="S5769">
        <v>3.1067659999999999</v>
      </c>
      <c r="T5769">
        <v>-1.433287</v>
      </c>
      <c r="U5769">
        <v>-0.6213379</v>
      </c>
      <c r="V5769">
        <v>-5.3585239999999999E-2</v>
      </c>
      <c r="W5769">
        <v>5.3499249999999998E-2</v>
      </c>
      <c r="X5769">
        <v>0.99712909999999899</v>
      </c>
      <c r="Y5769">
        <v>0.18772139999999901</v>
      </c>
      <c r="Z5769">
        <v>-4.5771149999999997E-2</v>
      </c>
      <c r="AA5769">
        <v>0.98115529999999995</v>
      </c>
      <c r="AB5769">
        <v>17</v>
      </c>
      <c r="AC5769">
        <v>0.52899999999999603</v>
      </c>
      <c r="AD5769">
        <v>-0.3166968</v>
      </c>
      <c r="AE5769">
        <v>-0.13970000000000399</v>
      </c>
      <c r="AF5769">
        <v>0.109098908573371</v>
      </c>
      <c r="AG5769">
        <v>-0.3166968</v>
      </c>
      <c r="AH5769">
        <v>0.39503838000131802</v>
      </c>
      <c r="AI5769">
        <v>127.695339957222</v>
      </c>
      <c r="AJ5769">
        <v>74.561288309642094</v>
      </c>
      <c r="AK5769">
        <v>0.51793315848302901</v>
      </c>
    </row>
    <row r="5770" spans="1:37" x14ac:dyDescent="0.2">
      <c r="A5770" t="str">
        <f>"20200111154215459"</f>
        <v>20200111154215459</v>
      </c>
      <c r="B5770" t="str">
        <f>"1578728535451342"</f>
        <v>1578728535451342</v>
      </c>
      <c r="C5770" t="s">
        <v>37</v>
      </c>
      <c r="D5770">
        <v>6.0898690000000002</v>
      </c>
      <c r="E5770">
        <v>0.59453739999999999</v>
      </c>
      <c r="F5770" t="s">
        <v>38</v>
      </c>
      <c r="G5770">
        <v>-128.0685</v>
      </c>
      <c r="H5770">
        <v>0.79653940000000001</v>
      </c>
      <c r="I5770">
        <v>137.82149999999999</v>
      </c>
      <c r="J5770">
        <v>-128.577</v>
      </c>
      <c r="K5770">
        <v>1.1116079999999999</v>
      </c>
      <c r="L5770">
        <v>137.96459999999999</v>
      </c>
      <c r="M5770">
        <v>0.99977439999999995</v>
      </c>
      <c r="N5770">
        <v>0</v>
      </c>
      <c r="O5770">
        <v>1.182647E-2</v>
      </c>
      <c r="P5770">
        <v>0.99745079999999997</v>
      </c>
      <c r="Q5770">
        <v>3.1843400000000001E-2</v>
      </c>
      <c r="R5770">
        <v>6.3860390000000003E-2</v>
      </c>
      <c r="S5770">
        <v>3.101318</v>
      </c>
      <c r="T5770">
        <v>-1.4344589999999999</v>
      </c>
      <c r="U5770">
        <v>-0.63868709999999995</v>
      </c>
      <c r="V5770">
        <v>-5.2084619999999998E-2</v>
      </c>
      <c r="W5770">
        <v>4.9422929999999997E-2</v>
      </c>
      <c r="X5770">
        <v>0.9974189</v>
      </c>
      <c r="Y5770">
        <v>0.1932072</v>
      </c>
      <c r="Z5770">
        <v>-4.7296360000000003E-2</v>
      </c>
      <c r="AA5770">
        <v>0.98001740000000004</v>
      </c>
      <c r="AB5770">
        <v>17</v>
      </c>
      <c r="AC5770">
        <v>0.50849999999999795</v>
      </c>
      <c r="AD5770">
        <v>-0.31506859999999898</v>
      </c>
      <c r="AE5770">
        <v>-0.143100000000004</v>
      </c>
      <c r="AF5770">
        <v>0.10998057846081501</v>
      </c>
      <c r="AG5770">
        <v>-0.31506859999999898</v>
      </c>
      <c r="AH5770">
        <v>0.373798147840124</v>
      </c>
      <c r="AI5770">
        <v>128.959376200538</v>
      </c>
      <c r="AJ5770">
        <v>73.604824295208601</v>
      </c>
      <c r="AK5770">
        <v>0.50108782231585103</v>
      </c>
    </row>
    <row r="5771" spans="1:37" x14ac:dyDescent="0.2">
      <c r="A5771" t="str">
        <f>"20200111154215478"</f>
        <v>20200111154215478</v>
      </c>
      <c r="B5771" t="str">
        <f>"1578728535471838"</f>
        <v>1578728535471838</v>
      </c>
      <c r="C5771" t="s">
        <v>37</v>
      </c>
      <c r="D5771">
        <v>6.1834389999999999</v>
      </c>
      <c r="E5771">
        <v>0.58449300000000004</v>
      </c>
      <c r="F5771" t="s">
        <v>38</v>
      </c>
      <c r="G5771">
        <v>-127.9149</v>
      </c>
      <c r="H5771">
        <v>0.80341989999999996</v>
      </c>
      <c r="I5771">
        <v>137.82470000000001</v>
      </c>
      <c r="J5771">
        <v>-128.42189999999999</v>
      </c>
      <c r="K5771">
        <v>1.111569</v>
      </c>
      <c r="L5771">
        <v>137.96700000000001</v>
      </c>
      <c r="M5771">
        <v>0.99976989999999999</v>
      </c>
      <c r="N5771">
        <v>0</v>
      </c>
      <c r="O5771">
        <v>1.231092E-2</v>
      </c>
      <c r="P5771">
        <v>0.99764359999999996</v>
      </c>
      <c r="Q5771">
        <v>2.7813910000000001E-2</v>
      </c>
      <c r="R5771">
        <v>6.2723689999999999E-2</v>
      </c>
      <c r="S5771">
        <v>3.09552</v>
      </c>
      <c r="T5771">
        <v>-1.4408399999999999</v>
      </c>
      <c r="U5771">
        <v>-0.65364069999999996</v>
      </c>
      <c r="V5771">
        <v>-5.0458759999999998E-2</v>
      </c>
      <c r="W5771">
        <v>4.5325310000000001E-2</v>
      </c>
      <c r="X5771">
        <v>0.9976971</v>
      </c>
      <c r="Y5771">
        <v>0.19785039999999901</v>
      </c>
      <c r="Z5771">
        <v>-4.8777429999999997E-2</v>
      </c>
      <c r="AA5771">
        <v>0.9790179</v>
      </c>
      <c r="AB5771">
        <v>17</v>
      </c>
      <c r="AC5771">
        <v>0.50699999999999001</v>
      </c>
      <c r="AD5771">
        <v>-0.30814909999999901</v>
      </c>
      <c r="AE5771">
        <v>-0.14230000000000501</v>
      </c>
      <c r="AF5771">
        <v>0.110643808186832</v>
      </c>
      <c r="AG5771">
        <v>-0.30814909999999901</v>
      </c>
      <c r="AH5771">
        <v>0.37633889174139101</v>
      </c>
      <c r="AI5771">
        <v>128.151780496604</v>
      </c>
      <c r="AJ5771">
        <v>73.616639479966594</v>
      </c>
      <c r="AK5771">
        <v>0.49882750681776999</v>
      </c>
    </row>
    <row r="5772" spans="1:37" x14ac:dyDescent="0.2">
      <c r="A5772" t="str">
        <f>"20200111154215505"</f>
        <v>20200111154215505</v>
      </c>
      <c r="B5772" t="str">
        <f>"1578728535502095"</f>
        <v>1578728535502095</v>
      </c>
      <c r="C5772" t="s">
        <v>37</v>
      </c>
      <c r="D5772">
        <v>5.9664839999999897</v>
      </c>
      <c r="E5772">
        <v>0.61051060000000001</v>
      </c>
      <c r="F5772" t="s">
        <v>38</v>
      </c>
      <c r="G5772">
        <v>-127.7222</v>
      </c>
      <c r="H5772">
        <v>0.90449740000000001</v>
      </c>
      <c r="I5772">
        <v>137.8425</v>
      </c>
      <c r="J5772">
        <v>-128.23140000000001</v>
      </c>
      <c r="K5772">
        <v>1.111523</v>
      </c>
      <c r="L5772">
        <v>137.9701</v>
      </c>
      <c r="M5772">
        <v>0.99976409999999905</v>
      </c>
      <c r="N5772">
        <v>0</v>
      </c>
      <c r="O5772">
        <v>1.28869E-2</v>
      </c>
      <c r="P5772">
        <v>0.99786869999999905</v>
      </c>
      <c r="Q5772">
        <v>2.2505299999999999E-2</v>
      </c>
      <c r="R5772">
        <v>6.125179E-2</v>
      </c>
      <c r="S5772">
        <v>3.0666660000000001</v>
      </c>
      <c r="T5772">
        <v>-0.90761610000000004</v>
      </c>
      <c r="U5772">
        <v>-0.54519649999999997</v>
      </c>
      <c r="V5772">
        <v>-4.8404599999999999E-2</v>
      </c>
      <c r="W5772">
        <v>3.9941959999999999E-2</v>
      </c>
      <c r="X5772">
        <v>0.9980289</v>
      </c>
      <c r="Y5772">
        <v>0.17969789999999999</v>
      </c>
      <c r="Z5772">
        <v>-2.9551620000000001E-2</v>
      </c>
      <c r="AA5772">
        <v>0.98327790000000004</v>
      </c>
      <c r="AB5772">
        <v>17</v>
      </c>
      <c r="AC5772">
        <v>0.50920000000000698</v>
      </c>
      <c r="AD5772">
        <v>-0.2070256</v>
      </c>
      <c r="AE5772">
        <v>-0.12760000000000099</v>
      </c>
      <c r="AF5772">
        <v>0.116095726351201</v>
      </c>
      <c r="AG5772">
        <v>-0.2070256</v>
      </c>
      <c r="AH5772">
        <v>0.43920268380403199</v>
      </c>
      <c r="AI5772">
        <v>114.499458754906</v>
      </c>
      <c r="AJ5772">
        <v>75.193491952219503</v>
      </c>
      <c r="AK5772">
        <v>0.49923623084972302</v>
      </c>
    </row>
    <row r="5773" spans="1:37" x14ac:dyDescent="0.2">
      <c r="A5773" t="str">
        <f>"20200111154215523"</f>
        <v>20200111154215523</v>
      </c>
      <c r="B5773" t="str">
        <f>"1578728535511854"</f>
        <v>1578728535511854</v>
      </c>
      <c r="C5773" t="s">
        <v>37</v>
      </c>
      <c r="D5773">
        <v>5.9203440000000001</v>
      </c>
      <c r="E5773">
        <v>0.61373679999999997</v>
      </c>
      <c r="F5773" t="s">
        <v>39</v>
      </c>
      <c r="G5773">
        <v>-125.80289999999999</v>
      </c>
      <c r="H5773" s="1">
        <v>-2.1846720000000001E-6</v>
      </c>
      <c r="I5773">
        <v>137.3511</v>
      </c>
      <c r="J5773">
        <v>-128.0889</v>
      </c>
      <c r="K5773">
        <v>1.1114809999999999</v>
      </c>
      <c r="L5773">
        <v>137.97239999999999</v>
      </c>
      <c r="M5773">
        <v>0.99975959999999997</v>
      </c>
      <c r="N5773">
        <v>0</v>
      </c>
      <c r="O5773">
        <v>1.3307279999999999E-2</v>
      </c>
      <c r="P5773">
        <v>0.99805089999999996</v>
      </c>
      <c r="Q5773">
        <v>1.549793E-2</v>
      </c>
      <c r="R5773">
        <v>6.0451089999999999E-2</v>
      </c>
      <c r="S5773">
        <v>3.0865480000000001</v>
      </c>
      <c r="T5773">
        <v>-1.412685</v>
      </c>
      <c r="U5773">
        <v>-0.78671259999999998</v>
      </c>
      <c r="V5773">
        <v>-4.7177469999999999E-2</v>
      </c>
      <c r="W5773">
        <v>3.2879449999999998E-2</v>
      </c>
      <c r="X5773">
        <v>0.99834529999999999</v>
      </c>
      <c r="Y5773">
        <v>0.23638589999999901</v>
      </c>
      <c r="Z5773">
        <v>-5.654497E-2</v>
      </c>
      <c r="AA5773">
        <v>0.97001250000000006</v>
      </c>
      <c r="AB5773">
        <v>17</v>
      </c>
      <c r="AC5773">
        <v>2.286</v>
      </c>
      <c r="AD5773">
        <v>-1.1114831846719999</v>
      </c>
      <c r="AE5773">
        <v>-0.62129999999998997</v>
      </c>
      <c r="AF5773">
        <v>0.53409360949189799</v>
      </c>
      <c r="AG5773">
        <v>-1.1114831846719999</v>
      </c>
      <c r="AH5773">
        <v>1.86660937862914</v>
      </c>
      <c r="AI5773">
        <v>119.790358347211</v>
      </c>
      <c r="AJ5773">
        <v>74.032566527541604</v>
      </c>
      <c r="AK5773">
        <v>2.2371592312338802</v>
      </c>
    </row>
    <row r="5774" spans="1:37" x14ac:dyDescent="0.2">
      <c r="A5774" t="str">
        <f>"20200111154215637"</f>
        <v>20200111154215637</v>
      </c>
      <c r="B5774" t="str">
        <f>"1578728535631746"</f>
        <v>1578728535631746</v>
      </c>
      <c r="C5774" t="s">
        <v>37</v>
      </c>
      <c r="D5774">
        <v>5.819369</v>
      </c>
      <c r="E5774">
        <v>0.59449459999999998</v>
      </c>
      <c r="F5774" t="s">
        <v>39</v>
      </c>
      <c r="G5774">
        <v>-125.7783</v>
      </c>
      <c r="H5774" s="1">
        <v>-2.1940850000000001E-6</v>
      </c>
      <c r="I5774">
        <v>137.35749999999999</v>
      </c>
      <c r="J5774">
        <v>-127.25539999999999</v>
      </c>
      <c r="K5774">
        <v>1.1113729999999999</v>
      </c>
      <c r="L5774">
        <v>137.9873</v>
      </c>
      <c r="M5774">
        <v>0.99973009999999995</v>
      </c>
      <c r="N5774">
        <v>0</v>
      </c>
      <c r="O5774">
        <v>1.5745809999999999E-2</v>
      </c>
      <c r="P5774">
        <v>0.99836919999999996</v>
      </c>
      <c r="Q5774">
        <v>-1.783729E-3</v>
      </c>
      <c r="R5774">
        <v>5.7061430000000003E-2</v>
      </c>
      <c r="S5774">
        <v>3.0784910000000001</v>
      </c>
      <c r="T5774">
        <v>-1.480845</v>
      </c>
      <c r="U5774">
        <v>-0.8191986</v>
      </c>
      <c r="V5774">
        <v>-4.1339309999999997E-2</v>
      </c>
      <c r="W5774">
        <v>1.526899E-2</v>
      </c>
      <c r="X5774">
        <v>0.99902849999999999</v>
      </c>
      <c r="Y5774">
        <v>0.24546850000000001</v>
      </c>
      <c r="Z5774">
        <v>-6.2226249999999997E-2</v>
      </c>
      <c r="AA5774">
        <v>0.96740530000000002</v>
      </c>
      <c r="AB5774">
        <v>16</v>
      </c>
      <c r="AC5774">
        <v>1.4770999999999901</v>
      </c>
      <c r="AD5774">
        <v>-1.1113751940850001</v>
      </c>
      <c r="AE5774">
        <v>-0.62980000000001701</v>
      </c>
      <c r="AF5774">
        <v>0.44149563185952401</v>
      </c>
      <c r="AG5774">
        <v>-1.1113751940850001</v>
      </c>
      <c r="AH5774">
        <v>0.99186820822614996</v>
      </c>
      <c r="AI5774">
        <v>135.669818679987</v>
      </c>
      <c r="AJ5774">
        <v>66.005425993207496</v>
      </c>
      <c r="AK5774">
        <v>1.55366526557951</v>
      </c>
    </row>
    <row r="5775" spans="1:37" x14ac:dyDescent="0.2">
      <c r="A5775" t="str">
        <f>"20200111154215657"</f>
        <v>20200111154215657</v>
      </c>
      <c r="B5775" t="str">
        <f>"1578728535651266"</f>
        <v>1578728535651266</v>
      </c>
      <c r="C5775" t="s">
        <v>37</v>
      </c>
      <c r="D5775">
        <v>5.9974369999999997</v>
      </c>
      <c r="E5775">
        <v>0.59779389999999999</v>
      </c>
      <c r="F5775" t="s">
        <v>39</v>
      </c>
      <c r="G5775">
        <v>-125.3763</v>
      </c>
      <c r="H5775" s="1">
        <v>-2.3314729999999999E-6</v>
      </c>
      <c r="I5775">
        <v>137.55520000000001</v>
      </c>
      <c r="J5775">
        <v>-127.117</v>
      </c>
      <c r="K5775">
        <v>1.111356</v>
      </c>
      <c r="L5775">
        <v>137.99</v>
      </c>
      <c r="M5775">
        <v>0.99972439999999996</v>
      </c>
      <c r="N5775">
        <v>0</v>
      </c>
      <c r="O5775">
        <v>1.6163170000000001E-2</v>
      </c>
      <c r="P5775">
        <v>0.99841610000000003</v>
      </c>
      <c r="Q5775">
        <v>-3.878299E-3</v>
      </c>
      <c r="R5775">
        <v>5.6126089999999997E-2</v>
      </c>
      <c r="S5775">
        <v>3.0416720000000002</v>
      </c>
      <c r="T5775">
        <v>-1.798872</v>
      </c>
      <c r="U5775">
        <v>-0.69943239999999995</v>
      </c>
      <c r="V5775">
        <v>-3.9985199999999999E-2</v>
      </c>
      <c r="W5775">
        <v>1.311819E-2</v>
      </c>
      <c r="X5775">
        <v>0.99911419999999995</v>
      </c>
      <c r="Y5775">
        <v>0.205594999999999</v>
      </c>
      <c r="Z5775">
        <v>-6.4422030000000005E-2</v>
      </c>
      <c r="AA5775">
        <v>0.97651449999999995</v>
      </c>
      <c r="AB5775">
        <v>16</v>
      </c>
      <c r="AC5775">
        <v>1.7406999999999999</v>
      </c>
      <c r="AD5775">
        <v>-1.111358331473</v>
      </c>
      <c r="AE5775">
        <v>-0.43479999999999502</v>
      </c>
      <c r="AF5775">
        <v>0.33452867685346899</v>
      </c>
      <c r="AG5775">
        <v>-1.111358331473</v>
      </c>
      <c r="AH5775">
        <v>1.2527729207888001</v>
      </c>
      <c r="AI5775">
        <v>130.59946346469499</v>
      </c>
      <c r="AJ5775">
        <v>75.049118285968007</v>
      </c>
      <c r="AK5775">
        <v>1.70776660221281</v>
      </c>
    </row>
    <row r="5776" spans="1:37" x14ac:dyDescent="0.2">
      <c r="A5776" t="str">
        <f>"20200111154215681"</f>
        <v>20200111154215681</v>
      </c>
      <c r="B5776" t="str">
        <f>"1578728535671762"</f>
        <v>1578728535671762</v>
      </c>
      <c r="C5776" t="s">
        <v>37</v>
      </c>
      <c r="D5776">
        <v>5.7590139999999996</v>
      </c>
      <c r="E5776">
        <v>0.59711099999999995</v>
      </c>
      <c r="F5776" t="s">
        <v>39</v>
      </c>
      <c r="G5776">
        <v>-125.1567</v>
      </c>
      <c r="H5776" s="1">
        <v>-2.4312239999999999E-6</v>
      </c>
      <c r="I5776">
        <v>137.52379999999999</v>
      </c>
      <c r="J5776">
        <v>-126.9443</v>
      </c>
      <c r="K5776">
        <v>1.111337</v>
      </c>
      <c r="L5776">
        <v>137.99340000000001</v>
      </c>
      <c r="M5776">
        <v>0.99971690000000002</v>
      </c>
      <c r="N5776">
        <v>0</v>
      </c>
      <c r="O5776">
        <v>1.668739E-2</v>
      </c>
      <c r="P5776">
        <v>0.99843660000000001</v>
      </c>
      <c r="Q5776">
        <v>-5.0655919999999998E-3</v>
      </c>
      <c r="R5776">
        <v>5.566625E-2</v>
      </c>
      <c r="S5776">
        <v>3.038681</v>
      </c>
      <c r="T5776">
        <v>-1.722761</v>
      </c>
      <c r="U5776">
        <v>-0.72261049999999905</v>
      </c>
      <c r="V5776">
        <v>-3.9000099999999899E-2</v>
      </c>
      <c r="W5776">
        <v>1.1866120000000001E-2</v>
      </c>
      <c r="X5776">
        <v>0.99916879999999997</v>
      </c>
      <c r="Y5776">
        <v>0.21466439999999901</v>
      </c>
      <c r="Z5776">
        <v>-6.4693290000000001E-2</v>
      </c>
      <c r="AA5776">
        <v>0.97454300000000005</v>
      </c>
      <c r="AB5776">
        <v>16</v>
      </c>
      <c r="AC5776">
        <v>1.7875999999999901</v>
      </c>
      <c r="AD5776">
        <v>-1.1113394312239999</v>
      </c>
      <c r="AE5776">
        <v>-0.46960000000001401</v>
      </c>
      <c r="AF5776">
        <v>0.36676473826572797</v>
      </c>
      <c r="AG5776">
        <v>-1.1113394312239999</v>
      </c>
      <c r="AH5776">
        <v>1.3069743159887399</v>
      </c>
      <c r="AI5776">
        <v>129.30685197417699</v>
      </c>
      <c r="AJ5776">
        <v>74.324752772106194</v>
      </c>
      <c r="AK5776">
        <v>1.7543584489159101</v>
      </c>
    </row>
    <row r="5777" spans="1:37" x14ac:dyDescent="0.2">
      <c r="A5777" t="str">
        <f>"20200111154215702"</f>
        <v>20200111154215702</v>
      </c>
      <c r="B5777" t="str">
        <f>"1578728535691655"</f>
        <v>1578728535691655</v>
      </c>
      <c r="C5777" t="s">
        <v>37</v>
      </c>
      <c r="D5777">
        <v>5.964054</v>
      </c>
      <c r="E5777">
        <v>0.57292670000000001</v>
      </c>
      <c r="F5777" t="s">
        <v>38</v>
      </c>
      <c r="G5777">
        <v>-126.3203</v>
      </c>
      <c r="H5777">
        <v>0.76683509999999999</v>
      </c>
      <c r="I5777">
        <v>137.8467</v>
      </c>
      <c r="J5777">
        <v>-126.7963</v>
      </c>
      <c r="K5777">
        <v>1.111326</v>
      </c>
      <c r="L5777">
        <v>137.99639999999999</v>
      </c>
      <c r="M5777">
        <v>0.99971010000000005</v>
      </c>
      <c r="N5777">
        <v>0</v>
      </c>
      <c r="O5777">
        <v>1.7139209999999998E-2</v>
      </c>
      <c r="P5777">
        <v>0.99845030000000001</v>
      </c>
      <c r="Q5777">
        <v>-6.2632709999999999E-3</v>
      </c>
      <c r="R5777">
        <v>5.5297529999999998E-2</v>
      </c>
      <c r="S5777">
        <v>3.0359500000000001</v>
      </c>
      <c r="T5777">
        <v>-1.6760219999999999</v>
      </c>
      <c r="U5777">
        <v>-0.71333310000000005</v>
      </c>
      <c r="V5777">
        <v>-3.8179230000000001E-2</v>
      </c>
      <c r="W5777">
        <v>1.0621179999999999E-2</v>
      </c>
      <c r="X5777">
        <v>0.99921450000000001</v>
      </c>
      <c r="Y5777">
        <v>0.21407779999999901</v>
      </c>
      <c r="Z5777">
        <v>-6.3299419999999995E-2</v>
      </c>
      <c r="AA5777">
        <v>0.9747635</v>
      </c>
      <c r="AB5777">
        <v>16</v>
      </c>
      <c r="AC5777">
        <v>0.47599999999999898</v>
      </c>
      <c r="AD5777">
        <v>-0.34449089999999999</v>
      </c>
      <c r="AE5777">
        <v>-0.149699999999995</v>
      </c>
      <c r="AF5777">
        <v>0.106890383497988</v>
      </c>
      <c r="AG5777">
        <v>-0.34449089999999999</v>
      </c>
      <c r="AH5777">
        <v>0.32057068440234299</v>
      </c>
      <c r="AI5777">
        <v>135.55153169185201</v>
      </c>
      <c r="AJ5777">
        <v>71.559664437520297</v>
      </c>
      <c r="AK5777">
        <v>0.48256097849426599</v>
      </c>
    </row>
    <row r="5778" spans="1:37" x14ac:dyDescent="0.2">
      <c r="A5778" t="str">
        <f>"20200111154215726"</f>
        <v>20200111154215726</v>
      </c>
      <c r="B5778" t="str">
        <f>"1578728535721912"</f>
        <v>1578728535721912</v>
      </c>
      <c r="C5778" t="s">
        <v>37</v>
      </c>
      <c r="D5778">
        <v>5.9200559999999998</v>
      </c>
      <c r="E5778">
        <v>0.58198260000000002</v>
      </c>
      <c r="F5778" t="s">
        <v>38</v>
      </c>
      <c r="G5778">
        <v>-126.12350000000001</v>
      </c>
      <c r="H5778">
        <v>0.9014124</v>
      </c>
      <c r="I5778">
        <v>137.89109999999999</v>
      </c>
      <c r="J5778">
        <v>-126.6249</v>
      </c>
      <c r="K5778">
        <v>1.111318</v>
      </c>
      <c r="L5778">
        <v>138</v>
      </c>
      <c r="M5778">
        <v>0.99970170000000003</v>
      </c>
      <c r="N5778">
        <v>0</v>
      </c>
      <c r="O5778">
        <v>1.766262E-2</v>
      </c>
      <c r="P5778">
        <v>0.99847050000000004</v>
      </c>
      <c r="Q5778">
        <v>-6.22246E-3</v>
      </c>
      <c r="R5778">
        <v>5.4934040000000003E-2</v>
      </c>
      <c r="S5778">
        <v>3.02494799999999</v>
      </c>
      <c r="T5778">
        <v>-0.94380010000000003</v>
      </c>
      <c r="U5778">
        <v>-0.47343439999999998</v>
      </c>
      <c r="V5778">
        <v>-3.729205E-2</v>
      </c>
      <c r="W5778">
        <v>1.061164E-2</v>
      </c>
      <c r="X5778">
        <v>0.99924809999999997</v>
      </c>
      <c r="Y5778">
        <v>0.16363229999999901</v>
      </c>
      <c r="Z5778">
        <v>-3.0148379999999999E-2</v>
      </c>
      <c r="AA5778">
        <v>0.98606059999999995</v>
      </c>
      <c r="AB5778">
        <v>16</v>
      </c>
      <c r="AC5778">
        <v>0.50139999999998897</v>
      </c>
      <c r="AD5778">
        <v>-0.2099056</v>
      </c>
      <c r="AE5778">
        <v>-0.10890000000000501</v>
      </c>
      <c r="AF5778">
        <v>0.100860002803914</v>
      </c>
      <c r="AG5778">
        <v>-0.2099056</v>
      </c>
      <c r="AH5778">
        <v>0.427799864225263</v>
      </c>
      <c r="AI5778">
        <v>115.527729240117</v>
      </c>
      <c r="AJ5778">
        <v>76.733947979719801</v>
      </c>
      <c r="AK5778">
        <v>0.48707886928927502</v>
      </c>
    </row>
    <row r="5779" spans="1:37" x14ac:dyDescent="0.2">
      <c r="A5779" t="str">
        <f>"20200111154215746"</f>
        <v>20200111154215746</v>
      </c>
      <c r="B5779" t="str">
        <f>"1578728535741431"</f>
        <v>1578728535741431</v>
      </c>
      <c r="C5779" t="s">
        <v>37</v>
      </c>
      <c r="D5779">
        <v>5.8055019999999997</v>
      </c>
      <c r="E5779">
        <v>0.58259510000000003</v>
      </c>
      <c r="F5779" t="s">
        <v>38</v>
      </c>
      <c r="G5779">
        <v>-125.8788</v>
      </c>
      <c r="H5779">
        <v>0.80943209999999999</v>
      </c>
      <c r="I5779">
        <v>137.8612</v>
      </c>
      <c r="J5779">
        <v>-126.4846</v>
      </c>
      <c r="K5779">
        <v>1.1113109999999999</v>
      </c>
      <c r="L5779">
        <v>138.00299999999999</v>
      </c>
      <c r="M5779">
        <v>0.99969479999999999</v>
      </c>
      <c r="N5779">
        <v>0</v>
      </c>
      <c r="O5779">
        <v>1.809063E-2</v>
      </c>
      <c r="P5779">
        <v>0.99847070000000004</v>
      </c>
      <c r="Q5779">
        <v>-5.6898819999999899E-3</v>
      </c>
      <c r="R5779">
        <v>5.4991150000000003E-2</v>
      </c>
      <c r="S5779">
        <v>3.0279389999999999</v>
      </c>
      <c r="T5779">
        <v>-1.225214</v>
      </c>
      <c r="U5779">
        <v>-0.56307980000000002</v>
      </c>
      <c r="V5779">
        <v>-3.6921629999999997E-2</v>
      </c>
      <c r="W5779">
        <v>1.1103709999999999E-2</v>
      </c>
      <c r="X5779">
        <v>0.99925649999999999</v>
      </c>
      <c r="Y5779">
        <v>0.185085</v>
      </c>
      <c r="Z5779">
        <v>-4.2746359999999997E-2</v>
      </c>
      <c r="AA5779">
        <v>0.98179240000000001</v>
      </c>
      <c r="AB5779">
        <v>16</v>
      </c>
      <c r="AC5779">
        <v>0.605800000000002</v>
      </c>
      <c r="AD5779">
        <v>-0.30187890000000001</v>
      </c>
      <c r="AE5779">
        <v>-0.14179999999998899</v>
      </c>
      <c r="AF5779">
        <v>0.123632268164655</v>
      </c>
      <c r="AG5779">
        <v>-0.30187890000000001</v>
      </c>
      <c r="AH5779">
        <v>0.48820299763395397</v>
      </c>
      <c r="AI5779">
        <v>120.93953042736101</v>
      </c>
      <c r="AJ5779">
        <v>75.789200303619197</v>
      </c>
      <c r="AK5779">
        <v>0.58716094462721602</v>
      </c>
    </row>
    <row r="5780" spans="1:37" x14ac:dyDescent="0.2">
      <c r="A5780" t="str">
        <f>"20200111154215772"</f>
        <v>20200111154215772</v>
      </c>
      <c r="B5780" t="str">
        <f>"1578728535761928"</f>
        <v>1578728535761928</v>
      </c>
      <c r="C5780" t="s">
        <v>37</v>
      </c>
      <c r="D5780">
        <v>5.2050789999999996</v>
      </c>
      <c r="E5780">
        <v>0.58303619999999901</v>
      </c>
      <c r="F5780" t="s">
        <v>38</v>
      </c>
      <c r="G5780">
        <v>-125.7411</v>
      </c>
      <c r="H5780">
        <v>0.80368300000000004</v>
      </c>
      <c r="I5780">
        <v>137.8631</v>
      </c>
      <c r="J5780">
        <v>-126.30159999999999</v>
      </c>
      <c r="K5780">
        <v>1.111297</v>
      </c>
      <c r="L5780">
        <v>138.00700000000001</v>
      </c>
      <c r="M5780">
        <v>0.99968570000000001</v>
      </c>
      <c r="N5780">
        <v>0</v>
      </c>
      <c r="O5780">
        <v>1.8647799999999999E-2</v>
      </c>
      <c r="P5780">
        <v>0.99840249999999997</v>
      </c>
      <c r="Q5780">
        <v>-5.6815260000000001E-3</v>
      </c>
      <c r="R5780">
        <v>5.6216929999999998E-2</v>
      </c>
      <c r="S5780">
        <v>3.0288240000000002</v>
      </c>
      <c r="T5780">
        <v>-1.2532019999999999</v>
      </c>
      <c r="U5780">
        <v>-0.569519</v>
      </c>
      <c r="V5780">
        <v>-3.7591569999999998E-2</v>
      </c>
      <c r="W5780">
        <v>1.1046490000000001E-2</v>
      </c>
      <c r="X5780">
        <v>0.99923209999999996</v>
      </c>
      <c r="Y5780">
        <v>0.1867452</v>
      </c>
      <c r="Z5780">
        <v>-4.4179049999999997E-2</v>
      </c>
      <c r="AA5780">
        <v>0.98141449999999997</v>
      </c>
      <c r="AB5780">
        <v>16</v>
      </c>
      <c r="AC5780">
        <v>0.56049999999999001</v>
      </c>
      <c r="AD5780">
        <v>-0.307613999999999</v>
      </c>
      <c r="AE5780">
        <v>-0.143900000000002</v>
      </c>
      <c r="AF5780">
        <v>0.12032676372357901</v>
      </c>
      <c r="AG5780">
        <v>-0.307613999999999</v>
      </c>
      <c r="AH5780">
        <v>0.43484174867269199</v>
      </c>
      <c r="AI5780">
        <v>124.285957687923</v>
      </c>
      <c r="AJ5780">
        <v>74.532492840494996</v>
      </c>
      <c r="AK5780">
        <v>0.54606982104206703</v>
      </c>
    </row>
    <row r="5781" spans="1:37" x14ac:dyDescent="0.2">
      <c r="A5781" t="str">
        <f>"20200111154215813"</f>
        <v>20200111154215813</v>
      </c>
      <c r="B5781" t="str">
        <f>"1578728535801236"</f>
        <v>1578728535801236</v>
      </c>
      <c r="C5781" t="s">
        <v>37</v>
      </c>
      <c r="D5781">
        <v>5.3280479999999999</v>
      </c>
      <c r="E5781">
        <v>0.61908209999999997</v>
      </c>
      <c r="F5781" t="s">
        <v>38</v>
      </c>
      <c r="G5781">
        <v>-125.59699999999999</v>
      </c>
      <c r="H5781">
        <v>0.81610509999999903</v>
      </c>
      <c r="I5781">
        <v>137.8742</v>
      </c>
      <c r="J5781">
        <v>-126.014</v>
      </c>
      <c r="K5781">
        <v>1.111251</v>
      </c>
      <c r="L5781">
        <v>138.01349999999999</v>
      </c>
      <c r="M5781">
        <v>0.99967309999999998</v>
      </c>
      <c r="N5781">
        <v>0</v>
      </c>
      <c r="O5781">
        <v>1.952392E-2</v>
      </c>
      <c r="P5781">
        <v>0.99811459999999996</v>
      </c>
      <c r="Q5781">
        <v>-3.2382029999999998E-3</v>
      </c>
      <c r="R5781">
        <v>6.1292760000000002E-2</v>
      </c>
      <c r="S5781">
        <v>3.0297700000000001</v>
      </c>
      <c r="T5781">
        <v>-1.2693509999999999</v>
      </c>
      <c r="U5781">
        <v>-0.57141109999999995</v>
      </c>
      <c r="V5781">
        <v>-4.1797349999999997E-2</v>
      </c>
      <c r="W5781">
        <v>1.3238349999999999E-2</v>
      </c>
      <c r="X5781">
        <v>0.99903839999999999</v>
      </c>
      <c r="Y5781">
        <v>0.1876014</v>
      </c>
      <c r="Z5781">
        <v>-4.521091E-2</v>
      </c>
      <c r="AA5781">
        <v>0.98120419999999997</v>
      </c>
      <c r="AB5781">
        <v>16</v>
      </c>
      <c r="AC5781">
        <v>0.41699999999998699</v>
      </c>
      <c r="AD5781">
        <v>-0.29514590000000002</v>
      </c>
      <c r="AE5781">
        <v>-0.13929999999999099</v>
      </c>
      <c r="AF5781">
        <v>0.101619441104899</v>
      </c>
      <c r="AG5781">
        <v>-0.29514590000000002</v>
      </c>
      <c r="AH5781">
        <v>0.28552402871318699</v>
      </c>
      <c r="AI5781">
        <v>134.24123885369301</v>
      </c>
      <c r="AJ5781">
        <v>70.409099424982003</v>
      </c>
      <c r="AK5781">
        <v>0.42303851369572798</v>
      </c>
    </row>
    <row r="5782" spans="1:37" x14ac:dyDescent="0.2">
      <c r="A5782" t="str">
        <f>"20200111154215835"</f>
        <v>20200111154215835</v>
      </c>
      <c r="B5782" t="str">
        <f>"1578728535831491"</f>
        <v>1578728535831491</v>
      </c>
      <c r="C5782" t="s">
        <v>37</v>
      </c>
      <c r="D5782">
        <v>5.8835620000000004</v>
      </c>
      <c r="E5782">
        <v>0.62499669999999996</v>
      </c>
      <c r="F5782" t="s">
        <v>39</v>
      </c>
      <c r="G5782">
        <v>-124.4126</v>
      </c>
      <c r="H5782" s="1">
        <v>-2.747633E-6</v>
      </c>
      <c r="I5782">
        <v>137.53960000000001</v>
      </c>
      <c r="J5782">
        <v>-125.8668</v>
      </c>
      <c r="K5782">
        <v>1.1112309999999901</v>
      </c>
      <c r="L5782">
        <v>138.01689999999999</v>
      </c>
      <c r="M5782">
        <v>0.99966730000000004</v>
      </c>
      <c r="N5782">
        <v>0</v>
      </c>
      <c r="O5782">
        <v>1.9968039999999999E-2</v>
      </c>
      <c r="P5782">
        <v>0.99797590000000003</v>
      </c>
      <c r="Q5782">
        <v>-1.951382E-3</v>
      </c>
      <c r="R5782">
        <v>6.3565930000000007E-2</v>
      </c>
      <c r="S5782">
        <v>3.0542910000000001</v>
      </c>
      <c r="T5782">
        <v>-2.1194549999999999</v>
      </c>
      <c r="U5782">
        <v>-0.90371699999999999</v>
      </c>
      <c r="V5782">
        <v>-4.362924E-2</v>
      </c>
      <c r="W5782">
        <v>1.4349270000000001E-2</v>
      </c>
      <c r="X5782">
        <v>0.99894479999999997</v>
      </c>
      <c r="Y5782">
        <v>0.24868979999999899</v>
      </c>
      <c r="Z5782">
        <v>-8.8920810000000003E-2</v>
      </c>
      <c r="AA5782">
        <v>0.96449289999999999</v>
      </c>
      <c r="AB5782">
        <v>16</v>
      </c>
      <c r="AC5782">
        <v>1.4541999999999999</v>
      </c>
      <c r="AD5782">
        <v>-1.1112337476330001</v>
      </c>
      <c r="AE5782">
        <v>-0.47729999999998501</v>
      </c>
      <c r="AF5782">
        <v>0.33149878054963899</v>
      </c>
      <c r="AG5782">
        <v>-1.1112337476330001</v>
      </c>
      <c r="AH5782">
        <v>0.94580370197421304</v>
      </c>
      <c r="AI5782">
        <v>137.952873826944</v>
      </c>
      <c r="AJ5782">
        <v>70.684728508247304</v>
      </c>
      <c r="AK5782">
        <v>1.4964212395086101</v>
      </c>
    </row>
    <row r="5783" spans="1:37" x14ac:dyDescent="0.2">
      <c r="A5783" t="str">
        <f>"20200111154215858"</f>
        <v>20200111154215858</v>
      </c>
      <c r="B5783" t="str">
        <f>"1578728535851987"</f>
        <v>1578728535851987</v>
      </c>
      <c r="C5783" t="s">
        <v>37</v>
      </c>
      <c r="D5783">
        <v>5.69916</v>
      </c>
      <c r="E5783">
        <v>0.62477859999999996</v>
      </c>
      <c r="F5783" t="s">
        <v>39</v>
      </c>
      <c r="G5783">
        <v>-124.1961</v>
      </c>
      <c r="H5783" s="1">
        <v>-2.8467199999999999E-6</v>
      </c>
      <c r="I5783">
        <v>137.50479999999999</v>
      </c>
      <c r="J5783">
        <v>-125.7097</v>
      </c>
      <c r="K5783">
        <v>1.1112059999999999</v>
      </c>
      <c r="L5783">
        <v>138.0206</v>
      </c>
      <c r="M5783">
        <v>0.99966039999999901</v>
      </c>
      <c r="N5783">
        <v>0</v>
      </c>
      <c r="O5783">
        <v>2.0433010000000001E-2</v>
      </c>
      <c r="P5783">
        <v>0.997836099999999</v>
      </c>
      <c r="Q5783">
        <v>-1.169123E-3</v>
      </c>
      <c r="R5783">
        <v>6.5741430000000003E-2</v>
      </c>
      <c r="S5783">
        <v>3.061874</v>
      </c>
      <c r="T5783">
        <v>-2.036416</v>
      </c>
      <c r="U5783">
        <v>-0.93843080000000001</v>
      </c>
      <c r="V5783">
        <v>-4.5342609999999998E-2</v>
      </c>
      <c r="W5783">
        <v>1.497625E-2</v>
      </c>
      <c r="X5783">
        <v>0.99885919999999895</v>
      </c>
      <c r="Y5783">
        <v>0.26044539999999999</v>
      </c>
      <c r="Z5783">
        <v>-8.9494359999999995E-2</v>
      </c>
      <c r="AA5783">
        <v>0.96133189999999902</v>
      </c>
      <c r="AB5783">
        <v>16</v>
      </c>
      <c r="AC5783">
        <v>1.5135999999999901</v>
      </c>
      <c r="AD5783">
        <v>-1.1112088467200001</v>
      </c>
      <c r="AE5783">
        <v>-0.51580000000001203</v>
      </c>
      <c r="AF5783">
        <v>0.36861874078988299</v>
      </c>
      <c r="AG5783">
        <v>-1.1112088467200001</v>
      </c>
      <c r="AH5783">
        <v>1.01338318601641</v>
      </c>
      <c r="AI5783">
        <v>135.85994259683901</v>
      </c>
      <c r="AJ5783">
        <v>70.011112896401897</v>
      </c>
      <c r="AK5783">
        <v>1.5484218930224001</v>
      </c>
    </row>
    <row r="5784" spans="1:37" x14ac:dyDescent="0.2">
      <c r="A5784" t="str">
        <f>"20200111154215881"</f>
        <v>20200111154215881</v>
      </c>
      <c r="B5784" t="str">
        <f>"1578728535871507"</f>
        <v>1578728535871507</v>
      </c>
      <c r="C5784" t="s">
        <v>37</v>
      </c>
      <c r="D5784">
        <v>7.7944559999999896</v>
      </c>
      <c r="E5784">
        <v>0.62531150000000002</v>
      </c>
      <c r="F5784" t="s">
        <v>39</v>
      </c>
      <c r="G5784">
        <v>-123.9854</v>
      </c>
      <c r="H5784" s="1">
        <v>-2.9379919999999999E-6</v>
      </c>
      <c r="I5784">
        <v>137.49979999999999</v>
      </c>
      <c r="J5784">
        <v>-125.5556</v>
      </c>
      <c r="K5784">
        <v>1.111192</v>
      </c>
      <c r="L5784">
        <v>138.02430000000001</v>
      </c>
      <c r="M5784">
        <v>0.99965319999999902</v>
      </c>
      <c r="N5784">
        <v>0</v>
      </c>
      <c r="O5784">
        <v>2.087961E-2</v>
      </c>
      <c r="P5784">
        <v>0.99777309999999997</v>
      </c>
      <c r="Q5784">
        <v>-2.7569009999999899E-4</v>
      </c>
      <c r="R5784">
        <v>6.6701399999999994E-2</v>
      </c>
      <c r="S5784">
        <v>3.0651700000000002</v>
      </c>
      <c r="T5784">
        <v>-1.9751840000000001</v>
      </c>
      <c r="U5784">
        <v>-0.92562869999999997</v>
      </c>
      <c r="V5784">
        <v>-4.5857420000000003E-2</v>
      </c>
      <c r="W5784">
        <v>1.5740049999999998E-2</v>
      </c>
      <c r="X5784">
        <v>0.99882399999999905</v>
      </c>
      <c r="Y5784">
        <v>0.25982</v>
      </c>
      <c r="Z5784">
        <v>-8.7258649999999993E-2</v>
      </c>
      <c r="AA5784">
        <v>0.96170659999999897</v>
      </c>
      <c r="AB5784">
        <v>15</v>
      </c>
      <c r="AC5784">
        <v>1.57019999999999</v>
      </c>
      <c r="AD5784">
        <v>-1.1111949379920001</v>
      </c>
      <c r="AE5784">
        <v>-0.52450000000001695</v>
      </c>
      <c r="AF5784">
        <v>0.384116399692572</v>
      </c>
      <c r="AG5784">
        <v>-1.1111949379920001</v>
      </c>
      <c r="AH5784">
        <v>1.07470884162877</v>
      </c>
      <c r="AI5784">
        <v>134.23450852355501</v>
      </c>
      <c r="AJ5784">
        <v>70.332379615059594</v>
      </c>
      <c r="AK5784">
        <v>1.5928900442299401</v>
      </c>
    </row>
    <row r="5785" spans="1:37" x14ac:dyDescent="0.2">
      <c r="A5785" t="str">
        <f>"20200111154216330"</f>
        <v>20200111154216330</v>
      </c>
      <c r="B5785" t="str">
        <f>"1578728536321483"</f>
        <v>1578728536321483</v>
      </c>
      <c r="C5785" t="s">
        <v>37</v>
      </c>
      <c r="D5785">
        <v>5.7681779999999998</v>
      </c>
      <c r="E5785">
        <v>0.58557650000000006</v>
      </c>
      <c r="F5785" t="s">
        <v>39</v>
      </c>
      <c r="G5785">
        <v>-123.8459</v>
      </c>
      <c r="H5785" s="1">
        <v>-2.9964560000000001E-6</v>
      </c>
      <c r="I5785">
        <v>137.50739999999999</v>
      </c>
      <c r="J5785">
        <v>-122.74590000000001</v>
      </c>
      <c r="K5785">
        <v>1.1114310000000001</v>
      </c>
      <c r="L5785">
        <v>138.09610000000001</v>
      </c>
      <c r="M5785">
        <v>0.99947439999999999</v>
      </c>
      <c r="N5785">
        <v>0</v>
      </c>
      <c r="O5785">
        <v>2.5297770000000001E-2</v>
      </c>
      <c r="P5785">
        <v>0.99695159999999905</v>
      </c>
      <c r="Q5785">
        <v>1.442822E-2</v>
      </c>
      <c r="R5785">
        <v>7.6677229999999999E-2</v>
      </c>
      <c r="S5785">
        <v>3.068146</v>
      </c>
      <c r="T5785">
        <v>-1.9941409999999999</v>
      </c>
      <c r="U5785">
        <v>-0.92756649999999996</v>
      </c>
      <c r="V5785">
        <v>-5.1428349999999998E-2</v>
      </c>
      <c r="W5785">
        <v>3.4669430000000001E-2</v>
      </c>
      <c r="X5785">
        <v>0.99807469999999998</v>
      </c>
      <c r="Y5785">
        <v>0.26229279999999999</v>
      </c>
      <c r="Z5785">
        <v>-9.1192560000000006E-2</v>
      </c>
      <c r="AA5785">
        <v>0.96066980000000002</v>
      </c>
      <c r="AB5785">
        <v>13</v>
      </c>
      <c r="AC5785">
        <v>-1.0999999999999901</v>
      </c>
      <c r="AD5785">
        <v>-1.1114339964560001</v>
      </c>
      <c r="AE5785">
        <v>-0.58870000000001699</v>
      </c>
      <c r="AF5785">
        <v>0.31260011821490202</v>
      </c>
      <c r="AG5785">
        <v>-1.1114339964560001</v>
      </c>
      <c r="AH5785">
        <v>-0.62140181791902105</v>
      </c>
      <c r="AI5785">
        <v>147.95928248489199</v>
      </c>
      <c r="AJ5785">
        <v>-63.295028293419698</v>
      </c>
      <c r="AK5785">
        <v>1.3111615391320699</v>
      </c>
    </row>
    <row r="5786" spans="1:37" x14ac:dyDescent="0.2">
      <c r="A5786" t="str">
        <f>"20200111154216351"</f>
        <v>20200111154216351</v>
      </c>
      <c r="B5786" t="str">
        <f>"1578728536341979"</f>
        <v>1578728536341979</v>
      </c>
      <c r="C5786" t="s">
        <v>37</v>
      </c>
      <c r="D5786">
        <v>6.326384</v>
      </c>
      <c r="E5786">
        <v>0.55526350000000002</v>
      </c>
      <c r="F5786" t="s">
        <v>38</v>
      </c>
      <c r="G5786">
        <v>-122.0629</v>
      </c>
      <c r="H5786">
        <v>0.76121470000000002</v>
      </c>
      <c r="I5786">
        <v>137.97630000000001</v>
      </c>
      <c r="J5786">
        <v>-122.6255</v>
      </c>
      <c r="K5786">
        <v>1.1113709999999899</v>
      </c>
      <c r="L5786">
        <v>138.0993</v>
      </c>
      <c r="M5786">
        <v>0.99948019999999904</v>
      </c>
      <c r="N5786">
        <v>0</v>
      </c>
      <c r="O5786">
        <v>2.5399109999999999E-2</v>
      </c>
      <c r="P5786">
        <v>0.99699720000000003</v>
      </c>
      <c r="Q5786">
        <v>1.461815E-2</v>
      </c>
      <c r="R5786">
        <v>7.604727E-2</v>
      </c>
      <c r="S5786">
        <v>3.0734249999999999</v>
      </c>
      <c r="T5786">
        <v>-1.5760049999999901</v>
      </c>
      <c r="U5786">
        <v>-0.53892519999999999</v>
      </c>
      <c r="V5786">
        <v>-5.0696289999999998E-2</v>
      </c>
      <c r="W5786">
        <v>3.4445450000000002E-2</v>
      </c>
      <c r="X5786">
        <v>0.99812000000000001</v>
      </c>
      <c r="Y5786">
        <v>0.17369879999999999</v>
      </c>
      <c r="Z5786">
        <v>-5.3866699999999899E-2</v>
      </c>
      <c r="AA5786">
        <v>0.98332450000000005</v>
      </c>
      <c r="AB5786">
        <v>12</v>
      </c>
      <c r="AC5786">
        <v>0.56260000000000299</v>
      </c>
      <c r="AD5786">
        <v>-0.35015629999999898</v>
      </c>
      <c r="AE5786">
        <v>-0.12299999999999001</v>
      </c>
      <c r="AF5786">
        <v>0.10020653019626</v>
      </c>
      <c r="AG5786">
        <v>-0.35015629999999898</v>
      </c>
      <c r="AH5786">
        <v>0.408333675961499</v>
      </c>
      <c r="AI5786">
        <v>129.788014942263</v>
      </c>
      <c r="AJ5786">
        <v>76.211889387768906</v>
      </c>
      <c r="AK5786">
        <v>0.54716284052180897</v>
      </c>
    </row>
    <row r="5787" spans="1:37" x14ac:dyDescent="0.2">
      <c r="A5787" t="str">
        <f>"20200111154216378"</f>
        <v>20200111154216378</v>
      </c>
      <c r="B5787" t="str">
        <f>"1578728536361500"</f>
        <v>1578728536361500</v>
      </c>
      <c r="C5787" t="s">
        <v>37</v>
      </c>
      <c r="D5787">
        <v>6.234362</v>
      </c>
      <c r="E5787">
        <v>0.55051619999999901</v>
      </c>
      <c r="F5787" t="s">
        <v>38</v>
      </c>
      <c r="G5787">
        <v>-121.90989999999999</v>
      </c>
      <c r="H5787">
        <v>0.87061540000000004</v>
      </c>
      <c r="I5787">
        <v>138.036</v>
      </c>
      <c r="J5787">
        <v>-122.48090000000001</v>
      </c>
      <c r="K5787">
        <v>1.111283</v>
      </c>
      <c r="L5787">
        <v>138.10310000000001</v>
      </c>
      <c r="M5787">
        <v>0.99948879999999996</v>
      </c>
      <c r="N5787">
        <v>0</v>
      </c>
      <c r="O5787">
        <v>2.5531870000000002E-2</v>
      </c>
      <c r="P5787">
        <v>0.99704139999999997</v>
      </c>
      <c r="Q5787">
        <v>1.530839E-2</v>
      </c>
      <c r="R5787">
        <v>7.5327340000000007E-2</v>
      </c>
      <c r="S5787">
        <v>3.0446009999999899</v>
      </c>
      <c r="T5787">
        <v>-1.024329</v>
      </c>
      <c r="U5787">
        <v>-0.2691345</v>
      </c>
      <c r="V5787">
        <v>-4.9843249999999999E-2</v>
      </c>
      <c r="W5787">
        <v>3.4524079999999999E-2</v>
      </c>
      <c r="X5787">
        <v>0.99816019999999905</v>
      </c>
      <c r="Y5787">
        <v>0.1062545</v>
      </c>
      <c r="Z5787">
        <v>-2.571176E-2</v>
      </c>
      <c r="AA5787">
        <v>0.99400650000000002</v>
      </c>
      <c r="AB5787">
        <v>12</v>
      </c>
      <c r="AC5787">
        <v>0.57100000000001205</v>
      </c>
      <c r="AD5787">
        <v>-0.24066759999999901</v>
      </c>
      <c r="AE5787">
        <v>-6.7100000000010596E-2</v>
      </c>
      <c r="AF5787">
        <v>6.9483899582790207E-2</v>
      </c>
      <c r="AG5787">
        <v>-0.24066759999999901</v>
      </c>
      <c r="AH5787">
        <v>0.484246163176214</v>
      </c>
      <c r="AI5787">
        <v>116.19514211311299</v>
      </c>
      <c r="AJ5787">
        <v>81.834433471863406</v>
      </c>
      <c r="AK5787">
        <v>0.54520019492098104</v>
      </c>
    </row>
    <row r="5788" spans="1:37" x14ac:dyDescent="0.2">
      <c r="A5788" t="str">
        <f>"20200111154216397"</f>
        <v>20200111154216397</v>
      </c>
      <c r="B5788" t="str">
        <f>"1578728536391755"</f>
        <v>1578728536391755</v>
      </c>
      <c r="C5788" t="s">
        <v>37</v>
      </c>
      <c r="D5788">
        <v>6.0579239999999999</v>
      </c>
      <c r="E5788">
        <v>0.52763419999999905</v>
      </c>
      <c r="F5788" t="s">
        <v>38</v>
      </c>
      <c r="G5788">
        <v>-121.7882</v>
      </c>
      <c r="H5788">
        <v>0.90015509999999999</v>
      </c>
      <c r="I5788">
        <v>138.05109999999999</v>
      </c>
      <c r="J5788">
        <v>-122.37390000000001</v>
      </c>
      <c r="K5788">
        <v>1.1112299999999999</v>
      </c>
      <c r="L5788">
        <v>138.10599999999999</v>
      </c>
      <c r="M5788">
        <v>0.99949469999999996</v>
      </c>
      <c r="N5788">
        <v>0</v>
      </c>
      <c r="O5788">
        <v>2.5632510000000001E-2</v>
      </c>
      <c r="P5788">
        <v>0.99707029999999996</v>
      </c>
      <c r="Q5788">
        <v>1.6084279999999999E-2</v>
      </c>
      <c r="R5788">
        <v>7.4781890000000004E-2</v>
      </c>
      <c r="S5788">
        <v>3.040375</v>
      </c>
      <c r="T5788">
        <v>-0.92660149999999997</v>
      </c>
      <c r="U5788">
        <v>-0.22813420000000001</v>
      </c>
      <c r="V5788">
        <v>-4.9196799999999999E-2</v>
      </c>
      <c r="W5788">
        <v>3.4854799999999998E-2</v>
      </c>
      <c r="X5788">
        <v>0.99818069999999903</v>
      </c>
      <c r="Y5788">
        <v>9.4918210000000003E-2</v>
      </c>
      <c r="Z5788">
        <v>-2.1755159999999999E-2</v>
      </c>
      <c r="AA5788">
        <v>0.99524729999999995</v>
      </c>
      <c r="AB5788">
        <v>12</v>
      </c>
      <c r="AC5788">
        <v>0.585700000000002</v>
      </c>
      <c r="AD5788">
        <v>-0.21107489999999901</v>
      </c>
      <c r="AE5788">
        <v>-5.4900000000003502E-2</v>
      </c>
      <c r="AF5788">
        <v>6.1925140262483101E-2</v>
      </c>
      <c r="AG5788">
        <v>-0.21107489999999901</v>
      </c>
      <c r="AH5788">
        <v>0.51747830201887701</v>
      </c>
      <c r="AI5788">
        <v>112.04803389165301</v>
      </c>
      <c r="AJ5788">
        <v>83.176028959376296</v>
      </c>
      <c r="AK5788">
        <v>0.56229096513004595</v>
      </c>
    </row>
    <row r="5789" spans="1:37" x14ac:dyDescent="0.2">
      <c r="A5789" t="str">
        <f>"20200111154216419"</f>
        <v>20200111154216419</v>
      </c>
      <c r="B5789" t="str">
        <f>"1578728536412251"</f>
        <v>1578728536412251</v>
      </c>
      <c r="C5789" t="s">
        <v>37</v>
      </c>
      <c r="D5789">
        <v>6.1201499999999998</v>
      </c>
      <c r="E5789">
        <v>0.52566789999999997</v>
      </c>
      <c r="F5789" t="s">
        <v>38</v>
      </c>
      <c r="G5789">
        <v>-121.62090000000001</v>
      </c>
      <c r="H5789">
        <v>1.019018</v>
      </c>
      <c r="I5789">
        <v>138.10140000000001</v>
      </c>
      <c r="J5789">
        <v>-122.2561</v>
      </c>
      <c r="K5789">
        <v>1.1112040000000001</v>
      </c>
      <c r="L5789">
        <v>138.10910000000001</v>
      </c>
      <c r="M5789">
        <v>0.99949929999999998</v>
      </c>
      <c r="N5789">
        <v>0</v>
      </c>
      <c r="O5789">
        <v>2.5741549999999998E-2</v>
      </c>
      <c r="P5789">
        <v>0.99710639999999995</v>
      </c>
      <c r="Q5789">
        <v>1.6159449999999999E-2</v>
      </c>
      <c r="R5789">
        <v>7.4280559999999995E-2</v>
      </c>
      <c r="S5789">
        <v>3.0161289999999998</v>
      </c>
      <c r="T5789">
        <v>-0.36942390000000003</v>
      </c>
      <c r="U5789">
        <v>-1.792908E-2</v>
      </c>
      <c r="V5789">
        <v>-4.8586199999999899E-2</v>
      </c>
      <c r="W5789">
        <v>3.4527889999999999E-2</v>
      </c>
      <c r="X5789">
        <v>0.99822199999999905</v>
      </c>
      <c r="Y5789">
        <v>3.1261789999999998E-2</v>
      </c>
      <c r="Z5789">
        <v>-5.0488360000000001E-3</v>
      </c>
      <c r="AA5789">
        <v>0.99949849999999996</v>
      </c>
      <c r="AB5789">
        <v>12</v>
      </c>
      <c r="AC5789">
        <v>0.63519999999999699</v>
      </c>
      <c r="AD5789">
        <v>-9.2186000000000101E-2</v>
      </c>
      <c r="AE5789">
        <v>-7.6999999999998103E-3</v>
      </c>
      <c r="AF5789">
        <v>2.35551912215341E-2</v>
      </c>
      <c r="AG5789">
        <v>-9.2186000000000101E-2</v>
      </c>
      <c r="AH5789">
        <v>0.62169862528964104</v>
      </c>
      <c r="AI5789">
        <v>98.428448255424399</v>
      </c>
      <c r="AJ5789">
        <v>87.830190162362598</v>
      </c>
      <c r="AK5789">
        <v>0.62893742639193695</v>
      </c>
    </row>
    <row r="5790" spans="1:37" x14ac:dyDescent="0.2">
      <c r="A5790" t="str">
        <f>"20200111154216463"</f>
        <v>20200111154216463</v>
      </c>
      <c r="B5790" t="str">
        <f>"1578728536452267"</f>
        <v>1578728536452267</v>
      </c>
      <c r="C5790" t="s">
        <v>37</v>
      </c>
      <c r="D5790">
        <v>6.1485479999999999</v>
      </c>
      <c r="E5790">
        <v>0.5233719</v>
      </c>
      <c r="F5790" t="s">
        <v>38</v>
      </c>
      <c r="G5790">
        <v>-121.5183</v>
      </c>
      <c r="H5790">
        <v>1.007009</v>
      </c>
      <c r="I5790">
        <v>138.10740000000001</v>
      </c>
      <c r="J5790">
        <v>-122.01779999999999</v>
      </c>
      <c r="K5790">
        <v>1.1112070000000001</v>
      </c>
      <c r="L5790">
        <v>138.1155</v>
      </c>
      <c r="M5790">
        <v>0.99950469999999902</v>
      </c>
      <c r="N5790">
        <v>0</v>
      </c>
      <c r="O5790">
        <v>2.595397E-2</v>
      </c>
      <c r="P5790">
        <v>0.99711989999999995</v>
      </c>
      <c r="Q5790">
        <v>1.6866490000000001E-2</v>
      </c>
      <c r="R5790">
        <v>7.3942030000000006E-2</v>
      </c>
      <c r="S5790">
        <v>3.0161439999999899</v>
      </c>
      <c r="T5790">
        <v>-0.42593950000000003</v>
      </c>
      <c r="U5790">
        <v>-7.0343019999999897E-3</v>
      </c>
      <c r="V5790">
        <v>-4.8035290000000001E-2</v>
      </c>
      <c r="W5790">
        <v>3.4636069999999998E-2</v>
      </c>
      <c r="X5790">
        <v>0.99824489999999999</v>
      </c>
      <c r="Y5790">
        <v>2.77565E-2</v>
      </c>
      <c r="Z5790">
        <v>-5.5976219999999896E-3</v>
      </c>
      <c r="AA5790">
        <v>0.99959900000000002</v>
      </c>
      <c r="AB5790">
        <v>12</v>
      </c>
      <c r="AC5790">
        <v>0.499499999999997</v>
      </c>
      <c r="AD5790">
        <v>-0.104198</v>
      </c>
      <c r="AE5790">
        <v>-8.0999999999846698E-3</v>
      </c>
      <c r="AF5790">
        <v>2.0185186941444801E-2</v>
      </c>
      <c r="AG5790">
        <v>-0.104198</v>
      </c>
      <c r="AH5790">
        <v>0.47831269765928203</v>
      </c>
      <c r="AI5790">
        <v>102.278992774484</v>
      </c>
      <c r="AJ5790">
        <v>87.583505094267394</v>
      </c>
      <c r="AK5790">
        <v>0.48994663149975998</v>
      </c>
    </row>
    <row r="5791" spans="1:37" x14ac:dyDescent="0.2">
      <c r="A5791" t="str">
        <f>"20200111154216484"</f>
        <v>20200111154216484</v>
      </c>
      <c r="B5791" t="str">
        <f>"1578728536471788"</f>
        <v>1578728536471788</v>
      </c>
      <c r="C5791" t="s">
        <v>37</v>
      </c>
      <c r="D5791">
        <v>6.0390420000000002</v>
      </c>
      <c r="E5791">
        <v>0.52220230000000001</v>
      </c>
      <c r="F5791" t="s">
        <v>38</v>
      </c>
      <c r="G5791">
        <v>-121.2032</v>
      </c>
      <c r="H5791">
        <v>0.99300489999999997</v>
      </c>
      <c r="I5791">
        <v>138.1181</v>
      </c>
      <c r="J5791">
        <v>-121.907</v>
      </c>
      <c r="K5791">
        <v>1.1112139999999999</v>
      </c>
      <c r="L5791">
        <v>138.11850000000001</v>
      </c>
      <c r="M5791">
        <v>0.99950680000000003</v>
      </c>
      <c r="N5791">
        <v>0</v>
      </c>
      <c r="O5791">
        <v>2.6051689999999999E-2</v>
      </c>
      <c r="P5791">
        <v>0.99710789999999905</v>
      </c>
      <c r="Q5791">
        <v>1.7039450000000001E-2</v>
      </c>
      <c r="R5791">
        <v>7.4065370000000005E-2</v>
      </c>
      <c r="S5791">
        <v>3.01532</v>
      </c>
      <c r="T5791">
        <v>-0.43758130000000001</v>
      </c>
      <c r="U5791">
        <v>9.9182130000000004E-3</v>
      </c>
      <c r="V5791">
        <v>-4.8061640000000003E-2</v>
      </c>
      <c r="W5791">
        <v>3.4541710000000003E-2</v>
      </c>
      <c r="X5791">
        <v>0.998246999999999</v>
      </c>
      <c r="Y5791">
        <v>2.2261360000000001E-2</v>
      </c>
      <c r="Z5791">
        <v>-5.367971E-3</v>
      </c>
      <c r="AA5791">
        <v>0.99973780000000001</v>
      </c>
      <c r="AB5791">
        <v>12</v>
      </c>
      <c r="AC5791">
        <v>0.70380000000001497</v>
      </c>
      <c r="AD5791">
        <v>-0.118209099999999</v>
      </c>
      <c r="AE5791">
        <v>-4.0000000001327803E-4</v>
      </c>
      <c r="AF5791">
        <v>1.8223770348688498E-2</v>
      </c>
      <c r="AG5791">
        <v>-0.118209099999999</v>
      </c>
      <c r="AH5791">
        <v>0.68424799348575804</v>
      </c>
      <c r="AI5791">
        <v>99.798133660419893</v>
      </c>
      <c r="AJ5791">
        <v>88.474385952187205</v>
      </c>
      <c r="AK5791">
        <v>0.694622785199145</v>
      </c>
    </row>
    <row r="5792" spans="1:37" x14ac:dyDescent="0.2">
      <c r="A5792" t="str">
        <f>"20200111154216506"</f>
        <v>20200111154216506</v>
      </c>
      <c r="B5792" t="str">
        <f>"1578728536502043"</f>
        <v>1578728536502043</v>
      </c>
      <c r="C5792" t="s">
        <v>37</v>
      </c>
      <c r="D5792">
        <v>6.3526999999999996</v>
      </c>
      <c r="E5792">
        <v>0.52120959999999905</v>
      </c>
      <c r="F5792" t="s">
        <v>38</v>
      </c>
      <c r="G5792">
        <v>-121.09739999999999</v>
      </c>
      <c r="H5792">
        <v>0.991944099999999</v>
      </c>
      <c r="I5792">
        <v>138.12370000000001</v>
      </c>
      <c r="J5792">
        <v>-121.7837</v>
      </c>
      <c r="K5792">
        <v>1.1112109999999999</v>
      </c>
      <c r="L5792">
        <v>138.12190000000001</v>
      </c>
      <c r="M5792">
        <v>0.99950910000000004</v>
      </c>
      <c r="N5792">
        <v>0</v>
      </c>
      <c r="O5792">
        <v>2.6160889999999999E-2</v>
      </c>
      <c r="P5792">
        <v>0.99708969999999897</v>
      </c>
      <c r="Q5792">
        <v>1.7632020000000002E-2</v>
      </c>
      <c r="R5792">
        <v>7.4170399999999997E-2</v>
      </c>
      <c r="S5792">
        <v>3.0148470000000001</v>
      </c>
      <c r="T5792">
        <v>-0.44414540000000002</v>
      </c>
      <c r="U5792">
        <v>1.9363399999999999E-2</v>
      </c>
      <c r="V5792">
        <v>-4.805827E-2</v>
      </c>
      <c r="W5792">
        <v>3.4843850000000003E-2</v>
      </c>
      <c r="X5792">
        <v>0.99823660000000003</v>
      </c>
      <c r="Y5792">
        <v>1.925377E-2</v>
      </c>
      <c r="Z5792">
        <v>-5.2440409999999996E-3</v>
      </c>
      <c r="AA5792">
        <v>0.99980089999999999</v>
      </c>
      <c r="AB5792">
        <v>12</v>
      </c>
      <c r="AC5792">
        <v>0.68630000000000202</v>
      </c>
      <c r="AD5792">
        <v>-0.1192669</v>
      </c>
      <c r="AE5792">
        <v>1.8000000000029099E-3</v>
      </c>
      <c r="AF5792">
        <v>1.5683848993540202E-2</v>
      </c>
      <c r="AG5792">
        <v>-0.1192669</v>
      </c>
      <c r="AH5792">
        <v>0.665998881599417</v>
      </c>
      <c r="AI5792">
        <v>100.150137149785</v>
      </c>
      <c r="AJ5792">
        <v>88.650970267979503</v>
      </c>
      <c r="AK5792">
        <v>0.67677550697889199</v>
      </c>
    </row>
    <row r="5793" spans="1:37" x14ac:dyDescent="0.2">
      <c r="A5793" t="str">
        <f>"20200111154216530"</f>
        <v>20200111154216530</v>
      </c>
      <c r="B5793" t="str">
        <f>"1578728536521563"</f>
        <v>1578728536521563</v>
      </c>
      <c r="C5793" t="s">
        <v>37</v>
      </c>
      <c r="D5793">
        <v>6.1059060000000001</v>
      </c>
      <c r="E5793">
        <v>0.52025459999999901</v>
      </c>
      <c r="F5793" t="s">
        <v>38</v>
      </c>
      <c r="G5793">
        <v>-120.9896</v>
      </c>
      <c r="H5793">
        <v>0.99579200000000001</v>
      </c>
      <c r="I5793">
        <v>138.12909999999999</v>
      </c>
      <c r="J5793">
        <v>-121.65940000000001</v>
      </c>
      <c r="K5793">
        <v>1.1112059999999999</v>
      </c>
      <c r="L5793">
        <v>138.12520000000001</v>
      </c>
      <c r="M5793">
        <v>0.99951080000000003</v>
      </c>
      <c r="N5793">
        <v>0</v>
      </c>
      <c r="O5793">
        <v>2.6269750000000001E-2</v>
      </c>
      <c r="P5793">
        <v>0.99704280000000001</v>
      </c>
      <c r="Q5793">
        <v>1.7647340000000001E-2</v>
      </c>
      <c r="R5793">
        <v>7.479595E-2</v>
      </c>
      <c r="S5793">
        <v>3.014465</v>
      </c>
      <c r="T5793">
        <v>-0.43818599999999902</v>
      </c>
      <c r="U5793">
        <v>2.758789E-2</v>
      </c>
      <c r="V5793">
        <v>-4.8575599999999997E-2</v>
      </c>
      <c r="W5793">
        <v>3.4601760000000002E-2</v>
      </c>
      <c r="X5793">
        <v>0.99822</v>
      </c>
      <c r="Y5793">
        <v>1.6672900000000001E-2</v>
      </c>
      <c r="Z5793">
        <v>-5.00410099999999E-3</v>
      </c>
      <c r="AA5793">
        <v>0.99984850000000003</v>
      </c>
      <c r="AB5793">
        <v>12</v>
      </c>
      <c r="AC5793">
        <v>0.66980000000000905</v>
      </c>
      <c r="AD5793">
        <v>-0.115413999999999</v>
      </c>
      <c r="AE5793">
        <v>3.8999999999873498E-3</v>
      </c>
      <c r="AF5793">
        <v>1.33043518726436E-2</v>
      </c>
      <c r="AG5793">
        <v>-0.115413999999999</v>
      </c>
      <c r="AH5793">
        <v>0.650361921357412</v>
      </c>
      <c r="AI5793">
        <v>100.060951636976</v>
      </c>
      <c r="AJ5793">
        <v>88.828072679108899</v>
      </c>
      <c r="AK5793">
        <v>0.66065726812505099</v>
      </c>
    </row>
    <row r="5794" spans="1:37" x14ac:dyDescent="0.2">
      <c r="A5794" t="str">
        <f>"20200111154216552"</f>
        <v>20200111154216552</v>
      </c>
      <c r="B5794" t="str">
        <f>"1578728536542062"</f>
        <v>1578728536542062</v>
      </c>
      <c r="C5794" t="s">
        <v>37</v>
      </c>
      <c r="D5794">
        <v>6.1391849999999897</v>
      </c>
      <c r="E5794">
        <v>0.51941320000000002</v>
      </c>
      <c r="F5794" t="s">
        <v>38</v>
      </c>
      <c r="G5794">
        <v>-120.88339999999999</v>
      </c>
      <c r="H5794">
        <v>0.9975444</v>
      </c>
      <c r="I5794">
        <v>138.13470000000001</v>
      </c>
      <c r="J5794">
        <v>-121.5423</v>
      </c>
      <c r="K5794">
        <v>1.111205</v>
      </c>
      <c r="L5794">
        <v>138.1284</v>
      </c>
      <c r="M5794">
        <v>0.99951139999999905</v>
      </c>
      <c r="N5794">
        <v>0</v>
      </c>
      <c r="O5794">
        <v>2.6372139999999999E-2</v>
      </c>
      <c r="P5794">
        <v>0.99706170000000005</v>
      </c>
      <c r="Q5794">
        <v>1.7069850000000001E-2</v>
      </c>
      <c r="R5794">
        <v>7.4675759999999994E-2</v>
      </c>
      <c r="S5794">
        <v>3.0139619999999998</v>
      </c>
      <c r="T5794">
        <v>-0.44145499999999999</v>
      </c>
      <c r="U5794">
        <v>3.6849979999999997E-2</v>
      </c>
      <c r="V5794">
        <v>-4.8353170000000001E-2</v>
      </c>
      <c r="W5794">
        <v>3.3822579999999998E-2</v>
      </c>
      <c r="X5794">
        <v>0.99825750000000002</v>
      </c>
      <c r="Y5794">
        <v>1.372491E-2</v>
      </c>
      <c r="Z5794">
        <v>-4.8419129999999998E-3</v>
      </c>
      <c r="AA5794">
        <v>0.99989409999999901</v>
      </c>
      <c r="AB5794">
        <v>12</v>
      </c>
      <c r="AC5794">
        <v>0.65890000000000204</v>
      </c>
      <c r="AD5794">
        <v>-0.1136606</v>
      </c>
      <c r="AE5794">
        <v>6.3000000000101803E-3</v>
      </c>
      <c r="AF5794">
        <v>1.0761059388058301E-2</v>
      </c>
      <c r="AG5794">
        <v>-0.1136606</v>
      </c>
      <c r="AH5794">
        <v>0.63980049399371297</v>
      </c>
      <c r="AI5794">
        <v>100.072109279994</v>
      </c>
      <c r="AJ5794">
        <v>89.036410316383694</v>
      </c>
      <c r="AK5794">
        <v>0.64990707374678702</v>
      </c>
    </row>
    <row r="5795" spans="1:37" x14ac:dyDescent="0.2">
      <c r="A5795" t="str">
        <f>"20200111154216579"</f>
        <v>20200111154216579</v>
      </c>
      <c r="B5795" t="str">
        <f>"1578728536572315"</f>
        <v>1578728536572315</v>
      </c>
      <c r="C5795" t="s">
        <v>37</v>
      </c>
      <c r="D5795">
        <v>5.9906370000000004</v>
      </c>
      <c r="E5795">
        <v>0.5188372</v>
      </c>
      <c r="F5795" t="s">
        <v>38</v>
      </c>
      <c r="G5795">
        <v>-120.7786</v>
      </c>
      <c r="H5795">
        <v>0.99751309999999904</v>
      </c>
      <c r="I5795">
        <v>138.13929999999999</v>
      </c>
      <c r="J5795">
        <v>-121.4075</v>
      </c>
      <c r="K5795">
        <v>1.111208</v>
      </c>
      <c r="L5795">
        <v>138.13210000000001</v>
      </c>
      <c r="M5795">
        <v>0.99951159999999994</v>
      </c>
      <c r="N5795">
        <v>0</v>
      </c>
      <c r="O5795">
        <v>2.6488709999999999E-2</v>
      </c>
      <c r="P5795">
        <v>0.99706689999999998</v>
      </c>
      <c r="Q5795">
        <v>1.7001200000000001E-2</v>
      </c>
      <c r="R5795">
        <v>7.4624599999999999E-2</v>
      </c>
      <c r="S5795">
        <v>3.0132750000000001</v>
      </c>
      <c r="T5795">
        <v>-0.44867099999999999</v>
      </c>
      <c r="U5795">
        <v>4.3273930000000002E-2</v>
      </c>
      <c r="V5795">
        <v>-4.818509E-2</v>
      </c>
      <c r="W5795">
        <v>3.3557139999999999E-2</v>
      </c>
      <c r="X5795">
        <v>0.99827459999999901</v>
      </c>
      <c r="Y5795">
        <v>1.171402E-2</v>
      </c>
      <c r="Z5795">
        <v>-4.7895780000000001E-3</v>
      </c>
      <c r="AA5795">
        <v>0.99991989999999997</v>
      </c>
      <c r="AB5795">
        <v>12</v>
      </c>
      <c r="AC5795">
        <v>0.62890000000000101</v>
      </c>
      <c r="AD5795">
        <v>-0.1136949</v>
      </c>
      <c r="AE5795">
        <v>7.1999999999832198E-3</v>
      </c>
      <c r="AF5795">
        <v>9.1640982907530092E-3</v>
      </c>
      <c r="AG5795">
        <v>-0.1136949</v>
      </c>
      <c r="AH5795">
        <v>0.60896980305466897</v>
      </c>
      <c r="AI5795">
        <v>100.574220341151</v>
      </c>
      <c r="AJ5795">
        <v>89.137848013424502</v>
      </c>
      <c r="AK5795">
        <v>0.61956011170501801</v>
      </c>
    </row>
    <row r="5796" spans="1:37" x14ac:dyDescent="0.2">
      <c r="A5796" t="str">
        <f>"20200111154216598"</f>
        <v>20200111154216598</v>
      </c>
      <c r="B5796" t="str">
        <f>"1578728536591836"</f>
        <v>1578728536591836</v>
      </c>
      <c r="C5796" t="s">
        <v>37</v>
      </c>
      <c r="D5796">
        <v>6.0844769999999997</v>
      </c>
      <c r="E5796">
        <v>0.51859690000000003</v>
      </c>
      <c r="F5796" t="s">
        <v>38</v>
      </c>
      <c r="G5796">
        <v>-120.6718</v>
      </c>
      <c r="H5796">
        <v>1.002766</v>
      </c>
      <c r="I5796">
        <v>138.1439</v>
      </c>
      <c r="J5796">
        <v>-121.3053</v>
      </c>
      <c r="K5796">
        <v>1.1112059999999999</v>
      </c>
      <c r="L5796">
        <v>138.13499999999999</v>
      </c>
      <c r="M5796">
        <v>0.99951159999999994</v>
      </c>
      <c r="N5796">
        <v>0</v>
      </c>
      <c r="O5796">
        <v>2.6576490000000001E-2</v>
      </c>
      <c r="P5796">
        <v>0.99703960000000003</v>
      </c>
      <c r="Q5796">
        <v>1.668325E-2</v>
      </c>
      <c r="R5796">
        <v>7.5060219999999997E-2</v>
      </c>
      <c r="S5796">
        <v>3.0128020000000002</v>
      </c>
      <c r="T5796">
        <v>-0.4441155</v>
      </c>
      <c r="U5796">
        <v>4.8156740000000003E-2</v>
      </c>
      <c r="V5796">
        <v>-4.8533800000000002E-2</v>
      </c>
      <c r="W5796">
        <v>3.3106299999999998E-2</v>
      </c>
      <c r="X5796">
        <v>0.99827269999999901</v>
      </c>
      <c r="Y5796">
        <v>1.020304E-2</v>
      </c>
      <c r="Z5796">
        <v>-4.6442239999999997E-3</v>
      </c>
      <c r="AA5796">
        <v>0.99993719999999997</v>
      </c>
      <c r="AB5796">
        <v>12</v>
      </c>
      <c r="AC5796">
        <v>0.63349999999999795</v>
      </c>
      <c r="AD5796">
        <v>-0.108439999999999</v>
      </c>
      <c r="AE5796">
        <v>8.9000000000112305E-3</v>
      </c>
      <c r="AF5796">
        <v>7.7155946041944003E-3</v>
      </c>
      <c r="AG5796">
        <v>-0.108439999999999</v>
      </c>
      <c r="AH5796">
        <v>0.61548192345617103</v>
      </c>
      <c r="AI5796">
        <v>99.991459931898902</v>
      </c>
      <c r="AJ5796">
        <v>89.281785807563196</v>
      </c>
      <c r="AK5796">
        <v>0.62500940961029094</v>
      </c>
    </row>
    <row r="5797" spans="1:37" x14ac:dyDescent="0.2">
      <c r="A5797" t="str">
        <f>"20200111154216620"</f>
        <v>20200111154216620</v>
      </c>
      <c r="B5797" t="str">
        <f>"1578728536612332"</f>
        <v>1578728536612332</v>
      </c>
      <c r="C5797" t="s">
        <v>37</v>
      </c>
      <c r="D5797">
        <v>6.0030049999999999</v>
      </c>
      <c r="E5797">
        <v>0.51841530000000002</v>
      </c>
      <c r="F5797" t="s">
        <v>38</v>
      </c>
      <c r="G5797">
        <v>-120.5685</v>
      </c>
      <c r="H5797">
        <v>1.0019480000000001</v>
      </c>
      <c r="I5797">
        <v>138.1473</v>
      </c>
      <c r="J5797">
        <v>-121.19410000000001</v>
      </c>
      <c r="K5797">
        <v>1.1112029999999999</v>
      </c>
      <c r="L5797">
        <v>138.13800000000001</v>
      </c>
      <c r="M5797">
        <v>0.99951109999999899</v>
      </c>
      <c r="N5797">
        <v>0</v>
      </c>
      <c r="O5797">
        <v>2.6672359999999999E-2</v>
      </c>
      <c r="P5797">
        <v>0.99700409999999995</v>
      </c>
      <c r="Q5797">
        <v>1.627756E-2</v>
      </c>
      <c r="R5797">
        <v>7.5615959999999996E-2</v>
      </c>
      <c r="S5797">
        <v>3.012543</v>
      </c>
      <c r="T5797">
        <v>-0.44680769999999997</v>
      </c>
      <c r="U5797">
        <v>5.0933840000000001E-2</v>
      </c>
      <c r="V5797">
        <v>-4.8994490000000002E-2</v>
      </c>
      <c r="W5797">
        <v>3.25673E-2</v>
      </c>
      <c r="X5797">
        <v>0.99826789999999999</v>
      </c>
      <c r="Y5797">
        <v>9.3790729999999999E-3</v>
      </c>
      <c r="Z5797">
        <v>-4.6257879999999996E-3</v>
      </c>
      <c r="AA5797">
        <v>0.99994530000000004</v>
      </c>
      <c r="AB5797">
        <v>12</v>
      </c>
      <c r="AC5797">
        <v>0.62560000000000504</v>
      </c>
      <c r="AD5797">
        <v>-0.109255</v>
      </c>
      <c r="AE5797">
        <v>9.2999999999960892E-3</v>
      </c>
      <c r="AF5797">
        <v>7.1730350410733699E-3</v>
      </c>
      <c r="AG5797">
        <v>-0.109255</v>
      </c>
      <c r="AH5797">
        <v>0.60711305466615595</v>
      </c>
      <c r="AI5797">
        <v>100.200959395853</v>
      </c>
      <c r="AJ5797">
        <v>89.323082399674107</v>
      </c>
      <c r="AK5797">
        <v>0.61690709884290595</v>
      </c>
    </row>
    <row r="5798" spans="1:37" x14ac:dyDescent="0.2">
      <c r="A5798" t="str">
        <f>"20200111154216642"</f>
        <v>20200111154216642</v>
      </c>
      <c r="B5798" t="str">
        <f>"1578728536631852"</f>
        <v>1578728536631852</v>
      </c>
      <c r="C5798" t="s">
        <v>37</v>
      </c>
      <c r="D5798">
        <v>6.0623909999999999</v>
      </c>
      <c r="E5798">
        <v>0.51832939999999905</v>
      </c>
      <c r="F5798" t="s">
        <v>38</v>
      </c>
      <c r="G5798">
        <v>-120.4646</v>
      </c>
      <c r="H5798">
        <v>1.0033939999999999</v>
      </c>
      <c r="I5798">
        <v>138.15110000000001</v>
      </c>
      <c r="J5798">
        <v>-121.08029999999999</v>
      </c>
      <c r="K5798">
        <v>1.111197</v>
      </c>
      <c r="L5798">
        <v>138.1412</v>
      </c>
      <c r="M5798">
        <v>0.99951049999999997</v>
      </c>
      <c r="N5798">
        <v>0</v>
      </c>
      <c r="O5798">
        <v>2.6770510000000001E-2</v>
      </c>
      <c r="P5798">
        <v>0.99700259999999996</v>
      </c>
      <c r="Q5798">
        <v>1.6276760000000001E-2</v>
      </c>
      <c r="R5798">
        <v>7.5637650000000001E-2</v>
      </c>
      <c r="S5798">
        <v>3.0121609999999999</v>
      </c>
      <c r="T5798">
        <v>-0.44518540000000001</v>
      </c>
      <c r="U5798">
        <v>5.4138180000000001E-2</v>
      </c>
      <c r="V5798">
        <v>-4.8918040000000003E-2</v>
      </c>
      <c r="W5798">
        <v>3.2445290000000002E-2</v>
      </c>
      <c r="X5798">
        <v>0.99827569999999999</v>
      </c>
      <c r="Y5798">
        <v>8.4237110000000004E-3</v>
      </c>
      <c r="Z5798">
        <v>-4.5538970000000003E-3</v>
      </c>
      <c r="AA5798">
        <v>0.99995419999999902</v>
      </c>
      <c r="AB5798">
        <v>12</v>
      </c>
      <c r="AC5798">
        <v>0.61569999999998903</v>
      </c>
      <c r="AD5798">
        <v>-0.107802999999999</v>
      </c>
      <c r="AE5798">
        <v>9.9000000000160002E-3</v>
      </c>
      <c r="AF5798">
        <v>6.3923943599335899E-3</v>
      </c>
      <c r="AG5798">
        <v>-0.107802999999999</v>
      </c>
      <c r="AH5798">
        <v>0.59743381154672603</v>
      </c>
      <c r="AI5798">
        <v>100.22800747282101</v>
      </c>
      <c r="AJ5798">
        <v>89.386972690970296</v>
      </c>
      <c r="AK5798">
        <v>0.60711572924270496</v>
      </c>
    </row>
    <row r="5799" spans="1:37" x14ac:dyDescent="0.2">
      <c r="A5799" t="str">
        <f>"20200111154216680"</f>
        <v>20200111154216680</v>
      </c>
      <c r="B5799" t="str">
        <f>"1578728536671868"</f>
        <v>1578728536671868</v>
      </c>
      <c r="C5799" t="s">
        <v>37</v>
      </c>
      <c r="D5799">
        <v>6.0818120000000002</v>
      </c>
      <c r="E5799">
        <v>0.51830580000000004</v>
      </c>
      <c r="F5799" t="s">
        <v>38</v>
      </c>
      <c r="G5799">
        <v>-120.36109999999999</v>
      </c>
      <c r="H5799">
        <v>1.0051349999999999</v>
      </c>
      <c r="I5799">
        <v>138.1542</v>
      </c>
      <c r="J5799">
        <v>-120.8849</v>
      </c>
      <c r="K5799">
        <v>1.111197</v>
      </c>
      <c r="L5799">
        <v>138.14660000000001</v>
      </c>
      <c r="M5799">
        <v>0.99950869999999903</v>
      </c>
      <c r="N5799">
        <v>0</v>
      </c>
      <c r="O5799">
        <v>2.6939520000000002E-2</v>
      </c>
      <c r="P5799">
        <v>0.99696509999999905</v>
      </c>
      <c r="Q5799">
        <v>1.675712E-2</v>
      </c>
      <c r="R5799">
        <v>7.6026330000000003E-2</v>
      </c>
      <c r="S5799">
        <v>3.0121000000000002</v>
      </c>
      <c r="T5799">
        <v>-0.44425320000000001</v>
      </c>
      <c r="U5799">
        <v>5.4962160000000003E-2</v>
      </c>
      <c r="V5799">
        <v>-4.9138889999999998E-2</v>
      </c>
      <c r="W5799">
        <v>3.275459E-2</v>
      </c>
      <c r="X5799">
        <v>0.99825469999999905</v>
      </c>
      <c r="Y5799">
        <v>8.3197830000000007E-3</v>
      </c>
      <c r="Z5799">
        <v>-4.561692E-3</v>
      </c>
      <c r="AA5799">
        <v>0.99995499999999904</v>
      </c>
      <c r="AB5799">
        <v>12</v>
      </c>
      <c r="AC5799">
        <v>0.52380000000000804</v>
      </c>
      <c r="AD5799">
        <v>-0.106061999999999</v>
      </c>
      <c r="AE5799">
        <v>7.5999999999964898E-3</v>
      </c>
      <c r="AF5799">
        <v>6.2589257475848398E-3</v>
      </c>
      <c r="AG5799">
        <v>-0.106061999999999</v>
      </c>
      <c r="AH5799">
        <v>0.50318801910845301</v>
      </c>
      <c r="AI5799">
        <v>101.90168428483</v>
      </c>
      <c r="AJ5799">
        <v>89.2873607412658</v>
      </c>
      <c r="AK5799">
        <v>0.514282514353543</v>
      </c>
    </row>
    <row r="5800" spans="1:37" x14ac:dyDescent="0.2">
      <c r="A5800" t="str">
        <f>"20200111154216705"</f>
        <v>20200111154216705</v>
      </c>
      <c r="B5800" t="str">
        <f>"1578728536692363"</f>
        <v>1578728536692363</v>
      </c>
      <c r="C5800" t="s">
        <v>37</v>
      </c>
      <c r="D5800">
        <v>6.2155149999999999</v>
      </c>
      <c r="E5800">
        <v>0.51791529999999997</v>
      </c>
      <c r="F5800" t="s">
        <v>38</v>
      </c>
      <c r="G5800">
        <v>-120.15770000000001</v>
      </c>
      <c r="H5800">
        <v>1.004494</v>
      </c>
      <c r="I5800">
        <v>138.1602</v>
      </c>
      <c r="J5800">
        <v>-120.7659</v>
      </c>
      <c r="K5800">
        <v>1.111197</v>
      </c>
      <c r="L5800">
        <v>138.1499</v>
      </c>
      <c r="M5800">
        <v>0.99950729999999999</v>
      </c>
      <c r="N5800">
        <v>0</v>
      </c>
      <c r="O5800">
        <v>2.704202E-2</v>
      </c>
      <c r="P5800">
        <v>0.99696499999999999</v>
      </c>
      <c r="Q5800">
        <v>1.6602749999999999E-2</v>
      </c>
      <c r="R5800">
        <v>7.6061409999999996E-2</v>
      </c>
      <c r="S5800">
        <v>3.0122529999999998</v>
      </c>
      <c r="T5800">
        <v>-0.44207299999999899</v>
      </c>
      <c r="U5800">
        <v>5.6488040000000003E-2</v>
      </c>
      <c r="V5800">
        <v>-4.9071690000000001E-2</v>
      </c>
      <c r="W5800">
        <v>3.2513439999999998E-2</v>
      </c>
      <c r="X5800">
        <v>0.99826589999999904</v>
      </c>
      <c r="Y5800">
        <v>7.9237549999999993E-3</v>
      </c>
      <c r="Z5800">
        <v>-4.5253359999999996E-3</v>
      </c>
      <c r="AA5800">
        <v>0.99995840000000003</v>
      </c>
      <c r="AB5800">
        <v>11</v>
      </c>
      <c r="AC5800">
        <v>0.60819999999999597</v>
      </c>
      <c r="AD5800">
        <v>-0.10670299999999899</v>
      </c>
      <c r="AE5800">
        <v>1.03000000000008E-2</v>
      </c>
      <c r="AF5800">
        <v>5.9691385386408903E-3</v>
      </c>
      <c r="AG5800">
        <v>-0.10670299999999899</v>
      </c>
      <c r="AH5800">
        <v>0.59009841246273498</v>
      </c>
      <c r="AI5800">
        <v>100.249094157503</v>
      </c>
      <c r="AJ5800">
        <v>89.420444498725502</v>
      </c>
      <c r="AK5800">
        <v>0.59969767151034803</v>
      </c>
    </row>
    <row r="5801" spans="1:37" x14ac:dyDescent="0.2">
      <c r="A5801" t="str">
        <f>"20200111154216725"</f>
        <v>20200111154216725</v>
      </c>
      <c r="B5801" t="str">
        <f>"1578728536721644"</f>
        <v>1578728536721644</v>
      </c>
      <c r="C5801" t="s">
        <v>37</v>
      </c>
      <c r="D5801">
        <v>6.2964719999999996</v>
      </c>
      <c r="E5801">
        <v>0.51742149999999998</v>
      </c>
      <c r="F5801" t="s">
        <v>38</v>
      </c>
      <c r="G5801">
        <v>-119.9619</v>
      </c>
      <c r="H5801">
        <v>0.99276609999999998</v>
      </c>
      <c r="I5801">
        <v>138.16579999999999</v>
      </c>
      <c r="J5801">
        <v>-120.6587</v>
      </c>
      <c r="K5801">
        <v>1.1111869999999999</v>
      </c>
      <c r="L5801">
        <v>138.15299999999999</v>
      </c>
      <c r="M5801">
        <v>0.99950649999999996</v>
      </c>
      <c r="N5801">
        <v>0</v>
      </c>
      <c r="O5801">
        <v>2.7114760000000002E-2</v>
      </c>
      <c r="P5801">
        <v>0.99695590000000001</v>
      </c>
      <c r="Q5801">
        <v>1.6631489999999999E-2</v>
      </c>
      <c r="R5801">
        <v>7.6174149999999996E-2</v>
      </c>
      <c r="S5801">
        <v>3.0119479999999998</v>
      </c>
      <c r="T5801">
        <v>-0.44370929999999997</v>
      </c>
      <c r="U5801">
        <v>5.9783940000000001E-2</v>
      </c>
      <c r="V5801">
        <v>-4.9110790000000001E-2</v>
      </c>
      <c r="W5801">
        <v>3.2468160000000003E-2</v>
      </c>
      <c r="X5801">
        <v>0.99826539999999997</v>
      </c>
      <c r="Y5801">
        <v>6.9081169999999897E-3</v>
      </c>
      <c r="Z5801">
        <v>-4.4785509999999999E-3</v>
      </c>
      <c r="AA5801">
        <v>0.99996609999999997</v>
      </c>
      <c r="AB5801">
        <v>11</v>
      </c>
      <c r="AC5801">
        <v>0.69679999999999598</v>
      </c>
      <c r="AD5801">
        <v>-0.1184209</v>
      </c>
      <c r="AE5801">
        <v>1.27999999999985E-2</v>
      </c>
      <c r="AF5801">
        <v>5.9294471989331304E-3</v>
      </c>
      <c r="AG5801">
        <v>-0.1184209</v>
      </c>
      <c r="AH5801">
        <v>0.677334096619433</v>
      </c>
      <c r="AI5801">
        <v>99.916633718083702</v>
      </c>
      <c r="AJ5801">
        <v>89.4984401005796</v>
      </c>
      <c r="AK5801">
        <v>0.68763372978945603</v>
      </c>
    </row>
    <row r="5802" spans="1:37" x14ac:dyDescent="0.2">
      <c r="A5802" t="str">
        <f>"20200111154216750"</f>
        <v>20200111154216750</v>
      </c>
      <c r="B5802" t="str">
        <f>"1578728536742139"</f>
        <v>1578728536742139</v>
      </c>
      <c r="C5802" t="s">
        <v>37</v>
      </c>
      <c r="D5802">
        <v>5.9563160000000002</v>
      </c>
      <c r="E5802">
        <v>0.51711339999999995</v>
      </c>
      <c r="F5802" t="s">
        <v>38</v>
      </c>
      <c r="G5802">
        <v>-119.86150000000001</v>
      </c>
      <c r="H5802">
        <v>0.99306609999999995</v>
      </c>
      <c r="I5802">
        <v>138.16990000000001</v>
      </c>
      <c r="J5802">
        <v>-120.52809999999999</v>
      </c>
      <c r="K5802">
        <v>1.111135</v>
      </c>
      <c r="L5802">
        <v>138.1566</v>
      </c>
      <c r="M5802">
        <v>0.99950799999999995</v>
      </c>
      <c r="N5802">
        <v>0</v>
      </c>
      <c r="O5802">
        <v>2.7166570000000001E-2</v>
      </c>
      <c r="P5802">
        <v>0.99702869999999999</v>
      </c>
      <c r="Q5802">
        <v>1.7052459999999998E-2</v>
      </c>
      <c r="R5802">
        <v>7.5120770000000003E-2</v>
      </c>
      <c r="S5802">
        <v>3.0117189999999998</v>
      </c>
      <c r="T5802">
        <v>-0.44631859999999901</v>
      </c>
      <c r="U5802">
        <v>6.4071660000000002E-2</v>
      </c>
      <c r="V5802">
        <v>-4.8003190000000001E-2</v>
      </c>
      <c r="W5802">
        <v>3.2708840000000003E-2</v>
      </c>
      <c r="X5802">
        <v>0.99831150000000002</v>
      </c>
      <c r="Y5802">
        <v>5.5452950000000004E-3</v>
      </c>
      <c r="Z5802">
        <v>-4.412058E-3</v>
      </c>
      <c r="AA5802">
        <v>0.9999749</v>
      </c>
      <c r="AB5802">
        <v>11</v>
      </c>
      <c r="AC5802">
        <v>0.66659999999998798</v>
      </c>
      <c r="AD5802">
        <v>-0.1180689</v>
      </c>
      <c r="AE5802">
        <v>1.33000000000151E-2</v>
      </c>
      <c r="AF5802">
        <v>4.6699249896392601E-3</v>
      </c>
      <c r="AG5802">
        <v>-0.1180689</v>
      </c>
      <c r="AH5802">
        <v>0.64644320822934498</v>
      </c>
      <c r="AI5802">
        <v>100.350371067453</v>
      </c>
      <c r="AJ5802">
        <v>89.586100782222601</v>
      </c>
      <c r="AK5802">
        <v>0.65715363105781199</v>
      </c>
    </row>
    <row r="5803" spans="1:37" x14ac:dyDescent="0.2">
      <c r="A5803" t="str">
        <f>"20200111154216784"</f>
        <v>20200111154216784</v>
      </c>
      <c r="B5803" t="str">
        <f>"1578728536772396"</f>
        <v>1578728536772396</v>
      </c>
      <c r="C5803" t="s">
        <v>37</v>
      </c>
      <c r="D5803">
        <v>5.9041189999999997</v>
      </c>
      <c r="E5803">
        <v>0.51682359999999905</v>
      </c>
      <c r="F5803" t="s">
        <v>38</v>
      </c>
      <c r="G5803">
        <v>-119.7593</v>
      </c>
      <c r="H5803">
        <v>0.99743719999999902</v>
      </c>
      <c r="I5803">
        <v>138.17269999999999</v>
      </c>
      <c r="J5803">
        <v>-120.36709999999999</v>
      </c>
      <c r="K5803">
        <v>1.111043</v>
      </c>
      <c r="L5803">
        <v>138.161</v>
      </c>
      <c r="M5803">
        <v>0.99951279999999998</v>
      </c>
      <c r="N5803">
        <v>0</v>
      </c>
      <c r="O5803">
        <v>2.718924E-2</v>
      </c>
      <c r="P5803">
        <v>0.99706399999999995</v>
      </c>
      <c r="Q5803">
        <v>1.7139189999999999E-2</v>
      </c>
      <c r="R5803">
        <v>7.4629989999999993E-2</v>
      </c>
      <c r="S5803">
        <v>3.0117799999999999</v>
      </c>
      <c r="T5803">
        <v>-0.44545039999999902</v>
      </c>
      <c r="U5803">
        <v>6.3461299999999998E-2</v>
      </c>
      <c r="V5803">
        <v>-4.7486599999999997E-2</v>
      </c>
      <c r="W5803">
        <v>3.2455770000000002E-2</v>
      </c>
      <c r="X5803">
        <v>0.99834449999999997</v>
      </c>
      <c r="Y5803">
        <v>5.7695250000000002E-3</v>
      </c>
      <c r="Z5803">
        <v>-4.4232940000000004E-3</v>
      </c>
      <c r="AA5803">
        <v>0.99997359999999902</v>
      </c>
      <c r="AB5803">
        <v>11</v>
      </c>
      <c r="AC5803">
        <v>0.60779999999999701</v>
      </c>
      <c r="AD5803">
        <v>-0.11360580000000001</v>
      </c>
      <c r="AE5803">
        <v>1.16999999999904E-2</v>
      </c>
      <c r="AF5803">
        <v>4.6688354362934203E-3</v>
      </c>
      <c r="AG5803">
        <v>-0.11360580000000001</v>
      </c>
      <c r="AH5803">
        <v>0.58737998746405595</v>
      </c>
      <c r="AI5803">
        <v>100.946142182789</v>
      </c>
      <c r="AJ5803">
        <v>89.544589638688294</v>
      </c>
      <c r="AK5803">
        <v>0.598283649694061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TxtToExcel_Tem_Txt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吕泽众</dc:creator>
  <cp:lastModifiedBy>吕泽众</cp:lastModifiedBy>
  <dcterms:created xsi:type="dcterms:W3CDTF">2020-07-09T10:52:38Z</dcterms:created>
  <dcterms:modified xsi:type="dcterms:W3CDTF">2020-07-09T10:52:38Z</dcterms:modified>
</cp:coreProperties>
</file>